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versity Recruiters Database" sheetId="1" r:id="rId4"/>
    <sheet state="hidden" name="Sheet6" sheetId="2" r:id="rId5"/>
    <sheet state="hidden" name="Sheet7" sheetId="3" r:id="rId6"/>
  </sheets>
  <definedNames>
    <definedName hidden="1" localSheetId="0" name="_xlnm._FilterDatabase">'University Recruiters Database'!$A$3:$I$1610</definedName>
    <definedName hidden="1" localSheetId="2" name="_xlnm._FilterDatabase">Sheet7!$A$1:$I$2726</definedName>
  </definedNames>
  <calcPr/>
</workbook>
</file>

<file path=xl/sharedStrings.xml><?xml version="1.0" encoding="utf-8"?>
<sst xmlns="http://schemas.openxmlformats.org/spreadsheetml/2006/main" count="71159" uniqueCount="11242">
  <si>
    <t>University Recruiters Database 2020</t>
  </si>
  <si>
    <t xml:space="preserve">Hey, it's Eugene Hayden from LinkedIn!
If you are a student and looking for internships with companies in the US, connect with me on LinkedIn and tell me what kinds of roles you're interested in. Read about how I build this database and how to use it. I made public data useful to increase your chances. Feel free to ask me any questions about it!
If you're interested in making your resume shine. I can help with resume reviews. Sign up the newsletter!
</t>
  </si>
  <si>
    <t>Name</t>
  </si>
  <si>
    <t>Title</t>
  </si>
  <si>
    <t>MBA</t>
  </si>
  <si>
    <t>Company</t>
  </si>
  <si>
    <t>Recruiter's Experience</t>
  </si>
  <si>
    <t>City</t>
  </si>
  <si>
    <t>State</t>
  </si>
  <si>
    <t>Country</t>
  </si>
  <si>
    <t>URL</t>
  </si>
  <si>
    <t>Brittany Roth Healy</t>
  </si>
  <si>
    <t>Campus Recruiting Associate Manager</t>
  </si>
  <si>
    <t xml:space="preserve"> </t>
  </si>
  <si>
    <t>Accenture</t>
  </si>
  <si>
    <t>1 year 5 months in role and company</t>
  </si>
  <si>
    <t>Atlanta</t>
  </si>
  <si>
    <t>Georgia</t>
  </si>
  <si>
    <t>United States</t>
  </si>
  <si>
    <t>https://www.google.com/search?newwindow=1&amp;ei=2MT0XrvGGM-vytMP1OyDgAY&amp;q=site%3Alinkedin.com+Brittany+Roth+Healy+Campus+Recruiting+Associate+Manager+Accenture</t>
  </si>
  <si>
    <t>Melissa Harper Davis</t>
  </si>
  <si>
    <t>MBA Campus Recruiter</t>
  </si>
  <si>
    <t>5 years 10 months in role and company</t>
  </si>
  <si>
    <t>https://www.google.com/search?newwindow=1&amp;ei=2MT0XrvGGM-vytMP1OyDgAY&amp;q=site%3Alinkedin.com+Melissa+Harper+Davis+MBA+Campus+Recruiter+Accenture</t>
  </si>
  <si>
    <t>Catherine Leonard, M.Ed.</t>
  </si>
  <si>
    <t>Campus Recruiter</t>
  </si>
  <si>
    <t>1 year 2 months in role</t>
  </si>
  <si>
    <t>https://www.google.com/search?newwindow=1&amp;ei=2MT0XrvGGM-vytMP1OyDgAY&amp;q=site%3Alinkedin.com+Catherine+Leonard,+M.Ed.+Campus+Recruiter+Accenture</t>
  </si>
  <si>
    <t>Nicole Bonilla Owens</t>
  </si>
  <si>
    <t>1 year 9 months in role and company</t>
  </si>
  <si>
    <t>https://www.google.com/search?newwindow=1&amp;ei=2MT0XrvGGM-vytMP1OyDgAY&amp;q=site%3Alinkedin.com+Nicole+Bonilla+Owens+Campus+Recruiter+Accenture</t>
  </si>
  <si>
    <t>Betsy Davis</t>
  </si>
  <si>
    <t>Senior Campus Recruiter</t>
  </si>
  <si>
    <t>5 years 6 months in role and company</t>
  </si>
  <si>
    <t>https://www.google.com/search?newwindow=1&amp;ei=2MT0XrvGGM-vytMP1OyDgAY&amp;q=site%3Alinkedin.com+Betsy+Davis+Senior+Campus+Recruiter+Accenture</t>
  </si>
  <si>
    <t>Amy Romero</t>
  </si>
  <si>
    <t>2 years 4 months in role and company</t>
  </si>
  <si>
    <t>Austin</t>
  </si>
  <si>
    <t>Texas</t>
  </si>
  <si>
    <t>https://www.google.com/search?newwindow=1&amp;ei=2MT0XrvGGM-vytMP1OyDgAY&amp;q=site%3Alinkedin.com+Amy+Romero+Campus+Recruiter+Accenture</t>
  </si>
  <si>
    <t>Sara Buxton</t>
  </si>
  <si>
    <t>NorCal Campus Recruiting Manager</t>
  </si>
  <si>
    <t>2 years 2 months in role</t>
  </si>
  <si>
    <t>Campbell</t>
  </si>
  <si>
    <t>California</t>
  </si>
  <si>
    <t>https://www.google.com/search?newwindow=1&amp;ei=2MT0XrvGGM-vytMP1OyDgAY&amp;q=site%3Alinkedin.com+Sara+Buxton+NorCal+Campus+Recruiting+Manager+Accenture</t>
  </si>
  <si>
    <t>Mai C. Maye</t>
  </si>
  <si>
    <t>Sr. Campus Recruiter</t>
  </si>
  <si>
    <t>2 years 2 months in role and company</t>
  </si>
  <si>
    <t>Charlotte</t>
  </si>
  <si>
    <t>North Carolina</t>
  </si>
  <si>
    <t>https://www.google.com/search?newwindow=1&amp;ei=2MT0XrvGGM-vytMP1OyDgAY&amp;q=site%3Alinkedin.com+Mai+C.+Maye+Sr.+Campus+Recruiter+Accenture</t>
  </si>
  <si>
    <t>Brooke Steele</t>
  </si>
  <si>
    <t>5 years 3 months in role</t>
  </si>
  <si>
    <t>https://www.google.com/search?newwindow=1&amp;ei=2MT0XrvGGM-vytMP1OyDgAY&amp;q=site%3Alinkedin.com+Brooke+Steele+Campus+Recruiter+Accenture</t>
  </si>
  <si>
    <t>Krystin Crane</t>
  </si>
  <si>
    <t>6 years 5 months in role and company</t>
  </si>
  <si>
    <t>https://www.google.com/search?newwindow=1&amp;ei=2MT0XrvGGM-vytMP1OyDgAY&amp;q=site%3Alinkedin.com+Krystin+Crane+Campus+Recruiter+Accenture</t>
  </si>
  <si>
    <t>Ashlei Scott</t>
  </si>
  <si>
    <t>Charlotte Location Lead &amp; Campus Recruiter</t>
  </si>
  <si>
    <t>5 months in role</t>
  </si>
  <si>
    <t>https://www.google.com/search?newwindow=1&amp;ei=2MT0XrvGGM-vytMP1OyDgAY&amp;q=site%3Alinkedin.com+Ashlei+Scott+Charlotte+Location+Lead+&amp;+Campus+Recruiter+Accenture</t>
  </si>
  <si>
    <t>Linnea Levy</t>
  </si>
  <si>
    <t>1 year 10 months in role and company</t>
  </si>
  <si>
    <t>Chicago</t>
  </si>
  <si>
    <t>Illinois</t>
  </si>
  <si>
    <t>https://www.google.com/search?newwindow=1&amp;ei=2MT0XrvGGM-vytMP1OyDgAY&amp;q=site%3Alinkedin.com+Linnea+Levy+Sr.+Campus+Recruiter+Accenture</t>
  </si>
  <si>
    <t>Amy LaPortre</t>
  </si>
  <si>
    <t>2 years 8 months in role and company</t>
  </si>
  <si>
    <t>https://www.google.com/search?newwindow=1&amp;ei=2MT0XrvGGM-vytMP1OyDgAY&amp;q=site%3Alinkedin.com+Amy+LaPortre+Campus+Recruiter+Accenture</t>
  </si>
  <si>
    <t>Caroline Stropes</t>
  </si>
  <si>
    <t>https://www.google.com/search?newwindow=1&amp;ei=2MT0XrvGGM-vytMP1OyDgAY&amp;q=site%3Alinkedin.com+Caroline+Stropes+Campus+Recruiter+Accenture</t>
  </si>
  <si>
    <t>Krysta Lewis</t>
  </si>
  <si>
    <t>Associate Manager</t>
  </si>
  <si>
    <t>1 year 8 months in role</t>
  </si>
  <si>
    <t>Columbus</t>
  </si>
  <si>
    <t>Ohio</t>
  </si>
  <si>
    <t>https://www.google.com/search?newwindow=1&amp;ei=2MT0XrvGGM-vytMP1OyDgAY&amp;q=site%3Alinkedin.com+Krysta+Lewis+Associate+Manager+Accenture</t>
  </si>
  <si>
    <t>Ilva Fejzulla</t>
  </si>
  <si>
    <t>1 year 3 months in role and company</t>
  </si>
  <si>
    <t>Dallas</t>
  </si>
  <si>
    <t>https://www.google.com/search?newwindow=1&amp;ei=2MT0XrvGGM-vytMP1OyDgAY&amp;q=site%3Alinkedin.com+Ilva+Fejzulla+Campus+Recruiter+Accenture</t>
  </si>
  <si>
    <t>Joey Adams</t>
  </si>
  <si>
    <t>Project Manager - Business Process Optimization for Financial Reporting (Resources)</t>
  </si>
  <si>
    <t>2 years 1 month in role</t>
  </si>
  <si>
    <t>Denver</t>
  </si>
  <si>
    <t>Colorado</t>
  </si>
  <si>
    <t>https://www.google.com/search?newwindow=1&amp;ei=2MT0XrvGGM-vytMP1OyDgAY&amp;q=site%3Alinkedin.com+Joey+Adams+Project+Manager+-+Business+Process+Optimization+for+Financial+Reporting+(Resources)+Accenture</t>
  </si>
  <si>
    <t>Terrell Johnson</t>
  </si>
  <si>
    <t>Detroit Co-Location Lead / Campus Recruiter</t>
  </si>
  <si>
    <t>Detroit</t>
  </si>
  <si>
    <t>Michigan</t>
  </si>
  <si>
    <t>https://www.google.com/search?newwindow=1&amp;ei=2MT0XrvGGM-vytMP1OyDgAY&amp;q=site%3Alinkedin.com+Terrell+Johnson+Detroit+Co-Location+Lead+/+Campus+Recruiter+Accenture</t>
  </si>
  <si>
    <t>Robin Ribeiro</t>
  </si>
  <si>
    <t>2 years 4 months in role</t>
  </si>
  <si>
    <t>Dunellen</t>
  </si>
  <si>
    <t>New Jersey</t>
  </si>
  <si>
    <t>https://www.google.com/search?newwindow=1&amp;ei=2MT0XrvGGM-vytMP1OyDgAY&amp;q=site%3Alinkedin.com+Robin+Ribeiro+Campus+Recruiter+Accenture</t>
  </si>
  <si>
    <t>Stephanie Nevin</t>
  </si>
  <si>
    <t>Campus and Entry Level Recruiter</t>
  </si>
  <si>
    <t>1 year 7 months in role and company</t>
  </si>
  <si>
    <t>Enumclaw</t>
  </si>
  <si>
    <t>Washington</t>
  </si>
  <si>
    <t>https://www.google.com/search?newwindow=1&amp;ei=2MT0XrvGGM-vytMP1OyDgAY&amp;q=site%3Alinkedin.com+Stephanie+Nevin+Campus+and+Entry+Level+Recruiter+Accenture</t>
  </si>
  <si>
    <t>Melissa Olson</t>
  </si>
  <si>
    <t>Recruiting Associate Manager</t>
  </si>
  <si>
    <t>1 year 5 months in role</t>
  </si>
  <si>
    <t>Granite Falls</t>
  </si>
  <si>
    <t>https://www.google.com/search?newwindow=1&amp;ei=2MT0XrvGGM-vytMP1OyDgAY&amp;q=site%3Alinkedin.com+Melissa+Olson+Recruiting+Associate+Manager+Accenture</t>
  </si>
  <si>
    <t>Kendrick Harris</t>
  </si>
  <si>
    <t>University Recruiter</t>
  </si>
  <si>
    <t>5 years 5 months in role and company</t>
  </si>
  <si>
    <t>Houston</t>
  </si>
  <si>
    <t>https://www.google.com/search?newwindow=1&amp;ei=2MT0XrvGGM-vytMP1OyDgAY&amp;q=site%3Alinkedin.com+Kendrick+Harris+University+Recruiter+Accenture</t>
  </si>
  <si>
    <t>Chris Selbitschka</t>
  </si>
  <si>
    <t>Recruiter</t>
  </si>
  <si>
    <t>11 years  in role and company</t>
  </si>
  <si>
    <t>Long Beach</t>
  </si>
  <si>
    <t>https://www.google.com/search?newwindow=1&amp;ei=2MT0XrvGGM-vytMP1OyDgAY&amp;q=site%3Alinkedin.com+Chris+Selbitschka+Recruiter+Accenture</t>
  </si>
  <si>
    <t>Madeline McCooe</t>
  </si>
  <si>
    <t>Campus Recruiter and Location Lead (Southern California)</t>
  </si>
  <si>
    <t>1 year 10 months in role</t>
  </si>
  <si>
    <t>Los Angeles</t>
  </si>
  <si>
    <t>https://www.google.com/search?newwindow=1&amp;ei=2MT0XrvGGM-vytMP1OyDgAY&amp;q=site%3Alinkedin.com+Madeline+McCooe+Campus+Recruiter+and+Location+Lead+(Southern+California)+Accenture</t>
  </si>
  <si>
    <t>Nancy Pham</t>
  </si>
  <si>
    <t>2 years 10 months in role and company</t>
  </si>
  <si>
    <t>https://www.google.com/search?newwindow=1&amp;ei=2MT0XrvGGM-vytMP1OyDgAY&amp;q=site%3Alinkedin.com+Nancy+Pham+Campus+Recruiter+Accenture</t>
  </si>
  <si>
    <t>Ashley. Vonderahe</t>
  </si>
  <si>
    <t>Mableton</t>
  </si>
  <si>
    <t>https://www.google.com/search?newwindow=1&amp;ei=2MT0XrvGGM-vytMP1OyDgAY&amp;q=site%3Alinkedin.com+Ashley.+Vonderahe+Campus+Recruiter+Accenture</t>
  </si>
  <si>
    <t>Alexandrea Bittle</t>
  </si>
  <si>
    <t>3 years 8 months in role and company</t>
  </si>
  <si>
    <t>Nashville</t>
  </si>
  <si>
    <t>Tennessee</t>
  </si>
  <si>
    <t>https://www.google.com/search?newwindow=1&amp;ei=2MT0XrvGGM-vytMP1OyDgAY&amp;q=site%3Alinkedin.com+Alexandrea+Bittle+Campus+Recruiter+Accenture</t>
  </si>
  <si>
    <t>Christina Coy</t>
  </si>
  <si>
    <t>1 year  in role and company</t>
  </si>
  <si>
    <t>New York</t>
  </si>
  <si>
    <t>https://www.google.com/search?newwindow=1&amp;ei=2MT0XrvGGM-vytMP1OyDgAY&amp;q=site%3Alinkedin.com+Christina+Coy+Campus+Recruiter+Accenture</t>
  </si>
  <si>
    <t>Rachel McGrath</t>
  </si>
  <si>
    <t>Sr. Campus Recruiter- Strategy</t>
  </si>
  <si>
    <t>https://www.google.com/search?newwindow=1&amp;ei=2MT0XrvGGM-vytMP1OyDgAY&amp;q=site%3Alinkedin.com+Rachel+McGrath+Sr.+Campus+Recruiter-+Strategy+Accenture</t>
  </si>
  <si>
    <t>Courtney Schroeder</t>
  </si>
  <si>
    <t>Associate Recruiter - Campus Recruiting</t>
  </si>
  <si>
    <t>1 year 2 months in role and company</t>
  </si>
  <si>
    <t>https://www.google.com/search?newwindow=1&amp;ei=2MT0XrvGGM-vytMP1OyDgAY&amp;q=site%3Alinkedin.com+Courtney+Schroeder+Associate+Recruiter+-+Campus+Recruiting+Accenture</t>
  </si>
  <si>
    <t>Elsa Wilcox</t>
  </si>
  <si>
    <t>https://www.google.com/search?newwindow=1&amp;ei=2MT0XrvGGM-vytMP1OyDgAY&amp;q=site%3Alinkedin.com+Elsa+Wilcox+Campus+Recruiter+Accenture</t>
  </si>
  <si>
    <t>Suzie Cochran</t>
  </si>
  <si>
    <t>4 months in role</t>
  </si>
  <si>
    <t>Oakland</t>
  </si>
  <si>
    <t>https://www.google.com/search?newwindow=1&amp;ei=2MT0XrvGGM-vytMP1OyDgAY&amp;q=site%3Alinkedin.com+Suzie+Cochran+Campus+Recruiter+Accenture</t>
  </si>
  <si>
    <t>Jessica Steciw</t>
  </si>
  <si>
    <t>Philadelphia</t>
  </si>
  <si>
    <t>Pennsylvania</t>
  </si>
  <si>
    <t>https://www.google.com/search?newwindow=1&amp;ei=2MT0XrvGGM-vytMP1OyDgAY&amp;q=site%3Alinkedin.com+Jessica+Steciw+Campus+Recruiter+Accenture</t>
  </si>
  <si>
    <t>Porsha Alexander</t>
  </si>
  <si>
    <t>Strategy Campus Recruiting Associate Manager</t>
  </si>
  <si>
    <t>https://www.google.com/search?newwindow=1&amp;ei=2MT0XrvGGM-vytMP1OyDgAY&amp;q=site%3Alinkedin.com+Porsha+Alexander+Strategy+Campus+Recruiting+Associate+Manager+Accenture</t>
  </si>
  <si>
    <t>Taylor Spikes</t>
  </si>
  <si>
    <t>Strategy Campus Recruiter</t>
  </si>
  <si>
    <t>https://www.google.com/search?newwindow=1&amp;ei=2MT0XrvGGM-vytMP1OyDgAY&amp;q=site%3Alinkedin.com+Taylor+Spikes+Strategy+Campus+Recruiter+Accenture</t>
  </si>
  <si>
    <t>Keyanea Marrow</t>
  </si>
  <si>
    <t>https://www.google.com/search?newwindow=1&amp;ei=2MT0XrvGGM-vytMP1OyDgAY&amp;q=site%3Alinkedin.com+Keyanea+Marrow+Campus+Recruiter+Accenture</t>
  </si>
  <si>
    <t>Catherine Halcewicz Pleskaczewski</t>
  </si>
  <si>
    <t>10 months in role and company</t>
  </si>
  <si>
    <t>San Francisco</t>
  </si>
  <si>
    <t>https://www.google.com/search?newwindow=1&amp;ei=2MT0XrvGGM-vytMP1OyDgAY&amp;q=site%3Alinkedin.com+Catherine+Halcewicz+Pleskaczewski+Campus+Recruiter+Accenture</t>
  </si>
  <si>
    <t>Alejandra Mora</t>
  </si>
  <si>
    <t>San Jose</t>
  </si>
  <si>
    <t>https://www.google.com/search?newwindow=1&amp;ei=2MT0XrvGGM-vytMP1OyDgAY&amp;q=site%3Alinkedin.com+Alejandra+Mora+Campus+Recruiter+Accenture</t>
  </si>
  <si>
    <t>Rory Merrill</t>
  </si>
  <si>
    <t>District of Columbia</t>
  </si>
  <si>
    <t>https://www.google.com/search?newwindow=1&amp;ei=2MT0XrvGGM-vytMP1OyDgAY&amp;q=site%3Alinkedin.com+Rory+Merrill+Campus+Recruiter+Accenture</t>
  </si>
  <si>
    <t>Caroline Shook</t>
  </si>
  <si>
    <t>3 years 4 months in role</t>
  </si>
  <si>
    <t>https://www.google.com/search?newwindow=1&amp;ei=2MT0XrvGGM-vytMP1OyDgAY&amp;q=site%3Alinkedin.com+Caroline+Shook+Campus+Recruiter+Accenture</t>
  </si>
  <si>
    <t>Mark Acquaye</t>
  </si>
  <si>
    <t>Diversity Campus Recruiter</t>
  </si>
  <si>
    <t>3 years 6 months in role and company</t>
  </si>
  <si>
    <t>https://www.google.com/search?newwindow=1&amp;ei=2MT0XrvGGM-vytMP1OyDgAY&amp;q=site%3Alinkedin.com+Mark+Acquaye+Diversity+Campus+Recruiter+Accenture</t>
  </si>
  <si>
    <t>Samantha Meason</t>
  </si>
  <si>
    <t>2 years 3 months in role and company</t>
  </si>
  <si>
    <t>Arlington</t>
  </si>
  <si>
    <t>Virginia</t>
  </si>
  <si>
    <t>https://www.google.com/search?newwindow=1&amp;ei=2MT0XrvGGM-vytMP1OyDgAY&amp;q=site%3Alinkedin.com+Samantha+Meason+Campus+Recruiter+Accenture+Federal+Services</t>
  </si>
  <si>
    <t>Rachel Neuschaefer</t>
  </si>
  <si>
    <t>Recruiting Manager/Lead, Campus and Entry Level Recruitment</t>
  </si>
  <si>
    <t>1 year 1 month in role and company</t>
  </si>
  <si>
    <t>Ashburn</t>
  </si>
  <si>
    <t>https://www.google.com/search?newwindow=1&amp;ei=2MT0XrvGGM-vytMP1OyDgAY&amp;q=site%3Alinkedin.com+Rachel+Neuschaefer+Recruiting+Manager/Lead,+Campus+and+Entry+Level+Recruitment+Accenture+Federal+Services</t>
  </si>
  <si>
    <t>Lexi Lubin</t>
  </si>
  <si>
    <t>1 year 3 months in role</t>
  </si>
  <si>
    <t>https://www.google.com/search?newwindow=1&amp;ei=2MT0XrvGGM-vytMP1OyDgAY&amp;q=site%3Alinkedin.com+Lexi+Lubin+Campus+Recruiter+Accenture+Federal+Services</t>
  </si>
  <si>
    <t>Brandon Moore</t>
  </si>
  <si>
    <t>https://www.google.com/search?newwindow=1&amp;ei=2MT0XrvGGM-vytMP1OyDgAY&amp;q=site%3Alinkedin.com+Brandon+Moore+Senior+Campus+Recruiter+Accenture+Strategy</t>
  </si>
  <si>
    <t>Erin Breslin-Garcia</t>
  </si>
  <si>
    <t>Sr. Recruiter, Campus Recruiting</t>
  </si>
  <si>
    <t>Activision</t>
  </si>
  <si>
    <t>https://www.google.com/search?newwindow=1&amp;ei=2MT0XrvGGM-vytMP1OyDgAY&amp;q=site%3Alinkedin.com+Erin+Breslin-Garcia+Sr.+Recruiter,+Campus+Recruiting+Activision</t>
  </si>
  <si>
    <t>JoAnne Jean-Noel</t>
  </si>
  <si>
    <t>Allstate</t>
  </si>
  <si>
    <t>Boynton Beach</t>
  </si>
  <si>
    <t>Florida</t>
  </si>
  <si>
    <t>https://www.google.com/search?newwindow=1&amp;ei=2MT0XrvGGM-vytMP1OyDgAY&amp;q=site%3Alinkedin.com+JoAnne+Jean-Noel+Campus+Recruiter+Allstate</t>
  </si>
  <si>
    <t>David Tarkenton, MBA</t>
  </si>
  <si>
    <t>Technology Campus Recruiter</t>
  </si>
  <si>
    <t>2 years 1 month in role and company</t>
  </si>
  <si>
    <t>https://www.google.com/search?newwindow=1&amp;ei=2MT0XrvGGM-vytMP1OyDgAY&amp;q=site%3Alinkedin.com+David+Tarkenton,+MBA+Technology+Campus+Recruiter+Allstate</t>
  </si>
  <si>
    <t>Kayla King, MPA</t>
  </si>
  <si>
    <t>https://www.google.com/search?newwindow=1&amp;ei=2MT0XrvGGM-vytMP1OyDgAY&amp;q=site%3Alinkedin.com+Kayla+King,+MPA+Campus+Recruiter+Allstate</t>
  </si>
  <si>
    <t>Jillian Farrell</t>
  </si>
  <si>
    <t>Campus Recruiting Lead</t>
  </si>
  <si>
    <t>2 years 9 months in role and company</t>
  </si>
  <si>
    <t>Dayton</t>
  </si>
  <si>
    <t>https://www.google.com/search?newwindow=1&amp;ei=2MT0XrvGGM-vytMP1OyDgAY&amp;q=site%3Alinkedin.com+Jillian+Farrell+Campus+Recruiting+Lead+Allstate</t>
  </si>
  <si>
    <t>Madison Bruchsaler</t>
  </si>
  <si>
    <t>1 year 6 months in role</t>
  </si>
  <si>
    <t>Milwaukee</t>
  </si>
  <si>
    <t>Wisconsin</t>
  </si>
  <si>
    <t>https://www.google.com/search?newwindow=1&amp;ei=2MT0XrvGGM-vytMP1OyDgAY&amp;q=site%3Alinkedin.com+Madison+Bruchsaler+Campus+Recruiter+Allstate</t>
  </si>
  <si>
    <t>Candace Gerads</t>
  </si>
  <si>
    <t>8 months in role and company</t>
  </si>
  <si>
    <t>Phoenix</t>
  </si>
  <si>
    <t>Arizona</t>
  </si>
  <si>
    <t>https://www.google.com/search?newwindow=1&amp;ei=2MT0XrvGGM-vytMP1OyDgAY&amp;q=site%3Alinkedin.com+Candace+Gerads+Campus+Recruiter+Allstate</t>
  </si>
  <si>
    <t>Nina Pantich</t>
  </si>
  <si>
    <t>Amazon</t>
  </si>
  <si>
    <t>3 months in role</t>
  </si>
  <si>
    <t>Aurora</t>
  </si>
  <si>
    <t>https://www.google.com/search?newwindow=1&amp;ei=2MT0XrvGGM-vytMP1OyDgAY&amp;q=site%3Alinkedin.com+Nina+Pantich+University+Recruiter+Amazon</t>
  </si>
  <si>
    <t>Anna McQuaid</t>
  </si>
  <si>
    <t>Recruiter - University Ops</t>
  </si>
  <si>
    <t>3 months in role and company</t>
  </si>
  <si>
    <t>https://www.google.com/search?newwindow=1&amp;ei=2MT0XrvGGM-vytMP1OyDgAY&amp;q=site%3Alinkedin.com+Anna+McQuaid+Recruiter+-+University+Ops+Amazon</t>
  </si>
  <si>
    <t>Olivia Hopkins</t>
  </si>
  <si>
    <t>University Recruiter - Corporate Operations</t>
  </si>
  <si>
    <t>2 months in role and company</t>
  </si>
  <si>
    <t>https://www.google.com/search?newwindow=1&amp;ei=2MT0XrvGGM-vytMP1OyDgAY&amp;q=site%3Alinkedin.com+Olivia+Hopkins+University+Recruiter+-+Corporate+Operations+Amazon</t>
  </si>
  <si>
    <t>Jen Bednar</t>
  </si>
  <si>
    <t>Sr. Recruiter, Student (University) Programs - MBA</t>
  </si>
  <si>
    <t>3 years 9 months in role and company</t>
  </si>
  <si>
    <t>https://www.google.com/search?newwindow=1&amp;ei=2MT0XrvGGM-vytMP1OyDgAY&amp;q=site%3Alinkedin.com+Jen+Bednar+Sr.+Recruiter,+Student+(University)+Programs+-+MBA+Amazon</t>
  </si>
  <si>
    <t>Vannessa Trahan</t>
  </si>
  <si>
    <t>Client Lead University Recruiter</t>
  </si>
  <si>
    <t>https://www.google.com/search?newwindow=1&amp;ei=2MT0XrvGGM-vytMP1OyDgAY&amp;q=site%3Alinkedin.com+Vannessa+Trahan+Client+Lead+University+Recruiter+Amazon</t>
  </si>
  <si>
    <t>Jennifer Sula</t>
  </si>
  <si>
    <t>https://www.google.com/search?newwindow=1&amp;ei=2MT0XrvGGM-vytMP1OyDgAY&amp;q=site%3Alinkedin.com+Jennifer+Sula+University+Recruiter+Amazon</t>
  </si>
  <si>
    <t>Kristen Stygar</t>
  </si>
  <si>
    <t>Escondido</t>
  </si>
  <si>
    <t>https://www.google.com/search?newwindow=1&amp;ei=2MT0XrvGGM-vytMP1OyDgAY&amp;q=site%3Alinkedin.com+Kristen+Stygar+University+Recruiter+Amazon</t>
  </si>
  <si>
    <t>Angelica Loya</t>
  </si>
  <si>
    <t>University Recruiter - Amazon</t>
  </si>
  <si>
    <t>Glendale</t>
  </si>
  <si>
    <t>https://www.google.com/search?newwindow=1&amp;ei=2MT0XrvGGM-vytMP1OyDgAY&amp;q=site%3Alinkedin.com+Angelica+Loya+University+Recruiter+-+Amazon+Amazon</t>
  </si>
  <si>
    <t>Dillon Draper</t>
  </si>
  <si>
    <t>University Operations Recruiter</t>
  </si>
  <si>
    <t>2 months in role</t>
  </si>
  <si>
    <t>Henderson</t>
  </si>
  <si>
    <t>Nevada</t>
  </si>
  <si>
    <t>https://www.google.com/search?newwindow=1&amp;ei=2MT0XrvGGM-vytMP1OyDgAY&amp;q=site%3Alinkedin.com+Dillon+Draper+University+Operations+Recruiter+Amazon</t>
  </si>
  <si>
    <t>Jessica Campbell</t>
  </si>
  <si>
    <t>University Recruiter-Ops TA</t>
  </si>
  <si>
    <t>Lake Ozark</t>
  </si>
  <si>
    <t>Missouri</t>
  </si>
  <si>
    <t>https://www.google.com/search?newwindow=1&amp;ei=2MT0XrvGGM-vytMP1OyDgAY&amp;q=site%3Alinkedin.com+Jessica+Campbell+University+Recruiter-Ops+TA+Amazon</t>
  </si>
  <si>
    <t>Wade Irwin, CTL</t>
  </si>
  <si>
    <t>Ops University Recruiter</t>
  </si>
  <si>
    <t>1 year 4 months in role</t>
  </si>
  <si>
    <t>Lebanon</t>
  </si>
  <si>
    <t>https://www.google.com/search?newwindow=1&amp;ei=2MT0XrvGGM-vytMP1OyDgAY&amp;q=site%3Alinkedin.com+Wade+Irwin,+CTL+Ops+University+Recruiter+Amazon</t>
  </si>
  <si>
    <t>Kinnera Kokulla</t>
  </si>
  <si>
    <t>University Ops recruiter</t>
  </si>
  <si>
    <t>Marietta</t>
  </si>
  <si>
    <t>https://www.google.com/search?newwindow=1&amp;ei=2MT0XrvGGM-vytMP1OyDgAY&amp;q=site%3Alinkedin.com+Kinnera+Kokulla+University+Ops+recruiter+Amazon</t>
  </si>
  <si>
    <t>Symone Black</t>
  </si>
  <si>
    <t>University Recruiter II</t>
  </si>
  <si>
    <t>1 year 1 month in role</t>
  </si>
  <si>
    <t>https://www.google.com/search?newwindow=1&amp;ei=2MT0XrvGGM-vytMP1OyDgAY&amp;q=site%3Alinkedin.com+Symone+Black+University+Recruiter+II+Amazon</t>
  </si>
  <si>
    <t>Nimon Macid</t>
  </si>
  <si>
    <t>https://www.google.com/search?newwindow=1&amp;ei=2MT0XrvGGM-vytMP1OyDgAY&amp;q=site%3Alinkedin.com+Nimon+Macid+University+Recruiter+Amazon</t>
  </si>
  <si>
    <t>Henal Majethia</t>
  </si>
  <si>
    <t>Operations University Recruiter</t>
  </si>
  <si>
    <t>1 year 7 months in role</t>
  </si>
  <si>
    <t>https://www.google.com/search?newwindow=1&amp;ei=2MT0XrvGGM-vytMP1OyDgAY&amp;q=site%3Alinkedin.com+Henal+Majethia+Operations+University+Recruiter+Amazon</t>
  </si>
  <si>
    <t>Luann A.</t>
  </si>
  <si>
    <t>University Recruiter- HR Operations</t>
  </si>
  <si>
    <t>New Hartford</t>
  </si>
  <si>
    <t>https://www.google.com/search?newwindow=1&amp;ei=2MT0XrvGGM-vytMP1OyDgAY&amp;q=site%3Alinkedin.com+Luann+A.+University+Recruiter-+HR+Operations+Amazon</t>
  </si>
  <si>
    <t>Teresa Landry</t>
  </si>
  <si>
    <t>University Recruiter (Contract)</t>
  </si>
  <si>
    <t>Pacifica</t>
  </si>
  <si>
    <t>https://www.google.com/search?newwindow=1&amp;ei=2MT0XrvGGM-vytMP1OyDgAY&amp;q=site%3Alinkedin.com+Teresa+Landry+University+Recruiter+(Contract)+Amazon</t>
  </si>
  <si>
    <t>Lucas Burton</t>
  </si>
  <si>
    <t>Recruiter - University Operations</t>
  </si>
  <si>
    <t>Pittsburgh</t>
  </si>
  <si>
    <t>https://www.google.com/search?newwindow=1&amp;ei=2MT0XrvGGM-vytMP1OyDgAY&amp;q=site%3Alinkedin.com+Lucas+Burton+Recruiter+-+University+Operations+Amazon</t>
  </si>
  <si>
    <t>Macarena Arceo</t>
  </si>
  <si>
    <t>University Recruiter - Ops</t>
  </si>
  <si>
    <t>San Diego County</t>
  </si>
  <si>
    <t>https://www.google.com/search?newwindow=1&amp;ei=2MT0XrvGGM-vytMP1OyDgAY&amp;q=site%3Alinkedin.com+Macarena+Arceo+University+Recruiter+-+Ops+Amazon</t>
  </si>
  <si>
    <t>Debora P.</t>
  </si>
  <si>
    <t>University Recruiter- Worldwide Operations Team</t>
  </si>
  <si>
    <t>https://www.google.com/search?newwindow=1&amp;ei=2MT0XrvGGM-vytMP1OyDgAY&amp;q=site%3Alinkedin.com+Debora+P.+University+Recruiter-+Worldwide+Operations+Team+Amazon</t>
  </si>
  <si>
    <t>Jessie Flores</t>
  </si>
  <si>
    <t>University Recruiter/Sourcer l and ll</t>
  </si>
  <si>
    <t>https://www.google.com/search?newwindow=1&amp;ei=2MT0XrvGGM-vytMP1OyDgAY&amp;q=site%3Alinkedin.com+Jessie+Flores+University+Recruiter/Sourcer+l+and+ll+Amazon</t>
  </si>
  <si>
    <t>Renee M.</t>
  </si>
  <si>
    <t>Senior University Recruiter, MBA Recruiting</t>
  </si>
  <si>
    <t>https://www.google.com/search?newwindow=1&amp;ei=2MT0XrvGGM-vytMP1OyDgAY&amp;q=site%3Alinkedin.com+Renee+M.+Senior+University+Recruiter,+MBA+Recruiting+Amazon</t>
  </si>
  <si>
    <t>Jewel Rose</t>
  </si>
  <si>
    <t>Seattle</t>
  </si>
  <si>
    <t>https://www.google.com/search?newwindow=1&amp;ei=2MT0XrvGGM-vytMP1OyDgAY&amp;q=site%3Alinkedin.com+Jewel+Rose+University+Recruiter+Amazon</t>
  </si>
  <si>
    <t>Zack Summers</t>
  </si>
  <si>
    <t>1 month in role</t>
  </si>
  <si>
    <t>https://www.google.com/search?newwindow=1&amp;ei=2MT0XrvGGM-vytMP1OyDgAY&amp;q=site%3Alinkedin.com+Zack+Summers+University+Recruiter+Amazon</t>
  </si>
  <si>
    <t>J.J. Wilford</t>
  </si>
  <si>
    <t>https://www.google.com/search?newwindow=1&amp;ei=2MT0XrvGGM-vytMP1OyDgAY&amp;q=site%3Alinkedin.com+J.J.+Wilford+University+Operations+Recruiter+Amazon</t>
  </si>
  <si>
    <t>David Magnotta</t>
  </si>
  <si>
    <t>Lead University Recruiter (Recruiter II)</t>
  </si>
  <si>
    <t>https://www.google.com/search?newwindow=1&amp;ei=2MT0XrvGGM-vytMP1OyDgAY&amp;q=site%3Alinkedin.com+David+Magnotta+Lead+University+Recruiter+(Recruiter+II)+Amazon</t>
  </si>
  <si>
    <t>Stephanie Kang</t>
  </si>
  <si>
    <t>1 month in role and company</t>
  </si>
  <si>
    <t>https://www.google.com/search?newwindow=1&amp;ei=2MT0XrvGGM-vytMP1OyDgAY&amp;q=site%3Alinkedin.com+Stephanie+Kang+University+Recruiter+Amazon</t>
  </si>
  <si>
    <t>Laynee Brown</t>
  </si>
  <si>
    <t>Client Lead Recruiter, University Operations</t>
  </si>
  <si>
    <t>https://www.google.com/search?newwindow=1&amp;ei=2MT0XrvGGM-vytMP1OyDgAY&amp;q=site%3Alinkedin.com+Laynee+Brown+Client+Lead+Recruiter,+University+Operations+Amazon</t>
  </si>
  <si>
    <t>Andreea Patruta</t>
  </si>
  <si>
    <t>University Tech Recruiter</t>
  </si>
  <si>
    <t>https://www.google.com/search?newwindow=1&amp;ei=2MT0XrvGGM-vytMP1OyDgAY&amp;q=site%3Alinkedin.com+Andreea+Patruta+University+Tech+Recruiter+Amazon</t>
  </si>
  <si>
    <t>Jessica Shellan</t>
  </si>
  <si>
    <t>3 years 10 months in role and company</t>
  </si>
  <si>
    <t>https://www.google.com/search?newwindow=1&amp;ei=2MT0XrvGGM-vytMP1OyDgAY&amp;q=site%3Alinkedin.com+Jessica+Shellan+University+Recruiter+Amazon</t>
  </si>
  <si>
    <t>Joshua Ng</t>
  </si>
  <si>
    <t>https://www.google.com/search?newwindow=1&amp;ei=2MT0XrvGGM-vytMP1OyDgAY&amp;q=site%3Alinkedin.com+Joshua+Ng+University+Operations+Recruiter+Amazon</t>
  </si>
  <si>
    <t>Sharon Kim</t>
  </si>
  <si>
    <t>https://www.google.com/search?newwindow=1&amp;ei=2MT0XrvGGM-vytMP1OyDgAY&amp;q=site%3Alinkedin.com+Sharon+Kim+University+Recruiter+Amazon</t>
  </si>
  <si>
    <t>Jennifer Lindquist</t>
  </si>
  <si>
    <t>University Recruiter - Operations</t>
  </si>
  <si>
    <t>11 months in role and company</t>
  </si>
  <si>
    <t>https://www.google.com/search?newwindow=1&amp;ei=2MT0XrvGGM-vytMP1OyDgAY&amp;q=site%3Alinkedin.com+Jennifer+Lindquist+University+Recruiter+-+Operations+Amazon</t>
  </si>
  <si>
    <t>Shreya Shah</t>
  </si>
  <si>
    <t>University Operations Recruiter (Non-Tech)</t>
  </si>
  <si>
    <t>https://www.google.com/search?newwindow=1&amp;ei=2MT0XrvGGM-vytMP1OyDgAY&amp;q=site%3Alinkedin.com+Shreya+Shah+University+Operations+Recruiter+(Non-Tech)+Amazon</t>
  </si>
  <si>
    <t>Cristina LeCuyer</t>
  </si>
  <si>
    <t>2 years 3 months in role</t>
  </si>
  <si>
    <t>https://www.google.com/search?newwindow=1&amp;ei=2MT0XrvGGM-vytMP1OyDgAY&amp;q=site%3Alinkedin.com+Cristina+LeCuyer+Client+Lead+Recruiter,+University+Operations+Amazon</t>
  </si>
  <si>
    <t>Taylor Rowland</t>
  </si>
  <si>
    <t>University Recruiter, Amazon Operations</t>
  </si>
  <si>
    <t>https://www.google.com/search?newwindow=1&amp;ei=2MT0XrvGGM-vytMP1OyDgAY&amp;q=site%3Alinkedin.com+Taylor+Rowland+University+Recruiter,+Amazon+Operations+Amazon</t>
  </si>
  <si>
    <t>Shavonne Mehaffey</t>
  </si>
  <si>
    <t>4 months in role and company</t>
  </si>
  <si>
    <t>https://www.google.com/search?newwindow=1&amp;ei=2MT0XrvGGM-vytMP1OyDgAY&amp;q=site%3Alinkedin.com+Shavonne+Mehaffey+University+Recruiter+Amazon</t>
  </si>
  <si>
    <t>Talitha S.</t>
  </si>
  <si>
    <t>3 years  in role and company</t>
  </si>
  <si>
    <t>https://www.google.com/search?newwindow=1&amp;ei=2MT0XrvGGM-vytMP1OyDgAY&amp;q=site%3Alinkedin.com+Talitha+S.+University+Recruiter,+Amazon+Operations+Amazon</t>
  </si>
  <si>
    <t>ShanShan Tan</t>
  </si>
  <si>
    <t>https://www.google.com/search?newwindow=1&amp;ei=2MT0XrvGGM-vytMP1OyDgAY&amp;q=site%3Alinkedin.com+ShanShan+Tan+University+Recruiter+Amazon</t>
  </si>
  <si>
    <t>Jessica Bates</t>
  </si>
  <si>
    <t>https://www.google.com/search?newwindow=1&amp;ei=2MT0XrvGGM-vytMP1OyDgAY&amp;q=site%3Alinkedin.com+Jessica+Bates+University+Recruiter+Amazon</t>
  </si>
  <si>
    <t>Tony Liu</t>
  </si>
  <si>
    <t>Tech Campus Recruiter</t>
  </si>
  <si>
    <t>https://www.google.com/search?newwindow=1&amp;ei=2MT0XrvGGM-vytMP1OyDgAY&amp;q=site%3Alinkedin.com+Tony+Liu+Tech+Campus+Recruiter+Amazon</t>
  </si>
  <si>
    <t>Carly Porter</t>
  </si>
  <si>
    <t>Student Programs, Campus Recruiter</t>
  </si>
  <si>
    <t>2 years  in role</t>
  </si>
  <si>
    <t>https://www.google.com/search?newwindow=1&amp;ei=2MT0XrvGGM-vytMP1OyDgAY&amp;q=site%3Alinkedin.com+Carly+Porter+Student+Programs,+Campus+Recruiter+Amazon</t>
  </si>
  <si>
    <t>Jessica Mantel</t>
  </si>
  <si>
    <t>Walled Lake</t>
  </si>
  <si>
    <t>https://www.google.com/search?newwindow=1&amp;ei=2MT0XrvGGM-vytMP1OyDgAY&amp;q=site%3Alinkedin.com+Jessica+Mantel+University+Recruiter+Amazon</t>
  </si>
  <si>
    <t>Gabby Ellis</t>
  </si>
  <si>
    <t>Campus Recruiting Manager</t>
  </si>
  <si>
    <t>Greeley</t>
  </si>
  <si>
    <t>https://www.google.com/search?newwindow=1&amp;ei=2MT0XrvGGM-vytMP1OyDgAY&amp;q=site%3Alinkedin.com+Gabby+Ellis+Campus+Recruiting+Manager+Amazon+Prime+Student</t>
  </si>
  <si>
    <t>Carrie Perretta-Murphy</t>
  </si>
  <si>
    <t>Sr. Technical Recruiter and Campus Lead</t>
  </si>
  <si>
    <t>4 years 3 months in role and company</t>
  </si>
  <si>
    <t>Boston</t>
  </si>
  <si>
    <t>Massachusetts</t>
  </si>
  <si>
    <t>https://www.google.com/search?newwindow=1&amp;ei=2MT0XrvGGM-vytMP1OyDgAY&amp;q=site%3Alinkedin.com+Carrie+Perretta-Murphy+Sr.+Technical+Recruiter+and+Campus+Lead+Amazon+Robotics</t>
  </si>
  <si>
    <t>Betty Quach</t>
  </si>
  <si>
    <t>Program Manager</t>
  </si>
  <si>
    <t>Kent</t>
  </si>
  <si>
    <t>https://www.google.com/search?newwindow=1&amp;ei=2MT0XrvGGM-vytMP1OyDgAY&amp;q=site%3Alinkedin.com+Betty+Quach+Program+Manager+Amazon+Web+Services</t>
  </si>
  <si>
    <t>Anne-Marie Corrales</t>
  </si>
  <si>
    <t>US Campus Recruiter</t>
  </si>
  <si>
    <t>American Express</t>
  </si>
  <si>
    <t>6 months in role</t>
  </si>
  <si>
    <t>Miami</t>
  </si>
  <si>
    <t>https://www.google.com/search?newwindow=1&amp;ei=2MT0XrvGGM-vytMP1OyDgAY&amp;q=site%3Alinkedin.com+Anne-Marie+Corrales+US+Campus+Recruiter+American+Express</t>
  </si>
  <si>
    <t>Matthew Bommarito</t>
  </si>
  <si>
    <t>https://www.google.com/search?newwindow=1&amp;ei=2MT0XrvGGM-vytMP1OyDgAY&amp;q=site%3Alinkedin.com+Matthew+Bommarito+Campus+Recruiting+Manager+American+Express</t>
  </si>
  <si>
    <t>Mary Curtis</t>
  </si>
  <si>
    <t>U.S. Campus Recruiter</t>
  </si>
  <si>
    <t>https://www.google.com/search?newwindow=1&amp;ei=2MT0XrvGGM-vytMP1OyDgAY&amp;q=site%3Alinkedin.com+Mary+Curtis+U.S.+Campus+Recruiter+American+Express</t>
  </si>
  <si>
    <t>Caroline Croy</t>
  </si>
  <si>
    <t>https://www.google.com/search?newwindow=1&amp;ei=2MT0XrvGGM-vytMP1OyDgAY&amp;q=site%3Alinkedin.com+Caroline+Croy+Campus+Recruiter+American+Express</t>
  </si>
  <si>
    <t>Kameelah White, MBA</t>
  </si>
  <si>
    <t>Senior Campus Recruiter- Tech</t>
  </si>
  <si>
    <t>7 months in role and company</t>
  </si>
  <si>
    <t>https://www.google.com/search?newwindow=1&amp;ei=2MT0XrvGGM-vytMP1OyDgAY&amp;q=site%3Alinkedin.com+Kameelah+White,+MBA+Senior+Campus+Recruiter-+Tech+American+Express</t>
  </si>
  <si>
    <t>Naomi Hillsman</t>
  </si>
  <si>
    <t>https://www.google.com/search?newwindow=1&amp;ei=2MT0XrvGGM-vytMP1OyDgAY&amp;q=site%3Alinkedin.com+Naomi+Hillsman+Campus+Recruiter+American+Express</t>
  </si>
  <si>
    <t>Gina Willett</t>
  </si>
  <si>
    <t>University Relations Recruiter</t>
  </si>
  <si>
    <t>Apple</t>
  </si>
  <si>
    <t>https://www.google.com/search?newwindow=1&amp;ei=2MT0XrvGGM-vytMP1OyDgAY&amp;q=site%3Alinkedin.com+Gina+Willett+University+Relations+Recruiter+Apple</t>
  </si>
  <si>
    <t>Tabitha James</t>
  </si>
  <si>
    <t>AppleCare College Career Experience Recruiter</t>
  </si>
  <si>
    <t>3 years 6 months in role</t>
  </si>
  <si>
    <t>Corona</t>
  </si>
  <si>
    <t>https://www.google.com/search?newwindow=1&amp;ei=2MT0XrvGGM-vytMP1OyDgAY&amp;q=site%3Alinkedin.com+Tabitha+James+AppleCare+College+Career+Experience+Recruiter+Apple</t>
  </si>
  <si>
    <t>Courtney Yeager</t>
  </si>
  <si>
    <t>Recruiter, University Relations</t>
  </si>
  <si>
    <t>Cupertino</t>
  </si>
  <si>
    <t>https://www.google.com/search?newwindow=1&amp;ei=2MT0XrvGGM-vytMP1OyDgAY&amp;q=site%3Alinkedin.com+Courtney+Yeager+Recruiter,+University+Relations+Apple</t>
  </si>
  <si>
    <t>Heather French</t>
  </si>
  <si>
    <t>Senior University Recruiter - MBA Recruiting Lead</t>
  </si>
  <si>
    <t>5 years 4 months in role and company</t>
  </si>
  <si>
    <t>https://www.google.com/search?newwindow=1&amp;ei=2MT0XrvGGM-vytMP1OyDgAY&amp;q=site%3Alinkedin.com+Heather+French+Senior+University+Recruiter+-+MBA+Recruiting+Lead+Apple</t>
  </si>
  <si>
    <t>Dianna Chourarath</t>
  </si>
  <si>
    <t>2 years  in role and company</t>
  </si>
  <si>
    <t>https://www.google.com/search?newwindow=1&amp;ei=2MT0XrvGGM-vytMP1OyDgAY&amp;q=site%3Alinkedin.com+Dianna+Chourarath+University+Relations+Recruiter+Apple</t>
  </si>
  <si>
    <t>Greg Emory</t>
  </si>
  <si>
    <t>Tier 2 At Home Technical Advisor and Mentor.  LSU on campus recruiter</t>
  </si>
  <si>
    <t>8 years 6 months in role and company</t>
  </si>
  <si>
    <t>Denham Springs</t>
  </si>
  <si>
    <t>Louisiana</t>
  </si>
  <si>
    <t>https://www.google.com/search?newwindow=1&amp;ei=2MT0XrvGGM-vytMP1OyDgAY&amp;q=site%3Alinkedin.com+Greg+Emory+Tier+2+At+Home+Technical+Advisor+and+Mentor.++LSU+on+campus+recruiter+Apple</t>
  </si>
  <si>
    <t>Antonio Salinas</t>
  </si>
  <si>
    <t>4 years 10 months in role and company</t>
  </si>
  <si>
    <t>https://www.google.com/search?newwindow=1&amp;ei=2MT0XrvGGM-vytMP1OyDgAY&amp;q=site%3Alinkedin.com+Antonio+Salinas+University+Relations+Recruiter+Apple</t>
  </si>
  <si>
    <t>Darren Nakata</t>
  </si>
  <si>
    <t>Mountain View</t>
  </si>
  <si>
    <t>https://www.google.com/search?newwindow=1&amp;ei=2MT0XrvGGM-vytMP1OyDgAY&amp;q=site%3Alinkedin.com+Darren+Nakata+Recruiter,+University+Relations+Apple</t>
  </si>
  <si>
    <t>Ina Williams - ACIR</t>
  </si>
  <si>
    <t>Tech Recruiter / Sourcer</t>
  </si>
  <si>
    <t>2 years 9 months in role</t>
  </si>
  <si>
    <t>https://www.google.com/search?newwindow=1&amp;ei=2MT0XrvGGM-vytMP1OyDgAY&amp;q=site%3Alinkedin.com+Ina+Williams+-+ACIR+Tech+Recruiter+/+Sourcer+Apple</t>
  </si>
  <si>
    <t>Kayleigh Bottini</t>
  </si>
  <si>
    <t>University Relations R&amp;D Recruiter</t>
  </si>
  <si>
    <t>9 months in role and company</t>
  </si>
  <si>
    <t>https://www.google.com/search?newwindow=1&amp;ei=2MT0XrvGGM-vytMP1OyDgAY&amp;q=site%3Alinkedin.com+Kayleigh+Bottini+University+Relations+R&amp;D+Recruiter+Apple</t>
  </si>
  <si>
    <t>Brooke Mannelly</t>
  </si>
  <si>
    <t>https://www.google.com/search?newwindow=1&amp;ei=2MT0XrvGGM-vytMP1OyDgAY&amp;q=site%3Alinkedin.com+Brooke+Mannelly+University+Relations+Recruiter+Apple</t>
  </si>
  <si>
    <t>Nadya Shapiro</t>
  </si>
  <si>
    <t>2 years 7 months in role and company</t>
  </si>
  <si>
    <t>https://www.google.com/search?newwindow=1&amp;ei=2MT0XrvGGM-vytMP1OyDgAY&amp;q=site%3Alinkedin.com+Nadya+Shapiro+University+Relations+Recruiter+Apple</t>
  </si>
  <si>
    <t>Joanna Mackow</t>
  </si>
  <si>
    <t>University Relations - R&amp;D Recruiter</t>
  </si>
  <si>
    <t>https://www.google.com/search?newwindow=1&amp;ei=2MT0XrvGGM-vytMP1OyDgAY&amp;q=site%3Alinkedin.com+Joanna+Mackow+University+Relations+-+R&amp;D+Recruiter+Apple</t>
  </si>
  <si>
    <t>Woanhwa (Winnie) Feng</t>
  </si>
  <si>
    <t>https://www.google.com/search?newwindow=1&amp;ei=2MT0XrvGGM-vytMP1OyDgAY&amp;q=site%3Alinkedin.com+Woanhwa+(Winnie)+Feng+University+Relations+Recruiter+Apple</t>
  </si>
  <si>
    <t>Michelle Glass</t>
  </si>
  <si>
    <t>Sr. Recruiter &amp; Global Program Manager, University Relations</t>
  </si>
  <si>
    <t>8 months in role</t>
  </si>
  <si>
    <t>https://www.google.com/search?newwindow=1&amp;ei=2MT0XrvGGM-vytMP1OyDgAY&amp;q=site%3Alinkedin.com+Michelle+Glass+Sr.+Recruiter+&amp;+Global+Program+Manager,+University+Relations+Apple</t>
  </si>
  <si>
    <t>Gretchen Farr</t>
  </si>
  <si>
    <t>Senior Technical Recruiter -  University Relations - Operations &amp; Software Engineering</t>
  </si>
  <si>
    <t>6 years 7 months in role and company</t>
  </si>
  <si>
    <t>https://www.google.com/search?newwindow=1&amp;ei=2MT0XrvGGM-vytMP1OyDgAY&amp;q=site%3Alinkedin.com+Gretchen+Farr+Senior+Technical+Recruiter+-++University+Relations+-+Operations+&amp;+Software+Engineering+Apple</t>
  </si>
  <si>
    <t>Cory Johnson</t>
  </si>
  <si>
    <t>University Relations- Software Recruiter- iTunes, Core OS, iOS/OS X, Software Engineering Programs</t>
  </si>
  <si>
    <t>6 years 9 months in role</t>
  </si>
  <si>
    <t>https://www.google.com/search?newwindow=1&amp;ei=2MT0XrvGGM-vytMP1OyDgAY&amp;q=site%3Alinkedin.com+Cory+Johnson+University+Relations-+Software+Recruiter-+iTunes,+Core+OS,+iOS/OS+X,+Software+Engineering+Programs+Apple</t>
  </si>
  <si>
    <t>Chanelle Yee</t>
  </si>
  <si>
    <t>https://www.google.com/search?newwindow=1&amp;ei=2MT0XrvGGM-vytMP1OyDgAY&amp;q=site%3Alinkedin.com+Chanelle+Yee+University+Relations+Recruiter+Apple</t>
  </si>
  <si>
    <t>Stephanie Parks</t>
  </si>
  <si>
    <t>Sunnyvale</t>
  </si>
  <si>
    <t>https://www.google.com/search?newwindow=1&amp;ei=2MT0XrvGGM-vytMP1OyDgAY&amp;q=site%3Alinkedin.com+Stephanie+Parks+University+Relations+Recruiter+Apple</t>
  </si>
  <si>
    <t>Mary Rose Moynihan</t>
  </si>
  <si>
    <t>University Relations Recruiter - R&amp;D</t>
  </si>
  <si>
    <t>4 years 3 months in role</t>
  </si>
  <si>
    <t>https://www.google.com/search?newwindow=1&amp;ei=2MT0XrvGGM-vytMP1OyDgAY&amp;q=site%3Alinkedin.com+Mary+Rose+Moynihan+University+Relations+Recruiter+-+R&amp;D+Apple</t>
  </si>
  <si>
    <t>Rich Heffernan</t>
  </si>
  <si>
    <t>Sr. College Recruiter</t>
  </si>
  <si>
    <t>AT&amp;T</t>
  </si>
  <si>
    <t>36 years 2 months in role and company</t>
  </si>
  <si>
    <t>https://www.google.com/search?newwindow=1&amp;ei=2MT0XrvGGM-vytMP1OyDgAY&amp;q=site%3Alinkedin.com+Rich+Heffernan+Sr.+College+Recruiter+AT+&amp;T</t>
  </si>
  <si>
    <t>Ashley Rich</t>
  </si>
  <si>
    <t>College Recruiter</t>
  </si>
  <si>
    <t>https://www.google.com/search?newwindow=1&amp;ei=2MT0XrvGGM-vytMP1OyDgAY&amp;q=site%3Alinkedin.com+Ashley+Rich+College+Recruiter+AT&amp;T</t>
  </si>
  <si>
    <t>Claudia Willis</t>
  </si>
  <si>
    <t>Lead College Recruiter</t>
  </si>
  <si>
    <t>7 years 10 months in role</t>
  </si>
  <si>
    <t>San Ramon</t>
  </si>
  <si>
    <t>https://www.google.com/search?newwindow=1&amp;ei=2MT0XrvGGM-vytMP1OyDgAY&amp;q=site%3Alinkedin.com+Claudia+Willis+Lead+College+Recruiter+AT&amp;T</t>
  </si>
  <si>
    <t>Keiyana Arnold</t>
  </si>
  <si>
    <t>6 years 3 months in role and company</t>
  </si>
  <si>
    <t>https://www.google.com/search?newwindow=1&amp;ei=2MT0XrvGGM-vytMP1OyDgAY&amp;q=site%3Alinkedin.com+Keiyana+Arnold+Lead+College+Recruiter+AT&amp;T</t>
  </si>
  <si>
    <t>Brian Poznanski</t>
  </si>
  <si>
    <t>Officer- Campus Recruiter</t>
  </si>
  <si>
    <t>Bank of America</t>
  </si>
  <si>
    <t>https://www.google.com/search?newwindow=1&amp;ei=2MT0XrvGGM-vytMP1OyDgAY&amp;q=site%3Alinkedin.com+Brian+Poznanski+Officer-+Campus+Recruiter+Bank+of+America</t>
  </si>
  <si>
    <t>Rachel Johnson</t>
  </si>
  <si>
    <t>Assistant Vice President; University Relations Recruiter</t>
  </si>
  <si>
    <t>9 months in role</t>
  </si>
  <si>
    <t>https://www.google.com/search?newwindow=1&amp;ei=2MT0XrvGGM-vytMP1OyDgAY&amp;q=site%3Alinkedin.com+Rachel+Johnson+Assistant+Vice+President;+University+Relations+Recruiter+Bank+of+America</t>
  </si>
  <si>
    <t>Abigail Roberson</t>
  </si>
  <si>
    <t>AVP, University Relations Campus Recruiter</t>
  </si>
  <si>
    <t>2 years 11 months in role and company</t>
  </si>
  <si>
    <t>https://www.google.com/search?newwindow=1&amp;ei=2MT0XrvGGM-vytMP1OyDgAY&amp;q=site%3Alinkedin.com+Abigail+Roberson+AVP,+University+Relations+Campus+Recruiter+Bank+of+America</t>
  </si>
  <si>
    <t>Alexander Watkins, MBA</t>
  </si>
  <si>
    <t>Campus Recruiter &amp; Program Manager (Global Technology &amp; Operations)</t>
  </si>
  <si>
    <t>https://www.google.com/search?newwindow=1&amp;ei=2MT0XrvGGM-vytMP1OyDgAY&amp;q=site%3Alinkedin.com+Alexander+Watkins,+MBA+Campus+Recruiter+&amp;+Program+Manager+(Global+Technology+&amp;+Operations)+Bank+of+America</t>
  </si>
  <si>
    <t>Vanessa Sterling</t>
  </si>
  <si>
    <t>https://www.google.com/search?newwindow=1&amp;ei=2MT0XrvGGM-vytMP1OyDgAY&amp;q=site%3Alinkedin.com+Vanessa+Sterling+Campus+Recruiter+Bank+of+America</t>
  </si>
  <si>
    <t>Jamie Wright</t>
  </si>
  <si>
    <t>Campus Recruiter - CFO Group</t>
  </si>
  <si>
    <t>https://www.google.com/search?newwindow=1&amp;ei=2MT0XrvGGM-vytMP1OyDgAY&amp;q=site%3Alinkedin.com+Jamie+Wright+Campus+Recruiter+-+CFO+Group+Bank+of+America</t>
  </si>
  <si>
    <t>Mary Cameron Grice</t>
  </si>
  <si>
    <t>Assistant Vice President, Campus Recruiter</t>
  </si>
  <si>
    <t>10 months in role</t>
  </si>
  <si>
    <t>https://www.google.com/search?newwindow=1&amp;ei=2MT0XrvGGM-vytMP1OyDgAY&amp;q=site%3Alinkedin.com+Mary+Cameron+Grice+Assistant+Vice+President,+Campus+Recruiter+Bank+of+America</t>
  </si>
  <si>
    <t>Jessie Fredrickson</t>
  </si>
  <si>
    <t>Campus Recruiter &amp; Program Manager</t>
  </si>
  <si>
    <t>https://www.google.com/search?newwindow=1&amp;ei=2MT0XrvGGM-vytMP1OyDgAY&amp;q=site%3Alinkedin.com+Jessie+Fredrickson+Campus+Recruiter+&amp;+Program+Manager+Bank+of+America</t>
  </si>
  <si>
    <t>Amelie Speer</t>
  </si>
  <si>
    <t>Campus Recruiter &amp; Intern Program Manager</t>
  </si>
  <si>
    <t>https://www.google.com/search?newwindow=1&amp;ei=2MT0XrvGGM-vytMP1OyDgAY&amp;q=site%3Alinkedin.com+Amelie+Speer+Campus+Recruiter+&amp;+Intern+Program+Manager+Bank+of+America</t>
  </si>
  <si>
    <t>Assistant Vice President, Program Manager &amp; Campus Recruiter</t>
  </si>
  <si>
    <t>https://www.google.com/search?newwindow=1&amp;ei=2MT0XrvGGM-vytMP1OyDgAY&amp;q=site%3Alinkedin.com+Rachel+Johnson+Assistant+Vice+President,+Program+Manager+&amp;+Campus+Recruiter+Bank+of+America</t>
  </si>
  <si>
    <t>Dwayne Brown</t>
  </si>
  <si>
    <t>3 years 2 months in role</t>
  </si>
  <si>
    <t>https://www.google.com/search?newwindow=1&amp;ei=2MT0XrvGGM-vytMP1OyDgAY&amp;q=site%3Alinkedin.com+Dwayne+Brown+Diversity+Campus+Recruiter+Bank+of+America</t>
  </si>
  <si>
    <t>Danielle Smith</t>
  </si>
  <si>
    <t>4 years 4 months in role</t>
  </si>
  <si>
    <t>https://www.google.com/search?newwindow=1&amp;ei=2MT0XrvGGM-vytMP1OyDgAY&amp;q=site%3Alinkedin.com+Danielle+Smith+Campus+Recruiter+Bank+of+America</t>
  </si>
  <si>
    <t>Susan Elworthy</t>
  </si>
  <si>
    <t>Program Manager &amp; Campus Recruiter</t>
  </si>
  <si>
    <t>https://www.google.com/search?newwindow=1&amp;ei=2MT0XrvGGM-vytMP1OyDgAY&amp;q=site%3Alinkedin.com+Susan+Elworthy+Program+Manager+&amp;+Campus+Recruiter+Bank+of+America</t>
  </si>
  <si>
    <t>David Busshart</t>
  </si>
  <si>
    <t>https://www.google.com/search?newwindow=1&amp;ei=2MT0XrvGGM-vytMP1OyDgAY&amp;q=site%3Alinkedin.com+David+Busshart+College+Recruiter+Bank+of+America</t>
  </si>
  <si>
    <t>Courtney Dickens</t>
  </si>
  <si>
    <t>https://www.google.com/search?newwindow=1&amp;ei=2MT0XrvGGM-vytMP1OyDgAY&amp;q=site%3Alinkedin.com+Courtney+Dickens+Campus+Recruiter+&amp;+Program+Manager+Bank+of+America</t>
  </si>
  <si>
    <t>Caroline La Roche</t>
  </si>
  <si>
    <t>Vice President, Campus Recruiter &amp; Program Manager</t>
  </si>
  <si>
    <t>https://www.google.com/search?newwindow=1&amp;ei=2MT0XrvGGM-vytMP1OyDgAY&amp;q=site%3Alinkedin.com+Caroline+La+Roche+Vice+President,+Campus+Recruiter+&amp;+Program+Manager+Bank+of+America</t>
  </si>
  <si>
    <t>Deetra Hill</t>
  </si>
  <si>
    <t>MBA Campus Recruiter and Program Manager</t>
  </si>
  <si>
    <t>https://www.google.com/search?newwindow=1&amp;ei=2MT0XrvGGM-vytMP1OyDgAY&amp;q=site%3Alinkedin.com+Deetra+Hill+MBA+Campus+Recruiter+and+Program+Manager+Bank+of+America</t>
  </si>
  <si>
    <t>Dontia Barrett</t>
  </si>
  <si>
    <t>Assistant Vice President, Diversity Campus Recruiter</t>
  </si>
  <si>
    <t>https://www.google.com/search?newwindow=1&amp;ei=2MT0XrvGGM-vytMP1OyDgAY&amp;q=site%3Alinkedin.com+Dontia+Barrett+Assistant+Vice+President,+Diversity+Campus+Recruiter+Bank+of+America</t>
  </si>
  <si>
    <t>Richard Long</t>
  </si>
  <si>
    <t>Campus Strategy Recruiter</t>
  </si>
  <si>
    <t>https://www.google.com/search?newwindow=1&amp;ei=2MT0XrvGGM-vytMP1OyDgAY&amp;q=site%3Alinkedin.com+Richard+Long+Campus+Strategy+Recruiter+Bank+of+America</t>
  </si>
  <si>
    <t>Aubrey D.</t>
  </si>
  <si>
    <t>Campus Recruiter - Global Risk Development Program</t>
  </si>
  <si>
    <t>https://www.google.com/search?newwindow=1&amp;ei=2MT0XrvGGM-vytMP1OyDgAY&amp;q=site%3Alinkedin.com+Aubrey+D.+Campus+Recruiter+-+Global+Risk+Development+Program+Bank+of+America</t>
  </si>
  <si>
    <t>Abbie Zollinger</t>
  </si>
  <si>
    <t>https://www.google.com/search?newwindow=1&amp;ei=2MT0XrvGGM-vytMP1OyDgAY&amp;q=site%3Alinkedin.com+Abbie+Zollinger+Campus+Recruiter+Bank+of+America</t>
  </si>
  <si>
    <t>Conita Neal</t>
  </si>
  <si>
    <t>AVP Campus Recruiter</t>
  </si>
  <si>
    <t>2 years 6 months in role and company</t>
  </si>
  <si>
    <t>https://www.google.com/search?newwindow=1&amp;ei=2MT0XrvGGM-vytMP1OyDgAY&amp;q=site%3Alinkedin.com+Conita+Neal+AVP+Campus+Recruiter+Bank+of+America</t>
  </si>
  <si>
    <t>Lindsey Everidge</t>
  </si>
  <si>
    <t>AVP- College Recruiter</t>
  </si>
  <si>
    <t>Cornelius</t>
  </si>
  <si>
    <t>https://www.google.com/search?newwindow=1&amp;ei=2MT0XrvGGM-vytMP1OyDgAY&amp;q=site%3Alinkedin.com+Lindsey+Everidge+AVP-+College+Recruiter+Bank+of+America</t>
  </si>
  <si>
    <t>Payal Patel</t>
  </si>
  <si>
    <t>Assistant Vice President, Corporate Recruiter</t>
  </si>
  <si>
    <t>https://www.google.com/search?newwindow=1&amp;ei=2MT0XrvGGM-vytMP1OyDgAY&amp;q=site%3Alinkedin.com+Payal+Patel+Assistant+Vice+President,+Corporate+Recruiter+Bank+of+America</t>
  </si>
  <si>
    <t>Beth Richard</t>
  </si>
  <si>
    <t>VP, Campus Recruiter</t>
  </si>
  <si>
    <t>8 years 10 months in role</t>
  </si>
  <si>
    <t>Flower Mound</t>
  </si>
  <si>
    <t>https://www.google.com/search?newwindow=1&amp;ei=2MT0XrvGGM-vytMP1OyDgAY&amp;q=site%3Alinkedin.com+Beth+Richard+VP,+Campus+Recruiter+Bank+of+America</t>
  </si>
  <si>
    <t>Amy Yandell</t>
  </si>
  <si>
    <t>Vice President, Campus Recruiter</t>
  </si>
  <si>
    <t>5 years 10 months in role</t>
  </si>
  <si>
    <t>https://www.google.com/search?newwindow=1&amp;ei=2MT0XrvGGM-vytMP1OyDgAY&amp;q=site%3Alinkedin.com+Amy+Yandell+Vice+President,+Campus+Recruiter+Bank+of+America</t>
  </si>
  <si>
    <t>Jada Smith</t>
  </si>
  <si>
    <t>Campus Recruiter, Global Corporate &amp; Investment Banking</t>
  </si>
  <si>
    <t>1 year 6 months in role and company</t>
  </si>
  <si>
    <t>Mount Vernon</t>
  </si>
  <si>
    <t>https://www.google.com/search?newwindow=1&amp;ei=2MT0XrvGGM-vytMP1OyDgAY&amp;q=site%3Alinkedin.com+Jada+Smith+Campus+Recruiter,+Global+Corporate+&amp;+Investment+Banking+Bank+of+America</t>
  </si>
  <si>
    <t>Amanda Hertzberg</t>
  </si>
  <si>
    <t>Campus Recruiter, University Relations</t>
  </si>
  <si>
    <t>11 months in role</t>
  </si>
  <si>
    <t>https://www.google.com/search?newwindow=1&amp;ei=2MT0XrvGGM-vytMP1OyDgAY&amp;q=site%3Alinkedin.com+Amanda+Hertzberg+Campus+Recruiter,+University+Relations+Bank+of+America</t>
  </si>
  <si>
    <t>Noelle Mattessich</t>
  </si>
  <si>
    <t>Campus Recruiter - Global Banking and Markets</t>
  </si>
  <si>
    <t>https://www.google.com/search?newwindow=1&amp;ei=2MT0XrvGGM-vytMP1OyDgAY&amp;q=site%3Alinkedin.com+Noelle+Mattessich+Campus+Recruiter+-+Global+Banking+and+Markets+Bank+of+America</t>
  </si>
  <si>
    <t>Sean Hille</t>
  </si>
  <si>
    <t>3 years 4 months in role and company</t>
  </si>
  <si>
    <t>https://www.google.com/search?newwindow=1&amp;ei=2MT0XrvGGM-vytMP1OyDgAY&amp;q=site%3Alinkedin.com+Sean+Hille+Assistant+Vice+President,+Campus+Recruiter+Bank+of+America</t>
  </si>
  <si>
    <t>Stephanie Moss</t>
  </si>
  <si>
    <t>https://www.google.com/search?newwindow=1&amp;ei=2MT0XrvGGM-vytMP1OyDgAY&amp;q=site%3Alinkedin.com+Stephanie+Moss+Assistant+Vice+President,+Campus+Recruiter+Bank+of+America</t>
  </si>
  <si>
    <t>Jessica Sheldon</t>
  </si>
  <si>
    <t>https://www.google.com/search?newwindow=1&amp;ei=2MT0XrvGGM-vytMP1OyDgAY&amp;q=site%3Alinkedin.com+Jessica+Sheldon+Campus+Recruiter+Bank+of+America</t>
  </si>
  <si>
    <t>Bryan C.</t>
  </si>
  <si>
    <t>Vice President; Campus Recruiter &amp; Program Manager</t>
  </si>
  <si>
    <t>https://www.google.com/search?newwindow=1&amp;ei=2MT0XrvGGM-vytMP1OyDgAY&amp;q=site%3Alinkedin.com+Bryan+C.+Vice+President;+Campus+Recruiter+&amp;+Program+Manager+Bank+of+America</t>
  </si>
  <si>
    <t>Carmen Del Valle</t>
  </si>
  <si>
    <t>Vice President, Diversity Campus Recruiter, Global Banking &amp; Markets</t>
  </si>
  <si>
    <t>https://www.google.com/search?newwindow=1&amp;ei=2MT0XrvGGM-vytMP1OyDgAY&amp;q=site%3Alinkedin.com+Carmen+Del+Valle+Vice+President,+Diversity+Campus+Recruiter,+Global+Banking+&amp;+Markets+Bank+of+America</t>
  </si>
  <si>
    <t>Alexa Migton</t>
  </si>
  <si>
    <t>https://www.google.com/search?newwindow=1&amp;ei=2MT0XrvGGM-vytMP1OyDgAY&amp;q=site%3Alinkedin.com+Alexa+Migton+Campus+Recruiter+Bank+of+America</t>
  </si>
  <si>
    <t>Izabel Tropnasse</t>
  </si>
  <si>
    <t>Assistant Vice President; MBA Campus Recruiter</t>
  </si>
  <si>
    <t>Wantagh</t>
  </si>
  <si>
    <t>https://www.google.com/search?newwindow=1&amp;ei=2MT0XrvGGM-vytMP1OyDgAY&amp;q=site%3Alinkedin.com+Izabel+Tropnasse+Assistant+Vice+President;+MBA+Campus+Recruiter+Bank+of+America</t>
  </si>
  <si>
    <t>Natalie Choe</t>
  </si>
  <si>
    <t>Vice President - Diversity Campus Recruiting &amp; Veterans Associate Recruiter/Program Manager</t>
  </si>
  <si>
    <t>https://www.google.com/search?newwindow=1&amp;ei=2MT0XrvGGM-vytMP1OyDgAY&amp;q=site%3Alinkedin.com+Natalie+Choe+Vice+President+-+Diversity+Campus+Recruiting+&amp;+Veterans+Associate+Recruiter/Program+Manager+Bank+of+America</t>
  </si>
  <si>
    <t>Gail Diaz</t>
  </si>
  <si>
    <t>12 years 2 months in role and company</t>
  </si>
  <si>
    <t>Wilmington</t>
  </si>
  <si>
    <t>Delaware</t>
  </si>
  <si>
    <t>https://www.google.com/search?newwindow=1&amp;ei=2MT0XrvGGM-vytMP1OyDgAY&amp;q=site%3Alinkedin.com+Gail+Diaz+Campus+Recruiter+Bank+of+America</t>
  </si>
  <si>
    <t>Jennie Montoya</t>
  </si>
  <si>
    <t>15 years 8 months in role and company</t>
  </si>
  <si>
    <t>https://www.google.com/search?newwindow=1&amp;ei=2MT0XrvGGM-vytMP1OyDgAY&amp;q=site%3Alinkedin.com+Jennie+Montoya+Campus+Recruiter+Bank+of+America</t>
  </si>
  <si>
    <t>Paula Rose</t>
  </si>
  <si>
    <t>https://www.google.com/search?newwindow=1&amp;ei=2MT0XrvGGM-vytMP1OyDgAY&amp;q=site%3Alinkedin.com+Paula+Rose+Campus+Recruiter+Bank+of+America+Merrill+Lynch</t>
  </si>
  <si>
    <t>Christie Neuhaus</t>
  </si>
  <si>
    <t>https://www.google.com/search?newwindow=1&amp;ei=2MT0XrvGGM-vytMP1OyDgAY&amp;q=site%3Alinkedin.com+Christie+Neuhaus+Campus+Recruiter+Bank+of+America+Merrill+Lynch</t>
  </si>
  <si>
    <t>Brittany Convery</t>
  </si>
  <si>
    <t>https://www.google.com/search?newwindow=1&amp;ei=2MT0XrvGGM-vytMP1OyDgAY&amp;q=site%3Alinkedin.com+Brittany+Convery+Assistant+Vice+President,+Campus+Recruiter+Bank+of+America+Merrill+Lynch</t>
  </si>
  <si>
    <t>Andrea Parsley</t>
  </si>
  <si>
    <t>Barclays Capital</t>
  </si>
  <si>
    <t>9 years 3 months in role and company</t>
  </si>
  <si>
    <t>https://www.google.com/search?newwindow=1&amp;ei=2MT0XrvGGM-vytMP1OyDgAY&amp;q=site%3Alinkedin.com+Andrea+Parsley+Diversity+Campus+Recruiter+Barclays+Capital</t>
  </si>
  <si>
    <t>Courtney Goldsmith</t>
  </si>
  <si>
    <t>Associate Campus Recruiter</t>
  </si>
  <si>
    <t>12 years 10 months in role and company</t>
  </si>
  <si>
    <t>https://www.google.com/search?newwindow=1&amp;ei=2MT0XrvGGM-vytMP1OyDgAY&amp;q=site%3Alinkedin.com+Courtney+Goldsmith+Associate+Campus+Recruiter+Barclays+Capital</t>
  </si>
  <si>
    <t>Kelly Doyle</t>
  </si>
  <si>
    <t>https://www.google.com/search?newwindow=1&amp;ei=2MT0XrvGGM-vytMP1OyDgAY&amp;q=site%3Alinkedin.com+Kelly+Doyle+Campus+Recruiter+Barclays+Capital</t>
  </si>
  <si>
    <t>Renee Savino</t>
  </si>
  <si>
    <t>Banking Analyst Campus Recruiter</t>
  </si>
  <si>
    <t>https://www.google.com/search?newwindow=1&amp;ei=2MT0XrvGGM-vytMP1OyDgAY&amp;q=site%3Alinkedin.com+Renee+Savino+Banking+Analyst+Campus+Recruiter+Barclays+Investment+Bank</t>
  </si>
  <si>
    <t>Olivia Forte</t>
  </si>
  <si>
    <t>BDO</t>
  </si>
  <si>
    <t>Cleveland</t>
  </si>
  <si>
    <t>https://www.google.com/search?newwindow=1&amp;ei=2MT0XrvGGM-vytMP1OyDgAY&amp;q=site%3Alinkedin.com+Olivia+Forte+Campus+Recruiter+BDO</t>
  </si>
  <si>
    <t>Annie Allred</t>
  </si>
  <si>
    <t>https://www.google.com/search?newwindow=1&amp;ei=2MT0XrvGGM-vytMP1OyDgAY&amp;q=site%3Alinkedin.com+Annie+Allred+Campus+Recruiting+Manager+BDO</t>
  </si>
  <si>
    <t>Celisse Coppel</t>
  </si>
  <si>
    <t>https://www.google.com/search?newwindow=1&amp;ei=2MT0XrvGGM-vytMP1OyDgAY&amp;q=site%3Alinkedin.com+Celisse+Coppel+Campus+Recruiter+BDO</t>
  </si>
  <si>
    <t>Jenny Araque</t>
  </si>
  <si>
    <t>National Campus Recruiting Manager</t>
  </si>
  <si>
    <t>https://www.google.com/search?newwindow=1&amp;ei=2MT0XrvGGM-vytMP1OyDgAY&amp;q=site%3Alinkedin.com+Jenny+Araque+National+Campus+Recruiting+Manager+BDO+USA,+LLP</t>
  </si>
  <si>
    <t>Amanda Martucci</t>
  </si>
  <si>
    <t>Regional HR Generalist/Campus Recruiter</t>
  </si>
  <si>
    <t>https://www.google.com/search?newwindow=1&amp;ei=2MT0XrvGGM-vytMP1OyDgAY&amp;q=site%3Alinkedin.com+Amanda+Martucci+Regional+HR+Generalist/Campus+Recruiter+BDO+USA,+LLP</t>
  </si>
  <si>
    <t>Joelle Rosen</t>
  </si>
  <si>
    <t>3 years 7 months in role and company</t>
  </si>
  <si>
    <t>https://www.google.com/search?newwindow=1&amp;ei=2MT0XrvGGM-vytMP1OyDgAY&amp;q=site%3Alinkedin.com+Joelle+Rosen+Campus+Recruiting+Manager+BDO+USA,+LLP</t>
  </si>
  <si>
    <t>Lindsay Fisher</t>
  </si>
  <si>
    <t>1 year 4 months in role and company</t>
  </si>
  <si>
    <t>https://www.google.com/search?newwindow=1&amp;ei=2MT0XrvGGM-vytMP1OyDgAY&amp;q=site%3Alinkedin.com+Lindsay+Fisher+Campus+Recruiter+BDO+USA,+LLP</t>
  </si>
  <si>
    <t>Emeline Yordán</t>
  </si>
  <si>
    <t>3 years 5 months in role and company</t>
  </si>
  <si>
    <t>Deerfield</t>
  </si>
  <si>
    <t>https://www.google.com/search?newwindow=1&amp;ei=2MT0XrvGGM-vytMP1OyDgAY&amp;q=site%3Alinkedin.com+Emeline+Yordán+Campus+Recruiter+BDO+USA,+LLP</t>
  </si>
  <si>
    <t>Brian Vander Lee, CPA</t>
  </si>
  <si>
    <t>Grand Rapids</t>
  </si>
  <si>
    <t>https://www.google.com/search?newwindow=1&amp;ei=2MT0XrvGGM-vytMP1OyDgAY&amp;q=site%3Alinkedin.com+Brian+Vander+Lee,+CPA+Campus+Recruiting+Manager+BDO+USA,+LLP</t>
  </si>
  <si>
    <t>Amir Mazarei</t>
  </si>
  <si>
    <t>6 years  in role</t>
  </si>
  <si>
    <t>https://www.google.com/search?newwindow=1&amp;ei=2MT0XrvGGM-vytMP1OyDgAY&amp;q=site%3Alinkedin.com+Amir+Mazarei+Campus+Recruiter+BDO+USA,+LLP</t>
  </si>
  <si>
    <t>Karina Espinola</t>
  </si>
  <si>
    <t>https://www.google.com/search?newwindow=1&amp;ei=2MT0XrvGGM-vytMP1OyDgAY&amp;q=site%3Alinkedin.com+Karina+Espinola+Campus+Recruiting+Manager+BDO+USA,+LLP</t>
  </si>
  <si>
    <t>Tamera Pumphrey, MBA, CPA</t>
  </si>
  <si>
    <t>2 years 5 months in role</t>
  </si>
  <si>
    <t>https://www.google.com/search?newwindow=1&amp;ei=2MT0XrvGGM-vytMP1OyDgAY&amp;q=site%3Alinkedin.com+Tamera+Pumphrey,+MBA,+CPA+Campus+Recruiter+BDO+USA,+LLP</t>
  </si>
  <si>
    <t>Katherine Acuff</t>
  </si>
  <si>
    <t>Smyrna</t>
  </si>
  <si>
    <t>https://www.google.com/search?newwindow=1&amp;ei=2MT0XrvGGM-vytMP1OyDgAY&amp;q=site%3Alinkedin.com+Katherine+Acuff+Campus+Recruiting+Manager+BDO+USA,+LLP</t>
  </si>
  <si>
    <t>Lauren Feaser</t>
  </si>
  <si>
    <t>Campus Recruiter/HR</t>
  </si>
  <si>
    <t>Staten Island</t>
  </si>
  <si>
    <t>https://www.google.com/search?newwindow=1&amp;ei=2MT0XrvGGM-vytMP1OyDgAY&amp;q=site%3Alinkedin.com+Lauren+Feaser+Campus+Recruiter/HR+BDO+USA,+LLP</t>
  </si>
  <si>
    <t>Katie Bailey</t>
  </si>
  <si>
    <t>https://www.google.com/search?newwindow=1&amp;ei=2MT0XrvGGM-vytMP1OyDgAY&amp;q=site%3Alinkedin.com+Katie+Bailey+Campus+Recruiting+Manager+BDO+USA,+LLP</t>
  </si>
  <si>
    <t>Emily Adamowski</t>
  </si>
  <si>
    <t>National Campus Recruiter, Advisory</t>
  </si>
  <si>
    <t>West Chicago</t>
  </si>
  <si>
    <t>https://www.google.com/search?newwindow=1&amp;ei=2MT0XrvGGM-vytMP1OyDgAY&amp;q=site%3Alinkedin.com+Emily+Adamowski+National+Campus+Recruiter,+Advisory+BDO+USA,+LLP</t>
  </si>
  <si>
    <t>Femi Fagbure</t>
  </si>
  <si>
    <t>BlackRock</t>
  </si>
  <si>
    <t>https://www.google.com/search?newwindow=1&amp;ei=2MT0XrvGGM-vytMP1OyDgAY&amp;q=site%3Alinkedin.com+Femi+Fagbure+Campus+Recruiter+BlackRock</t>
  </si>
  <si>
    <t>Jelicza Thomas</t>
  </si>
  <si>
    <t>Campus Recruiter, Associate</t>
  </si>
  <si>
    <t>1 year 8 months in role and company</t>
  </si>
  <si>
    <t>https://www.google.com/search?newwindow=1&amp;ei=2MT0XrvGGM-vytMP1OyDgAY&amp;q=site%3Alinkedin.com+Jelicza+Thomas+Campus+Recruiter,+Associate+BlackRock</t>
  </si>
  <si>
    <t>Jade Sims, M.Ed.</t>
  </si>
  <si>
    <t>https://www.google.com/search?newwindow=1&amp;ei=2MT0XrvGGM-vytMP1OyDgAY&amp;q=site%3Alinkedin.com+Jade+Sims,+M.Ed.+Campus+Recruiter+BlackRock</t>
  </si>
  <si>
    <t>Danielle Kronenfeld</t>
  </si>
  <si>
    <t>3 years 2 months in role and company</t>
  </si>
  <si>
    <t>https://www.google.com/search?newwindow=1&amp;ei=2MT0XrvGGM-vytMP1OyDgAY&amp;q=site%3Alinkedin.com+Danielle+Kronenfeld+Campus+Recruiter+BlackRock</t>
  </si>
  <si>
    <t>Tulsi Patel</t>
  </si>
  <si>
    <t>2 years 5 months in role and company</t>
  </si>
  <si>
    <t>https://www.google.com/search?newwindow=1&amp;ei=2MT0XrvGGM-vytMP1OyDgAY&amp;q=site%3Alinkedin.com+Tulsi+Patel+Associate+Campus+Recruiter+BlackRock</t>
  </si>
  <si>
    <t>Francesca Dayre</t>
  </si>
  <si>
    <t>3 years 1 month in role and company</t>
  </si>
  <si>
    <t>https://www.google.com/search?newwindow=1&amp;ei=2MT0XrvGGM-vytMP1OyDgAY&amp;q=site%3Alinkedin.com+Francesca+Dayre+Associate+Campus+Recruiter+BlackRock</t>
  </si>
  <si>
    <t>Claudia Suarez</t>
  </si>
  <si>
    <t>https://www.google.com/search?newwindow=1&amp;ei=2MT0XrvGGM-vytMP1OyDgAY&amp;q=site%3Alinkedin.com+Claudia+Suarez+Campus+Recruiter+BlackRock</t>
  </si>
  <si>
    <t>JAMILLA SMITH</t>
  </si>
  <si>
    <t>Bloomberg LP</t>
  </si>
  <si>
    <t>Brooklyn</t>
  </si>
  <si>
    <t>https://www.google.com/search?newwindow=1&amp;ei=2MT0XrvGGM-vytMP1OyDgAY&amp;q=site%3Alinkedin.com+JAMILLA+SMITH+Sr.+Campus+Recruiter+Bloomberg+LP</t>
  </si>
  <si>
    <t>Stephanie Santora</t>
  </si>
  <si>
    <t>Jackson Township</t>
  </si>
  <si>
    <t>https://www.google.com/search?newwindow=1&amp;ei=2MT0XrvGGM-vytMP1OyDgAY&amp;q=site%3Alinkedin.com+Stephanie+Santora+Campus+Recruiter+Bloomberg+LP</t>
  </si>
  <si>
    <t>Monica D.</t>
  </si>
  <si>
    <t>Engineering Campus &amp; Diversity Recruiter</t>
  </si>
  <si>
    <t>https://www.google.com/search?newwindow=1&amp;ei=2MT0XrvGGM-vytMP1OyDgAY&amp;q=site%3Alinkedin.com+Monica+D.+Engineering+Campus+&amp;+Diversity+Recruiter+Bloomberg+LP</t>
  </si>
  <si>
    <t>Justine Bellew</t>
  </si>
  <si>
    <t>2 years 6 months in role</t>
  </si>
  <si>
    <t>https://www.google.com/search?newwindow=1&amp;ei=2MT0XrvGGM-vytMP1OyDgAY&amp;q=site%3Alinkedin.com+Justine+Bellew+Campus+Recruiter+Bloomberg+LP</t>
  </si>
  <si>
    <t>Amy Petcoff</t>
  </si>
  <si>
    <t>Engineering Campus Recruiter</t>
  </si>
  <si>
    <t>4 years 4 months in role and company</t>
  </si>
  <si>
    <t>https://www.google.com/search?newwindow=1&amp;ei=2MT0XrvGGM-vytMP1OyDgAY&amp;q=site%3Alinkedin.com+Amy+Petcoff+Engineering+Campus+Recruiter+Bloomberg+LP</t>
  </si>
  <si>
    <t>Jinny Rhieu</t>
  </si>
  <si>
    <t>https://www.google.com/search?newwindow=1&amp;ei=2MT0XrvGGM-vytMP1OyDgAY&amp;q=site%3Alinkedin.com+Jinny+Rhieu+Engineering+Campus+Recruiter+Bloomberg+LP</t>
  </si>
  <si>
    <t>Ashley Redus</t>
  </si>
  <si>
    <t>https://www.google.com/search?newwindow=1&amp;ei=2MT0XrvGGM-vytMP1OyDgAY&amp;q=site%3Alinkedin.com+Ashley+Redus+Engineering+Campus+Recruiter+Bloomberg+LP</t>
  </si>
  <si>
    <t>Bianca Martinez</t>
  </si>
  <si>
    <t>https://www.google.com/search?newwindow=1&amp;ei=2MT0XrvGGM-vytMP1OyDgAY&amp;q=site%3Alinkedin.com+Bianca+Martinez+Engineering+Campus+Recruiter+Bloomberg+LP</t>
  </si>
  <si>
    <t>Annie Kadets</t>
  </si>
  <si>
    <t>https://www.google.com/search?newwindow=1&amp;ei=2MT0XrvGGM-vytMP1OyDgAY&amp;q=site%3Alinkedin.com+Annie+Kadets+Campus+Recruiter+Bloomberg+LP</t>
  </si>
  <si>
    <t>Alexa Perrelli</t>
  </si>
  <si>
    <t>5 months in role and company</t>
  </si>
  <si>
    <t>https://www.google.com/search?newwindow=1&amp;ei=2MT0XrvGGM-vytMP1OyDgAY&amp;q=site%3Alinkedin.com+Alexa+Perrelli+Engineering+Campus+Recruiter+Bloomberg+LP</t>
  </si>
  <si>
    <t>Brittany Rodriguez</t>
  </si>
  <si>
    <t>https://www.google.com/search?newwindow=1&amp;ei=2MT0XrvGGM-vytMP1OyDgAY&amp;q=site%3Alinkedin.com+Brittany+Rodriguez+Campus+Recruiter+Bloomberg+LP</t>
  </si>
  <si>
    <t>Jordan Allison</t>
  </si>
  <si>
    <t>https://www.google.com/search?newwindow=1&amp;ei=2MT0XrvGGM-vytMP1OyDgAY&amp;q=site%3Alinkedin.com+Jordan+Allison+Campus+Recruiter+Bloomberg+LP</t>
  </si>
  <si>
    <t>Jeena Park</t>
  </si>
  <si>
    <t>4 years 2 months in role and company</t>
  </si>
  <si>
    <t>https://www.google.com/search?newwindow=1&amp;ei=2MT0XrvGGM-vytMP1OyDgAY&amp;q=site%3Alinkedin.com+Jeena+Park+Engineering+Campus+Recruiter+Bloomberg+LP</t>
  </si>
  <si>
    <t>Melissa Ayoob, MBA</t>
  </si>
  <si>
    <t>BNY Mellon</t>
  </si>
  <si>
    <t>Mars</t>
  </si>
  <si>
    <t>https://www.google.com/search?newwindow=1&amp;ei=2MT0XrvGGM-vytMP1OyDgAY&amp;q=site%3Alinkedin.com+Melissa+Ayoob,+MBA+Campus+Recruiter+BNY+Mellon</t>
  </si>
  <si>
    <t>Ashley Wodarek</t>
  </si>
  <si>
    <t>Lead Technology Campus Recruiter</t>
  </si>
  <si>
    <t>https://www.google.com/search?newwindow=1&amp;ei=2MT0XrvGGM-vytMP1OyDgAY&amp;q=site%3Alinkedin.com+Ashley+Wodarek+Lead+Technology+Campus+Recruiter+BNY+Mellon</t>
  </si>
  <si>
    <t>Kristi Newton</t>
  </si>
  <si>
    <t>Interim Global Head of Campus Recruiting &amp; Emerging Talent Programs</t>
  </si>
  <si>
    <t>https://www.google.com/search?newwindow=1&amp;ei=2MT0XrvGGM-vytMP1OyDgAY&amp;q=site%3Alinkedin.com+Kristi+Newton+Interim+Global+Head+of+Campus+Recruiting+&amp;+Emerging+Talent+Programs+BNY+Mellon</t>
  </si>
  <si>
    <t>Matthew Veseleny</t>
  </si>
  <si>
    <t>Lead Campus Recruiter</t>
  </si>
  <si>
    <t>https://www.google.com/search?newwindow=1&amp;ei=2MT0XrvGGM-vytMP1OyDgAY&amp;q=site%3Alinkedin.com+Matthew+Veseleny+Lead+Campus+Recruiter+BNY+Mellon</t>
  </si>
  <si>
    <t>Olivia Waldron</t>
  </si>
  <si>
    <t>Global Program Manager- Operations Campus Analyst Program</t>
  </si>
  <si>
    <t>https://www.google.com/search?newwindow=1&amp;ei=2MT0XrvGGM-vytMP1OyDgAY&amp;q=site%3Alinkedin.com+Olivia+Waldron+Global+Program+Manager-+Operations+Campus+Analyst+Program+BNY+Mellon</t>
  </si>
  <si>
    <t>Mark Lyden</t>
  </si>
  <si>
    <t>Boeing</t>
  </si>
  <si>
    <t>24 years 10 months in role and company</t>
  </si>
  <si>
    <t>Charleston</t>
  </si>
  <si>
    <t>South Carolina</t>
  </si>
  <si>
    <t>https://www.google.com/search?newwindow=1&amp;ei=2MT0XrvGGM-vytMP1OyDgAY&amp;q=site%3Alinkedin.com+Mark+Lyden+College+Recruiter+Boeing</t>
  </si>
  <si>
    <t>Tamara Shilipetar</t>
  </si>
  <si>
    <t>https://www.google.com/search?newwindow=1&amp;ei=2MT0XrvGGM-vytMP1OyDgAY&amp;q=site%3Alinkedin.com+Tamara+Shilipetar+College+Recruiter+Boeing</t>
  </si>
  <si>
    <t>Godfrey Anderson, MPA</t>
  </si>
  <si>
    <t>Manager, EFS Rates &amp; Overhead Cost Management</t>
  </si>
  <si>
    <t>Madison</t>
  </si>
  <si>
    <t>Alabama</t>
  </si>
  <si>
    <t>https://www.google.com/search?newwindow=1&amp;ei=2MT0XrvGGM-vytMP1OyDgAY&amp;q=site%3Alinkedin.com+Godfrey+Anderson,+MPA+Manager,+EFS+Rates+&amp;+Overhead+Cost+Management+Boeing</t>
  </si>
  <si>
    <t>Daniel Aikens</t>
  </si>
  <si>
    <t>Senior University Recruiter</t>
  </si>
  <si>
    <t>Renton</t>
  </si>
  <si>
    <t>https://www.google.com/search?newwindow=1&amp;ei=2MT0XrvGGM-vytMP1OyDgAY&amp;q=site%3Alinkedin.com+Daniel+Aikens+Senior+University+Recruiter+Boeing</t>
  </si>
  <si>
    <t>Brady Pahukoa</t>
  </si>
  <si>
    <t>College Recruiter II</t>
  </si>
  <si>
    <t>https://www.google.com/search?newwindow=1&amp;ei=2MT0XrvGGM-vytMP1OyDgAY&amp;q=site%3Alinkedin.com+Brady+Pahukoa+College+Recruiter+II+Boeing</t>
  </si>
  <si>
    <t>Leslie Benson</t>
  </si>
  <si>
    <t>Enterprise Finance and Strategy Advisor &amp; Learning Program Manager (Dual Role)</t>
  </si>
  <si>
    <t>1 year 11 months in role</t>
  </si>
  <si>
    <t>Woodinville</t>
  </si>
  <si>
    <t>https://www.google.com/search?newwindow=1&amp;ei=2MT0XrvGGM-vytMP1OyDgAY&amp;q=site%3Alinkedin.com+Leslie+Benson+Enterprise+Finance+and+Strategy+Advisor+&amp;+Learning+Program+Manager+(Dual+Role)+Boeing</t>
  </si>
  <si>
    <t>John B. DeRoest, MBA, CPIM</t>
  </si>
  <si>
    <t>Supply Chain Integrator/Analyst / College Recruiter</t>
  </si>
  <si>
    <t>31 years  in role and company</t>
  </si>
  <si>
    <t>Salt Lake City</t>
  </si>
  <si>
    <t>Utah</t>
  </si>
  <si>
    <t>https://www.google.com/search?newwindow=1&amp;ei=2MT0XrvGGM-vytMP1OyDgAY&amp;q=site%3Alinkedin.com+John+B.+DeRoest,+MBA,+CPIM+Supply+Chain+Integrator/Analyst+/+College+Recruiter+The+Boeing+Company</t>
  </si>
  <si>
    <t>Jonell Diaz Hanley</t>
  </si>
  <si>
    <t>20 years 10 months in role and company</t>
  </si>
  <si>
    <t>https://www.google.com/search?newwindow=1&amp;ei=2MT0XrvGGM-vytMP1OyDgAY&amp;q=site%3Alinkedin.com+Jonell+Diaz+Hanley+College+Recruiter+The+Boeing+Company</t>
  </si>
  <si>
    <t>Irah Dizon</t>
  </si>
  <si>
    <t>College Recruiter Specialist</t>
  </si>
  <si>
    <t>Tacoma</t>
  </si>
  <si>
    <t>https://www.google.com/search?newwindow=1&amp;ei=2MT0XrvGGM-vytMP1OyDgAY&amp;q=site%3Alinkedin.com+Irah+Dizon+College+Recruiter+Specialist+The+Boeing+Company</t>
  </si>
  <si>
    <t>Brittanie Bosselait</t>
  </si>
  <si>
    <t>Booz Allen Hamilton</t>
  </si>
  <si>
    <t>13 years 9 months in role and company</t>
  </si>
  <si>
    <t>McLean</t>
  </si>
  <si>
    <t>https://www.google.com/search?newwindow=1&amp;ei=2MT0XrvGGM-vytMP1OyDgAY&amp;q=site%3Alinkedin.com+Brittanie+Bosselait+University+Recruiter+Booz+Allen+Hamilton</t>
  </si>
  <si>
    <t>Dean Fechner</t>
  </si>
  <si>
    <t>Sr. Manager, Campus Recruiting</t>
  </si>
  <si>
    <t>16 years 8 months in role and company</t>
  </si>
  <si>
    <t>https://www.google.com/search?newwindow=1&amp;ei=2MT0XrvGGM-vytMP1OyDgAY&amp;q=site%3Alinkedin.com+Dean+Fechner+Sr.+Manager,+Campus+Recruiting+Booz+Allen+Hamilton</t>
  </si>
  <si>
    <t>Gracie Keyser</t>
  </si>
  <si>
    <t>University Recruiting Campus Manager</t>
  </si>
  <si>
    <t>Raleigh</t>
  </si>
  <si>
    <t>https://www.google.com/search?newwindow=1&amp;ei=2MT0XrvGGM-vytMP1OyDgAY&amp;q=site%3Alinkedin.com+Gracie+Keyser+University+Recruiting+Campus+Manager+Booz+Allen+Hamilton</t>
  </si>
  <si>
    <t>Laura Hamilton</t>
  </si>
  <si>
    <t>Executive Recruiter</t>
  </si>
  <si>
    <t>Vienna</t>
  </si>
  <si>
    <t>https://www.google.com/search?newwindow=1&amp;ei=2MT0XrvGGM-vytMP1OyDgAY&amp;q=site%3Alinkedin.com+Laura+Hamilton+Executive+Recruiter+Booz+Allen+Hamilton</t>
  </si>
  <si>
    <t>Tia Bennett</t>
  </si>
  <si>
    <t>Campus Manager, Diversity Recruiting</t>
  </si>
  <si>
    <t>https://www.google.com/search?newwindow=1&amp;ei=2MT0XrvGGM-vytMP1OyDgAY&amp;q=site%3Alinkedin.com+Tia+Bennett+Campus+Manager,+Diversity+Recruiting+Booz+Allen+Hamilton</t>
  </si>
  <si>
    <t>Ashley Ann Cooper</t>
  </si>
  <si>
    <t>Learning Manager: Architect and Engagement Manager Curriculums</t>
  </si>
  <si>
    <t>Capgemini</t>
  </si>
  <si>
    <t>https://www.google.com/search?newwindow=1&amp;ei=2MT0XrvGGM-vytMP1OyDgAY&amp;q=site%3Alinkedin.com+Ashley+Ann+Cooper+Learning+Manager:+Architect+and+Engagement+Manager+Curriculums+Capgemini</t>
  </si>
  <si>
    <t>Mary Colleen Reuter</t>
  </si>
  <si>
    <t>https://www.google.com/search?newwindow=1&amp;ei=2MT0XrvGGM-vytMP1OyDgAY&amp;q=site%3Alinkedin.com+Mary+Colleen+Reuter+Campus+Recruiter+Capgemini</t>
  </si>
  <si>
    <t>Rylee Simpson</t>
  </si>
  <si>
    <t>Nashville Campus Recruiter</t>
  </si>
  <si>
    <t>Auburn</t>
  </si>
  <si>
    <t>https://www.google.com/search?newwindow=1&amp;ei=2MT0XrvGGM-vytMP1OyDgAY&amp;q=site%3Alinkedin.com+Rylee+Simpson+Nashville+Campus+Recruiter+Capgemini</t>
  </si>
  <si>
    <t>Federica Quattrone</t>
  </si>
  <si>
    <t>Chicago &amp; NYC Campus Recruiter</t>
  </si>
  <si>
    <t>7 months in role</t>
  </si>
  <si>
    <t>https://www.google.com/search?newwindow=1&amp;ei=2MT0XrvGGM-vytMP1OyDgAY&amp;q=site%3Alinkedin.com+Federica+Quattrone+Chicago+&amp;+NYC+Campus+Recruiter+Capgemini</t>
  </si>
  <si>
    <t>Kaitlyn White</t>
  </si>
  <si>
    <t>Columbia</t>
  </si>
  <si>
    <t>https://www.google.com/search?newwindow=1&amp;ei=2MT0XrvGGM-vytMP1OyDgAY&amp;q=site%3Alinkedin.com+Kaitlyn+White+Campus+Recruiter+Capgemini</t>
  </si>
  <si>
    <t>Jyothi Navaneeth</t>
  </si>
  <si>
    <t>Texas Region Campus Recruiter</t>
  </si>
  <si>
    <t>https://www.google.com/search?newwindow=1&amp;ei=2MT0XrvGGM-vytMP1OyDgAY&amp;q=site%3Alinkedin.com+Jyothi+Navaneeth+Texas+Region+Campus+Recruiter+Capgemini</t>
  </si>
  <si>
    <t>Anna Acenbrak</t>
  </si>
  <si>
    <t>North America Campus Recruiter</t>
  </si>
  <si>
    <t>2 years 10 months in role</t>
  </si>
  <si>
    <t>Fort Lauderdale</t>
  </si>
  <si>
    <t>https://www.google.com/search?newwindow=1&amp;ei=2MT0XrvGGM-vytMP1OyDgAY&amp;q=site%3Alinkedin.com+Anna+Acenbrak+North+America+Campus+Recruiter+Capgemini</t>
  </si>
  <si>
    <t>Kristell Muniz</t>
  </si>
  <si>
    <t>Talent Acquisition | Diversity &amp; Specialty Campus Recruiter</t>
  </si>
  <si>
    <t>https://www.google.com/search?newwindow=1&amp;ei=2MT0XrvGGM-vytMP1OyDgAY&amp;q=site%3Alinkedin.com+Kristell+Muniz+Talent+Acquisition+|+Diversity+&amp;+Specialty+Campus+Recruiter+Capgemini</t>
  </si>
  <si>
    <t>Steve Villa</t>
  </si>
  <si>
    <t>National Campus Recruiter</t>
  </si>
  <si>
    <t>7 years 8 months in role</t>
  </si>
  <si>
    <t>https://www.google.com/search?newwindow=1&amp;ei=2MT0XrvGGM-vytMP1OyDgAY&amp;q=site%3Alinkedin.com+Steve+Villa+National+Campus+Recruiter+Capgemini</t>
  </si>
  <si>
    <t>https://www.google.com/search?newwindow=1&amp;ei=2MT0XrvGGM-vytMP1OyDgAY&amp;q=site%3Alinkedin.com+Ashley+Ann+Cooper+Campus+Recruiter+Capgemini+Consulting</t>
  </si>
  <si>
    <t>Sarah Fitch</t>
  </si>
  <si>
    <t>Tech Campus Recruiter - Midwest Region</t>
  </si>
  <si>
    <t>Capital One</t>
  </si>
  <si>
    <t>https://www.google.com/search?newwindow=1&amp;ei=2MT0XrvGGM-vytMP1OyDgAY&amp;q=site%3Alinkedin.com+Sarah+Fitch+Tech+Campus+Recruiter+-+Midwest+Region+Capital+One</t>
  </si>
  <si>
    <t>Lauren Wright</t>
  </si>
  <si>
    <t>3 years 10 months in role</t>
  </si>
  <si>
    <t>https://www.google.com/search?newwindow=1&amp;ei=2MT0XrvGGM-vytMP1OyDgAY&amp;q=site%3Alinkedin.com+Lauren+Wright+Campus+Recruiter+Capital+One</t>
  </si>
  <si>
    <t>Vanessa Mauskapf (CONT)</t>
  </si>
  <si>
    <t>https://www.google.com/search?newwindow=1&amp;ei=2MT0XrvGGM-vytMP1OyDgAY&amp;q=site%3Alinkedin.com+Vanessa+Mauskapf+(CONT)+Campus+Recruiter+Capital+One</t>
  </si>
  <si>
    <t>Phylicia Montaque</t>
  </si>
  <si>
    <t>https://www.google.com/search?newwindow=1&amp;ei=2MT0XrvGGM-vytMP1OyDgAY&amp;q=site%3Alinkedin.com+Phylicia+Montaque+Campus+Recruiter+Capital+One</t>
  </si>
  <si>
    <t>Eugene Jacobs</t>
  </si>
  <si>
    <t>Falls Church</t>
  </si>
  <si>
    <t>https://www.google.com/search?newwindow=1&amp;ei=2MT0XrvGGM-vytMP1OyDgAY&amp;q=site%3Alinkedin.com+Eugene+Jacobs+Campus+Recruiter+Capital+One</t>
  </si>
  <si>
    <t>Jamar Renfro</t>
  </si>
  <si>
    <t>Lewisville</t>
  </si>
  <si>
    <t>https://www.google.com/search?newwindow=1&amp;ei=2MT0XrvGGM-vytMP1OyDgAY&amp;q=site%3Alinkedin.com+Jamar+Renfro+Campus+Recruiter+Capital+One</t>
  </si>
  <si>
    <t>Aaron Hendrickson</t>
  </si>
  <si>
    <t>Senior Manager, Campus Recruiting</t>
  </si>
  <si>
    <t>Mechanicsville</t>
  </si>
  <si>
    <t>https://www.google.com/search?newwindow=1&amp;ei=2MT0XrvGGM-vytMP1OyDgAY&amp;q=site%3Alinkedin.com+Aaron+Hendrickson+Senior+Manager,+Campus+Recruiting+Capital+One</t>
  </si>
  <si>
    <t>Mark Measell</t>
  </si>
  <si>
    <t>Midlothian</t>
  </si>
  <si>
    <t>https://www.google.com/search?newwindow=1&amp;ei=2MT0XrvGGM-vytMP1OyDgAY&amp;q=site%3Alinkedin.com+Mark+Measell+Campus+Recruiter+Capital+One</t>
  </si>
  <si>
    <t>Sahara Marte</t>
  </si>
  <si>
    <t>https://www.google.com/search?newwindow=1&amp;ei=2MT0XrvGGM-vytMP1OyDgAY&amp;q=site%3Alinkedin.com+Sahara+Marte+Campus+Recruiter+Capital+One</t>
  </si>
  <si>
    <t>Martha O'Brien</t>
  </si>
  <si>
    <t>Graduate Campus Recruiter | HR Rotational Program</t>
  </si>
  <si>
    <t>https://www.google.com/search?newwindow=1&amp;ei=2MT0XrvGGM-vytMP1OyDgAY&amp;q=site%3Alinkedin.com+Martha+O'Brien+Graduate+Campus+Recruiter+|+HR+Rotational+Program+Capital+One</t>
  </si>
  <si>
    <t>Pablo Briones</t>
  </si>
  <si>
    <t>https://www.google.com/search?newwindow=1&amp;ei=2MT0XrvGGM-vytMP1OyDgAY&amp;q=site%3Alinkedin.com+Pablo+Briones+Campus+Recruiter+Capital+One</t>
  </si>
  <si>
    <t>Lisa Crouse, CPA, SHRM-CP</t>
  </si>
  <si>
    <t>Senior Manager Recruiting</t>
  </si>
  <si>
    <t>Richmond</t>
  </si>
  <si>
    <t>https://www.google.com/search?newwindow=1&amp;ei=2MT0XrvGGM-vytMP1OyDgAY&amp;q=site%3Alinkedin.com+Lisa+Crouse,+CPA,+SHRM-CP+Senior+Manager+Recruiting+Capital+One</t>
  </si>
  <si>
    <t>Kelly Bowman</t>
  </si>
  <si>
    <t>Campus Recruiter, Technology (Southeast Region)</t>
  </si>
  <si>
    <t>https://www.google.com/search?newwindow=1&amp;ei=2MT0XrvGGM-vytMP1OyDgAY&amp;q=site%3Alinkedin.com+Kelly+Bowman+Campus+Recruiter,+Technology+(Southeast+Region)+Capital+One</t>
  </si>
  <si>
    <t>Lauren Cox</t>
  </si>
  <si>
    <t>https://www.google.com/search?newwindow=1&amp;ei=2MT0XrvGGM-vytMP1OyDgAY&amp;q=site%3Alinkedin.com+Lauren+Cox+Campus+Recruiter+Capital+One</t>
  </si>
  <si>
    <t>Tori Compton</t>
  </si>
  <si>
    <t>https://www.google.com/search?newwindow=1&amp;ei=2MT0XrvGGM-vytMP1OyDgAY&amp;q=site%3Alinkedin.com+Tori+Compton+Campus+Recruiter+Capital+One</t>
  </si>
  <si>
    <t>Chris Giacchi</t>
  </si>
  <si>
    <t>5 years 2 months in role</t>
  </si>
  <si>
    <t>https://www.google.com/search?newwindow=1&amp;ei=2MT0XrvGGM-vytMP1OyDgAY&amp;q=site%3Alinkedin.com+Chris+Giacchi+Sr.+Manager,+Campus+Recruiting+Capital+One</t>
  </si>
  <si>
    <t>Julia Christakos</t>
  </si>
  <si>
    <t>Process Manager, Campus Recruiting</t>
  </si>
  <si>
    <t>2 years 7 months in role</t>
  </si>
  <si>
    <t>https://www.google.com/search?newwindow=1&amp;ei=2MT0XrvGGM-vytMP1OyDgAY&amp;q=site%3Alinkedin.com+Julia+Christakos+Process+Manager,+Campus+Recruiting+Capital+One</t>
  </si>
  <si>
    <t>Peyton Lowery</t>
  </si>
  <si>
    <t>Senior Campus Recruiter - Technology</t>
  </si>
  <si>
    <t>https://www.google.com/search?newwindow=1&amp;ei=2MT0XrvGGM-vytMP1OyDgAY&amp;q=site%3Alinkedin.com+Peyton+Lowery+Senior+Campus+Recruiter+-+Technology+Capital+One</t>
  </si>
  <si>
    <t>Jarvis-Ricardo Johnson, MPA</t>
  </si>
  <si>
    <t>https://www.google.com/search?newwindow=1&amp;ei=2MT0XrvGGM-vytMP1OyDgAY&amp;q=site%3Alinkedin.com+Jarvis-Ricardo+Johnson,+MPA+Campus+Recruiter+Capital+One</t>
  </si>
  <si>
    <t>Meg Stabler</t>
  </si>
  <si>
    <t>Campus Recruiter, Business Analyst (Southeast Region)</t>
  </si>
  <si>
    <t>https://www.google.com/search?newwindow=1&amp;ei=2MT0XrvGGM-vytMP1OyDgAY&amp;q=site%3Alinkedin.com+Meg+Stabler+Campus+Recruiter,+Business+Analyst+(Southeast+Region)+Capital+One</t>
  </si>
  <si>
    <t>Mary Kate Duncan</t>
  </si>
  <si>
    <t>4 years 6 months in role and company</t>
  </si>
  <si>
    <t>https://www.google.com/search?newwindow=1&amp;ei=2MT0XrvGGM-vytMP1OyDgAY&amp;q=site%3Alinkedin.com+Mary+Kate+Duncan+Campus+Recruiter+Capital+One</t>
  </si>
  <si>
    <t>Sarah Bigelow</t>
  </si>
  <si>
    <t>https://www.google.com/search?newwindow=1&amp;ei=2MT0XrvGGM-vytMP1OyDgAY&amp;q=site%3Alinkedin.com+Sarah+Bigelow+Campus+Recruiter+Capital+One</t>
  </si>
  <si>
    <t>Katie Griffin</t>
  </si>
  <si>
    <t>HR Associate, Analyst Campus Programs</t>
  </si>
  <si>
    <t>https://www.google.com/search?newwindow=1&amp;ei=2MT0XrvGGM-vytMP1OyDgAY&amp;q=site%3Alinkedin.com+Katie+Griffin+HR+Associate,+Analyst+Campus+Programs+Capital+One</t>
  </si>
  <si>
    <t>Addison Leftwich</t>
  </si>
  <si>
    <t>3 years 3 months in role and company</t>
  </si>
  <si>
    <t>https://www.google.com/search?newwindow=1&amp;ei=2MT0XrvGGM-vytMP1OyDgAY&amp;q=site%3Alinkedin.com+Addison+Leftwich+Campus+Recruiter+Capital+One</t>
  </si>
  <si>
    <t>Kwanza K. Nunn, SPHR, SHRM-SCP</t>
  </si>
  <si>
    <t>https://www.google.com/search?newwindow=1&amp;ei=2MT0XrvGGM-vytMP1OyDgAY&amp;q=site%3Alinkedin.com+Kwanza+K.+Nunn,+SPHR,+SHRM-SCP+Campus+Recruiting+Manager+Capital+One</t>
  </si>
  <si>
    <t>Faith Holland</t>
  </si>
  <si>
    <t>Tech Recruiter, Campus Recruiting</t>
  </si>
  <si>
    <t>https://www.google.com/search?newwindow=1&amp;ei=2MT0XrvGGM-vytMP1OyDgAY&amp;q=site%3Alinkedin.com+Faith+Holland+Tech+Recruiter,+Campus+Recruiting+Capital+One</t>
  </si>
  <si>
    <t>Monica Diocades</t>
  </si>
  <si>
    <t>https://www.google.com/search?newwindow=1&amp;ei=2MT0XrvGGM-vytMP1OyDgAY&amp;q=site%3Alinkedin.com+Monica+Diocades+Campus+Recruiter+Capital+One</t>
  </si>
  <si>
    <t>Kelsey Indorf</t>
  </si>
  <si>
    <t>Campus Recruiting Senior Manager</t>
  </si>
  <si>
    <t>https://www.google.com/search?newwindow=1&amp;ei=2MT0XrvGGM-vytMP1OyDgAY&amp;q=site%3Alinkedin.com+Kelsey+Indorf+Campus+Recruiting+Senior+Manager+Capital+One</t>
  </si>
  <si>
    <t>Hayley (Ford) Nainani</t>
  </si>
  <si>
    <t>https://www.google.com/search?newwindow=1&amp;ei=2MT0XrvGGM-vytMP1OyDgAY&amp;q=site%3Alinkedin.com+Hayley+(Ford)+Nainani+Campus+Recruiting+Manager+Capital+One</t>
  </si>
  <si>
    <t>Anthony Jimenez</t>
  </si>
  <si>
    <t>Tech Recruiter - Campus Recruiting</t>
  </si>
  <si>
    <t>https://www.google.com/search?newwindow=1&amp;ei=2MT0XrvGGM-vytMP1OyDgAY&amp;q=site%3Alinkedin.com+Anthony+Jimenez+Tech+Recruiter+-+Campus+Recruiting+Capital+One</t>
  </si>
  <si>
    <t>Alan Ward (he/him)</t>
  </si>
  <si>
    <t>Campus Recruiter - Enterprise Programs</t>
  </si>
  <si>
    <t>https://www.google.com/search?newwindow=1&amp;ei=2MT0XrvGGM-vytMP1OyDgAY&amp;q=site%3Alinkedin.com+Alan+Ward+(he/him)+Campus+Recruiter+-+Enterprise+Programs+Capital+One</t>
  </si>
  <si>
    <t>Nyla Walker</t>
  </si>
  <si>
    <t>Senior Diversity &amp; Inclusion Campus Recruiter</t>
  </si>
  <si>
    <t>https://www.google.com/search?newwindow=1&amp;ei=2MT0XrvGGM-vytMP1OyDgAY&amp;q=site%3Alinkedin.com+Nyla+Walker+Senior+Diversity+&amp;+Inclusion+Campus+Recruiter+Capital+One</t>
  </si>
  <si>
    <t>Arielle Singleton</t>
  </si>
  <si>
    <t>https://www.google.com/search?newwindow=1&amp;ei=2MT0XrvGGM-vytMP1OyDgAY&amp;q=site%3Alinkedin.com+Arielle+Singleton+Campus+Recruiter+Capital+One</t>
  </si>
  <si>
    <t>Rachel Turner</t>
  </si>
  <si>
    <t>https://www.google.com/search?newwindow=1&amp;ei=2MT0XrvGGM-vytMP1OyDgAY&amp;q=site%3Alinkedin.com+Rachel+Turner+Campus+Recruiter+Capital+One</t>
  </si>
  <si>
    <t>Stephanie Wharton</t>
  </si>
  <si>
    <t>https://www.google.com/search?newwindow=1&amp;ei=2MT0XrvGGM-vytMP1OyDgAY&amp;q=site%3Alinkedin.com+Stephanie+Wharton+Campus+Recruiter+Capital+One</t>
  </si>
  <si>
    <t>Lexus Kennedy</t>
  </si>
  <si>
    <t>Operations Manager</t>
  </si>
  <si>
    <t>Cargill</t>
  </si>
  <si>
    <t>https://www.google.com/search?newwindow=1&amp;ei=2MT0XrvGGM-vytMP1OyDgAY&amp;q=site%3Alinkedin.com+Lexus+Kennedy+Operations+Manager+Cargill</t>
  </si>
  <si>
    <t>Anais Diaz</t>
  </si>
  <si>
    <t>University Recruiter Specialist</t>
  </si>
  <si>
    <t>Dyer</t>
  </si>
  <si>
    <t>Indiana</t>
  </si>
  <si>
    <t>https://www.google.com/search?newwindow=1&amp;ei=2MT0XrvGGM-vytMP1OyDgAY&amp;q=site%3Alinkedin.com+Anais+Diaz+University+Recruiter+Specialist+Cargill</t>
  </si>
  <si>
    <t>Samgwa'a Ndifontah</t>
  </si>
  <si>
    <t>Mason City</t>
  </si>
  <si>
    <t>Iowa</t>
  </si>
  <si>
    <t>https://www.google.com/search?newwindow=1&amp;ei=2MT0XrvGGM-vytMP1OyDgAY&amp;q=site%3Alinkedin.com+Samgwa'a+Ndifontah+University+Recruiter+Cargill</t>
  </si>
  <si>
    <t>Megan Thomas</t>
  </si>
  <si>
    <t>Associate University Recruiter</t>
  </si>
  <si>
    <t>Minneapolis</t>
  </si>
  <si>
    <t>Minnesota</t>
  </si>
  <si>
    <t>https://www.google.com/search?newwindow=1&amp;ei=2MT0XrvGGM-vytMP1OyDgAY&amp;q=site%3Alinkedin.com+Megan+Thomas+Associate+University+Recruiter+Cargill</t>
  </si>
  <si>
    <t>Jill Spohn, M.A., H.R.M.</t>
  </si>
  <si>
    <t>University Recruiting Specialist</t>
  </si>
  <si>
    <t>3 years 7 months in role</t>
  </si>
  <si>
    <t>https://www.google.com/search?newwindow=1&amp;ei=2MT0XrvGGM-vytMP1OyDgAY&amp;q=site%3Alinkedin.com+Jill+Spohn,+M.A.,+H.R.M.+University+Recruiting+Specialist+Cargill</t>
  </si>
  <si>
    <t>Katie Johnson</t>
  </si>
  <si>
    <t>Wichita</t>
  </si>
  <si>
    <t>Kansas</t>
  </si>
  <si>
    <t>https://www.google.com/search?newwindow=1&amp;ei=2MT0XrvGGM-vytMP1OyDgAY&amp;q=site%3Alinkedin.com+Katie+Johnson+Campus+Recruiter+Cargill</t>
  </si>
  <si>
    <t>Whitney Ragan</t>
  </si>
  <si>
    <t>CGI</t>
  </si>
  <si>
    <t>https://www.google.com/search?newwindow=1&amp;ei=2MT0XrvGGM-vytMP1OyDgAY&amp;q=site%3Alinkedin.com+Whitney+Ragan+College+Recruiter+CGI</t>
  </si>
  <si>
    <t>Rebecca Teti</t>
  </si>
  <si>
    <t>Chantilly</t>
  </si>
  <si>
    <t>https://www.google.com/search?newwindow=1&amp;ei=2MT0XrvGGM-vytMP1OyDgAY&amp;q=site%3Alinkedin.com+Rebecca+Teti+College+Recruiter+CGI</t>
  </si>
  <si>
    <t>Madeline Sills</t>
  </si>
  <si>
    <t>College Recruiter - US West</t>
  </si>
  <si>
    <t>https://www.google.com/search?newwindow=1&amp;ei=2MT0XrvGGM-vytMP1OyDgAY&amp;q=site%3Alinkedin.com+Madeline+Sills+College+Recruiter+-+US+West+CGI</t>
  </si>
  <si>
    <t>Anne Marie Swanson (she/her/hers), PMP</t>
  </si>
  <si>
    <t>U.S. STEM@CGI, Manager</t>
  </si>
  <si>
    <t>Lafayette</t>
  </si>
  <si>
    <t>https://www.google.com/search?newwindow=1&amp;ei=2MT0XrvGGM-vytMP1OyDgAY&amp;q=site%3Alinkedin.com+Anne+Marie+Swanson+(she/her/hers),+PMP+U.S.+STEM@CGI,+Manager+CGI</t>
  </si>
  <si>
    <t>Katherine Zehnder</t>
  </si>
  <si>
    <t>https://www.google.com/search?newwindow=1&amp;ei=2MT0XrvGGM-vytMP1OyDgAY&amp;q=site%3Alinkedin.com+Katherine+Zehnder+College+Recruiter+CGI</t>
  </si>
  <si>
    <t>Carrie Eggleston</t>
  </si>
  <si>
    <t>3 years 3 months in role</t>
  </si>
  <si>
    <t>https://www.google.com/search?newwindow=1&amp;ei=2MT0XrvGGM-vytMP1OyDgAY&amp;q=site%3Alinkedin.com+Carrie+Eggleston+College+Recruiter+CGI</t>
  </si>
  <si>
    <t>Luke Lawson</t>
  </si>
  <si>
    <t>https://www.google.com/search?newwindow=1&amp;ei=2MT0XrvGGM-vytMP1OyDgAY&amp;q=site%3Alinkedin.com+Luke+Lawson+Campus+Recruiter+CGI</t>
  </si>
  <si>
    <t>Kristin Rymaruk</t>
  </si>
  <si>
    <t>College Recruiting Manager</t>
  </si>
  <si>
    <t>Leesburg</t>
  </si>
  <si>
    <t>https://www.google.com/search?newwindow=1&amp;ei=2MT0XrvGGM-vytMP1OyDgAY&amp;q=site%3Alinkedin.com+Kristin+Rymaruk+College+Recruiting+Manager+CGI</t>
  </si>
  <si>
    <t>Heather Fusko</t>
  </si>
  <si>
    <t>https://www.google.com/search?newwindow=1&amp;ei=2MT0XrvGGM-vytMP1OyDgAY&amp;q=site%3Alinkedin.com+Heather+Fusko+College+Recruiter+CGI</t>
  </si>
  <si>
    <t>Ashley Beamish</t>
  </si>
  <si>
    <t>Senior College Recruiter</t>
  </si>
  <si>
    <t>https://www.google.com/search?newwindow=1&amp;ei=2MT0XrvGGM-vytMP1OyDgAY&amp;q=site%3Alinkedin.com+Ashley+Beamish+Senior+College+Recruiter+CGI</t>
  </si>
  <si>
    <t>Elizabeth DiTroia</t>
  </si>
  <si>
    <t>Chewy</t>
  </si>
  <si>
    <t>https://www.google.com/search?newwindow=1&amp;ei=2MT0XrvGGM-vytMP1OyDgAY&amp;q=site%3Alinkedin.com+Elizabeth+DiTroia+Campus+Recruiter+Chewy</t>
  </si>
  <si>
    <t>Erin Casey</t>
  </si>
  <si>
    <t>https://www.google.com/search?newwindow=1&amp;ei=2MT0XrvGGM-vytMP1OyDgAY&amp;q=site%3Alinkedin.com+Erin+Casey+Campus+Recruiter+Chewy</t>
  </si>
  <si>
    <t>Erika Howe Carter</t>
  </si>
  <si>
    <t>https://www.google.com/search?newwindow=1&amp;ei=2MT0XrvGGM-vytMP1OyDgAY&amp;q=site%3Alinkedin.com+Erika+Howe+Carter+Sr.+Campus+Recruiter+Chewy</t>
  </si>
  <si>
    <t>Jennifer C.</t>
  </si>
  <si>
    <t>https://www.google.com/search?newwindow=1&amp;ei=2MT0XrvGGM-vytMP1OyDgAY&amp;q=site%3Alinkedin.com+Jennifer+C.+Campus+Recruiter+Chewy</t>
  </si>
  <si>
    <t>Dante Cunningham</t>
  </si>
  <si>
    <t>Recruiting Manager, Campus Recruiting - Diversity, Equity, &amp; Inclusion</t>
  </si>
  <si>
    <t>Saugus</t>
  </si>
  <si>
    <t>https://www.google.com/search?newwindow=1&amp;ei=2MT0XrvGGM-vytMP1OyDgAY&amp;q=site%3Alinkedin.com+Dante+Cunningham+Recruiting+Manager,+Campus+Recruiting+-+Diversity,+Equity,+&amp;+Inclusion+Chewy</t>
  </si>
  <si>
    <t>Lauren Araujo</t>
  </si>
  <si>
    <t>Cisco</t>
  </si>
  <si>
    <t>Capitola</t>
  </si>
  <si>
    <t>https://www.google.com/search?newwindow=1&amp;ei=2MT0XrvGGM-vytMP1OyDgAY&amp;q=site%3Alinkedin.com+Lauren+Araujo+University+Recruiter+Cisco</t>
  </si>
  <si>
    <t>Brianna (Bri) Birkeness</t>
  </si>
  <si>
    <t>University Recruiter - Engineering</t>
  </si>
  <si>
    <t>https://www.google.com/search?newwindow=1&amp;ei=2MT0XrvGGM-vytMP1OyDgAY&amp;q=site%3Alinkedin.com+Brianna+(Bri)+Birkeness+University+Recruiter+-+Engineering+Cisco</t>
  </si>
  <si>
    <t>Michelle O'Connell</t>
  </si>
  <si>
    <t>https://www.google.com/search?newwindow=1&amp;ei=2MT0XrvGGM-vytMP1OyDgAY&amp;q=site%3Alinkedin.com+Michelle+O'Connell+University+Recruiter+Cisco</t>
  </si>
  <si>
    <t>Nathaniel L.</t>
  </si>
  <si>
    <t>https://www.google.com/search?newwindow=1&amp;ei=2MT0XrvGGM-vytMP1OyDgAY&amp;q=site%3Alinkedin.com+Nathaniel+L.+University+Recruiter+Cisco</t>
  </si>
  <si>
    <t>Stephanie Phillips</t>
  </si>
  <si>
    <t>Santa Rosa Beach</t>
  </si>
  <si>
    <t>https://www.google.com/search?newwindow=1&amp;ei=2MT0XrvGGM-vytMP1OyDgAY&amp;q=site%3Alinkedin.com+Stephanie+Phillips+University+Recruiter+Cisco</t>
  </si>
  <si>
    <t>Dawn McLaughlin</t>
  </si>
  <si>
    <t>University Recruiting Lead, Engineering</t>
  </si>
  <si>
    <t>St Louis</t>
  </si>
  <si>
    <t>https://www.google.com/search?newwindow=1&amp;ei=2MT0XrvGGM-vytMP1OyDgAY&amp;q=site%3Alinkedin.com+Dawn+McLaughlin+University+Recruiting+Lead,+Engineering+Cisco</t>
  </si>
  <si>
    <t>Senior Technical Recruiter</t>
  </si>
  <si>
    <t>5 years 4 months in role</t>
  </si>
  <si>
    <t>https://www.google.com/search?newwindow=1&amp;ei=2MT0XrvGGM-vytMP1OyDgAY&amp;q=site%3Alinkedin.com+Dawn+McLaughlin+Senior+Technical+Recruiter+Cisco</t>
  </si>
  <si>
    <t>Kayla Stueland-Imo</t>
  </si>
  <si>
    <t>Technical University Recruiter</t>
  </si>
  <si>
    <t>https://www.google.com/search?newwindow=1&amp;ei=2MT0XrvGGM-vytMP1OyDgAY&amp;q=site%3Alinkedin.com+Kayla+Stueland-Imo+Technical+University+Recruiter+Cisco+Meraki</t>
  </si>
  <si>
    <t>Erica Cox</t>
  </si>
  <si>
    <t>https://www.google.com/search?newwindow=1&amp;ei=2MT0XrvGGM-vytMP1OyDgAY&amp;q=site%3Alinkedin.com+Erica+Cox+College+Recruiter+Cisco+Systems</t>
  </si>
  <si>
    <t>Dawn Harvey</t>
  </si>
  <si>
    <t>Cisco Systems  Recruiter-University Recruiting</t>
  </si>
  <si>
    <t>9 years 1 month in role and company</t>
  </si>
  <si>
    <t>San Antonio</t>
  </si>
  <si>
    <t>https://www.google.com/search?newwindow=1&amp;ei=2MT0XrvGGM-vytMP1OyDgAY&amp;q=site%3Alinkedin.com+Dawn+Harvey+Cisco+Systems++Recruiter-University+Recruiting+Cisco+Systems</t>
  </si>
  <si>
    <t>Jill Decker</t>
  </si>
  <si>
    <t>https://www.google.com/search?newwindow=1&amp;ei=2MT0XrvGGM-vytMP1OyDgAY&amp;q=site%3Alinkedin.com+Jill+Decker+University+Recruiter+Cisco+Systems,+Inc.</t>
  </si>
  <si>
    <t>Dawn Johnson</t>
  </si>
  <si>
    <t>Wake Forest</t>
  </si>
  <si>
    <t>https://www.google.com/search?newwindow=1&amp;ei=2MT0XrvGGM-vytMP1OyDgAY&amp;q=site%3Alinkedin.com+Dawn+Johnson+College+Recruiter+Cisco+Systems,+Inc.</t>
  </si>
  <si>
    <t>Andrew L. Saenz</t>
  </si>
  <si>
    <t>Citadel</t>
  </si>
  <si>
    <t>https://www.google.com/search?newwindow=1&amp;ei=2MT0XrvGGM-vytMP1OyDgAY&amp;q=site%3Alinkedin.com+Andrew+L.+Saenz+Campus+Recruiter+Citadel</t>
  </si>
  <si>
    <t>Allie McMahon</t>
  </si>
  <si>
    <t>https://www.google.com/search?newwindow=1&amp;ei=2MT0XrvGGM-vytMP1OyDgAY&amp;q=site%3Alinkedin.com+Allie+McMahon+Campus+Recruiting+Manager+Citadel</t>
  </si>
  <si>
    <t>Grace Martin</t>
  </si>
  <si>
    <t>Campus Recruiter - Quantitative Research</t>
  </si>
  <si>
    <t>https://www.google.com/search?newwindow=1&amp;ei=2MT0XrvGGM-vytMP1OyDgAY&amp;q=site%3Alinkedin.com+Grace+Martin+Campus+Recruiter+-+Quantitative+Research+Citadel</t>
  </si>
  <si>
    <t>Erin Bergano</t>
  </si>
  <si>
    <t>Manager, Trading Campus Recruiting</t>
  </si>
  <si>
    <t>https://www.google.com/search?newwindow=1&amp;ei=2MT0XrvGGM-vytMP1OyDgAY&amp;q=site%3Alinkedin.com+Erin+Bergano+Manager,+Trading+Campus+Recruiting+Citadel</t>
  </si>
  <si>
    <t>Cody Patrina</t>
  </si>
  <si>
    <t>https://www.google.com/search?newwindow=1&amp;ei=2MT0XrvGGM-vytMP1OyDgAY&amp;q=site%3Alinkedin.com+Cody+Patrina+Campus+Recruiter+Citadel</t>
  </si>
  <si>
    <t>Avianna Goldman</t>
  </si>
  <si>
    <t>https://www.google.com/search?newwindow=1&amp;ei=2MT0XrvGGM-vytMP1OyDgAY&amp;q=site%3Alinkedin.com+Avianna+Goldman+Campus+Recruiter+Citadel</t>
  </si>
  <si>
    <t>Brett Parker</t>
  </si>
  <si>
    <t>https://www.google.com/search?newwindow=1&amp;ei=2MT0XrvGGM-vytMP1OyDgAY&amp;q=site%3Alinkedin.com+Brett+Parker+Campus+Recruiter+Citadel</t>
  </si>
  <si>
    <t>Colleen Mullin</t>
  </si>
  <si>
    <t>https://www.google.com/search?newwindow=1&amp;ei=2MT0XrvGGM-vytMP1OyDgAY&amp;q=site%3Alinkedin.com+Colleen+Mullin+Campus+Recruiter+Citadel+LLC</t>
  </si>
  <si>
    <t>Gwendolyn Hickey</t>
  </si>
  <si>
    <t>https://www.google.com/search?newwindow=1&amp;ei=2MT0XrvGGM-vytMP1OyDgAY&amp;q=site%3Alinkedin.com+Gwendolyn+Hickey+Campus+Recruiter+-+Quantitative+Research+Citadel+LLC</t>
  </si>
  <si>
    <t>Margaret Norman</t>
  </si>
  <si>
    <t>Citi</t>
  </si>
  <si>
    <t>6 years 10 months in role and company</t>
  </si>
  <si>
    <t>https://www.google.com/search?newwindow=1&amp;ei=2MT0XrvGGM-vytMP1OyDgAY&amp;q=site%3Alinkedin.com+Margaret+Norman+Campus+Recruiter+Citi</t>
  </si>
  <si>
    <t>Jacqueline Waugh</t>
  </si>
  <si>
    <t>10 years  in role and company</t>
  </si>
  <si>
    <t>Brick</t>
  </si>
  <si>
    <t>https://www.google.com/search?newwindow=1&amp;ei=2MT0XrvGGM-vytMP1OyDgAY&amp;q=site%3Alinkedin.com+Jacqueline+Waugh+Campus+Recruiting+Manager+Citi</t>
  </si>
  <si>
    <t>Katherine David</t>
  </si>
  <si>
    <t>https://www.google.com/search?newwindow=1&amp;ei=2MT0XrvGGM-vytMP1OyDgAY&amp;q=site%3Alinkedin.com+Katherine+David+Campus+Recruiter+Citi</t>
  </si>
  <si>
    <t>Camille Pasquier</t>
  </si>
  <si>
    <t>https://www.google.com/search?newwindow=1&amp;ei=2MT0XrvGGM-vytMP1OyDgAY&amp;q=site%3Alinkedin.com+Camille+Pasquier+Campus+Recruiter+Citi</t>
  </si>
  <si>
    <t>Lauren Harrison</t>
  </si>
  <si>
    <t>Campus Recruiter - Global Consumer Technology</t>
  </si>
  <si>
    <t>https://www.google.com/search?newwindow=1&amp;ei=2MT0XrvGGM-vytMP1OyDgAY&amp;q=site%3Alinkedin.com+Lauren+Harrison+Campus+Recruiter+-+Global+Consumer+Technology+Citi</t>
  </si>
  <si>
    <t>Abigail Nelson</t>
  </si>
  <si>
    <t>Las Vegas</t>
  </si>
  <si>
    <t>https://www.google.com/search?newwindow=1&amp;ei=2MT0XrvGGM-vytMP1OyDgAY&amp;q=site%3Alinkedin.com+Abigail+Nelson+Campus+Recruiter+Citi</t>
  </si>
  <si>
    <t>Tiffany Palacios Hawkins</t>
  </si>
  <si>
    <t>Campus Recruiting Manager, Global Functions</t>
  </si>
  <si>
    <t>https://www.google.com/search?newwindow=1&amp;ei=2MT0XrvGGM-vytMP1OyDgAY&amp;q=site%3Alinkedin.com+Tiffany+Palacios+Hawkins+Campus+Recruiting+Manager,+Global+Functions+Citi</t>
  </si>
  <si>
    <t>Emily Bilotta</t>
  </si>
  <si>
    <t>Vice President, Head of University Relations</t>
  </si>
  <si>
    <t>https://www.google.com/search?newwindow=1&amp;ei=2MT0XrvGGM-vytMP1OyDgAY&amp;q=site%3Alinkedin.com+Emily+Bilotta+Vice+President,+Head+of+University+Relations+Citi</t>
  </si>
  <si>
    <t>Sivona Blake</t>
  </si>
  <si>
    <t>Assistant Vice President - Senior Diversity Campus Recruiter</t>
  </si>
  <si>
    <t>6 months in role and company</t>
  </si>
  <si>
    <t>https://www.google.com/search?newwindow=1&amp;ei=2MT0XrvGGM-vytMP1OyDgAY&amp;q=site%3Alinkedin.com+Sivona+Blake+Assistant+Vice+President+-+Senior+Diversity+Campus+Recruiter+Citi</t>
  </si>
  <si>
    <t>Sarah Glaser</t>
  </si>
  <si>
    <t>https://www.google.com/search?newwindow=1&amp;ei=2MT0XrvGGM-vytMP1OyDgAY&amp;q=site%3Alinkedin.com+Sarah+Glaser+Assistant+Vice+President,+Campus+Recruiter+Citi</t>
  </si>
  <si>
    <t>Lauren Cooley</t>
  </si>
  <si>
    <t>Assistant Vice President, MBA Campus Recruiter and HR Program Manager for Investment Banking</t>
  </si>
  <si>
    <t>https://www.google.com/search?newwindow=1&amp;ei=2MT0XrvGGM-vytMP1OyDgAY&amp;q=site%3Alinkedin.com+Lauren+Cooley+Assistant+Vice+President,+MBA+Campus+Recruiter+and+HR+Program+Manager+for+Investment+Banking+Citi</t>
  </si>
  <si>
    <t>Megan Franklin</t>
  </si>
  <si>
    <t>AVP, Campus Program Manager and Recruiter</t>
  </si>
  <si>
    <t>2 years 8 months in role</t>
  </si>
  <si>
    <t>https://www.google.com/search?newwindow=1&amp;ei=2MT0XrvGGM-vytMP1OyDgAY&amp;q=site%3Alinkedin.com+Megan+Franklin+AVP,+Campus+Program+Manager+and+Recruiter+Citi</t>
  </si>
  <si>
    <t>Emily White (Rodgers)</t>
  </si>
  <si>
    <t>Assistant Vice President, Campus Recruiter - Banking, Capital Markets &amp; Advisory</t>
  </si>
  <si>
    <t>https://www.google.com/search?newwindow=1&amp;ei=2MT0XrvGGM-vytMP1OyDgAY&amp;q=site%3Alinkedin.com+Emily+White+(Rodgers)+Assistant+Vice+President,+Campus+Recruiter+-+Banking,+Capital+Markets+&amp;+Advisory+Citi</t>
  </si>
  <si>
    <t>Assistant Vice President, Campus Recruiter &amp; Program Manager</t>
  </si>
  <si>
    <t>https://www.google.com/search?newwindow=1&amp;ei=2MT0XrvGGM-vytMP1OyDgAY&amp;q=site%3Alinkedin.com+Emily+Bilotta+Assistant+Vice+President,+Campus+Recruiter+&amp;+Program+Manager+Citi</t>
  </si>
  <si>
    <t>10 years 10 months in role and company</t>
  </si>
  <si>
    <t>https://www.google.com/search?newwindow=1&amp;ei=2MT0XrvGGM-vytMP1OyDgAY&amp;q=site%3Alinkedin.com+Jacqueline+Waugh+Campus+Recruiter+Citi</t>
  </si>
  <si>
    <t>Yesenia Gomez</t>
  </si>
  <si>
    <t>Vice President, Campus Diversity Recruiting Manager</t>
  </si>
  <si>
    <t>https://www.google.com/search?newwindow=1&amp;ei=2MT0XrvGGM-vytMP1OyDgAY&amp;q=site%3Alinkedin.com+Yesenia+Gomez+Vice+President,+Campus+Diversity+Recruiting+Manager+Citi</t>
  </si>
  <si>
    <t>Samantha Robins</t>
  </si>
  <si>
    <t>Vice President, Technology Campus Recruiting Manager at Citi</t>
  </si>
  <si>
    <t>https://www.google.com/search?newwindow=1&amp;ei=2MT0XrvGGM-vytMP1OyDgAY&amp;q=site%3Alinkedin.com+Samantha+Robins+Vice+President,+Technology+Campus+Recruiting+Manager+at+Citi+Citi</t>
  </si>
  <si>
    <t>Erica Strunkey</t>
  </si>
  <si>
    <t>Assistant Vice President - Senior Campus Recruiter</t>
  </si>
  <si>
    <t>https://www.google.com/search?newwindow=1&amp;ei=2MT0XrvGGM-vytMP1OyDgAY&amp;q=site%3Alinkedin.com+Erica+Strunkey+Assistant+Vice+President+-+Senior+Campus+Recruiter+Citi</t>
  </si>
  <si>
    <t>Devika Seeraj</t>
  </si>
  <si>
    <t>Assistant Vice President - Campus Recruiter</t>
  </si>
  <si>
    <t>https://www.google.com/search?newwindow=1&amp;ei=2MT0XrvGGM-vytMP1OyDgAY&amp;q=site%3Alinkedin.com+Devika+Seeraj+Assistant+Vice+President+-+Campus+Recruiter+Citi</t>
  </si>
  <si>
    <t>Jennifer Lynch</t>
  </si>
  <si>
    <t>Assistant Vice President, Senior Recruiter Campus Recruiting - Sales &amp; Trading</t>
  </si>
  <si>
    <t>https://www.google.com/search?newwindow=1&amp;ei=2MT0XrvGGM-vytMP1OyDgAY&amp;q=site%3Alinkedin.com+Jennifer+Lynch+Assistant+Vice+President,+Senior+Recruiter+Campus+Recruiting+-+Sales+&amp;+Trading+Citi</t>
  </si>
  <si>
    <t>Danielle Sirubi</t>
  </si>
  <si>
    <t>1 year  in role</t>
  </si>
  <si>
    <t>https://www.google.com/search?newwindow=1&amp;ei=2MT0XrvGGM-vytMP1OyDgAY&amp;q=site%3Alinkedin.com+Danielle+Sirubi+Assistant+Vice+President,+Campus+Recruiter+-+Banking,+Capital+Markets+&amp;+Advisory+Citi</t>
  </si>
  <si>
    <t>Michelle D'Erario</t>
  </si>
  <si>
    <t>https://www.google.com/search?newwindow=1&amp;ei=2MT0XrvGGM-vytMP1OyDgAY&amp;q=site%3Alinkedin.com+Michelle+D'Erario+Assistant+Vice+President,+Campus+Recruiter+Citi</t>
  </si>
  <si>
    <t>Rhiannon (Anna) C.</t>
  </si>
  <si>
    <t>Campus Recruiter Coordinator</t>
  </si>
  <si>
    <t>https://www.google.com/search?newwindow=1&amp;ei=2MT0XrvGGM-vytMP1OyDgAY&amp;q=site%3Alinkedin.com+Rhiannon+(Anna)+C.+Campus+Recruiter+Coordinator+Citi</t>
  </si>
  <si>
    <t>Xavien Jackson</t>
  </si>
  <si>
    <t>Tampa</t>
  </si>
  <si>
    <t>https://www.google.com/search?newwindow=1&amp;ei=2MT0XrvGGM-vytMP1OyDgAY&amp;q=site%3Alinkedin.com+Xavien+Jackson+Campus+Recruiter+Citi</t>
  </si>
  <si>
    <t>Kate Myers</t>
  </si>
  <si>
    <t>15 years 5 months in role and company</t>
  </si>
  <si>
    <t>Union City</t>
  </si>
  <si>
    <t>https://www.google.com/search?newwindow=1&amp;ei=2MT0XrvGGM-vytMP1OyDgAY&amp;q=site%3Alinkedin.com+Kate+Myers+Campus+Recruiter+Citigroup</t>
  </si>
  <si>
    <t>Kalli Brooks</t>
  </si>
  <si>
    <t>University Sourcing Recruiter</t>
  </si>
  <si>
    <t>Citrix</t>
  </si>
  <si>
    <t>https://www.google.com/search?newwindow=1&amp;ei=2MT0XrvGGM-vytMP1OyDgAY&amp;q=site%3Alinkedin.com+Kalli+Brooks+University+Sourcing+Recruiter+Citrix</t>
  </si>
  <si>
    <t>Kamor Brown</t>
  </si>
  <si>
    <t>https://www.google.com/search?newwindow=1&amp;ei=2MT0XrvGGM-vytMP1OyDgAY&amp;q=site%3Alinkedin.com+Kamor+Brown+University+Recruiter+Citrix</t>
  </si>
  <si>
    <t>Amy Grant</t>
  </si>
  <si>
    <t>University Recruiter, Americas Engineering</t>
  </si>
  <si>
    <t>https://www.google.com/search?newwindow=1&amp;ei=2MT0XrvGGM-vytMP1OyDgAY&amp;q=site%3Alinkedin.com+Amy+Grant+University+Recruiter,+Americas+Engineering+Citrix</t>
  </si>
  <si>
    <t>Stacey Kubler</t>
  </si>
  <si>
    <t>Lead University Recruiter</t>
  </si>
  <si>
    <t>6 years 4 months in role and company</t>
  </si>
  <si>
    <t>https://www.google.com/search?newwindow=1&amp;ei=2MT0XrvGGM-vytMP1OyDgAY&amp;q=site%3Alinkedin.com+Stacey+Kubler+Lead+University+Recruiter+Citrix</t>
  </si>
  <si>
    <t>Jacqueline Kelley</t>
  </si>
  <si>
    <t>Cognizant</t>
  </si>
  <si>
    <t>Argyle</t>
  </si>
  <si>
    <t>https://www.google.com/search?newwindow=1&amp;ei=2MT0XrvGGM-vytMP1OyDgAY&amp;q=site%3Alinkedin.com+Jacqueline+Kelley+University+Recruiter+Cognizant</t>
  </si>
  <si>
    <t>Gwen Anderson</t>
  </si>
  <si>
    <t>Senior Recruiter, North America Campus Recruitment at Cognizant</t>
  </si>
  <si>
    <t>https://www.google.com/search?newwindow=1&amp;ei=2MT0XrvGGM-vytMP1OyDgAY&amp;q=site%3Alinkedin.com+Gwen+Anderson+Senior+Recruiter,+North+America+Campus+Recruitment+at+Cognizant+Cognizant</t>
  </si>
  <si>
    <t>Melina Barona (she/her), M.Ed, PHR</t>
  </si>
  <si>
    <t>Senior Manager - US Campus Recruiting</t>
  </si>
  <si>
    <t>https://www.google.com/search?newwindow=1&amp;ei=2MT0XrvGGM-vytMP1OyDgAY&amp;q=site%3Alinkedin.com+Melina+Barona+(she/her),+M.Ed,+PHR+Senior+Manager+-+US+Campus+Recruiting+Cognizant+Technology+Solutions</t>
  </si>
  <si>
    <t>Rick Dreger</t>
  </si>
  <si>
    <t>Comcast</t>
  </si>
  <si>
    <t>https://www.google.com/search?newwindow=1&amp;ei=2MT0XrvGGM-vytMP1OyDgAY&amp;q=site%3Alinkedin.com+Rick+Dreger+University+Relations+Recruiter+Comcast</t>
  </si>
  <si>
    <t>Alexandra Riley Zullo</t>
  </si>
  <si>
    <t>Senior University Relations Recruiter</t>
  </si>
  <si>
    <t>https://www.google.com/search?newwindow=1&amp;ei=2MT0XrvGGM-vytMP1OyDgAY&amp;q=site%3Alinkedin.com+Alexandra+Riley+Zullo+Senior+University+Relations+Recruiter+Comcast</t>
  </si>
  <si>
    <t>Christine Kane</t>
  </si>
  <si>
    <t>Employee Engagement Program Manager</t>
  </si>
  <si>
    <t>https://www.google.com/search?newwindow=1&amp;ei=2MT0XrvGGM-vytMP1OyDgAY&amp;q=site%3Alinkedin.com+Christine+Kane+Employee+Engagement+Program+Manager+Comcast</t>
  </si>
  <si>
    <t>James Wallace</t>
  </si>
  <si>
    <t>Campus Recruiter, Cooperative Education Program</t>
  </si>
  <si>
    <t>https://www.google.com/search?newwindow=1&amp;ei=2MT0XrvGGM-vytMP1OyDgAY&amp;q=site%3Alinkedin.com+James+Wallace+Campus+Recruiter,+Cooperative+Education+Program+Comcast</t>
  </si>
  <si>
    <t>University Relations Campus Recruiter</t>
  </si>
  <si>
    <t>https://www.google.com/search?newwindow=1&amp;ei=2MT0XrvGGM-vytMP1OyDgAY&amp;q=site%3Alinkedin.com+Christine+Kane+University+Relations+Campus+Recruiter+Comcast</t>
  </si>
  <si>
    <t>Jon Schulman</t>
  </si>
  <si>
    <t>University Tech Campus Recruiter</t>
  </si>
  <si>
    <t>https://www.google.com/search?newwindow=1&amp;ei=2MT0XrvGGM-vytMP1OyDgAY&amp;q=site%3Alinkedin.com+Jon+Schulman+University+Tech+Campus+Recruiter+Comcast</t>
  </si>
  <si>
    <t>Melanie Hunter</t>
  </si>
  <si>
    <t>https://www.google.com/search?newwindow=1&amp;ei=2MT0XrvGGM-vytMP1OyDgAY&amp;q=site%3Alinkedin.com+Melanie+Hunter+University+Relations+Recruiter+Comcast</t>
  </si>
  <si>
    <t>Erin Kantner</t>
  </si>
  <si>
    <t>MBA Campus Recruiter &amp; Program Manager</t>
  </si>
  <si>
    <t>https://www.google.com/search?newwindow=1&amp;ei=2MT0XrvGGM-vytMP1OyDgAY&amp;q=site%3Alinkedin.com+Erin+Kantner+MBA+Campus+Recruiter+&amp;+Program+Manager+Comcast</t>
  </si>
  <si>
    <t>Kyle Pagan</t>
  </si>
  <si>
    <t>Talent Brand Marketing Specialist/Campus Recruiter</t>
  </si>
  <si>
    <t>https://www.google.com/search?newwindow=1&amp;ei=2MT0XrvGGM-vytMP1OyDgAY&amp;q=site%3Alinkedin.com+Kyle+Pagan+Talent+Brand+Marketing+Specialist/Campus+Recruiter+Comcast</t>
  </si>
  <si>
    <t>Ann. Scarp</t>
  </si>
  <si>
    <t>Credit Suisse</t>
  </si>
  <si>
    <t>Hoboken</t>
  </si>
  <si>
    <t>https://www.google.com/search?newwindow=1&amp;ei=2MT0XrvGGM-vytMP1OyDgAY&amp;q=site%3Alinkedin.com+Ann.+Scarp+Campus+Recruiter+Credit+Suisse</t>
  </si>
  <si>
    <t>Rachael Schutzbank</t>
  </si>
  <si>
    <t>AVP, Campus Recruiter, Investment Banking &amp; Capital Markets</t>
  </si>
  <si>
    <t>https://www.google.com/search?newwindow=1&amp;ei=2MT0XrvGGM-vytMP1OyDgAY&amp;q=site%3Alinkedin.com+Rachael+Schutzbank+AVP,+Campus+Recruiter,+Investment+Banking+&amp;+Capital+Markets+Credit+Suisse</t>
  </si>
  <si>
    <t>Allison Group</t>
  </si>
  <si>
    <t>Investment Banking Campus Recruiter</t>
  </si>
  <si>
    <t>9 years 9 months in role and company</t>
  </si>
  <si>
    <t>https://www.google.com/search?newwindow=1&amp;ei=2MT0XrvGGM-vytMP1OyDgAY&amp;q=site%3Alinkedin.com+Allison+Group+Investment+Banking+Campus+Recruiter+Credit+Suisse</t>
  </si>
  <si>
    <t>Jennifer Wilson</t>
  </si>
  <si>
    <t>Campus Recruiter - Investment Banking &amp; Capital Markets</t>
  </si>
  <si>
    <t>https://www.google.com/search?newwindow=1&amp;ei=2MT0XrvGGM-vytMP1OyDgAY&amp;q=site%3Alinkedin.com+Jennifer+Wilson+Campus+Recruiter+-+Investment+Banking+&amp;+Capital+Markets+Credit+Suisse</t>
  </si>
  <si>
    <t>Erin Gross</t>
  </si>
  <si>
    <t>Campus Recruiter, Global Markets &amp; Asset Management</t>
  </si>
  <si>
    <t>https://www.google.com/search?newwindow=1&amp;ei=2MT0XrvGGM-vytMP1OyDgAY&amp;q=site%3Alinkedin.com+Erin+Gross+Campus+Recruiter,+Global+Markets+&amp;+Asset+Management+Credit+Suisse</t>
  </si>
  <si>
    <t>Kezia Gibbs</t>
  </si>
  <si>
    <t>https://www.google.com/search?newwindow=1&amp;ei=2MT0XrvGGM-vytMP1OyDgAY&amp;q=site%3Alinkedin.com+Kezia+Gibbs+Campus+Recruiter+Credit+Suisse</t>
  </si>
  <si>
    <t>Carly Villa</t>
  </si>
  <si>
    <t>https://www.google.com/search?newwindow=1&amp;ei=2MT0XrvGGM-vytMP1OyDgAY&amp;q=site%3Alinkedin.com+Carly+Villa+Campus+Recruiter+Credit+Suisse</t>
  </si>
  <si>
    <t>Sean Bea, MBA</t>
  </si>
  <si>
    <t>Cushman &amp; Wakefield</t>
  </si>
  <si>
    <t>https://www.google.com/search?newwindow=1&amp;ei=2MT0XrvGGM-vytMP1OyDgAY&amp;q=site%3Alinkedin.com+Sean+Bea,+MBA+Campus+Recruiter+Cushman+&amp;+Wakefield</t>
  </si>
  <si>
    <t>Jill Wormser</t>
  </si>
  <si>
    <t>https://www.google.com/search?newwindow=1&amp;ei=2MT0XrvGGM-vytMP1OyDgAY&amp;q=site%3Alinkedin.com+Jill+Wormser+Campus+Recruiter+Cushman+&amp;+Wakefield</t>
  </si>
  <si>
    <t>Amanda Camera</t>
  </si>
  <si>
    <t>Campus Recruiter &amp; PREP Manager, West Region at Cushman &amp; Wakefield</t>
  </si>
  <si>
    <t>https://www.google.com/search?newwindow=1&amp;ei=2MT0XrvGGM-vytMP1OyDgAY&amp;q=site%3Alinkedin.com+Amanda+Camera+Campus+Recruiter+&amp;+PREP+Manager,+West+Region+at+Cushman+&amp;+Wakefield+Cushman+&amp;+Wakefield</t>
  </si>
  <si>
    <t>Katie Flaschar</t>
  </si>
  <si>
    <t>https://www.google.com/search?newwindow=1&amp;ei=2MT0XrvGGM-vytMP1OyDgAY&amp;q=site%3Alinkedin.com+Katie+Flaschar+Campus+Recruiter+Cushman+&amp;+Wakefield</t>
  </si>
  <si>
    <t>Callie Jones</t>
  </si>
  <si>
    <t>University Relations Project Manager, Product &amp; Operations</t>
  </si>
  <si>
    <t>Dell</t>
  </si>
  <si>
    <t>https://www.google.com/search?newwindow=1&amp;ei=2MT0XrvGGM-vytMP1OyDgAY&amp;q=site%3Alinkedin.com+Callie+Jones+University+Relations+Project+Manager,+Product+&amp;+Operations+Dell</t>
  </si>
  <si>
    <t>Megan Evangelista</t>
  </si>
  <si>
    <t>Campus Recruiting Manager, Sales Academy Program</t>
  </si>
  <si>
    <t>https://www.google.com/search?newwindow=1&amp;ei=2MT0XrvGGM-vytMP1OyDgAY&amp;q=site%3Alinkedin.com+Megan+Evangelista+Campus+Recruiting+Manager,+Sales+Academy+Program+Dell</t>
  </si>
  <si>
    <t>Tiffany Taylor</t>
  </si>
  <si>
    <t>University Relations Diversity Program Manager</t>
  </si>
  <si>
    <t>https://www.google.com/search?newwindow=1&amp;ei=2MT0XrvGGM-vytMP1OyDgAY&amp;q=site%3Alinkedin.com+Tiffany+Taylor+University+Relations+Diversity+Program+Manager+Dell</t>
  </si>
  <si>
    <t>Ellie Biscoe</t>
  </si>
  <si>
    <t>Campus Recruiting Manager | Next Gen Sales Program</t>
  </si>
  <si>
    <t>https://www.google.com/search?newwindow=1&amp;ei=2MT0XrvGGM-vytMP1OyDgAY&amp;q=site%3Alinkedin.com+Ellie+Biscoe+Campus+Recruiting+Manager+|+Next+Gen+Sales+Program+Dell+EMC</t>
  </si>
  <si>
    <t>Molly Hynes</t>
  </si>
  <si>
    <t>https://www.google.com/search?newwindow=1&amp;ei=2MT0XrvGGM-vytMP1OyDgAY&amp;q=site%3Alinkedin.com+Molly+Hynes+Recruiter,+University+Relations+Dell+Technologies</t>
  </si>
  <si>
    <t>Abby de Goey, PHR, SHRM-CP</t>
  </si>
  <si>
    <t>GPS Campus Recruiting Manager</t>
  </si>
  <si>
    <t>Deloitte</t>
  </si>
  <si>
    <t>https://www.google.com/search?newwindow=1&amp;ei=2MT0XrvGGM-vytMP1OyDgAY&amp;q=site%3Alinkedin.com+Abby+de+Goey,+PHR,+SHRM-CP+GPS+Campus+Recruiting+Manager+Deloitte</t>
  </si>
  <si>
    <t>Meredith Sutter</t>
  </si>
  <si>
    <t>https://www.google.com/search?newwindow=1&amp;ei=2MT0XrvGGM-vytMP1OyDgAY&amp;q=site%3Alinkedin.com+Meredith+Sutter+Campus+Recruiting+Manager+Deloitte</t>
  </si>
  <si>
    <t>Kaitlin Duberstein</t>
  </si>
  <si>
    <t>https://www.google.com/search?newwindow=1&amp;ei=2MT0XrvGGM-vytMP1OyDgAY&amp;q=site%3Alinkedin.com+Kaitlin+Duberstein+Campus+Recruiting+Manager+Deloitte</t>
  </si>
  <si>
    <t>Karen Proctor, PHR</t>
  </si>
  <si>
    <t>14 years 2 months in role and company</t>
  </si>
  <si>
    <t>https://www.google.com/search?newwindow=1&amp;ei=2MT0XrvGGM-vytMP1OyDgAY&amp;q=site%3Alinkedin.com+Karen+Proctor,+PHR+Campus+Recruiter+Deloitte</t>
  </si>
  <si>
    <t>Wandie Toledo Bethune</t>
  </si>
  <si>
    <t>Lead Diversity &amp; Inclusion Program Manager</t>
  </si>
  <si>
    <t>4 years 5 months in role</t>
  </si>
  <si>
    <t>https://www.google.com/search?newwindow=1&amp;ei=2MT0XrvGGM-vytMP1OyDgAY&amp;q=site%3Alinkedin.com+Wandie+Toledo+Bethune+Lead+Diversity+&amp;+Inclusion+Program+Manager+Deloitte</t>
  </si>
  <si>
    <t>Caroline Fletcher</t>
  </si>
  <si>
    <t>https://www.google.com/search?newwindow=1&amp;ei=2MT0XrvGGM-vytMP1OyDgAY&amp;q=site%3Alinkedin.com+Caroline+Fletcher+Campus+Recruiter+Deloitte</t>
  </si>
  <si>
    <t>Jessy Jager</t>
  </si>
  <si>
    <t>8 years 10 months in role and company</t>
  </si>
  <si>
    <t>https://www.google.com/search?newwindow=1&amp;ei=2MT0XrvGGM-vytMP1OyDgAY&amp;q=site%3Alinkedin.com+Jessy+Jager+Senior+Campus+Recruiter+Deloitte</t>
  </si>
  <si>
    <t>Ariel Bailey</t>
  </si>
  <si>
    <t>https://www.google.com/search?newwindow=1&amp;ei=2MT0XrvGGM-vytMP1OyDgAY&amp;q=site%3Alinkedin.com+Ariel+Bailey+Campus+Recruiter+Deloitte</t>
  </si>
  <si>
    <t>Lisa Twomey, PHR</t>
  </si>
  <si>
    <t>Manager, Consulting Campus Recruiting</t>
  </si>
  <si>
    <t>https://www.google.com/search?newwindow=1&amp;ei=2MT0XrvGGM-vytMP1OyDgAY&amp;q=site%3Alinkedin.com+Lisa+Twomey,+PHR+Manager,+Consulting+Campus+Recruiting+Deloitte</t>
  </si>
  <si>
    <t>Milan Sands</t>
  </si>
  <si>
    <t>https://www.google.com/search?newwindow=1&amp;ei=2MT0XrvGGM-vytMP1OyDgAY&amp;q=site%3Alinkedin.com+Milan+Sands+Campus+Recruiter+Deloitte</t>
  </si>
  <si>
    <t>Andrea Gonso</t>
  </si>
  <si>
    <t>Brownsburg</t>
  </si>
  <si>
    <t>https://www.google.com/search?newwindow=1&amp;ei=2MT0XrvGGM-vytMP1OyDgAY&amp;q=site%3Alinkedin.com+Andrea+Gonso+Campus+Recruiter+Deloitte</t>
  </si>
  <si>
    <t>Haley Kuyk</t>
  </si>
  <si>
    <t>https://www.google.com/search?newwindow=1&amp;ei=2MT0XrvGGM-vytMP1OyDgAY&amp;q=site%3Alinkedin.com+Haley+Kuyk+Campus+Recruiter+Deloitte</t>
  </si>
  <si>
    <t>Kori Kelly</t>
  </si>
  <si>
    <t>https://www.google.com/search?newwindow=1&amp;ei=2MT0XrvGGM-vytMP1OyDgAY&amp;q=site%3Alinkedin.com+Kori+Kelly+Campus+Recruiting+Manager+Deloitte</t>
  </si>
  <si>
    <t>Carter McCormack Hartung</t>
  </si>
  <si>
    <t>https://www.google.com/search?newwindow=1&amp;ei=2MT0XrvGGM-vytMP1OyDgAY&amp;q=site%3Alinkedin.com+Carter+McCormack+Hartung+Campus+Recruiting+Manager+Deloitte</t>
  </si>
  <si>
    <t>Cristina Tomasko</t>
  </si>
  <si>
    <t>https://www.google.com/search?newwindow=1&amp;ei=2MT0XrvGGM-vytMP1OyDgAY&amp;q=site%3Alinkedin.com+Cristina+Tomasko+Campus+Recruiting+Manager+Deloitte</t>
  </si>
  <si>
    <t>Kristin Mikelson</t>
  </si>
  <si>
    <t>https://www.google.com/search?newwindow=1&amp;ei=2MT0XrvGGM-vytMP1OyDgAY&amp;q=site%3Alinkedin.com+Kristin+Mikelson+Campus+Recruiting+Manager+Deloitte</t>
  </si>
  <si>
    <t>Suzanne Joyce</t>
  </si>
  <si>
    <t>https://www.google.com/search?newwindow=1&amp;ei=2MT0XrvGGM-vytMP1OyDgAY&amp;q=site%3Alinkedin.com+Suzanne+Joyce+Senior+Campus+Recruiter+Deloitte</t>
  </si>
  <si>
    <t>Megan Candee</t>
  </si>
  <si>
    <t>Cincinnati</t>
  </si>
  <si>
    <t>https://www.google.com/search?newwindow=1&amp;ei=2MT0XrvGGM-vytMP1OyDgAY&amp;q=site%3Alinkedin.com+Megan+Candee+Senior+Campus+Recruiter+Deloitte</t>
  </si>
  <si>
    <t>Betty Chan</t>
  </si>
  <si>
    <t>Lead Consulting Campus Recruiter</t>
  </si>
  <si>
    <t>Costa Mesa</t>
  </si>
  <si>
    <t>https://www.google.com/search?newwindow=1&amp;ei=2MT0XrvGGM-vytMP1OyDgAY&amp;q=site%3Alinkedin.com+Betty+Chan+Lead+Consulting+Campus+Recruiter+Deloitte</t>
  </si>
  <si>
    <t>Sarah Jensen Hasenauer</t>
  </si>
  <si>
    <t>Regional Campus Recruiting Manager</t>
  </si>
  <si>
    <t>7 years 2 months in role and company</t>
  </si>
  <si>
    <t>https://www.google.com/search?newwindow=1&amp;ei=2MT0XrvGGM-vytMP1OyDgAY&amp;q=site%3Alinkedin.com+Sarah+Jensen+Hasenauer+Regional+Campus+Recruiting+Manager+Deloitte</t>
  </si>
  <si>
    <t>Carly Wenyon</t>
  </si>
  <si>
    <t>https://www.google.com/search?newwindow=1&amp;ei=2MT0XrvGGM-vytMP1OyDgAY&amp;q=site%3Alinkedin.com+Carly+Wenyon+Campus+Recruiter+Deloitte</t>
  </si>
  <si>
    <t>Shawn Lamb</t>
  </si>
  <si>
    <t>https://www.google.com/search?newwindow=1&amp;ei=2MT0XrvGGM-vytMP1OyDgAY&amp;q=site%3Alinkedin.com+Shawn+Lamb+Senior+Campus+Recruiter+Deloitte</t>
  </si>
  <si>
    <t>Fleming Longino</t>
  </si>
  <si>
    <t>8 years 2 months in role and company</t>
  </si>
  <si>
    <t>https://www.google.com/search?newwindow=1&amp;ei=2MT0XrvGGM-vytMP1OyDgAY&amp;q=site%3Alinkedin.com+Fleming+Longino+Campus+Recruiter+Deloitte</t>
  </si>
  <si>
    <t>Gail Lewis-Kelley</t>
  </si>
  <si>
    <t>2 years 3 months in company</t>
  </si>
  <si>
    <t>https://www.google.com/search?newwindow=1&amp;ei=2MT0XrvGGM-vytMP1OyDgAY&amp;q=site%3Alinkedin.com+Gail+Lewis-Kelley+Campus+Recruiting+Manager+Deloitte</t>
  </si>
  <si>
    <t>Danica DeVito</t>
  </si>
  <si>
    <t>Experienced Hire Recruiter</t>
  </si>
  <si>
    <t>Englishtown</t>
  </si>
  <si>
    <t>https://www.google.com/search?newwindow=1&amp;ei=2MT0XrvGGM-vytMP1OyDgAY&amp;q=site%3Alinkedin.com+Danica+DeVito+Experienced+Hire+Recruiter+Deloitte</t>
  </si>
  <si>
    <t>Amy Curtin</t>
  </si>
  <si>
    <t>Human Capital Recruiting Manager</t>
  </si>
  <si>
    <t>3 years 8 months in role</t>
  </si>
  <si>
    <t>Franklin Lakes</t>
  </si>
  <si>
    <t>https://www.google.com/search?newwindow=1&amp;ei=2MT0XrvGGM-vytMP1OyDgAY&amp;q=site%3Alinkedin.com+Amy+Curtin+Human+Capital+Recruiting+Manager+Deloitte</t>
  </si>
  <si>
    <t>Marie Hoyt</t>
  </si>
  <si>
    <t>Hartford</t>
  </si>
  <si>
    <t>Connecticut</t>
  </si>
  <si>
    <t>https://www.google.com/search?newwindow=1&amp;ei=2MT0XrvGGM-vytMP1OyDgAY&amp;q=site%3Alinkedin.com+Marie+Hoyt+Senior+Campus+Recruiter+Deloitte</t>
  </si>
  <si>
    <t>Kelly Swartzfager</t>
  </si>
  <si>
    <t>https://www.google.com/search?newwindow=1&amp;ei=2MT0XrvGGM-vytMP1OyDgAY&amp;q=site%3Alinkedin.com+Kelly+Swartzfager+Campus+Recruiter+Deloitte</t>
  </si>
  <si>
    <t>Rebecca Maddox</t>
  </si>
  <si>
    <t>https://www.google.com/search?newwindow=1&amp;ei=2MT0XrvGGM-vytMP1OyDgAY&amp;q=site%3Alinkedin.com+Rebecca+Maddox+Senior+Campus+Recruiter+Deloitte</t>
  </si>
  <si>
    <t>Amanda Runnalls</t>
  </si>
  <si>
    <t>Hubertus</t>
  </si>
  <si>
    <t>https://www.google.com/search?newwindow=1&amp;ei=2MT0XrvGGM-vytMP1OyDgAY&amp;q=site%3Alinkedin.com+Amanda+Runnalls+Campus+Recruiter+Deloitte</t>
  </si>
  <si>
    <t>Dolorez Dumas-Aris</t>
  </si>
  <si>
    <t>https://www.google.com/search?newwindow=1&amp;ei=2MT0XrvGGM-vytMP1OyDgAY&amp;q=site%3Alinkedin.com+Dolorez+Dumas-Aris+Campus+Recruiting+Manager+Deloitte</t>
  </si>
  <si>
    <t>Divya Shenoy</t>
  </si>
  <si>
    <t>https://www.google.com/search?newwindow=1&amp;ei=2MT0XrvGGM-vytMP1OyDgAY&amp;q=site%3Alinkedin.com+Divya+Shenoy+Campus+Recruiting+Manager+Deloitte</t>
  </si>
  <si>
    <t>Kerri Oliveira</t>
  </si>
  <si>
    <t>https://www.google.com/search?newwindow=1&amp;ei=2MT0XrvGGM-vytMP1OyDgAY&amp;q=site%3Alinkedin.com+Kerri+Oliveira+Campus+Recruiter+Deloitte</t>
  </si>
  <si>
    <t>Jennifer Cohen, PHR</t>
  </si>
  <si>
    <t>5 years 8 months in role</t>
  </si>
  <si>
    <t>https://www.google.com/search?newwindow=1&amp;ei=2MT0XrvGGM-vytMP1OyDgAY&amp;q=site%3Alinkedin.com+Jennifer+Cohen,+PHR+Campus+Recruiting+Manager+Deloitte</t>
  </si>
  <si>
    <t>Kelli Bakopanos (Speidel)</t>
  </si>
  <si>
    <t>Federal Campus Recruiting Senior Manager</t>
  </si>
  <si>
    <t>https://www.google.com/search?newwindow=1&amp;ei=2MT0XrvGGM-vytMP1OyDgAY&amp;q=site%3Alinkedin.com+Kelli+Bakopanos+(Speidel)+Federal+Campus+Recruiting+Senior+Manager+Deloitte</t>
  </si>
  <si>
    <t>Anadelia Garcia</t>
  </si>
  <si>
    <t>Campus Recruiting Manager - Central Region</t>
  </si>
  <si>
    <t>https://www.google.com/search?newwindow=1&amp;ei=2MT0XrvGGM-vytMP1OyDgAY&amp;q=site%3Alinkedin.com+Anadelia+Garcia+Campus+Recruiting+Manager+-+Central+Region+Deloitte</t>
  </si>
  <si>
    <t>Elizabeth Potter</t>
  </si>
  <si>
    <t>https://www.google.com/search?newwindow=1&amp;ei=2MT0XrvGGM-vytMP1OyDgAY&amp;q=site%3Alinkedin.com+Elizabeth+Potter+Senior+University+Recruiter+Deloitte</t>
  </si>
  <si>
    <t>Jeremy Carrine</t>
  </si>
  <si>
    <t>Campus Recruiting Manager | East Region</t>
  </si>
  <si>
    <t>https://www.google.com/search?newwindow=1&amp;ei=2MT0XrvGGM-vytMP1OyDgAY&amp;q=site%3Alinkedin.com+Jeremy+Carrine+Campus+Recruiting+Manager+|+East+Region+Deloitte</t>
  </si>
  <si>
    <t>Katie Long, SHRM-CP, PHR</t>
  </si>
  <si>
    <t>https://www.google.com/search?newwindow=1&amp;ei=2MT0XrvGGM-vytMP1OyDgAY&amp;q=site%3Alinkedin.com+Katie+Long,+SHRM-CP,+PHR+Campus+Recruiting+Manager+Deloitte</t>
  </si>
  <si>
    <t>Ashley Hyde, MS, SPHR</t>
  </si>
  <si>
    <t>Manager, Performance Management</t>
  </si>
  <si>
    <t>https://www.google.com/search?newwindow=1&amp;ei=2MT0XrvGGM-vytMP1OyDgAY&amp;q=site%3Alinkedin.com+Ashley+Hyde,+MS,+SPHR+Manager,+Performance+Management+Deloitte</t>
  </si>
  <si>
    <t>Callie McCarthy</t>
  </si>
  <si>
    <t>https://www.google.com/search?newwindow=1&amp;ei=2MT0XrvGGM-vytMP1OyDgAY&amp;q=site%3Alinkedin.com+Callie+McCarthy+Campus+Recruiter+Deloitte</t>
  </si>
  <si>
    <t>Deanna Washington</t>
  </si>
  <si>
    <t>https://www.google.com/search?newwindow=1&amp;ei=2MT0XrvGGM-vytMP1OyDgAY&amp;q=site%3Alinkedin.com+Deanna+Washington+Campus+Recruiter+Deloitte</t>
  </si>
  <si>
    <t>Alyse Aven</t>
  </si>
  <si>
    <t>Lead Experienced Hire Recruiter</t>
  </si>
  <si>
    <t>https://www.google.com/search?newwindow=1&amp;ei=2MT0XrvGGM-vytMP1OyDgAY&amp;q=site%3Alinkedin.com+Alyse+Aven+Lead+Experienced+Hire+Recruiter+Deloitte</t>
  </si>
  <si>
    <t>Melissa (Uhniat) Sweeney</t>
  </si>
  <si>
    <t>Manager, Experienced Hire Recruiting</t>
  </si>
  <si>
    <t>https://www.google.com/search?newwindow=1&amp;ei=2MT0XrvGGM-vytMP1OyDgAY&amp;q=site%3Alinkedin.com+Melissa+(Uhniat)+Sweeney+Manager,+Experienced+Hire+Recruiting+Deloitte</t>
  </si>
  <si>
    <t>Shannel Amaraweera, M.S.W.</t>
  </si>
  <si>
    <t>https://www.google.com/search?newwindow=1&amp;ei=2MT0XrvGGM-vytMP1OyDgAY&amp;q=site%3Alinkedin.com+Shannel+Amaraweera,+M.S.W.+Campus+Recruiter+Deloitte</t>
  </si>
  <si>
    <t>Amanda Willott</t>
  </si>
  <si>
    <t>19 years 9 months in role and company</t>
  </si>
  <si>
    <t>Portland</t>
  </si>
  <si>
    <t>Oregon</t>
  </si>
  <si>
    <t>https://www.google.com/search?newwindow=1&amp;ei=2MT0XrvGGM-vytMP1OyDgAY&amp;q=site%3Alinkedin.com+Amanda+Willott+Campus+Recruiter+Deloitte</t>
  </si>
  <si>
    <t>Emily Kaplan</t>
  </si>
  <si>
    <t>5 years 7 months in role and company</t>
  </si>
  <si>
    <t>https://www.google.com/search?newwindow=1&amp;ei=2MT0XrvGGM-vytMP1OyDgAY&amp;q=site%3Alinkedin.com+Emily+Kaplan+Campus+Recruiter+Deloitte</t>
  </si>
  <si>
    <t>Dana Catania</t>
  </si>
  <si>
    <t>19 years 10 months in role and company</t>
  </si>
  <si>
    <t>Royal Oak</t>
  </si>
  <si>
    <t>https://www.google.com/search?newwindow=1&amp;ei=2MT0XrvGGM-vytMP1OyDgAY&amp;q=site%3Alinkedin.com+Dana+Catania+Campus+Recruiting+Manager+Deloitte</t>
  </si>
  <si>
    <t>Vicky Chang</t>
  </si>
  <si>
    <t>4 years  in role</t>
  </si>
  <si>
    <t>https://www.google.com/search?newwindow=1&amp;ei=2MT0XrvGGM-vytMP1OyDgAY&amp;q=site%3Alinkedin.com+Vicky+Chang+Campus+Recruiting+Manager+Deloitte</t>
  </si>
  <si>
    <t>Britney (Us</t>
  </si>
  <si>
    <t>https://www.google.com/search?newwindow=1&amp;ei=2MT0XrvGGM-vytMP1OyDgAY&amp;q=site%3Alinkedin.com+Britney+(Us+Campus+Recruiting+Manager+Deloitte</t>
  </si>
  <si>
    <t>KC Meehan</t>
  </si>
  <si>
    <t>https://www.google.com/search?newwindow=1&amp;ei=2MT0XrvGGM-vytMP1OyDgAY&amp;q=site%3Alinkedin.com+KC+Meehan+Campus+Recruiter+Deloitte</t>
  </si>
  <si>
    <t>Caroline Grosso</t>
  </si>
  <si>
    <t>5 years  in role</t>
  </si>
  <si>
    <t>https://www.google.com/search?newwindow=1&amp;ei=2MT0XrvGGM-vytMP1OyDgAY&amp;q=site%3Alinkedin.com+Caroline+Grosso+Campus+Recruiter+Deloitte</t>
  </si>
  <si>
    <t>Casey Comings</t>
  </si>
  <si>
    <t>https://www.google.com/search?newwindow=1&amp;ei=2MT0XrvGGM-vytMP1OyDgAY&amp;q=site%3Alinkedin.com+Casey+Comings+Senior+Campus+Recruiter+Deloitte</t>
  </si>
  <si>
    <t>Catherine Chavez</t>
  </si>
  <si>
    <t>https://www.google.com/search?newwindow=1&amp;ei=2MT0XrvGGM-vytMP1OyDgAY&amp;q=site%3Alinkedin.com+Catherine+Chavez+University+Recruiter+Deloitte</t>
  </si>
  <si>
    <t>Jade Gingras</t>
  </si>
  <si>
    <t>Campus Recruiting Specialist</t>
  </si>
  <si>
    <t>Scottsdale</t>
  </si>
  <si>
    <t>https://www.google.com/search?newwindow=1&amp;ei=2MT0XrvGGM-vytMP1OyDgAY&amp;q=site%3Alinkedin.com+Jade+Gingras+Campus+Recruiting+Specialist+Deloitte</t>
  </si>
  <si>
    <t>Stephanie Ryder</t>
  </si>
  <si>
    <t>https://www.google.com/search?newwindow=1&amp;ei=2MT0XrvGGM-vytMP1OyDgAY&amp;q=site%3Alinkedin.com+Stephanie+Ryder+Campus+Recruiter+Deloitte</t>
  </si>
  <si>
    <t>Jenni Graham</t>
  </si>
  <si>
    <t>Lead Experienced Recruiter</t>
  </si>
  <si>
    <t>https://www.google.com/search?newwindow=1&amp;ei=2MT0XrvGGM-vytMP1OyDgAY&amp;q=site%3Alinkedin.com+Jenni+Graham+Lead+Experienced+Recruiter+Deloitte</t>
  </si>
  <si>
    <t>Melissa Varkoly</t>
  </si>
  <si>
    <t>Senior Manager - Audit Talent Business Advisor</t>
  </si>
  <si>
    <t>https://www.google.com/search?newwindow=1&amp;ei=2MT0XrvGGM-vytMP1OyDgAY&amp;q=site%3Alinkedin.com+Melissa+Varkoly+Senior+Manager+-+Audit+Talent+Business+Advisor+Deloitte</t>
  </si>
  <si>
    <t>Ashley Josephson</t>
  </si>
  <si>
    <t>Campus Recruiting Manager - Consulting</t>
  </si>
  <si>
    <t>St Paul</t>
  </si>
  <si>
    <t>https://www.google.com/search?newwindow=1&amp;ei=2MT0XrvGGM-vytMP1OyDgAY&amp;q=site%3Alinkedin.com+Ashley+Josephson+Campus+Recruiting+Manager+-+Consulting+Deloitte</t>
  </si>
  <si>
    <t>Angela Cottrell</t>
  </si>
  <si>
    <t>Sterling</t>
  </si>
  <si>
    <t>https://www.google.com/search?newwindow=1&amp;ei=2MT0XrvGGM-vytMP1OyDgAY&amp;q=site%3Alinkedin.com+Angela+Cottrell+Campus+Recruiter+Deloitte</t>
  </si>
  <si>
    <t>Jennifer Sullivan</t>
  </si>
  <si>
    <t>Senior Manager, National Technology Campus Recruiting Leader</t>
  </si>
  <si>
    <t>6 years 3 months in role</t>
  </si>
  <si>
    <t>Summit</t>
  </si>
  <si>
    <t>https://www.google.com/search?newwindow=1&amp;ei=2MT0XrvGGM-vytMP1OyDgAY&amp;q=site%3Alinkedin.com+Jennifer+Sullivan+Senior+Manager,+National+Technology+Campus+Recruiting+Leader+Deloitte</t>
  </si>
  <si>
    <t>Christa Sublett</t>
  </si>
  <si>
    <t>https://www.google.com/search?newwindow=1&amp;ei=2MT0XrvGGM-vytMP1OyDgAY&amp;q=site%3Alinkedin.com+Christa+Sublett+Campus+Recruiting+Manager+Deloitte</t>
  </si>
  <si>
    <t>Agi Galecka, CPA</t>
  </si>
  <si>
    <t>https://www.google.com/search?newwindow=1&amp;ei=2MT0XrvGGM-vytMP1OyDgAY&amp;q=site%3Alinkedin.com+Agi+Galecka,+CPA+Senior+Campus+Recruiter+Deloitte</t>
  </si>
  <si>
    <t>Kendra Murphy</t>
  </si>
  <si>
    <t>Project Manager for National Campus Recruiting</t>
  </si>
  <si>
    <t>14 years 8 months in role and company</t>
  </si>
  <si>
    <t>https://www.google.com/search?newwindow=1&amp;ei=2MT0XrvGGM-vytMP1OyDgAY&amp;q=site%3Alinkedin.com+Kendra+Murphy+Project+Manager+for+National+Campus+Recruiting+Deloitte+&amp;+Touche</t>
  </si>
  <si>
    <t>Dawn John</t>
  </si>
  <si>
    <t>Northeast Campus Recruiting Leader</t>
  </si>
  <si>
    <t>11 years 4 months in role</t>
  </si>
  <si>
    <t>Fanwood</t>
  </si>
  <si>
    <t>https://www.google.com/search?newwindow=1&amp;ei=2MT0XrvGGM-vytMP1OyDgAY&amp;q=site%3Alinkedin.com+Dawn+John+Northeast+Campus+Recruiting+Leader+Deloitte+&amp;+Touche</t>
  </si>
  <si>
    <t>Erica Johnson</t>
  </si>
  <si>
    <t>Cary</t>
  </si>
  <si>
    <t>https://www.google.com/search?newwindow=1&amp;ei=2MT0XrvGGM-vytMP1OyDgAY&amp;q=site%3Alinkedin.com+Erica+Johnson+Campus+Recruiting+Manager+Deloitte+LP</t>
  </si>
  <si>
    <t>Suzanne Hansler</t>
  </si>
  <si>
    <t>Secaucus</t>
  </si>
  <si>
    <t>https://www.google.com/search?newwindow=1&amp;ei=2MT0XrvGGM-vytMP1OyDgAY&amp;q=site%3Alinkedin.com+Suzanne+Hansler+Campus+Recruiter+Deloitte+Services+LLP</t>
  </si>
  <si>
    <t>Leslie Van Sant</t>
  </si>
  <si>
    <t>17 years 10 months in role and company</t>
  </si>
  <si>
    <t>https://www.google.com/search?newwindow=1&amp;ei=2MT0XrvGGM-vytMP1OyDgAY&amp;q=site%3Alinkedin.com+Leslie+Van+Sant+Campus+Recruiter+Deloitte+Services+LP</t>
  </si>
  <si>
    <t>Bob Warmkessel</t>
  </si>
  <si>
    <t>Deloitte Consulting</t>
  </si>
  <si>
    <t>13 years 4 months in role and company</t>
  </si>
  <si>
    <t>https://www.google.com/search?newwindow=1&amp;ei=2MT0XrvGGM-vytMP1OyDgAY&amp;q=site%3Alinkedin.com+Bob+Warmkessel+Campus+Recruiter+Deloitte+Consulting</t>
  </si>
  <si>
    <t>Allyssa Tivis</t>
  </si>
  <si>
    <t>Resource Manager</t>
  </si>
  <si>
    <t>https://www.google.com/search?newwindow=1&amp;ei=2MT0XrvGGM-vytMP1OyDgAY&amp;q=site%3Alinkedin.com+Allyssa+Tivis+Resource+Manager+Deloitte+Consulting</t>
  </si>
  <si>
    <t>Carli Hyatt</t>
  </si>
  <si>
    <t>15 years 9 months in role and company</t>
  </si>
  <si>
    <t>https://www.google.com/search?newwindow=1&amp;ei=2MT0XrvGGM-vytMP1OyDgAY&amp;q=site%3Alinkedin.com+Carli+Hyatt+Campus+Recruiter+Deloitte+Consulting</t>
  </si>
  <si>
    <t>Tracey King</t>
  </si>
  <si>
    <t>https://www.google.com/search?newwindow=1&amp;ei=2MT0XrvGGM-vytMP1OyDgAY&amp;q=site%3Alinkedin.com+Tracey+King+Campus+Recruiter+Coordinator+Deloitte+Consulting</t>
  </si>
  <si>
    <t>Tiffany Foskey-Lewis,SHRM-CP</t>
  </si>
  <si>
    <t>US Delivery Center Campus Recruiter</t>
  </si>
  <si>
    <t>Orlando</t>
  </si>
  <si>
    <t>https://www.google.com/search?newwindow=1&amp;ei=2MT0XrvGGM-vytMP1OyDgAY&amp;q=site%3Alinkedin.com+Tiffany+Foskey-Lewis,SHRM-CP+US+Delivery+Center+Campus+Recruiter+Deloitte+Consulting</t>
  </si>
  <si>
    <t>Catherine Casey</t>
  </si>
  <si>
    <t>Senior MBA Campus Recruiter</t>
  </si>
  <si>
    <t>https://www.google.com/search?newwindow=1&amp;ei=2MT0XrvGGM-vytMP1OyDgAY&amp;q=site%3Alinkedin.com+Catherine+Casey+Senior+MBA+Campus+Recruiter+Deloitte+Consulting</t>
  </si>
  <si>
    <t>Maria Kichler</t>
  </si>
  <si>
    <t>https://www.google.com/search?newwindow=1&amp;ei=2MT0XrvGGM-vytMP1OyDgAY&amp;q=site%3Alinkedin.com+Maria+Kichler+Campus+Recruiter+Deloitte+Consulting</t>
  </si>
  <si>
    <t>Mark McKenzie</t>
  </si>
  <si>
    <t>https://www.google.com/search?newwindow=1&amp;ei=2MT0XrvGGM-vytMP1OyDgAY&amp;q=site%3Alinkedin.com+Mark+McKenzie+Sr.+Campus+Recruiter+Deloitte+Consulting</t>
  </si>
  <si>
    <t>Jennifer Hadden</t>
  </si>
  <si>
    <t>Deutsche Bank</t>
  </si>
  <si>
    <t>7 years 5 months in role and company</t>
  </si>
  <si>
    <t>Jacksonville</t>
  </si>
  <si>
    <t>https://www.google.com/search?newwindow=1&amp;ei=2MT0XrvGGM-vytMP1OyDgAY&amp;q=site%3Alinkedin.com+Jennifer+Hadden+Campus+Recruiter+Deutsche+Bank</t>
  </si>
  <si>
    <t>Katy Franklin</t>
  </si>
  <si>
    <t>Associate - Human Resources - Talent Sourcing - Campus Recruiter</t>
  </si>
  <si>
    <t>https://www.google.com/search?newwindow=1&amp;ei=2MT0XrvGGM-vytMP1OyDgAY&amp;q=site%3Alinkedin.com+Katy+Franklin+Associate+-+Human+Resources+-+Talent+Sourcing+-+Campus+Recruiter+Deutsche+Bank</t>
  </si>
  <si>
    <t>Katherine Brodhead, MBA</t>
  </si>
  <si>
    <t>Dish Network</t>
  </si>
  <si>
    <t>https://www.google.com/search?newwindow=1&amp;ei=2MT0XrvGGM-vytMP1OyDgAY&amp;q=site%3Alinkedin.com+Katherine+Brodhead,+MBA+University+Relations+Recruiter+DISH+Network</t>
  </si>
  <si>
    <t>Chloe Mercado</t>
  </si>
  <si>
    <t>https://www.google.com/search?newwindow=1&amp;ei=2MT0XrvGGM-vytMP1OyDgAY&amp;q=site%3Alinkedin.com+Chloe+Mercado+University+Relations+Recruiter+Dish+Network</t>
  </si>
  <si>
    <t>Demi Evans</t>
  </si>
  <si>
    <t>1 year 9 months in role</t>
  </si>
  <si>
    <t>Englewood</t>
  </si>
  <si>
    <t>https://www.google.com/search?newwindow=1&amp;ei=2MT0XrvGGM-vytMP1OyDgAY&amp;q=site%3Alinkedin.com+Demi+Evans+University+Relations+Recruiter+Dish+Network</t>
  </si>
  <si>
    <t>Kyerra Moody, CPA</t>
  </si>
  <si>
    <t>Dixon Hughes Goodman LLP</t>
  </si>
  <si>
    <t>https://www.google.com/search?newwindow=1&amp;ei=2MT0XrvGGM-vytMP1OyDgAY&amp;q=site%3Alinkedin.com+Kyerra+Moody,+CPA+Campus+Recruiter+Dixon+Hughes+Goodman+LLP</t>
  </si>
  <si>
    <t>Katie Davenport, CPA, SHRM-SCP</t>
  </si>
  <si>
    <t>Senior Campus Recruiting Manager</t>
  </si>
  <si>
    <t>https://www.google.com/search?newwindow=1&amp;ei=2MT0XrvGGM-vytMP1OyDgAY&amp;q=site%3Alinkedin.com+Katie+Davenport,+CPA,+SHRM-SCP+Senior+Campus+Recruiting+Manager+Dixon+Hughes+Goodman+LLP</t>
  </si>
  <si>
    <t>Kelly Anderson</t>
  </si>
  <si>
    <t>Senior Associate, Campus Recruiter</t>
  </si>
  <si>
    <t>https://www.google.com/search?newwindow=1&amp;ei=2MT0XrvGGM-vytMP1OyDgAY&amp;q=site%3Alinkedin.com+Kelly+Anderson+Senior+Associate,+Campus+Recruiter+Dixon+Hughes+Goodman+LLP</t>
  </si>
  <si>
    <t>Janessa Harkley</t>
  </si>
  <si>
    <t>Greensboro</t>
  </si>
  <si>
    <t>https://www.google.com/search?newwindow=1&amp;ei=2MT0XrvGGM-vytMP1OyDgAY&amp;q=site%3Alinkedin.com+Janessa+Harkley+Campus+Recruiter+Dixon+Hughes+Goodman+LLP</t>
  </si>
  <si>
    <t>Nikki Kettenacker</t>
  </si>
  <si>
    <t>https://www.google.com/search?newwindow=1&amp;ei=2MT0XrvGGM-vytMP1OyDgAY&amp;q=site%3Alinkedin.com+Nikki+Kettenacker+Campus+Recruiting+Manager+Dixon+Hughes+Goodman+LLP</t>
  </si>
  <si>
    <t>Taylor Cocherell</t>
  </si>
  <si>
    <t>Newport News</t>
  </si>
  <si>
    <t>https://www.google.com/search?newwindow=1&amp;ei=2MT0XrvGGM-vytMP1OyDgAY&amp;q=site%3Alinkedin.com+Taylor+Cocherell+Campus+Recruiter+Dixon+Hughes+Goodman+LLP</t>
  </si>
  <si>
    <t>Natalie Boyles, CPA</t>
  </si>
  <si>
    <t>https://www.google.com/search?newwindow=1&amp;ei=2MT0XrvGGM-vytMP1OyDgAY&amp;q=site%3Alinkedin.com+Natalie+Boyles,+CPA+Campus+Recruiter+Dixon+Hughes+Goodman+LLP</t>
  </si>
  <si>
    <t>Kunda Musambacine</t>
  </si>
  <si>
    <t>Program Manager, University Recruiter</t>
  </si>
  <si>
    <t>DocuSign</t>
  </si>
  <si>
    <t>Alameda</t>
  </si>
  <si>
    <t>https://www.google.com/search?newwindow=1&amp;ei=2MT0XrvGGM-vytMP1OyDgAY&amp;q=site%3Alinkedin.com+Kunda+Musambacine+Program+Manager,+University+Recruiter+DocuSign</t>
  </si>
  <si>
    <t>Monica Kim</t>
  </si>
  <si>
    <t>https://www.google.com/search?newwindow=1&amp;ei=2MT0XrvGGM-vytMP1OyDgAY&amp;q=site%3Alinkedin.com+Monica+Kim+University+Recruiter+DocuSign</t>
  </si>
  <si>
    <t>Molly Holmes Jacobs</t>
  </si>
  <si>
    <t>https://www.google.com/search?newwindow=1&amp;ei=2MT0XrvGGM-vytMP1OyDgAY&amp;q=site%3Alinkedin.com+Molly+Holmes+Jacobs+University+Recruiter+DocuSign</t>
  </si>
  <si>
    <t>Courtney Neff</t>
  </si>
  <si>
    <t>Technical Recruiter, University Recruiting</t>
  </si>
  <si>
    <t>DoorDash</t>
  </si>
  <si>
    <t>https://www.google.com/search?newwindow=1&amp;ei=2MT0XrvGGM-vytMP1OyDgAY&amp;q=site%3Alinkedin.com+Courtney+Neff+Technical+Recruiter,+University+Recruiting+DoorDash</t>
  </si>
  <si>
    <t>Alexis Pickett</t>
  </si>
  <si>
    <t>Dropbox</t>
  </si>
  <si>
    <t>https://www.google.com/search?newwindow=1&amp;ei=2MT0XrvGGM-vytMP1OyDgAY&amp;q=site%3Alinkedin.com+Alexis+Pickett+University+Recruiter+Dropbox</t>
  </si>
  <si>
    <t>Daniel Simpson</t>
  </si>
  <si>
    <t>https://www.google.com/search?newwindow=1&amp;ei=2MT0XrvGGM-vytMP1OyDgAY&amp;q=site%3Alinkedin.com+Daniel+Simpson+Senior+University+Recruiter+Dropbox</t>
  </si>
  <si>
    <t>Ke Yang</t>
  </si>
  <si>
    <t>DuPont</t>
  </si>
  <si>
    <t>https://www.google.com/search?newwindow=1&amp;ei=2MT0XrvGGM-vytMP1OyDgAY&amp;q=site%3Alinkedin.com+Ke+Yang+Campus+Recruiter+DuPont</t>
  </si>
  <si>
    <t>Elliott Jones-Poulson, M.S. (he/his/him)</t>
  </si>
  <si>
    <t>https://www.google.com/search?newwindow=1&amp;ei=2MT0XrvGGM-vytMP1OyDgAY&amp;q=site%3Alinkedin.com+Elliott+Jones-Poulson,+M.S.+(he/his/him)+University+Relations+Recruiter+DuPont</t>
  </si>
  <si>
    <t>Chalsea Clark</t>
  </si>
  <si>
    <t>https://www.google.com/search?newwindow=1&amp;ei=2MT0XrvGGM-vytMP1OyDgAY&amp;q=site%3Alinkedin.com+Chalsea+Clark+University+Relations+Recruiter+DuPont</t>
  </si>
  <si>
    <t>DuPont Campus Team</t>
  </si>
  <si>
    <t>https://www.google.com/search?newwindow=1&amp;ei=2MT0XrvGGM-vytMP1OyDgAY&amp;q=site%3Alinkedin.com+DuPont+Campus+Team+Campus+Recruiter+DuPont</t>
  </si>
  <si>
    <t>Vanessa McQueen</t>
  </si>
  <si>
    <t>University Recruiter &amp; Programs</t>
  </si>
  <si>
    <t>eBay</t>
  </si>
  <si>
    <t>https://www.google.com/search?newwindow=1&amp;ei=2MT0XrvGGM-vytMP1OyDgAY&amp;q=site%3Alinkedin.com+Vanessa+McQueen+University+Recruiter+&amp;+Programs+eBay</t>
  </si>
  <si>
    <t>Christy A.</t>
  </si>
  <si>
    <t>https://www.google.com/search?newwindow=1&amp;ei=2MT0XrvGGM-vytMP1OyDgAY&amp;q=site%3Alinkedin.com+Christy+A.+University+Recruiter+eBay</t>
  </si>
  <si>
    <t>Karen Stinnett</t>
  </si>
  <si>
    <t>Recruiter - University Relations &amp; Next-Gen Talent</t>
  </si>
  <si>
    <t>Electronic Arts</t>
  </si>
  <si>
    <t>https://www.google.com/search?newwindow=1&amp;ei=2MT0XrvGGM-vytMP1OyDgAY&amp;q=site%3Alinkedin.com+Karen+Stinnett+Recruiter+-+University+Relations+&amp;+Next-Gen+Talent+Electronic+Arts</t>
  </si>
  <si>
    <t>Melissa Wafful</t>
  </si>
  <si>
    <t>https://www.google.com/search?newwindow=1&amp;ei=2MT0XrvGGM-vytMP1OyDgAY&amp;q=site%3Alinkedin.com+Melissa+Wafful+Recruiter+-+University+Relations+&amp;+Next-Gen+Talent+Electronic+Arts+(EA)</t>
  </si>
  <si>
    <t>Stephanie Ha</t>
  </si>
  <si>
    <t>Sr. Recruiter | University Relations &amp; Next Gen Talent</t>
  </si>
  <si>
    <t>https://www.google.com/search?newwindow=1&amp;ei=2MT0XrvGGM-vytMP1OyDgAY&amp;q=site%3Alinkedin.com+Stephanie+Ha+Sr.+Recruiter+|+University+Relations+&amp;+Next+Gen+Talent+Electronic+Arts+(EA)</t>
  </si>
  <si>
    <t>Keith B. Stanford</t>
  </si>
  <si>
    <t>Associate Consultant/, Campus Recruiter/Global Staffing &amp; Recruiting</t>
  </si>
  <si>
    <t>Eli Lilly and Company</t>
  </si>
  <si>
    <t>Indianapolis</t>
  </si>
  <si>
    <t>https://www.google.com/search?newwindow=1&amp;ei=2MT0XrvGGM-vytMP1OyDgAY&amp;q=site%3Alinkedin.com+Keith+B.+Stanford+Associate+Consultant/,+Campus+Recruiter/Global+Staffing+&amp;+Recruiting+Eli+Lilly</t>
  </si>
  <si>
    <t>Mark Short</t>
  </si>
  <si>
    <t>Associate Consultant, Sales Recruiting - Campus</t>
  </si>
  <si>
    <t>4 years 6 months in role</t>
  </si>
  <si>
    <t>Carmel</t>
  </si>
  <si>
    <t>https://www.google.com/search?newwindow=1&amp;ei=2MT0XrvGGM-vytMP1OyDgAY&amp;q=site%3Alinkedin.com+Mark+Short+Associate+Consultant,+Sales+Recruiting+-+Campus+Eli+Lilly+and+Company</t>
  </si>
  <si>
    <t>Alexis Cohen</t>
  </si>
  <si>
    <t>https://www.google.com/search?newwindow=1&amp;ei=2MT0XrvGGM-vytMP1OyDgAY&amp;q=site%3Alinkedin.com+Alexis+Cohen+Campus+Recruiter+Eli+Lilly+and+Company</t>
  </si>
  <si>
    <t>Shawn Liller</t>
  </si>
  <si>
    <t>HR Campus Recruiter</t>
  </si>
  <si>
    <t>4 years 5 months in role and company</t>
  </si>
  <si>
    <t>https://www.google.com/search?newwindow=1&amp;ei=2MT0XrvGGM-vytMP1OyDgAY&amp;q=site%3Alinkedin.com+Shawn+Liller+HR+Campus+Recruiter+Eli+Lilly+and+Company</t>
  </si>
  <si>
    <t>Hira Majid</t>
  </si>
  <si>
    <t>Campus Recruiter - Diversity Lead</t>
  </si>
  <si>
    <t>https://www.google.com/search?newwindow=1&amp;ei=2MT0XrvGGM-vytMP1OyDgAY&amp;q=site%3Alinkedin.com+Hira+Majid+Campus+Recruiter+-+Diversity+Lead+Eli+Lilly+and+Company</t>
  </si>
  <si>
    <t>Alexandria Pernell, MS-HRM</t>
  </si>
  <si>
    <t>Global HR Campus Recruiter</t>
  </si>
  <si>
    <t>https://www.google.com/search?newwindow=1&amp;ei=2MT0XrvGGM-vytMP1OyDgAY&amp;q=site%3Alinkedin.com+Alexandria+Pernell,+MS-HRM+Global+HR+Campus+Recruiter+Eli+Lilly+and+Company</t>
  </si>
  <si>
    <t>Juniris Torres</t>
  </si>
  <si>
    <t>Senior Sales Representative, Campus Internship Recruiter</t>
  </si>
  <si>
    <t>https://www.google.com/search?newwindow=1&amp;ei=2MT0XrvGGM-vytMP1OyDgAY&amp;q=site%3Alinkedin.com+Juniris+Torres+Senior+Sales+Representative,+Campus+Internship+Recruiter+Eli+Lilly+and+Company</t>
  </si>
  <si>
    <t>Katie Price</t>
  </si>
  <si>
    <t>Associate Consultant-Campus Recruiter</t>
  </si>
  <si>
    <t>https://www.google.com/search?newwindow=1&amp;ei=2MT0XrvGGM-vytMP1OyDgAY&amp;q=site%3Alinkedin.com+Katie+Price+Associate+Consultant-Campus+Recruiter+Eli+Lilly+and+Company</t>
  </si>
  <si>
    <t>Oscar Grau, MBA</t>
  </si>
  <si>
    <t>Consultant - Campus Recruiter</t>
  </si>
  <si>
    <t>https://www.google.com/search?newwindow=1&amp;ei=2MT0XrvGGM-vytMP1OyDgAY&amp;q=site%3Alinkedin.com+Oscar+Grau,+MBA+Consultant+-+Campus+Recruiter+Eli+Lilly+and+Company</t>
  </si>
  <si>
    <t>LaVenta Atwater</t>
  </si>
  <si>
    <t>Olde West Chester</t>
  </si>
  <si>
    <t>https://www.google.com/search?newwindow=1&amp;ei=2MT0XrvGGM-vytMP1OyDgAY&amp;q=site%3Alinkedin.com+LaVenta+Atwater+Campus+Recruiter+Eli+Lilly+and+Company</t>
  </si>
  <si>
    <t>Paige Sacks</t>
  </si>
  <si>
    <t>Campus recruiter</t>
  </si>
  <si>
    <t>Ernst &amp; Young</t>
  </si>
  <si>
    <t>14 years 6 months in role and company</t>
  </si>
  <si>
    <t>https://www.google.com/search?newwindow=1&amp;ei=2MT0XrvGGM-vytMP1OyDgAY&amp;q=site%3Alinkedin.com+Paige+Sacks+Campus+recruiter+Ernst+&amp;+Young</t>
  </si>
  <si>
    <t>Kristin Schmidt</t>
  </si>
  <si>
    <t>8 years 9 months in role and company</t>
  </si>
  <si>
    <t>https://www.google.com/search?newwindow=1&amp;ei=2MT0XrvGGM-vytMP1OyDgAY&amp;q=site%3Alinkedin.com+Kristin+Schmidt+Campus+Recruiter+Ernst+&amp;+Young</t>
  </si>
  <si>
    <t>Molly Leighton</t>
  </si>
  <si>
    <t>National Assurance Campus Recruiting Lead</t>
  </si>
  <si>
    <t>https://www.google.com/search?newwindow=1&amp;ei=2MT0XrvGGM-vytMP1OyDgAY&amp;q=site%3Alinkedin.com+Molly+Leighton+National+Assurance+Campus+Recruiting+Lead+Ernst+&amp;+Young</t>
  </si>
  <si>
    <t>Michelle J. Maynor</t>
  </si>
  <si>
    <t>7 years 1 month in role and company</t>
  </si>
  <si>
    <t>https://www.google.com/search?newwindow=1&amp;ei=2MT0XrvGGM-vytMP1OyDgAY&amp;q=site%3Alinkedin.com+Michelle+J.+Maynor+Campus+Recruiter+Coordinator+Ernst+&amp;+Young</t>
  </si>
  <si>
    <t>Roxanne Jackson</t>
  </si>
  <si>
    <t>Campus Recruiter- Diversity</t>
  </si>
  <si>
    <t>https://www.google.com/search?newwindow=1&amp;ei=2MT0XrvGGM-vytMP1OyDgAY&amp;q=site%3Alinkedin.com+Roxanne+Jackson+Campus+Recruiter-+Diversity+Ernst+&amp;+Young</t>
  </si>
  <si>
    <t>Stephanie Lopez</t>
  </si>
  <si>
    <t>https://www.google.com/search?newwindow=1&amp;ei=2MT0XrvGGM-vytMP1OyDgAY&amp;q=site%3Alinkedin.com+Stephanie+Lopez+Campus+Recruiter+Ernst+&amp;+Young</t>
  </si>
  <si>
    <t>Amy Mait</t>
  </si>
  <si>
    <t>14 years 10 months in role</t>
  </si>
  <si>
    <t>https://www.google.com/search?newwindow=1&amp;ei=2MT0XrvGGM-vytMP1OyDgAY&amp;q=site%3Alinkedin.com+Amy+Mait+Campus+Recruiter+Ernst+&amp;+Young</t>
  </si>
  <si>
    <t>Kaitlin Kunsman</t>
  </si>
  <si>
    <t>Cranford</t>
  </si>
  <si>
    <t>https://www.google.com/search?newwindow=1&amp;ei=2MT0XrvGGM-vytMP1OyDgAY&amp;q=site%3Alinkedin.com+Kaitlin+Kunsman+Campus+Recruiter+Ernst+&amp;+Young</t>
  </si>
  <si>
    <t>Maggie Lemmel</t>
  </si>
  <si>
    <t>13 years 2 months in role and company</t>
  </si>
  <si>
    <t>https://www.google.com/search?newwindow=1&amp;ei=2MT0XrvGGM-vytMP1OyDgAY&amp;q=site%3Alinkedin.com+Maggie+Lemmel+Campus+Recruiter+Ernst+&amp;+Young</t>
  </si>
  <si>
    <t>Christyn Benzle</t>
  </si>
  <si>
    <t>14 years 10 months in role and company</t>
  </si>
  <si>
    <t>https://www.google.com/search?newwindow=1&amp;ei=2MT0XrvGGM-vytMP1OyDgAY&amp;q=site%3Alinkedin.com+Christyn+Benzle+Campus+Recruiter+Ernst+&amp;+Young</t>
  </si>
  <si>
    <t>Julie Benner</t>
  </si>
  <si>
    <t>Dublin</t>
  </si>
  <si>
    <t>https://www.google.com/search?newwindow=1&amp;ei=2MT0XrvGGM-vytMP1OyDgAY&amp;q=site%3Alinkedin.com+Julie+Benner+Campus+Recruiting+Manager+Ernst+&amp;+Young</t>
  </si>
  <si>
    <t>Kaami Moore</t>
  </si>
  <si>
    <t>Florida Campus Recruiter</t>
  </si>
  <si>
    <t>https://www.google.com/search?newwindow=1&amp;ei=2MT0XrvGGM-vytMP1OyDgAY&amp;q=site%3Alinkedin.com+Kaami+Moore+Florida+Campus+Recruiter+Ernst+&amp;+Young</t>
  </si>
  <si>
    <t>Jennifer Sell</t>
  </si>
  <si>
    <t>15 years 4 months in role and company</t>
  </si>
  <si>
    <t>Haddonfield</t>
  </si>
  <si>
    <t>https://www.google.com/search?newwindow=1&amp;ei=2MT0XrvGGM-vytMP1OyDgAY&amp;q=site%3Alinkedin.com+Jennifer+Sell+Campus+Recruiter+Ernst+&amp;+Young</t>
  </si>
  <si>
    <t>Rachel Bresnick Lipson</t>
  </si>
  <si>
    <t>Hermosa Beach</t>
  </si>
  <si>
    <t>https://www.google.com/search?newwindow=1&amp;ei=2MT0XrvGGM-vytMP1OyDgAY&amp;q=site%3Alinkedin.com+Rachel+Bresnick+Lipson+Campus+Recruiter+Ernst+&amp;+Young</t>
  </si>
  <si>
    <t>Eleni Athanasiou</t>
  </si>
  <si>
    <t>23 years 10 months in role and company</t>
  </si>
  <si>
    <t>Iselin</t>
  </si>
  <si>
    <t>https://www.google.com/search?newwindow=1&amp;ei=2MT0XrvGGM-vytMP1OyDgAY&amp;q=site%3Alinkedin.com+Eleni+Athanasiou+Campus+Recruiter+Ernst+&amp;+Young</t>
  </si>
  <si>
    <t>Grethel Gaitan</t>
  </si>
  <si>
    <t>9 years 8 months in role and company</t>
  </si>
  <si>
    <t>https://www.google.com/search?newwindow=1&amp;ei=2MT0XrvGGM-vytMP1OyDgAY&amp;q=site%3Alinkedin.com+Grethel+Gaitan+Campus+Recruiter+Ernst+&amp;+Young</t>
  </si>
  <si>
    <t>Katy Elliott Steinbach</t>
  </si>
  <si>
    <t>https://www.google.com/search?newwindow=1&amp;ei=2MT0XrvGGM-vytMP1OyDgAY&amp;q=site%3Alinkedin.com+Katy+Elliott+Steinbach+Campus+Recruiter+Ernst+&amp;+Young</t>
  </si>
  <si>
    <t>Danielle M.</t>
  </si>
  <si>
    <t>https://www.google.com/search?newwindow=1&amp;ei=2MT0XrvGGM-vytMP1OyDgAY&amp;q=site%3Alinkedin.com+Danielle+M.+Campus+Recruiter+Ernst+&amp;+Young</t>
  </si>
  <si>
    <t>Debbie Dillon</t>
  </si>
  <si>
    <t>https://www.google.com/search?newwindow=1&amp;ei=2MT0XrvGGM-vytMP1OyDgAY&amp;q=site%3Alinkedin.com+Debbie+Dillon+Campus+Recruiter+Ernst+&amp;+Young</t>
  </si>
  <si>
    <t>Angie Menendez</t>
  </si>
  <si>
    <t>Area Campus Recruiter</t>
  </si>
  <si>
    <t>16 years 7 months in role and company</t>
  </si>
  <si>
    <t>Newport Beach</t>
  </si>
  <si>
    <t>https://www.google.com/search?newwindow=1&amp;ei=2MT0XrvGGM-vytMP1OyDgAY&amp;q=site%3Alinkedin.com+Angie+Menendez+Area+Campus+Recruiter+Ernst+and+Young</t>
  </si>
  <si>
    <t>Kelsey Rock</t>
  </si>
  <si>
    <t>https://www.google.com/search?newwindow=1&amp;ei=2MT0XrvGGM-vytMP1OyDgAY&amp;q=site%3Alinkedin.com+Kelsey+Rock+Campus+Recruiter+EY</t>
  </si>
  <si>
    <t>Jessica Robson</t>
  </si>
  <si>
    <t>6 years 9 months in role and company</t>
  </si>
  <si>
    <t>https://www.google.com/search?newwindow=1&amp;ei=2MT0XrvGGM-vytMP1OyDgAY&amp;q=site%3Alinkedin.com+Jessica+Robson+Campus+Recruiter+EY</t>
  </si>
  <si>
    <t>Ellen Stark</t>
  </si>
  <si>
    <t>https://www.google.com/search?newwindow=1&amp;ei=2MT0XrvGGM-vytMP1OyDgAY&amp;q=site%3Alinkedin.com+Ellen+Stark+Campus+Recruiter+EY</t>
  </si>
  <si>
    <t>Katie Fiorenzo Sharp</t>
  </si>
  <si>
    <t>Campus Recruiter - Transaction Advisory Services</t>
  </si>
  <si>
    <t>6 years 5 months in role</t>
  </si>
  <si>
    <t>https://www.google.com/search?newwindow=1&amp;ei=2MT0XrvGGM-vytMP1OyDgAY&amp;q=site%3Alinkedin.com+Katie+Fiorenzo+Sharp+Campus+Recruiter+-+Transaction+Advisory+Services+EY</t>
  </si>
  <si>
    <t>Erica Alfaro Hammett</t>
  </si>
  <si>
    <t>Campus Recruiter, Talent Attraction and Acquisition (TA2)</t>
  </si>
  <si>
    <t>https://www.google.com/search?newwindow=1&amp;ei=2MT0XrvGGM-vytMP1OyDgAY&amp;q=site%3Alinkedin.com+Erica+Alfaro+Hammett+Campus+Recruiter,+Talent+Attraction+and+Acquisition+(TA2)+EY</t>
  </si>
  <si>
    <t>3 years  in role</t>
  </si>
  <si>
    <t>https://www.google.com/search?newwindow=1&amp;ei=2MT0XrvGGM-vytMP1OyDgAY&amp;q=site%3Alinkedin.com+Callie+Jones+Campus+Recruiter+EY</t>
  </si>
  <si>
    <t>Ally Yawman</t>
  </si>
  <si>
    <t>6 years 2 months in role and company</t>
  </si>
  <si>
    <t>Baltimore</t>
  </si>
  <si>
    <t>Maryland</t>
  </si>
  <si>
    <t>https://www.google.com/search?newwindow=1&amp;ei=2MT0XrvGGM-vytMP1OyDgAY&amp;q=site%3Alinkedin.com+Ally+Yawman+Campus+Recruiter+EY</t>
  </si>
  <si>
    <t>Jennifer Nienberg</t>
  </si>
  <si>
    <t>4 years 8 months in role</t>
  </si>
  <si>
    <t>Birmingham</t>
  </si>
  <si>
    <t>https://www.google.com/search?newwindow=1&amp;ei=2MT0XrvGGM-vytMP1OyDgAY&amp;q=site%3Alinkedin.com+Jennifer+Nienberg+Campus+Recruiter+EY</t>
  </si>
  <si>
    <t>Katie Mullaney</t>
  </si>
  <si>
    <t>https://www.google.com/search?newwindow=1&amp;ei=2MT0XrvGGM-vytMP1OyDgAY&amp;q=site%3Alinkedin.com+Katie+Mullaney+Campus+Recruiter+EY</t>
  </si>
  <si>
    <t>Sarah Fraser</t>
  </si>
  <si>
    <t>US-East Campus Recruiter, Supervising Assoc.</t>
  </si>
  <si>
    <t>https://www.google.com/search?newwindow=1&amp;ei=2MT0XrvGGM-vytMP1OyDgAY&amp;q=site%3Alinkedin.com+Sarah+Fraser+US-East+Campus+Recruiter,+Supervising+Assoc.+EY</t>
  </si>
  <si>
    <t>Lauren Thornton</t>
  </si>
  <si>
    <t>https://www.google.com/search?newwindow=1&amp;ei=2MT0XrvGGM-vytMP1OyDgAY&amp;q=site%3Alinkedin.com+Lauren+Thornton+Campus+Recruiter+EY</t>
  </si>
  <si>
    <t>Addison Hugo</t>
  </si>
  <si>
    <t>Recruiter, Campus Talent Attraction and Acquisition</t>
  </si>
  <si>
    <t>https://www.google.com/search?newwindow=1&amp;ei=2MT0XrvGGM-vytMP1OyDgAY&amp;q=site%3Alinkedin.com+Addison+Hugo+Recruiter,+Campus+Talent+Attraction+and+Acquisition+EY</t>
  </si>
  <si>
    <t>Meaghan Sansbury</t>
  </si>
  <si>
    <t>Campus Recruiter, Supervising Associate</t>
  </si>
  <si>
    <t>https://www.google.com/search?newwindow=1&amp;ei=2MT0XrvGGM-vytMP1OyDgAY&amp;q=site%3Alinkedin.com+Meaghan+Sansbury+Campus+Recruiter,+Supervising+Associate+EY</t>
  </si>
  <si>
    <t>Jessica M.</t>
  </si>
  <si>
    <t>Campus Recruiter; Supervising Associate</t>
  </si>
  <si>
    <t>https://www.google.com/search?newwindow=1&amp;ei=2MT0XrvGGM-vytMP1OyDgAY&amp;q=site%3Alinkedin.com+Jessica+M.+Campus+Recruiter;+Supervising+Associate+EY</t>
  </si>
  <si>
    <t>Yasmin Xavier</t>
  </si>
  <si>
    <t>https://www.google.com/search?newwindow=1&amp;ei=2MT0XrvGGM-vytMP1OyDgAY&amp;q=site%3Alinkedin.com+Yasmin+Xavier+Campus+Recruiter+EY</t>
  </si>
  <si>
    <t>Lorene Santos Rabelo</t>
  </si>
  <si>
    <t>Bridgeport</t>
  </si>
  <si>
    <t>https://www.google.com/search?newwindow=1&amp;ei=2MT0XrvGGM-vytMP1OyDgAY&amp;q=site%3Alinkedin.com+Lorene+Santos+Rabelo+Campus+Recruiter+EY</t>
  </si>
  <si>
    <t>Erin Green</t>
  </si>
  <si>
    <t>7 years 7 months in role</t>
  </si>
  <si>
    <t>https://www.google.com/search?newwindow=1&amp;ei=2MT0XrvGGM-vytMP1OyDgAY&amp;q=site%3Alinkedin.com+Erin+Green+Campus+Recruiting+Manager+EY</t>
  </si>
  <si>
    <t>Ella Ryan</t>
  </si>
  <si>
    <t>https://www.google.com/search?newwindow=1&amp;ei=2MT0XrvGGM-vytMP1OyDgAY&amp;q=site%3Alinkedin.com+Ella+Ryan+Campus+Recruiter+EY</t>
  </si>
  <si>
    <t>Catherine Nolff</t>
  </si>
  <si>
    <t>https://www.google.com/search?newwindow=1&amp;ei=2MT0XrvGGM-vytMP1OyDgAY&amp;q=site%3Alinkedin.com+Catherine+Nolff+Campus+Recruiter+EY</t>
  </si>
  <si>
    <t>Merissa Medlin</t>
  </si>
  <si>
    <t>https://www.google.com/search?newwindow=1&amp;ei=2MT0XrvGGM-vytMP1OyDgAY&amp;q=site%3Alinkedin.com+Merissa+Medlin+Campus+Recruiter+EY</t>
  </si>
  <si>
    <t>Anuj Patel</t>
  </si>
  <si>
    <t>4 years 10 months in role</t>
  </si>
  <si>
    <t>https://www.google.com/search?newwindow=1&amp;ei=2MT0XrvGGM-vytMP1OyDgAY&amp;q=site%3Alinkedin.com+Anuj+Patel+Campus+Recruiter+EY</t>
  </si>
  <si>
    <t>Alyssa Curl</t>
  </si>
  <si>
    <t>https://www.google.com/search?newwindow=1&amp;ei=2MT0XrvGGM-vytMP1OyDgAY&amp;q=site%3Alinkedin.com+Alyssa+Curl+Campus+Recruiter+EY</t>
  </si>
  <si>
    <t>Leia Gertos</t>
  </si>
  <si>
    <t>https://www.google.com/search?newwindow=1&amp;ei=2MT0XrvGGM-vytMP1OyDgAY&amp;q=site%3Alinkedin.com+Leia+Gertos+Campus+Recruiter+EY</t>
  </si>
  <si>
    <t>Jordan England</t>
  </si>
  <si>
    <t>Campus Recruiter, Talent Attraction and Acquisition (TA²)</t>
  </si>
  <si>
    <t>7 years 11 months in role</t>
  </si>
  <si>
    <t>https://www.google.com/search?newwindow=1&amp;ei=2MT0XrvGGM-vytMP1OyDgAY&amp;q=site%3Alinkedin.com+Jordan+England+Campus+Recruiter,+Talent+Attraction+and+Acquisition+(TA²)+EY</t>
  </si>
  <si>
    <t>Erin Kelly</t>
  </si>
  <si>
    <t>https://www.google.com/search?newwindow=1&amp;ei=2MT0XrvGGM-vytMP1OyDgAY&amp;q=site%3Alinkedin.com+Erin+Kelly+Campus+Recruiter+EY</t>
  </si>
  <si>
    <t>Megan Bruce</t>
  </si>
  <si>
    <t>https://www.google.com/search?newwindow=1&amp;ei=2MT0XrvGGM-vytMP1OyDgAY&amp;q=site%3Alinkedin.com+Megan+Bruce+Campus+Recruiter+EY</t>
  </si>
  <si>
    <t>Madison Pierini</t>
  </si>
  <si>
    <t>Supervising Associate - Campus Recruiter,  Financial Services Organization</t>
  </si>
  <si>
    <t>5 years  in role and company</t>
  </si>
  <si>
    <t>https://www.google.com/search?newwindow=1&amp;ei=2MT0XrvGGM-vytMP1OyDgAY&amp;q=site%3Alinkedin.com+Madison+Pierini+Supervising+Associate+-+Campus+Recruiter,++Financial+Services+Organization+EY</t>
  </si>
  <si>
    <t>Emily Deering</t>
  </si>
  <si>
    <t>https://www.google.com/search?newwindow=1&amp;ei=2MT0XrvGGM-vytMP1OyDgAY&amp;q=site%3Alinkedin.com+Emily+Deering+Campus+Recruiter,+Supervising+Associate+EY</t>
  </si>
  <si>
    <t>Amy Keighley</t>
  </si>
  <si>
    <t>https://www.google.com/search?newwindow=1&amp;ei=2MT0XrvGGM-vytMP1OyDgAY&amp;q=site%3Alinkedin.com+Amy+Keighley+Campus+Recruiter+EY</t>
  </si>
  <si>
    <t>Megan Miniello Driscoll</t>
  </si>
  <si>
    <t>Financial Services Campus Recruiter</t>
  </si>
  <si>
    <t>Clayton</t>
  </si>
  <si>
    <t>https://www.google.com/search?newwindow=1&amp;ei=2MT0XrvGGM-vytMP1OyDgAY&amp;q=site%3Alinkedin.com+Megan+Miniello+Driscoll+Financial+Services+Campus+Recruiter+EY</t>
  </si>
  <si>
    <t>Ashley Redmond</t>
  </si>
  <si>
    <t>Campus Referral Recruiter</t>
  </si>
  <si>
    <t>https://www.google.com/search?newwindow=1&amp;ei=2MT0XrvGGM-vytMP1OyDgAY&amp;q=site%3Alinkedin.com+Ashley+Redmond+Campus+Referral+Recruiter+EY</t>
  </si>
  <si>
    <t>Addison (Goodwin) Wilkie</t>
  </si>
  <si>
    <t>Consulting Campus Recruiter</t>
  </si>
  <si>
    <t>https://www.google.com/search?newwindow=1&amp;ei=2MT0XrvGGM-vytMP1OyDgAY&amp;q=site%3Alinkedin.com+Addison+(Goodwin)+Wilkie+Consulting+Campus+Recruiter+EY</t>
  </si>
  <si>
    <t>Katie Caraboa</t>
  </si>
  <si>
    <t>https://www.google.com/search?newwindow=1&amp;ei=2MT0XrvGGM-vytMP1OyDgAY&amp;q=site%3Alinkedin.com+Katie+Caraboa+Campus+Recruiter+EY</t>
  </si>
  <si>
    <t>Maddie Castro</t>
  </si>
  <si>
    <t>https://www.google.com/search?newwindow=1&amp;ei=2MT0XrvGGM-vytMP1OyDgAY&amp;q=site%3Alinkedin.com+Maddie+Castro+Campus+Recruiter+EY</t>
  </si>
  <si>
    <t>Carol Nielsen</t>
  </si>
  <si>
    <t>Campus Recruiter (Rotational Talent Advisor), Supervising Associate</t>
  </si>
  <si>
    <t>https://www.google.com/search?newwindow=1&amp;ei=2MT0XrvGGM-vytMP1OyDgAY&amp;q=site%3Alinkedin.com+Carol+Nielsen+Campus+Recruiter+(Rotational+Talent+Advisor),+Supervising+Associate+EY</t>
  </si>
  <si>
    <t>Hannah Bergoon</t>
  </si>
  <si>
    <t>https://www.google.com/search?newwindow=1&amp;ei=2MT0XrvGGM-vytMP1OyDgAY&amp;q=site%3Alinkedin.com+Hannah+Bergoon+Campus+Recruiter+EY</t>
  </si>
  <si>
    <t>Kati Lavarias</t>
  </si>
  <si>
    <t>5 years 3 months in role and company</t>
  </si>
  <si>
    <t>https://www.google.com/search?newwindow=1&amp;ei=2MT0XrvGGM-vytMP1OyDgAY&amp;q=site%3Alinkedin.com+Kati+Lavarias+Campus+Recruiter+EY</t>
  </si>
  <si>
    <t>Brighid Jensen</t>
  </si>
  <si>
    <t>US Campus Recruiting, Associate Director - Transformation Project Leader</t>
  </si>
  <si>
    <t>https://www.google.com/search?newwindow=1&amp;ei=2MT0XrvGGM-vytMP1OyDgAY&amp;q=site%3Alinkedin.com+Brighid+Jensen+US+Campus+Recruiting,+Associate+Director+-+Transformation+Project+Leader+EY</t>
  </si>
  <si>
    <t>Scott Dai</t>
  </si>
  <si>
    <t>Senior Manager, Business Strategy &amp; Consulting</t>
  </si>
  <si>
    <t>https://www.google.com/search?newwindow=1&amp;ei=2MT0XrvGGM-vytMP1OyDgAY&amp;q=site%3Alinkedin.com+Scott+Dai+Senior+Manager,+Business+Strategy+&amp;+Consulting+EY</t>
  </si>
  <si>
    <t>Rachel Kessler</t>
  </si>
  <si>
    <t>https://www.google.com/search?newwindow=1&amp;ei=2MT0XrvGGM-vytMP1OyDgAY&amp;q=site%3Alinkedin.com+Rachel+Kessler+Campus+Recruiter+EY</t>
  </si>
  <si>
    <t>Lauren Lilly</t>
  </si>
  <si>
    <t>5 years 8 months in role and company</t>
  </si>
  <si>
    <t>https://www.google.com/search?newwindow=1&amp;ei=2MT0XrvGGM-vytMP1OyDgAY&amp;q=site%3Alinkedin.com+Lauren+Lilly+Campus+Recruiter+EY</t>
  </si>
  <si>
    <t>Jennifer Bidlingmaier</t>
  </si>
  <si>
    <t>https://www.google.com/search?newwindow=1&amp;ei=2MT0XrvGGM-vytMP1OyDgAY&amp;q=site%3Alinkedin.com+Jennifer+Bidlingmaier+Campus+Recruiter+EY</t>
  </si>
  <si>
    <t>Kristen (Miller) Goldman</t>
  </si>
  <si>
    <t>Campus Recruiter, Assistant Director</t>
  </si>
  <si>
    <t>https://www.google.com/search?newwindow=1&amp;ei=2MT0XrvGGM-vytMP1OyDgAY&amp;q=site%3Alinkedin.com+Kristen+(Miller)+Goldman+Campus+Recruiter,+Assistant+Director+EY</t>
  </si>
  <si>
    <t>Paige Leininger</t>
  </si>
  <si>
    <t>https://www.google.com/search?newwindow=1&amp;ei=2MT0XrvGGM-vytMP1OyDgAY&amp;q=site%3Alinkedin.com+Paige+Leininger+Campus+Recruiter+EY</t>
  </si>
  <si>
    <t>Morgan Liss</t>
  </si>
  <si>
    <t>FSO Assurance Campus Recruiter</t>
  </si>
  <si>
    <t>https://www.google.com/search?newwindow=1&amp;ei=2MT0XrvGGM-vytMP1OyDgAY&amp;q=site%3Alinkedin.com+Morgan+Liss+FSO+Assurance+Campus+Recruiter+EY</t>
  </si>
  <si>
    <t>Valerie King</t>
  </si>
  <si>
    <t>https://www.google.com/search?newwindow=1&amp;ei=2MT0XrvGGM-vytMP1OyDgAY&amp;q=site%3Alinkedin.com+Valerie+King+Campus+Recruiter+EY</t>
  </si>
  <si>
    <t>Lindsay Sadler</t>
  </si>
  <si>
    <t>West Region Campus Recruiter</t>
  </si>
  <si>
    <t>https://www.google.com/search?newwindow=1&amp;ei=2MT0XrvGGM-vytMP1OyDgAY&amp;q=site%3Alinkedin.com+Lindsay+Sadler+West+Region+Campus+Recruiter+EY</t>
  </si>
  <si>
    <t>Stephanie Eckland</t>
  </si>
  <si>
    <t>https://www.google.com/search?newwindow=1&amp;ei=2MT0XrvGGM-vytMP1OyDgAY&amp;q=site%3Alinkedin.com+Stephanie+Eckland+Campus+Recruiter+EY</t>
  </si>
  <si>
    <t>Daniela McLoad</t>
  </si>
  <si>
    <t>https://www.google.com/search?newwindow=1&amp;ei=2MT0XrvGGM-vytMP1OyDgAY&amp;q=site%3Alinkedin.com+Daniela+McLoad+Campus+Recruiter,+Supervising+Associate+EY</t>
  </si>
  <si>
    <t>Caroline Hudnall</t>
  </si>
  <si>
    <t>6 years  in role and company</t>
  </si>
  <si>
    <t>https://www.google.com/search?newwindow=1&amp;ei=2MT0XrvGGM-vytMP1OyDgAY&amp;q=site%3Alinkedin.com+Caroline+Hudnall+Campus+Recruiter+EY</t>
  </si>
  <si>
    <t>Maricarolyn Stith</t>
  </si>
  <si>
    <t>https://www.google.com/search?newwindow=1&amp;ei=2MT0XrvGGM-vytMP1OyDgAY&amp;q=site%3Alinkedin.com+Maricarolyn+Stith+Campus+Recruiter+EY</t>
  </si>
  <si>
    <t>Monica Zeno</t>
  </si>
  <si>
    <t>Campus Recruiter - Senior Associate - FSO</t>
  </si>
  <si>
    <t>https://www.google.com/search?newwindow=1&amp;ei=2MT0XrvGGM-vytMP1OyDgAY&amp;q=site%3Alinkedin.com+Monica+Zeno+Campus+Recruiter+-+Senior+Associate+-+FSO+EY</t>
  </si>
  <si>
    <t>Hannah Daluga</t>
  </si>
  <si>
    <t>6 years 6 months in role</t>
  </si>
  <si>
    <t>https://www.google.com/search?newwindow=1&amp;ei=2MT0XrvGGM-vytMP1OyDgAY&amp;q=site%3Alinkedin.com+Hannah+Daluga+Campus+Recruiter+EY</t>
  </si>
  <si>
    <t>Crystal Hill</t>
  </si>
  <si>
    <t>https://www.google.com/search?newwindow=1&amp;ei=2MT0XrvGGM-vytMP1OyDgAY&amp;q=site%3Alinkedin.com+Crystal+Hill+Campus+Recruiter+EY</t>
  </si>
  <si>
    <t>Britt Stacy</t>
  </si>
  <si>
    <t>https://www.google.com/search?newwindow=1&amp;ei=2MT0XrvGGM-vytMP1OyDgAY&amp;q=site%3Alinkedin.com+Britt+Stacy+Campus+Recruiter+EY</t>
  </si>
  <si>
    <t>Francesca Jones</t>
  </si>
  <si>
    <t>Campus Recruiting Leader - Financial Services Organization</t>
  </si>
  <si>
    <t>https://www.google.com/search?newwindow=1&amp;ei=2MT0XrvGGM-vytMP1OyDgAY&amp;q=site%3Alinkedin.com+Francesca+Jones+Campus+Recruiting+Leader+-+Financial+Services+Organization+EY</t>
  </si>
  <si>
    <t>Je'nell Griffin</t>
  </si>
  <si>
    <t>Supervisory Associate Campus Recruiter</t>
  </si>
  <si>
    <t>https://www.google.com/search?newwindow=1&amp;ei=2MT0XrvGGM-vytMP1OyDgAY&amp;q=site%3Alinkedin.com+Je'nell+Griffin+Supervisory+Associate+Campus+Recruiter+EY</t>
  </si>
  <si>
    <t>Emily Zoller</t>
  </si>
  <si>
    <t>Assistant Director, Financial Services Campus Recruiter</t>
  </si>
  <si>
    <t>https://www.google.com/search?newwindow=1&amp;ei=2MT0XrvGGM-vytMP1OyDgAY&amp;q=site%3Alinkedin.com+Emily+Zoller+Assistant+Director,+Financial+Services+Campus+Recruiter+EY</t>
  </si>
  <si>
    <t>Javan Cross</t>
  </si>
  <si>
    <t>Campus Recruiter - Assurance</t>
  </si>
  <si>
    <t>https://www.google.com/search?newwindow=1&amp;ei=2MT0XrvGGM-vytMP1OyDgAY&amp;q=site%3Alinkedin.com+Javan+Cross+Campus+Recruiter+-+Assurance+EY</t>
  </si>
  <si>
    <t>Kreddow Savetsaranee</t>
  </si>
  <si>
    <t>https://www.google.com/search?newwindow=1&amp;ei=2MT0XrvGGM-vytMP1OyDgAY&amp;q=site%3Alinkedin.com+Kreddow+Savetsaranee+Campus+Recruiter+EY</t>
  </si>
  <si>
    <t>Ashley P.</t>
  </si>
  <si>
    <t>Campus Recruiter, Talent Attraction &amp; Acquisition</t>
  </si>
  <si>
    <t>https://www.google.com/search?newwindow=1&amp;ei=2MT0XrvGGM-vytMP1OyDgAY&amp;q=site%3Alinkedin.com+Ashley+P.+Campus+Recruiter,+Talent+Attraction+&amp;+Acquisition+EY</t>
  </si>
  <si>
    <t>Ricardo Contreras</t>
  </si>
  <si>
    <t>https://www.google.com/search?newwindow=1&amp;ei=2MT0XrvGGM-vytMP1OyDgAY&amp;q=site%3Alinkedin.com+Ricardo+Contreras+Campus+Recruiter+EY</t>
  </si>
  <si>
    <t>Jazsmin Watson - Booth</t>
  </si>
  <si>
    <t>Campus Recruiter Senior Associate</t>
  </si>
  <si>
    <t>https://www.google.com/search?newwindow=1&amp;ei=2MT0XrvGGM-vytMP1OyDgAY&amp;q=site%3Alinkedin.com+Jazsmin+Watson+-+Booth+Campus+Recruiter+Senior+Associate+EY</t>
  </si>
  <si>
    <t>Thomas S.</t>
  </si>
  <si>
    <t>https://www.google.com/search?newwindow=1&amp;ei=2MT0XrvGGM-vytMP1OyDgAY&amp;q=site%3Alinkedin.com+Thomas+S.+Campus+Recruiter+EY</t>
  </si>
  <si>
    <t>Renee Morrison, CPA</t>
  </si>
  <si>
    <t>https://www.google.com/search?newwindow=1&amp;ei=2MT0XrvGGM-vytMP1OyDgAY&amp;q=site%3Alinkedin.com+Renee+Morrison,+CPA+Campus+Recruiter+EY</t>
  </si>
  <si>
    <t>Drew Ford</t>
  </si>
  <si>
    <t>https://www.google.com/search?newwindow=1&amp;ei=2MT0XrvGGM-vytMP1OyDgAY&amp;q=site%3Alinkedin.com+Drew+Ford+Campus+Recruiter+EY</t>
  </si>
  <si>
    <t>Emily Dorsey Perno</t>
  </si>
  <si>
    <t>Assistant Director, Campus Recruiting - Tax</t>
  </si>
  <si>
    <t>https://www.google.com/search?newwindow=1&amp;ei=2MT0XrvGGM-vytMP1OyDgAY&amp;q=site%3Alinkedin.com+Emily+Dorsey+Perno+Assistant+Director,+Campus+Recruiting+-+Tax+EY</t>
  </si>
  <si>
    <t>Ami Takahashi</t>
  </si>
  <si>
    <t>https://www.google.com/search?newwindow=1&amp;ei=2MT0XrvGGM-vytMP1OyDgAY&amp;q=site%3Alinkedin.com+Ami+Takahashi+Campus+Recruiter+EY</t>
  </si>
  <si>
    <t>Allison Maron</t>
  </si>
  <si>
    <t>https://www.google.com/search?newwindow=1&amp;ei=2MT0XrvGGM-vytMP1OyDgAY&amp;q=site%3Alinkedin.com+Allison+Maron+Senior+Associate,+Campus+Recruiter+EY</t>
  </si>
  <si>
    <t>Ritu M.</t>
  </si>
  <si>
    <t>https://www.google.com/search?newwindow=1&amp;ei=2MT0XrvGGM-vytMP1OyDgAY&amp;q=site%3Alinkedin.com+Ritu+M.+Campus+Recruiter+EY</t>
  </si>
  <si>
    <t>Bryan Doyle</t>
  </si>
  <si>
    <t>https://www.google.com/search?newwindow=1&amp;ei=2MT0XrvGGM-vytMP1OyDgAY&amp;q=site%3Alinkedin.com+Bryan+Doyle+Campus+Recruiter+EY</t>
  </si>
  <si>
    <t>Cori Fitzpatrick-Rosario</t>
  </si>
  <si>
    <t>Campus Recruiter, Transaction Advisory Services and Campus Relationship Manager for Cornell</t>
  </si>
  <si>
    <t>7 years 7 months in role and company</t>
  </si>
  <si>
    <t>https://www.google.com/search?newwindow=1&amp;ei=2MT0XrvGGM-vytMP1OyDgAY&amp;q=site%3Alinkedin.com+Cori+Fitzpatrick-Rosario+Campus+Recruiter,+Transaction+Advisory+Services+and+Campus+Relationship+Manager+for+Cornell+EY</t>
  </si>
  <si>
    <t>Ashley Lee</t>
  </si>
  <si>
    <t>5 years 2 months in role and company</t>
  </si>
  <si>
    <t>https://www.google.com/search?newwindow=1&amp;ei=2MT0XrvGGM-vytMP1OyDgAY&amp;q=site%3Alinkedin.com+Ashley+Lee+Campus+Recruiter+EY</t>
  </si>
  <si>
    <t>Abigail Morgan</t>
  </si>
  <si>
    <t>Campus Recruiter - Talent Attraction &amp; Acquisition - Senior Associate</t>
  </si>
  <si>
    <t>https://www.google.com/search?newwindow=1&amp;ei=2MT0XrvGGM-vytMP1OyDgAY&amp;q=site%3Alinkedin.com+Abigail+Morgan+Campus+Recruiter+-+Talent+Attraction+&amp;+Acquisition+-+Senior+Associate+EY</t>
  </si>
  <si>
    <t>Adrianne Dias</t>
  </si>
  <si>
    <t>Campus Recruiter (National Tax), Supervising Associate</t>
  </si>
  <si>
    <t>https://www.google.com/search?newwindow=1&amp;ei=2MT0XrvGGM-vytMP1OyDgAY&amp;q=site%3Alinkedin.com+Adrianne+Dias+Campus+Recruiter+(National+Tax),+Supervising+Associate+EY</t>
  </si>
  <si>
    <t>Carolyn Duffett</t>
  </si>
  <si>
    <t>Talent Attraction &amp; Acquisition, Campus Recruiter</t>
  </si>
  <si>
    <t>https://www.google.com/search?newwindow=1&amp;ei=2MT0XrvGGM-vytMP1OyDgAY&amp;q=site%3Alinkedin.com+Carolyn+Duffett+Talent+Attraction+&amp;+Acquisition,+Campus+Recruiter+EY</t>
  </si>
  <si>
    <t>Chelsea Vena</t>
  </si>
  <si>
    <t>MBA Campus Recruiter - Senior Associate</t>
  </si>
  <si>
    <t>https://www.google.com/search?newwindow=1&amp;ei=2MT0XrvGGM-vytMP1OyDgAY&amp;q=site%3Alinkedin.com+Chelsea+Vena+MBA+Campus+Recruiter+-+Senior+Associate+EY</t>
  </si>
  <si>
    <t>Jessica (Gutman) Lefkowitz</t>
  </si>
  <si>
    <t>https://www.google.com/search?newwindow=1&amp;ei=2MT0XrvGGM-vytMP1OyDgAY&amp;q=site%3Alinkedin.com+Jessica+(Gutman)+Lefkowitz+Campus+Recruiter,+Talent+Attraction+&amp;+Acquisition+EY</t>
  </si>
  <si>
    <t>Joseph Wehle</t>
  </si>
  <si>
    <t>https://www.google.com/search?newwindow=1&amp;ei=2MT0XrvGGM-vytMP1OyDgAY&amp;q=site%3Alinkedin.com+Joseph+Wehle+Campus+Recruiter+EY</t>
  </si>
  <si>
    <t>Katherine Infante</t>
  </si>
  <si>
    <t>https://www.google.com/search?newwindow=1&amp;ei=2MT0XrvGGM-vytMP1OyDgAY&amp;q=site%3Alinkedin.com+Katherine+Infante+Senior+Associate,+Campus+Recruiter+EY</t>
  </si>
  <si>
    <t>Katie F.</t>
  </si>
  <si>
    <t>6 years 1 month in role and company</t>
  </si>
  <si>
    <t>https://www.google.com/search?newwindow=1&amp;ei=2MT0XrvGGM-vytMP1OyDgAY&amp;q=site%3Alinkedin.com+Katie+F.+Consulting+Campus+Recruiter+EY</t>
  </si>
  <si>
    <t>Mary Bongart</t>
  </si>
  <si>
    <t>https://www.google.com/search?newwindow=1&amp;ei=2MT0XrvGGM-vytMP1OyDgAY&amp;q=site%3Alinkedin.com+Mary+Bongart+Campus+Recruiter+EY</t>
  </si>
  <si>
    <t>Bryan Ferretti</t>
  </si>
  <si>
    <t>https://www.google.com/search?newwindow=1&amp;ei=2MT0XrvGGM-vytMP1OyDgAY&amp;q=site%3Alinkedin.com+Bryan+Ferretti+Campus+Recruiter+EY</t>
  </si>
  <si>
    <t>Alex Swit</t>
  </si>
  <si>
    <t>https://www.google.com/search?newwindow=1&amp;ei=2MT0XrvGGM-vytMP1OyDgAY&amp;q=site%3Alinkedin.com+Alex+Swit+Campus+Recruiter+EY</t>
  </si>
  <si>
    <t>Christine Brennan</t>
  </si>
  <si>
    <t>Campus Referral Recruiter, Talent Attraction and Acquisition (TA²)</t>
  </si>
  <si>
    <t>https://www.google.com/search?newwindow=1&amp;ei=2MT0XrvGGM-vytMP1OyDgAY&amp;q=site%3Alinkedin.com+Christine+Brennan+Campus+Referral+Recruiter,+Talent+Attraction+and+Acquisition+(TA²)+EY</t>
  </si>
  <si>
    <t>Abby Motson</t>
  </si>
  <si>
    <t>Campus Recruiter (Advisory, Cybersecurity)</t>
  </si>
  <si>
    <t>https://www.google.com/search?newwindow=1&amp;ei=2MT0XrvGGM-vytMP1OyDgAY&amp;q=site%3Alinkedin.com+Abby+Motson+Campus+Recruiter+(Advisory,+Cybersecurity)+EY</t>
  </si>
  <si>
    <t>Nichole Howarth</t>
  </si>
  <si>
    <t>Campus Recruiter, Rotating Talent Advisor, Supervising Associate</t>
  </si>
  <si>
    <t>5 years 1 month in role and company</t>
  </si>
  <si>
    <t>https://www.google.com/search?newwindow=1&amp;ei=2MT0XrvGGM-vytMP1OyDgAY&amp;q=site%3Alinkedin.com+Nichole+Howarth+Campus+Recruiter,+Rotating+Talent+Advisor,+Supervising+Associate+EY</t>
  </si>
  <si>
    <t>MaryBeth Allen</t>
  </si>
  <si>
    <t>9 years 1 month in role</t>
  </si>
  <si>
    <t>https://www.google.com/search?newwindow=1&amp;ei=2MT0XrvGGM-vytMP1OyDgAY&amp;q=site%3Alinkedin.com+MaryBeth+Allen+Campus+Recruiter+EY</t>
  </si>
  <si>
    <t>Jordan Gaunt</t>
  </si>
  <si>
    <t>Plano</t>
  </si>
  <si>
    <t>https://www.google.com/search?newwindow=1&amp;ei=2MT0XrvGGM-vytMP1OyDgAY&amp;q=site%3Alinkedin.com+Jordan+Gaunt+Campus+Recruiter+Senior+Associate+EY</t>
  </si>
  <si>
    <t>Max Hyland</t>
  </si>
  <si>
    <t>Ridgefield</t>
  </si>
  <si>
    <t>https://www.google.com/search?newwindow=1&amp;ei=2MT0XrvGGM-vytMP1OyDgAY&amp;q=site%3Alinkedin.com+Max+Hyland+Campus+Recruiter+EY</t>
  </si>
  <si>
    <t>Kendra Stanfill</t>
  </si>
  <si>
    <t>Graduate Campus Recruiter</t>
  </si>
  <si>
    <t>Sacramento</t>
  </si>
  <si>
    <t>https://www.google.com/search?newwindow=1&amp;ei=2MT0XrvGGM-vytMP1OyDgAY&amp;q=site%3Alinkedin.com+Kendra+Stanfill+Graduate+Campus+Recruiter+EY</t>
  </si>
  <si>
    <t>Jennifer Garrard</t>
  </si>
  <si>
    <t>https://www.google.com/search?newwindow=1&amp;ei=2MT0XrvGGM-vytMP1OyDgAY&amp;q=site%3Alinkedin.com+Jennifer+Garrard+Campus+Recruiter+EY</t>
  </si>
  <si>
    <t>Jordan W.</t>
  </si>
  <si>
    <t>https://www.google.com/search?newwindow=1&amp;ei=2MT0XrvGGM-vytMP1OyDgAY&amp;q=site%3Alinkedin.com+Jordan+W.+Campus+Recruiter+EY</t>
  </si>
  <si>
    <t>Ali Meersman, CPA</t>
  </si>
  <si>
    <t>Campus Recruiter | Talent Attraction &amp; Acquisition</t>
  </si>
  <si>
    <t>San Diego</t>
  </si>
  <si>
    <t>https://www.google.com/search?newwindow=1&amp;ei=2MT0XrvGGM-vytMP1OyDgAY&amp;q=site%3Alinkedin.com+Ali+Meersman,+CPA+Campus+Recruiter+|+Talent+Attraction+&amp;+Acquisition+EY</t>
  </si>
  <si>
    <t>Jennifer Voss</t>
  </si>
  <si>
    <t>https://www.google.com/search?newwindow=1&amp;ei=2MT0XrvGGM-vytMP1OyDgAY&amp;q=site%3Alinkedin.com+Jennifer+Voss+Campus+Recruiting+Manager+EY</t>
  </si>
  <si>
    <t>Lauren Vujovich</t>
  </si>
  <si>
    <t>https://www.google.com/search?newwindow=1&amp;ei=2MT0XrvGGM-vytMP1OyDgAY&amp;q=site%3Alinkedin.com+Lauren+Vujovich+Campus+Recruiter+EY</t>
  </si>
  <si>
    <t>Beverly Tran</t>
  </si>
  <si>
    <t>Campus Recruiter, Senior Associate</t>
  </si>
  <si>
    <t>https://www.google.com/search?newwindow=1&amp;ei=2MT0XrvGGM-vytMP1OyDgAY&amp;q=site%3Alinkedin.com+Beverly+Tran+Campus+Recruiter,+Senior+Associate+EY</t>
  </si>
  <si>
    <t>Julia Silvestre</t>
  </si>
  <si>
    <t>West Campus Lead Recruiting Coordinator</t>
  </si>
  <si>
    <t>https://www.google.com/search?newwindow=1&amp;ei=2MT0XrvGGM-vytMP1OyDgAY&amp;q=site%3Alinkedin.com+Julia+Silvestre+West+Campus+Lead+Recruiting+Coordinator+EY</t>
  </si>
  <si>
    <t>Darci Curtin</t>
  </si>
  <si>
    <t>2 years 11 months in role</t>
  </si>
  <si>
    <t>https://www.google.com/search?newwindow=1&amp;ei=2MT0XrvGGM-vytMP1OyDgAY&amp;q=site%3Alinkedin.com+Darci+Curtin+Campus+Recruiter+EY</t>
  </si>
  <si>
    <t>Jessi Dale</t>
  </si>
  <si>
    <t>Seattle &amp; Portland Campus Recruiter - West Region Diversity and Inclusion Internship (Launch) Lead</t>
  </si>
  <si>
    <t>https://www.google.com/search?newwindow=1&amp;ei=2MT0XrvGGM-vytMP1OyDgAY&amp;q=site%3Alinkedin.com+Jessi+Dale+Seattle+&amp;+Portland+Campus+Recruiter+-+West+Region+Diversity+and+Inclusion+Internship+(Launch)+Lead+EY</t>
  </si>
  <si>
    <t>Jennifer Weeks</t>
  </si>
  <si>
    <t>Stafford</t>
  </si>
  <si>
    <t>https://www.google.com/search?newwindow=1&amp;ei=2MT0XrvGGM-vytMP1OyDgAY&amp;q=site%3Alinkedin.com+Jennifer+Weeks+Campus+Recruiter+EY</t>
  </si>
  <si>
    <t>Jessica Gruber</t>
  </si>
  <si>
    <t>Supervising Associate - Campus Recruiter</t>
  </si>
  <si>
    <t>https://www.google.com/search?newwindow=1&amp;ei=2MT0XrvGGM-vytMP1OyDgAY&amp;q=site%3Alinkedin.com+Jessica+Gruber+Supervising+Associate+-+Campus+Recruiter+EY</t>
  </si>
  <si>
    <t>Joe Santulli</t>
  </si>
  <si>
    <t>4 years 9 months in role and company</t>
  </si>
  <si>
    <t>Voorhees</t>
  </si>
  <si>
    <t>https://www.google.com/search?newwindow=1&amp;ei=2MT0XrvGGM-vytMP1OyDgAY&amp;q=site%3Alinkedin.com+Joe+Santulli+Campus+Recruiter,+Supervising+Associate+EY</t>
  </si>
  <si>
    <t>Kelly Kasenetz</t>
  </si>
  <si>
    <t>Campus Recruiting</t>
  </si>
  <si>
    <t>https://www.google.com/search?newwindow=1&amp;ei=2MT0XrvGGM-vytMP1OyDgAY&amp;q=site%3Alinkedin.com+Kelly+Kasenetz+Campus+Recruiting+EY</t>
  </si>
  <si>
    <t>Sean Woolford</t>
  </si>
  <si>
    <t>Supervising Associate, Financial Services Organization, Campus Recruiting</t>
  </si>
  <si>
    <t>https://www.google.com/search?newwindow=1&amp;ei=2MT0XrvGGM-vytMP1OyDgAY&amp;q=site%3Alinkedin.com+Sean+Woolford+Supervising+Associate,+Financial+Services+Organization,+Campus+Recruiting+EY</t>
  </si>
  <si>
    <t>Jacqueline Jaszczak</t>
  </si>
  <si>
    <t>Campus Recruiter, Talent Attraction and Acquisition</t>
  </si>
  <si>
    <t>https://www.google.com/search?newwindow=1&amp;ei=2MT0XrvGGM-vytMP1OyDgAY&amp;q=site%3Alinkedin.com+Jacqueline+Jaszczak+Campus+Recruiter,+Talent+Attraction+and+Acquisition+EY</t>
  </si>
  <si>
    <t>Sarah Tegen</t>
  </si>
  <si>
    <t>Supervising Associate, Campus Recruiting</t>
  </si>
  <si>
    <t>https://www.google.com/search?newwindow=1&amp;ei=2MT0XrvGGM-vytMP1OyDgAY&amp;q=site%3Alinkedin.com+Sarah+Tegen+Supervising+Associate,+Campus+Recruiting+EY</t>
  </si>
  <si>
    <t>Ali Reiff</t>
  </si>
  <si>
    <t>Facebook</t>
  </si>
  <si>
    <t>https://www.google.com/search?newwindow=1&amp;ei=2MT0XrvGGM-vytMP1OyDgAY&amp;q=site%3Alinkedin.com+Ali+Reiff+University+Recruiter+Facebook</t>
  </si>
  <si>
    <t>Crystal Wood</t>
  </si>
  <si>
    <t>https://www.google.com/search?newwindow=1&amp;ei=2MT0XrvGGM-vytMP1OyDgAY&amp;q=site%3Alinkedin.com+Crystal+Wood+University+Recruiter+Facebook</t>
  </si>
  <si>
    <t>Benjamin Pastor</t>
  </si>
  <si>
    <t>University Recruiter - Software Engineering: MIT &amp; Harvard</t>
  </si>
  <si>
    <t>Cambridge</t>
  </si>
  <si>
    <t>https://www.google.com/search?newwindow=1&amp;ei=2MT0XrvGGM-vytMP1OyDgAY&amp;q=site%3Alinkedin.com+Benjamin+Pastor+University+Recruiter+-+Software+Engineering:+MIT+&amp;+Harvard+Facebook</t>
  </si>
  <si>
    <t>Sarai Dennison</t>
  </si>
  <si>
    <t>Danville</t>
  </si>
  <si>
    <t>https://www.google.com/search?newwindow=1&amp;ei=2MT0XrvGGM-vytMP1OyDgAY&amp;q=site%3Alinkedin.com+Sarai+Dennison+University+Recruiter+Facebook</t>
  </si>
  <si>
    <t>Candice Simpson</t>
  </si>
  <si>
    <t>Infrastructure University Recruiter</t>
  </si>
  <si>
    <t>5 years 1 month in role</t>
  </si>
  <si>
    <t>Los Altos</t>
  </si>
  <si>
    <t>https://www.google.com/search?newwindow=1&amp;ei=2MT0XrvGGM-vytMP1OyDgAY&amp;q=site%3Alinkedin.com+Candice+Simpson+Infrastructure+University+Recruiter+Facebook</t>
  </si>
  <si>
    <t>Chris Bakes</t>
  </si>
  <si>
    <t>University Recruiter, Artificial Intelligence</t>
  </si>
  <si>
    <t>https://www.google.com/search?newwindow=1&amp;ei=2MT0XrvGGM-vytMP1OyDgAY&amp;q=site%3Alinkedin.com+Chris+Bakes+University+Recruiter,+Artificial+Intelligence+Facebook</t>
  </si>
  <si>
    <t>Donnell Jackson</t>
  </si>
  <si>
    <t>https://www.google.com/search?newwindow=1&amp;ei=2MT0XrvGGM-vytMP1OyDgAY&amp;q=site%3Alinkedin.com+Donnell+Jackson+University+Recruiter+Facebook</t>
  </si>
  <si>
    <t>Jenna Satterfield</t>
  </si>
  <si>
    <t>University Programs Manager</t>
  </si>
  <si>
    <t>Menlo Park</t>
  </si>
  <si>
    <t>https://www.google.com/search?newwindow=1&amp;ei=2MT0XrvGGM-vytMP1OyDgAY&amp;q=site%3Alinkedin.com+Jenna+Satterfield+University+Programs+Manager+Facebook</t>
  </si>
  <si>
    <t>Sarah Johnson</t>
  </si>
  <si>
    <t>University Recruiter at Facebook</t>
  </si>
  <si>
    <t>https://www.google.com/search?newwindow=1&amp;ei=2MT0XrvGGM-vytMP1OyDgAY&amp;q=site%3Alinkedin.com+Sarah+Johnson+University+Recruiter+at+Facebook+Facebook</t>
  </si>
  <si>
    <t>Adam D. Harrison, MHRLR</t>
  </si>
  <si>
    <t>https://www.google.com/search?newwindow=1&amp;ei=2MT0XrvGGM-vytMP1OyDgAY&amp;q=site%3Alinkedin.com+Adam+D.+Harrison,+MHRLR+University+Recruiter+Facebook</t>
  </si>
  <si>
    <t>Sarah Bochner</t>
  </si>
  <si>
    <t>University Recruiter, Design</t>
  </si>
  <si>
    <t>https://www.google.com/search?newwindow=1&amp;ei=2MT0XrvGGM-vytMP1OyDgAY&amp;q=site%3Alinkedin.com+Sarah+Bochner+University+Recruiter,+Design+Facebook</t>
  </si>
  <si>
    <t>Meagan Harn</t>
  </si>
  <si>
    <t>University Recruiter, Product Analytics</t>
  </si>
  <si>
    <t>https://www.google.com/search?newwindow=1&amp;ei=2MT0XrvGGM-vytMP1OyDgAY&amp;q=site%3Alinkedin.com+Meagan+Harn+University+Recruiter,+Product+Analytics+Facebook</t>
  </si>
  <si>
    <t>Cecil Johnson</t>
  </si>
  <si>
    <t>University Recruiter, Diversity</t>
  </si>
  <si>
    <t>https://www.google.com/search?newwindow=1&amp;ei=2MT0XrvGGM-vytMP1OyDgAY&amp;q=site%3Alinkedin.com+Cecil+Johnson+University+Recruiter,+Diversity+Facebook</t>
  </si>
  <si>
    <t>Jessica Kornstein</t>
  </si>
  <si>
    <t>https://www.google.com/search?newwindow=1&amp;ei=2MT0XrvGGM-vytMP1OyDgAY&amp;q=site%3Alinkedin.com+Jessica+Kornstein+University+Recruiter+Facebook</t>
  </si>
  <si>
    <t>Jessica Y.</t>
  </si>
  <si>
    <t>3 years 5 months in role</t>
  </si>
  <si>
    <t>https://www.google.com/search?newwindow=1&amp;ei=2MT0XrvGGM-vytMP1OyDgAY&amp;q=site%3Alinkedin.com+Jessica+Y.+University+Recruiter+Facebook</t>
  </si>
  <si>
    <t>Rima Akras</t>
  </si>
  <si>
    <t>https://www.google.com/search?newwindow=1&amp;ei=2MT0XrvGGM-vytMP1OyDgAY&amp;q=site%3Alinkedin.com+Rima+Akras+University+Recruiter+Facebook</t>
  </si>
  <si>
    <t>Emily Nagele</t>
  </si>
  <si>
    <t>University Recruiter - SWE</t>
  </si>
  <si>
    <t>https://www.google.com/search?newwindow=1&amp;ei=2MT0XrvGGM-vytMP1OyDgAY&amp;q=site%3Alinkedin.com+Emily+Nagele+University+Recruiter+-+SWE+Facebook</t>
  </si>
  <si>
    <t>Danielle Buchenot</t>
  </si>
  <si>
    <t>https://www.google.com/search?newwindow=1&amp;ei=2MT0XrvGGM-vytMP1OyDgAY&amp;q=site%3Alinkedin.com+Danielle+Buchenot+University+Recruiter+Facebook</t>
  </si>
  <si>
    <t>Elizabeth W.</t>
  </si>
  <si>
    <t>Omaha</t>
  </si>
  <si>
    <t>Nebraska</t>
  </si>
  <si>
    <t>https://www.google.com/search?newwindow=1&amp;ei=2MT0XrvGGM-vytMP1OyDgAY&amp;q=site%3Alinkedin.com+Elizabeth+W.+Campus+Recruiter+Facebook</t>
  </si>
  <si>
    <t>Hillary S.</t>
  </si>
  <si>
    <t>University Recruiter (Software Engineering)</t>
  </si>
  <si>
    <t>Palo Alto</t>
  </si>
  <si>
    <t>https://www.google.com/search?newwindow=1&amp;ei=2MT0XrvGGM-vytMP1OyDgAY&amp;q=site%3Alinkedin.com+Hillary+S.+University+Recruiter+(Software+Engineering)+Facebook</t>
  </si>
  <si>
    <t>Alfonso Avila</t>
  </si>
  <si>
    <t>University Recruiter-Software Engineering West</t>
  </si>
  <si>
    <t>Redwood City</t>
  </si>
  <si>
    <t>https://www.google.com/search?newwindow=1&amp;ei=2MT0XrvGGM-vytMP1OyDgAY&amp;q=site%3Alinkedin.com+Alfonso+Avila+University+Recruiter-Software+Engineering+West+Facebook</t>
  </si>
  <si>
    <t>Amal S.</t>
  </si>
  <si>
    <t>Diversity Recruiter, University Recruiting</t>
  </si>
  <si>
    <t>https://www.google.com/search?newwindow=1&amp;ei=2MT0XrvGGM-vytMP1OyDgAY&amp;q=site%3Alinkedin.com+Amal+S.+Diversity+Recruiter,+University+Recruiting+Facebook</t>
  </si>
  <si>
    <t>Katie Tenboer</t>
  </si>
  <si>
    <t>https://www.google.com/search?newwindow=1&amp;ei=2MT0XrvGGM-vytMP1OyDgAY&amp;q=site%3Alinkedin.com+Katie+Tenboer+University+Recruiter,+Design+Facebook</t>
  </si>
  <si>
    <t>Ernesto F.</t>
  </si>
  <si>
    <t>https://www.google.com/search?newwindow=1&amp;ei=2MT0XrvGGM-vytMP1OyDgAY&amp;q=site%3Alinkedin.com+Ernesto+F.+University+Recruiter+Facebook</t>
  </si>
  <si>
    <t>Seth Radin</t>
  </si>
  <si>
    <t>University Recruiter - AR/VR</t>
  </si>
  <si>
    <t>https://www.google.com/search?newwindow=1&amp;ei=2MT0XrvGGM-vytMP1OyDgAY&amp;q=site%3Alinkedin.com+Seth+Radin+University+Recruiter+-+AR/VR+Facebook</t>
  </si>
  <si>
    <t>Eleanor Johnson</t>
  </si>
  <si>
    <t>Software Engineer University Recruiter</t>
  </si>
  <si>
    <t>https://www.google.com/search?newwindow=1&amp;ei=2MT0XrvGGM-vytMP1OyDgAY&amp;q=site%3Alinkedin.com+Eleanor+Johnson+Software+Engineer+University+Recruiter+Facebook</t>
  </si>
  <si>
    <t>Allie Bordeaux</t>
  </si>
  <si>
    <t>University Recruiter | Infrastructure Foundation</t>
  </si>
  <si>
    <t>https://www.google.com/search?newwindow=1&amp;ei=2MT0XrvGGM-vytMP1OyDgAY&amp;q=site%3Alinkedin.com+Allie+Bordeaux+University+Recruiter+|+Infrastructure+Foundation+Facebook</t>
  </si>
  <si>
    <t>Nicci Moscuzza</t>
  </si>
  <si>
    <t>https://www.google.com/search?newwindow=1&amp;ei=2MT0XrvGGM-vytMP1OyDgAY&amp;q=site%3Alinkedin.com+Nicci+Moscuzza+University+Recruiter+Facebook</t>
  </si>
  <si>
    <t>Kim Birch</t>
  </si>
  <si>
    <t>University Recruiter, Global Marketing Solutions &amp; Business</t>
  </si>
  <si>
    <t>https://www.google.com/search?newwindow=1&amp;ei=2MT0XrvGGM-vytMP1OyDgAY&amp;q=site%3Alinkedin.com+Kim+Birch+University+Recruiter,+Global+Marketing+Solutions+&amp;+Business+Facebook</t>
  </si>
  <si>
    <t>Ryan Biega</t>
  </si>
  <si>
    <t>5 years 9 months in role and company</t>
  </si>
  <si>
    <t>https://www.google.com/search?newwindow=1&amp;ei=2MT0XrvGGM-vytMP1OyDgAY&amp;q=site%3Alinkedin.com+Ryan+Biega+University+Recruiter,+Design+Facebook</t>
  </si>
  <si>
    <t>Alexandra Mettler</t>
  </si>
  <si>
    <t>University Recruiter, Software Engineering</t>
  </si>
  <si>
    <t>https://www.google.com/search?newwindow=1&amp;ei=2MT0XrvGGM-vytMP1OyDgAY&amp;q=site%3Alinkedin.com+Alexandra+Mettler+University+Recruiter,+Software+Engineering+Facebook</t>
  </si>
  <si>
    <t>Joyce M. C.</t>
  </si>
  <si>
    <t>https://www.google.com/search?newwindow=1&amp;ei=2MT0XrvGGM-vytMP1OyDgAY&amp;q=site%3Alinkedin.com+Joyce+M.+C.+University+Recruiter+Facebook</t>
  </si>
  <si>
    <t>Lai Anderson</t>
  </si>
  <si>
    <t>https://www.google.com/search?newwindow=1&amp;ei=2MT0XrvGGM-vytMP1OyDgAY&amp;q=site%3Alinkedin.com+Lai+Anderson+University+Recruiter,+Software+Engineering+Facebook</t>
  </si>
  <si>
    <t>Jarrod F.</t>
  </si>
  <si>
    <t>https://www.google.com/search?newwindow=1&amp;ei=2MT0XrvGGM-vytMP1OyDgAY&amp;q=site%3Alinkedin.com+Jarrod+F.+University+Recruiter+Facebook</t>
  </si>
  <si>
    <t>Molly Seale</t>
  </si>
  <si>
    <t>https://www.google.com/search?newwindow=1&amp;ei=2MT0XrvGGM-vytMP1OyDgAY&amp;q=site%3Alinkedin.com+Molly+Seale+University+Recruiter+Facebook</t>
  </si>
  <si>
    <t>Alyssa Salindong</t>
  </si>
  <si>
    <t>https://www.google.com/search?newwindow=1&amp;ei=2MT0XrvGGM-vytMP1OyDgAY&amp;q=site%3Alinkedin.com+Alyssa+Salindong+University+Recruiter+Facebook</t>
  </si>
  <si>
    <t>Kelly Simon</t>
  </si>
  <si>
    <t>University Design Recruiter</t>
  </si>
  <si>
    <t>https://www.google.com/search?newwindow=1&amp;ei=2MT0XrvGGM-vytMP1OyDgAY&amp;q=site%3Alinkedin.com+Kelly+Simon+University+Design+Recruiter+Facebook</t>
  </si>
  <si>
    <t>Jessica Cox</t>
  </si>
  <si>
    <t>https://www.google.com/search?newwindow=1&amp;ei=2MT0XrvGGM-vytMP1OyDgAY&amp;q=site%3Alinkedin.com+Jessica+Cox+University+Recruiter,+Design+Facebook</t>
  </si>
  <si>
    <t>Noopur Chhabra</t>
  </si>
  <si>
    <t>Technical Recruiter, University</t>
  </si>
  <si>
    <t>https://www.google.com/search?newwindow=1&amp;ei=2MT0XrvGGM-vytMP1OyDgAY&amp;q=site%3Alinkedin.com+Noopur+Chhabra+Technical+Recruiter,+University+Facebook</t>
  </si>
  <si>
    <t>Sydney Horner</t>
  </si>
  <si>
    <t>Senior Recruiter, University Recruitment, Full Life-Cycle</t>
  </si>
  <si>
    <t>https://www.google.com/search?newwindow=1&amp;ei=2MT0XrvGGM-vytMP1OyDgAY&amp;q=site%3Alinkedin.com+Sydney+Horner+Senior+Recruiter,+University+Recruitment,+Full+Life-Cycle+Facebook</t>
  </si>
  <si>
    <t>Cynthia Leu</t>
  </si>
  <si>
    <t>University Recruiter (Infrastructure)</t>
  </si>
  <si>
    <t>https://www.google.com/search?newwindow=1&amp;ei=2MT0XrvGGM-vytMP1OyDgAY&amp;q=site%3Alinkedin.com+Cynthia+Leu+University+Recruiter+(Infrastructure)+Facebook</t>
  </si>
  <si>
    <t>Rima Itani</t>
  </si>
  <si>
    <t>https://www.google.com/search?newwindow=1&amp;ei=2MT0XrvGGM-vytMP1OyDgAY&amp;q=site%3Alinkedin.com+Rima+Itani+University+Recruiter+Facebook</t>
  </si>
  <si>
    <t>Cheriece Williams</t>
  </si>
  <si>
    <t>https://www.google.com/search?newwindow=1&amp;ei=2MT0XrvGGM-vytMP1OyDgAY&amp;q=site%3Alinkedin.com+Cheriece+Williams+University+Recruiter+Facebook</t>
  </si>
  <si>
    <t>Kaitlin Wilson</t>
  </si>
  <si>
    <t>https://www.google.com/search?newwindow=1&amp;ei=2MT0XrvGGM-vytMP1OyDgAY&amp;q=site%3Alinkedin.com+Kaitlin+Wilson+University+Recruiter+Facebook</t>
  </si>
  <si>
    <t>Kathleen Roberts</t>
  </si>
  <si>
    <t>University Recruiter - Closer</t>
  </si>
  <si>
    <t>https://www.google.com/search?newwindow=1&amp;ei=2MT0XrvGGM-vytMP1OyDgAY&amp;q=site%3Alinkedin.com+Kathleen+Roberts+University+Recruiter+-+Closer+Facebook</t>
  </si>
  <si>
    <t>Marina Moreno</t>
  </si>
  <si>
    <t>8 years 11 months in role</t>
  </si>
  <si>
    <t>https://www.google.com/search?newwindow=1&amp;ei=2MT0XrvGGM-vytMP1OyDgAY&amp;q=site%3Alinkedin.com+Marina+Moreno+University+Recruiter+Facebook</t>
  </si>
  <si>
    <t>Gwen Mahurin</t>
  </si>
  <si>
    <t>4 years 1 month in role and company</t>
  </si>
  <si>
    <t>https://www.google.com/search?newwindow=1&amp;ei=2MT0XrvGGM-vytMP1OyDgAY&amp;q=site%3Alinkedin.com+Gwen+Mahurin+University+Recruiter+Facebook</t>
  </si>
  <si>
    <t>Emily Caceres</t>
  </si>
  <si>
    <t>https://www.google.com/search?newwindow=1&amp;ei=2MT0XrvGGM-vytMP1OyDgAY&amp;q=site%3Alinkedin.com+Emily+Caceres+University+Recruiter+Facebook</t>
  </si>
  <si>
    <t>Theresa Kaufman</t>
  </si>
  <si>
    <t>https://www.google.com/search?newwindow=1&amp;ei=2MT0XrvGGM-vytMP1OyDgAY&amp;q=site%3Alinkedin.com+Theresa+Kaufman+University+Recruiter+Facebook</t>
  </si>
  <si>
    <t>Kel Lau</t>
  </si>
  <si>
    <t>San Mateo</t>
  </si>
  <si>
    <t>https://www.google.com/search?newwindow=1&amp;ei=2MT0XrvGGM-vytMP1OyDgAY&amp;q=site%3Alinkedin.com+Kel+Lau+University+Recruiter+Facebook</t>
  </si>
  <si>
    <t>Stephanie Roesbery</t>
  </si>
  <si>
    <t>https://www.google.com/search?newwindow=1&amp;ei=2MT0XrvGGM-vytMP1OyDgAY&amp;q=site%3Alinkedin.com+Stephanie+Roesbery+University+Recruiter+|+Infrastructure+Foundation+Facebook</t>
  </si>
  <si>
    <t>Lucía Arévalo Valeta</t>
  </si>
  <si>
    <t>Santa Clara</t>
  </si>
  <si>
    <t>https://www.google.com/search?newwindow=1&amp;ei=2MT0XrvGGM-vytMP1OyDgAY&amp;q=site%3Alinkedin.com+Lucía+Arévalo+Valeta+University+Recruiter,+Diversity+Facebook</t>
  </si>
  <si>
    <t>Urooj S.</t>
  </si>
  <si>
    <t>https://www.google.com/search?newwindow=1&amp;ei=2MT0XrvGGM-vytMP1OyDgAY&amp;q=site%3Alinkedin.com+Urooj+S.+University+Recruiter+Facebook</t>
  </si>
  <si>
    <t>Emilio Arias (He/Him)</t>
  </si>
  <si>
    <t>University Recruiter - Production Engineering</t>
  </si>
  <si>
    <t>https://www.google.com/search?newwindow=1&amp;ei=2MT0XrvGGM-vytMP1OyDgAY&amp;q=site%3Alinkedin.com+Emilio+Arias+(He/Him)+University+Recruiter+-+Production+Engineering+Facebook</t>
  </si>
  <si>
    <t>Lawrence A. Lucas III</t>
  </si>
  <si>
    <t>https://www.google.com/search?newwindow=1&amp;ei=2MT0XrvGGM-vytMP1OyDgAY&amp;q=site%3Alinkedin.com+Lawrence+A.+Lucas+III+University+Recruiter+Facebook</t>
  </si>
  <si>
    <t>Erin Johnson</t>
  </si>
  <si>
    <t>University Recruiter, Analytics</t>
  </si>
  <si>
    <t>https://www.google.com/search?newwindow=1&amp;ei=2MT0XrvGGM-vytMP1OyDgAY&amp;q=site%3Alinkedin.com+Erin+Johnson+University+Recruiter,+Analytics+Facebook</t>
  </si>
  <si>
    <t>Stefanie Chorianopoulos</t>
  </si>
  <si>
    <t>Full Cycle University Recruiter</t>
  </si>
  <si>
    <t>https://www.google.com/search?newwindow=1&amp;ei=2MT0XrvGGM-vytMP1OyDgAY&amp;q=site%3Alinkedin.com+Stefanie+Chorianopoulos+Full+Cycle+University+Recruiter+Facebook</t>
  </si>
  <si>
    <t>Bill Haughney</t>
  </si>
  <si>
    <t>https://www.google.com/search?newwindow=1&amp;ei=2MT0XrvGGM-vytMP1OyDgAY&amp;q=site%3Alinkedin.com+Bill+Haughney+University+Recruiter+Facebook</t>
  </si>
  <si>
    <t>Scott Flanary</t>
  </si>
  <si>
    <t>Senior University Recruiter, Full-Cycle Recruiting for Product and Analytics</t>
  </si>
  <si>
    <t>https://www.google.com/search?newwindow=1&amp;ei=2MT0XrvGGM-vytMP1OyDgAY&amp;q=site%3Alinkedin.com+Scott+Flanary+Senior+University+Recruiter,+Full-Cycle+Recruiting+for+Product+and+Analytics+Facebook</t>
  </si>
  <si>
    <t>Hayley Mesojednik</t>
  </si>
  <si>
    <t>University Recruiter - Early Career</t>
  </si>
  <si>
    <t>https://www.google.com/search?newwindow=1&amp;ei=2MT0XrvGGM-vytMP1OyDgAY&amp;q=site%3Alinkedin.com+Hayley+Mesojednik+University+Recruiter+-+Early+Career+Facebook</t>
  </si>
  <si>
    <t>Laura Amrein</t>
  </si>
  <si>
    <t>https://www.google.com/search?newwindow=1&amp;ei=2MT0XrvGGM-vytMP1OyDgAY&amp;q=site%3Alinkedin.com+Laura+Amrein+University+Recruiter,+Analytics+Facebook</t>
  </si>
  <si>
    <t>Christina Koike</t>
  </si>
  <si>
    <t>https://www.google.com/search?newwindow=1&amp;ei=2MT0XrvGGM-vytMP1OyDgAY&amp;q=site%3Alinkedin.com+Christina+Koike+University+Recruiter+Facebook</t>
  </si>
  <si>
    <t>Melanie Loud</t>
  </si>
  <si>
    <t>Recruiter, University Recruiting</t>
  </si>
  <si>
    <t>https://www.google.com/search?newwindow=1&amp;ei=2MT0XrvGGM-vytMP1OyDgAY&amp;q=site%3Alinkedin.com+Melanie+Loud+Recruiter,+University+Recruiting+Facebook</t>
  </si>
  <si>
    <t>Krystle Sanchez</t>
  </si>
  <si>
    <t>https://www.google.com/search?newwindow=1&amp;ei=2MT0XrvGGM-vytMP1OyDgAY&amp;q=site%3Alinkedin.com+Krystle+Sanchez+University+Recruiter+Facebook</t>
  </si>
  <si>
    <t>Carmen Ng</t>
  </si>
  <si>
    <t>https://www.google.com/search?newwindow=1&amp;ei=2MT0XrvGGM-vytMP1OyDgAY&amp;q=site%3Alinkedin.com+Carmen+Ng+University+Recruiter+Facebook</t>
  </si>
  <si>
    <t>Konnie H.</t>
  </si>
  <si>
    <t>https://www.google.com/search?newwindow=1&amp;ei=2MT0XrvGGM-vytMP1OyDgAY&amp;q=site%3Alinkedin.com+Konnie+H.+University+Recruiter+Facebook</t>
  </si>
  <si>
    <t>Rodney Aziz</t>
  </si>
  <si>
    <t>Senior Product Manager - Loyalty Platforms</t>
  </si>
  <si>
    <t>Ford Motor Company</t>
  </si>
  <si>
    <t>Dearborn</t>
  </si>
  <si>
    <t>https://www.google.com/search?newwindow=1&amp;ei=2MT0XrvGGM-vytMP1OyDgAY&amp;q=site%3Alinkedin.com+Rodney+Aziz+Senior+Product+Manager+-+Loyalty+Platforms+Ford+Motor+Company</t>
  </si>
  <si>
    <t>Shae Lorenc</t>
  </si>
  <si>
    <t>20 years 10 months in role</t>
  </si>
  <si>
    <t>https://www.google.com/search?newwindow=1&amp;ei=2MT0XrvGGM-vytMP1OyDgAY&amp;q=site%3Alinkedin.com+Shae+Lorenc+Campus+Recruiter+Ford+Motor+Company</t>
  </si>
  <si>
    <t>Jessica Ritter</t>
  </si>
  <si>
    <t>LTU Campus Recruiter</t>
  </si>
  <si>
    <t>https://www.google.com/search?newwindow=1&amp;ei=2MT0XrvGGM-vytMP1OyDgAY&amp;q=site%3Alinkedin.com+Jessica+Ritter+LTU+Campus+Recruiter+Ford+Motor+Company</t>
  </si>
  <si>
    <t>Jack Thomas</t>
  </si>
  <si>
    <t>MSU Campus Recruiter</t>
  </si>
  <si>
    <t>St Clair Shores</t>
  </si>
  <si>
    <t>https://www.google.com/search?newwindow=1&amp;ei=2MT0XrvGGM-vytMP1OyDgAY&amp;q=site%3Alinkedin.com+Jack+Thomas+MSU+Campus+Recruiter+Ford+Motor+Company</t>
  </si>
  <si>
    <t>McKenzie Randall, MAOL</t>
  </si>
  <si>
    <t>Garmin</t>
  </si>
  <si>
    <t>Kansas City</t>
  </si>
  <si>
    <t>https://www.google.com/search?newwindow=1&amp;ei=2MT0XrvGGM-vytMP1OyDgAY&amp;q=site%3Alinkedin.com+McKenzie+Randall,+MAOL+University+Recruiter+Garmin</t>
  </si>
  <si>
    <t>Jen Larson</t>
  </si>
  <si>
    <t>Olathe</t>
  </si>
  <si>
    <t>https://www.google.com/search?newwindow=1&amp;ei=2MT0XrvGGM-vytMP1OyDgAY&amp;q=site%3Alinkedin.com+Jen+Larson+University+Relations+Recruiter+Garmin</t>
  </si>
  <si>
    <t>Caroline Hamera-Menges</t>
  </si>
  <si>
    <t>https://www.google.com/search?newwindow=1&amp;ei=2MT0XrvGGM-vytMP1OyDgAY&amp;q=site%3Alinkedin.com+Caroline+Hamera-Menges+University+Relations+Recruiter+Garmin+International</t>
  </si>
  <si>
    <t>Kourtney Welch</t>
  </si>
  <si>
    <t>https://www.google.com/search?newwindow=1&amp;ei=2MT0XrvGGM-vytMP1OyDgAY&amp;q=site%3Alinkedin.com+Kourtney+Welch+University+Relations+Recruiter+Garmin+International</t>
  </si>
  <si>
    <t>Kelly O'Connor</t>
  </si>
  <si>
    <t>Overland Park</t>
  </si>
  <si>
    <t>https://www.google.com/search?newwindow=1&amp;ei=2MT0XrvGGM-vytMP1OyDgAY&amp;q=site%3Alinkedin.com+Kelly+O'Connor+University+Relations+Recruiter+Garmin+International</t>
  </si>
  <si>
    <t>Elizabeth Baldridge</t>
  </si>
  <si>
    <t>Vancouver</t>
  </si>
  <si>
    <t>https://www.google.com/search?newwindow=1&amp;ei=2MT0XrvGGM-vytMP1OyDgAY&amp;q=site%3Alinkedin.com+Elizabeth+Baldridge+University+Relations+Recruiter+Garmin+International</t>
  </si>
  <si>
    <t>Jessie King</t>
  </si>
  <si>
    <t>University Recruiter - Southeast Territory</t>
  </si>
  <si>
    <t>Gartner</t>
  </si>
  <si>
    <t>https://www.google.com/search?newwindow=1&amp;ei=2MT0XrvGGM-vytMP1OyDgAY&amp;q=site%3Alinkedin.com+Jessie+King+University+Recruiter+-+Southeast+Territory+Gartner</t>
  </si>
  <si>
    <t>Stephanie Scott</t>
  </si>
  <si>
    <t>8 years 1 month in role and company</t>
  </si>
  <si>
    <t>https://www.google.com/search?newwindow=1&amp;ei=2MT0XrvGGM-vytMP1OyDgAY&amp;q=site%3Alinkedin.com+Stephanie+Scott+Campus+Recruiter+Gartner</t>
  </si>
  <si>
    <t>Austin Closs</t>
  </si>
  <si>
    <t>https://www.google.com/search?newwindow=1&amp;ei=2MT0XrvGGM-vytMP1OyDgAY&amp;q=site%3Alinkedin.com+Austin+Closs+Senior+University+Recruiter+Gartner</t>
  </si>
  <si>
    <t>Ben Idle</t>
  </si>
  <si>
    <t>Associate Director, AMSE &amp; EMSE Sales Recruiting</t>
  </si>
  <si>
    <t>Cape Coral</t>
  </si>
  <si>
    <t>https://www.google.com/search?newwindow=1&amp;ei=2MT0XrvGGM-vytMP1OyDgAY&amp;q=site%3Alinkedin.com+Ben+Idle+Associate+Director,+AMSE+&amp;+EMSE+Sales+Recruiting+Gartner</t>
  </si>
  <si>
    <t>Caitlin Deltgen</t>
  </si>
  <si>
    <t>https://www.google.com/search?newwindow=1&amp;ei=2MT0XrvGGM-vytMP1OyDgAY&amp;q=site%3Alinkedin.com+Caitlin+Deltgen+University+Recruiter+Gartner</t>
  </si>
  <si>
    <t>Nikki McTernan</t>
  </si>
  <si>
    <t>https://www.google.com/search?newwindow=1&amp;ei=2MT0XrvGGM-vytMP1OyDgAY&amp;q=site%3Alinkedin.com+Nikki+McTernan+Associate+University+Recruiter+Gartner</t>
  </si>
  <si>
    <t>Danielle Goldberg</t>
  </si>
  <si>
    <t>Graduate (MBA) University Recruiter</t>
  </si>
  <si>
    <t>https://www.google.com/search?newwindow=1&amp;ei=2MT0XrvGGM-vytMP1OyDgAY&amp;q=site%3Alinkedin.com+Danielle+Goldberg+Graduate+(MBA)+University+Recruiter+Gartner</t>
  </si>
  <si>
    <t>Kimberly Embick</t>
  </si>
  <si>
    <t>https://www.google.com/search?newwindow=1&amp;ei=2MT0XrvGGM-vytMP1OyDgAY&amp;q=site%3Alinkedin.com+Kimberly+Embick+Campus+Recruiter+Gartner</t>
  </si>
  <si>
    <t>Presley Pender</t>
  </si>
  <si>
    <t>https://www.google.com/search?newwindow=1&amp;ei=2MT0XrvGGM-vytMP1OyDgAY&amp;q=site%3Alinkedin.com+Presley+Pender+University+Recruiter+Gartner</t>
  </si>
  <si>
    <t>Jeff Stencel</t>
  </si>
  <si>
    <t>Team Lead, University Recruiting</t>
  </si>
  <si>
    <t>Durham</t>
  </si>
  <si>
    <t>https://www.google.com/search?newwindow=1&amp;ei=2MT0XrvGGM-vytMP1OyDgAY&amp;q=site%3Alinkedin.com+Jeff+Stencel+Team+Lead,+University+Recruiting+Gartner</t>
  </si>
  <si>
    <t>https://www.google.com/search?newwindow=1&amp;ei=2MT0XrvGGM-vytMP1OyDgAY&amp;q=site%3Alinkedin.com+Jeff+Stencel+Senior+Campus+Recruiter+Gartner</t>
  </si>
  <si>
    <t>Kiersten Post</t>
  </si>
  <si>
    <t>Fort Myers</t>
  </si>
  <si>
    <t>https://www.google.com/search?newwindow=1&amp;ei=2MT0XrvGGM-vytMP1OyDgAY&amp;q=site%3Alinkedin.com+Kiersten+Post+University+Recruiter+Gartner</t>
  </si>
  <si>
    <t>Matthew Duarte</t>
  </si>
  <si>
    <t>https://www.google.com/search?newwindow=1&amp;ei=2MT0XrvGGM-vytMP1OyDgAY&amp;q=site%3Alinkedin.com+Matthew+Duarte+University+Recruiter+Gartner</t>
  </si>
  <si>
    <t>Caitlin Seccombe</t>
  </si>
  <si>
    <t>Manager, Recruiting</t>
  </si>
  <si>
    <t>https://www.google.com/search?newwindow=1&amp;ei=2MT0XrvGGM-vytMP1OyDgAY&amp;q=site%3Alinkedin.com+Caitlin+Seccombe+Manager,+Recruiting+Gartner</t>
  </si>
  <si>
    <t>CJ Giles</t>
  </si>
  <si>
    <t>Senior Recruiting - Global and Large Enterprise Sales</t>
  </si>
  <si>
    <t>https://www.google.com/search?newwindow=1&amp;ei=2MT0XrvGGM-vytMP1OyDgAY&amp;q=site%3Alinkedin.com+CJ+Giles+Senior+Recruiting+-+Global+and+Large+Enterprise+Sales+Gartner</t>
  </si>
  <si>
    <t>Manager, Campus Recruiting</t>
  </si>
  <si>
    <t>https://www.google.com/search?newwindow=1&amp;ei=2MT0XrvGGM-vytMP1OyDgAY&amp;q=site%3Alinkedin.com+CJ+Giles+Manager,+Campus+Recruiting+Gartner</t>
  </si>
  <si>
    <t>Katie Deisler</t>
  </si>
  <si>
    <t>https://www.google.com/search?newwindow=1&amp;ei=2MT0XrvGGM-vytMP1OyDgAY&amp;q=site%3Alinkedin.com+Katie+Deisler+Associate+University+Recruiter+Gartner</t>
  </si>
  <si>
    <t>Anna Longar</t>
  </si>
  <si>
    <t>Associate Director, University Recruiting</t>
  </si>
  <si>
    <t>Loveland</t>
  </si>
  <si>
    <t>https://www.google.com/search?newwindow=1&amp;ei=2MT0XrvGGM-vytMP1OyDgAY&amp;q=site%3Alinkedin.com+Anna+Longar+Associate+Director,+University+Recruiting+Gartner</t>
  </si>
  <si>
    <t>Olivia Lageman</t>
  </si>
  <si>
    <t>Naples</t>
  </si>
  <si>
    <t>https://www.google.com/search?newwindow=1&amp;ei=2MT0XrvGGM-vytMP1OyDgAY&amp;q=site%3Alinkedin.com+Olivia+Lageman+University+Recruiter+Gartner</t>
  </si>
  <si>
    <t>April Doktor</t>
  </si>
  <si>
    <t>https://www.google.com/search?newwindow=1&amp;ei=2MT0XrvGGM-vytMP1OyDgAY&amp;q=site%3Alinkedin.com+April+Doktor+Senior+University+Recruiter+Gartner</t>
  </si>
  <si>
    <t>Kristin LaRosa</t>
  </si>
  <si>
    <t>Rotational Campus Recruiter</t>
  </si>
  <si>
    <t>https://www.google.com/search?newwindow=1&amp;ei=2MT0XrvGGM-vytMP1OyDgAY&amp;q=site%3Alinkedin.com+Kristin+LaRosa+Rotational+Campus+Recruiter+Gartner</t>
  </si>
  <si>
    <t>Claire McCaskey</t>
  </si>
  <si>
    <t>https://www.google.com/search?newwindow=1&amp;ei=2MT0XrvGGM-vytMP1OyDgAY&amp;q=site%3Alinkedin.com+Claire+McCaskey+University+Recruiter+Gartner</t>
  </si>
  <si>
    <t>Sarah Dennis</t>
  </si>
  <si>
    <t>Senior University Field MBA Recruiter</t>
  </si>
  <si>
    <t>https://www.google.com/search?newwindow=1&amp;ei=2MT0XrvGGM-vytMP1OyDgAY&amp;q=site%3Alinkedin.com+Sarah+Dennis+Senior+University+Field+MBA+Recruiter+Gartner</t>
  </si>
  <si>
    <t>Gracie Enright</t>
  </si>
  <si>
    <t>University Recruiter, Associate</t>
  </si>
  <si>
    <t>Stamford</t>
  </si>
  <si>
    <t>https://www.google.com/search?newwindow=1&amp;ei=2MT0XrvGGM-vytMP1OyDgAY&amp;q=site%3Alinkedin.com+Gracie+Enright+University+Recruiter,+Associate+Gartner</t>
  </si>
  <si>
    <t>Jackie Potter</t>
  </si>
  <si>
    <t>Sr. University Recruiter</t>
  </si>
  <si>
    <t>https://www.google.com/search?newwindow=1&amp;ei=2MT0XrvGGM-vytMP1OyDgAY&amp;q=site%3Alinkedin.com+Jackie+Potter+Sr.+University+Recruiter+Gartner</t>
  </si>
  <si>
    <t>Gillian Fecht</t>
  </si>
  <si>
    <t>Healthcare Digital FP&amp;A Reporting &amp; Ops Manager</t>
  </si>
  <si>
    <t>GE</t>
  </si>
  <si>
    <t>https://www.google.com/search?newwindow=1&amp;ei=2MT0XrvGGM-vytMP1OyDgAY&amp;q=site%3Alinkedin.com+Gillian+Fecht+Healthcare+Digital+FP&amp;A+Reporting+&amp;+Ops+Manager+GE</t>
  </si>
  <si>
    <t>Eva (Reiter) Jansen</t>
  </si>
  <si>
    <t>Senior Sourcing Manager - NPI Transition, Electromechanical Components</t>
  </si>
  <si>
    <t>https://www.google.com/search?newwindow=1&amp;ei=2MT0XrvGGM-vytMP1OyDgAY&amp;q=site%3Alinkedin.com+Eva+(Reiter)+Jansen+Senior+Sourcing+Manager+-+NPI+Transition,+Electromechanical+Components+GE+Aviation</t>
  </si>
  <si>
    <t>Kevin Fritz</t>
  </si>
  <si>
    <t>Region Business Manager, Computed Tomography</t>
  </si>
  <si>
    <t>https://www.google.com/search?newwindow=1&amp;ei=2MT0XrvGGM-vytMP1OyDgAY&amp;q=site%3Alinkedin.com+Kevin+Fritz+Region+Business+Manager,+Computed+Tomography+GE+Healthcare</t>
  </si>
  <si>
    <t>Greg Herman</t>
  </si>
  <si>
    <t>Global Logistics Finance Manager</t>
  </si>
  <si>
    <t>Brookfield</t>
  </si>
  <si>
    <t>https://www.google.com/search?newwindow=1&amp;ei=2MT0XrvGGM-vytMP1OyDgAY&amp;q=site%3Alinkedin.com+Greg+Herman+Global+Logistics+Finance+Manager+GE+Healthcare</t>
  </si>
  <si>
    <t>Argyle Sects</t>
  </si>
  <si>
    <t>https://www.google.com/search?newwindow=1&amp;ei=2MT0XrvGGM-vytMP1OyDgAY&amp;q=site%3Alinkedin.com+Argyle+Sects+Recruiter+GE+Oil+&amp;+Gas</t>
  </si>
  <si>
    <t>Susan Moore</t>
  </si>
  <si>
    <t>Senior Product Delivery Manager, Solution Data Architect</t>
  </si>
  <si>
    <t>Ballston Spa</t>
  </si>
  <si>
    <t>https://www.google.com/search?newwindow=1&amp;ei=2MT0XrvGGM-vytMP1OyDgAY&amp;q=site%3Alinkedin.com+Susan+Moore+Senior+Product+Delivery+Manager,+Solution+Data+Architect+GE+Renewable+Energy</t>
  </si>
  <si>
    <t>Justin Norris</t>
  </si>
  <si>
    <t>Transport Intelligence - Senior Engineering Manager - Integration Engineering</t>
  </si>
  <si>
    <t>Erie</t>
  </si>
  <si>
    <t>https://www.google.com/search?newwindow=1&amp;ei=2MT0XrvGGM-vytMP1OyDgAY&amp;q=site%3Alinkedin.com+Justin+Norris+Transport+Intelligence+-+Senior+Engineering+Manager+-+Integration+Engineering+GE+Transportation</t>
  </si>
  <si>
    <t>Latrell Tyson</t>
  </si>
  <si>
    <t>GEICO</t>
  </si>
  <si>
    <t>Buffalo</t>
  </si>
  <si>
    <t>https://www.google.com/search?newwindow=1&amp;ei=2MT0XrvGGM-vytMP1OyDgAY&amp;q=site%3Alinkedin.com+Latrell+Tyson+College+Recruiter+GEICO</t>
  </si>
  <si>
    <t>Justine Ramsey, MBA</t>
  </si>
  <si>
    <t>Sr. National College Recruiter</t>
  </si>
  <si>
    <t>7 years 2 months in role</t>
  </si>
  <si>
    <t>https://www.google.com/search?newwindow=1&amp;ei=2MT0XrvGGM-vytMP1OyDgAY&amp;q=site%3Alinkedin.com+Justine+Ramsey,+MBA+Sr.+National+College+Recruiter+GEICO</t>
  </si>
  <si>
    <t>Taylor Beatty</t>
  </si>
  <si>
    <t>Regional Campus Recruiter</t>
  </si>
  <si>
    <t>https://www.google.com/search?newwindow=1&amp;ei=2MT0XrvGGM-vytMP1OyDgAY&amp;q=site%3Alinkedin.com+Taylor+Beatty+Regional+Campus+Recruiter+GEICO</t>
  </si>
  <si>
    <t>Toni Kontos</t>
  </si>
  <si>
    <t>https://www.google.com/search?newwindow=1&amp;ei=2MT0XrvGGM-vytMP1OyDgAY&amp;q=site%3Alinkedin.com+Toni+Kontos+Campus+Recruiter+GEICO</t>
  </si>
  <si>
    <t>Melissa Lynne, CPCU</t>
  </si>
  <si>
    <t>Recruiting Systems Analyst</t>
  </si>
  <si>
    <t>Coralville</t>
  </si>
  <si>
    <t>https://www.google.com/search?newwindow=1&amp;ei=2MT0XrvGGM-vytMP1OyDgAY&amp;q=site%3Alinkedin.com+Melissa+Lynne,+CPCU+Recruiting+Systems+Analyst+GEICO</t>
  </si>
  <si>
    <t>Kendra Eakles</t>
  </si>
  <si>
    <t>Regional College Recruiter</t>
  </si>
  <si>
    <t>https://www.google.com/search?newwindow=1&amp;ei=2MT0XrvGGM-vytMP1OyDgAY&amp;q=site%3Alinkedin.com+Kendra+Eakles+Regional+College+Recruiter+GEICO</t>
  </si>
  <si>
    <t>Tyra H.</t>
  </si>
  <si>
    <t>https://www.google.com/search?newwindow=1&amp;ei=2MT0XrvGGM-vytMP1OyDgAY&amp;q=site%3Alinkedin.com+Tyra+H.+College+Recruiter+GEICO</t>
  </si>
  <si>
    <t>Sam Teklé</t>
  </si>
  <si>
    <t>https://www.google.com/search?newwindow=1&amp;ei=2MT0XrvGGM-vytMP1OyDgAY&amp;q=site%3Alinkedin.com+Sam+Teklé+Regional+College+Recruiter+GEICO</t>
  </si>
  <si>
    <t>William Heartsill</t>
  </si>
  <si>
    <t>https://www.google.com/search?newwindow=1&amp;ei=2MT0XrvGGM-vytMP1OyDgAY&amp;q=site%3Alinkedin.com+William+Heartsill+College+Recruiter+GEICO</t>
  </si>
  <si>
    <t>Chelsea Rush</t>
  </si>
  <si>
    <t>Fredericksburg</t>
  </si>
  <si>
    <t>https://www.google.com/search?newwindow=1&amp;ei=2MT0XrvGGM-vytMP1OyDgAY&amp;q=site%3Alinkedin.com+Chelsea+Rush+Regional+College+Recruiter+GEICO</t>
  </si>
  <si>
    <t>Chelsey Parsons</t>
  </si>
  <si>
    <t>https://www.google.com/search?newwindow=1&amp;ei=2MT0XrvGGM-vytMP1OyDgAY&amp;q=site%3Alinkedin.com+Chelsey+Parsons+Regional+College+Recruiter+GEICO</t>
  </si>
  <si>
    <t>Megan Eckart</t>
  </si>
  <si>
    <t>https://www.google.com/search?newwindow=1&amp;ei=2MT0XrvGGM-vytMP1OyDgAY&amp;q=site%3Alinkedin.com+Megan+Eckart+College+Recruiter+GEICO</t>
  </si>
  <si>
    <t>James   A. Robinson</t>
  </si>
  <si>
    <t>6 years 10 months in role</t>
  </si>
  <si>
    <t>https://www.google.com/search?newwindow=1&amp;ei=2MT0XrvGGM-vytMP1OyDgAY&amp;q=site%3Alinkedin.com+James+++A.+Robinson+Regional+College+Recruiter+GEICO</t>
  </si>
  <si>
    <t>Marlena Banks</t>
  </si>
  <si>
    <t>https://www.google.com/search?newwindow=1&amp;ei=2MT0XrvGGM-vytMP1OyDgAY&amp;q=site%3Alinkedin.com+Marlena+Banks+Regional+College+Recruiter+GEICO</t>
  </si>
  <si>
    <t>Michelle Berg</t>
  </si>
  <si>
    <t>https://www.google.com/search?newwindow=1&amp;ei=2MT0XrvGGM-vytMP1OyDgAY&amp;q=site%3Alinkedin.com+Michelle+Berg+College+Recruiter+GEICO</t>
  </si>
  <si>
    <t>Tricia Barrios</t>
  </si>
  <si>
    <t>Katy</t>
  </si>
  <si>
    <t>https://www.google.com/search?newwindow=1&amp;ei=2MT0XrvGGM-vytMP1OyDgAY&amp;q=site%3Alinkedin.com+Tricia+Barrios+Regional+College+Recruiter+GEICO</t>
  </si>
  <si>
    <t>Sarah A. Bonney, MBA</t>
  </si>
  <si>
    <t>Professional Regional College Recruiter</t>
  </si>
  <si>
    <t>4 years 1 month in role</t>
  </si>
  <si>
    <t>Lakeland</t>
  </si>
  <si>
    <t>https://www.google.com/search?newwindow=1&amp;ei=2MT0XrvGGM-vytMP1OyDgAY&amp;q=site%3Alinkedin.com+Sarah+A.+Bonney,+MBA+Professional+Regional+College+Recruiter+GEICO</t>
  </si>
  <si>
    <t>Darrius Baker</t>
  </si>
  <si>
    <t>GEICO Diversity and Inclusion Recruiter</t>
  </si>
  <si>
    <t>Macon</t>
  </si>
  <si>
    <t>https://www.google.com/search?newwindow=1&amp;ei=2MT0XrvGGM-vytMP1OyDgAY&amp;q=site%3Alinkedin.com+Darrius+Baker+GEICO+Diversity+and+Inclusion+Recruiter+GEICO</t>
  </si>
  <si>
    <t>Danielle Gallagher</t>
  </si>
  <si>
    <t>https://www.google.com/search?newwindow=1&amp;ei=2MT0XrvGGM-vytMP1OyDgAY&amp;q=site%3Alinkedin.com+Danielle+Gallagher+Regional+College+Recruiter+GEICO</t>
  </si>
  <si>
    <t>Cory Wood</t>
  </si>
  <si>
    <t>Norfolk City County</t>
  </si>
  <si>
    <t>https://www.google.com/search?newwindow=1&amp;ei=2MT0XrvGGM-vytMP1OyDgAY&amp;q=site%3Alinkedin.com+Cory+Wood+Regional+College+Recruiter+GEICO</t>
  </si>
  <si>
    <t>Beth Moellers, AINS API AIS</t>
  </si>
  <si>
    <t>3 years 1 month in role</t>
  </si>
  <si>
    <t>North Liberty</t>
  </si>
  <si>
    <t>https://www.google.com/search?newwindow=1&amp;ei=2MT0XrvGGM-vytMP1OyDgAY&amp;q=site%3Alinkedin.com+Beth+Moellers,+AINS+API+AIS+College+Recruiter+GEICO</t>
  </si>
  <si>
    <t>Jill Burner</t>
  </si>
  <si>
    <t>10 years 8 months in role and company</t>
  </si>
  <si>
    <t>Poway</t>
  </si>
  <si>
    <t>https://www.google.com/search?newwindow=1&amp;ei=2MT0XrvGGM-vytMP1OyDgAY&amp;q=site%3Alinkedin.com+Jill+Burner+Regional+College+Recruiter+GEICO</t>
  </si>
  <si>
    <t>Kathleen Cruz</t>
  </si>
  <si>
    <t>https://www.google.com/search?newwindow=1&amp;ei=2MT0XrvGGM-vytMP1OyDgAY&amp;q=site%3Alinkedin.com+Kathleen+Cruz+College+Recruiter+GEICO</t>
  </si>
  <si>
    <t>Lesley Evans</t>
  </si>
  <si>
    <t>Seattle Regional College Recruiter</t>
  </si>
  <si>
    <t>7 years 9 months in role and company</t>
  </si>
  <si>
    <t>https://www.google.com/search?newwindow=1&amp;ei=2MT0XrvGGM-vytMP1OyDgAY&amp;q=site%3Alinkedin.com+Lesley+Evans+Seattle+Regional+College+Recruiter+GEICO</t>
  </si>
  <si>
    <t>Jared McMillan</t>
  </si>
  <si>
    <t>Northeast College Recruiter</t>
  </si>
  <si>
    <t>https://www.google.com/search?newwindow=1&amp;ei=2MT0XrvGGM-vytMP1OyDgAY&amp;q=site%3Alinkedin.com+Jared+McMillan+Northeast+College+Recruiter+GEICO</t>
  </si>
  <si>
    <t>Sarah Bergeron</t>
  </si>
  <si>
    <t>Tucson</t>
  </si>
  <si>
    <t>https://www.google.com/search?newwindow=1&amp;ei=2MT0XrvGGM-vytMP1OyDgAY&amp;q=site%3Alinkedin.com+Sarah+Bergeron+Regional+Campus+Recruiter+GEICO</t>
  </si>
  <si>
    <t>Allison Hansen</t>
  </si>
  <si>
    <t>Corporate Campus Recruiter</t>
  </si>
  <si>
    <t>https://www.google.com/search?newwindow=1&amp;ei=2MT0XrvGGM-vytMP1OyDgAY&amp;q=site%3Alinkedin.com+Allison+Hansen+Corporate+Campus+Recruiter+GEICO</t>
  </si>
  <si>
    <t>Tyrus Sanders</t>
  </si>
  <si>
    <t>4 years 2 months in role</t>
  </si>
  <si>
    <t>https://www.google.com/search?newwindow=1&amp;ei=2MT0XrvGGM-vytMP1OyDgAY&amp;q=site%3Alinkedin.com+Tyrus+Sanders+Regional+College+Recruiter+GEICO</t>
  </si>
  <si>
    <t>Mary Alexander</t>
  </si>
  <si>
    <t>https://www.google.com/search?newwindow=1&amp;ei=2MT0XrvGGM-vytMP1OyDgAY&amp;q=site%3Alinkedin.com+Mary+Alexander+College+Recruiter+GEICO</t>
  </si>
  <si>
    <t>Jeannie Toscano</t>
  </si>
  <si>
    <t>Woodbury</t>
  </si>
  <si>
    <t>https://www.google.com/search?newwindow=1&amp;ei=2MT0XrvGGM-vytMP1OyDgAY&amp;q=site%3Alinkedin.com+Jeannie+Toscano+Regional+College+Recruiter+GEICO</t>
  </si>
  <si>
    <t>Kara Smith</t>
  </si>
  <si>
    <t>Vice President, University Relations Recruiter</t>
  </si>
  <si>
    <t>Goldman Sachs</t>
  </si>
  <si>
    <t>https://www.google.com/search?newwindow=1&amp;ei=2MT0XrvGGM-vytMP1OyDgAY&amp;q=site%3Alinkedin.com+Kara+Smith+Vice+President,+University+Relations+Recruiter+Goldman+Sachs</t>
  </si>
  <si>
    <t>Ashley A.</t>
  </si>
  <si>
    <t>Campus Recruiter- Global Investment Research &amp; Merchant Banking Divisions</t>
  </si>
  <si>
    <t>https://www.google.com/search?newwindow=1&amp;ei=2MT0XrvGGM-vytMP1OyDgAY&amp;q=site%3Alinkedin.com+Ashley+A.+Campus+Recruiter-+Global+Investment+Research+&amp;+Merchant+Banking+Divisions+Goldman+Sachs</t>
  </si>
  <si>
    <t>Amy Mercedes Pineda</t>
  </si>
  <si>
    <t>Engineering University Relations Recruiter Coordinator</t>
  </si>
  <si>
    <t>https://www.google.com/search?newwindow=1&amp;ei=2MT0XrvGGM-vytMP1OyDgAY&amp;q=site%3Alinkedin.com+Amy+Mercedes+Pineda+Engineering+University+Relations+Recruiter+Coordinator+Goldman+Sachs</t>
  </si>
  <si>
    <t>Ashley Mahone</t>
  </si>
  <si>
    <t>https://www.google.com/search?newwindow=1&amp;ei=2MT0XrvGGM-vytMP1OyDgAY&amp;q=site%3Alinkedin.com+Ashley+Mahone+Engineering+Campus+Recruiter+Goldman+Sachs</t>
  </si>
  <si>
    <t>Elizabeth Washburn</t>
  </si>
  <si>
    <t>Campus Recruiter | Associate</t>
  </si>
  <si>
    <t>https://www.google.com/search?newwindow=1&amp;ei=2MT0XrvGGM-vytMP1OyDgAY&amp;q=site%3Alinkedin.com+Elizabeth+Washburn+Campus+Recruiter+|+Associate+Goldman+Sachs</t>
  </si>
  <si>
    <t>Abigal Winters</t>
  </si>
  <si>
    <t>https://www.google.com/search?newwindow=1&amp;ei=2MT0XrvGGM-vytMP1OyDgAY&amp;q=site%3Alinkedin.com+Abigal+Winters+Engineering+Campus+Recruiter+Goldman+Sachs</t>
  </si>
  <si>
    <t>Rechelle Lambert</t>
  </si>
  <si>
    <t>https://www.google.com/search?newwindow=1&amp;ei=2MT0XrvGGM-vytMP1OyDgAY&amp;q=site%3Alinkedin.com+Rechelle+Lambert+University+Relations+Recruiter+Goldman+Sachs</t>
  </si>
  <si>
    <t>Andrea Washington, MPS</t>
  </si>
  <si>
    <t>Campus Recruiter - Operations and Global Markets</t>
  </si>
  <si>
    <t>https://www.google.com/search?newwindow=1&amp;ei=2MT0XrvGGM-vytMP1OyDgAY&amp;q=site%3Alinkedin.com+Andrea+Washington,+MPS+Campus+Recruiter+-+Operations+and+Global+Markets+Goldman+Sachs</t>
  </si>
  <si>
    <t>Brielle Johnson, SHRM-CP</t>
  </si>
  <si>
    <t>Senior Analyst- Campus Recruiter</t>
  </si>
  <si>
    <t>https://www.google.com/search?newwindow=1&amp;ei=2MT0XrvGGM-vytMP1OyDgAY&amp;q=site%3Alinkedin.com+Brielle+Johnson,+SHRM-CP+Senior+Analyst-+Campus+Recruiter+Goldman+Sachs</t>
  </si>
  <si>
    <t>Taylor Mac Kenzie</t>
  </si>
  <si>
    <t>Campus Recruiter - Vice President</t>
  </si>
  <si>
    <t>13 years 10 months in role and company</t>
  </si>
  <si>
    <t>https://www.google.com/search?newwindow=1&amp;ei=2MT0XrvGGM-vytMP1OyDgAY&amp;q=site%3Alinkedin.com+Taylor+Mac+Kenzie+Campus+Recruiter+-+Vice+President+Goldman+Sachs</t>
  </si>
  <si>
    <t>Marisa Lieberman</t>
  </si>
  <si>
    <t>Associate, Engineering Campus Recruiter</t>
  </si>
  <si>
    <t>https://www.google.com/search?newwindow=1&amp;ei=2MT0XrvGGM-vytMP1OyDgAY&amp;q=site%3Alinkedin.com+Marisa+Lieberman+Associate,+Engineering+Campus+Recruiter+Goldman+Sachs</t>
  </si>
  <si>
    <t>Nancy Angelica</t>
  </si>
  <si>
    <t>https://www.google.com/search?newwindow=1&amp;ei=2MT0XrvGGM-vytMP1OyDgAY&amp;q=site%3Alinkedin.com+Nancy+Angelica+Campus+Recruiter+Goldman+Sachs</t>
  </si>
  <si>
    <t>Andrew C.</t>
  </si>
  <si>
    <t>https://www.google.com/search?newwindow=1&amp;ei=2MT0XrvGGM-vytMP1OyDgAY&amp;q=site%3Alinkedin.com+Andrew+C.+Associate,+Engineering+Campus+Recruiter+Goldman+Sachs</t>
  </si>
  <si>
    <t>Hannah Meckler</t>
  </si>
  <si>
    <t>Vice President, Investment Banking Campus Recruiter</t>
  </si>
  <si>
    <t>https://www.google.com/search?newwindow=1&amp;ei=2MT0XrvGGM-vytMP1OyDgAY&amp;q=site%3Alinkedin.com+Hannah+Meckler+Vice+President,+Investment+Banking+Campus+Recruiter+Goldman+Sachs</t>
  </si>
  <si>
    <t>Erica Ciolli</t>
  </si>
  <si>
    <t>Head of Campus Recruiting for Consumer and Investment Management (Private Wealth &amp; Asset Management)</t>
  </si>
  <si>
    <t>https://www.google.com/search?newwindow=1&amp;ei=2MT0XrvGGM-vytMP1OyDgAY&amp;q=site%3Alinkedin.com+Erica+Ciolli+Head+of+Campus+Recruiting+for+Consumer+and+Investment+Management+(Private+Wealth+&amp;+Asset+Management)+Goldman+Sachs</t>
  </si>
  <si>
    <t>Lydia Coffey, PHR</t>
  </si>
  <si>
    <t>Analyst, Campus Recruiter</t>
  </si>
  <si>
    <t>Provo</t>
  </si>
  <si>
    <t>https://www.google.com/search?newwindow=1&amp;ei=2MT0XrvGGM-vytMP1OyDgAY&amp;q=site%3Alinkedin.com+Lydia+Coffey,+PHR+Analyst,+Campus+Recruiter+Goldman+Sachs</t>
  </si>
  <si>
    <t>Maribel Velazquez</t>
  </si>
  <si>
    <t>Engineering University Relations Recruiter</t>
  </si>
  <si>
    <t>Richardson</t>
  </si>
  <si>
    <t>https://www.google.com/search?newwindow=1&amp;ei=2MT0XrvGGM-vytMP1OyDgAY&amp;q=site%3Alinkedin.com+Maribel+Velazquez+Engineering+University+Relations+Recruiter+Goldman+Sachs</t>
  </si>
  <si>
    <t>Christine Ganevsky</t>
  </si>
  <si>
    <t>https://www.google.com/search?newwindow=1&amp;ei=2MT0XrvGGM-vytMP1OyDgAY&amp;q=site%3Alinkedin.com+Christine+Ganevsky+Campus+Recruiter+Goldman+Sachs</t>
  </si>
  <si>
    <t>Rob Georgiefski</t>
  </si>
  <si>
    <t>University Recruiter, Tech</t>
  </si>
  <si>
    <t>Google</t>
  </si>
  <si>
    <t>https://www.google.com/search?newwindow=1&amp;ei=2MT0XrvGGM-vytMP1OyDgAY&amp;q=site%3Alinkedin.com+Rob+Georgiefski+University+Recruiter,+Tech+Google</t>
  </si>
  <si>
    <t>Keanna Carter</t>
  </si>
  <si>
    <t>https://www.google.com/search?newwindow=1&amp;ei=2MT0XrvGGM-vytMP1OyDgAY&amp;q=site%3Alinkedin.com+Keanna+Carter+University+Tech+Recruiter+Google</t>
  </si>
  <si>
    <t>Matt Breidenbach</t>
  </si>
  <si>
    <t>University Programs Recruiter</t>
  </si>
  <si>
    <t>https://www.google.com/search?newwindow=1&amp;ei=2MT0XrvGGM-vytMP1OyDgAY&amp;q=site%3Alinkedin.com+Matt+Breidenbach+University+Programs+Recruiter+Google</t>
  </si>
  <si>
    <t>Carmen Cornelius</t>
  </si>
  <si>
    <t>Cloud Sales Recruiter</t>
  </si>
  <si>
    <t>https://www.google.com/search?newwindow=1&amp;ei=2MT0XrvGGM-vytMP1OyDgAY&amp;q=site%3Alinkedin.com+Carmen+Cornelius+Cloud+Sales+Recruiter+Google</t>
  </si>
  <si>
    <t>Lauren Urbanski</t>
  </si>
  <si>
    <t>https://www.google.com/search?newwindow=1&amp;ei=2MT0XrvGGM-vytMP1OyDgAY&amp;q=site%3Alinkedin.com+Lauren+Urbanski+University+Recruiter+Google</t>
  </si>
  <si>
    <t>Hayley Roe</t>
  </si>
  <si>
    <t>4 years 7 months in role and company</t>
  </si>
  <si>
    <t>https://www.google.com/search?newwindow=1&amp;ei=2MT0XrvGGM-vytMP1OyDgAY&amp;q=site%3Alinkedin.com+Hayley+Roe+University+Recruiter+Google</t>
  </si>
  <si>
    <t>Michelle Figi</t>
  </si>
  <si>
    <t>UX Intern Recruiter</t>
  </si>
  <si>
    <t>https://www.google.com/search?newwindow=1&amp;ei=2MT0XrvGGM-vytMP1OyDgAY&amp;q=site%3Alinkedin.com+Michelle+Figi+UX+Intern+Recruiter+Google</t>
  </si>
  <si>
    <t>Crystal Jenkins</t>
  </si>
  <si>
    <t>University Graduate Recruiter</t>
  </si>
  <si>
    <t>https://www.google.com/search?newwindow=1&amp;ei=2MT0XrvGGM-vytMP1OyDgAY&amp;q=site%3Alinkedin.com+Crystal+Jenkins+University+Graduate+Recruiter+Google</t>
  </si>
  <si>
    <t>Daryan Rahimzadeh</t>
  </si>
  <si>
    <t>Campus Technical Recruiter</t>
  </si>
  <si>
    <t>https://www.google.com/search?newwindow=1&amp;ei=2MT0XrvGGM-vytMP1OyDgAY&amp;q=site%3Alinkedin.com+Daryan+Rahimzadeh+Campus+Technical+Recruiter+Google</t>
  </si>
  <si>
    <t>Eleni Martinez</t>
  </si>
  <si>
    <t>https://www.google.com/search?newwindow=1&amp;ei=2MT0XrvGGM-vytMP1OyDgAY&amp;q=site%3Alinkedin.com+Eleni+Martinez+Campus+Recruiter+Google</t>
  </si>
  <si>
    <t>Rachel Dickson</t>
  </si>
  <si>
    <t>Campus Technical Recruiter (Tech+)</t>
  </si>
  <si>
    <t>https://www.google.com/search?newwindow=1&amp;ei=2MT0XrvGGM-vytMP1OyDgAY&amp;q=site%3Alinkedin.com+Rachel+Dickson+Campus+Technical+Recruiter+(Tech+)+Google</t>
  </si>
  <si>
    <t>Monica Lavin</t>
  </si>
  <si>
    <t>https://www.google.com/search?newwindow=1&amp;ei=2MT0XrvGGM-vytMP1OyDgAY&amp;q=site%3Alinkedin.com+Monica+Lavin+Campus+Recruiter+Google</t>
  </si>
  <si>
    <t>Shaina Conrad</t>
  </si>
  <si>
    <t>Tech University Recruiter</t>
  </si>
  <si>
    <t>Boulder</t>
  </si>
  <si>
    <t>https://www.google.com/search?newwindow=1&amp;ei=2MT0XrvGGM-vytMP1OyDgAY&amp;q=site%3Alinkedin.com+Shaina+Conrad+Tech+University+Recruiter+Google</t>
  </si>
  <si>
    <t>Amir Muhammad</t>
  </si>
  <si>
    <t>https://www.google.com/search?newwindow=1&amp;ei=2MT0XrvGGM-vytMP1OyDgAY&amp;q=site%3Alinkedin.com+Amir+Muhammad+University+Recruiter+Google</t>
  </si>
  <si>
    <t>Shea Bastedo</t>
  </si>
  <si>
    <t>Jersey City</t>
  </si>
  <si>
    <t>https://www.google.com/search?newwindow=1&amp;ei=2MT0XrvGGM-vytMP1OyDgAY&amp;q=site%3Alinkedin.com+Shea+Bastedo+Tech+University+Recruiter+Google</t>
  </si>
  <si>
    <t>Jessica Wickers</t>
  </si>
  <si>
    <t>Kirkland</t>
  </si>
  <si>
    <t>https://www.google.com/search?newwindow=1&amp;ei=2MT0XrvGGM-vytMP1OyDgAY&amp;q=site%3Alinkedin.com+Jessica+Wickers+Program+Manager+Google</t>
  </si>
  <si>
    <t>Andrew Purtle</t>
  </si>
  <si>
    <t>Cloud Recruiter</t>
  </si>
  <si>
    <t>https://www.google.com/search?newwindow=1&amp;ei=2MT0XrvGGM-vytMP1OyDgAY&amp;q=site%3Alinkedin.com+Andrew+Purtle+Cloud+Recruiter+Google</t>
  </si>
  <si>
    <t>Padraic Smith</t>
  </si>
  <si>
    <t>https://www.google.com/search?newwindow=1&amp;ei=2MT0XrvGGM-vytMP1OyDgAY&amp;q=site%3Alinkedin.com+Padraic+Smith+Technical+University+Recruiter+Google</t>
  </si>
  <si>
    <t>Jillian Palmer</t>
  </si>
  <si>
    <t>https://www.google.com/search?newwindow=1&amp;ei=2MT0XrvGGM-vytMP1OyDgAY&amp;q=site%3Alinkedin.com+Jillian+Palmer+College+Recruiter+Google</t>
  </si>
  <si>
    <t>Karan Bhargava</t>
  </si>
  <si>
    <t>University Program Recruiting Manager</t>
  </si>
  <si>
    <t>https://www.google.com/search?newwindow=1&amp;ei=2MT0XrvGGM-vytMP1OyDgAY&amp;q=site%3Alinkedin.com+Karan+Bhargava+University+Program+Recruiting+Manager+Google</t>
  </si>
  <si>
    <t>Sidnie Davis</t>
  </si>
  <si>
    <t>https://www.google.com/search?newwindow=1&amp;ei=2MT0XrvGGM-vytMP1OyDgAY&amp;q=site%3Alinkedin.com+Sidnie+Davis+Program+Manager+Google</t>
  </si>
  <si>
    <t>Amanda Nowak</t>
  </si>
  <si>
    <t>Technical Recruiter (University) &amp; Program Manager</t>
  </si>
  <si>
    <t>Natick</t>
  </si>
  <si>
    <t>https://www.google.com/search?newwindow=1&amp;ei=2MT0XrvGGM-vytMP1OyDgAY&amp;q=site%3Alinkedin.com+Amanda+Nowak+Technical+Recruiter+(University)+&amp;+Program+Manager+Google</t>
  </si>
  <si>
    <t>Isaac Winkler</t>
  </si>
  <si>
    <t>https://www.google.com/search?newwindow=1&amp;ei=2MT0XrvGGM-vytMP1OyDgAY&amp;q=site%3Alinkedin.com+Isaac+Winkler+College+Recruiter+Google</t>
  </si>
  <si>
    <t>Alexandra Sarosy</t>
  </si>
  <si>
    <t>https://www.google.com/search?newwindow=1&amp;ei=2MT0XrvGGM-vytMP1OyDgAY&amp;q=site%3Alinkedin.com+Alexandra+Sarosy+University+Recruiter+Google</t>
  </si>
  <si>
    <t>Jenn R.</t>
  </si>
  <si>
    <t>Talent Acquisition Manager (College recruiter)</t>
  </si>
  <si>
    <t>https://www.google.com/search?newwindow=1&amp;ei=2MT0XrvGGM-vytMP1OyDgAY&amp;q=site%3Alinkedin.com+Jenn+R.+Talent+Acquisition+Manager+(College+recruiter)+Google</t>
  </si>
  <si>
    <t>Brittany Perry</t>
  </si>
  <si>
    <t>https://www.google.com/search?newwindow=1&amp;ei=2MT0XrvGGM-vytMP1OyDgAY&amp;q=site%3Alinkedin.com+Brittany+Perry+College+Recruiter+Google</t>
  </si>
  <si>
    <t>Chantal Penton</t>
  </si>
  <si>
    <t>University Technical Recruiter</t>
  </si>
  <si>
    <t>Redmond</t>
  </si>
  <si>
    <t>https://www.google.com/search?newwindow=1&amp;ei=2MT0XrvGGM-vytMP1OyDgAY&amp;q=site%3Alinkedin.com+Chantal+Penton+University+Technical+Recruiter+Google</t>
  </si>
  <si>
    <t>Sarah Peck</t>
  </si>
  <si>
    <t>https://www.google.com/search?newwindow=1&amp;ei=2MT0XrvGGM-vytMP1OyDgAY&amp;q=site%3Alinkedin.com+Sarah+Peck+University+Recruiter,+Tech+Google</t>
  </si>
  <si>
    <t>Gabe Espinosa</t>
  </si>
  <si>
    <t>Technical University Recruiter &amp; Project Manager - NA</t>
  </si>
  <si>
    <t>https://www.google.com/search?newwindow=1&amp;ei=2MT0XrvGGM-vytMP1OyDgAY&amp;q=site%3Alinkedin.com+Gabe+Espinosa+Technical+University+Recruiter+&amp;+Project+Manager+-+NA+Google</t>
  </si>
  <si>
    <t>Lindsey Stewart</t>
  </si>
  <si>
    <t>Americas Recruiting Manager (Campus and Entry-level)</t>
  </si>
  <si>
    <t>10 years 5 months in role and company</t>
  </si>
  <si>
    <t>https://www.google.com/search?newwindow=1&amp;ei=2MT0XrvGGM-vytMP1OyDgAY&amp;q=site%3Alinkedin.com+Lindsey+Stewart+Americas+Recruiting+Manager+(Campus+and+Entry-level)+Google</t>
  </si>
  <si>
    <t>Alison Johnston</t>
  </si>
  <si>
    <t>College Intern Recruiter</t>
  </si>
  <si>
    <t>https://www.google.com/search?newwindow=1&amp;ei=2MT0XrvGGM-vytMP1OyDgAY&amp;q=site%3Alinkedin.com+Alison+Johnston+College+Intern+Recruiter+Google</t>
  </si>
  <si>
    <t>Amber Howe-McCarty</t>
  </si>
  <si>
    <t>https://www.google.com/search?newwindow=1&amp;ei=2MT0XrvGGM-vytMP1OyDgAY&amp;q=site%3Alinkedin.com+Amber+Howe-McCarty+Campus+Recruiter+Google</t>
  </si>
  <si>
    <t>Ashley Leonard</t>
  </si>
  <si>
    <t>https://www.google.com/search?newwindow=1&amp;ei=2MT0XrvGGM-vytMP1OyDgAY&amp;q=site%3Alinkedin.com+Ashley+Leonard+University+Tech+Recruiter+Google</t>
  </si>
  <si>
    <t>Noël Elgamal</t>
  </si>
  <si>
    <t>https://www.google.com/search?newwindow=1&amp;ei=2MT0XrvGGM-vytMP1OyDgAY&amp;q=site%3Alinkedin.com+Noël+Elgamal+University+Recruiter+Google</t>
  </si>
  <si>
    <t>Carol Tsuchiya</t>
  </si>
  <si>
    <t>College Recruiter - Engineering/Product Area Liaison</t>
  </si>
  <si>
    <t>https://www.google.com/search?newwindow=1&amp;ei=2MT0XrvGGM-vytMP1OyDgAY&amp;q=site%3Alinkedin.com+Carol+Tsuchiya+College+Recruiter+-+Engineering/Product+Area+Liaison+Google</t>
  </si>
  <si>
    <t>Selma Handzar</t>
  </si>
  <si>
    <t>Recruiter, University Programs</t>
  </si>
  <si>
    <t>https://www.google.com/search?newwindow=1&amp;ei=2MT0XrvGGM-vytMP1OyDgAY&amp;q=site%3Alinkedin.com+Selma+Handzar+Recruiter,+University+Programs+Google</t>
  </si>
  <si>
    <t>Haylee Gani</t>
  </si>
  <si>
    <t>Recruiter, Engineering Leadership</t>
  </si>
  <si>
    <t>https://www.google.com/search?newwindow=1&amp;ei=2MT0XrvGGM-vytMP1OyDgAY&amp;q=site%3Alinkedin.com+Haylee+Gani+Recruiter,+Engineering+Leadership+Google</t>
  </si>
  <si>
    <t>Lauran Woodward</t>
  </si>
  <si>
    <t>https://www.google.com/search?newwindow=1&amp;ei=2MT0XrvGGM-vytMP1OyDgAY&amp;q=site%3Alinkedin.com+Lauran+Woodward+University+Recruiter+Google</t>
  </si>
  <si>
    <t>Aiminh Phan</t>
  </si>
  <si>
    <t>https://www.google.com/search?newwindow=1&amp;ei=2MT0XrvGGM-vytMP1OyDgAY&amp;q=site%3Alinkedin.com+Aiminh+Phan+University+Recruiter+Google</t>
  </si>
  <si>
    <t>Brittany Matta</t>
  </si>
  <si>
    <t>University Recruiter - Research (AI Residency Program and PhD) - Via Nelson Staffing</t>
  </si>
  <si>
    <t>https://www.google.com/search?newwindow=1&amp;ei=2MT0XrvGGM-vytMP1OyDgAY&amp;q=site%3Alinkedin.com+Brittany+Matta+University+Recruiter+-+Research+(AI+Residency+Program+and+PhD)+-+Via+Nelson+Staffing+Google</t>
  </si>
  <si>
    <t>Ashley Carmichael</t>
  </si>
  <si>
    <t>https://www.google.com/search?newwindow=1&amp;ei=2MT0XrvGGM-vytMP1OyDgAY&amp;q=site%3Alinkedin.com+Ashley+Carmichael+University+Recruiter+Google+via+Artech+Information+Systems</t>
  </si>
  <si>
    <t>Erin Lamport</t>
  </si>
  <si>
    <t>Grant Thornton</t>
  </si>
  <si>
    <t>https://www.google.com/search?newwindow=1&amp;ei=2MT0XrvGGM-vytMP1OyDgAY&amp;q=site%3Alinkedin.com+Erin+Lamport+Campus+Recruiter+Grant+Thornton</t>
  </si>
  <si>
    <t>Olivia W.</t>
  </si>
  <si>
    <t>https://www.google.com/search?newwindow=1&amp;ei=2MT0XrvGGM-vytMP1OyDgAY&amp;q=site%3Alinkedin.com+Olivia+W.+University+Recruiter+Grant+Thornton+LLP</t>
  </si>
  <si>
    <t>Katie Collins</t>
  </si>
  <si>
    <t>https://www.google.com/search?newwindow=1&amp;ei=2MT0XrvGGM-vytMP1OyDgAY&amp;q=site%3Alinkedin.com+Katie+Collins+Senior+University+Recruiter+Grant+Thornton+LLP</t>
  </si>
  <si>
    <t>Molly Curran</t>
  </si>
  <si>
    <t>https://www.google.com/search?newwindow=1&amp;ei=2MT0XrvGGM-vytMP1OyDgAY&amp;q=site%3Alinkedin.com+Molly+Curran+University+Recruiter+Grant+Thornton+LLP</t>
  </si>
  <si>
    <t>Grace King</t>
  </si>
  <si>
    <t>https://www.google.com/search?newwindow=1&amp;ei=2MT0XrvGGM-vytMP1OyDgAY&amp;q=site%3Alinkedin.com+Grace+King+University+Recruiter+Grant+Thornton+LLP</t>
  </si>
  <si>
    <t>Megan Williamson</t>
  </si>
  <si>
    <t>https://www.google.com/search?newwindow=1&amp;ei=2MT0XrvGGM-vytMP1OyDgAY&amp;q=site%3Alinkedin.com+Megan+Williamson+University+Recruiter+Grant+Thornton+LLP</t>
  </si>
  <si>
    <t>Nichole R. Justus</t>
  </si>
  <si>
    <t>https://www.google.com/search?newwindow=1&amp;ei=2MT0XrvGGM-vytMP1OyDgAY&amp;q=site%3Alinkedin.com+Nichole+R.+Justus+University+Recruiter+Grant+Thornton+LLP</t>
  </si>
  <si>
    <t>Julie Hansen</t>
  </si>
  <si>
    <t>Texoma Market Lead, University Recruiting</t>
  </si>
  <si>
    <t>https://www.google.com/search?newwindow=1&amp;ei=2MT0XrvGGM-vytMP1OyDgAY&amp;q=site%3Alinkedin.com+Julie+Hansen+Texoma+Market+Lead,+University+Recruiting+Grant+Thornton+LLP</t>
  </si>
  <si>
    <t>Mary Latino</t>
  </si>
  <si>
    <t>Recruiting Associate, University Recruiting</t>
  </si>
  <si>
    <t>https://www.google.com/search?newwindow=1&amp;ei=2MT0XrvGGM-vytMP1OyDgAY&amp;q=site%3Alinkedin.com+Mary+Latino+Recruiting+Associate,+University+Recruiting+Grant+Thornton+LLP</t>
  </si>
  <si>
    <t>Raven Fournier Janssen</t>
  </si>
  <si>
    <t>https://www.google.com/search?newwindow=1&amp;ei=2MT0XrvGGM-vytMP1OyDgAY&amp;q=site%3Alinkedin.com+Raven+Fournier+Janssen+Senior+University+Recruiter+Grant+Thornton+LLP</t>
  </si>
  <si>
    <t>Katerina Theodore O'Connell</t>
  </si>
  <si>
    <t>https://www.google.com/search?newwindow=1&amp;ei=2MT0XrvGGM-vytMP1OyDgAY&amp;q=site%3Alinkedin.com+Katerina+Theodore+O'Connell+University+Recruiter+Grant+Thornton+LLP</t>
  </si>
  <si>
    <t>Kelley I.</t>
  </si>
  <si>
    <t>https://www.google.com/search?newwindow=1&amp;ei=2MT0XrvGGM-vytMP1OyDgAY&amp;q=site%3Alinkedin.com+Kelley+I.+Senior+University+Recruiter+Grant+Thornton+LLP</t>
  </si>
  <si>
    <t>Victoria Mack</t>
  </si>
  <si>
    <t>https://www.google.com/search?newwindow=1&amp;ei=2MT0XrvGGM-vytMP1OyDgAY&amp;q=site%3Alinkedin.com+Victoria+Mack+University+Recruiter+Grant+Thornton+LLP</t>
  </si>
  <si>
    <t>Sarah Reynolds</t>
  </si>
  <si>
    <t>University Relations Manager</t>
  </si>
  <si>
    <t>Honeywell</t>
  </si>
  <si>
    <t>https://www.google.com/search?newwindow=1&amp;ei=2MT0XrvGGM-vytMP1OyDgAY&amp;q=site%3Alinkedin.com+Sarah+Reynolds+University+Relations+Manager+Honeywell</t>
  </si>
  <si>
    <t>Brian L. Thai</t>
  </si>
  <si>
    <t>Orange County</t>
  </si>
  <si>
    <t>https://www.google.com/search?newwindow=1&amp;ei=2MT0XrvGGM-vytMP1OyDgAY&amp;q=site%3Alinkedin.com+Brian+L.+Thai+University+Recruiter+Honeywell</t>
  </si>
  <si>
    <t>Chelsea Jensen Damm</t>
  </si>
  <si>
    <t>Virginia Tech Recruiting Campus Manager</t>
  </si>
  <si>
    <t>8 years 2 months in role</t>
  </si>
  <si>
    <t>https://www.google.com/search?newwindow=1&amp;ei=2MT0XrvGGM-vytMP1OyDgAY&amp;q=site%3Alinkedin.com+Chelsea+Jensen+Damm+Virginia+Tech+Recruiting+Campus+Manager+Honeywell</t>
  </si>
  <si>
    <t>Tiffany Kirby</t>
  </si>
  <si>
    <t>https://www.google.com/search?newwindow=1&amp;ei=2MT0XrvGGM-vytMP1OyDgAY&amp;q=site%3Alinkedin.com+Tiffany+Kirby+University+Relations+Recruiter+Honeywell</t>
  </si>
  <si>
    <t>Gillian McLarty</t>
  </si>
  <si>
    <t>HubSpot</t>
  </si>
  <si>
    <t>https://www.google.com/search?newwindow=1&amp;ei=2MT0XrvGGM-vytMP1OyDgAY&amp;q=site%3Alinkedin.com+Gillian+McLarty+Associate+Campus+Recruiter+HubSpot</t>
  </si>
  <si>
    <t>Glory Montes</t>
  </si>
  <si>
    <t>Associate Campus Tech Recruiter</t>
  </si>
  <si>
    <t>https://www.google.com/search?newwindow=1&amp;ei=2MT0XrvGGM-vytMP1OyDgAY&amp;q=site%3Alinkedin.com+Glory+Montes+Associate+Campus+Tech+Recruiter+HubSpot</t>
  </si>
  <si>
    <t>Colleen Grant</t>
  </si>
  <si>
    <t>Manager, Global Campus Recruiting</t>
  </si>
  <si>
    <t>https://www.google.com/search?newwindow=1&amp;ei=2MT0XrvGGM-vytMP1OyDgAY&amp;q=site%3Alinkedin.com+Colleen+Grant+Manager,+Global+Campus+Recruiting+HubSpot</t>
  </si>
  <si>
    <t>Katelyn Kearns</t>
  </si>
  <si>
    <t>https://www.google.com/search?newwindow=1&amp;ei=2MT0XrvGGM-vytMP1OyDgAY&amp;q=site%3Alinkedin.com+Katelyn+Kearns+Campus+Recruiter+HubSpot</t>
  </si>
  <si>
    <t>Viennie Chanthachack (he/him)</t>
  </si>
  <si>
    <t>Associate Campus Recruiter - North America &amp; EMEA Sales</t>
  </si>
  <si>
    <t>https://www.google.com/search?newwindow=1&amp;ei=2MT0XrvGGM-vytMP1OyDgAY&amp;q=site%3Alinkedin.com+Viennie+Chanthachack+(he/him)+Associate+Campus+Recruiter+-+North+America+&amp;+EMEA+Sales+HubSpot</t>
  </si>
  <si>
    <t>Jessica Rivera</t>
  </si>
  <si>
    <t>Hulu</t>
  </si>
  <si>
    <t>https://www.google.com/search?newwindow=1&amp;ei=2MT0XrvGGM-vytMP1OyDgAY&amp;q=site%3Alinkedin.com+Jessica+Rivera+University+Recruiter+Hulu</t>
  </si>
  <si>
    <t>Jennifer Weiser</t>
  </si>
  <si>
    <t>https://www.google.com/search?newwindow=1&amp;ei=2MT0XrvGGM-vytMP1OyDgAY&amp;q=site%3Alinkedin.com+Jennifer+Weiser+University+Recruiter+Hulu</t>
  </si>
  <si>
    <t>Ashley Fritts</t>
  </si>
  <si>
    <t>North America Early Professional Talent Acquisition Manager - Systems</t>
  </si>
  <si>
    <t>IBM</t>
  </si>
  <si>
    <t>Armonk</t>
  </si>
  <si>
    <t>https://www.google.com/search?newwindow=1&amp;ei=2MT0XrvGGM-vytMP1OyDgAY&amp;q=site%3Alinkedin.com+Ashley+Fritts+North+America+Early+Professional+Talent+Acquisition+Manager+-+Systems+IBM</t>
  </si>
  <si>
    <t>Leslie Ott</t>
  </si>
  <si>
    <t>University Recruiting Program Manager - Diversity Lead (MBA &amp; University)</t>
  </si>
  <si>
    <t>8 years  in role</t>
  </si>
  <si>
    <t>Wrightsville Beach</t>
  </si>
  <si>
    <t>https://www.google.com/search?newwindow=1&amp;ei=2MT0XrvGGM-vytMP1OyDgAY&amp;q=site%3Alinkedin.com+Leslie+Ott+University+Recruiting+Program+Manager+-+Diversity+Lead+(MBA+&amp;+University)+IBM</t>
  </si>
  <si>
    <t>Amy Bergman</t>
  </si>
  <si>
    <t>University Recruiter Coordinator</t>
  </si>
  <si>
    <t>Indeed.com</t>
  </si>
  <si>
    <t>https://www.google.com/search?newwindow=1&amp;ei=2MT0XrvGGM-vytMP1OyDgAY&amp;q=site%3Alinkedin.com+Amy+Bergman+University+Recruiter+Coordinator+Indeed.com</t>
  </si>
  <si>
    <t>Jill Sears</t>
  </si>
  <si>
    <t>University Recruiter - Talent Attraction</t>
  </si>
  <si>
    <t>https://www.google.com/search?newwindow=1&amp;ei=2MT0XrvGGM-vytMP1OyDgAY&amp;q=site%3Alinkedin.com+Jill+Sears+University+Recruiter+-+Talent+Attraction+Indeed.com</t>
  </si>
  <si>
    <t>Emma Brady</t>
  </si>
  <si>
    <t>Fort Collins</t>
  </si>
  <si>
    <t>https://www.google.com/search?newwindow=1&amp;ei=2MT0XrvGGM-vytMP1OyDgAY&amp;q=site%3Alinkedin.com+Emma+Brady+University+Recruiter+Indeed.com</t>
  </si>
  <si>
    <t>Christina Rippo</t>
  </si>
  <si>
    <t>University Recruiter I Talent Attraction Indeed.com</t>
  </si>
  <si>
    <t>New Fairfield</t>
  </si>
  <si>
    <t>https://www.google.com/search?newwindow=1&amp;ei=2MT0XrvGGM-vytMP1OyDgAY&amp;q=site%3Alinkedin.com+Christina+Rippo+University+Recruiter+I+Talent+Attraction+Indeed.com+Indeed.com</t>
  </si>
  <si>
    <t>Dominic Romávila</t>
  </si>
  <si>
    <t>Sr. University Recruiter, Technical</t>
  </si>
  <si>
    <t>3 years 9 months in role</t>
  </si>
  <si>
    <t>Round Rock</t>
  </si>
  <si>
    <t>https://www.google.com/search?newwindow=1&amp;ei=2MT0XrvGGM-vytMP1OyDgAY&amp;q=site%3Alinkedin.com+Dominic+Romávila+Sr.+University+Recruiter,+Technical+Indeed.com</t>
  </si>
  <si>
    <t>Steve Marks</t>
  </si>
  <si>
    <t>https://www.google.com/search?newwindow=1&amp;ei=2MT0XrvGGM-vytMP1OyDgAY&amp;q=site%3Alinkedin.com+Steve+Marks+University+Recruiter+Indeed.com</t>
  </si>
  <si>
    <t>Rachel Kucharik</t>
  </si>
  <si>
    <t>Technical Recruiter - Campus</t>
  </si>
  <si>
    <t>Infosys</t>
  </si>
  <si>
    <t>Basking Ridge</t>
  </si>
  <si>
    <t>https://www.google.com/search?newwindow=1&amp;ei=2MT0XrvGGM-vytMP1OyDgAY&amp;q=site%3Alinkedin.com+Rachel+Kucharik+Technical+Recruiter+-+Campus+Infosys</t>
  </si>
  <si>
    <t>Rebecca Hou</t>
  </si>
  <si>
    <t>Boonton</t>
  </si>
  <si>
    <t>https://www.google.com/search?newwindow=1&amp;ei=2MT0XrvGGM-vytMP1OyDgAY&amp;q=site%3Alinkedin.com+Rebecca+Hou+Campus+Recruiter+Infosys</t>
  </si>
  <si>
    <t>Alexandria Perry</t>
  </si>
  <si>
    <t>IT Campus Recruiter</t>
  </si>
  <si>
    <t>https://www.google.com/search?newwindow=1&amp;ei=2MT0XrvGGM-vytMP1OyDgAY&amp;q=site%3Alinkedin.com+Alexandria+Perry+IT+Campus+Recruiter+Infosys</t>
  </si>
  <si>
    <t>Christopher Ha</t>
  </si>
  <si>
    <t>https://www.google.com/search?newwindow=1&amp;ei=2MT0XrvGGM-vytMP1OyDgAY&amp;q=site%3Alinkedin.com+Christopher+Ha+Campus+Recruiter+Infosys</t>
  </si>
  <si>
    <t>Nanci Ferrari</t>
  </si>
  <si>
    <t>Practice Lead - Campus Recruiting / Diversity Recruting</t>
  </si>
  <si>
    <t>https://www.google.com/search?newwindow=1&amp;ei=2MT0XrvGGM-vytMP1OyDgAY&amp;q=site%3Alinkedin.com+Nanci+Ferrari+Practice+Lead+-+Campus+Recruiting+/+Diversity+Recruting+Infosys</t>
  </si>
  <si>
    <t>Darren Khong</t>
  </si>
  <si>
    <t>https://www.google.com/search?newwindow=1&amp;ei=2MT0XrvGGM-vytMP1OyDgAY&amp;q=site%3Alinkedin.com+Darren+Khong+Campus+Recruiter+Infosys</t>
  </si>
  <si>
    <t>Amber G.</t>
  </si>
  <si>
    <t>Campus Recruiter / Talent Acquisition</t>
  </si>
  <si>
    <t>https://www.google.com/search?newwindow=1&amp;ei=2MT0XrvGGM-vytMP1OyDgAY&amp;q=site%3Alinkedin.com+Amber+G.+Campus+Recruiter+/+Talent+Acquisition+Infosys</t>
  </si>
  <si>
    <t>Deanna Ingram</t>
  </si>
  <si>
    <t>College Recruiter / Talent Advisor</t>
  </si>
  <si>
    <t>Intel Corporation</t>
  </si>
  <si>
    <t>30 years 10 months in role and company</t>
  </si>
  <si>
    <t>Albuquerque</t>
  </si>
  <si>
    <t>New Mexico</t>
  </si>
  <si>
    <t>https://www.google.com/search?newwindow=1&amp;ei=2MT0XrvGGM-vytMP1OyDgAY&amp;q=site%3Alinkedin.com+Deanna+Ingram+College+Recruiter+/+Talent+Advisor+Intel+Corporation</t>
  </si>
  <si>
    <t>Lagacia Sims</t>
  </si>
  <si>
    <t>Customer Graphics Software Program Manager</t>
  </si>
  <si>
    <t>Folsom</t>
  </si>
  <si>
    <t>https://www.google.com/search?newwindow=1&amp;ei=2MT0XrvGGM-vytMP1OyDgAY&amp;q=site%3Alinkedin.com+Lagacia+Sims+Customer+Graphics+Software+Program+Manager+Intel+Corporation</t>
  </si>
  <si>
    <t>Jason Clark</t>
  </si>
  <si>
    <t>TD/OEM Materials Manager and College Campus Recruiter for Penn State and Rutgers</t>
  </si>
  <si>
    <t>Lake Oswego</t>
  </si>
  <si>
    <t>https://www.google.com/search?newwindow=1&amp;ei=2MT0XrvGGM-vytMP1OyDgAY&amp;q=site%3Alinkedin.com+Jason+Clark+TD/OEM+Materials+Manager+and+College+Campus+Recruiter+for+Penn+State+and+Rutgers+Intel+Corporation</t>
  </si>
  <si>
    <t>Michael Cvelbar</t>
  </si>
  <si>
    <t>Tempe</t>
  </si>
  <si>
    <t>https://www.google.com/search?newwindow=1&amp;ei=2MT0XrvGGM-vytMP1OyDgAY&amp;q=site%3Alinkedin.com+Michael+Cvelbar+Campus+Recruiting+Manager+Intel+Corporation</t>
  </si>
  <si>
    <t>Mac Carpenter</t>
  </si>
  <si>
    <t>Intuit</t>
  </si>
  <si>
    <t>https://www.google.com/search?newwindow=1&amp;ei=2MT0XrvGGM-vytMP1OyDgAY&amp;q=site%3Alinkedin.com+Mac+Carpenter+University+Recruiter+Intuit</t>
  </si>
  <si>
    <t>Eric Pfeiffer</t>
  </si>
  <si>
    <t>https://www.google.com/search?newwindow=1&amp;ei=2MT0XrvGGM-vytMP1OyDgAY&amp;q=site%3Alinkedin.com+Eric+Pfeiffer+University+Recruiter+Intuit</t>
  </si>
  <si>
    <t>Elizabeth Klak</t>
  </si>
  <si>
    <t>https://www.google.com/search?newwindow=1&amp;ei=2MT0XrvGGM-vytMP1OyDgAY&amp;q=site%3Alinkedin.com+Elizabeth+Klak+University+Recruiter+Intuit</t>
  </si>
  <si>
    <t>Cindy Ng</t>
  </si>
  <si>
    <t>https://www.google.com/search?newwindow=1&amp;ei=2MT0XrvGGM-vytMP1OyDgAY&amp;q=site%3Alinkedin.com+Cindy+Ng+University+Recruiter+Intuit</t>
  </si>
  <si>
    <t>Ailina Heim</t>
  </si>
  <si>
    <t>https://www.google.com/search?newwindow=1&amp;ei=2MT0XrvGGM-vytMP1OyDgAY&amp;q=site%3Alinkedin.com+Ailina+Heim+Senior+University+Recruiter+Intuit</t>
  </si>
  <si>
    <t>Lindsay Birtcil</t>
  </si>
  <si>
    <t>https://www.google.com/search?newwindow=1&amp;ei=2MT0XrvGGM-vytMP1OyDgAY&amp;q=site%3Alinkedin.com+Lindsay+Birtcil+University+Recruiter+Intuit</t>
  </si>
  <si>
    <t>Margo Garcia</t>
  </si>
  <si>
    <t>Senior University Recruiter, MBA &amp; Early Career</t>
  </si>
  <si>
    <t>https://www.google.com/search?newwindow=1&amp;ei=2MT0XrvGGM-vytMP1OyDgAY&amp;q=site%3Alinkedin.com+Margo+Garcia+Senior+University+Recruiter,+MBA+&amp;+Early+Career+Intuit</t>
  </si>
  <si>
    <t>Kacie Kaneyuki</t>
  </si>
  <si>
    <t>University Recruiter: Technology</t>
  </si>
  <si>
    <t>https://www.google.com/search?newwindow=1&amp;ei=2MT0XrvGGM-vytMP1OyDgAY&amp;q=site%3Alinkedin.com+Kacie+Kaneyuki+University+Recruiter:+Technology+Intuit</t>
  </si>
  <si>
    <t>Krista Corsentino</t>
  </si>
  <si>
    <t>Talent Solutions - Intuit University Talent Acquisition Manager</t>
  </si>
  <si>
    <t>https://www.google.com/search?newwindow=1&amp;ei=2MT0XrvGGM-vytMP1OyDgAY&amp;q=site%3Alinkedin.com+Krista+Corsentino+Talent+Solutions+-+Intuit+University+Talent+Acquisition+Manager+Intuit</t>
  </si>
  <si>
    <t>Erin Kennedy Allen, PHR</t>
  </si>
  <si>
    <t>John Deere</t>
  </si>
  <si>
    <t>12 years 9 months in role</t>
  </si>
  <si>
    <t>Davenport</t>
  </si>
  <si>
    <t>https://www.google.com/search?newwindow=1&amp;ei=2MT0XrvGGM-vytMP1OyDgAY&amp;q=site%3Alinkedin.com+Erin+Kennedy+Allen,+PHR+College+Recruiter+John+Deere</t>
  </si>
  <si>
    <t>Liz Kutzman</t>
  </si>
  <si>
    <t>Moline</t>
  </si>
  <si>
    <t>https://www.google.com/search?newwindow=1&amp;ei=2MT0XrvGGM-vytMP1OyDgAY&amp;q=site%3Alinkedin.com+Liz+Kutzman+University+Relations+Recruiter+John+Deere</t>
  </si>
  <si>
    <t>Mary Ann Lindsay</t>
  </si>
  <si>
    <t>Retired University Relations Recruiter</t>
  </si>
  <si>
    <t>https://www.google.com/search?newwindow=1&amp;ei=2MT0XrvGGM-vytMP1OyDgAY&amp;q=site%3Alinkedin.com+Mary+Ann+Lindsay+Retired+University+Relations+Recruiter+John+Deere</t>
  </si>
  <si>
    <t>Megan Osterberg</t>
  </si>
  <si>
    <t>https://www.google.com/search?newwindow=1&amp;ei=2MT0XrvGGM-vytMP1OyDgAY&amp;q=site%3Alinkedin.com+Megan+Osterberg+University+Relations+Recruiter+John+Deere</t>
  </si>
  <si>
    <t>Krystal Brindley</t>
  </si>
  <si>
    <t>HR Leader, University Recruiting</t>
  </si>
  <si>
    <t>Johnson &amp; Johnson</t>
  </si>
  <si>
    <t>Mulberry</t>
  </si>
  <si>
    <t>https://www.google.com/search?newwindow=1&amp;ei=2MT0XrvGGM-vytMP1OyDgAY&amp;q=site%3Alinkedin.com+Krystal+Brindley+HR+Leader,+University+Recruiting+Johnson+&amp;+Johnson</t>
  </si>
  <si>
    <t>Theresa Edwards</t>
  </si>
  <si>
    <t>Skillman</t>
  </si>
  <si>
    <t>https://www.google.com/search?newwindow=1&amp;ei=2MT0XrvGGM-vytMP1OyDgAY&amp;q=site%3Alinkedin.com+Theresa+Edwards+University+Recruiter+Johnson+&amp;+Johnson</t>
  </si>
  <si>
    <t>Caitlin O'Shea</t>
  </si>
  <si>
    <t>Sr. University Pipeline Recruiter</t>
  </si>
  <si>
    <t>St Petersburg</t>
  </si>
  <si>
    <t>https://www.google.com/search?newwindow=1&amp;ei=2MT0XrvGGM-vytMP1OyDgAY&amp;q=site%3Alinkedin.com+Caitlin+O'Shea+Sr.+University+Pipeline+Recruiter+Johnson+&amp;+Johnson</t>
  </si>
  <si>
    <t>Danielle Sims</t>
  </si>
  <si>
    <t>University Recruiter via Kelly OCG</t>
  </si>
  <si>
    <t>https://www.google.com/search?newwindow=1&amp;ei=2MT0XrvGGM-vytMP1OyDgAY&amp;q=site%3Alinkedin.com+Danielle+Sims+University+Recruiter+via+Kelly+OCG+Johnson+&amp;+Johnson</t>
  </si>
  <si>
    <t>Gabriela Ferra, TSC, CSP</t>
  </si>
  <si>
    <t>Talent Acquisition Specialist, University Workforce Recruiter</t>
  </si>
  <si>
    <t>https://www.google.com/search?newwindow=1&amp;ei=2MT0XrvGGM-vytMP1OyDgAY&amp;q=site%3Alinkedin.com+Gabriela+Ferra,+TSC,+CSP+Talent+Acquisition+Specialist,+University+Workforce+Recruiter+Johnson+&amp;+Johnson</t>
  </si>
  <si>
    <t>Logan McBride, PHR, MBA</t>
  </si>
  <si>
    <t>JPL (NASA's Jet Propulsion Laboratory)</t>
  </si>
  <si>
    <t>Pasadena</t>
  </si>
  <si>
    <t>https://www.google.com/search?newwindow=1&amp;ei=2MT0XrvGGM-vytMP1OyDgAY&amp;q=site%3Alinkedin.com+Logan+McBride,+PHR,+MBA+University+Recruiter+JPL+(NASA's+Jet+Propulsion+Laboratory)</t>
  </si>
  <si>
    <t>Chelsea Manowczak</t>
  </si>
  <si>
    <t>JPMorgan Chase</t>
  </si>
  <si>
    <t>https://www.google.com/search?newwindow=1&amp;ei=2MT0XrvGGM-vytMP1OyDgAY&amp;q=site%3Alinkedin.com+Chelsea+Manowczak+Campus+Recruiter+J.P.+Morgan</t>
  </si>
  <si>
    <t>Elizabeth Naylor</t>
  </si>
  <si>
    <t>Campus Recruiting &amp; Analyst Program Manager</t>
  </si>
  <si>
    <t>7 years 3 months in role</t>
  </si>
  <si>
    <t>https://www.google.com/search?newwindow=1&amp;ei=2MT0XrvGGM-vytMP1OyDgAY&amp;q=site%3Alinkedin.com+Elizabeth+Naylor+Campus+Recruiting+&amp;+Analyst+Program+Manager+J.P.+Morgan</t>
  </si>
  <si>
    <t>Wanda Mendez</t>
  </si>
  <si>
    <t>https://www.google.com/search?newwindow=1&amp;ei=2MT0XrvGGM-vytMP1OyDgAY&amp;q=site%3Alinkedin.com+Wanda+Mendez+Campus+Recruiter+J.P.+Morgan</t>
  </si>
  <si>
    <t>Mitchel Pardes</t>
  </si>
  <si>
    <t>Campus Recruiter, AI &amp; Machine Learning / Quantitative Research</t>
  </si>
  <si>
    <t>https://www.google.com/search?newwindow=1&amp;ei=2MT0XrvGGM-vytMP1OyDgAY&amp;q=site%3Alinkedin.com+Mitchel+Pardes+Campus+Recruiter,+AI+&amp;+Machine+Learning+/+Quantitative+Research+J.P.+Morgan</t>
  </si>
  <si>
    <t>Ana Sofia Silva</t>
  </si>
  <si>
    <t>Asset &amp; Wealth Management Campus Recruiter</t>
  </si>
  <si>
    <t>https://www.google.com/search?newwindow=1&amp;ei=2MT0XrvGGM-vytMP1OyDgAY&amp;q=site%3Alinkedin.com+Ana+Sofia+Silva+Asset+&amp;+Wealth+Management+Campus+Recruiter+J.P.+Morgan</t>
  </si>
  <si>
    <t>Michelle Hall</t>
  </si>
  <si>
    <t>Senior Wealth Management Campus Recruiter</t>
  </si>
  <si>
    <t>Ponte Vedra Beach</t>
  </si>
  <si>
    <t>https://www.google.com/search?newwindow=1&amp;ei=2MT0XrvGGM-vytMP1OyDgAY&amp;q=site%3Alinkedin.com+Michelle+Hall+Senior+Wealth+Management+Campus+Recruiter+J.P.+Morgan</t>
  </si>
  <si>
    <t>Amy Benton</t>
  </si>
  <si>
    <t>Human Resources, Firmwide Campus Recruiting Operations Manager</t>
  </si>
  <si>
    <t>Bear</t>
  </si>
  <si>
    <t>https://www.google.com/search?newwindow=1&amp;ei=2MT0XrvGGM-vytMP1OyDgAY&amp;q=site%3Alinkedin.com+Amy+Benton+Human+Resources,+Firmwide+Campus+Recruiting+Operations+Manager+JPMorgan+Chase</t>
  </si>
  <si>
    <t>Kate Cooper</t>
  </si>
  <si>
    <t>University Relations - Recruiter</t>
  </si>
  <si>
    <t>9 years 9 months in role</t>
  </si>
  <si>
    <t>https://www.google.com/search?newwindow=1&amp;ei=2MT0XrvGGM-vytMP1OyDgAY&amp;q=site%3Alinkedin.com+Kate+Cooper+University+Relations+-+Recruiter+JPMorgan+Chase</t>
  </si>
  <si>
    <t>Giselle Abreu</t>
  </si>
  <si>
    <t>https://www.google.com/search?newwindow=1&amp;ei=2MT0XrvGGM-vytMP1OyDgAY&amp;q=site%3Alinkedin.com+Giselle+Abreu+Associate+Campus+Recruiter+JPMorgan+Chase+&amp;+Co.</t>
  </si>
  <si>
    <t>Blake Johnson</t>
  </si>
  <si>
    <t>Firmwide Diversity Campus Recruiting</t>
  </si>
  <si>
    <t>https://www.google.com/search?newwindow=1&amp;ei=2MT0XrvGGM-vytMP1OyDgAY&amp;q=site%3Alinkedin.com+Blake+Johnson+Firmwide+Diversity+Campus+Recruiting+JPMorgan+Chase+&amp;+Co.</t>
  </si>
  <si>
    <t>Samantha Mastellone</t>
  </si>
  <si>
    <t>https://www.google.com/search?newwindow=1&amp;ei=2MT0XrvGGM-vytMP1OyDgAY&amp;q=site%3Alinkedin.com+Samantha+Mastellone+Associate+Campus+Recruiter+JPMorgan+Chase+&amp;+Co.</t>
  </si>
  <si>
    <t>Julie Cochran</t>
  </si>
  <si>
    <t>Campus Recruiter, Corporate and Investment Bank</t>
  </si>
  <si>
    <t>https://www.google.com/search?newwindow=1&amp;ei=2MT0XrvGGM-vytMP1OyDgAY&amp;q=site%3Alinkedin.com+Julie+Cochran+Campus+Recruiter,+Corporate+and+Investment+Bank+JPMorgan+Chase+&amp;+Co.</t>
  </si>
  <si>
    <t>Alexia Sharell Winfield</t>
  </si>
  <si>
    <t>Culture Solutions Program Manager</t>
  </si>
  <si>
    <t>https://www.google.com/search?newwindow=1&amp;ei=2MT0XrvGGM-vytMP1OyDgAY&amp;q=site%3Alinkedin.com+Alexia+Sharell+Winfield+Culture+Solutions+Program+Manager+JPMorgan+Chase+&amp;+Co.</t>
  </si>
  <si>
    <t>Khevna M.</t>
  </si>
  <si>
    <t>Associate, Campus Recruiter</t>
  </si>
  <si>
    <t>https://www.google.com/search?newwindow=1&amp;ei=2MT0XrvGGM-vytMP1OyDgAY&amp;q=site%3Alinkedin.com+Khevna+M.+Associate,+Campus+Recruiter+JPMorgan+Chase+&amp;+Co.</t>
  </si>
  <si>
    <t>Emily R. Bishop</t>
  </si>
  <si>
    <t>https://www.google.com/search?newwindow=1&amp;ei=2MT0XrvGGM-vytMP1OyDgAY&amp;q=site%3Alinkedin.com+Emily+R.+Bishop+Campus+Recruiter+JPMorgan+Chase+&amp;+Co.</t>
  </si>
  <si>
    <t>Samantha J.</t>
  </si>
  <si>
    <t>https://www.google.com/search?newwindow=1&amp;ei=2MT0XrvGGM-vytMP1OyDgAY&amp;q=site%3Alinkedin.com+Samantha+J.+Associate+Campus+Recruiter+JPMorgan+Chase+&amp;+Co.</t>
  </si>
  <si>
    <t>Commercial Bank Campus Recruiter</t>
  </si>
  <si>
    <t>https://www.google.com/search?newwindow=1&amp;ei=2MT0XrvGGM-vytMP1OyDgAY&amp;q=site%3Alinkedin.com+Allie+McMahon+Commercial+Bank+Campus+Recruiter+JPMorgan+Chase+&amp;+Co.</t>
  </si>
  <si>
    <t>Lindsey Sepich</t>
  </si>
  <si>
    <t>https://www.google.com/search?newwindow=1&amp;ei=2MT0XrvGGM-vytMP1OyDgAY&amp;q=site%3Alinkedin.com+Lindsey+Sepich+Campus+Recruiter+JPMorgan+Chase+&amp;+Co.</t>
  </si>
  <si>
    <t>Emily D'Aoust</t>
  </si>
  <si>
    <t>Corporate &amp; Investment Bank Campus Recruiter</t>
  </si>
  <si>
    <t>Fort Worth</t>
  </si>
  <si>
    <t>https://www.google.com/search?newwindow=1&amp;ei=2MT0XrvGGM-vytMP1OyDgAY&amp;q=site%3Alinkedin.com+Emily+D'Aoust+Corporate+&amp;+Investment+Bank+Campus+Recruiter+JPMorgan+Chase+&amp;+Co.</t>
  </si>
  <si>
    <t>Jessica Westlund</t>
  </si>
  <si>
    <t>Senior Associate- Campus Recruiter- Software Engineer Program</t>
  </si>
  <si>
    <t>Frisco</t>
  </si>
  <si>
    <t>https://www.google.com/search?newwindow=1&amp;ei=2MT0XrvGGM-vytMP1OyDgAY&amp;q=site%3Alinkedin.com+Jessica+Westlund+Senior+Associate-+Campus+Recruiter-+Software+Engineer+Program+JPMorgan+Chase+&amp;+Co.</t>
  </si>
  <si>
    <t>Sarah Ocasio</t>
  </si>
  <si>
    <t>Vice President, Campus Recruiting</t>
  </si>
  <si>
    <t>Harrington Park</t>
  </si>
  <si>
    <t>https://www.google.com/search?newwindow=1&amp;ei=2MT0XrvGGM-vytMP1OyDgAY&amp;q=site%3Alinkedin.com+Sarah+Ocasio+Vice+President,+Campus+Recruiting+JPMorgan+Chase+&amp;+Co.</t>
  </si>
  <si>
    <t>Dana Deats</t>
  </si>
  <si>
    <t>https://www.google.com/search?newwindow=1&amp;ei=2MT0XrvGGM-vytMP1OyDgAY&amp;q=site%3Alinkedin.com+Dana+Deats+Campus+Recruiter+JPMorgan+Chase+&amp;+Co.</t>
  </si>
  <si>
    <t>Sarah Abt</t>
  </si>
  <si>
    <t>https://www.google.com/search?newwindow=1&amp;ei=2MT0XrvGGM-vytMP1OyDgAY&amp;q=site%3Alinkedin.com+Sarah+Abt+Campus+Recruiting+Manager+JPMorgan+Chase+&amp;+Co.</t>
  </si>
  <si>
    <t>Megan Armellini</t>
  </si>
  <si>
    <t>https://www.google.com/search?newwindow=1&amp;ei=2MT0XrvGGM-vytMP1OyDgAY&amp;q=site%3Alinkedin.com+Megan+Armellini+Campus+Recruiting+Manager+JPMorgan+Chase+&amp;+Co.</t>
  </si>
  <si>
    <t>Vincent Plantamura</t>
  </si>
  <si>
    <t>Senior Campus Recruiter, Software Engineer Program</t>
  </si>
  <si>
    <t>https://www.google.com/search?newwindow=1&amp;ei=2MT0XrvGGM-vytMP1OyDgAY&amp;q=site%3Alinkedin.com+Vincent+Plantamura+Senior+Campus+Recruiter,+Software+Engineer+Program+JPMorgan+Chase+&amp;+Co.</t>
  </si>
  <si>
    <t>Tori Bezoza</t>
  </si>
  <si>
    <t>Lead Tech Campus Recruiter &amp; Campus Process Management Advisor,  Software Engineer Program</t>
  </si>
  <si>
    <t>https://www.google.com/search?newwindow=1&amp;ei=2MT0XrvGGM-vytMP1OyDgAY&amp;q=site%3Alinkedin.com+Tori+Bezoza+Lead+Tech+Campus+Recruiter+&amp;+Campus+Process+Management+Advisor,++Software+Engineer+Program+JPMorgan+Chase+&amp;+Co.</t>
  </si>
  <si>
    <t>Alexis Polanco, MS</t>
  </si>
  <si>
    <t>Global Markets Lead Recruiter, Vice President</t>
  </si>
  <si>
    <t>https://www.google.com/search?newwindow=1&amp;ei=2MT0XrvGGM-vytMP1OyDgAY&amp;q=site%3Alinkedin.com+Alexis+Polanco,+MS+Global+Markets+Lead+Recruiter,+Vice+President+JPMorgan+Chase+&amp;+Co.</t>
  </si>
  <si>
    <t>Talehia Traverso</t>
  </si>
  <si>
    <t>Campus Recruiter for Global Finance &amp; Business Management Internship Program</t>
  </si>
  <si>
    <t>Newark</t>
  </si>
  <si>
    <t>https://www.google.com/search?newwindow=1&amp;ei=2MT0XrvGGM-vytMP1OyDgAY&amp;q=site%3Alinkedin.com+Talehia+Traverso+Campus+Recruiter+for+Global+Finance+&amp;+Business+Management+Internship+Program+JPMorgan+Chase+&amp;+Co.</t>
  </si>
  <si>
    <t>Charlie Matthews</t>
  </si>
  <si>
    <t>https://www.google.com/search?newwindow=1&amp;ei=2MT0XrvGGM-vytMP1OyDgAY&amp;q=site%3Alinkedin.com+Charlie+Matthews+Campus+Recruiter+JPMorgan+Chase+&amp;+Co.</t>
  </si>
  <si>
    <t>Luisa Alona</t>
  </si>
  <si>
    <t>Oklahoma City</t>
  </si>
  <si>
    <t>Oklahoma</t>
  </si>
  <si>
    <t>https://www.google.com/search?newwindow=1&amp;ei=2MT0XrvGGM-vytMP1OyDgAY&amp;q=site%3Alinkedin.com+Luisa+Alona+Campus+Recruiter+JPMorgan+Chase+&amp;+Co.</t>
  </si>
  <si>
    <t>Chris D.</t>
  </si>
  <si>
    <t>Vice President, NAMR Campus Recruiting Ops Manager</t>
  </si>
  <si>
    <t>https://www.google.com/search?newwindow=1&amp;ei=2MT0XrvGGM-vytMP1OyDgAY&amp;q=site%3Alinkedin.com+Chris+D.+Vice+President,+NAMR+Campus+Recruiting+Ops+Manager+JPMorgan+Chase+&amp;+Co.</t>
  </si>
  <si>
    <t>Sara Jellinek</t>
  </si>
  <si>
    <t>Associate, MBA Campus Recruiter</t>
  </si>
  <si>
    <t>https://www.google.com/search?newwindow=1&amp;ei=2MT0XrvGGM-vytMP1OyDgAY&amp;q=site%3Alinkedin.com+Sara+Jellinek+Associate,+MBA+Campus+Recruiter+JPMorgan+Chase+&amp;+Co.</t>
  </si>
  <si>
    <t>Haley Blackman</t>
  </si>
  <si>
    <t>Campus Recruiter, Consumer and Community Banking</t>
  </si>
  <si>
    <t>https://www.google.com/search?newwindow=1&amp;ei=2MT0XrvGGM-vytMP1OyDgAY&amp;q=site%3Alinkedin.com+Haley+Blackman+Campus+Recruiter,+Consumer+and+Community+Banking+JPMorgan+Chase+&amp;+Co.</t>
  </si>
  <si>
    <t>Kathryn Finley</t>
  </si>
  <si>
    <t>Campus Recruiter, Asset &amp; Wealth Management</t>
  </si>
  <si>
    <t>https://www.google.com/search?newwindow=1&amp;ei=2MT0XrvGGM-vytMP1OyDgAY&amp;q=site%3Alinkedin.com+Kathryn+Finley+Campus+Recruiter,+Asset+&amp;+Wealth+Management+JPMorgan+Chase+&amp;+Co.</t>
  </si>
  <si>
    <t>Tiffany N. Sheffield</t>
  </si>
  <si>
    <t>Campus Recruiter, Consumer and Community Bank</t>
  </si>
  <si>
    <t>https://www.google.com/search?newwindow=1&amp;ei=2MT0XrvGGM-vytMP1OyDgAY&amp;q=site%3Alinkedin.com+Tiffany+N.+Sheffield+Campus+Recruiter,+Consumer+and+Community+Bank+JPMorgan+Chase+&amp;+Co.</t>
  </si>
  <si>
    <t>Sema'j Reed</t>
  </si>
  <si>
    <t>Global Finance &amp; Business Management Campus Recruiter</t>
  </si>
  <si>
    <t>https://www.google.com/search?newwindow=1&amp;ei=2MT0XrvGGM-vytMP1OyDgAY&amp;q=site%3Alinkedin.com+Sema'j+Reed+Global+Finance+&amp;+Business+Management+Campus+Recruiter+JPMorgan+Chase+&amp;+Co.</t>
  </si>
  <si>
    <t>Michael Pedroza</t>
  </si>
  <si>
    <t>Senior Associate - Campus Recruiter - HR and Internal Audit</t>
  </si>
  <si>
    <t>https://www.google.com/search?newwindow=1&amp;ei=2MT0XrvGGM-vytMP1OyDgAY&amp;q=site%3Alinkedin.com+Michael+Pedroza+Senior+Associate+-+Campus+Recruiter+-+HR+and+Internal+Audit+JPMorgan+Chase+&amp;+Co.</t>
  </si>
  <si>
    <t>Megan Lallo</t>
  </si>
  <si>
    <t>Campus &amp; Diversity Recruiting Manager</t>
  </si>
  <si>
    <t>KeyBank</t>
  </si>
  <si>
    <t>11 years 2 months in role and company</t>
  </si>
  <si>
    <t>https://www.google.com/search?newwindow=1&amp;ei=2MT0XrvGGM-vytMP1OyDgAY&amp;q=site%3Alinkedin.com+Megan+Lallo+Campus+&amp;+Diversity+Recruiting+Manager+KeyBank</t>
  </si>
  <si>
    <t>Jordan Green, MBA</t>
  </si>
  <si>
    <t>https://www.google.com/search?newwindow=1&amp;ei=2MT0XrvGGM-vytMP1OyDgAY&amp;q=site%3Alinkedin.com+Jordan+Green,+MBA+Campus+Recruiter+KeyBank</t>
  </si>
  <si>
    <t>Andrea Cole</t>
  </si>
  <si>
    <t>https://www.google.com/search?newwindow=1&amp;ei=2MT0XrvGGM-vytMP1OyDgAY&amp;q=site%3Alinkedin.com+Andrea+Cole+Campus+Recruiter+KeyBank</t>
  </si>
  <si>
    <t>Kelsey Knutty, MBA</t>
  </si>
  <si>
    <t>https://www.google.com/search?newwindow=1&amp;ei=2MT0XrvGGM-vytMP1OyDgAY&amp;q=site%3Alinkedin.com+Kelsey+Knutty,+MBA+Campus+Recruiter+KeyBank</t>
  </si>
  <si>
    <t>Sheila Byrne</t>
  </si>
  <si>
    <t>https://www.google.com/search?newwindow=1&amp;ei=2MT0XrvGGM-vytMP1OyDgAY&amp;q=site%3Alinkedin.com+Sheila+Byrne+Campus+Recruiter+KeyBank</t>
  </si>
  <si>
    <t>Brooke Weber</t>
  </si>
  <si>
    <t>https://www.google.com/search?newwindow=1&amp;ei=2MT0XrvGGM-vytMP1OyDgAY&amp;q=site%3Alinkedin.com+Brooke+Weber+Campus+Recruiter+KeyBank</t>
  </si>
  <si>
    <t>Hannah Post</t>
  </si>
  <si>
    <t>College Recruiter - Finance, IT &amp; Marketing</t>
  </si>
  <si>
    <t>Kimberly-Clark</t>
  </si>
  <si>
    <t>Appleton</t>
  </si>
  <si>
    <t>https://www.google.com/search?newwindow=1&amp;ei=2MT0XrvGGM-vytMP1OyDgAY&amp;q=site%3Alinkedin.com+Hannah+Post+College+Recruiter+-+Finance,+IT+&amp;+Marketing+Kimberly-Clark</t>
  </si>
  <si>
    <t>Lauren Sell</t>
  </si>
  <si>
    <t>https://www.google.com/search?newwindow=1&amp;ei=2MT0XrvGGM-vytMP1OyDgAY&amp;q=site%3Alinkedin.com+Lauren+Sell+College+Recruiter+Kimberly-Clark</t>
  </si>
  <si>
    <t>Kayla Masterson, SHRM- CP</t>
  </si>
  <si>
    <t>College Recruiter- Research &amp; Engineering</t>
  </si>
  <si>
    <t>Green Bay</t>
  </si>
  <si>
    <t>https://www.google.com/search?newwindow=1&amp;ei=2MT0XrvGGM-vytMP1OyDgAY&amp;q=site%3Alinkedin.com+Kayla+Masterson,+SHRM-+CP+College+Recruiter-+Research+&amp;+Engineering+Kimberly-Clark</t>
  </si>
  <si>
    <t>Joann Milhaupt</t>
  </si>
  <si>
    <t>College Recruiter - Co-ops and Interns</t>
  </si>
  <si>
    <t>Neenah</t>
  </si>
  <si>
    <t>https://www.google.com/search?newwindow=1&amp;ei=2MT0XrvGGM-vytMP1OyDgAY&amp;q=site%3Alinkedin.com+Joann+Milhaupt+College+Recruiter+-+Co-ops+and+Interns+Kimberly-Clark</t>
  </si>
  <si>
    <t>Andy Salzwedel</t>
  </si>
  <si>
    <t>Stevens Point</t>
  </si>
  <si>
    <t>https://www.google.com/search?newwindow=1&amp;ei=2MT0XrvGGM-vytMP1OyDgAY&amp;q=site%3Alinkedin.com+Andy+Salzwedel+College+Recruiter+Kimberly-Clark</t>
  </si>
  <si>
    <t>Samantha Pierre-Alexander</t>
  </si>
  <si>
    <t>Kohl's</t>
  </si>
  <si>
    <t>https://www.google.com/search?newwindow=1&amp;ei=2MT0XrvGGM-vytMP1OyDgAY&amp;q=site%3Alinkedin.com+Samantha+Pierre-Alexander+Campus+Recruiter+Kohl's</t>
  </si>
  <si>
    <t>Angela Bangert</t>
  </si>
  <si>
    <t>Senior Recruiter University Relations</t>
  </si>
  <si>
    <t>Cedar Park</t>
  </si>
  <si>
    <t>https://www.google.com/search?newwindow=1&amp;ei=2MT0XrvGGM-vytMP1OyDgAY&amp;q=site%3Alinkedin.com+Angela+Bangert+Senior+Recruiter+University+Relations+Kohl's</t>
  </si>
  <si>
    <t>Eudulia Velez</t>
  </si>
  <si>
    <t>https://www.google.com/search?newwindow=1&amp;ei=2MT0XrvGGM-vytMP1OyDgAY&amp;q=site%3Alinkedin.com+Eudulia+Velez+Campus+Recruiter+Kohl's</t>
  </si>
  <si>
    <t>Ashlee Harry</t>
  </si>
  <si>
    <t>Fall NE Campus Team Recruiter</t>
  </si>
  <si>
    <t>Kingston</t>
  </si>
  <si>
    <t>https://www.google.com/search?newwindow=1&amp;ei=2MT0XrvGGM-vytMP1OyDgAY&amp;q=site%3Alinkedin.com+Ashlee+Harry+Fall+NE+Campus+Team+Recruiter+Kohl's</t>
  </si>
  <si>
    <t>Steven Bothwell</t>
  </si>
  <si>
    <t>Early Talent Campus Recruiter</t>
  </si>
  <si>
    <t>Mount Pleasant</t>
  </si>
  <si>
    <t>https://www.google.com/search?newwindow=1&amp;ei=2MT0XrvGGM-vytMP1OyDgAY&amp;q=site%3Alinkedin.com+Steven+Bothwell+Early+Talent+Campus+Recruiter+Kohl's</t>
  </si>
  <si>
    <t>Carina Hernandez</t>
  </si>
  <si>
    <t>Yuba City</t>
  </si>
  <si>
    <t>https://www.google.com/search?newwindow=1&amp;ei=2MT0XrvGGM-vytMP1OyDgAY&amp;q=site%3Alinkedin.com+Carina+Hernandez+Campus+Recruiter+Kohl's</t>
  </si>
  <si>
    <t>Omni Dean</t>
  </si>
  <si>
    <t>https://www.google.com/search?newwindow=1&amp;ei=2MT0XrvGGM-vytMP1OyDgAY&amp;q=site%3Alinkedin.com+Omni+Dean+Campus+Recruiting+Manager+kohl's+Department+Stores</t>
  </si>
  <si>
    <t>Gary Wegrzyn</t>
  </si>
  <si>
    <t>Digital Campus Recruiter</t>
  </si>
  <si>
    <t>https://www.google.com/search?newwindow=1&amp;ei=2MT0XrvGGM-vytMP1OyDgAY&amp;q=site%3Alinkedin.com+Gary+Wegrzyn+Digital+Campus+Recruiter+Kohl's+Department+Stores</t>
  </si>
  <si>
    <t>Tori Hoffman</t>
  </si>
  <si>
    <t>Early Talent Recruiter</t>
  </si>
  <si>
    <t>Exton</t>
  </si>
  <si>
    <t>https://www.google.com/search?newwindow=1&amp;ei=2MT0XrvGGM-vytMP1OyDgAY&amp;q=site%3Alinkedin.com+Tori+Hoffman+Early+Talent+Recruiter+Kohl's+Department+Stores</t>
  </si>
  <si>
    <t>Melissa Payne</t>
  </si>
  <si>
    <t>Campus Manager/Recruiter</t>
  </si>
  <si>
    <t>9 years 2 months in role and company</t>
  </si>
  <si>
    <t>Fayetteville</t>
  </si>
  <si>
    <t>Arkansas</t>
  </si>
  <si>
    <t>https://www.google.com/search?newwindow=1&amp;ei=2MT0XrvGGM-vytMP1OyDgAY&amp;q=site%3Alinkedin.com+Melissa+Payne+Campus+Manager/Recruiter+Kohl's+Department+Stores</t>
  </si>
  <si>
    <t>Erica Trotta</t>
  </si>
  <si>
    <t>Senior Executive Recruiter</t>
  </si>
  <si>
    <t>https://www.google.com/search?newwindow=1&amp;ei=2MT0XrvGGM-vytMP1OyDgAY&amp;q=site%3Alinkedin.com+Erica+Trotta+Senior+Executive+Recruiter+Kohl's+Department+Stores</t>
  </si>
  <si>
    <t>Michael Tran</t>
  </si>
  <si>
    <t>10 years 2 months in role</t>
  </si>
  <si>
    <t>https://www.google.com/search?newwindow=1&amp;ei=2MT0XrvGGM-vytMP1OyDgAY&amp;q=site%3Alinkedin.com+Michael+Tran+Campus+Recruiter+Kohl's+Department+Stores</t>
  </si>
  <si>
    <t>Annelisa Melendez</t>
  </si>
  <si>
    <t>On- Campus Recruiter</t>
  </si>
  <si>
    <t>Walworth County</t>
  </si>
  <si>
    <t>https://www.google.com/search?newwindow=1&amp;ei=2MT0XrvGGM-vytMP1OyDgAY&amp;q=site%3Alinkedin.com+Annelisa+Melendez+On-+Campus+Recruiter+Kohl's+Department+Stores</t>
  </si>
  <si>
    <t>Natalie Twilley</t>
  </si>
  <si>
    <t>Assistant Store Manager-Operations/Childrens, Footwear, and Home</t>
  </si>
  <si>
    <t>https://www.google.com/search?newwindow=1&amp;ei=2MT0XrvGGM-vytMP1OyDgAY&amp;q=site%3Alinkedin.com+Natalie+Twilley+Assistant+Store+Manager-Operations/Childrens,+Footwear,+and+Home+Kohl's+Department+Stores</t>
  </si>
  <si>
    <t>Jeannie LaDriere, MBA, CIR</t>
  </si>
  <si>
    <t>Pensacola</t>
  </si>
  <si>
    <t>https://www.google.com/search?newwindow=1&amp;ei=2MT0XrvGGM-vytMP1OyDgAY&amp;q=site%3Alinkedin.com+Jeannie+LaDriere,+MBA,+CIR+Senior+University+Recruiter+Korn+Ferry+on+HPE+Account</t>
  </si>
  <si>
    <t>Sarah Harari</t>
  </si>
  <si>
    <t>KPMG</t>
  </si>
  <si>
    <t>7 years  in role and company</t>
  </si>
  <si>
    <t>https://www.google.com/search?newwindow=1&amp;ei=2MT0XrvGGM-vytMP1OyDgAY&amp;q=site%3Alinkedin.com+Sarah+Harari+Manager,+Campus+Recruiting+KPMG</t>
  </si>
  <si>
    <t>Li Steinberg</t>
  </si>
  <si>
    <t>https://www.google.com/search?newwindow=1&amp;ei=2MT0XrvGGM-vytMP1OyDgAY&amp;q=site%3Alinkedin.com+Li+Steinberg+Campus+Recruiting+Manager+KPMG</t>
  </si>
  <si>
    <t>Carly Merrell</t>
  </si>
  <si>
    <t>20 years  in role and company</t>
  </si>
  <si>
    <t>https://www.google.com/search?newwindow=1&amp;ei=2MT0XrvGGM-vytMP1OyDgAY&amp;q=site%3Alinkedin.com+Carly+Merrell+Campus+Recruiter+KPMG</t>
  </si>
  <si>
    <t>Danielle Watson</t>
  </si>
  <si>
    <t>Associate Director of Campus Recruiting, Advisory Services</t>
  </si>
  <si>
    <t>https://www.google.com/search?newwindow=1&amp;ei=2MT0XrvGGM-vytMP1OyDgAY&amp;q=site%3Alinkedin.com+Danielle+Watson+Associate+Director+of+Campus+Recruiting,+Advisory+Services+KPMG</t>
  </si>
  <si>
    <t>Sholon Rucker</t>
  </si>
  <si>
    <t>14 years  in role and company</t>
  </si>
  <si>
    <t>Conyers</t>
  </si>
  <si>
    <t>https://www.google.com/search?newwindow=1&amp;ei=2MT0XrvGGM-vytMP1OyDgAY&amp;q=site%3Alinkedin.com+Sholon+Rucker+Manager,+Campus+Recruiting+KPMG</t>
  </si>
  <si>
    <t>Kelsey Meza</t>
  </si>
  <si>
    <t>https://www.google.com/search?newwindow=1&amp;ei=2MT0XrvGGM-vytMP1OyDgAY&amp;q=site%3Alinkedin.com+Kelsey+Meza+Campus+Recruiter+KPMG</t>
  </si>
  <si>
    <t>María De Jesús Hurtado (she-her-hers)</t>
  </si>
  <si>
    <t>Senior Associate, Inclusion and Diversity Campus Recruiter</t>
  </si>
  <si>
    <t>https://www.google.com/search?newwindow=1&amp;ei=2MT0XrvGGM-vytMP1OyDgAY&amp;q=site%3Alinkedin.com+María+De+Jesús+Hurtado+(she-her-hers)+Senior+Associate,+Inclusion+and+Diversity+Campus+Recruiter+KPMG</t>
  </si>
  <si>
    <t>Sara Condino</t>
  </si>
  <si>
    <t>https://www.google.com/search?newwindow=1&amp;ei=2MT0XrvGGM-vytMP1OyDgAY&amp;q=site%3Alinkedin.com+Sara+Condino+Campus+Recruiting+Manager+KPMG</t>
  </si>
  <si>
    <t>Nicole Yogi</t>
  </si>
  <si>
    <t>Audit Primary Recruiter, Campus Recruiting</t>
  </si>
  <si>
    <t>https://www.google.com/search?newwindow=1&amp;ei=2MT0XrvGGM-vytMP1OyDgAY&amp;q=site%3Alinkedin.com+Nicole+Yogi+Audit+Primary+Recruiter,+Campus+Recruiting+KPMG</t>
  </si>
  <si>
    <t>Natalie Holland, CPA</t>
  </si>
  <si>
    <t>Primary Tax Recruiter - Campus Recruiting</t>
  </si>
  <si>
    <t>https://www.google.com/search?newwindow=1&amp;ei=2MT0XrvGGM-vytMP1OyDgAY&amp;q=site%3Alinkedin.com+Natalie+Holland,+CPA+Primary+Tax+Recruiter+-+Campus+Recruiting+KPMG</t>
  </si>
  <si>
    <t>Shannon Kaiser</t>
  </si>
  <si>
    <t>22 years 3 months in role and company</t>
  </si>
  <si>
    <t>https://www.google.com/search?newwindow=1&amp;ei=2MT0XrvGGM-vytMP1OyDgAY&amp;q=site%3Alinkedin.com+Shannon+Kaiser+Campus+Recruiting+Manager+KPMG</t>
  </si>
  <si>
    <t>Laney Williams</t>
  </si>
  <si>
    <t>Senior Associate, Campus Recruiting</t>
  </si>
  <si>
    <t>Memphis</t>
  </si>
  <si>
    <t>https://www.google.com/search?newwindow=1&amp;ei=2MT0XrvGGM-vytMP1OyDgAY&amp;q=site%3Alinkedin.com+Laney+Williams+Senior+Associate,+Campus+Recruiting+KPMG</t>
  </si>
  <si>
    <t>Doreen Nakigudde</t>
  </si>
  <si>
    <t>https://www.google.com/search?newwindow=1&amp;ei=2MT0XrvGGM-vytMP1OyDgAY&amp;q=site%3Alinkedin.com+Doreen+Nakigudde+Campus+Recruiter+KPMG</t>
  </si>
  <si>
    <t>Misty Abston</t>
  </si>
  <si>
    <t>https://www.google.com/search?newwindow=1&amp;ei=2MT0XrvGGM-vytMP1OyDgAY&amp;q=site%3Alinkedin.com+Misty+Abston+Campus+Recruiter+KPMG</t>
  </si>
  <si>
    <t>Sandeep Draviam</t>
  </si>
  <si>
    <t>Inclusion and Diversity Manager, Campus Recruiting</t>
  </si>
  <si>
    <t>https://www.google.com/search?newwindow=1&amp;ei=2MT0XrvGGM-vytMP1OyDgAY&amp;q=site%3Alinkedin.com+Sandeep+Draviam+Inclusion+and+Diversity+Manager,+Campus+Recruiting+KPMG</t>
  </si>
  <si>
    <t>Janelle Huang</t>
  </si>
  <si>
    <t>Primary Recruiter, Campus Recruiting</t>
  </si>
  <si>
    <t>https://www.google.com/search?newwindow=1&amp;ei=2MT0XrvGGM-vytMP1OyDgAY&amp;q=site%3Alinkedin.com+Janelle+Huang+Primary+Recruiter,+Campus+Recruiting+KPMG</t>
  </si>
  <si>
    <t>Samantha Daly</t>
  </si>
  <si>
    <t>https://www.google.com/search?newwindow=1&amp;ei=2MT0XrvGGM-vytMP1OyDgAY&amp;q=site%3Alinkedin.com+Samantha+Daly+Associate+Campus+Recruiter+KPMG</t>
  </si>
  <si>
    <t>Katie Howland</t>
  </si>
  <si>
    <t>Training Manager</t>
  </si>
  <si>
    <t>https://www.google.com/search?newwindow=1&amp;ei=2MT0XrvGGM-vytMP1OyDgAY&amp;q=site%3Alinkedin.com+Katie+Howland+Training+Manager+KPMG</t>
  </si>
  <si>
    <t>Regina Manansala</t>
  </si>
  <si>
    <t>6 years 1 month in role</t>
  </si>
  <si>
    <t>https://www.google.com/search?newwindow=1&amp;ei=2MT0XrvGGM-vytMP1OyDgAY&amp;q=site%3Alinkedin.com+Regina+Manansala+Campus+Recruiting+Manager+KPMG</t>
  </si>
  <si>
    <t>Laura Vitale</t>
  </si>
  <si>
    <t>https://www.google.com/search?newwindow=1&amp;ei=2MT0XrvGGM-vytMP1OyDgAY&amp;q=site%3Alinkedin.com+Laura+Vitale+Manager,+Campus+Recruiting+KPMG</t>
  </si>
  <si>
    <t>Caitlin Pershe</t>
  </si>
  <si>
    <t>Manager</t>
  </si>
  <si>
    <t>https://www.google.com/search?newwindow=1&amp;ei=2MT0XrvGGM-vytMP1OyDgAY&amp;q=site%3Alinkedin.com+Caitlin+Pershe+Manager+KPMG</t>
  </si>
  <si>
    <t>Renee Blonde</t>
  </si>
  <si>
    <t>Roseville</t>
  </si>
  <si>
    <t>https://www.google.com/search?newwindow=1&amp;ei=2MT0XrvGGM-vytMP1OyDgAY&amp;q=site%3Alinkedin.com+Renee+Blonde+Campus+Recruiting+Manager+KPMG+global</t>
  </si>
  <si>
    <t>Kyri Gorges</t>
  </si>
  <si>
    <t>12 years 7 months in role</t>
  </si>
  <si>
    <t>https://www.google.com/search?newwindow=1&amp;ei=2MT0XrvGGM-vytMP1OyDgAY&amp;q=site%3Alinkedin.com+Kyri+Gorges+Manager,+Campus+Recruiting+KPMG+LLP</t>
  </si>
  <si>
    <t>Peter Bartok</t>
  </si>
  <si>
    <t>https://www.google.com/search?newwindow=1&amp;ei=2MT0XrvGGM-vytMP1OyDgAY&amp;q=site%3Alinkedin.com+Peter+Bartok+Campus+Recruiting+Manager+KPMG+LLP</t>
  </si>
  <si>
    <t>Delucious Patterson</t>
  </si>
  <si>
    <t>Alpharetta</t>
  </si>
  <si>
    <t>https://www.google.com/search?newwindow=1&amp;ei=2MT0XrvGGM-vytMP1OyDgAY&amp;q=site%3Alinkedin.com+Delucious+Patterson+Senior+Associate,+Inclusion+and+Diversity+Campus+Recruiter+KPMG+US</t>
  </si>
  <si>
    <t>Jennifer Rice</t>
  </si>
  <si>
    <t>https://www.google.com/search?newwindow=1&amp;ei=2MT0XrvGGM-vytMP1OyDgAY&amp;q=site%3Alinkedin.com+Jennifer+Rice+Manager,+Campus+Recruiting+KPMG+US</t>
  </si>
  <si>
    <t>Kristin Spivey</t>
  </si>
  <si>
    <t>Associate Director, Campus Recruiting</t>
  </si>
  <si>
    <t>https://www.google.com/search?newwindow=1&amp;ei=2MT0XrvGGM-vytMP1OyDgAY&amp;q=site%3Alinkedin.com+Kristin+Spivey+Associate+Director,+Campus+Recruiting+KPMG+US</t>
  </si>
  <si>
    <t>Melissa Miller</t>
  </si>
  <si>
    <t>https://www.google.com/search?newwindow=1&amp;ei=2MT0XrvGGM-vytMP1OyDgAY&amp;q=site%3Alinkedin.com+Melissa+Miller+Campus+Recruiter+KPMG+US</t>
  </si>
  <si>
    <t>Mary Nolan</t>
  </si>
  <si>
    <t>https://www.google.com/search?newwindow=1&amp;ei=2MT0XrvGGM-vytMP1OyDgAY&amp;q=site%3Alinkedin.com+Mary+Nolan+Campus+Recruiting+Manager+KPMG+US</t>
  </si>
  <si>
    <t>Kati Hood</t>
  </si>
  <si>
    <t>Associate Director, University Talent Acquisition</t>
  </si>
  <si>
    <t>https://www.google.com/search?newwindow=1&amp;ei=2MT0XrvGGM-vytMP1OyDgAY&amp;q=site%3Alinkedin.com+Kati+Hood+Associate+Director,+University+Talent+Acquisition+KPMG+US</t>
  </si>
  <si>
    <t>Taylor McKamy</t>
  </si>
  <si>
    <t>https://www.google.com/search?newwindow=1&amp;ei=2MT0XrvGGM-vytMP1OyDgAY&amp;q=site%3Alinkedin.com+Taylor+McKamy+Campus+Recruiting+Manager+KPMG+US</t>
  </si>
  <si>
    <t>Hannah Auer, CPA</t>
  </si>
  <si>
    <t>Senior Associate Campus Recruiter</t>
  </si>
  <si>
    <t>https://www.google.com/search?newwindow=1&amp;ei=2MT0XrvGGM-vytMP1OyDgAY&amp;q=site%3Alinkedin.com+Hannah+Auer,+CPA+Senior+Associate+Campus+Recruiter+KPMG+US</t>
  </si>
  <si>
    <t>Lindsay Herring</t>
  </si>
  <si>
    <t>https://www.google.com/search?newwindow=1&amp;ei=2MT0XrvGGM-vytMP1OyDgAY&amp;q=site%3Alinkedin.com+Lindsay+Herring+Campus+Recruiter+KPMG+US</t>
  </si>
  <si>
    <t>Laurel Miller Stone</t>
  </si>
  <si>
    <t>https://www.google.com/search?newwindow=1&amp;ei=2MT0XrvGGM-vytMP1OyDgAY&amp;q=site%3Alinkedin.com+Laurel+Miller+Stone+Associate+Director,+Campus+Recruiting+KPMG+US</t>
  </si>
  <si>
    <t>Lisa Francisco</t>
  </si>
  <si>
    <t>National Manager, Campus Recruiting &amp; University Relations</t>
  </si>
  <si>
    <t>https://www.google.com/search?newwindow=1&amp;ei=2MT0XrvGGM-vytMP1OyDgAY&amp;q=site%3Alinkedin.com+Lisa+Francisco+National+Manager,+Campus+Recruiting+&amp;+University+Relations+KPMG+US</t>
  </si>
  <si>
    <t>Haley Barton</t>
  </si>
  <si>
    <t>https://www.google.com/search?newwindow=1&amp;ei=2MT0XrvGGM-vytMP1OyDgAY&amp;q=site%3Alinkedin.com+Haley+Barton+Associate+Campus+Recruiter+KPMG+US</t>
  </si>
  <si>
    <t>Jessica Vittas (she, her, hers)</t>
  </si>
  <si>
    <t>Campus Development Manager: Campus Recruiting</t>
  </si>
  <si>
    <t>https://www.google.com/search?newwindow=1&amp;ei=2MT0XrvGGM-vytMP1OyDgAY&amp;q=site%3Alinkedin.com+Jessica+Vittas+(she,+her,+hers)+Campus+Development+Manager:+Campus+Recruiting+KPMG+US</t>
  </si>
  <si>
    <t>Liz Trevor</t>
  </si>
  <si>
    <t>Primary Recruiting Manager for LA/OC Advisory: Campus Recruiting</t>
  </si>
  <si>
    <t>https://www.google.com/search?newwindow=1&amp;ei=2MT0XrvGGM-vytMP1OyDgAY&amp;q=site%3Alinkedin.com+Liz+Trevor+Primary+Recruiting+Manager+for+LA/OC+Advisory:+Campus+Recruiting+KPMG+US</t>
  </si>
  <si>
    <t>Jennifer McCanty, MBA</t>
  </si>
  <si>
    <t>National Manager, Campus Recruiting</t>
  </si>
  <si>
    <t>Mount Bethel</t>
  </si>
  <si>
    <t>https://www.google.com/search?newwindow=1&amp;ei=2MT0XrvGGM-vytMP1OyDgAY&amp;q=site%3Alinkedin.com+Jennifer+McCanty,+MBA+National+Manager,+Campus+Recruiting+KPMG+US</t>
  </si>
  <si>
    <t>Jemima Sloggett</t>
  </si>
  <si>
    <t>https://www.google.com/search?newwindow=1&amp;ei=2MT0XrvGGM-vytMP1OyDgAY&amp;q=site%3Alinkedin.com+Jemima+Sloggett+Manager,+Campus+Recruiting+KPMG+US</t>
  </si>
  <si>
    <t>Jenna R.</t>
  </si>
  <si>
    <t>https://www.google.com/search?newwindow=1&amp;ei=2MT0XrvGGM-vytMP1OyDgAY&amp;q=site%3Alinkedin.com+Jenna+R.+Campus+Recruiting+Manager+KPMG+US</t>
  </si>
  <si>
    <t>Derrick Beggs, PHR CDR</t>
  </si>
  <si>
    <t>KMPG Campus Recruiting Manager</t>
  </si>
  <si>
    <t>Norcross</t>
  </si>
  <si>
    <t>https://www.google.com/search?newwindow=1&amp;ei=2MT0XrvGGM-vytMP1OyDgAY&amp;q=site%3Alinkedin.com+Derrick+Beggs,+PHR+CDR+KMPG+Campus+Recruiting+Manager+KPMG+US</t>
  </si>
  <si>
    <t>Becky Paseka, CPA</t>
  </si>
  <si>
    <t>https://www.google.com/search?newwindow=1&amp;ei=2MT0XrvGGM-vytMP1OyDgAY&amp;q=site%3Alinkedin.com+Becky+Paseka,+CPA+Campus+Recruiting+Manager+KPMG+US</t>
  </si>
  <si>
    <t>Alicia Mucci (she/her/hers)</t>
  </si>
  <si>
    <t>https://www.google.com/search?newwindow=1&amp;ei=2MT0XrvGGM-vytMP1OyDgAY&amp;q=site%3Alinkedin.com+Alicia+Mucci+(she/her/hers)+Manager,+Campus+Recruiting+KPMG+US</t>
  </si>
  <si>
    <t>Kate McClain</t>
  </si>
  <si>
    <t>https://www.google.com/search?newwindow=1&amp;ei=2MT0XrvGGM-vytMP1OyDgAY&amp;q=site%3Alinkedin.com+Kate+McClain+Campus+Recruiting+Manager+KPMG+US</t>
  </si>
  <si>
    <t>Allison Reams Newman</t>
  </si>
  <si>
    <t>https://www.google.com/search?newwindow=1&amp;ei=2MT0XrvGGM-vytMP1OyDgAY&amp;q=site%3Alinkedin.com+Allison+Reams+Newman+Primary+Recruiter,+Campus+Recruiting+KPMG+US</t>
  </si>
  <si>
    <t>Alsa Le Bailly</t>
  </si>
  <si>
    <t>https://www.google.com/search?newwindow=1&amp;ei=2MT0XrvGGM-vytMP1OyDgAY&amp;q=site%3Alinkedin.com+Alsa+Le+Bailly+Campus+Recruiter+KPMG+US</t>
  </si>
  <si>
    <t>Jennifer Stoch</t>
  </si>
  <si>
    <t>https://www.google.com/search?newwindow=1&amp;ei=2MT0XrvGGM-vytMP1OyDgAY&amp;q=site%3Alinkedin.com+Jennifer+Stoch+Associate+Campus+Recruiter+KPMG+US</t>
  </si>
  <si>
    <t>Avery Ching</t>
  </si>
  <si>
    <t>Senior Associate - Campus Recruiter</t>
  </si>
  <si>
    <t>https://www.google.com/search?newwindow=1&amp;ei=2MT0XrvGGM-vytMP1OyDgAY&amp;q=site%3Alinkedin.com+Avery+Ching+Senior+Associate+-+Campus+Recruiter+KPMG+US</t>
  </si>
  <si>
    <t>Naomi Kim</t>
  </si>
  <si>
    <t>https://www.google.com/search?newwindow=1&amp;ei=2MT0XrvGGM-vytMP1OyDgAY&amp;q=site%3Alinkedin.com+Naomi+Kim+Campus+Recruiting+Manager+KPMG+US</t>
  </si>
  <si>
    <t>Solveig Haugen</t>
  </si>
  <si>
    <t>https://www.google.com/search?newwindow=1&amp;ei=2MT0XrvGGM-vytMP1OyDgAY&amp;q=site%3Alinkedin.com+Solveig+Haugen+Campus+Recruiter+KPMG+US</t>
  </si>
  <si>
    <t>Sydney Leischner</t>
  </si>
  <si>
    <t>Short Hills</t>
  </si>
  <si>
    <t>https://www.google.com/search?newwindow=1&amp;ei=2MT0XrvGGM-vytMP1OyDgAY&amp;q=site%3Alinkedin.com+Sydney+Leischner+Manager,+Campus+Recruiting+KPMG+US</t>
  </si>
  <si>
    <t>Torie Prothro</t>
  </si>
  <si>
    <t>5 years 11 months in role</t>
  </si>
  <si>
    <t>Shreveport</t>
  </si>
  <si>
    <t>https://www.google.com/search?newwindow=1&amp;ei=2MT0XrvGGM-vytMP1OyDgAY&amp;q=site%3Alinkedin.com+Torie+Prothro+Campus+Recruiter+KPMG+US</t>
  </si>
  <si>
    <t>Marisa DiRocco</t>
  </si>
  <si>
    <t>Smithtown</t>
  </si>
  <si>
    <t>https://www.google.com/search?newwindow=1&amp;ei=2MT0XrvGGM-vytMP1OyDgAY&amp;q=site%3Alinkedin.com+Marisa+DiRocco+Manager,+Campus+Recruiting+KPMG+US</t>
  </si>
  <si>
    <t>Brianna Peipert</t>
  </si>
  <si>
    <t>https://www.google.com/search?newwindow=1&amp;ei=2MT0XrvGGM-vytMP1OyDgAY&amp;q=site%3Alinkedin.com+Brianna+Peipert+Associate+Campus+Recruiter+KPMG+US</t>
  </si>
  <si>
    <t>Renee T.</t>
  </si>
  <si>
    <t>Campus Recruiting Manager - Advisory &amp; Tax Primary Recruiter</t>
  </si>
  <si>
    <t>https://www.google.com/search?newwindow=1&amp;ei=2MT0XrvGGM-vytMP1OyDgAY&amp;q=site%3Alinkedin.com+Renee+T.+Campus+Recruiting+Manager+-+Advisory+&amp;+Tax+Primary+Recruiter+KPMG+US</t>
  </si>
  <si>
    <t>Erin Riley</t>
  </si>
  <si>
    <t>9 years 6 months in role and company</t>
  </si>
  <si>
    <t>https://www.google.com/search?newwindow=1&amp;ei=2MT0XrvGGM-vytMP1OyDgAY&amp;q=site%3Alinkedin.com+Erin+Riley+Campus+Recruiting+Manager+KPMG,+LLP</t>
  </si>
  <si>
    <t>Meghan Hughes Ostrowski</t>
  </si>
  <si>
    <t>Manager, Campus Recruiting, Structured Development Programs</t>
  </si>
  <si>
    <t>Liberty Mutual Insurance</t>
  </si>
  <si>
    <t>https://www.google.com/search?newwindow=1&amp;ei=2MT0XrvGGM-vytMP1OyDgAY&amp;q=site%3Alinkedin.com+Meghan+Hughes+Ostrowski+Manager,+Campus+Recruiting,+Structured+Development+Programs+Liberty+Mutual+Insurance</t>
  </si>
  <si>
    <t>Kelly Scott</t>
  </si>
  <si>
    <t>Diversity and Inclusion Program Manager, Campus Recruiting</t>
  </si>
  <si>
    <t>https://www.google.com/search?newwindow=1&amp;ei=2MT0XrvGGM-vytMP1OyDgAY&amp;q=site%3Alinkedin.com+Kelly+Scott+Diversity+and+Inclusion+Program+Manager,+Campus+Recruiting+Liberty+Mutual+Insurance</t>
  </si>
  <si>
    <t>Kimberly Myers</t>
  </si>
  <si>
    <t>https://www.google.com/search?newwindow=1&amp;ei=2MT0XrvGGM-vytMP1OyDgAY&amp;q=site%3Alinkedin.com+Kimberly+Myers+Campus+Recruiter+Liberty+Mutual+Insurance</t>
  </si>
  <si>
    <t>Paige Andrews (she/her)</t>
  </si>
  <si>
    <t>Senior Campus Recruiter, Finance, Accounting &amp; Investments</t>
  </si>
  <si>
    <t>https://www.google.com/search?newwindow=1&amp;ei=2MT0XrvGGM-vytMP1OyDgAY&amp;q=site%3Alinkedin.com+Paige+Andrews+(she/her)+Senior+Campus+Recruiter,+Finance,+Accounting+&amp;+Investments+Liberty+Mutual+Insurance</t>
  </si>
  <si>
    <t>Lauren Fitzgibbon</t>
  </si>
  <si>
    <t>4 years 9 months in role</t>
  </si>
  <si>
    <t>https://www.google.com/search?newwindow=1&amp;ei=2MT0XrvGGM-vytMP1OyDgAY&amp;q=site%3Alinkedin.com+Lauren+Fitzgibbon+Senior+Campus+Recruiter+Liberty+Mutual+Insurance</t>
  </si>
  <si>
    <t>Jessica Burke</t>
  </si>
  <si>
    <t>https://www.google.com/search?newwindow=1&amp;ei=2MT0XrvGGM-vytMP1OyDgAY&amp;q=site%3Alinkedin.com+Jessica+Burke+Senior+Campus+Recruiter+Liberty+Mutual+Insurance</t>
  </si>
  <si>
    <t>Daniel McCarthy</t>
  </si>
  <si>
    <t>https://www.google.com/search?newwindow=1&amp;ei=2MT0XrvGGM-vytMP1OyDgAY&amp;q=site%3Alinkedin.com+Daniel+McCarthy+Campus+Recruiter+Liberty+Mutual+Insurance</t>
  </si>
  <si>
    <t>MacKenzie Bachry (she, her)</t>
  </si>
  <si>
    <t>https://www.google.com/search?newwindow=1&amp;ei=2MT0XrvGGM-vytMP1OyDgAY&amp;q=site%3Alinkedin.com+MacKenzie+Bachry+(she,+her)+Senior+Campus+Recruiter+Liberty+Mutual+Insurance</t>
  </si>
  <si>
    <t>Allison Campbell</t>
  </si>
  <si>
    <t>Campus Recruiter Intern</t>
  </si>
  <si>
    <t>https://www.google.com/search?newwindow=1&amp;ei=2MT0XrvGGM-vytMP1OyDgAY&amp;q=site%3Alinkedin.com+Allison+Campbell+Campus+Recruiter+Intern+Liberty+Mutual+Insurance</t>
  </si>
  <si>
    <t>Jacquitta Pool</t>
  </si>
  <si>
    <t>Diversity and Inclusion Associate Program Manager, Campus Recruiting</t>
  </si>
  <si>
    <t>https://www.google.com/search?newwindow=1&amp;ei=2MT0XrvGGM-vytMP1OyDgAY&amp;q=site%3Alinkedin.com+Jacquitta+Pool+Diversity+and+Inclusion+Associate+Program+Manager,+Campus+Recruiting+Liberty+Mutual+Insurance</t>
  </si>
  <si>
    <t>Monica Vesprani</t>
  </si>
  <si>
    <t>Sr. Campus Recruiter, Information Technology</t>
  </si>
  <si>
    <t>https://www.google.com/search?newwindow=1&amp;ei=2MT0XrvGGM-vytMP1OyDgAY&amp;q=site%3Alinkedin.com+Monica+Vesprani+Sr.+Campus+Recruiter,+Information+Technology+Liberty+Mutual+Insurance</t>
  </si>
  <si>
    <t>Mindy Holt</t>
  </si>
  <si>
    <t>Senior Campus Recruiter I Tech</t>
  </si>
  <si>
    <t>https://www.google.com/search?newwindow=1&amp;ei=2MT0XrvGGM-vytMP1OyDgAY&amp;q=site%3Alinkedin.com+Mindy+Holt+Senior+Campus+Recruiter+I+Tech+Liberty+Mutual+Insurance</t>
  </si>
  <si>
    <t>8 years 4 months in role and company</t>
  </si>
  <si>
    <t>https://www.google.com/search?newwindow=1&amp;ei=2MT0XrvGGM-vytMP1OyDgAY&amp;q=site%3Alinkedin.com+Tiffany+Taylor+Campus+Recruiter+Liberty+Mutual+Insurance</t>
  </si>
  <si>
    <t>Ray' Vion Collins</t>
  </si>
  <si>
    <t>https://www.google.com/search?newwindow=1&amp;ei=2MT0XrvGGM-vytMP1OyDgAY&amp;q=site%3Alinkedin.com+Ray'+Vion+Collins+Campus+Recruiter+Liberty+Mutual+Insurance</t>
  </si>
  <si>
    <t>Auri Morris</t>
  </si>
  <si>
    <t>https://www.google.com/search?newwindow=1&amp;ei=2MT0XrvGGM-vytMP1OyDgAY&amp;q=site%3Alinkedin.com+Auri+Morris+Manager,+Campus+Recruiting+Liberty+Mutual+Insurance</t>
  </si>
  <si>
    <t>PJ Macom</t>
  </si>
  <si>
    <t>https://www.google.com/search?newwindow=1&amp;ei=2MT0XrvGGM-vytMP1OyDgAY&amp;q=site%3Alinkedin.com+PJ+Macom+Senior+Campus+Recruiter+Liberty+Mutual+Insurance</t>
  </si>
  <si>
    <t>Courtney Capano</t>
  </si>
  <si>
    <t>Campus Recruiter, Talent &amp; Enterprise Services</t>
  </si>
  <si>
    <t>Lynn</t>
  </si>
  <si>
    <t>https://www.google.com/search?newwindow=1&amp;ei=2MT0XrvGGM-vytMP1OyDgAY&amp;q=site%3Alinkedin.com+Courtney+Capano+Campus+Recruiter,+Talent+&amp;+Enterprise+Services+Liberty+Mutual+Insurance</t>
  </si>
  <si>
    <t>Alina Vela</t>
  </si>
  <si>
    <t>https://www.google.com/search?newwindow=1&amp;ei=2MT0XrvGGM-vytMP1OyDgAY&amp;q=site%3Alinkedin.com+Alina+Vela+Campus+Recruiter+Liberty+Mutual+Insurance</t>
  </si>
  <si>
    <t>Amy Ferreira</t>
  </si>
  <si>
    <t>Portsmouth</t>
  </si>
  <si>
    <t>New Hampshire</t>
  </si>
  <si>
    <t>https://www.google.com/search?newwindow=1&amp;ei=2MT0XrvGGM-vytMP1OyDgAY&amp;q=site%3Alinkedin.com+Amy+Ferreira+Campus+Recruiting+Manager+Liberty+Mutual+Insurance</t>
  </si>
  <si>
    <t>Kayla Wheaton</t>
  </si>
  <si>
    <t>https://www.google.com/search?newwindow=1&amp;ei=2MT0XrvGGM-vytMP1OyDgAY&amp;q=site%3Alinkedin.com+Kayla+Wheaton+Tech+Campus+Recruiter+Liberty+Mutual+Insurance</t>
  </si>
  <si>
    <t>Natalie Landry</t>
  </si>
  <si>
    <t>https://www.google.com/search?newwindow=1&amp;ei=2MT0XrvGGM-vytMP1OyDgAY&amp;q=site%3Alinkedin.com+Natalie+Landry+Senior+Campus+Recruiter+Liberty+Mutual+Insurance</t>
  </si>
  <si>
    <t>Steven Carnevale</t>
  </si>
  <si>
    <t>Quincy</t>
  </si>
  <si>
    <t>https://www.google.com/search?newwindow=1&amp;ei=2MT0XrvGGM-vytMP1OyDgAY&amp;q=site%3Alinkedin.com+Steven+Carnevale+Campus+Recruiter+Liberty+Mutual+Insurance</t>
  </si>
  <si>
    <t>Alyssa Nogueira</t>
  </si>
  <si>
    <t>Suffolk County</t>
  </si>
  <si>
    <t>https://www.google.com/search?newwindow=1&amp;ei=2MT0XrvGGM-vytMP1OyDgAY&amp;q=site%3Alinkedin.com+Alyssa+Nogueira+Campus+Recruiter+Liberty+Mutual+Insurance</t>
  </si>
  <si>
    <t>Christine Hardy</t>
  </si>
  <si>
    <t>Recruiter, Graduate Campus Programs</t>
  </si>
  <si>
    <t>https://www.google.com/search?newwindow=1&amp;ei=2MT0XrvGGM-vytMP1OyDgAY&amp;q=site%3Alinkedin.com+Christine+Hardy+Recruiter,+Graduate+Campus+Programs+Liberty+Mutual+Insurance</t>
  </si>
  <si>
    <t>Walpole</t>
  </si>
  <si>
    <t>Cam Pezet</t>
  </si>
  <si>
    <t>LinkedIn</t>
  </si>
  <si>
    <t>https://www.google.com/search?newwindow=1&amp;ei=2MT0XrvGGM-vytMP1OyDgAY&amp;q=site%3Alinkedin.com+Cam+Pezet+Senior+Campus+Recruiter+LinkedIn</t>
  </si>
  <si>
    <t>Bri Casner</t>
  </si>
  <si>
    <t>Senior Manager, Global Campus Recruiting</t>
  </si>
  <si>
    <t>https://www.google.com/search?newwindow=1&amp;ei=2MT0XrvGGM-vytMP1OyDgAY&amp;q=site%3Alinkedin.com+Bri+Casner+Senior+Manager,+Global+Campus+Recruiting+LinkedIn</t>
  </si>
  <si>
    <t>Annie McDonough</t>
  </si>
  <si>
    <t>https://www.google.com/search?newwindow=1&amp;ei=2MT0XrvGGM-vytMP1OyDgAY&amp;q=site%3Alinkedin.com+Annie+McDonough+Campus+Recruiter+LinkedIn</t>
  </si>
  <si>
    <t>Trixie Cordova (she/her)</t>
  </si>
  <si>
    <t>Campus Recruiting Global Program Manager</t>
  </si>
  <si>
    <t>https://www.google.com/search?newwindow=1&amp;ei=2MT0XrvGGM-vytMP1OyDgAY&amp;q=site%3Alinkedin.com+Trixie+Cordova+(she/her)+Campus+Recruiting+Global+Program+Manager+LinkedIn</t>
  </si>
  <si>
    <t>David Taylor (he/him)</t>
  </si>
  <si>
    <t>Recruiting Manager, Campus Tech</t>
  </si>
  <si>
    <t>https://www.google.com/search?newwindow=1&amp;ei=2MT0XrvGGM-vytMP1OyDgAY&amp;q=site%3Alinkedin.com+David+Taylor+(he/him)+Recruiting+Manager,+Campus+Tech+LinkedIn</t>
  </si>
  <si>
    <t>Travarus Fauntleroy</t>
  </si>
  <si>
    <t>Global Program Manager, Campus Recruiting</t>
  </si>
  <si>
    <t>https://www.google.com/search?newwindow=1&amp;ei=2MT0XrvGGM-vytMP1OyDgAY&amp;q=site%3Alinkedin.com+Travarus+Fauntleroy+Global+Program+Manager,+Campus+Recruiting+LinkedIn</t>
  </si>
  <si>
    <t>Son Nguyen</t>
  </si>
  <si>
    <t>Talent Acquisition Engagement Manager, Recruiting for Good</t>
  </si>
  <si>
    <t>https://www.google.com/search?newwindow=1&amp;ei=2MT0XrvGGM-vytMP1OyDgAY&amp;q=site%3Alinkedin.com+Son+Nguyen+Talent+Acquisition+Engagement+Manager,+Recruiting+for+Good+LinkedIn</t>
  </si>
  <si>
    <t>Ivy Hopkins</t>
  </si>
  <si>
    <t>https://www.google.com/search?newwindow=1&amp;ei=2MT0XrvGGM-vytMP1OyDgAY&amp;q=site%3Alinkedin.com+Ivy+Hopkins+Campus+Recruiter+LinkedIn</t>
  </si>
  <si>
    <t>Senior Lead Campus Recruiter</t>
  </si>
  <si>
    <t>https://www.google.com/search?newwindow=1&amp;ei=2MT0XrvGGM-vytMP1OyDgAY&amp;q=site%3Alinkedin.com+Son+Nguyen+Senior+Lead+Campus+Recruiter+LinkedIn</t>
  </si>
  <si>
    <t>Andie Summers</t>
  </si>
  <si>
    <t>https://www.google.com/search?newwindow=1&amp;ei=2MT0XrvGGM-vytMP1OyDgAY&amp;q=site%3Alinkedin.com+Andie+Summers+Campus+Recruiter+LinkedIn</t>
  </si>
  <si>
    <t>Christian De Luna</t>
  </si>
  <si>
    <t>Campus Business Recruiter</t>
  </si>
  <si>
    <t>https://www.google.com/search?newwindow=1&amp;ei=2MT0XrvGGM-vytMP1OyDgAY&amp;q=site%3Alinkedin.com+Christian+De+Luna+Campus+Business+Recruiter+LinkedIn</t>
  </si>
  <si>
    <t>Emily Ho</t>
  </si>
  <si>
    <t>Project Manager II, Campus Recruiting Operations</t>
  </si>
  <si>
    <t>https://www.google.com/search?newwindow=1&amp;ei=2MT0XrvGGM-vytMP1OyDgAY&amp;q=site%3Alinkedin.com+Emily+Ho+Project+Manager+II,+Campus+Recruiting+Operations+LinkedIn</t>
  </si>
  <si>
    <t>Anthea Ip</t>
  </si>
  <si>
    <t>Lead, Campus Recruiting Data Pod, Senior Technical Recruiter</t>
  </si>
  <si>
    <t>https://www.google.com/search?newwindow=1&amp;ei=2MT0XrvGGM-vytMP1OyDgAY&amp;q=site%3Alinkedin.com+Anthea+Ip+Lead,+Campus+Recruiting+Data+Pod,+Senior+Technical+Recruiter+LinkedIn</t>
  </si>
  <si>
    <t>Tamara Evans</t>
  </si>
  <si>
    <t>Lockheed Martin</t>
  </si>
  <si>
    <t>https://www.google.com/search?newwindow=1&amp;ei=2MT0XrvGGM-vytMP1OyDgAY&amp;q=site%3Alinkedin.com+Tamara+Evans+College+Recruiter+Lockheed+Martin</t>
  </si>
  <si>
    <t>Harmoni Johnson</t>
  </si>
  <si>
    <t>https://www.google.com/search?newwindow=1&amp;ei=2MT0XrvGGM-vytMP1OyDgAY&amp;q=site%3Alinkedin.com+Harmoni+Johnson+College+Recruiter+Lockheed+Martin</t>
  </si>
  <si>
    <t>Patrick Dinsmoor</t>
  </si>
  <si>
    <t>Bothell</t>
  </si>
  <si>
    <t>https://www.google.com/search?newwindow=1&amp;ei=2MT0XrvGGM-vytMP1OyDgAY&amp;q=site%3Alinkedin.com+Patrick+Dinsmoor+Campus+Recruiter+Lockheed+Martin</t>
  </si>
  <si>
    <t>Tara Hafele</t>
  </si>
  <si>
    <t>College Recruiter, Space</t>
  </si>
  <si>
    <t>Collegeville</t>
  </si>
  <si>
    <t>https://www.google.com/search?newwindow=1&amp;ei=2MT0XrvGGM-vytMP1OyDgAY&amp;q=site%3Alinkedin.com+Tara+Hafele+College+Recruiter,+Space+Lockheed+Martin</t>
  </si>
  <si>
    <t>Ashley Kessens</t>
  </si>
  <si>
    <t>University Talent Acquisition Recruiter, Space</t>
  </si>
  <si>
    <t>https://www.google.com/search?newwindow=1&amp;ei=2MT0XrvGGM-vytMP1OyDgAY&amp;q=site%3Alinkedin.com+Ashley+Kessens+University+Talent+Acquisition+Recruiter,+Space+Lockheed+Martin</t>
  </si>
  <si>
    <t>Kyle Stai</t>
  </si>
  <si>
    <t>https://www.google.com/search?newwindow=1&amp;ei=2MT0XrvGGM-vytMP1OyDgAY&amp;q=site%3Alinkedin.com+Kyle+Stai+University+Recruiter+Lockheed+Martin</t>
  </si>
  <si>
    <t>Jennina Arcuri</t>
  </si>
  <si>
    <t>Lead University Talent Aquisition Recruiter</t>
  </si>
  <si>
    <t>https://www.google.com/search?newwindow=1&amp;ei=2MT0XrvGGM-vytMP1OyDgAY&amp;q=site%3Alinkedin.com+Jennina+Arcuri+Lead+University+Talent+Aquisition+Recruiter+Lockheed+Martin</t>
  </si>
  <si>
    <t>Andrew Pearlman</t>
  </si>
  <si>
    <t>1 year 11 months in role and company</t>
  </si>
  <si>
    <t>Fairfax County</t>
  </si>
  <si>
    <t>https://www.google.com/search?newwindow=1&amp;ei=2MT0XrvGGM-vytMP1OyDgAY&amp;q=site%3Alinkedin.com+Andrew+Pearlman+College+Recruiter+Lockheed+Martin</t>
  </si>
  <si>
    <t>Matthew Castro</t>
  </si>
  <si>
    <t>https://www.google.com/search?newwindow=1&amp;ei=2MT0XrvGGM-vytMP1OyDgAY&amp;q=site%3Alinkedin.com+Matthew+Castro+Campus+Recruiter+Lockheed+Martin</t>
  </si>
  <si>
    <t>Nicole Foster, M.S.</t>
  </si>
  <si>
    <t>Hamden</t>
  </si>
  <si>
    <t>https://www.google.com/search?newwindow=1&amp;ei=2MT0XrvGGM-vytMP1OyDgAY&amp;q=site%3Alinkedin.com+Nicole+Foster,+M.S.+College+Recruiter+Lockheed+Martin</t>
  </si>
  <si>
    <t>Alexandra Halas</t>
  </si>
  <si>
    <t>King of Prussia</t>
  </si>
  <si>
    <t>https://www.google.com/search?newwindow=1&amp;ei=2MT0XrvGGM-vytMP1OyDgAY&amp;q=site%3Alinkedin.com+Alexandra+Halas+Campus+Recruiter+Lockheed+Martin</t>
  </si>
  <si>
    <t>Christina Ponzi</t>
  </si>
  <si>
    <t>Liverpool</t>
  </si>
  <si>
    <t>https://www.google.com/search?newwindow=1&amp;ei=2MT0XrvGGM-vytMP1OyDgAY&amp;q=site%3Alinkedin.com+Christina+Ponzi+College+Recruiter+Lockheed+Martin</t>
  </si>
  <si>
    <t>Gregory Caguimbal</t>
  </si>
  <si>
    <t>https://www.google.com/search?newwindow=1&amp;ei=2MT0XrvGGM-vytMP1OyDgAY&amp;q=site%3Alinkedin.com+Gregory+Caguimbal+Campus+Recruiter+Lockheed+Martin</t>
  </si>
  <si>
    <t>Pitchaporn Vorapipatana</t>
  </si>
  <si>
    <t>https://www.google.com/search?newwindow=1&amp;ei=2MT0XrvGGM-vytMP1OyDgAY&amp;q=site%3Alinkedin.com+Pitchaporn+Vorapipatana+College+Recruiter+Lockheed+Martin</t>
  </si>
  <si>
    <t>Brian Kroll 🔹</t>
  </si>
  <si>
    <t>Campus Recruiter with University Relations &amp; Recruiting</t>
  </si>
  <si>
    <t>https://www.google.com/search?newwindow=1&amp;ei=2MT0XrvGGM-vytMP1OyDgAY&amp;q=site%3Alinkedin.com+Brian+Kroll+🔹+Campus+Recruiter+with+University+Relations+&amp;+Recruiting+Lockheed+Martin</t>
  </si>
  <si>
    <t>Chelcey Little</t>
  </si>
  <si>
    <t>Leadership Development Program Lead/ College Recruiter</t>
  </si>
  <si>
    <t>https://www.google.com/search?newwindow=1&amp;ei=2MT0XrvGGM-vytMP1OyDgAY&amp;q=site%3Alinkedin.com+Chelcey+Little+Leadership+Development+Program+Lead/+College+Recruiter+Lockheed+Martin</t>
  </si>
  <si>
    <t>Nicole Horan</t>
  </si>
  <si>
    <t>Phoenixville</t>
  </si>
  <si>
    <t>https://www.google.com/search?newwindow=1&amp;ei=2MT0XrvGGM-vytMP1OyDgAY&amp;q=site%3Alinkedin.com+Nicole+Horan+College+Recruiter+Lockheed+Martin</t>
  </si>
  <si>
    <t>Bria Rathway</t>
  </si>
  <si>
    <t>https://www.google.com/search?newwindow=1&amp;ei=2MT0XrvGGM-vytMP1OyDgAY&amp;q=site%3Alinkedin.com+Bria+Rathway+Campus+Recruiter+Lockheed+Martin</t>
  </si>
  <si>
    <t>Sierra Kehrer</t>
  </si>
  <si>
    <t>College Recruiter: Global Talent Acquisitions</t>
  </si>
  <si>
    <t>https://www.google.com/search?newwindow=1&amp;ei=2MT0XrvGGM-vytMP1OyDgAY&amp;q=site%3Alinkedin.com+Sierra+Kehrer+College+Recruiter:+Global+Talent+Acquisitions+Lockheed+Martin</t>
  </si>
  <si>
    <t>Leo Faneuf</t>
  </si>
  <si>
    <t>College Talent Acquisition and Diversity Engagement Manager</t>
  </si>
  <si>
    <t>Round Hill</t>
  </si>
  <si>
    <t>https://www.google.com/search?newwindow=1&amp;ei=2MT0XrvGGM-vytMP1OyDgAY&amp;q=site%3Alinkedin.com+Leo+Faneuf+College+Talent+Acquisition+and+Diversity+Engagement+Manager+Lockheed+Martin</t>
  </si>
  <si>
    <t>Yeneneh Ketema</t>
  </si>
  <si>
    <t>Campus Relations Manager</t>
  </si>
  <si>
    <t>Silver Spring</t>
  </si>
  <si>
    <t>https://www.google.com/search?newwindow=1&amp;ei=2MT0XrvGGM-vytMP1OyDgAY&amp;q=site%3Alinkedin.com+Yeneneh+Ketema+Campus+Relations+Manager+Lockheed+Martin</t>
  </si>
  <si>
    <t>Janet Bachtel</t>
  </si>
  <si>
    <t>Campus Manager - University Relations &amp; Recruiting</t>
  </si>
  <si>
    <t>Springfield-Branson</t>
  </si>
  <si>
    <t>https://www.google.com/search?newwindow=1&amp;ei=2MT0XrvGGM-vytMP1OyDgAY&amp;q=site%3Alinkedin.com+Janet+Bachtel+Campus+Manager+-+University+Relations+&amp;+Recruiting+Lockheed+Martin</t>
  </si>
  <si>
    <t>Margaret Ila Christian</t>
  </si>
  <si>
    <t>Tuscaloosa</t>
  </si>
  <si>
    <t>https://www.google.com/search?newwindow=1&amp;ei=2MT0XrvGGM-vytMP1OyDgAY&amp;q=site%3Alinkedin.com+Margaret+Ila+Christian+Campus+Recruiter+Lockheed+Martin</t>
  </si>
  <si>
    <t>Karina Stronciu</t>
  </si>
  <si>
    <t>https://www.google.com/search?newwindow=1&amp;ei=2MT0XrvGGM-vytMP1OyDgAY&amp;q=site%3Alinkedin.com+Karina+Stronciu+Campus+Recruiter+Lockheed+Martin</t>
  </si>
  <si>
    <t>Iysha Robinson, M.A.</t>
  </si>
  <si>
    <t>University Talent Acquisition Recruiter</t>
  </si>
  <si>
    <t>https://www.google.com/search?newwindow=1&amp;ei=2MT0XrvGGM-vytMP1OyDgAY&amp;q=site%3Alinkedin.com+Iysha+Robinson,+M.A.+University+Talent+Acquisition+Recruiter+Lockheed+Martin</t>
  </si>
  <si>
    <t>Brigette Biagas</t>
  </si>
  <si>
    <t>https://www.google.com/search?newwindow=1&amp;ei=2MT0XrvGGM-vytMP1OyDgAY&amp;q=site%3Alinkedin.com+Brigette+Biagas+Campus+Recruiter+Lockheed+Martin</t>
  </si>
  <si>
    <t>Jessie Jordan</t>
  </si>
  <si>
    <t>West Chester</t>
  </si>
  <si>
    <t>https://www.google.com/search?newwindow=1&amp;ei=2MT0XrvGGM-vytMP1OyDgAY&amp;q=site%3Alinkedin.com+Jessie+Jordan+College+Recruiter+Lockheed+Martin</t>
  </si>
  <si>
    <t>Vivian Chen</t>
  </si>
  <si>
    <t>Lyft</t>
  </si>
  <si>
    <t>https://www.google.com/search?newwindow=1&amp;ei=2MT0XrvGGM-vytMP1OyDgAY&amp;q=site%3Alinkedin.com+Vivian+Chen+Technical+University+Recruiter+Lyft</t>
  </si>
  <si>
    <t>Courtney Chacon</t>
  </si>
  <si>
    <t>https://www.google.com/search?newwindow=1&amp;ei=2MT0XrvGGM-vytMP1OyDgAY&amp;q=site%3Alinkedin.com+Courtney+Chacon+University+Recruiter+Lyft</t>
  </si>
  <si>
    <t>Tim Romanoff</t>
  </si>
  <si>
    <t>Lyft University Recruiter</t>
  </si>
  <si>
    <t>https://www.google.com/search?newwindow=1&amp;ei=2MT0XrvGGM-vytMP1OyDgAY&amp;q=site%3Alinkedin.com+Tim+Romanoff+Lyft+University+Recruiter+Lyft</t>
  </si>
  <si>
    <t>Colleen DiGiambattista</t>
  </si>
  <si>
    <t>Executive Recruiter - Campus and Experienced Hire Recruiting</t>
  </si>
  <si>
    <t>McKinsey &amp; Company</t>
  </si>
  <si>
    <t>https://www.google.com/search?newwindow=1&amp;ei=2MT0XrvGGM-vytMP1OyDgAY&amp;q=site%3Alinkedin.com+Colleen+DiGiambattista+Executive+Recruiter+-+Campus+and+Experienced+Hire+Recruiting+McKinsey+&amp;+Company</t>
  </si>
  <si>
    <t>Kyle Scobee</t>
  </si>
  <si>
    <t>Campus Sourcing Recruiter</t>
  </si>
  <si>
    <t>https://www.google.com/search?newwindow=1&amp;ei=2MT0XrvGGM-vytMP1OyDgAY&amp;q=site%3Alinkedin.com+Kyle+Scobee+Campus+Sourcing+Recruiter+McKinsey+&amp;+Company</t>
  </si>
  <si>
    <t>Lauren B.</t>
  </si>
  <si>
    <t>Campus Recruiter - Engineering Covering Colorado &amp; East Coast Region</t>
  </si>
  <si>
    <t>Medtronic</t>
  </si>
  <si>
    <t>https://www.google.com/search?newwindow=1&amp;ei=2MT0XrvGGM-vytMP1OyDgAY&amp;q=site%3Alinkedin.com+Lauren+B.+Campus+Recruiter+-+Engineering+Covering+Colorado+&amp;+East+Coast+Region+Medtronic</t>
  </si>
  <si>
    <t>Doris Ng</t>
  </si>
  <si>
    <t>Senior Campus Recruiter, Engineering</t>
  </si>
  <si>
    <t>https://www.google.com/search?newwindow=1&amp;ei=2MT0XrvGGM-vytMP1OyDgAY&amp;q=site%3Alinkedin.com+Doris+Ng+Senior+Campus+Recruiter,+Engineering+Medtronic</t>
  </si>
  <si>
    <t>Melissa Kloubec</t>
  </si>
  <si>
    <t>Engineering Campus Recruiting Manager</t>
  </si>
  <si>
    <t>https://www.google.com/search?newwindow=1&amp;ei=2MT0XrvGGM-vytMP1OyDgAY&amp;q=site%3Alinkedin.com+Melissa+Kloubec+Engineering+Campus+Recruiting+Manager+Medtronic</t>
  </si>
  <si>
    <t>Alicia Gutierrez, MA-HRIR</t>
  </si>
  <si>
    <t>Campus Recruiter - Engineering, Midwest Region</t>
  </si>
  <si>
    <t>https://www.google.com/search?newwindow=1&amp;ei=2MT0XrvGGM-vytMP1OyDgAY&amp;q=site%3Alinkedin.com+Alicia+Gutierrez,+MA-HRIR+Campus+Recruiter+-+Engineering,+Midwest+Region+Medtronic</t>
  </si>
  <si>
    <t>Sami Graves</t>
  </si>
  <si>
    <t>Campus Recruiter - Supply Chain &amp; Undergraduate Campus Recruitment</t>
  </si>
  <si>
    <t>Wayzata</t>
  </si>
  <si>
    <t>https://www.google.com/search?newwindow=1&amp;ei=2MT0XrvGGM-vytMP1OyDgAY&amp;q=site%3Alinkedin.com+Sami+Graves+Campus+Recruiter+-+Supply+Chain+&amp;+Undergraduate+Campus+Recruitment+Medtronic</t>
  </si>
  <si>
    <t>Madisson DeLisle 🐘</t>
  </si>
  <si>
    <t>memoryBlue</t>
  </si>
  <si>
    <t>https://www.google.com/search?newwindow=1&amp;ei=2MT0XrvGGM-vytMP1OyDgAY&amp;q=site%3Alinkedin.com+Madisson+DeLisle+🐘+Campus+Recruiting+Manager+memoryBlue</t>
  </si>
  <si>
    <t>Becca Bullard</t>
  </si>
  <si>
    <t>https://www.google.com/search?newwindow=1&amp;ei=2MT0XrvGGM-vytMP1OyDgAY&amp;q=site%3Alinkedin.com+Becca+Bullard+Campus+Recruiting+Manager+memoryBlue</t>
  </si>
  <si>
    <t>Libby Galatis</t>
  </si>
  <si>
    <t>https://www.google.com/search?newwindow=1&amp;ei=2MT0XrvGGM-vytMP1OyDgAY&amp;q=site%3Alinkedin.com+Libby+Galatis+Campus+Recruiting+Manager+memoryBlue</t>
  </si>
  <si>
    <t>Leyla N.</t>
  </si>
  <si>
    <t>University Recruiter (Closer)</t>
  </si>
  <si>
    <t>Microsoft</t>
  </si>
  <si>
    <t>Bellevue</t>
  </si>
  <si>
    <t>https://www.google.com/search?newwindow=1&amp;ei=2MT0XrvGGM-vytMP1OyDgAY&amp;q=site%3Alinkedin.com+Leyla+N.+University+Recruiter+(Closer)+Microsoft</t>
  </si>
  <si>
    <t>Julie Moskalenko</t>
  </si>
  <si>
    <t>https://www.google.com/search?newwindow=1&amp;ei=2MT0XrvGGM-vytMP1OyDgAY&amp;q=site%3Alinkedin.com+Julie+Moskalenko+University+Recruiter+Microsoft</t>
  </si>
  <si>
    <t>Elizabeth Alhondra Arredon Mier</t>
  </si>
  <si>
    <t>5 years 5 months in role</t>
  </si>
  <si>
    <t>https://www.google.com/search?newwindow=1&amp;ei=2MT0XrvGGM-vytMP1OyDgAY&amp;q=site%3Alinkedin.com+Elizabeth+Alhondra+Arredon+Mier+University+Recruiter+Microsoft</t>
  </si>
  <si>
    <t>Kelsey Grunigen</t>
  </si>
  <si>
    <t>https://www.google.com/search?newwindow=1&amp;ei=2MT0XrvGGM-vytMP1OyDgAY&amp;q=site%3Alinkedin.com+Kelsey+Grunigen+University+Recruiter+Microsoft</t>
  </si>
  <si>
    <t>Abby Newton</t>
  </si>
  <si>
    <t>Technical Recruiter</t>
  </si>
  <si>
    <t>https://www.google.com/search?newwindow=1&amp;ei=2MT0XrvGGM-vytMP1OyDgAY&amp;q=site%3Alinkedin.com+Abby+Newton+Technical+Recruiter+Microsoft</t>
  </si>
  <si>
    <t>Erin Odell</t>
  </si>
  <si>
    <t>https://www.google.com/search?newwindow=1&amp;ei=2MT0XrvGGM-vytMP1OyDgAY&amp;q=site%3Alinkedin.com+Erin+Odell+University+Recruiter+Microsoft</t>
  </si>
  <si>
    <t>Jessica Nguyen</t>
  </si>
  <si>
    <t>Federal Way</t>
  </si>
  <si>
    <t>https://www.google.com/search?newwindow=1&amp;ei=2MT0XrvGGM-vytMP1OyDgAY&amp;q=site%3Alinkedin.com+Jessica+Nguyen+University+Recruiter+Microsoft</t>
  </si>
  <si>
    <t>Andrea Adams</t>
  </si>
  <si>
    <t>https://www.google.com/search?newwindow=1&amp;ei=2MT0XrvGGM-vytMP1OyDgAY&amp;q=site%3Alinkedin.com+Andrea+Adams+University+Recruiter+Microsoft</t>
  </si>
  <si>
    <t>Aaron Mickelsen</t>
  </si>
  <si>
    <t>Technical Recruiter | University Team</t>
  </si>
  <si>
    <t>Issaquah</t>
  </si>
  <si>
    <t>https://www.google.com/search?newwindow=1&amp;ei=2MT0XrvGGM-vytMP1OyDgAY&amp;q=site%3Alinkedin.com+Aaron+Mickelsen+Technical+Recruiter+|+University+Team+Microsoft</t>
  </si>
  <si>
    <t>Andrea Maurer</t>
  </si>
  <si>
    <t>https://www.google.com/search?newwindow=1&amp;ei=2MT0XrvGGM-vytMP1OyDgAY&amp;q=site%3Alinkedin.com+Andrea+Maurer+University+Recruiter+Microsoft</t>
  </si>
  <si>
    <t>Franco Bulaon</t>
  </si>
  <si>
    <t>https://www.google.com/search?newwindow=1&amp;ei=2MT0XrvGGM-vytMP1OyDgAY&amp;q=site%3Alinkedin.com+Franco+Bulaon+University+Recruiter+Microsoft</t>
  </si>
  <si>
    <t>Damon Coupe</t>
  </si>
  <si>
    <t>https://www.google.com/search?newwindow=1&amp;ei=2MT0XrvGGM-vytMP1OyDgAY&amp;q=site%3Alinkedin.com+Damon+Coupe+University+Recruiter+Microsoft</t>
  </si>
  <si>
    <t>Meredith Bogguess</t>
  </si>
  <si>
    <t>https://www.google.com/search?newwindow=1&amp;ei=2MT0XrvGGM-vytMP1OyDgAY&amp;q=site%3Alinkedin.com+Meredith+Bogguess+University+Recruiter+Microsoft</t>
  </si>
  <si>
    <t>Faviola Zuñiga, CDR</t>
  </si>
  <si>
    <t>Hispanic Serving Institutions Hub | Technical University Recruiter</t>
  </si>
  <si>
    <t>https://www.google.com/search?newwindow=1&amp;ei=2MT0XrvGGM-vytMP1OyDgAY&amp;q=site%3Alinkedin.com+Faviola+Zuñiga,+CDR+Hispanic+Serving+Institutions+Hub+|+Technical+University+Recruiter+Microsoft</t>
  </si>
  <si>
    <t>Gretchen Tristan</t>
  </si>
  <si>
    <t>Lynnwood</t>
  </si>
  <si>
    <t>https://www.google.com/search?newwindow=1&amp;ei=2MT0XrvGGM-vytMP1OyDgAY&amp;q=site%3Alinkedin.com+Gretchen+Tristan+University+Recruiter+Microsoft</t>
  </si>
  <si>
    <t>rose jay</t>
  </si>
  <si>
    <t>https://www.google.com/search?newwindow=1&amp;ei=2MT0XrvGGM-vytMP1OyDgAY&amp;q=site%3Alinkedin.com+rose+jay+Campus+Recruiter+Microsoft</t>
  </si>
  <si>
    <t>Shelly Forsberg</t>
  </si>
  <si>
    <t>Monroe</t>
  </si>
  <si>
    <t>https://www.google.com/search?newwindow=1&amp;ei=2MT0XrvGGM-vytMP1OyDgAY&amp;q=site%3Alinkedin.com+Shelly+Forsberg+University+Recruiter+Microsoft</t>
  </si>
  <si>
    <t>Maggie Bott</t>
  </si>
  <si>
    <t>Technical Recruiter - Student Veterans + Security Clearance Opportunities for University Students</t>
  </si>
  <si>
    <t>Peyton</t>
  </si>
  <si>
    <t>https://www.google.com/search?newwindow=1&amp;ei=2MT0XrvGGM-vytMP1OyDgAY&amp;q=site%3Alinkedin.com+Maggie+Bott+Technical+Recruiter+-+Student+Veterans+++Security+Clearance+Opportunities+for+University+Students+Microsoft</t>
  </si>
  <si>
    <t>Caitlin Gonzales</t>
  </si>
  <si>
    <t>https://www.google.com/search?newwindow=1&amp;ei=2MT0XrvGGM-vytMP1OyDgAY&amp;q=site%3Alinkedin.com+Caitlin+Gonzales+University+Recruiter+Microsoft</t>
  </si>
  <si>
    <t>Kamara Swaby</t>
  </si>
  <si>
    <t>https://www.google.com/search?newwindow=1&amp;ei=2MT0XrvGGM-vytMP1OyDgAY&amp;q=site%3Alinkedin.com+Kamara+Swaby+University+Recruiter+Microsoft</t>
  </si>
  <si>
    <t>Sarah Gordon</t>
  </si>
  <si>
    <t>Talent Sourcer - Pivotal Recruiting</t>
  </si>
  <si>
    <t>https://www.google.com/search?newwindow=1&amp;ei=2MT0XrvGGM-vytMP1OyDgAY&amp;q=site%3Alinkedin.com+Sarah+Gordon+Talent+Sourcer+-+Pivotal+Recruiting+Microsoft</t>
  </si>
  <si>
    <t>Catrina Chen</t>
  </si>
  <si>
    <t>https://www.google.com/search?newwindow=1&amp;ei=2MT0XrvGGM-vytMP1OyDgAY&amp;q=site%3Alinkedin.com+Catrina+Chen+University+Recruiter+Microsoft</t>
  </si>
  <si>
    <t>Ellen Thorley</t>
  </si>
  <si>
    <t>https://www.google.com/search?newwindow=1&amp;ei=2MT0XrvGGM-vytMP1OyDgAY&amp;q=site%3Alinkedin.com+Ellen+Thorley+University+Technical+Recruiter+Microsoft</t>
  </si>
  <si>
    <t>Jordan Greene</t>
  </si>
  <si>
    <t>https://www.google.com/search?newwindow=1&amp;ei=2MT0XrvGGM-vytMP1OyDgAY&amp;q=site%3Alinkedin.com+Jordan+Greene+University+Recruiter+(Closer)+Microsoft</t>
  </si>
  <si>
    <t>Debarati Nag</t>
  </si>
  <si>
    <t>https://www.google.com/search?newwindow=1&amp;ei=2MT0XrvGGM-vytMP1OyDgAY&amp;q=site%3Alinkedin.com+Debarati+Nag+University+Recruiter+Microsoft</t>
  </si>
  <si>
    <t>Stanford Savant</t>
  </si>
  <si>
    <t>Stanford University Recruiter</t>
  </si>
  <si>
    <t>https://www.google.com/search?newwindow=1&amp;ei=2MT0XrvGGM-vytMP1OyDgAY&amp;q=site%3Alinkedin.com+Stanford+Savant+Stanford+University+Recruiter+Microsoft</t>
  </si>
  <si>
    <t>Connor Ingerowski</t>
  </si>
  <si>
    <t>Rochester</t>
  </si>
  <si>
    <t>https://www.google.com/search?newwindow=1&amp;ei=2MT0XrvGGM-vytMP1OyDgAY&amp;q=site%3Alinkedin.com+Connor+Ingerowski+Technical+University+Recruiter+Microsoft</t>
  </si>
  <si>
    <t>University UX + PM Recruiter</t>
  </si>
  <si>
    <t>Santa Cruz</t>
  </si>
  <si>
    <t>https://www.google.com/search?newwindow=1&amp;ei=2MT0XrvGGM-vytMP1OyDgAY&amp;q=site%3Alinkedin.com+Lauren+Araujo+University+UX+++PM+Recruiter+Microsoft</t>
  </si>
  <si>
    <t>Jeffrey G.</t>
  </si>
  <si>
    <t>https://www.google.com/search?newwindow=1&amp;ei=2MT0XrvGGM-vytMP1OyDgAY&amp;q=site%3Alinkedin.com+Jeffrey+G.+University+Recruiter+Microsoft</t>
  </si>
  <si>
    <t>Alison Anthony</t>
  </si>
  <si>
    <t>https://www.google.com/search?newwindow=1&amp;ei=2MT0XrvGGM-vytMP1OyDgAY&amp;q=site%3Alinkedin.com+Alison+Anthony+University+Recruiter+Microsoft</t>
  </si>
  <si>
    <t>Samne Reyna</t>
  </si>
  <si>
    <t>https://www.google.com/search?newwindow=1&amp;ei=2MT0XrvGGM-vytMP1OyDgAY&amp;q=site%3Alinkedin.com+Samne+Reyna+University+Recruiter+Microsoft</t>
  </si>
  <si>
    <t>Tony Martinez</t>
  </si>
  <si>
    <t>https://www.google.com/search?newwindow=1&amp;ei=2MT0XrvGGM-vytMP1OyDgAY&amp;q=site%3Alinkedin.com+Tony+Martinez+Technical+University+Recruiter+Microsoft</t>
  </si>
  <si>
    <t>Paola Riveros Alvarez</t>
  </si>
  <si>
    <t>LATAM University Recruiter</t>
  </si>
  <si>
    <t>https://www.google.com/search?newwindow=1&amp;ei=2MT0XrvGGM-vytMP1OyDgAY&amp;q=site%3Alinkedin.com+Paola+Riveros+Alvarez+LATAM+University+Recruiter+Microsoft</t>
  </si>
  <si>
    <t>Michael Toole</t>
  </si>
  <si>
    <t>University Recruiter and Video Producer</t>
  </si>
  <si>
    <t>https://www.google.com/search?newwindow=1&amp;ei=2MT0XrvGGM-vytMP1OyDgAY&amp;q=site%3Alinkedin.com+Michael+Toole+University+Recruiter+and+Video+Producer+Microsoft</t>
  </si>
  <si>
    <t>Karla Paredes</t>
  </si>
  <si>
    <t>https://www.google.com/search?newwindow=1&amp;ei=2MT0XrvGGM-vytMP1OyDgAY&amp;q=site%3Alinkedin.com+Karla+Paredes+University+Recruiter+Microsoft</t>
  </si>
  <si>
    <t>Stephanie Treichel</t>
  </si>
  <si>
    <t>https://www.google.com/search?newwindow=1&amp;ei=2MT0XrvGGM-vytMP1OyDgAY&amp;q=site%3Alinkedin.com+Stephanie+Treichel+University+Recruiter+Microsoft</t>
  </si>
  <si>
    <t>Manasa Pochampally</t>
  </si>
  <si>
    <t>https://www.google.com/search?newwindow=1&amp;ei=2MT0XrvGGM-vytMP1OyDgAY&amp;q=site%3Alinkedin.com+Manasa+Pochampally+University+Recruiter+Microsoft</t>
  </si>
  <si>
    <t>Anna Katrina Robancho</t>
  </si>
  <si>
    <t>https://www.google.com/search?newwindow=1&amp;ei=2MT0XrvGGM-vytMP1OyDgAY&amp;q=site%3Alinkedin.com+Anna+Katrina+Robancho+University+Recruiter+Microsoft</t>
  </si>
  <si>
    <t>Isabella do Couto Reis</t>
  </si>
  <si>
    <t>https://www.google.com/search?newwindow=1&amp;ei=2MT0XrvGGM-vytMP1OyDgAY&amp;q=site%3Alinkedin.com+Isabella+do+Couto+Reis+University+Recruiter+Microsoft</t>
  </si>
  <si>
    <t>Gabriel Garcia Marquez</t>
  </si>
  <si>
    <t>https://www.google.com/search?newwindow=1&amp;ei=2MT0XrvGGM-vytMP1OyDgAY&amp;q=site%3Alinkedin.com+Gabriel+Garcia+Marquez+University+Recruiter+Microsoft</t>
  </si>
  <si>
    <t>Eddie Garcilazo</t>
  </si>
  <si>
    <t>Technical Recruiter l University Recruitment</t>
  </si>
  <si>
    <t>https://www.google.com/search?newwindow=1&amp;ei=2MT0XrvGGM-vytMP1OyDgAY&amp;q=site%3Alinkedin.com+Eddie+Garcilazo+Technical+Recruiter+l+University+Recruitment+Microsoft</t>
  </si>
  <si>
    <t>Lola Aliu</t>
  </si>
  <si>
    <t>Technical MBA University Recruiter</t>
  </si>
  <si>
    <t>https://www.google.com/search?newwindow=1&amp;ei=2MT0XrvGGM-vytMP1OyDgAY&amp;q=site%3Alinkedin.com+Lola+Aliu+Technical+MBA+University+Recruiter+Microsoft</t>
  </si>
  <si>
    <t>Felicity Blazevic</t>
  </si>
  <si>
    <t>University Recruiter, North America</t>
  </si>
  <si>
    <t>https://www.google.com/search?newwindow=1&amp;ei=2MT0XrvGGM-vytMP1OyDgAY&amp;q=site%3Alinkedin.com+Felicity+Blazevic+University+Recruiter,+North+America+Microsoft</t>
  </si>
  <si>
    <t>Charity Woods</t>
  </si>
  <si>
    <t>https://www.google.com/search?newwindow=1&amp;ei=2MT0XrvGGM-vytMP1OyDgAY&amp;q=site%3Alinkedin.com+Charity+Woods+University+Recruiter+Microsoft</t>
  </si>
  <si>
    <t>Beckylin Orooji</t>
  </si>
  <si>
    <t>https://www.google.com/search?newwindow=1&amp;ei=2MT0XrvGGM-vytMP1OyDgAY&amp;q=site%3Alinkedin.com+Beckylin+Orooji+University+Recruiter+Microsoft</t>
  </si>
  <si>
    <t>Alexis Solis</t>
  </si>
  <si>
    <t>University Recruiter (contractor through Aerotek)</t>
  </si>
  <si>
    <t>https://www.google.com/search?newwindow=1&amp;ei=2MT0XrvGGM-vytMP1OyDgAY&amp;q=site%3Alinkedin.com+Alexis+Solis+University+Recruiter+(contractor+through+Aerotek)+Microsoft</t>
  </si>
  <si>
    <t>Kristin Straube</t>
  </si>
  <si>
    <t>https://www.google.com/search?newwindow=1&amp;ei=2MT0XrvGGM-vytMP1OyDgAY&amp;q=site%3Alinkedin.com+Kristin+Straube+University+Technical+Recruiter+Microsoft</t>
  </si>
  <si>
    <t>Ellie Hemenway</t>
  </si>
  <si>
    <t>https://www.google.com/search?newwindow=1&amp;ei=2MT0XrvGGM-vytMP1OyDgAY&amp;q=site%3Alinkedin.com+Ellie+Hemenway+University+Recruiter+Microsoft</t>
  </si>
  <si>
    <t>Loren Perkins-Johnson</t>
  </si>
  <si>
    <t>https://www.google.com/search?newwindow=1&amp;ei=2MT0XrvGGM-vytMP1OyDgAY&amp;q=site%3Alinkedin.com+Loren+Perkins-Johnson+University+Recruiter+Microsoft</t>
  </si>
  <si>
    <t>Briana A.</t>
  </si>
  <si>
    <t>https://www.google.com/search?newwindow=1&amp;ei=2MT0XrvGGM-vytMP1OyDgAY&amp;q=site%3Alinkedin.com+Briana+A.+Technical+University+Recruiter+Microsoft</t>
  </si>
  <si>
    <t>Alex Blomster-Horning</t>
  </si>
  <si>
    <t>https://www.google.com/search?newwindow=1&amp;ei=2MT0XrvGGM-vytMP1OyDgAY&amp;q=site%3Alinkedin.com+Alex+Blomster-Horning+University+Recruiter+Microsoft</t>
  </si>
  <si>
    <t>Toni Brown-Bell</t>
  </si>
  <si>
    <t>https://www.google.com/search?newwindow=1&amp;ei=2MT0XrvGGM-vytMP1OyDgAY&amp;q=site%3Alinkedin.com+Toni+Brown-Bell+University+Recruiter+Microsoft</t>
  </si>
  <si>
    <t>Miguel Chucaralao</t>
  </si>
  <si>
    <t>University Recruiter - Business Functions</t>
  </si>
  <si>
    <t>https://www.google.com/search?newwindow=1&amp;ei=2MT0XrvGGM-vytMP1OyDgAY&amp;q=site%3Alinkedin.com+Miguel+Chucaralao+University+Recruiter+-+Business+Functions+Microsoft</t>
  </si>
  <si>
    <t>Summer Al Mashhadani</t>
  </si>
  <si>
    <t>https://www.google.com/search?newwindow=1&amp;ei=2MT0XrvGGM-vytMP1OyDgAY&amp;q=site%3Alinkedin.com+Summer+Al+Mashhadani+University+Recruiter+Microsoft</t>
  </si>
  <si>
    <t>Devan Moore</t>
  </si>
  <si>
    <t>https://www.google.com/search?newwindow=1&amp;ei=2MT0XrvGGM-vytMP1OyDgAY&amp;q=site%3Alinkedin.com+Devan+Moore+University+Recruiter+Microsoft</t>
  </si>
  <si>
    <t>Mintesinot Misgano</t>
  </si>
  <si>
    <t>https://www.google.com/search?newwindow=1&amp;ei=2MT0XrvGGM-vytMP1OyDgAY&amp;q=site%3Alinkedin.com+Mintesinot+Misgano+University+Recruiter+Microsoft</t>
  </si>
  <si>
    <t>Erin Creighton</t>
  </si>
  <si>
    <t>https://www.google.com/search?newwindow=1&amp;ei=2MT0XrvGGM-vytMP1OyDgAY&amp;q=site%3Alinkedin.com+Erin+Creighton+Technical+University+Recruiter+Microsoft</t>
  </si>
  <si>
    <t>Mary Woodruff (she/her)</t>
  </si>
  <si>
    <t>https://www.google.com/search?newwindow=1&amp;ei=2MT0XrvGGM-vytMP1OyDgAY&amp;q=site%3Alinkedin.com+Mary+Woodruff+(she/her)+University+Recruiter+Microsoft</t>
  </si>
  <si>
    <t>Joseph Velez</t>
  </si>
  <si>
    <t>University Recruiter (Contractor)</t>
  </si>
  <si>
    <t>https://www.google.com/search?newwindow=1&amp;ei=2MT0XrvGGM-vytMP1OyDgAY&amp;q=site%3Alinkedin.com+Joseph+Velez+University+Recruiter+(Contractor)+Microsoft</t>
  </si>
  <si>
    <t>Amy Siebenthaler</t>
  </si>
  <si>
    <t>Technical PhD Recruiter | University Recruitment</t>
  </si>
  <si>
    <t>https://www.google.com/search?newwindow=1&amp;ei=2MT0XrvGGM-vytMP1OyDgAY&amp;q=site%3Alinkedin.com+Amy+Siebenthaler+Technical+PhD+Recruiter+|+University+Recruitment+Microsoft</t>
  </si>
  <si>
    <t>Kadra Sheikh, MBA</t>
  </si>
  <si>
    <t>HR and Talent Acquisiton- University Recruiter I</t>
  </si>
  <si>
    <t>https://www.google.com/search?newwindow=1&amp;ei=2MT0XrvGGM-vytMP1OyDgAY&amp;q=site%3Alinkedin.com+Kadra+Sheikh,+MBA+HR+and+Talent+Acquisiton-+University+Recruiter+I+Microsoft</t>
  </si>
  <si>
    <t>Leandra King</t>
  </si>
  <si>
    <t>https://www.google.com/search?newwindow=1&amp;ei=2MT0XrvGGM-vytMP1OyDgAY&amp;q=site%3Alinkedin.com+Leandra+King+University+Recruiter+Microsoft</t>
  </si>
  <si>
    <t>Kelsey Saboori</t>
  </si>
  <si>
    <t>Technical University Recruiter - Software Engineering Roles</t>
  </si>
  <si>
    <t>https://www.google.com/search?newwindow=1&amp;ei=2MT0XrvGGM-vytMP1OyDgAY&amp;q=site%3Alinkedin.com+Kelsey+Saboori+Technical+University+Recruiter+-+Software+Engineering+Roles+Microsoft</t>
  </si>
  <si>
    <t>Sarah Kaiser</t>
  </si>
  <si>
    <t>https://www.google.com/search?newwindow=1&amp;ei=2MT0XrvGGM-vytMP1OyDgAY&amp;q=site%3Alinkedin.com+Sarah+Kaiser+University+Recruiter+Microsoft</t>
  </si>
  <si>
    <t>Brian Cuadra</t>
  </si>
  <si>
    <t>University Recruiter | Bay Area Hub Finder</t>
  </si>
  <si>
    <t>https://www.google.com/search?newwindow=1&amp;ei=2MT0XrvGGM-vytMP1OyDgAY&amp;q=site%3Alinkedin.com+Brian+Cuadra+University+Recruiter+|+Bay+Area+Hub+Finder+Microsoft</t>
  </si>
  <si>
    <t>Brett Chase</t>
  </si>
  <si>
    <t>PhD University Recruiter</t>
  </si>
  <si>
    <t>https://www.google.com/search?newwindow=1&amp;ei=2MT0XrvGGM-vytMP1OyDgAY&amp;q=site%3Alinkedin.com+Brett+Chase+PhD+University+Recruiter+Microsoft</t>
  </si>
  <si>
    <t>Tristan Boone</t>
  </si>
  <si>
    <t>https://www.google.com/search?newwindow=1&amp;ei=2MT0XrvGGM-vytMP1OyDgAY&amp;q=site%3Alinkedin.com+Tristan+Boone+University+Recruiter+Microsoft</t>
  </si>
  <si>
    <t>Rachel Wightman</t>
  </si>
  <si>
    <t>Contract University Recruiter</t>
  </si>
  <si>
    <t>https://www.google.com/search?newwindow=1&amp;ei=2MT0XrvGGM-vytMP1OyDgAY&amp;q=site%3Alinkedin.com+Rachel+Wightman+Contract+University+Recruiter+Microsoft</t>
  </si>
  <si>
    <t>Bryan Spence</t>
  </si>
  <si>
    <t>Diversity University Recruiter</t>
  </si>
  <si>
    <t>Virginia Beach</t>
  </si>
  <si>
    <t>https://www.google.com/search?newwindow=1&amp;ei=2MT0XrvGGM-vytMP1OyDgAY&amp;q=site%3Alinkedin.com+Bryan+Spence+Diversity+University+Recruiter+Microsoft</t>
  </si>
  <si>
    <t>Emily Cardner</t>
  </si>
  <si>
    <t>MongoDB</t>
  </si>
  <si>
    <t>https://www.google.com/search?newwindow=1&amp;ei=2MT0XrvGGM-vytMP1OyDgAY&amp;q=site%3Alinkedin.com+Emily+Cardner+Manager,+Campus+Recruiting+MongoDB</t>
  </si>
  <si>
    <t>Ellie Purdy</t>
  </si>
  <si>
    <t>https://www.google.com/search?newwindow=1&amp;ei=2MT0XrvGGM-vytMP1OyDgAY&amp;q=site%3Alinkedin.com+Ellie+Purdy+Campus+Recruiter+MongoDB</t>
  </si>
  <si>
    <t>Kate Wright</t>
  </si>
  <si>
    <t>https://www.google.com/search?newwindow=1&amp;ei=2MT0XrvGGM-vytMP1OyDgAY&amp;q=site%3Alinkedin.com+Kate+Wright+Senior+Campus+Recruiter+MongoDB</t>
  </si>
  <si>
    <t>Natalie Chwalk</t>
  </si>
  <si>
    <t>https://www.google.com/search?newwindow=1&amp;ei=2MT0XrvGGM-vytMP1OyDgAY&amp;q=site%3Alinkedin.com+Natalie+Chwalk+Campus+Recruiter+MongoDB</t>
  </si>
  <si>
    <t>Joshua Avila</t>
  </si>
  <si>
    <t>https://www.google.com/search?newwindow=1&amp;ei=2MT0XrvGGM-vytMP1OyDgAY&amp;q=site%3Alinkedin.com+Joshua+Avila+Campus+Recruiter+MongoDB</t>
  </si>
  <si>
    <t>Kaitlyn Hays</t>
  </si>
  <si>
    <t>Morgan Stanley</t>
  </si>
  <si>
    <t>https://www.google.com/search?newwindow=1&amp;ei=2MT0XrvGGM-vytMP1OyDgAY&amp;q=site%3Alinkedin.com+Kaitlyn+Hays+Campus+Recruiter+Morgan+Stanley</t>
  </si>
  <si>
    <t>Michelle Kinnally</t>
  </si>
  <si>
    <t>https://www.google.com/search?newwindow=1&amp;ei=2MT0XrvGGM-vytMP1OyDgAY&amp;q=site%3Alinkedin.com+Michelle+Kinnally+Campus+Recruiter+Morgan+Stanley</t>
  </si>
  <si>
    <t>Jenny Rosen</t>
  </si>
  <si>
    <t>Human Resources Campus Recruiter</t>
  </si>
  <si>
    <t>Centerport</t>
  </si>
  <si>
    <t>https://www.google.com/search?newwindow=1&amp;ei=2MT0XrvGGM-vytMP1OyDgAY&amp;q=site%3Alinkedin.com+Jenny+Rosen+Human+Resources+Campus+Recruiter+Morgan+Stanley</t>
  </si>
  <si>
    <t>Christie Mongiardo</t>
  </si>
  <si>
    <t>Manager, Institutional Equity Campus Recruiting</t>
  </si>
  <si>
    <t>https://www.google.com/search?newwindow=1&amp;ei=2MT0XrvGGM-vytMP1OyDgAY&amp;q=site%3Alinkedin.com+Christie+Mongiardo+Manager,+Institutional+Equity+Campus+Recruiting+Morgan+Stanley</t>
  </si>
  <si>
    <t>Charlotte Fadden</t>
  </si>
  <si>
    <t>Director, Campus Recruiting Manager</t>
  </si>
  <si>
    <t>https://www.google.com/search?newwindow=1&amp;ei=2MT0XrvGGM-vytMP1OyDgAY&amp;q=site%3Alinkedin.com+Charlotte+Fadden+Director,+Campus+Recruiting+Manager+Morgan+Stanley</t>
  </si>
  <si>
    <t>Erin Leonard</t>
  </si>
  <si>
    <t>Manager, Investment Banking MBA Campus Recruiting</t>
  </si>
  <si>
    <t>https://www.google.com/search?newwindow=1&amp;ei=2MT0XrvGGM-vytMP1OyDgAY&amp;q=site%3Alinkedin.com+Erin+Leonard+Manager,+Investment+Banking+MBA+Campus+Recruiting+Morgan+Stanley</t>
  </si>
  <si>
    <t>Marissa Mellan</t>
  </si>
  <si>
    <t>Manager, Quantitative Finance Campus Recruiting at Morgan Stanley</t>
  </si>
  <si>
    <t>https://www.google.com/search?newwindow=1&amp;ei=2MT0XrvGGM-vytMP1OyDgAY&amp;q=site%3Alinkedin.com+Marissa+Mellan+Manager,+Quantitative+Finance+Campus+Recruiting+at+Morgan+Stanley+Morgan+Stanley</t>
  </si>
  <si>
    <t>Kathryn R.</t>
  </si>
  <si>
    <t>https://www.google.com/search?newwindow=1&amp;ei=2MT0XrvGGM-vytMP1OyDgAY&amp;q=site%3Alinkedin.com+Kathryn+R.+Manager,+Campus+Recruiting+Morgan+Stanley</t>
  </si>
  <si>
    <t>Alison Speedling</t>
  </si>
  <si>
    <t>https://www.google.com/search?newwindow=1&amp;ei=2MT0XrvGGM-vytMP1OyDgAY&amp;q=site%3Alinkedin.com+Alison+Speedling+Manager,+Campus+Recruiting+Morgan+Stanley</t>
  </si>
  <si>
    <t>Christina Belmonte</t>
  </si>
  <si>
    <t>Manager, Fixed Income Analyst Campus Recruiting</t>
  </si>
  <si>
    <t>https://www.google.com/search?newwindow=1&amp;ei=2MT0XrvGGM-vytMP1OyDgAY&amp;q=site%3Alinkedin.com+Christina+Belmonte+Manager,+Fixed+Income+Analyst+Campus+Recruiting+Morgan+Stanley</t>
  </si>
  <si>
    <t>Katie Robinson-Duff</t>
  </si>
  <si>
    <t>https://www.google.com/search?newwindow=1&amp;ei=2MT0XrvGGM-vytMP1OyDgAY&amp;q=site%3Alinkedin.com+Katie+Robinson-Duff+Manager,+Campus+Recruiting+Morgan+Stanley</t>
  </si>
  <si>
    <t>Ragland Mackin</t>
  </si>
  <si>
    <t>Director of Campus Recruiting</t>
  </si>
  <si>
    <t>https://www.google.com/search?newwindow=1&amp;ei=2MT0XrvGGM-vytMP1OyDgAY&amp;q=site%3Alinkedin.com+Ragland+Mackin+Director+of+Campus+Recruiting+Morgan+Stanley</t>
  </si>
  <si>
    <t>Catherine Eicher</t>
  </si>
  <si>
    <t>https://www.google.com/search?newwindow=1&amp;ei=2MT0XrvGGM-vytMP1OyDgAY&amp;q=site%3Alinkedin.com+Catherine+Eicher+Campus+Recruiter+Morgan+Stanley</t>
  </si>
  <si>
    <t>Sarah Roberts</t>
  </si>
  <si>
    <t>Junior Campus Recruiter</t>
  </si>
  <si>
    <t>https://www.google.com/search?newwindow=1&amp;ei=2MT0XrvGGM-vytMP1OyDgAY&amp;q=site%3Alinkedin.com+Sarah+Roberts+Junior+Campus+Recruiter+Morgan+Stanley</t>
  </si>
  <si>
    <t>Taylor Swanson</t>
  </si>
  <si>
    <t>https://www.google.com/search?newwindow=1&amp;ei=2MT0XrvGGM-vytMP1OyDgAY&amp;q=site%3Alinkedin.com+Taylor+Swanson+Campus+Recruiter+Morgan+Stanley</t>
  </si>
  <si>
    <t>Jordan Fuqua</t>
  </si>
  <si>
    <t>9 years 7 months in role</t>
  </si>
  <si>
    <t>https://www.google.com/search?newwindow=1&amp;ei=2MT0XrvGGM-vytMP1OyDgAY&amp;q=site%3Alinkedin.com+Jordan+Fuqua+Technology+Campus+Recruiter+Morgan+Stanley</t>
  </si>
  <si>
    <t>Natasha Bhalla</t>
  </si>
  <si>
    <t>Manager, Technology Campus Recruiting</t>
  </si>
  <si>
    <t>https://www.google.com/search?newwindow=1&amp;ei=2MT0XrvGGM-vytMP1OyDgAY&amp;q=site%3Alinkedin.com+Natasha+Bhalla+Manager,+Technology+Campus+Recruiting+Morgan+Stanley</t>
  </si>
  <si>
    <t>Ashleigh Hussey Drobnis</t>
  </si>
  <si>
    <t>https://www.google.com/search?newwindow=1&amp;ei=2MT0XrvGGM-vytMP1OyDgAY&amp;q=site%3Alinkedin.com+Ashleigh+Hussey+Drobnis+Campus+Recruiter+Morgan+Stanley</t>
  </si>
  <si>
    <t>Janie Johnstone</t>
  </si>
  <si>
    <t>https://www.google.com/search?newwindow=1&amp;ei=2MT0XrvGGM-vytMP1OyDgAY&amp;q=site%3Alinkedin.com+Janie+Johnstone+Campus+Recruiter+Morgan+Stanley</t>
  </si>
  <si>
    <t>Lea Bylina</t>
  </si>
  <si>
    <t>Moss Adams</t>
  </si>
  <si>
    <t>https://www.google.com/search?newwindow=1&amp;ei=2MT0XrvGGM-vytMP1OyDgAY&amp;q=site%3Alinkedin.com+Lea+Bylina+Campus+Recruiter+Moss+Adams</t>
  </si>
  <si>
    <t>Adam Schwab</t>
  </si>
  <si>
    <t>https://www.google.com/search?newwindow=1&amp;ei=2MT0XrvGGM-vytMP1OyDgAY&amp;q=site%3Alinkedin.com+Adam+Schwab+Campus+Recruiter+Moss+Adams</t>
  </si>
  <si>
    <t>Leanne Lutkus</t>
  </si>
  <si>
    <t>https://www.google.com/search?newwindow=1&amp;ei=2MT0XrvGGM-vytMP1OyDgAY&amp;q=site%3Alinkedin.com+Leanne+Lutkus+Regional+Campus+Recruiting+Manager+Moss+Adams</t>
  </si>
  <si>
    <t>Angela Sparks</t>
  </si>
  <si>
    <t>https://www.google.com/search?newwindow=1&amp;ei=2MT0XrvGGM-vytMP1OyDgAY&amp;q=site%3Alinkedin.com+Angela+Sparks+Campus+Recruiter+Moss+Adams</t>
  </si>
  <si>
    <t>Patricia Hewitt</t>
  </si>
  <si>
    <t>Rancho Cordova</t>
  </si>
  <si>
    <t>https://www.google.com/search?newwindow=1&amp;ei=2MT0XrvGGM-vytMP1OyDgAY&amp;q=site%3Alinkedin.com+Patricia+Hewitt+Campus+Recruiting+Manager+Moss+Adams</t>
  </si>
  <si>
    <t>Rose Azadan Martinez</t>
  </si>
  <si>
    <t>Regional Campus Recruiting Senior Manager</t>
  </si>
  <si>
    <t>https://www.google.com/search?newwindow=1&amp;ei=2MT0XrvGGM-vytMP1OyDgAY&amp;q=site%3Alinkedin.com+Rose+Azadan+Martinez+Regional+Campus+Recruiting+Senior+Manager+Moss+Adams</t>
  </si>
  <si>
    <t>Meryll Locquiao</t>
  </si>
  <si>
    <t>https://www.google.com/search?newwindow=1&amp;ei=2MT0XrvGGM-vytMP1OyDgAY&amp;q=site%3Alinkedin.com+Meryll+Locquiao+Senior+Campus+Recruiter+Moss+Adams</t>
  </si>
  <si>
    <t>Isabella Nguyen</t>
  </si>
  <si>
    <t>https://www.google.com/search?newwindow=1&amp;ei=2MT0XrvGGM-vytMP1OyDgAY&amp;q=site%3Alinkedin.com+Isabella+Nguyen+Senior+Campus+Recruiter+Moss+Adams</t>
  </si>
  <si>
    <t>Julia Dull</t>
  </si>
  <si>
    <t>https://www.google.com/search?newwindow=1&amp;ei=2MT0XrvGGM-vytMP1OyDgAY&amp;q=site%3Alinkedin.com+Julia+Dull+Campus+Recruiting+Manager+Moss+Adams</t>
  </si>
  <si>
    <t>Ellen Price</t>
  </si>
  <si>
    <t>https://www.google.com/search?newwindow=1&amp;ei=2MT0XrvGGM-vytMP1OyDgAY&amp;q=site%3Alinkedin.com+Ellen+Price+Campus+Recruiter+Moss+Adams</t>
  </si>
  <si>
    <t>Kelsey Hicks</t>
  </si>
  <si>
    <t>https://www.google.com/search?newwindow=1&amp;ei=2MT0XrvGGM-vytMP1OyDgAY&amp;q=site%3Alinkedin.com+Kelsey+Hicks+Senior+Campus+Recruiter+Moss+Adams</t>
  </si>
  <si>
    <t>Camellia Sarmadi</t>
  </si>
  <si>
    <t>https://www.google.com/search?newwindow=1&amp;ei=2MT0XrvGGM-vytMP1OyDgAY&amp;q=site%3Alinkedin.com+Camellia+Sarmadi+Campus+Recruiting+Manager+Moss+Adams+LLP</t>
  </si>
  <si>
    <t>Lauren Knoche</t>
  </si>
  <si>
    <t>Campus Recruiter and HR Senior Associate</t>
  </si>
  <si>
    <t>https://www.google.com/search?newwindow=1&amp;ei=2MT0XrvGGM-vytMP1OyDgAY&amp;q=site%3Alinkedin.com+Lauren+Knoche+Campus+Recruiter+and+HR+Senior+Associate+Moss+Adams+LLP</t>
  </si>
  <si>
    <t>Alicia Markey Hahn</t>
  </si>
  <si>
    <t>https://www.google.com/search?newwindow=1&amp;ei=2MT0XrvGGM-vytMP1OyDgAY&amp;q=site%3Alinkedin.com+Alicia+Markey+Hahn+Campus+Recruiting+Manager+Moss+Adams+LLP</t>
  </si>
  <si>
    <t>Jessica Billings</t>
  </si>
  <si>
    <t>Spokane</t>
  </si>
  <si>
    <t>https://www.google.com/search?newwindow=1&amp;ei=2MT0XrvGGM-vytMP1OyDgAY&amp;q=site%3Alinkedin.com+Jessica+Billings+Campus+Recruiter+Moss+Adams+LLP</t>
  </si>
  <si>
    <t>Rachel Nobbs</t>
  </si>
  <si>
    <t>https://www.google.com/search?newwindow=1&amp;ei=2MT0XrvGGM-vytMP1OyDgAY&amp;q=site%3Alinkedin.com+Rachel+Nobbs+Senior+Campus+Recruiter+Moss+Adams,+LLP+-+San+Diego</t>
  </si>
  <si>
    <t>Candice Burgess</t>
  </si>
  <si>
    <t>Recruiter, Campus Programs</t>
  </si>
  <si>
    <t>NBCUniversal Media</t>
  </si>
  <si>
    <t>https://www.google.com/search?newwindow=1&amp;ei=2MT0XrvGGM-vytMP1OyDgAY&amp;q=site%3Alinkedin.com+Candice+Burgess+Recruiter,+Campus+Programs+NBCUniversal+Media,+LLC</t>
  </si>
  <si>
    <t>Carol Christman</t>
  </si>
  <si>
    <t>https://www.google.com/search?newwindow=1&amp;ei=2MT0XrvGGM-vytMP1OyDgAY&amp;q=site%3Alinkedin.com+Carol+Christman+Recruiter,+Campus+Programs+NBCUniversal+Media,+LLC</t>
  </si>
  <si>
    <t>Shelly Punter</t>
  </si>
  <si>
    <t>Campus Programs Recruiter</t>
  </si>
  <si>
    <t>https://www.google.com/search?newwindow=1&amp;ei=2MT0XrvGGM-vytMP1OyDgAY&amp;q=site%3Alinkedin.com+Shelly+Punter+Campus+Programs+Recruiter+NBCUniversal+Media,+LLC</t>
  </si>
  <si>
    <t>Catherine Salzman</t>
  </si>
  <si>
    <t>Westchester County</t>
  </si>
  <si>
    <t>https://www.google.com/search?newwindow=1&amp;ei=2MT0XrvGGM-vytMP1OyDgAY&amp;q=site%3Alinkedin.com+Catherine+Salzman+Campus+Recruiter+NBCUniversal+Media,+LLC</t>
  </si>
  <si>
    <t>Gabrielle Zuccaro</t>
  </si>
  <si>
    <t>Nestlé</t>
  </si>
  <si>
    <t>https://www.google.com/search?newwindow=1&amp;ei=2MT0XrvGGM-vytMP1OyDgAY&amp;q=site%3Alinkedin.com+Gabrielle+Zuccaro+Campus+Recruiter+Nestlé</t>
  </si>
  <si>
    <t>Jennifer Davis</t>
  </si>
  <si>
    <t>https://www.google.com/search?newwindow=1&amp;ei=2MT0XrvGGM-vytMP1OyDgAY&amp;q=site%3Alinkedin.com+Jennifer+Davis+Campus+Recruiter+Nestlé</t>
  </si>
  <si>
    <t>Chris Heckman</t>
  </si>
  <si>
    <t>Effort</t>
  </si>
  <si>
    <t>https://www.google.com/search?newwindow=1&amp;ei=2MT0XrvGGM-vytMP1OyDgAY&amp;q=site%3Alinkedin.com+Chris+Heckman+Campus+Recruiter+Nestlé+Waters</t>
  </si>
  <si>
    <t>Haleigh Alcala</t>
  </si>
  <si>
    <t>University Relations &amp; Recruiting Recruiter</t>
  </si>
  <si>
    <t>Northrop Grumman</t>
  </si>
  <si>
    <t>Milton</t>
  </si>
  <si>
    <t>https://www.google.com/search?newwindow=1&amp;ei=2MT0XrvGGM-vytMP1OyDgAY&amp;q=site%3Alinkedin.com+Haleigh+Alcala+University+Relations+&amp;+Recruiting+Recruiter+Northrop+Grumman</t>
  </si>
  <si>
    <t>Zac Elkins, MHRM, SHRM-CP</t>
  </si>
  <si>
    <t>https://www.google.com/search?newwindow=1&amp;ei=2MT0XrvGGM-vytMP1OyDgAY&amp;q=site%3Alinkedin.com+Zac+Elkins,+MHRM,+SHRM-CP+Campus+Recruiter+Northrop+Grumman</t>
  </si>
  <si>
    <t>Rhonda Mabry Hester</t>
  </si>
  <si>
    <t>Indialantic</t>
  </si>
  <si>
    <t>https://www.google.com/search?newwindow=1&amp;ei=2MT0XrvGGM-vytMP1OyDgAY&amp;q=site%3Alinkedin.com+Rhonda+Mabry+Hester+University+Relations+Recruiter+Northrop+Grumman+Corporation</t>
  </si>
  <si>
    <t>Robin DeAngelis</t>
  </si>
  <si>
    <t>https://www.google.com/search?newwindow=1&amp;ei=2MT0XrvGGM-vytMP1OyDgAY&amp;q=site%3Alinkedin.com+Robin+DeAngelis+University+Relations+Recruiter+Northrop+Grumman+Corporation</t>
  </si>
  <si>
    <t>Stephanie Dratler</t>
  </si>
  <si>
    <t>https://www.google.com/search?newwindow=1&amp;ei=2MT0XrvGGM-vytMP1OyDgAY&amp;q=site%3Alinkedin.com+Stephanie+Dratler+College+Recruiter+Northrop+Grumman+Corporation</t>
  </si>
  <si>
    <t>Jessica J.</t>
  </si>
  <si>
    <t>NVIDIA</t>
  </si>
  <si>
    <t>https://www.google.com/search?newwindow=1&amp;ei=2MT0XrvGGM-vytMP1OyDgAY&amp;q=site%3Alinkedin.com+Jessica+J.+University+Recruiting+Campus+Manager+NVIDIA</t>
  </si>
  <si>
    <t>Jessica Verley</t>
  </si>
  <si>
    <t>https://www.google.com/search?newwindow=1&amp;ei=2MT0XrvGGM-vytMP1OyDgAY&amp;q=site%3Alinkedin.com+Jessica+Verley+University+Recruiter+NVIDIA</t>
  </si>
  <si>
    <t>Wendell Tull</t>
  </si>
  <si>
    <t>https://www.google.com/search?newwindow=1&amp;ei=2MT0XrvGGM-vytMP1OyDgAY&amp;q=site%3Alinkedin.com+Wendell+Tull+Campus+Recruiting+Manager+NVIDIA</t>
  </si>
  <si>
    <t>Nancy Huynh</t>
  </si>
  <si>
    <t>https://www.google.com/search?newwindow=1&amp;ei=2MT0XrvGGM-vytMP1OyDgAY&amp;q=site%3Alinkedin.com+Nancy+Huynh+University+Recruiter+NVIDIA</t>
  </si>
  <si>
    <t>Jennifer R.</t>
  </si>
  <si>
    <t>https://www.google.com/search?newwindow=1&amp;ei=2MT0XrvGGM-vytMP1OyDgAY&amp;q=site%3Alinkedin.com+Jennifer+R.+University+Recruiter+NVIDIA</t>
  </si>
  <si>
    <t>Cynthia Le</t>
  </si>
  <si>
    <t>https://www.google.com/search?newwindow=1&amp;ei=2MT0XrvGGM-vytMP1OyDgAY&amp;q=site%3Alinkedin.com+Cynthia+Le+University+Recruiting+Campus+Manager+NVIDIA</t>
  </si>
  <si>
    <t>Ray Rufino</t>
  </si>
  <si>
    <t>https://www.google.com/search?newwindow=1&amp;ei=2MT0XrvGGM-vytMP1OyDgAY&amp;q=site%3Alinkedin.com+Ray+Rufino+University+Recruiter+NVIDIA</t>
  </si>
  <si>
    <t>Lauren Silveira</t>
  </si>
  <si>
    <t>Campus Manager, University Recruiting</t>
  </si>
  <si>
    <t>https://www.google.com/search?newwindow=1&amp;ei=2MT0XrvGGM-vytMP1OyDgAY&amp;q=site%3Alinkedin.com+Lauren+Silveira+Campus+Manager,+University+Recruiting+NVIDIA</t>
  </si>
  <si>
    <t>Olga Nikolaev</t>
  </si>
  <si>
    <t>University Recruiter - Hardware Engineering, Deep Learning, &amp; Autonomous Vehicles</t>
  </si>
  <si>
    <t>https://www.google.com/search?newwindow=1&amp;ei=2MT0XrvGGM-vytMP1OyDgAY&amp;q=site%3Alinkedin.com+Olga+Nikolaev+University+Recruiter+-+Hardware+Engineering,+Deep+Learning,+&amp;+Autonomous+Vehicles+NVIDIA</t>
  </si>
  <si>
    <t>Eric Vargas</t>
  </si>
  <si>
    <t>https://www.google.com/search?newwindow=1&amp;ei=2MT0XrvGGM-vytMP1OyDgAY&amp;q=site%3Alinkedin.com+Eric+Vargas+University+Recruiter+NVIDIA</t>
  </si>
  <si>
    <t>Crystal Aggarwal</t>
  </si>
  <si>
    <t>https://www.google.com/search?newwindow=1&amp;ei=2MT0XrvGGM-vytMP1OyDgAY&amp;q=site%3Alinkedin.com+Crystal+Aggarwal+University+Recruiter+NVIDIA</t>
  </si>
  <si>
    <t>Ashley Jetson</t>
  </si>
  <si>
    <t>University Recruiter - Research and Applied Research</t>
  </si>
  <si>
    <t>https://www.google.com/search?newwindow=1&amp;ei=2MT0XrvGGM-vytMP1OyDgAY&amp;q=site%3Alinkedin.com+Ashley+Jetson+University+Recruiter+-+Research+and+Applied+Research+NVIDIA</t>
  </si>
  <si>
    <t>Jamie Lockwood</t>
  </si>
  <si>
    <t>https://www.google.com/search?newwindow=1&amp;ei=2MT0XrvGGM-vytMP1OyDgAY&amp;q=site%3Alinkedin.com+Jamie+Lockwood+University+Recruiter+NVIDIA</t>
  </si>
  <si>
    <t>Johanna Lambert</t>
  </si>
  <si>
    <t>Oliver Wyman</t>
  </si>
  <si>
    <t>https://www.google.com/search?newwindow=1&amp;ei=2MT0XrvGGM-vytMP1OyDgAY&amp;q=site%3Alinkedin.com+Johanna+Lambert+Senior+Campus+Recruiter+Oliver+Wyman</t>
  </si>
  <si>
    <t>Tori Tanner</t>
  </si>
  <si>
    <t>https://www.google.com/search?newwindow=1&amp;ei=2MT0XrvGGM-vytMP1OyDgAY&amp;q=site%3Alinkedin.com+Tori+Tanner+Campus+Recruiter+Oliver+Wyman</t>
  </si>
  <si>
    <t>Lia Pizoli</t>
  </si>
  <si>
    <t>Oracle</t>
  </si>
  <si>
    <t>Alexandria</t>
  </si>
  <si>
    <t>https://www.google.com/search?newwindow=1&amp;ei=2MT0XrvGGM-vytMP1OyDgAY&amp;q=site%3Alinkedin.com+Lia+Pizoli+College+Recruiter+Oracle</t>
  </si>
  <si>
    <t>Roxy Wolfe</t>
  </si>
  <si>
    <t>https://www.google.com/search?newwindow=1&amp;ei=2MT0XrvGGM-vytMP1OyDgAY&amp;q=site%3Alinkedin.com+Roxy+Wolfe+Campus+Recruiter+Oracle</t>
  </si>
  <si>
    <t>Andrea Kelley</t>
  </si>
  <si>
    <t>https://www.google.com/search?newwindow=1&amp;ei=2MT0XrvGGM-vytMP1OyDgAY&amp;q=site%3Alinkedin.com+Andrea+Kelley+Campus+Recruiter+Oracle</t>
  </si>
  <si>
    <t>Ali Brooks</t>
  </si>
  <si>
    <t>https://www.google.com/search?newwindow=1&amp;ei=2MT0XrvGGM-vytMP1OyDgAY&amp;q=site%3Alinkedin.com+Ali+Brooks+Senior+College+Recruiter+Oracle</t>
  </si>
  <si>
    <t>Michelle Bilodeau</t>
  </si>
  <si>
    <t>https://www.google.com/search?newwindow=1&amp;ei=2MT0XrvGGM-vytMP1OyDgAY&amp;q=site%3Alinkedin.com+Michelle+Bilodeau+College+Recruiter+Oracle</t>
  </si>
  <si>
    <t>Christian Golofaro</t>
  </si>
  <si>
    <t>https://www.google.com/search?newwindow=1&amp;ei=2MT0XrvGGM-vytMP1OyDgAY&amp;q=site%3Alinkedin.com+Christian+Golofaro+Campus+Recruiter+Oracle</t>
  </si>
  <si>
    <t>Samantha Birkel</t>
  </si>
  <si>
    <t>6 years 11 months in role</t>
  </si>
  <si>
    <t>https://www.google.com/search?newwindow=1&amp;ei=2MT0XrvGGM-vytMP1OyDgAY&amp;q=site%3Alinkedin.com+Samantha+Birkel+College+Recruiter+Oracle</t>
  </si>
  <si>
    <t>Sherice Lane</t>
  </si>
  <si>
    <t>Chico</t>
  </si>
  <si>
    <t>https://www.google.com/search?newwindow=1&amp;ei=2MT0XrvGGM-vytMP1OyDgAY&amp;q=site%3Alinkedin.com+Sherice+Lane+College+Recruiter+Oracle</t>
  </si>
  <si>
    <t>Ralfiel Wright</t>
  </si>
  <si>
    <t>https://www.google.com/search?newwindow=1&amp;ei=2MT0XrvGGM-vytMP1OyDgAY&amp;q=site%3Alinkedin.com+Ralfiel+Wright+University+Recruiter+Oracle</t>
  </si>
  <si>
    <t>Nicole Holliman</t>
  </si>
  <si>
    <t>https://www.google.com/search?newwindow=1&amp;ei=2MT0XrvGGM-vytMP1OyDgAY&amp;q=site%3Alinkedin.com+Nicole+Holliman+College+Recruiter+Oracle</t>
  </si>
  <si>
    <t>Lauren Martinez</t>
  </si>
  <si>
    <t>https://www.google.com/search?newwindow=1&amp;ei=2MT0XrvGGM-vytMP1OyDgAY&amp;q=site%3Alinkedin.com+Lauren+Martinez+College+Recruiter+Oracle</t>
  </si>
  <si>
    <t>Sophie Jenkins</t>
  </si>
  <si>
    <t>Lexington</t>
  </si>
  <si>
    <t>Kentucky</t>
  </si>
  <si>
    <t>https://www.google.com/search?newwindow=1&amp;ei=2MT0XrvGGM-vytMP1OyDgAY&amp;q=site%3Alinkedin.com+Sophie+Jenkins+College+Recruiter+Oracle</t>
  </si>
  <si>
    <t>A.J. Perez</t>
  </si>
  <si>
    <t>https://www.google.com/search?newwindow=1&amp;ei=2MT0XrvGGM-vytMP1OyDgAY&amp;q=site%3Alinkedin.com+A.J.+Perez+College+Recruiter+Oracle</t>
  </si>
  <si>
    <t>Allyson Dubois</t>
  </si>
  <si>
    <t>Oracle College Recruiter</t>
  </si>
  <si>
    <t>8 years 3 months in role and company</t>
  </si>
  <si>
    <t>Lowell</t>
  </si>
  <si>
    <t>https://www.google.com/search?newwindow=1&amp;ei=2MT0XrvGGM-vytMP1OyDgAY&amp;q=site%3Alinkedin.com+Allyson+Dubois+Oracle+College+Recruiter+Oracle</t>
  </si>
  <si>
    <t>Kirsten Cole</t>
  </si>
  <si>
    <t>https://www.google.com/search?newwindow=1&amp;ei=2MT0XrvGGM-vytMP1OyDgAY&amp;q=site%3Alinkedin.com+Kirsten+Cole+University+Recruiter+Oracle</t>
  </si>
  <si>
    <t>Whitney Anderson</t>
  </si>
  <si>
    <t>Senior Recruiter, University Programs</t>
  </si>
  <si>
    <t>PayPal</t>
  </si>
  <si>
    <t>https://www.google.com/search?newwindow=1&amp;ei=2MT0XrvGGM-vytMP1OyDgAY&amp;q=site%3Alinkedin.com+Whitney+Anderson+Senior+Recruiter,+University+Programs+PayPal</t>
  </si>
  <si>
    <t>Iris Lin</t>
  </si>
  <si>
    <t>https://www.google.com/search?newwindow=1&amp;ei=2MT0XrvGGM-vytMP1OyDgAY&amp;q=site%3Alinkedin.com+Iris+Lin+University+Recruiter+PayPal</t>
  </si>
  <si>
    <t>Kellyn Creese</t>
  </si>
  <si>
    <t>https://www.google.com/search?newwindow=1&amp;ei=2MT0XrvGGM-vytMP1OyDgAY&amp;q=site%3Alinkedin.com+Kellyn+Creese+University+Recruiter+PayPal</t>
  </si>
  <si>
    <t>Carleen Haydon</t>
  </si>
  <si>
    <t>https://www.google.com/search?newwindow=1&amp;ei=2MT0XrvGGM-vytMP1OyDgAY&amp;q=site%3Alinkedin.com+Carleen+Haydon+University+Recruiter+PayPal</t>
  </si>
  <si>
    <t>Deana V.</t>
  </si>
  <si>
    <t>Talent Acquistion/Campus Recruiter</t>
  </si>
  <si>
    <t>Philips</t>
  </si>
  <si>
    <t>https://www.google.com/search?newwindow=1&amp;ei=2MT0XrvGGM-vytMP1OyDgAY&amp;q=site%3Alinkedin.com+Deana+V.+Talent+Acquistion/Campus+Recruiter+Philips</t>
  </si>
  <si>
    <t>Theresa Mangan Lang</t>
  </si>
  <si>
    <t>Braintree</t>
  </si>
  <si>
    <t>https://www.google.com/search?newwindow=1&amp;ei=2MT0XrvGGM-vytMP1OyDgAY&amp;q=site%3Alinkedin.com+Theresa+Mangan+Lang+Campus+Recruiter+Philips</t>
  </si>
  <si>
    <t>Melanie Kollmai</t>
  </si>
  <si>
    <t>https://www.google.com/search?newwindow=1&amp;ei=2MT0XrvGGM-vytMP1OyDgAY&amp;q=site%3Alinkedin.com+Melanie+Kollmai+Campus+Recruiter+Philips</t>
  </si>
  <si>
    <t>Tim G.</t>
  </si>
  <si>
    <t>Downstream Engineering Lead Recruiter for Purdue University</t>
  </si>
  <si>
    <t>https://www.google.com/search?newwindow=1&amp;ei=2MT0XrvGGM-vytMP1OyDgAY&amp;q=site%3Alinkedin.com+Tim+G.+Downstream+Engineering+Lead+Recruiter+for+Purdue+University+Phillips+66</t>
  </si>
  <si>
    <t>Anna Minutello</t>
  </si>
  <si>
    <t>Finance Lead Recruiter - University of Texas</t>
  </si>
  <si>
    <t>https://www.google.com/search?newwindow=1&amp;ei=2MT0XrvGGM-vytMP1OyDgAY&amp;q=site%3Alinkedin.com+Anna+Minutello+Finance+Lead+Recruiter+-+University+of+Texas+Phillips+66</t>
  </si>
  <si>
    <t>Kris McDonald</t>
  </si>
  <si>
    <t>HR - Rotational Program Manager</t>
  </si>
  <si>
    <t>Eau Claire-Menomonie</t>
  </si>
  <si>
    <t>https://www.google.com/search?newwindow=1&amp;ei=2MT0XrvGGM-vytMP1OyDgAY&amp;q=site%3Alinkedin.com+Kris+McDonald+HR+-+Rotational+Program+Manager+Phillips-Medisize</t>
  </si>
  <si>
    <t>Ashley Nair</t>
  </si>
  <si>
    <t>Pinterest</t>
  </si>
  <si>
    <t>https://www.google.com/search?newwindow=1&amp;ei=2MT0XrvGGM-vytMP1OyDgAY&amp;q=site%3Alinkedin.com+Ashley+Nair+University+Recruiter+Pinterest</t>
  </si>
  <si>
    <t>Deanna Okuno</t>
  </si>
  <si>
    <t>https://www.google.com/search?newwindow=1&amp;ei=2MT0XrvGGM-vytMP1OyDgAY&amp;q=site%3Alinkedin.com+Deanna+Okuno+University+Recruiter+Pinterest</t>
  </si>
  <si>
    <t>Adriana I. Garcia</t>
  </si>
  <si>
    <t>https://www.google.com/search?newwindow=1&amp;ei=2MT0XrvGGM-vytMP1OyDgAY&amp;q=site%3Alinkedin.com+Adriana+I.+Garcia+University+Recruiter+Pinterest</t>
  </si>
  <si>
    <t>Tricia Tran</t>
  </si>
  <si>
    <t>https://www.google.com/search?newwindow=1&amp;ei=2MT0XrvGGM-vytMP1OyDgAY&amp;q=site%3Alinkedin.com+Tricia+Tran+University+Recruiter+Pinterest</t>
  </si>
  <si>
    <t>Ekta Bathija</t>
  </si>
  <si>
    <t>University Recruiter (PhD Lead)</t>
  </si>
  <si>
    <t>https://www.google.com/search?newwindow=1&amp;ei=2MT0XrvGGM-vytMP1OyDgAY&amp;q=site%3Alinkedin.com+Ekta+Bathija+University+Recruiter+(PhD+Lead)+Pinterest</t>
  </si>
  <si>
    <t>Dani Beale</t>
  </si>
  <si>
    <t>College Recruiter- IT</t>
  </si>
  <si>
    <t>Progressive Insurance</t>
  </si>
  <si>
    <t>Akron</t>
  </si>
  <si>
    <t>https://www.google.com/search?newwindow=1&amp;ei=2MT0XrvGGM-vytMP1OyDgAY&amp;q=site%3Alinkedin.com+Dani+Beale+College+Recruiter-+IT+Progressive+Insurance</t>
  </si>
  <si>
    <t>Lindsey Hojnowski</t>
  </si>
  <si>
    <t>IT College Recruiter</t>
  </si>
  <si>
    <t>https://www.google.com/search?newwindow=1&amp;ei=2MT0XrvGGM-vytMP1OyDgAY&amp;q=site%3Alinkedin.com+Lindsey+Hojnowski+IT+College+Recruiter+Progressive+Insurance</t>
  </si>
  <si>
    <t>Samantha Salway</t>
  </si>
  <si>
    <t>https://www.google.com/search?newwindow=1&amp;ei=2MT0XrvGGM-vytMP1OyDgAY&amp;q=site%3Alinkedin.com+Samantha+Salway+College+Recruiter+Progressive+Insurance</t>
  </si>
  <si>
    <t>Aimee Carcioppolo</t>
  </si>
  <si>
    <t>Independence</t>
  </si>
  <si>
    <t>https://www.google.com/search?newwindow=1&amp;ei=2MT0XrvGGM-vytMP1OyDgAY&amp;q=site%3Alinkedin.com+Aimee+Carcioppolo+IT+College+Recruiter+Progressive+Insurance</t>
  </si>
  <si>
    <t>Sarah Williams</t>
  </si>
  <si>
    <t>Protiviti</t>
  </si>
  <si>
    <t>https://www.google.com/search?newwindow=1&amp;ei=2MT0XrvGGM-vytMP1OyDgAY&amp;q=site%3Alinkedin.com+Sarah+Williams+Campus+Recruiting+Manager+Protiviti</t>
  </si>
  <si>
    <t>Mariah Wills</t>
  </si>
  <si>
    <t>https://www.google.com/search?newwindow=1&amp;ei=2MT0XrvGGM-vytMP1OyDgAY&amp;q=site%3Alinkedin.com+Mariah+Wills+Campus+Recruiter+Protiviti</t>
  </si>
  <si>
    <t>Katelyn Sypher</t>
  </si>
  <si>
    <t>https://www.google.com/search?newwindow=1&amp;ei=2MT0XrvGGM-vytMP1OyDgAY&amp;q=site%3Alinkedin.com+Katelyn+Sypher+Campus+Recruiting+Manager+Protiviti</t>
  </si>
  <si>
    <t>https://www.google.com/search?newwindow=1&amp;ei=2MT0XrvGGM-vytMP1OyDgAY&amp;q=site%3Alinkedin.com+Melissa+Miller+Campus+Recruiter+Protiviti</t>
  </si>
  <si>
    <t>Kim Winkler</t>
  </si>
  <si>
    <t>https://www.google.com/search?newwindow=1&amp;ei=2MT0XrvGGM-vytMP1OyDgAY&amp;q=site%3Alinkedin.com+Kim+Winkler+Campus+Recruiting+Manager+Protiviti,+Inc.</t>
  </si>
  <si>
    <t>Paulette Sprigg</t>
  </si>
  <si>
    <t>Business Recruiter, Experienced Hire</t>
  </si>
  <si>
    <t>PwC</t>
  </si>
  <si>
    <t>https://www.google.com/search?newwindow=1&amp;ei=2MT0XrvGGM-vytMP1OyDgAY&amp;q=site%3Alinkedin.com+Paulette+Sprigg+Business+Recruiter,+Experienced+Hire+PricewaterhouseCoopers</t>
  </si>
  <si>
    <t>Corinne Santos</t>
  </si>
  <si>
    <t>11 years 1 month in role</t>
  </si>
  <si>
    <t>https://www.google.com/search?newwindow=1&amp;ei=2MT0XrvGGM-vytMP1OyDgAY&amp;q=site%3Alinkedin.com+Corinne+Santos+Campus+Recruiter+PricewaterhouseCoopers</t>
  </si>
  <si>
    <t>Karen Putnam</t>
  </si>
  <si>
    <t>9 years 5 months in role</t>
  </si>
  <si>
    <t>https://www.google.com/search?newwindow=1&amp;ei=2MT0XrvGGM-vytMP1OyDgAY&amp;q=site%3Alinkedin.com+Karen+Putnam+Campus+Recruiting+Manager+PricewaterhouseCoopers</t>
  </si>
  <si>
    <t>Jennifer Kaniewski</t>
  </si>
  <si>
    <t>HR &amp; Campus Recruiting Manager</t>
  </si>
  <si>
    <t>https://www.google.com/search?newwindow=1&amp;ei=2MT0XrvGGM-vytMP1OyDgAY&amp;q=site%3Alinkedin.com+Jennifer+Kaniewski+HR+&amp;+Campus+Recruiting+Manager+PricewaterhouseCoopers</t>
  </si>
  <si>
    <t>Rene' Newsome</t>
  </si>
  <si>
    <t>13 years 3 months in role</t>
  </si>
  <si>
    <t>Louisville</t>
  </si>
  <si>
    <t>https://www.google.com/search?newwindow=1&amp;ei=2MT0XrvGGM-vytMP1OyDgAY&amp;q=site%3Alinkedin.com+Rene'+Newsome+Campus+Recruiting+Manager+PricewaterhouseCoopers</t>
  </si>
  <si>
    <t>Kurt Peterson</t>
  </si>
  <si>
    <t>https://www.google.com/search?newwindow=1&amp;ei=2MT0XrvGGM-vytMP1OyDgAY&amp;q=site%3Alinkedin.com+Kurt+Peterson+Campus+Recruiting+Manager+PricewaterhouseCoopers</t>
  </si>
  <si>
    <t>Angela Helbing</t>
  </si>
  <si>
    <t>Manager of Campus Recruiting</t>
  </si>
  <si>
    <t>https://www.google.com/search?newwindow=1&amp;ei=2MT0XrvGGM-vytMP1OyDgAY&amp;q=site%3Alinkedin.com+Angela+Helbing+Manager+of+Campus+Recruiting+PricewaterhouseCoopers</t>
  </si>
  <si>
    <t>Kim Kueper</t>
  </si>
  <si>
    <t>32 years 4 months in role</t>
  </si>
  <si>
    <t>https://www.google.com/search?newwindow=1&amp;ei=2MT0XrvGGM-vytMP1OyDgAY&amp;q=site%3Alinkedin.com+Kim+Kueper+Campus+Recruiter+PricewaterhouseCoopers</t>
  </si>
  <si>
    <t>Allyson Cowden</t>
  </si>
  <si>
    <t>https://www.google.com/search?newwindow=1&amp;ei=2MT0XrvGGM-vytMP1OyDgAY&amp;q=site%3Alinkedin.com+Allyson+Cowden+Campus+Recruiting+Manager+PwC</t>
  </si>
  <si>
    <t>Teryl Booth</t>
  </si>
  <si>
    <t>https://www.google.com/search?newwindow=1&amp;ei=2MT0XrvGGM-vytMP1OyDgAY&amp;q=site%3Alinkedin.com+Teryl+Booth+Campus+Recruiting+Manager+PwC</t>
  </si>
  <si>
    <t>Julie Mims</t>
  </si>
  <si>
    <t>Campus Talent Acquisition Manager</t>
  </si>
  <si>
    <t>https://www.google.com/search?newwindow=1&amp;ei=2MT0XrvGGM-vytMP1OyDgAY&amp;q=site%3Alinkedin.com+Julie+Mims+Campus+Talent+Acquisition+Manager+PwC</t>
  </si>
  <si>
    <t>Lauren Suttner</t>
  </si>
  <si>
    <t>https://www.google.com/search?newwindow=1&amp;ei=2MT0XrvGGM-vytMP1OyDgAY&amp;q=site%3Alinkedin.com+Lauren+Suttner+Campus+Recruiting+Manager+PwC</t>
  </si>
  <si>
    <t>Leanne Vail</t>
  </si>
  <si>
    <t>https://www.google.com/search?newwindow=1&amp;ei=2MT0XrvGGM-vytMP1OyDgAY&amp;q=site%3Alinkedin.com+Leanne+Vail+Campus+Recruiter+PwC</t>
  </si>
  <si>
    <t>Michael Watkins</t>
  </si>
  <si>
    <t>https://www.google.com/search?newwindow=1&amp;ei=2MT0XrvGGM-vytMP1OyDgAY&amp;q=site%3Alinkedin.com+Michael+Watkins+Manager,+Campus+Recruiting+PwC</t>
  </si>
  <si>
    <t>Jen Marshall</t>
  </si>
  <si>
    <t>8 years 5 months in role</t>
  </si>
  <si>
    <t>https://www.google.com/search?newwindow=1&amp;ei=2MT0XrvGGM-vytMP1OyDgAY&amp;q=site%3Alinkedin.com+Jen+Marshall+Campus+Recruiting+Manager+PwC</t>
  </si>
  <si>
    <t>Anne (Keppler) Mayor</t>
  </si>
  <si>
    <t>Talent Acquisition Manager, Advisory Campus Recruiting</t>
  </si>
  <si>
    <t>https://www.google.com/search?newwindow=1&amp;ei=2MT0XrvGGM-vytMP1OyDgAY&amp;q=site%3Alinkedin.com+Anne+(Keppler)+Mayor+Talent+Acquisition+Manager,+Advisory+Campus+Recruiting+PwC</t>
  </si>
  <si>
    <t>Lydia Ghattas</t>
  </si>
  <si>
    <t>https://www.google.com/search?newwindow=1&amp;ei=2MT0XrvGGM-vytMP1OyDgAY&amp;q=site%3Alinkedin.com+Lydia+Ghattas+Campus+Recruiter+PwC</t>
  </si>
  <si>
    <t>Sarah Wagner</t>
  </si>
  <si>
    <t>6 years 8 months in role</t>
  </si>
  <si>
    <t>https://www.google.com/search?newwindow=1&amp;ei=2MT0XrvGGM-vytMP1OyDgAY&amp;q=site%3Alinkedin.com+Sarah+Wagner+Campus+Recruiter+PwC</t>
  </si>
  <si>
    <t>Lauren Thomas</t>
  </si>
  <si>
    <t>Campus Talent ID Recruiter</t>
  </si>
  <si>
    <t>https://www.google.com/search?newwindow=1&amp;ei=2MT0XrvGGM-vytMP1OyDgAY&amp;q=site%3Alinkedin.com+Lauren+Thomas+Campus+Talent+ID+Recruiter+PwC</t>
  </si>
  <si>
    <t>Ferrin Decker</t>
  </si>
  <si>
    <t>Senior Manager Advisory Campus Recruiting</t>
  </si>
  <si>
    <t>https://www.google.com/search?newwindow=1&amp;ei=2MT0XrvGGM-vytMP1OyDgAY&amp;q=site%3Alinkedin.com+Ferrin+Decker+Senior+Manager+Advisory+Campus+Recruiting+PwC</t>
  </si>
  <si>
    <t>Stephanie Angellotto</t>
  </si>
  <si>
    <t>Campus Recruiting Manager - Southwest &amp; Bay Area NW</t>
  </si>
  <si>
    <t>https://www.google.com/search?newwindow=1&amp;ei=2MT0XrvGGM-vytMP1OyDgAY&amp;q=site%3Alinkedin.com+Stephanie+Angellotto+Campus+Recruiting+Manager+-+Southwest+&amp;+Bay+Area+NW+PwC</t>
  </si>
  <si>
    <t>Kristina Scutari</t>
  </si>
  <si>
    <t>https://www.google.com/search?newwindow=1&amp;ei=2MT0XrvGGM-vytMP1OyDgAY&amp;q=site%3Alinkedin.com+Kristina+Scutari+Campus+Recruiting+Manager+PwC</t>
  </si>
  <si>
    <t>Katie Doerer, MBA</t>
  </si>
  <si>
    <t>Hopkins</t>
  </si>
  <si>
    <t>https://www.google.com/search?newwindow=1&amp;ei=2MT0XrvGGM-vytMP1OyDgAY&amp;q=site%3Alinkedin.com+Katie+Doerer,+MBA+Campus+Recruiting+Manager+PwC</t>
  </si>
  <si>
    <t>Mandi Folks</t>
  </si>
  <si>
    <t>https://www.google.com/search?newwindow=1&amp;ei=2MT0XrvGGM-vytMP1OyDgAY&amp;q=site%3Alinkedin.com+Mandi+Folks+Campus+Recruiter+PwC</t>
  </si>
  <si>
    <t>Amanda Garcia</t>
  </si>
  <si>
    <t>Southwest Tax Campus Recruiting Manager</t>
  </si>
  <si>
    <t>https://www.google.com/search?newwindow=1&amp;ei=2MT0XrvGGM-vytMP1OyDgAY&amp;q=site%3Alinkedin.com+Amanda+Garcia+Southwest+Tax+Campus+Recruiting+Manager+PwC</t>
  </si>
  <si>
    <t>Anny Liang</t>
  </si>
  <si>
    <t>Malden</t>
  </si>
  <si>
    <t>https://www.google.com/search?newwindow=1&amp;ei=2MT0XrvGGM-vytMP1OyDgAY&amp;q=site%3Alinkedin.com+Anny+Liang+Early+Talent+Campus+Recruiter+PwC</t>
  </si>
  <si>
    <t>Federico E.</t>
  </si>
  <si>
    <t>https://www.google.com/search?newwindow=1&amp;ei=2MT0XrvGGM-vytMP1OyDgAY&amp;q=site%3Alinkedin.com+Federico+E.+Campus+Recruiting+Manager+PwC</t>
  </si>
  <si>
    <t>Aileen Meade</t>
  </si>
  <si>
    <t>Assurance Business Recruiting Manager</t>
  </si>
  <si>
    <t>https://www.google.com/search?newwindow=1&amp;ei=2MT0XrvGGM-vytMP1OyDgAY&amp;q=site%3Alinkedin.com+Aileen+Meade+Assurance+Business+Recruiting+Manager+PwC</t>
  </si>
  <si>
    <t>Danielle (.</t>
  </si>
  <si>
    <t>Talent Acquisition Manager</t>
  </si>
  <si>
    <t>https://www.google.com/search?newwindow=1&amp;ei=2MT0XrvGGM-vytMP1OyDgAY&amp;q=site%3Alinkedin.com+Danielle+(.+Talent+Acquisition+Manager+PwC</t>
  </si>
  <si>
    <t>Jia C.</t>
  </si>
  <si>
    <t>https://www.google.com/search?newwindow=1&amp;ei=2MT0XrvGGM-vytMP1OyDgAY&amp;q=site%3Alinkedin.com+Jia+C.+Campus+Recruiting+Manager+PwC</t>
  </si>
  <si>
    <t>Kaitlin McDermott Hopkins, SHRM-SCP</t>
  </si>
  <si>
    <t>Mid-Atlantic Campus Recruiting Lead | Senior Manager</t>
  </si>
  <si>
    <t>https://www.google.com/search?newwindow=1&amp;ei=2MT0XrvGGM-vytMP1OyDgAY&amp;q=site%3Alinkedin.com+Kaitlin+McDermott+Hopkins,+SHRM-SCP+Mid-Atlantic+Campus+Recruiting+Lead+|+Senior+Manager+PwC</t>
  </si>
  <si>
    <t>Kelly Farrell, MBA</t>
  </si>
  <si>
    <t>Tax Business Recruiting Manager</t>
  </si>
  <si>
    <t>https://www.google.com/search?newwindow=1&amp;ei=2MT0XrvGGM-vytMP1OyDgAY&amp;q=site%3Alinkedin.com+Kelly+Farrell,+MBA+Tax+Business+Recruiting+Manager+PwC</t>
  </si>
  <si>
    <t>Shanike Young</t>
  </si>
  <si>
    <t>https://www.google.com/search?newwindow=1&amp;ei=2MT0XrvGGM-vytMP1OyDgAY&amp;q=site%3Alinkedin.com+Shanike+Young+Campus+Recruiter+PwC</t>
  </si>
  <si>
    <t>Laura Chapman</t>
  </si>
  <si>
    <t>Piscataway Township</t>
  </si>
  <si>
    <t>https://www.google.com/search?newwindow=1&amp;ei=2MT0XrvGGM-vytMP1OyDgAY&amp;q=site%3Alinkedin.com+Laura+Chapman+Campus+Recruiting+Senior+Manager+PwC</t>
  </si>
  <si>
    <t>Kassie 'Schlegel' Plummer, CPA</t>
  </si>
  <si>
    <t>Missouri Market Campus Recruiting Manager</t>
  </si>
  <si>
    <t>Prairie Village</t>
  </si>
  <si>
    <t>https://www.google.com/search?newwindow=1&amp;ei=2MT0XrvGGM-vytMP1OyDgAY&amp;q=site%3Alinkedin.com+Kassie+'Schlegel'+Plummer,+CPA+Missouri+Market+Campus+Recruiting+Manager+PwC</t>
  </si>
  <si>
    <t>Jess Bailey</t>
  </si>
  <si>
    <t>https://www.google.com/search?newwindow=1&amp;ei=2MT0XrvGGM-vytMP1OyDgAY&amp;q=site%3Alinkedin.com+Jess+Bailey+Campus+Recruiting+Manager+PwC</t>
  </si>
  <si>
    <t>https://www.google.com/search?newwindow=1&amp;ei=2MT0XrvGGM-vytMP1OyDgAY&amp;q=site%3Alinkedin.com+Kim+Kueper+Campus+Recruiter+PwC</t>
  </si>
  <si>
    <t>Emily Jones</t>
  </si>
  <si>
    <t>Stockton</t>
  </si>
  <si>
    <t>https://www.google.com/search?newwindow=1&amp;ei=2MT0XrvGGM-vytMP1OyDgAY&amp;q=site%3Alinkedin.com+Emily+Jones+Campus+Recruiter+PwC</t>
  </si>
  <si>
    <t>Meredith TenHoeve</t>
  </si>
  <si>
    <t>https://www.google.com/search?newwindow=1&amp;ei=2MT0XrvGGM-vytMP1OyDgAY&amp;q=site%3Alinkedin.com+Meredith+TenHoeve+Campus+Recruiting+Manager+PwC</t>
  </si>
  <si>
    <t>Harmony Rose Morkve</t>
  </si>
  <si>
    <t>Qualtrics</t>
  </si>
  <si>
    <t>https://www.google.com/search?newwindow=1&amp;ei=2MT0XrvGGM-vytMP1OyDgAY&amp;q=site%3Alinkedin.com+Harmony+Rose+Morkve+University+Recruiter+Qualtrics</t>
  </si>
  <si>
    <t>Sarah Brewster</t>
  </si>
  <si>
    <t>https://www.google.com/search?newwindow=1&amp;ei=2MT0XrvGGM-vytMP1OyDgAY&amp;q=site%3Alinkedin.com+Sarah+Brewster+Technical+University+Recruiter+Qualtrics</t>
  </si>
  <si>
    <t>Tatiana Messersmith</t>
  </si>
  <si>
    <t>https://www.google.com/search?newwindow=1&amp;ei=2MT0XrvGGM-vytMP1OyDgAY&amp;q=site%3Alinkedin.com+Tatiana+Messersmith+University+Recruiter+Qualtrics</t>
  </si>
  <si>
    <t>Sara Cho</t>
  </si>
  <si>
    <t>https://www.google.com/search?newwindow=1&amp;ei=2MT0XrvGGM-vytMP1OyDgAY&amp;q=site%3Alinkedin.com+Sara+Cho+Technical+University+Recruiter+Qualtrics</t>
  </si>
  <si>
    <t>Brigid Sullivan</t>
  </si>
  <si>
    <t>Raytheon</t>
  </si>
  <si>
    <t>https://www.google.com/search?newwindow=1&amp;ei=2MT0XrvGGM-vytMP1OyDgAY&amp;q=site%3Alinkedin.com+Brigid+Sullivan+University+Programs+Recruiter+Raytheon</t>
  </si>
  <si>
    <t>Michelle Ciak</t>
  </si>
  <si>
    <t>https://www.google.com/search?newwindow=1&amp;ei=2MT0XrvGGM-vytMP1OyDgAY&amp;q=site%3Alinkedin.com+Michelle+Ciak+University+Programs+Recruiter+Raytheon</t>
  </si>
  <si>
    <t>Jennifer Smyth</t>
  </si>
  <si>
    <t>14 years 3 months in company</t>
  </si>
  <si>
    <t>Chelmsford</t>
  </si>
  <si>
    <t>https://www.google.com/search?newwindow=1&amp;ei=2MT0XrvGGM-vytMP1OyDgAY&amp;q=site%3Alinkedin.com+Jennifer+Smyth+Recruiter+Raytheon</t>
  </si>
  <si>
    <t>Katie Tuthill</t>
  </si>
  <si>
    <t>https://www.google.com/search?newwindow=1&amp;ei=2MT0XrvGGM-vytMP1OyDgAY&amp;q=site%3Alinkedin.com+Katie+Tuthill+University+Programs+Recruiter+Raytheon</t>
  </si>
  <si>
    <t>Richard DeStefano</t>
  </si>
  <si>
    <t>Groveland</t>
  </si>
  <si>
    <t>https://www.google.com/search?newwindow=1&amp;ei=2MT0XrvGGM-vytMP1OyDgAY&amp;q=site%3Alinkedin.com+Richard+DeStefano+University+Programs+Manager+Raytheon</t>
  </si>
  <si>
    <t>Celine Dye</t>
  </si>
  <si>
    <t>Hawthorne</t>
  </si>
  <si>
    <t>https://www.google.com/search?newwindow=1&amp;ei=2MT0XrvGGM-vytMP1OyDgAY&amp;q=site%3Alinkedin.com+Celine+Dye+University+Programs+Recruiter+Raytheon</t>
  </si>
  <si>
    <t>Curtis Sargent</t>
  </si>
  <si>
    <t>Nashua</t>
  </si>
  <si>
    <t>https://www.google.com/search?newwindow=1&amp;ei=2MT0XrvGGM-vytMP1OyDgAY&amp;q=site%3Alinkedin.com+Curtis+Sargent+University+Programs+Recruiter+Raytheon</t>
  </si>
  <si>
    <t>Jennifer Rhodes</t>
  </si>
  <si>
    <t>Springfield</t>
  </si>
  <si>
    <t>https://www.google.com/search?newwindow=1&amp;ei=2MT0XrvGGM-vytMP1OyDgAY&amp;q=site%3Alinkedin.com+Jennifer+Rhodes+University+Programs+Recruiter+Raytheon</t>
  </si>
  <si>
    <t>Carolyn Murwin, MS</t>
  </si>
  <si>
    <t>Sr. Employment Recruiter</t>
  </si>
  <si>
    <t>Tewksbury</t>
  </si>
  <si>
    <t>https://www.google.com/search?newwindow=1&amp;ei=2MT0XrvGGM-vytMP1OyDgAY&amp;q=site%3Alinkedin.com+Carolyn+Murwin,+MS+Sr.+Employment+Recruiter+Raytheon+Missiles+&amp;+Defense</t>
  </si>
  <si>
    <t>Lexi Casarez</t>
  </si>
  <si>
    <t>University Programs Recruiter at Raytheon Missiles &amp; Defense</t>
  </si>
  <si>
    <t>https://www.google.com/search?newwindow=1&amp;ei=2MT0XrvGGM-vytMP1OyDgAY&amp;q=site%3Alinkedin.com+Lexi+Casarez+University+Programs+Recruiter+at+Raytheon+Missiles+&amp;+Defense+Raytheon+Missiles+&amp;+Defense</t>
  </si>
  <si>
    <t>Hazel Y. Lopez</t>
  </si>
  <si>
    <t>https://www.google.com/search?newwindow=1&amp;ei=2MT0XrvGGM-vytMP1OyDgAY&amp;q=site%3Alinkedin.com+Hazel+Y.+Lopez+University+Programs+Recruiter+Raytheon+Technologies</t>
  </si>
  <si>
    <t>Erin Pruitt</t>
  </si>
  <si>
    <t>University Programs Recruiter - Raytheon Intelligence and Space</t>
  </si>
  <si>
    <t>https://www.google.com/search?newwindow=1&amp;ei=2MT0XrvGGM-vytMP1OyDgAY&amp;q=site%3Alinkedin.com+Erin+Pruitt+University+Programs+Recruiter+-+Raytheon+Intelligence+and+Space+Raytheon+Technologies</t>
  </si>
  <si>
    <t>LaToya Johnson</t>
  </si>
  <si>
    <t>https://www.google.com/search?newwindow=1&amp;ei=2MT0XrvGGM-vytMP1OyDgAY&amp;q=site%3Alinkedin.com+LaToya+Johnson+University+Programs+Recruiter+Raytheon+Technologies</t>
  </si>
  <si>
    <t>Kevin Lohmeier</t>
  </si>
  <si>
    <t>Campus Recruiting Manager - University of Arizona</t>
  </si>
  <si>
    <t>https://www.google.com/search?newwindow=1&amp;ei=2MT0XrvGGM-vytMP1OyDgAY&amp;q=site%3Alinkedin.com+Kevin+Lohmeier+Campus+Recruiting+Manager+-+University+of+Arizona+Raytheon+Technologies</t>
  </si>
  <si>
    <t>Amy Rosenblum</t>
  </si>
  <si>
    <t>https://www.google.com/search?newwindow=1&amp;ei=2MT0XrvGGM-vytMP1OyDgAY&amp;q=site%3Alinkedin.com+Amy+Rosenblum+University+Programs+Recruiter+Raytheon+Technologies</t>
  </si>
  <si>
    <t>Alvin Hui</t>
  </si>
  <si>
    <t>University Recruiter &amp; Program Manager</t>
  </si>
  <si>
    <t>Robinhood</t>
  </si>
  <si>
    <t>https://www.google.com/search?newwindow=1&amp;ei=2MT0XrvGGM-vytMP1OyDgAY&amp;q=site%3Alinkedin.com+Alvin+Hui+University+Recruiter+&amp;+Program+Manager+Robinhood</t>
  </si>
  <si>
    <t>Andrew Yeung</t>
  </si>
  <si>
    <t>https://www.google.com/search?newwindow=1&amp;ei=2MT0XrvGGM-vytMP1OyDgAY&amp;q=site%3Alinkedin.com+Andrew+Yeung+Senior+University+Recruiter+Robinhood</t>
  </si>
  <si>
    <t>Sam Lee</t>
  </si>
  <si>
    <t>https://www.google.com/search?newwindow=1&amp;ei=2MT0XrvGGM-vytMP1OyDgAY&amp;q=site%3Alinkedin.com+Sam+Lee+University+Recruiter+Robinhood</t>
  </si>
  <si>
    <t>Tiffany Siu</t>
  </si>
  <si>
    <t>https://www.google.com/search?newwindow=1&amp;ei=2MT0XrvGGM-vytMP1OyDgAY&amp;q=site%3Alinkedin.com+Tiffany+Siu+University+Recruiter+Robinhood</t>
  </si>
  <si>
    <t>Shanna Naeole</t>
  </si>
  <si>
    <t>RSM US LLP</t>
  </si>
  <si>
    <t>https://www.google.com/search?newwindow=1&amp;ei=2MT0XrvGGM-vytMP1OyDgAY&amp;q=site%3Alinkedin.com+Shanna+Naeole+Senior+Campus+Recruiter+RSM+US+LLP</t>
  </si>
  <si>
    <t>Hayley Johnson</t>
  </si>
  <si>
    <t>Sr. Campus Recruiter - Audit &amp; Tax</t>
  </si>
  <si>
    <t>https://www.google.com/search?newwindow=1&amp;ei=2MT0XrvGGM-vytMP1OyDgAY&amp;q=site%3Alinkedin.com+Hayley+Johnson+Sr.+Campus+Recruiter+-+Audit+&amp;+Tax+RSM+US+LLP</t>
  </si>
  <si>
    <t>Amber Campbell</t>
  </si>
  <si>
    <t>Talent Acquisition - Senior Campus Recruiter</t>
  </si>
  <si>
    <t>https://www.google.com/search?newwindow=1&amp;ei=2MT0XrvGGM-vytMP1OyDgAY&amp;q=site%3Alinkedin.com+Amber+Campbell+Talent+Acquisition+-+Senior+Campus+Recruiter+RSM+US+LLP</t>
  </si>
  <si>
    <t>Aimee Williams</t>
  </si>
  <si>
    <t>Bethalto</t>
  </si>
  <si>
    <t>https://www.google.com/search?newwindow=1&amp;ei=2MT0XrvGGM-vytMP1OyDgAY&amp;q=site%3Alinkedin.com+Aimee+Williams+Sr.+Campus+Recruiter+RSM+US+LLP</t>
  </si>
  <si>
    <t>Leah Gordon</t>
  </si>
  <si>
    <t>https://www.google.com/search?newwindow=1&amp;ei=2MT0XrvGGM-vytMP1OyDgAY&amp;q=site%3Alinkedin.com+Leah+Gordon+Sr.+Campus+Recruiter+RSM+US+LLP</t>
  </si>
  <si>
    <t>Tara Skrla</t>
  </si>
  <si>
    <t>Consulting Campus Recruiter - Senior Associate</t>
  </si>
  <si>
    <t>https://www.google.com/search?newwindow=1&amp;ei=2MT0XrvGGM-vytMP1OyDgAY&amp;q=site%3Alinkedin.com+Tara+Skrla+Consulting+Campus+Recruiter+-+Senior+Associate+RSM+US+LLP</t>
  </si>
  <si>
    <t>Tricia Raper</t>
  </si>
  <si>
    <t>Cedar Rapids</t>
  </si>
  <si>
    <t>https://www.google.com/search?newwindow=1&amp;ei=2MT0XrvGGM-vytMP1OyDgAY&amp;q=site%3Alinkedin.com+Tricia+Raper+Senior+Campus+Recruiter+RSM+US+LLP</t>
  </si>
  <si>
    <t>Cori Moore, CPA</t>
  </si>
  <si>
    <t>https://www.google.com/search?newwindow=1&amp;ei=2MT0XrvGGM-vytMP1OyDgAY&amp;q=site%3Alinkedin.com+Cori+Moore,+CPA+Senior+Campus+Recruiter+RSM+US+LLP</t>
  </si>
  <si>
    <t>Ina Abraham</t>
  </si>
  <si>
    <t>https://www.google.com/search?newwindow=1&amp;ei=2MT0XrvGGM-vytMP1OyDgAY&amp;q=site%3Alinkedin.com+Ina+Abraham+Senior+Campus+Recruiter+RSM+US+LLP</t>
  </si>
  <si>
    <t>Maeve O'Connor</t>
  </si>
  <si>
    <t>https://www.google.com/search?newwindow=1&amp;ei=2MT0XrvGGM-vytMP1OyDgAY&amp;q=site%3Alinkedin.com+Maeve+O'Connor+Senior+Campus+Recruiter+RSM+US+LLP</t>
  </si>
  <si>
    <t>Raymond Reyes</t>
  </si>
  <si>
    <t>https://www.google.com/search?newwindow=1&amp;ei=2MT0XrvGGM-vytMP1OyDgAY&amp;q=site%3Alinkedin.com+Raymond+Reyes+Sr.+Campus+Recruiter+RSM+US+LLP</t>
  </si>
  <si>
    <t>Allison Cenci</t>
  </si>
  <si>
    <t>12 years 4 months in role and company</t>
  </si>
  <si>
    <t>https://www.google.com/search?newwindow=1&amp;ei=2MT0XrvGGM-vytMP1OyDgAY&amp;q=site%3Alinkedin.com+Allison+Cenci+Campus+Recruiter+RSM+US+LLP</t>
  </si>
  <si>
    <t>Makenzie Kate Kocurek</t>
  </si>
  <si>
    <t>https://www.google.com/search?newwindow=1&amp;ei=2MT0XrvGGM-vytMP1OyDgAY&amp;q=site%3Alinkedin.com+Makenzie+Kate+Kocurek+Campus+Recruiter+RSM+US+LLP</t>
  </si>
  <si>
    <t>Erika DiGuilio</t>
  </si>
  <si>
    <t>https://www.google.com/search?newwindow=1&amp;ei=2MT0XrvGGM-vytMP1OyDgAY&amp;q=site%3Alinkedin.com+Erika+DiGuilio+Senior+Campus+Recruiter+RSM+US+LLP</t>
  </si>
  <si>
    <t>Shalyce Adamson</t>
  </si>
  <si>
    <t>Lees Summit</t>
  </si>
  <si>
    <t>https://www.google.com/search?newwindow=1&amp;ei=2MT0XrvGGM-vytMP1OyDgAY&amp;q=site%3Alinkedin.com+Shalyce+Adamson+Senior+Campus+Recruiter+RSM+US+LLP</t>
  </si>
  <si>
    <t>Selam Solomon</t>
  </si>
  <si>
    <t>https://www.google.com/search?newwindow=1&amp;ei=2MT0XrvGGM-vytMP1OyDgAY&amp;q=site%3Alinkedin.com+Selam+Solomon+Senior+Campus+Recruiter+RSM+US+LLP</t>
  </si>
  <si>
    <t>Aviva Werde</t>
  </si>
  <si>
    <t>Senior Campus Recruiter - Talent Acquisition, Tax + Audit</t>
  </si>
  <si>
    <t>https://www.google.com/search?newwindow=1&amp;ei=2MT0XrvGGM-vytMP1OyDgAY&amp;q=site%3Alinkedin.com+Aviva+Werde+Senior+Campus+Recruiter+-+Talent+Acquisition,+Tax+++Audit+RSM+US+LLP</t>
  </si>
  <si>
    <t>Jenny Wild</t>
  </si>
  <si>
    <t>https://www.google.com/search?newwindow=1&amp;ei=2MT0XrvGGM-vytMP1OyDgAY&amp;q=site%3Alinkedin.com+Jenny+Wild+Senior+Campus+Recruiter+RSM+US+LLP</t>
  </si>
  <si>
    <t>Kelly Briody</t>
  </si>
  <si>
    <t>Talent Acquisition- Senior Campus Recruiter</t>
  </si>
  <si>
    <t>https://www.google.com/search?newwindow=1&amp;ei=2MT0XrvGGM-vytMP1OyDgAY&amp;q=site%3Alinkedin.com+Kelly+Briody+Talent+Acquisition-+Senior+Campus+Recruiter+RSM+US+LLP</t>
  </si>
  <si>
    <t>Deana Welsch, MSEd.</t>
  </si>
  <si>
    <t>Talent Acquisition Manager - Campus Recruiting</t>
  </si>
  <si>
    <t>https://www.google.com/search?newwindow=1&amp;ei=2MT0XrvGGM-vytMP1OyDgAY&amp;q=site%3Alinkedin.com+Deana+Welsch,+MSEd.+Talent+Acquisition+Manager+-+Campus+Recruiting+RSM+US+LLP</t>
  </si>
  <si>
    <t>Kasey Noble</t>
  </si>
  <si>
    <t>https://www.google.com/search?newwindow=1&amp;ei=2MT0XrvGGM-vytMP1OyDgAY&amp;q=site%3Alinkedin.com+Kasey+Noble+Campus+Recruiter,+Senior+Associate+RSM+US+LLP</t>
  </si>
  <si>
    <t>Meera Desai</t>
  </si>
  <si>
    <t>https://www.google.com/search?newwindow=1&amp;ei=2MT0XrvGGM-vytMP1OyDgAY&amp;q=site%3Alinkedin.com+Meera+Desai+Senior+Campus+Recruiter+RSM+US+LLP</t>
  </si>
  <si>
    <t>Senior Campus Recruiter - Audit &amp; Tax</t>
  </si>
  <si>
    <t>https://www.google.com/search?newwindow=1&amp;ei=2MT0XrvGGM-vytMP1OyDgAY&amp;q=site%3Alinkedin.com+Vivian+Chen+Senior+Campus+Recruiter+-+Audit+&amp;+Tax+RSM+US+LLP</t>
  </si>
  <si>
    <t>Nicolo Enriquez</t>
  </si>
  <si>
    <t>https://www.google.com/search?newwindow=1&amp;ei=2MT0XrvGGM-vytMP1OyDgAY&amp;q=site%3Alinkedin.com+Nicolo+Enriquez+Campus+Recruiter+RSM+US+LLP</t>
  </si>
  <si>
    <t>Alexandra Shillinglaw</t>
  </si>
  <si>
    <t>https://www.google.com/search?newwindow=1&amp;ei=2MT0XrvGGM-vytMP1OyDgAY&amp;q=site%3Alinkedin.com+Alexandra+Shillinglaw+Senior+Campus+Recruiter+RSM+US+LLP</t>
  </si>
  <si>
    <t>Sean Callahan-Dinish</t>
  </si>
  <si>
    <t>Salesforce</t>
  </si>
  <si>
    <t>https://www.google.com/search?newwindow=1&amp;ei=2MT0XrvGGM-vytMP1OyDgAY&amp;q=site%3Alinkedin.com+Sean+Callahan-Dinish+Senior+University+Recruiter+Salesforce</t>
  </si>
  <si>
    <t>Sarah Reid</t>
  </si>
  <si>
    <t>Senior University Tech Recruiter, Futureforce</t>
  </si>
  <si>
    <t>https://www.google.com/search?newwindow=1&amp;ei=2MT0XrvGGM-vytMP1OyDgAY&amp;q=site%3Alinkedin.com+Sarah+Reid+Senior+University+Tech+Recruiter,+Futureforce+Salesforce</t>
  </si>
  <si>
    <t>Ben Amerault</t>
  </si>
  <si>
    <t>Senior Campus Recruiting Talent Scout [Recruiter]</t>
  </si>
  <si>
    <t>https://www.google.com/search?newwindow=1&amp;ei=2MT0XrvGGM-vytMP1OyDgAY&amp;q=site%3Alinkedin.com+Ben+Amerault+Senior+Campus+Recruiting+Talent+Scout+[Recruiter]+Salesforce</t>
  </si>
  <si>
    <t>Bobby Nerbonne</t>
  </si>
  <si>
    <t>University Recruiter (Futureforce)</t>
  </si>
  <si>
    <t>https://www.google.com/search?newwindow=1&amp;ei=2MT0XrvGGM-vytMP1OyDgAY&amp;q=site%3Alinkedin.com+Bobby+Nerbonne+University+Recruiter+(Futureforce)+Salesforce</t>
  </si>
  <si>
    <t>Katherine Schwartz Farah</t>
  </si>
  <si>
    <t>Senior Recruiter</t>
  </si>
  <si>
    <t>Concord</t>
  </si>
  <si>
    <t>https://www.google.com/search?newwindow=1&amp;ei=2MT0XrvGGM-vytMP1OyDgAY&amp;q=site%3Alinkedin.com+Katherine+Schwartz+Farah+Senior+Recruiter+Salesforce</t>
  </si>
  <si>
    <t>Kaitlyn Partridge</t>
  </si>
  <si>
    <t>Senior Technical Recruiter, Futureforce University Recruiting</t>
  </si>
  <si>
    <t>https://www.google.com/search?newwindow=1&amp;ei=2MT0XrvGGM-vytMP1OyDgAY&amp;q=site%3Alinkedin.com+Kaitlyn+Partridge+Senior+Technical+Recruiter,+Futureforce+University+Recruiting+Salesforce</t>
  </si>
  <si>
    <t>Emily Shockley</t>
  </si>
  <si>
    <t>https://www.google.com/search?newwindow=1&amp;ei=2MT0XrvGGM-vytMP1OyDgAY&amp;q=site%3Alinkedin.com+Emily+Shockley+Senior+University+Recruiter+Salesforce</t>
  </si>
  <si>
    <t>Stacy Schall</t>
  </si>
  <si>
    <t>Senior University Recruiter - Futureforce</t>
  </si>
  <si>
    <t>https://www.google.com/search?newwindow=1&amp;ei=2MT0XrvGGM-vytMP1OyDgAY&amp;q=site%3Alinkedin.com+Stacy+Schall+Senior+University+Recruiter+-+Futureforce+Salesforce</t>
  </si>
  <si>
    <t>Molly M. Holt</t>
  </si>
  <si>
    <t>University Recruiter (Talent Scout) - Futureforce</t>
  </si>
  <si>
    <t>https://www.google.com/search?newwindow=1&amp;ei=2MT0XrvGGM-vytMP1OyDgAY&amp;q=site%3Alinkedin.com+Molly+M.+Holt+University+Recruiter+(Talent+Scout)+-+Futureforce+Salesforce</t>
  </si>
  <si>
    <t>Eric Mata</t>
  </si>
  <si>
    <t>Sanofi</t>
  </si>
  <si>
    <t>https://www.google.com/search?newwindow=1&amp;ei=2MT0XrvGGM-vytMP1OyDgAY&amp;q=site%3Alinkedin.com+Eric+Mata+University+Recruiter+Sanofi</t>
  </si>
  <si>
    <t>Jennifer Bassett-Abel</t>
  </si>
  <si>
    <t>https://www.google.com/search?newwindow=1&amp;ei=2MT0XrvGGM-vytMP1OyDgAY&amp;q=site%3Alinkedin.com+Jennifer+Bassett-Abel+University+Recruiter+Sanofi</t>
  </si>
  <si>
    <t>Jermel Green</t>
  </si>
  <si>
    <t>SAP</t>
  </si>
  <si>
    <t>Elkins Park</t>
  </si>
  <si>
    <t>https://www.google.com/search?newwindow=1&amp;ei=2MT0XrvGGM-vytMP1OyDgAY&amp;q=site%3Alinkedin.com+Jermel+Green+University+Recruiter+SAP</t>
  </si>
  <si>
    <t>Brianne Sullivan</t>
  </si>
  <si>
    <t>University &amp; Diversity Recruiter</t>
  </si>
  <si>
    <t>Springfield Township</t>
  </si>
  <si>
    <t>https://www.google.com/search?newwindow=1&amp;ei=2MT0XrvGGM-vytMP1OyDgAY&amp;q=site%3Alinkedin.com+Brianne+Sullivan+University+&amp;+Diversity+Recruiter+SAP</t>
  </si>
  <si>
    <t>Leigh Desai</t>
  </si>
  <si>
    <t>https://www.google.com/search?newwindow=1&amp;ei=2MT0XrvGGM-vytMP1OyDgAY&amp;q=site%3Alinkedin.com+Leigh+Desai+University+Recruiter+SAP+Concur</t>
  </si>
  <si>
    <t>Juliana Oliver</t>
  </si>
  <si>
    <t>SAP University Recruiter &amp; iXp Program Partner</t>
  </si>
  <si>
    <t>https://www.google.com/search?newwindow=1&amp;ei=2MT0XrvGGM-vytMP1OyDgAY&amp;q=site%3Alinkedin.com+Juliana+Oliver+SAP+University+Recruiter+&amp;+iXp+Program+Partner+SAP+Concur</t>
  </si>
  <si>
    <t>Madison Cooley</t>
  </si>
  <si>
    <t>SAP iXp University Recruiter</t>
  </si>
  <si>
    <t>https://www.google.com/search?newwindow=1&amp;ei=2MT0XrvGGM-vytMP1OyDgAY&amp;q=site%3Alinkedin.com+Madison+Cooley+SAP+iXp+University+Recruiter+SAP+Concur</t>
  </si>
  <si>
    <t>Lindsay Whitfield</t>
  </si>
  <si>
    <t>SAS</t>
  </si>
  <si>
    <t>https://www.google.com/search?newwindow=1&amp;ei=2MT0XrvGGM-vytMP1OyDgAY&amp;q=site%3Alinkedin.com+Lindsay+Whitfield+University+Recruiter+SAS</t>
  </si>
  <si>
    <t>Travis Knapp</t>
  </si>
  <si>
    <t>Sr. Associate University Recruiter</t>
  </si>
  <si>
    <t>https://www.google.com/search?newwindow=1&amp;ei=2MT0XrvGGM-vytMP1OyDgAY&amp;q=site%3Alinkedin.com+Travis+Knapp+Sr.+Associate+University+Recruiter+SAS</t>
  </si>
  <si>
    <t>Jennifer Bufalini</t>
  </si>
  <si>
    <t>Shell</t>
  </si>
  <si>
    <t>https://www.google.com/search?newwindow=1&amp;ei=2MT0XrvGGM-vytMP1OyDgAY&amp;q=site%3Alinkedin.com+Jennifer+Bufalini+Senior+Recruiter+Shell</t>
  </si>
  <si>
    <t>Leandra Grant, MBA</t>
  </si>
  <si>
    <t>Lead Procurement Manager</t>
  </si>
  <si>
    <t>https://www.google.com/search?newwindow=1&amp;ei=2MT0XrvGGM-vytMP1OyDgAY&amp;q=site%3Alinkedin.com+Leandra+Grant,+MBA+Lead+Procurement+Manager+Shell</t>
  </si>
  <si>
    <t>Andrea McDade</t>
  </si>
  <si>
    <t>https://www.google.com/search?newwindow=1&amp;ei=2MT0XrvGGM-vytMP1OyDgAY&amp;q=site%3Alinkedin.com+Andrea+McDade+University+Recruiter+Shell</t>
  </si>
  <si>
    <t>Candice Mitchell, MBA, SHRM-CP</t>
  </si>
  <si>
    <t>https://www.google.com/search?newwindow=1&amp;ei=2MT0XrvGGM-vytMP1OyDgAY&amp;q=site%3Alinkedin.com+Candice+Mitchell,+MBA,+SHRM-CP+University+Recruiter+Shell</t>
  </si>
  <si>
    <t>Mary Slater</t>
  </si>
  <si>
    <t>Business Excellence Manager, Shell TechWorks</t>
  </si>
  <si>
    <t>https://www.google.com/search?newwindow=1&amp;ei=2MT0XrvGGM-vytMP1OyDgAY&amp;q=site%3Alinkedin.com+Mary+Slater+Business+Excellence+Manager,+Shell+TechWorks+Shell</t>
  </si>
  <si>
    <t>Ralph Faxel</t>
  </si>
  <si>
    <t>Texas A&amp;M CHEN Campus Recruiter</t>
  </si>
  <si>
    <t>19 years 3 months in role</t>
  </si>
  <si>
    <t>https://www.google.com/search?newwindow=1&amp;ei=2MT0XrvGGM-vytMP1OyDgAY&amp;q=site%3Alinkedin.com+Ralph+Faxel+Texas+A&amp;M+CHEN+Campus+Recruiter+Shell</t>
  </si>
  <si>
    <t>Briana Raasio MBA, PMP</t>
  </si>
  <si>
    <t>Siemens</t>
  </si>
  <si>
    <t>https://www.google.com/search?newwindow=1&amp;ei=2MT0XrvGGM-vytMP1OyDgAY&amp;q=site%3Alinkedin.com+Briana+Raasio+MBA,+PMP+College+Recruiter+Siemens</t>
  </si>
  <si>
    <t>Jillian Rozek</t>
  </si>
  <si>
    <t>University Recruiting Manager</t>
  </si>
  <si>
    <t>https://www.google.com/search?newwindow=1&amp;ei=2MT0XrvGGM-vytMP1OyDgAY&amp;q=site%3Alinkedin.com+Jillian+Rozek+University+Recruiting+Manager+Siemens</t>
  </si>
  <si>
    <t>Jessica Buchberger</t>
  </si>
  <si>
    <t>https://www.google.com/search?newwindow=1&amp;ei=2MT0XrvGGM-vytMP1OyDgAY&amp;q=site%3Alinkedin.com+Jessica+Buchberger+University+Relations+Recruiter+Siemens+Digital+Industries+Software</t>
  </si>
  <si>
    <t>Rina Kotak</t>
  </si>
  <si>
    <t>https://www.google.com/search?newwindow=1&amp;ei=2MT0XrvGGM-vytMP1OyDgAY&amp;q=site%3Alinkedin.com+Rina+Kotak+University+Relations+Recruiter+Siemens+Digital+Industries+Software</t>
  </si>
  <si>
    <t>Claudia Guzman</t>
  </si>
  <si>
    <t>https://www.google.com/search?newwindow=1&amp;ei=2MT0XrvGGM-vytMP1OyDgAY&amp;q=site%3Alinkedin.com+Claudia+Guzman+University+Recruiter+Siemens+Healthineers</t>
  </si>
  <si>
    <t>Cooper Kennard</t>
  </si>
  <si>
    <t>State Farm</t>
  </si>
  <si>
    <t>Potwin</t>
  </si>
  <si>
    <t>https://www.google.com/search?newwindow=1&amp;ei=2MT0XrvGGM-vytMP1OyDgAY&amp;q=site%3Alinkedin.com+Cooper+Kennard+College+Recruiter+State+Farm</t>
  </si>
  <si>
    <t>Cody Walls</t>
  </si>
  <si>
    <t>Information Technology Recruiter - University of Georgia</t>
  </si>
  <si>
    <t>Athens</t>
  </si>
  <si>
    <t>https://www.google.com/search?newwindow=1&amp;ei=2MT0XrvGGM-vytMP1OyDgAY&amp;q=site%3Alinkedin.com+Cody+Walls+Information+Technology+Recruiter+-+University+of+Georgia+State+Farm+®</t>
  </si>
  <si>
    <t>Alexander Kahn</t>
  </si>
  <si>
    <t>NAU College Recruiter</t>
  </si>
  <si>
    <t>https://www.google.com/search?newwindow=1&amp;ei=2MT0XrvGGM-vytMP1OyDgAY&amp;q=site%3Alinkedin.com+Alexander+Kahn+NAU+College+Recruiter+State+Farm+®</t>
  </si>
  <si>
    <t>Ron Pittman, CLU®</t>
  </si>
  <si>
    <t>College Relations Recruiter</t>
  </si>
  <si>
    <t>19 years 7 months in role</t>
  </si>
  <si>
    <t>Winter Haven</t>
  </si>
  <si>
    <t>https://www.google.com/search?newwindow=1&amp;ei=2MT0XrvGGM-vytMP1OyDgAY&amp;q=site%3Alinkedin.com+Ron+Pittman,+CLU®+College+Relations+Recruiter+State+Farm+Insurance</t>
  </si>
  <si>
    <t>Sydney Gayton</t>
  </si>
  <si>
    <t>Campus Recruiter &amp; HR Coordinator</t>
  </si>
  <si>
    <t>Steelcase</t>
  </si>
  <si>
    <t>Ann Arbor</t>
  </si>
  <si>
    <t>https://www.google.com/search?newwindow=1&amp;ei=2MT0XrvGGM-vytMP1OyDgAY&amp;q=site%3Alinkedin.com+Sydney+Gayton+Campus+Recruiter+&amp;+HR+Coordinator+Steelcase</t>
  </si>
  <si>
    <t>Amy L.</t>
  </si>
  <si>
    <t>Talent Acquisition- Lead Campus Recruiter</t>
  </si>
  <si>
    <t>4 years 8 months in role and company</t>
  </si>
  <si>
    <t>https://www.google.com/search?newwindow=1&amp;ei=2MT0XrvGGM-vytMP1OyDgAY&amp;q=site%3Alinkedin.com+Amy+L.+Talent+Acquisition-+Lead+Campus+Recruiter+Steelcase</t>
  </si>
  <si>
    <t>Malissa Moore</t>
  </si>
  <si>
    <t>https://www.google.com/search?newwindow=1&amp;ei=2MT0XrvGGM-vytMP1OyDgAY&amp;q=site%3Alinkedin.com+Malissa+Moore+Campus+Recruiter+Steelcase</t>
  </si>
  <si>
    <t>Lauren Williams</t>
  </si>
  <si>
    <t>Stripe</t>
  </si>
  <si>
    <t>https://www.google.com/search?newwindow=1&amp;ei=2MT0XrvGGM-vytMP1OyDgAY&amp;q=site%3Alinkedin.com+Lauren+Williams+University+Recruiter+Stripe</t>
  </si>
  <si>
    <t>Amy Hassan</t>
  </si>
  <si>
    <t>https://www.google.com/search?newwindow=1&amp;ei=2MT0XrvGGM-vytMP1OyDgAY&amp;q=site%3Alinkedin.com+Amy+Hassan+University+Recruiter+Stripe</t>
  </si>
  <si>
    <t>Eilís Kennedy</t>
  </si>
  <si>
    <t>Technical Recruiter (University) - North America</t>
  </si>
  <si>
    <t>https://www.google.com/search?newwindow=1&amp;ei=2MT0XrvGGM-vytMP1OyDgAY&amp;q=site%3Alinkedin.com+Eilís+Kennedy+Technical+Recruiter+(University)+-+North+America+Stripe</t>
  </si>
  <si>
    <t>Amy Meckes</t>
  </si>
  <si>
    <t>University Sales Recruiter</t>
  </si>
  <si>
    <t>Stryker</t>
  </si>
  <si>
    <t>https://www.google.com/search?newwindow=1&amp;ei=2MT0XrvGGM-vytMP1OyDgAY&amp;q=site%3Alinkedin.com+Amy+Meckes+University+Sales+Recruiter+Stryker</t>
  </si>
  <si>
    <t>Danielle Iacobelli</t>
  </si>
  <si>
    <t>https://www.google.com/search?newwindow=1&amp;ei=2MT0XrvGGM-vytMP1OyDgAY&amp;q=site%3Alinkedin.com+Danielle+Iacobelli+Senior+University+Recruiter+Stryker</t>
  </si>
  <si>
    <t>Jill Pearrow, SHRM-CP</t>
  </si>
  <si>
    <t>Portage</t>
  </si>
  <si>
    <t>https://www.google.com/search?newwindow=1&amp;ei=2MT0XrvGGM-vytMP1OyDgAY&amp;q=site%3Alinkedin.com+Jill+Pearrow,+SHRM-CP+University+Recruiter+Stryker</t>
  </si>
  <si>
    <t>Chris Cook</t>
  </si>
  <si>
    <t>https://www.google.com/search?newwindow=1&amp;ei=2MT0XrvGGM-vytMP1OyDgAY&amp;q=site%3Alinkedin.com+Chris+Cook+University+Recruiter+Stryker</t>
  </si>
  <si>
    <t>Ashley Bothman</t>
  </si>
  <si>
    <t>https://www.google.com/search?newwindow=1&amp;ei=2MT0XrvGGM-vytMP1OyDgAY&amp;q=site%3Alinkedin.com+Ashley+Bothman+Sr.+University+Recruiter+Stryker</t>
  </si>
  <si>
    <t>Calli Conti</t>
  </si>
  <si>
    <t>https://www.google.com/search?newwindow=1&amp;ei=2MT0XrvGGM-vytMP1OyDgAY&amp;q=site%3Alinkedin.com+Calli+Conti+Senior+Recruiter+Stryker+Corporation</t>
  </si>
  <si>
    <t>Sarah Deiter</t>
  </si>
  <si>
    <t>T-Mobile</t>
  </si>
  <si>
    <t>https://www.google.com/search?newwindow=1&amp;ei=2MT0XrvGGM-vytMP1OyDgAY&amp;q=site%3Alinkedin.com+Sarah+Deiter+Senior+University+Recruiter+T-Mobile</t>
  </si>
  <si>
    <t>Brandee Waddell</t>
  </si>
  <si>
    <t>College and Military Recruiter</t>
  </si>
  <si>
    <t>https://www.google.com/search?newwindow=1&amp;ei=2MT0XrvGGM-vytMP1OyDgAY&amp;q=site%3Alinkedin.com+Brandee+Waddell+College+and+Military+Recruiter+T-Mobile</t>
  </si>
  <si>
    <t>Remy Crespo</t>
  </si>
  <si>
    <t>Viewed</t>
  </si>
  <si>
    <t>https://www.google.com/search?newwindow=1&amp;ei=2MT0XrvGGM-vytMP1OyDgAY&amp;q=site%3Alinkedin.com+Remy+Crespo+Viewed+T-Mobile</t>
  </si>
  <si>
    <t>Greg Pare</t>
  </si>
  <si>
    <t>Target</t>
  </si>
  <si>
    <t>https://www.google.com/search?newwindow=1&amp;ei=2MT0XrvGGM-vytMP1OyDgAY&amp;q=site%3Alinkedin.com+Greg+Pare+Lead+Campus+Recruiter+Target</t>
  </si>
  <si>
    <t>Amy Blake</t>
  </si>
  <si>
    <t>Group Campus Recruiter</t>
  </si>
  <si>
    <t>https://www.google.com/search?newwindow=1&amp;ei=2MT0XrvGGM-vytMP1OyDgAY&amp;q=site%3Alinkedin.com+Amy+Blake+Group+Campus+Recruiter+Target</t>
  </si>
  <si>
    <t>Craig Sedoris</t>
  </si>
  <si>
    <t>Bullhead City</t>
  </si>
  <si>
    <t>https://www.google.com/search?newwindow=1&amp;ei=2MT0XrvGGM-vytMP1OyDgAY&amp;q=site%3Alinkedin.com+Craig+Sedoris+Campus+Recruiter+Target</t>
  </si>
  <si>
    <t>MaRyia Jones</t>
  </si>
  <si>
    <t>Campus Recruiter/Business College Leader</t>
  </si>
  <si>
    <t>Chaska</t>
  </si>
  <si>
    <t>https://www.google.com/search?newwindow=1&amp;ei=2MT0XrvGGM-vytMP1OyDgAY&amp;q=site%3Alinkedin.com+MaRyia+Jones+Campus+Recruiter/Business+College+Leader+Target</t>
  </si>
  <si>
    <t>Ashley Miller</t>
  </si>
  <si>
    <t>Lead Executive Campus Recruiter</t>
  </si>
  <si>
    <t>6 years 4 months in role</t>
  </si>
  <si>
    <t>https://www.google.com/search?newwindow=1&amp;ei=2MT0XrvGGM-vytMP1OyDgAY&amp;q=site%3Alinkedin.com+Ashley+Miller+Lead+Executive+Campus+Recruiter+Target</t>
  </si>
  <si>
    <t>Kathryn Kusa</t>
  </si>
  <si>
    <t>5 years 6 months in role</t>
  </si>
  <si>
    <t>https://www.google.com/search?newwindow=1&amp;ei=2MT0XrvGGM-vytMP1OyDgAY&amp;q=site%3Alinkedin.com+Kathryn+Kusa+Campus+Recruiter+Target</t>
  </si>
  <si>
    <t>Beth Bonarrigo</t>
  </si>
  <si>
    <t>Sr. Field Campus Recruiter I Trainer I HR Business Partner</t>
  </si>
  <si>
    <t>https://www.google.com/search?newwindow=1&amp;ei=2MT0XrvGGM-vytMP1OyDgAY&amp;q=site%3Alinkedin.com+Beth+Bonarrigo+Sr.+Field+Campus+Recruiter+I+Trainer+I+HR+Business+Partner+Target</t>
  </si>
  <si>
    <t>Vanessa Kramer</t>
  </si>
  <si>
    <t>https://www.google.com/search?newwindow=1&amp;ei=2MT0XrvGGM-vytMP1OyDgAY&amp;q=site%3Alinkedin.com+Vanessa+Kramer+Campus+Recruiter+Target</t>
  </si>
  <si>
    <t>Andrea Herrald</t>
  </si>
  <si>
    <t>Lead Executive Campus Recruiter-Supply Chain</t>
  </si>
  <si>
    <t>De Kalb</t>
  </si>
  <si>
    <t>https://www.google.com/search?newwindow=1&amp;ei=2MT0XrvGGM-vytMP1OyDgAY&amp;q=site%3Alinkedin.com+Andrea+Herrald+Lead+Executive+Campus+Recruiter-Supply+Chain+Target</t>
  </si>
  <si>
    <t>John Walsh</t>
  </si>
  <si>
    <t>https://www.google.com/search?newwindow=1&amp;ei=2MT0XrvGGM-vytMP1OyDgAY&amp;q=site%3Alinkedin.com+John+Walsh+Campus+Recruiter+Target</t>
  </si>
  <si>
    <t>sara moghadam</t>
  </si>
  <si>
    <t>Fremont</t>
  </si>
  <si>
    <t>https://www.google.com/search?newwindow=1&amp;ei=2MT0XrvGGM-vytMP1OyDgAY&amp;q=site%3Alinkedin.com+sara+moghadam+Group+Campus+Recruiter+Target</t>
  </si>
  <si>
    <t>Amy Hayes</t>
  </si>
  <si>
    <t>Executive Team Leader- Logistics/Campus Recruiter D446</t>
  </si>
  <si>
    <t>https://www.google.com/search?newwindow=1&amp;ei=2MT0XrvGGM-vytMP1OyDgAY&amp;q=site%3Alinkedin.com+Amy+Hayes+Executive+Team+Leader-+Logistics/Campus+Recruiter+D446+Target</t>
  </si>
  <si>
    <t>April Voigt</t>
  </si>
  <si>
    <t>Campus and Experienced Recruiter</t>
  </si>
  <si>
    <t>Holmen</t>
  </si>
  <si>
    <t>https://www.google.com/search?newwindow=1&amp;ei=2MT0XrvGGM-vytMP1OyDgAY&amp;q=site%3Alinkedin.com+April+Voigt+Campus+and+Experienced+Recruiter+Target</t>
  </si>
  <si>
    <t>Zavier Lewis</t>
  </si>
  <si>
    <t>https://www.google.com/search?newwindow=1&amp;ei=2MT0XrvGGM-vytMP1OyDgAY&amp;q=site%3Alinkedin.com+Zavier+Lewis+Executive+Recruiter+Target</t>
  </si>
  <si>
    <t>Andi Christenson</t>
  </si>
  <si>
    <t>Lead Executive Recruiter</t>
  </si>
  <si>
    <t>https://www.google.com/search?newwindow=1&amp;ei=2MT0XrvGGM-vytMP1OyDgAY&amp;q=site%3Alinkedin.com+Andi+Christenson+Lead+Executive+Recruiter+Target</t>
  </si>
  <si>
    <t>Amanda Luu</t>
  </si>
  <si>
    <t>https://www.google.com/search?newwindow=1&amp;ei=2MT0XrvGGM-vytMP1OyDgAY&amp;q=site%3Alinkedin.com+Amanda+Luu+Senior+Campus+Recruiter+Target</t>
  </si>
  <si>
    <t>David Wyant</t>
  </si>
  <si>
    <t>Lead Recruiter - Campus</t>
  </si>
  <si>
    <t>https://www.google.com/search?newwindow=1&amp;ei=2MT0XrvGGM-vytMP1OyDgAY&amp;q=site%3Alinkedin.com+David+Wyant+Lead+Recruiter+-+Campus+Target</t>
  </si>
  <si>
    <t>Darielle Gengler-Hanson</t>
  </si>
  <si>
    <t>https://www.google.com/search?newwindow=1&amp;ei=2MT0XrvGGM-vytMP1OyDgAY&amp;q=site%3Alinkedin.com+Darielle+Gengler-Hanson+Lead+Executive+Recruiter+Target</t>
  </si>
  <si>
    <t>Ellen Meeks</t>
  </si>
  <si>
    <t>Lead Executive Campus Recruiter - Supply Chain</t>
  </si>
  <si>
    <t>https://www.google.com/search?newwindow=1&amp;ei=2MT0XrvGGM-vytMP1OyDgAY&amp;q=site%3Alinkedin.com+Ellen+Meeks+Lead+Executive+Campus+Recruiter+-+Supply+Chain+Target</t>
  </si>
  <si>
    <t>Miranda Wolfe</t>
  </si>
  <si>
    <t>https://www.google.com/search?newwindow=1&amp;ei=2MT0XrvGGM-vytMP1OyDgAY&amp;q=site%3Alinkedin.com+Miranda+Wolfe+Sr.+Campus+Recruiter+Target</t>
  </si>
  <si>
    <t>Maya Moss</t>
  </si>
  <si>
    <t>https://www.google.com/search?newwindow=1&amp;ei=2MT0XrvGGM-vytMP1OyDgAY&amp;q=site%3Alinkedin.com+Maya+Moss+Senior+Campus+Recruiter+Target</t>
  </si>
  <si>
    <t>Jennifer Castrodale</t>
  </si>
  <si>
    <t>Sr. Recruiter, Campus Supply Chain</t>
  </si>
  <si>
    <t>https://www.google.com/search?newwindow=1&amp;ei=2MT0XrvGGM-vytMP1OyDgAY&amp;q=site%3Alinkedin.com+Jennifer+Castrodale+Sr.+Recruiter,+Campus+Supply+Chain+Target</t>
  </si>
  <si>
    <t>Pamela McClaney</t>
  </si>
  <si>
    <t>Lead Executive Recruiter - Field Campus</t>
  </si>
  <si>
    <t>https://www.google.com/search?newwindow=1&amp;ei=2MT0XrvGGM-vytMP1OyDgAY&amp;q=site%3Alinkedin.com+Pamela+McClaney+Lead+Executive+Recruiter+-+Field+Campus+Target</t>
  </si>
  <si>
    <t>Anna Davis</t>
  </si>
  <si>
    <t>Sr. Field Campus Recruiter</t>
  </si>
  <si>
    <t>https://www.google.com/search?newwindow=1&amp;ei=2MT0XrvGGM-vytMP1OyDgAY&amp;q=site%3Alinkedin.com+Anna+Davis+Sr.+Field+Campus+Recruiter+Target</t>
  </si>
  <si>
    <t>Kyle Bender</t>
  </si>
  <si>
    <t>https://www.google.com/search?newwindow=1&amp;ei=2MT0XrvGGM-vytMP1OyDgAY&amp;q=site%3Alinkedin.com+Kyle+Bender+Lead+Executive+Campus+Recruiter+Target</t>
  </si>
  <si>
    <t>Iryonna Scruggs</t>
  </si>
  <si>
    <t>Field Campus recruiter</t>
  </si>
  <si>
    <t>New Alexandria</t>
  </si>
  <si>
    <t>https://www.google.com/search?newwindow=1&amp;ei=2MT0XrvGGM-vytMP1OyDgAY&amp;q=site%3Alinkedin.com+Iryonna+Scruggs+Field+Campus+recruiter+Target</t>
  </si>
  <si>
    <t>James P. Muldoon</t>
  </si>
  <si>
    <t>https://www.google.com/search?newwindow=1&amp;ei=2MT0XrvGGM-vytMP1OyDgAY&amp;q=site%3Alinkedin.com+James+P.+Muldoon+Campus+Recruiter+Target</t>
  </si>
  <si>
    <t>Parker Dunbar</t>
  </si>
  <si>
    <t>Temple University Campus Recruiter</t>
  </si>
  <si>
    <t>https://www.google.com/search?newwindow=1&amp;ei=2MT0XrvGGM-vytMP1OyDgAY&amp;q=site%3Alinkedin.com+Parker+Dunbar+Temple+University+Campus+Recruiter+Target</t>
  </si>
  <si>
    <t>Victorya Curcuro</t>
  </si>
  <si>
    <t>https://www.google.com/search?newwindow=1&amp;ei=2MT0XrvGGM-vytMP1OyDgAY&amp;q=site%3Alinkedin.com+Victorya+Curcuro+Senior+Campus+Recruiter+Target</t>
  </si>
  <si>
    <t>Jenn.Bass (T1400)</t>
  </si>
  <si>
    <t>Pharmacy College Recruiter, Pharmacist</t>
  </si>
  <si>
    <t>https://www.google.com/search?newwindow=1&amp;ei=2MT0XrvGGM-vytMP1OyDgAY&amp;q=site%3Alinkedin.com+Jenn.Bass+(T1400)+Pharmacy+College+Recruiter,+Pharmacist+Target</t>
  </si>
  <si>
    <t>Danielle Mork</t>
  </si>
  <si>
    <t>Sr Campus Recruiter - Supply Chain</t>
  </si>
  <si>
    <t>https://www.google.com/search?newwindow=1&amp;ei=2MT0XrvGGM-vytMP1OyDgAY&amp;q=site%3Alinkedin.com+Danielle+Mork+Sr+Campus+Recruiter+-+Supply+Chain+Target</t>
  </si>
  <si>
    <t>Sarah Fairchild</t>
  </si>
  <si>
    <t>Human Resources Representative/Executive and Campus Recruiter</t>
  </si>
  <si>
    <t>16 years 10 months in role and company</t>
  </si>
  <si>
    <t>Topeka</t>
  </si>
  <si>
    <t>https://www.google.com/search?newwindow=1&amp;ei=2MT0XrvGGM-vytMP1OyDgAY&amp;q=site%3Alinkedin.com+Sarah+Fairchild+Human+Resources+Representative/Executive+and+Campus+Recruiter+Target+Corporation</t>
  </si>
  <si>
    <t>Sara Lopez</t>
  </si>
  <si>
    <t>https://www.google.com/search?newwindow=1&amp;ei=2MT0XrvGGM-vytMP1OyDgAY&amp;q=site%3Alinkedin.com+Sara+Lopez+Campus+Recruiter+Target+Headquarters</t>
  </si>
  <si>
    <t>Madhuri Gadkari</t>
  </si>
  <si>
    <t>Tata Consultancy Services</t>
  </si>
  <si>
    <t>https://www.google.com/search?newwindow=1&amp;ei=2MT0XrvGGM-vytMP1OyDgAY&amp;q=site%3Alinkedin.com+Madhuri+Gadkari+Campus+Recruiter+Tata+Consultancy+Services</t>
  </si>
  <si>
    <t>Tyler George Mathurin</t>
  </si>
  <si>
    <t>https://www.google.com/search?newwindow=1&amp;ei=2MT0XrvGGM-vytMP1OyDgAY&amp;q=site%3Alinkedin.com+Tyler+George+Mathurin+Campus+Recruiter+Tata+Consultancy+Services</t>
  </si>
  <si>
    <t>Joe Leos, Jr., PHR, SHRM CP</t>
  </si>
  <si>
    <t>https://www.google.com/search?newwindow=1&amp;ei=2MT0XrvGGM-vytMP1OyDgAY&amp;q=site%3Alinkedin.com+Joe+Leos,+Jr.,+PHR,+SHRM+CP+Campus+Recruiter+Tata+Consultancy+Services</t>
  </si>
  <si>
    <t>Lauren Peters</t>
  </si>
  <si>
    <t>TEKsystems</t>
  </si>
  <si>
    <t>https://www.google.com/search?newwindow=1&amp;ei=2MT0XrvGGM-vytMP1OyDgAY&amp;q=site%3Alinkedin.com+Lauren+Peters+Senior+University+Relations+Recruiter+TEKsystems</t>
  </si>
  <si>
    <t>Teron Foster</t>
  </si>
  <si>
    <t>https://www.google.com/search?newwindow=1&amp;ei=2MT0XrvGGM-vytMP1OyDgAY&amp;q=site%3Alinkedin.com+Teron+Foster+University+Relations+Recruiter+TEKsystems</t>
  </si>
  <si>
    <t>Se'Ron Leary</t>
  </si>
  <si>
    <t>Intern IT Recruiter</t>
  </si>
  <si>
    <t>https://www.google.com/search?newwindow=1&amp;ei=2MT0XrvGGM-vytMP1OyDgAY&amp;q=site%3Alinkedin.com+Se'Ron+Leary+Intern+IT+Recruiter+TEKsystems</t>
  </si>
  <si>
    <t>Maggie Loya</t>
  </si>
  <si>
    <t>https://www.google.com/search?newwindow=1&amp;ei=2MT0XrvGGM-vytMP1OyDgAY&amp;q=site%3Alinkedin.com+Maggie+Loya+University+Relations+Recruiter+TEKsystems</t>
  </si>
  <si>
    <t>Taylor Petersen</t>
  </si>
  <si>
    <t>https://www.google.com/search?newwindow=1&amp;ei=2MT0XrvGGM-vytMP1OyDgAY&amp;q=site%3Alinkedin.com+Taylor+Petersen+University+Relations+Recruiter+TEKsystems</t>
  </si>
  <si>
    <t>Kaitlin Garcia</t>
  </si>
  <si>
    <t>https://www.google.com/search?newwindow=1&amp;ei=2MT0XrvGGM-vytMP1OyDgAY&amp;q=site%3Alinkedin.com+Kaitlin+Garcia+University+Relations+Recruiter+TEKsystems</t>
  </si>
  <si>
    <t>Don Dapkus</t>
  </si>
  <si>
    <t>Applications Engineering Manager</t>
  </si>
  <si>
    <t>Texas Instruments</t>
  </si>
  <si>
    <t>https://www.google.com/search?newwindow=1&amp;ei=2MT0XrvGGM-vytMP1OyDgAY&amp;q=site%3Alinkedin.com+Don+Dapkus+Applications+Engineering+Manager+Texas+Instruments</t>
  </si>
  <si>
    <t>Brian Park</t>
  </si>
  <si>
    <t>Strategic Account Manager</t>
  </si>
  <si>
    <t>Irvine</t>
  </si>
  <si>
    <t>https://www.google.com/search?newwindow=1&amp;ei=2MT0XrvGGM-vytMP1OyDgAY&amp;q=site%3Alinkedin.com+Brian+Park+Strategic+Account+Manager+Texas+Instruments</t>
  </si>
  <si>
    <t>Terry La Fleur</t>
  </si>
  <si>
    <t>University of Michigan Recruiter</t>
  </si>
  <si>
    <t>7 years 6 months in role</t>
  </si>
  <si>
    <t>https://www.google.com/search?newwindow=1&amp;ei=2MT0XrvGGM-vytMP1OyDgAY&amp;q=site%3Alinkedin.com+Terry+La+Fleur+University+of+Michigan+Recruiter+Texas+Instruments</t>
  </si>
  <si>
    <t>Kalie Dyer</t>
  </si>
  <si>
    <t>Area Manager and Campus Recruiter</t>
  </si>
  <si>
    <t>The Buckle</t>
  </si>
  <si>
    <t>19 years 4 months in role and company</t>
  </si>
  <si>
    <t>https://www.google.com/search?newwindow=1&amp;ei=2MT0XrvGGM-vytMP1OyDgAY&amp;q=site%3Alinkedin.com+Kalie+Dyer+Area+Manager+and+Campus+Recruiter+The+Buckle</t>
  </si>
  <si>
    <t>Abby Anderson</t>
  </si>
  <si>
    <t>Store Manager/Campus Recruiter</t>
  </si>
  <si>
    <t>10 years 4 months in role</t>
  </si>
  <si>
    <t>https://www.google.com/search?newwindow=1&amp;ei=2MT0XrvGGM-vytMP1OyDgAY&amp;q=site%3Alinkedin.com+Abby+Anderson+Store+Manager/Campus+Recruiter+The+Buckle</t>
  </si>
  <si>
    <t>Brooke Fair</t>
  </si>
  <si>
    <t>Manager and Campus Recruiter</t>
  </si>
  <si>
    <t>Noblesville</t>
  </si>
  <si>
    <t>https://www.google.com/search?newwindow=1&amp;ei=2MT0XrvGGM-vytMP1OyDgAY&amp;q=site%3Alinkedin.com+Brooke+Fair+Manager+and+Campus+Recruiter+The+Buckle</t>
  </si>
  <si>
    <t>Brittany Barnes</t>
  </si>
  <si>
    <t>Manager/Campus Recruiter</t>
  </si>
  <si>
    <t>19 years 7 months in role and company</t>
  </si>
  <si>
    <t>https://www.google.com/search?newwindow=1&amp;ei=2MT0XrvGGM-vytMP1OyDgAY&amp;q=site%3Alinkedin.com+Brittany+Barnes+Manager/Campus+Recruiter+The+Buckle</t>
  </si>
  <si>
    <t>Courtney McKenzie</t>
  </si>
  <si>
    <t>College Station</t>
  </si>
  <si>
    <t>https://www.google.com/search?newwindow=1&amp;ei=2MT0XrvGGM-vytMP1OyDgAY&amp;q=site%3Alinkedin.com+Courtney+McKenzie+Area+Manager+and+Campus+Recruiter+The+Buckle,+Inc.</t>
  </si>
  <si>
    <t>Joel Custer</t>
  </si>
  <si>
    <t>Area Manager and Regional Campus Recruiter</t>
  </si>
  <si>
    <t>13 years 1 month in role and company</t>
  </si>
  <si>
    <t>https://www.google.com/search?newwindow=1&amp;ei=2MT0XrvGGM-vytMP1OyDgAY&amp;q=site%3Alinkedin.com+Joel+Custer+Area+Manager+and+Regional+Campus+Recruiter+The+Buckle,+Inc.</t>
  </si>
  <si>
    <t>Andrea Simmons</t>
  </si>
  <si>
    <t>Area Manager, Campus recruiter ,Buckle select stylist</t>
  </si>
  <si>
    <t>15 years  in role and company</t>
  </si>
  <si>
    <t>https://www.google.com/search?newwindow=1&amp;ei=2MT0XrvGGM-vytMP1OyDgAY&amp;q=site%3Alinkedin.com+Andrea+Simmons+Area+Manager,+Campus+recruiter+,Buckle+select+stylist+The+Buckle,+Inc.</t>
  </si>
  <si>
    <t>Taylor Scruggs</t>
  </si>
  <si>
    <t>UNT Campus Recruiter</t>
  </si>
  <si>
    <t>https://www.google.com/search?newwindow=1&amp;ei=2MT0XrvGGM-vytMP1OyDgAY&amp;q=site%3Alinkedin.com+Taylor+Scruggs+UNT+Campus+Recruiter+The+Buckle,+Inc.</t>
  </si>
  <si>
    <t>Tori Taylor</t>
  </si>
  <si>
    <t>Sales Manager and Campus Recruiter - Dallas</t>
  </si>
  <si>
    <t>https://www.google.com/search?newwindow=1&amp;ei=2MT0XrvGGM-vytMP1OyDgAY&amp;q=site%3Alinkedin.com+Tori+Taylor+Sales+Manager+and+Campus+Recruiter+-+Dallas+The+Buckle,+Inc.</t>
  </si>
  <si>
    <t>Wade Harville</t>
  </si>
  <si>
    <t>Store Manager + Campus Recruiter (Denton, Texas)</t>
  </si>
  <si>
    <t>https://www.google.com/search?newwindow=1&amp;ei=2MT0XrvGGM-vytMP1OyDgAY&amp;q=site%3Alinkedin.com+Wade+Harville+Store+Manager+++Campus+Recruiter+(Denton,+Texas)+The+Buckle,+Inc.</t>
  </si>
  <si>
    <t>Natasha Gutierrez</t>
  </si>
  <si>
    <t>Co Manager</t>
  </si>
  <si>
    <t>https://www.google.com/search?newwindow=1&amp;ei=2MT0XrvGGM-vytMP1OyDgAY&amp;q=site%3Alinkedin.com+Natasha+Gutierrez+Co+Manager+The+Buckle,+Inc.</t>
  </si>
  <si>
    <t>Tawnya Boelter</t>
  </si>
  <si>
    <t>https://www.google.com/search?newwindow=1&amp;ei=2MT0XrvGGM-vytMP1OyDgAY&amp;q=site%3Alinkedin.com+Tawnya+Boelter+Campus+Recruiter+The+Buckle,+Inc.</t>
  </si>
  <si>
    <t>Jessica Kaelin</t>
  </si>
  <si>
    <t>Store Manager/ Area Manager/ Campus Recruiter</t>
  </si>
  <si>
    <t>Muncie</t>
  </si>
  <si>
    <t>https://www.google.com/search?newwindow=1&amp;ei=2MT0XrvGGM-vytMP1OyDgAY&amp;q=site%3Alinkedin.com+Jessica+Kaelin+Store+Manager/+Area+Manager/+Campus+Recruiter+The+Buckle,+Inc.</t>
  </si>
  <si>
    <t>Amy Sanchez</t>
  </si>
  <si>
    <t>Sr. Recruiter, Campus Recruitment</t>
  </si>
  <si>
    <t>The Walt Disney Company</t>
  </si>
  <si>
    <t>Burbank</t>
  </si>
  <si>
    <t>https://www.google.com/search?newwindow=1&amp;ei=2MT0XrvGGM-vytMP1OyDgAY&amp;q=site%3Alinkedin.com+Amy+Sanchez+Sr.+Recruiter,+Campus+Recruitment+The+Walt+Disney+Company</t>
  </si>
  <si>
    <t>Jamie O.</t>
  </si>
  <si>
    <t>Recruiter, College Recruiting, Manager on Duty, Point of Contact</t>
  </si>
  <si>
    <t>https://www.google.com/search?newwindow=1&amp;ei=2MT0XrvGGM-vytMP1OyDgAY&amp;q=site%3Alinkedin.com+Jamie+O.+Recruiter,+College+Recruiting,+Manager+on+Duty,+Point+of+Contact+The+Walt+Disney+Company</t>
  </si>
  <si>
    <t>Charisse Trotman</t>
  </si>
  <si>
    <t>Campus Recruiter Technology</t>
  </si>
  <si>
    <t>https://www.google.com/search?newwindow=1&amp;ei=2MT0XrvGGM-vytMP1OyDgAY&amp;q=site%3Alinkedin.com+Charisse+Trotman+Campus+Recruiter+Technology+The+Walt+Disney+Company</t>
  </si>
  <si>
    <t>Stephanie Lyon</t>
  </si>
  <si>
    <t>Interview Partner/Recruiter - College Programs and Interships</t>
  </si>
  <si>
    <t>https://www.google.com/search?newwindow=1&amp;ei=2MT0XrvGGM-vytMP1OyDgAY&amp;q=site%3Alinkedin.com+Stephanie+Lyon+Interview+Partner/Recruiter+-+College+Programs+and+Interships+The+Walt+Disney+Company</t>
  </si>
  <si>
    <t>Melanie Sebastian</t>
  </si>
  <si>
    <t>Associate Recruiter, Campus Programs</t>
  </si>
  <si>
    <t>https://www.google.com/search?newwindow=1&amp;ei=2MT0XrvGGM-vytMP1OyDgAY&amp;q=site%3Alinkedin.com+Melanie+Sebastian+Associate+Recruiter,+Campus+Programs+The+Walt+Disney+Company</t>
  </si>
  <si>
    <t>Stephanie Magana</t>
  </si>
  <si>
    <t>https://www.google.com/search?newwindow=1&amp;ei=2MT0XrvGGM-vytMP1OyDgAY&amp;q=site%3Alinkedin.com+Stephanie+Magana+Tech+Campus+Recruiter+The+Walt+Disney+Company</t>
  </si>
  <si>
    <t>Dani Michael</t>
  </si>
  <si>
    <t>Sr. Technical Recruiter, Disney Campus Recruitment</t>
  </si>
  <si>
    <t>https://www.google.com/search?newwindow=1&amp;ei=2MT0XrvGGM-vytMP1OyDgAY&amp;q=site%3Alinkedin.com+Dani+Michael+Sr.+Technical+Recruiter,+Disney+Campus+Recruitment+The+Walt+Disney+Company</t>
  </si>
  <si>
    <t>Elaine Dillard</t>
  </si>
  <si>
    <t>Senior Recruiter, Disney Campus Recruitment</t>
  </si>
  <si>
    <t>Mount Dora</t>
  </si>
  <si>
    <t>https://www.google.com/search?newwindow=1&amp;ei=2MT0XrvGGM-vytMP1OyDgAY&amp;q=site%3Alinkedin.com+Elaine+Dillard+Senior+Recruiter,+Disney+Campus+Recruitment+The+Walt+Disney+Company</t>
  </si>
  <si>
    <t>Suzanna Camacho</t>
  </si>
  <si>
    <t>Recruiter, Campus Recruitment</t>
  </si>
  <si>
    <t>https://www.google.com/search?newwindow=1&amp;ei=2MT0XrvGGM-vytMP1OyDgAY&amp;q=site%3Alinkedin.com+Suzanna+Camacho+Recruiter,+Campus+Recruitment+The+Walt+Disney+Company</t>
  </si>
  <si>
    <t>Amy Bennett</t>
  </si>
  <si>
    <t>Senior Recruiter, Campus Recruitment</t>
  </si>
  <si>
    <t>Norfolk</t>
  </si>
  <si>
    <t>https://www.google.com/search?newwindow=1&amp;ei=2MT0XrvGGM-vytMP1OyDgAY&amp;q=site%3Alinkedin.com+Amy+Bennett+Senior+Recruiter,+Campus+Recruitment+The+Walt+Disney+Company</t>
  </si>
  <si>
    <t>Tricia Cooke</t>
  </si>
  <si>
    <t>https://www.google.com/search?newwindow=1&amp;ei=2MT0XrvGGM-vytMP1OyDgAY&amp;q=site%3Alinkedin.com+Tricia+Cooke+Campus+Recruiter+The+Walt+Disney+Company</t>
  </si>
  <si>
    <t>Kate Perrine</t>
  </si>
  <si>
    <t>Recruiter, Disney Campus Recruitment</t>
  </si>
  <si>
    <t>https://www.google.com/search?newwindow=1&amp;ei=2MT0XrvGGM-vytMP1OyDgAY&amp;q=site%3Alinkedin.com+Kate+Perrine+Recruiter,+Disney+Campus+Recruitment+The+Walt+Disney+Company</t>
  </si>
  <si>
    <t>Cathy O'Brien SHRM-CP, PHR, CIR</t>
  </si>
  <si>
    <t>Sr. Recruiter, Disney Campus Recruitment</t>
  </si>
  <si>
    <t>https://www.google.com/search?newwindow=1&amp;ei=2MT0XrvGGM-vytMP1OyDgAY&amp;q=site%3Alinkedin.com+Cathy+O'Brien+SHRM-CP,+PHR,+CIR+Sr.+Recruiter,+Disney+Campus+Recruitment+The+Walt+Disney+Company</t>
  </si>
  <si>
    <t>Recruiter, Disney College Program</t>
  </si>
  <si>
    <t>https://www.google.com/search?newwindow=1&amp;ei=2MT0XrvGGM-vytMP1OyDgAY&amp;q=site%3Alinkedin.com+Danielle+Smith+Recruiter,+Disney+College+Program+The+Walt+Disney+Company</t>
  </si>
  <si>
    <t>Claire G. Bradley</t>
  </si>
  <si>
    <t>College Recruiter; Event Management Professional; Community Outreach in the Recruiting Field</t>
  </si>
  <si>
    <t>https://www.google.com/search?newwindow=1&amp;ei=2MT0XrvGGM-vytMP1OyDgAY&amp;q=site%3Alinkedin.com+Claire+G.+Bradley+College+Recruiter;+Event+Management+Professional;+Community+Outreach+in+the+Recruiting+Field+The+Walt+Disney+Company</t>
  </si>
  <si>
    <t>Sandra Almond, SHRM-SCP</t>
  </si>
  <si>
    <t>Palm Bay</t>
  </si>
  <si>
    <t>https://www.google.com/search?newwindow=1&amp;ei=2MT0XrvGGM-vytMP1OyDgAY&amp;q=site%3Alinkedin.com+Sandra+Almond,+SHRM-SCP+Campus+Recruiter+The+Walt+Disney+Company</t>
  </si>
  <si>
    <t>Yoshi Takamura</t>
  </si>
  <si>
    <t>Campus Recruitment Recruiter - Technology</t>
  </si>
  <si>
    <t>Windermere</t>
  </si>
  <si>
    <t>https://www.google.com/search?newwindow=1&amp;ei=2MT0XrvGGM-vytMP1OyDgAY&amp;q=site%3Alinkedin.com+Yoshi+Takamura+Campus+Recruitment+Recruiter+-+Technology+The+Walt+Disney+Company</t>
  </si>
  <si>
    <t>Khalifah Nailor</t>
  </si>
  <si>
    <t>https://www.google.com/search?newwindow=1&amp;ei=2MT0XrvGGM-vytMP1OyDgAY&amp;q=site%3Alinkedin.com+Khalifah+Nailor+Recruiter,+Disney+Campus+Recruitment+The+Walt+Disney+Company</t>
  </si>
  <si>
    <t>Sarah Blair</t>
  </si>
  <si>
    <t>Associate Recruiter, Campus Recruitment</t>
  </si>
  <si>
    <t>Winter Garden</t>
  </si>
  <si>
    <t>https://www.google.com/search?newwindow=1&amp;ei=2MT0XrvGGM-vytMP1OyDgAY&amp;q=site%3Alinkedin.com+Sarah+Blair+Associate+Recruiter,+Campus+Recruitment+The+Walt+Disney+Company</t>
  </si>
  <si>
    <t>Tessa Miller</t>
  </si>
  <si>
    <t>Disney College Program Campus Recruiter</t>
  </si>
  <si>
    <t>10 years 3 months in role and company</t>
  </si>
  <si>
    <t>https://www.google.com/search?newwindow=1&amp;ei=2MT0XrvGGM-vytMP1OyDgAY&amp;q=site%3Alinkedin.com+Tessa+Miller+Disney+College+Program+Campus+Recruiter+Walt+Disney+Company</t>
  </si>
  <si>
    <t>Melissa Coggins</t>
  </si>
  <si>
    <t>Sr. Campus Recruiter, University Relations</t>
  </si>
  <si>
    <t>Truist</t>
  </si>
  <si>
    <t>https://www.google.com/search?newwindow=1&amp;ei=2MT0XrvGGM-vytMP1OyDgAY&amp;q=site%3Alinkedin.com+Melissa+Coggins+Sr.+Campus+Recruiter,+University+Relations+Truist</t>
  </si>
  <si>
    <t>Sheria Richardson (She/Her)</t>
  </si>
  <si>
    <t>https://www.google.com/search?newwindow=1&amp;ei=2MT0XrvGGM-vytMP1OyDgAY&amp;q=site%3Alinkedin.com+Sheria+Richardson+(She/Her)+University+Relations+Recruiter+Truist</t>
  </si>
  <si>
    <t>Lindsay Joyner</t>
  </si>
  <si>
    <t>University Relations Recruiting Manager at Truist</t>
  </si>
  <si>
    <t>https://www.google.com/search?newwindow=1&amp;ei=2MT0XrvGGM-vytMP1OyDgAY&amp;q=site%3Alinkedin.com+Lindsay+Joyner+University+Relations+Recruiting+Manager+at+Truist+Truist</t>
  </si>
  <si>
    <t>Letitia Bethel-White</t>
  </si>
  <si>
    <t>Duluth</t>
  </si>
  <si>
    <t>https://www.google.com/search?newwindow=1&amp;ei=2MT0XrvGGM-vytMP1OyDgAY&amp;q=site%3Alinkedin.com+Letitia+Bethel-White+University+Relations+Recruiter+Truist</t>
  </si>
  <si>
    <t>Luana Hill</t>
  </si>
  <si>
    <t>https://www.google.com/search?newwindow=1&amp;ei=2MT0XrvGGM-vytMP1OyDgAY&amp;q=site%3Alinkedin.com+Luana+Hill+University+Recruiter+Truist</t>
  </si>
  <si>
    <t>Colin McCurry, M.A.</t>
  </si>
  <si>
    <t>Winston-Salem</t>
  </si>
  <si>
    <t>https://www.google.com/search?newwindow=1&amp;ei=2MT0XrvGGM-vytMP1OyDgAY&amp;q=site%3Alinkedin.com+Colin+McCurry,+M.A.+University+Relations+Recruiter+Truist</t>
  </si>
  <si>
    <t>Julie R.</t>
  </si>
  <si>
    <t>Twitter</t>
  </si>
  <si>
    <t>https://www.google.com/search?newwindow=1&amp;ei=2MT0XrvGGM-vytMP1OyDgAY&amp;q=site%3Alinkedin.com+Julie+R.+University+Recruiter+Twitter</t>
  </si>
  <si>
    <t>Rheana De La Cruz</t>
  </si>
  <si>
    <t>https://www.google.com/search?newwindow=1&amp;ei=2MT0XrvGGM-vytMP1OyDgAY&amp;q=site%3Alinkedin.com+Rheana+De+La+Cruz+University+Recruiter+Twitter</t>
  </si>
  <si>
    <t>Lauren Zabel</t>
  </si>
  <si>
    <t>University Recruiter | Engineering, Product, Design, and Research</t>
  </si>
  <si>
    <t>https://www.google.com/search?newwindow=1&amp;ei=2MT0XrvGGM-vytMP1OyDgAY&amp;q=site%3Alinkedin.com+Lauren+Zabel+University+Recruiter+|+Engineering,+Product,+Design,+and+Research+Twitter</t>
  </si>
  <si>
    <t>Shay Billeci</t>
  </si>
  <si>
    <t>University Recruiter | Non-Eng &amp; MBA</t>
  </si>
  <si>
    <t>https://www.google.com/search?newwindow=1&amp;ei=2MT0XrvGGM-vytMP1OyDgAY&amp;q=site%3Alinkedin.com+Shay+Billeci+University+Recruiter+|+Non-Eng+&amp;+MBA+Twitter</t>
  </si>
  <si>
    <t>Thandar Peña</t>
  </si>
  <si>
    <t>Campus Recruiting Manager, Quantitative Research</t>
  </si>
  <si>
    <t>Two Sigma</t>
  </si>
  <si>
    <t>https://www.google.com/search?newwindow=1&amp;ei=2MT0XrvGGM-vytMP1OyDgAY&amp;q=site%3Alinkedin.com+Thandar+Peña+Campus+Recruiting+Manager,+Quantitative+Research+Two+Sigma</t>
  </si>
  <si>
    <t>Lisa Vance</t>
  </si>
  <si>
    <t>https://www.google.com/search?newwindow=1&amp;ei=2MT0XrvGGM-vytMP1OyDgAY&amp;q=site%3Alinkedin.com+Lisa+Vance+Campus+Recruiter+&amp;+Program+Manager+Two+Sigma</t>
  </si>
  <si>
    <t>Haley (Baxter) Mandell</t>
  </si>
  <si>
    <t>Software Engineering Campus Recruiter &amp; Program Manager</t>
  </si>
  <si>
    <t>https://www.google.com/search?newwindow=1&amp;ei=2MT0XrvGGM-vytMP1OyDgAY&amp;q=site%3Alinkedin.com+Haley+(Baxter)+Mandell+Software+Engineering+Campus+Recruiter+&amp;+Program+Manager+Two+Sigma</t>
  </si>
  <si>
    <t>Bradley Goodloe</t>
  </si>
  <si>
    <t>Sr. Campus Recruiter/Internship Program Manager</t>
  </si>
  <si>
    <t>U.S. Bank</t>
  </si>
  <si>
    <t>https://www.google.com/search?newwindow=1&amp;ei=2MT0XrvGGM-vytMP1OyDgAY&amp;q=site%3Alinkedin.com+Bradley+Goodloe+Sr.+Campus+Recruiter/Internship+Program+Manager+U.S.+Bank</t>
  </si>
  <si>
    <t>Julian Jordan</t>
  </si>
  <si>
    <t>Campus Recruiter / Internship Program Manager</t>
  </si>
  <si>
    <t>https://www.google.com/search?newwindow=1&amp;ei=2MT0XrvGGM-vytMP1OyDgAY&amp;q=site%3Alinkedin.com+Julian+Jordan+Campus+Recruiter+/+Internship+Program+Manager+U.S.+Bank</t>
  </si>
  <si>
    <t>Kelly Verstat</t>
  </si>
  <si>
    <t>AVP- Senior Campus Recruiter / Internship Program Manager</t>
  </si>
  <si>
    <t>https://www.google.com/search?newwindow=1&amp;ei=2MT0XrvGGM-vytMP1OyDgAY&amp;q=site%3Alinkedin.com+Kelly+Verstat+AVP-+Senior+Campus+Recruiter+/+Internship+Program+Manager+U.S.+Bank</t>
  </si>
  <si>
    <t>Vicky Hidalgo</t>
  </si>
  <si>
    <t>Senior Manager - Campus Recruiting</t>
  </si>
  <si>
    <t>https://www.google.com/search?newwindow=1&amp;ei=2MT0XrvGGM-vytMP1OyDgAY&amp;q=site%3Alinkedin.com+Vicky+Hidalgo+Senior+Manager+-+Campus+Recruiting+U.S.+Bank</t>
  </si>
  <si>
    <t>Evan Wise</t>
  </si>
  <si>
    <t>Project Manager &amp; Campus Recruiter</t>
  </si>
  <si>
    <t>https://www.google.com/search?newwindow=1&amp;ei=2MT0XrvGGM-vytMP1OyDgAY&amp;q=site%3Alinkedin.com+Evan+Wise+Project+Manager+&amp;+Campus+Recruiter+U.S.+Bank</t>
  </si>
  <si>
    <t>Cindy Kuehl</t>
  </si>
  <si>
    <t>Officer, Campus Recruiter &amp; Internship Program Manager</t>
  </si>
  <si>
    <t>https://www.google.com/search?newwindow=1&amp;ei=2MT0XrvGGM-vytMP1OyDgAY&amp;q=site%3Alinkedin.com+Cindy+Kuehl+Officer,+Campus+Recruiter+&amp;+Internship+Program+Manager+U.S.+Bank</t>
  </si>
  <si>
    <t>Hailey Reed</t>
  </si>
  <si>
    <t>Senior Project Manager - Campus Recruiting - Non Profit Partners</t>
  </si>
  <si>
    <t>https://www.google.com/search?newwindow=1&amp;ei=2MT0XrvGGM-vytMP1OyDgAY&amp;q=site%3Alinkedin.com+Hailey+Reed+Senior+Project+Manager+-+Campus+Recruiting+-+Non+Profit+Partners+U.S.+Bank</t>
  </si>
  <si>
    <t>Jessica Chisholm</t>
  </si>
  <si>
    <t>https://www.google.com/search?newwindow=1&amp;ei=2MT0XrvGGM-vytMP1OyDgAY&amp;q=site%3Alinkedin.com+Jessica+Chisholm+Sr.+Campus+Recruiter/Internship+Program+Manager+U.S.+Bank</t>
  </si>
  <si>
    <t>Wendy Blocker, CDR</t>
  </si>
  <si>
    <t>AVP, Senior Campus Recruiting Manager</t>
  </si>
  <si>
    <t>https://www.google.com/search?newwindow=1&amp;ei=2MT0XrvGGM-vytMP1OyDgAY&amp;q=site%3Alinkedin.com+Wendy+Blocker,+CDR+AVP,+Senior+Campus+Recruiting+Manager+U.S.+Bank</t>
  </si>
  <si>
    <t>Rachel Schroeder</t>
  </si>
  <si>
    <t>Campus Recruiter/Internship Program Specialist</t>
  </si>
  <si>
    <t>https://www.google.com/search?newwindow=1&amp;ei=2MT0XrvGGM-vytMP1OyDgAY&amp;q=site%3Alinkedin.com+Rachel+Schroeder+Campus+Recruiter/Internship+Program+Specialist+U.S.+Bank</t>
  </si>
  <si>
    <t>Julie Filonuk</t>
  </si>
  <si>
    <t>Uber</t>
  </si>
  <si>
    <t>https://www.google.com/search?newwindow=1&amp;ei=2MT0XrvGGM-vytMP1OyDgAY&amp;q=site%3Alinkedin.com+Julie+Filonuk+Sr.+University+Recruiter+Uber</t>
  </si>
  <si>
    <t>Tiffany Tan</t>
  </si>
  <si>
    <t>https://www.google.com/search?newwindow=1&amp;ei=2MT0XrvGGM-vytMP1OyDgAY&amp;q=site%3Alinkedin.com+Tiffany+Tan+Senior+University+Recruiter+Uber</t>
  </si>
  <si>
    <t>Angie Luo</t>
  </si>
  <si>
    <t>Senior University Recruiter, Uber ATG</t>
  </si>
  <si>
    <t>https://www.google.com/search?newwindow=1&amp;ei=2MT0XrvGGM-vytMP1OyDgAY&amp;q=site%3Alinkedin.com+Angie+Luo+Senior+University+Recruiter,+Uber+ATG+Uber</t>
  </si>
  <si>
    <t>Heather Henderson</t>
  </si>
  <si>
    <t>https://www.google.com/search?newwindow=1&amp;ei=2MT0XrvGGM-vytMP1OyDgAY&amp;q=site%3Alinkedin.com+Heather+Henderson+Sr.+University+Recruiter+Uber</t>
  </si>
  <si>
    <t>Emily Sawyer</t>
  </si>
  <si>
    <t>Senior University PhD Recruiter</t>
  </si>
  <si>
    <t>https://www.google.com/search?newwindow=1&amp;ei=2MT0XrvGGM-vytMP1OyDgAY&amp;q=site%3Alinkedin.com+Emily+Sawyer+Senior+University+PhD+Recruiter+Uber</t>
  </si>
  <si>
    <t>Ali R.</t>
  </si>
  <si>
    <t>Senior Technical University Recruiter</t>
  </si>
  <si>
    <t>https://www.google.com/search?newwindow=1&amp;ei=2MT0XrvGGM-vytMP1OyDgAY&amp;q=site%3Alinkedin.com+Ali+R.+Senior+Technical+University+Recruiter+Uber</t>
  </si>
  <si>
    <t>Meryssa Riley</t>
  </si>
  <si>
    <t>Uber University Recruiter</t>
  </si>
  <si>
    <t>https://www.google.com/search?newwindow=1&amp;ei=2MT0XrvGGM-vytMP1OyDgAY&amp;q=site%3Alinkedin.com+Meryssa+Riley+Uber+University+Recruiter+Uber</t>
  </si>
  <si>
    <t>Alexandra Muller</t>
  </si>
  <si>
    <t>https://www.google.com/search?newwindow=1&amp;ei=2MT0XrvGGM-vytMP1OyDgAY&amp;q=site%3Alinkedin.com+Alexandra+Muller+University+Recruiter+Uber</t>
  </si>
  <si>
    <t>Anna O'Keefe</t>
  </si>
  <si>
    <t>Campus Recruiting Coordinator/Junior Recruiter</t>
  </si>
  <si>
    <t>UBS</t>
  </si>
  <si>
    <t>https://www.google.com/search?newwindow=1&amp;ei=2MT0XrvGGM-vytMP1OyDgAY&amp;q=site%3Alinkedin.com+Anna+O'Keefe+Campus+Recruiting+Coordinator/Junior+Recruiter+UBS</t>
  </si>
  <si>
    <t>Annie Clay</t>
  </si>
  <si>
    <t>Pelham</t>
  </si>
  <si>
    <t>https://www.google.com/search?newwindow=1&amp;ei=2MT0XrvGGM-vytMP1OyDgAY&amp;q=site%3Alinkedin.com+Annie+Clay+Campus+Recruiter+UBS</t>
  </si>
  <si>
    <t>Gabrielle Kaufman</t>
  </si>
  <si>
    <t>https://www.google.com/search?newwindow=1&amp;ei=2MT0XrvGGM-vytMP1OyDgAY&amp;q=site%3Alinkedin.com+Gabrielle+Kaufman+Campus+Recruiter+UBS+Financial+Services</t>
  </si>
  <si>
    <t>Lauren DeBowes</t>
  </si>
  <si>
    <t>Assistant Campus Recruiter</t>
  </si>
  <si>
    <t>https://www.google.com/search?newwindow=1&amp;ei=2MT0XrvGGM-vytMP1OyDgAY&amp;q=site%3Alinkedin.com+Lauren+DeBowes+Assistant+Campus+Recruiter+UBS+Investment+Bank</t>
  </si>
  <si>
    <t>Jill Westberg</t>
  </si>
  <si>
    <t>Associate Director, Early Careers Recruitment &amp; Campus Engagement</t>
  </si>
  <si>
    <t>UnitedHealth Group</t>
  </si>
  <si>
    <t>https://www.google.com/search?newwindow=1&amp;ei=2MT0XrvGGM-vytMP1OyDgAY&amp;q=site%3Alinkedin.com+Jill+Westberg+Associate+Director,+Early+Careers+Recruitment+&amp;+Campus+Engagement+UnitedHealth+Group</t>
  </si>
  <si>
    <t>Anna Muhovich, M.A.</t>
  </si>
  <si>
    <t>https://www.google.com/search?newwindow=1&amp;ei=2MT0XrvGGM-vytMP1OyDgAY&amp;q=site%3Alinkedin.com+Anna+Muhovich,+M.A.+College+Recruiter+UnitedHealth+Group</t>
  </si>
  <si>
    <t>Gao Lee</t>
  </si>
  <si>
    <t>https://www.google.com/search?newwindow=1&amp;ei=2MT0XrvGGM-vytMP1OyDgAY&amp;q=site%3Alinkedin.com+Gao+Lee+College+Recruiter+UnitedHealth+Group</t>
  </si>
  <si>
    <t>Annie Kennedy</t>
  </si>
  <si>
    <t>https://www.google.com/search?newwindow=1&amp;ei=2MT0XrvGGM-vytMP1OyDgAY&amp;q=site%3Alinkedin.com+Annie+Kennedy+Senior+College+Recruiter+UnitedHealth+Group</t>
  </si>
  <si>
    <t>Stacie Carpenter</t>
  </si>
  <si>
    <t>Senior College Recruiter, Early Careers Recruitment &amp; Campus Engagement</t>
  </si>
  <si>
    <t>https://www.google.com/search?newwindow=1&amp;ei=2MT0XrvGGM-vytMP1OyDgAY&amp;q=site%3Alinkedin.com+Stacie+Carpenter+Senior+College+Recruiter,+Early+Careers+Recruitment+&amp;+Campus+Engagement+UnitedHealth+Group</t>
  </si>
  <si>
    <t>Jennifer Coleman</t>
  </si>
  <si>
    <t>Unity Technologies</t>
  </si>
  <si>
    <t>https://www.google.com/search?newwindow=1&amp;ei=2MT0XrvGGM-vytMP1OyDgAY&amp;q=site%3Alinkedin.com+Jennifer+Coleman+University+Recruiter+Unity+Technologies</t>
  </si>
  <si>
    <t>Claire Skelly</t>
  </si>
  <si>
    <t>https://www.google.com/search?newwindow=1&amp;ei=2MT0XrvGGM-vytMP1OyDgAY&amp;q=site%3Alinkedin.com+Claire+Skelly+University+Recruiter+Unity+Technologies</t>
  </si>
  <si>
    <t>Christopher Mellis</t>
  </si>
  <si>
    <t>Verizon</t>
  </si>
  <si>
    <t>https://www.google.com/search?newwindow=1&amp;ei=2MT0XrvGGM-vytMP1OyDgAY&amp;q=site%3Alinkedin.com+Christopher+Mellis+Campus+Recruiter+Verizon</t>
  </si>
  <si>
    <t>Derek Penzort</t>
  </si>
  <si>
    <t>https://www.google.com/search?newwindow=1&amp;ei=2MT0XrvGGM-vytMP1OyDgAY&amp;q=site%3Alinkedin.com+Derek+Penzort+Campus+Recruiter+Verizon</t>
  </si>
  <si>
    <t>Al Jackson</t>
  </si>
  <si>
    <t>Campus Recruiter - Talent Acquisition</t>
  </si>
  <si>
    <t>https://www.google.com/search?newwindow=1&amp;ei=2MT0XrvGGM-vytMP1OyDgAY&amp;q=site%3Alinkedin.com+Al+Jackson+Campus+Recruiter+-+Talent+Acquisition+Verizon</t>
  </si>
  <si>
    <t>Kaitlynn Moctezuma</t>
  </si>
  <si>
    <t>https://www.google.com/search?newwindow=1&amp;ei=2MT0XrvGGM-vytMP1OyDgAY&amp;q=site%3Alinkedin.com+Kaitlynn+Moctezuma+Campus+Recruiter+Verizon</t>
  </si>
  <si>
    <t>Marlyn Jasso</t>
  </si>
  <si>
    <t>Sr. Analyst, Talent Acquisition- Campus Recruiter</t>
  </si>
  <si>
    <t>Tulsa</t>
  </si>
  <si>
    <t>https://www.google.com/search?newwindow=1&amp;ei=2MT0XrvGGM-vytMP1OyDgAY&amp;q=site%3Alinkedin.com+Marlyn+Jasso+Sr.+Analyst,+Talent+Acquisition-+Campus+Recruiter+Verizon</t>
  </si>
  <si>
    <t>Aliyah Deiz</t>
  </si>
  <si>
    <t>Talent Acquisition Senior Analyst, University Recruiter</t>
  </si>
  <si>
    <t>https://www.google.com/search?newwindow=1&amp;ei=2MT0XrvGGM-vytMP1OyDgAY&amp;q=site%3Alinkedin.com+Aliyah+Deiz+Talent+Acquisition+Senior+Analyst,+University+Recruiter+Verizon+Media</t>
  </si>
  <si>
    <t>Christina D.</t>
  </si>
  <si>
    <t>Talent Acquisition, University Recruiter</t>
  </si>
  <si>
    <t>https://www.google.com/search?newwindow=1&amp;ei=2MT0XrvGGM-vytMP1OyDgAY&amp;q=site%3Alinkedin.com+Christina+D.+Talent+Acquisition,+University+Recruiter+Verizon+Media</t>
  </si>
  <si>
    <t>Sonya Harris</t>
  </si>
  <si>
    <t>Talent Acquisition Campus Recruiter</t>
  </si>
  <si>
    <t>https://www.google.com/search?newwindow=1&amp;ei=2MT0XrvGGM-vytMP1OyDgAY&amp;q=site%3Alinkedin.com+Sonya+Harris+Talent+Acquisition+Campus+Recruiter+Verizon+Telematics+Inc.</t>
  </si>
  <si>
    <t>Layne P.</t>
  </si>
  <si>
    <t>https://www.google.com/search?newwindow=1&amp;ei=2MT0XrvGGM-vytMP1OyDgAY&amp;q=site%3Alinkedin.com+Layne+P.+Campus+Recruiter+Verizon+Wireless</t>
  </si>
  <si>
    <t>Rachel Gardinier</t>
  </si>
  <si>
    <t>University Relations Specialist</t>
  </si>
  <si>
    <t>Viasat Inc.</t>
  </si>
  <si>
    <t>https://www.google.com/search?newwindow=1&amp;ei=2MT0XrvGGM-vytMP1OyDgAY&amp;q=site%3Alinkedin.com+Rachel+Gardinier+University+Relations+Specialist+Viasat+Inc.</t>
  </si>
  <si>
    <t>Brandon Lobb</t>
  </si>
  <si>
    <t>Talent Acquisition, University Recruiter - Campus Specialist</t>
  </si>
  <si>
    <t>https://www.google.com/search?newwindow=1&amp;ei=2MT0XrvGGM-vytMP1OyDgAY&amp;q=site%3Alinkedin.com+Brandon+Lobb+Talent+Acquisition,+University+Recruiter+-+Campus+Specialist+Viasat+Inc.</t>
  </si>
  <si>
    <t>Emily Allen</t>
  </si>
  <si>
    <t>https://www.google.com/search?newwindow=1&amp;ei=2MT0XrvGGM-vytMP1OyDgAY&amp;q=site%3Alinkedin.com+Emily+Allen+University+Relations+Recruiter+Viasat+Inc.</t>
  </si>
  <si>
    <t>Christina Garvey, CDR</t>
  </si>
  <si>
    <t>University Relations, Recruiter</t>
  </si>
  <si>
    <t>Visa</t>
  </si>
  <si>
    <t>https://www.google.com/search?newwindow=1&amp;ei=2MT0XrvGGM-vytMP1OyDgAY&amp;q=site%3Alinkedin.com+Christina+Garvey,+CDR+University+Relations,+Recruiter+Visa</t>
  </si>
  <si>
    <t>Casey Medina</t>
  </si>
  <si>
    <t>https://www.google.com/search?newwindow=1&amp;ei=2MT0XrvGGM-vytMP1OyDgAY&amp;q=site%3Alinkedin.com+Casey+Medina+University+Recruiter+Visa</t>
  </si>
  <si>
    <t>Emily Busse</t>
  </si>
  <si>
    <t>https://www.google.com/search?newwindow=1&amp;ei=2MT0XrvGGM-vytMP1OyDgAY&amp;q=site%3Alinkedin.com+Emily+Busse+University+Recruiter+Visa</t>
  </si>
  <si>
    <t>Menelik Bekele</t>
  </si>
  <si>
    <t>https://www.google.com/search?newwindow=1&amp;ei=2MT0XrvGGM-vytMP1OyDgAY&amp;q=site%3Alinkedin.com+Menelik+Bekele+Technical+University+Recruiter+Visa</t>
  </si>
  <si>
    <t>Grace Wu</t>
  </si>
  <si>
    <t>https://www.google.com/search?newwindow=1&amp;ei=2MT0XrvGGM-vytMP1OyDgAY&amp;q=site%3Alinkedin.com+Grace+Wu+Technical+University+Recruiter+Visa</t>
  </si>
  <si>
    <t>Mackenzie Fuller Straume</t>
  </si>
  <si>
    <t>https://www.google.com/search?newwindow=1&amp;ei=2MT0XrvGGM-vytMP1OyDgAY&amp;q=site%3Alinkedin.com+Mackenzie+Fuller+Straume+University+Recruiter+Visa</t>
  </si>
  <si>
    <t>Melissa Mickleboro</t>
  </si>
  <si>
    <t>Talent Acquisition Manager, University Talent</t>
  </si>
  <si>
    <t>VMware</t>
  </si>
  <si>
    <t>https://www.google.com/search?newwindow=1&amp;ei=2MT0XrvGGM-vytMP1OyDgAY&amp;q=site%3Alinkedin.com+Melissa+Mickleboro+Talent+Acquisition+Manager,+University+Talent+VMware</t>
  </si>
  <si>
    <t>Kristen Taylor</t>
  </si>
  <si>
    <t>https://www.google.com/search?newwindow=1&amp;ei=2MT0XrvGGM-vytMP1OyDgAY&amp;q=site%3Alinkedin.com+Kristen+Taylor+University+Recruiter+VMware</t>
  </si>
  <si>
    <t>Jessica Hoyt</t>
  </si>
  <si>
    <t>https://www.google.com/search?newwindow=1&amp;ei=2MT0XrvGGM-vytMP1OyDgAY&amp;q=site%3Alinkedin.com+Jessica+Hoyt+University+Recruiter+VMware</t>
  </si>
  <si>
    <t>Daniel Kim</t>
  </si>
  <si>
    <t>Sr. Technical University Recruiter</t>
  </si>
  <si>
    <t>Daly City</t>
  </si>
  <si>
    <t>https://www.google.com/search?newwindow=1&amp;ei=2MT0XrvGGM-vytMP1OyDgAY&amp;q=site%3Alinkedin.com+Daniel+Kim+Sr.+Technical+University+Recruiter+VMware</t>
  </si>
  <si>
    <t>Cam Bowman</t>
  </si>
  <si>
    <t>https://www.google.com/search?newwindow=1&amp;ei=2MT0XrvGGM-vytMP1OyDgAY&amp;q=site%3Alinkedin.com+Cam+Bowman+Campus+Recruiter+VMware</t>
  </si>
  <si>
    <t>Andrew Kim</t>
  </si>
  <si>
    <t>https://www.google.com/search?newwindow=1&amp;ei=2MT0XrvGGM-vytMP1OyDgAY&amp;q=site%3Alinkedin.com+Andrew+Kim+University+Recruiter+VMware</t>
  </si>
  <si>
    <t>Stephanie Ruiz-Schlesinger</t>
  </si>
  <si>
    <t>https://www.google.com/search?newwindow=1&amp;ei=2MT0XrvGGM-vytMP1OyDgAY&amp;q=site%3Alinkedin.com+Stephanie+Ruiz-Schlesinger+Senior+Recruiter+VMware</t>
  </si>
  <si>
    <t>Brooke Bricker</t>
  </si>
  <si>
    <t>University Talent Senior Recruiter</t>
  </si>
  <si>
    <t>https://www.google.com/search?newwindow=1&amp;ei=2MT0XrvGGM-vytMP1OyDgAY&amp;q=site%3Alinkedin.com+Brooke+Bricker+University+Talent+Senior+Recruiter+VMware</t>
  </si>
  <si>
    <t>Renee MacCabe</t>
  </si>
  <si>
    <t>Campus Relations Recruiter</t>
  </si>
  <si>
    <t>Walmart</t>
  </si>
  <si>
    <t>12 years 6 months in role</t>
  </si>
  <si>
    <t>Bentonville</t>
  </si>
  <si>
    <t>https://www.google.com/search?newwindow=1&amp;ei=2MT0XrvGGM-vytMP1OyDgAY&amp;q=site%3Alinkedin.com+Renee+MacCabe+Campus+Relations+Recruiter+Wal-Mart</t>
  </si>
  <si>
    <t>Jason Hudson</t>
  </si>
  <si>
    <t>Springdale</t>
  </si>
  <si>
    <t>https://www.google.com/search?newwindow=1&amp;ei=2MT0XrvGGM-vytMP1OyDgAY&amp;q=site%3Alinkedin.com+Jason+Hudson+Campus+Recruiter+Wal-Mart+Stores,+Inc.</t>
  </si>
  <si>
    <t>Diane Cook, PMP</t>
  </si>
  <si>
    <t>Project Manager II, Campus Recruiting</t>
  </si>
  <si>
    <t>https://www.google.com/search?newwindow=1&amp;ei=2MT0XrvGGM-vytMP1OyDgAY&amp;q=site%3Alinkedin.com+Diane+Cook,+PMP+Project+Manager+II,+Campus+Recruiting+Walmart</t>
  </si>
  <si>
    <t>Monica Hutchinson</t>
  </si>
  <si>
    <t>https://www.google.com/search?newwindow=1&amp;ei=2MT0XrvGGM-vytMP1OyDgAY&amp;q=site%3Alinkedin.com+Monica+Hutchinson+Campus+Recruiter+Walmart</t>
  </si>
  <si>
    <t>Kristin McCarter</t>
  </si>
  <si>
    <t>https://www.google.com/search?newwindow=1&amp;ei=2MT0XrvGGM-vytMP1OyDgAY&amp;q=site%3Alinkedin.com+Kristin+McCarter+Campus+Recruiter+Walmart</t>
  </si>
  <si>
    <t>Deanne Smith</t>
  </si>
  <si>
    <t>Regional Manager, Healthcare Recruiting &amp; Campus Relations</t>
  </si>
  <si>
    <t>14 years 5 months in role and company</t>
  </si>
  <si>
    <t>Edmond</t>
  </si>
  <si>
    <t>https://www.google.com/search?newwindow=1&amp;ei=2MT0XrvGGM-vytMP1OyDgAY&amp;q=site%3Alinkedin.com+Deanne+Smith+Regional+Manager,+Healthcare+Recruiting+&amp;+Campus+Relations+Walmart</t>
  </si>
  <si>
    <t>Allison Atwell</t>
  </si>
  <si>
    <t>Program Manager, Campus Recruiting, Diversity Initiatives</t>
  </si>
  <si>
    <t>https://www.google.com/search?newwindow=1&amp;ei=2MT0XrvGGM-vytMP1OyDgAY&amp;q=site%3Alinkedin.com+Allison+Atwell+Program+Manager,+Campus+Recruiting,+Diversity+Initiatives+Walmart</t>
  </si>
  <si>
    <t>Kevin Rose</t>
  </si>
  <si>
    <t>https://www.google.com/search?newwindow=1&amp;ei=2MT0XrvGGM-vytMP1OyDgAY&amp;q=site%3Alinkedin.com+Kevin+Rose+Senior+Manager,+Campus+Recruiting+Walmart</t>
  </si>
  <si>
    <t>Jessica Lockard</t>
  </si>
  <si>
    <t>https://www.google.com/search?newwindow=1&amp;ei=2MT0XrvGGM-vytMP1OyDgAY&amp;q=site%3Alinkedin.com+Jessica+Lockard+Campus+Recruiting+Manager+Walmart</t>
  </si>
  <si>
    <t>Hayley Biason</t>
  </si>
  <si>
    <t>Clifton</t>
  </si>
  <si>
    <t>https://www.google.com/search?newwindow=1&amp;ei=2MT0XrvGGM-vytMP1OyDgAY&amp;q=site%3Alinkedin.com+Hayley+Biason+Campus+Recruiter+Walmart+eCommerce</t>
  </si>
  <si>
    <t>Nicole Nunno</t>
  </si>
  <si>
    <t>https://www.google.com/search?newwindow=1&amp;ei=2MT0XrvGGM-vytMP1OyDgAY&amp;q=site%3Alinkedin.com+Nicole+Nunno+Campus+Recruiter+Walmart+eCommerce</t>
  </si>
  <si>
    <t>Lauren Graham</t>
  </si>
  <si>
    <t>Campus, Diversity and Inclusion Programs Recruiter</t>
  </si>
  <si>
    <t>https://www.google.com/search?newwindow=1&amp;ei=2MT0XrvGGM-vytMP1OyDgAY&amp;q=site%3Alinkedin.com+Lauren+Graham+Campus,+Diversity+and+Inclusion+Programs+Recruiter+Walmart+eCommerce</t>
  </si>
  <si>
    <t>Bipasa Singh</t>
  </si>
  <si>
    <t>https://www.google.com/search?newwindow=1&amp;ei=2MT0XrvGGM-vytMP1OyDgAY&amp;q=site%3Alinkedin.com+Bipasa+Singh+University+Recruiter+Walmart+eCommerce</t>
  </si>
  <si>
    <t>Allison D. Williams</t>
  </si>
  <si>
    <t>WarnerMedia</t>
  </si>
  <si>
    <t>https://www.google.com/search?newwindow=1&amp;ei=2MT0XrvGGM-vytMP1OyDgAY&amp;q=site%3Alinkedin.com+Allison+D.+Williams+University+Relations+Recruiter+WarnerMedia</t>
  </si>
  <si>
    <t>Kameren Waln</t>
  </si>
  <si>
    <t>https://www.google.com/search?newwindow=1&amp;ei=2MT0XrvGGM-vytMP1OyDgAY&amp;q=site%3Alinkedin.com+Kameren+Waln+Campus+Recruiter+WarnerMedia</t>
  </si>
  <si>
    <t>Lauren O'Byrne</t>
  </si>
  <si>
    <t>Campus Program Recruiter</t>
  </si>
  <si>
    <t>https://www.google.com/search?newwindow=1&amp;ei=2MT0XrvGGM-vytMP1OyDgAY&amp;q=site%3Alinkedin.com+Lauren+O'Byrne+Campus+Program+Recruiter+WarnerMedia</t>
  </si>
  <si>
    <t>Cynthia Gomez</t>
  </si>
  <si>
    <t>Recruiter, Diversity Outreach, Talent Acquisition (Communications &amp; Marketing)</t>
  </si>
  <si>
    <t>Briarcliff Manor</t>
  </si>
  <si>
    <t>https://www.google.com/search?newwindow=1&amp;ei=2MT0XrvGGM-vytMP1OyDgAY&amp;q=site%3Alinkedin.com+Cynthia+Gomez+Recruiter,+Diversity+Outreach,+Talent+Acquisition+(Communications+&amp;+Marketing)+WarnerMedia</t>
  </si>
  <si>
    <t>Dionna Walker</t>
  </si>
  <si>
    <t>https://www.google.com/search?newwindow=1&amp;ei=2MT0XrvGGM-vytMP1OyDgAY&amp;q=site%3Alinkedin.com+Dionna+Walker+Recruiter,+University+Relations+WarnerMedia</t>
  </si>
  <si>
    <t>Molly Kemper</t>
  </si>
  <si>
    <t>Santa Monica</t>
  </si>
  <si>
    <t>https://www.google.com/search?newwindow=1&amp;ei=2MT0XrvGGM-vytMP1OyDgAY&amp;q=site%3Alinkedin.com+Molly+Kemper+Recruiter,+University+Relations+WarnerMedia</t>
  </si>
  <si>
    <t>Maureen Gilroy</t>
  </si>
  <si>
    <t>Wayfair</t>
  </si>
  <si>
    <t>https://www.google.com/search?newwindow=1&amp;ei=2MT0XrvGGM-vytMP1OyDgAY&amp;q=site%3Alinkedin.com+Maureen+Gilroy+Campus+Recruiting+Manager+Wayfair</t>
  </si>
  <si>
    <t>Monica Baldwin</t>
  </si>
  <si>
    <t>Recruiting Manager, Campus &amp; Programmatic Hiring (Manager-Level Hiring)</t>
  </si>
  <si>
    <t>https://www.google.com/search?newwindow=1&amp;ei=2MT0XrvGGM-vytMP1OyDgAY&amp;q=site%3Alinkedin.com+Monica+Baldwin+Recruiting+Manager,+Campus+&amp;+Programmatic+Hiring+(Manager-Level+Hiring)+Wayfair</t>
  </si>
  <si>
    <t>Catherine Martin</t>
  </si>
  <si>
    <t>https://www.google.com/search?newwindow=1&amp;ei=2MT0XrvGGM-vytMP1OyDgAY&amp;q=site%3Alinkedin.com+Catherine+Martin+Senior+Campus+Recruiter+Wayfair</t>
  </si>
  <si>
    <t>Ali Bradley</t>
  </si>
  <si>
    <t>https://www.google.com/search?newwindow=1&amp;ei=2MT0XrvGGM-vytMP1OyDgAY&amp;q=site%3Alinkedin.com+Ali+Bradley+Campus+Recruiter+Wayfair</t>
  </si>
  <si>
    <t>Lila Haffey</t>
  </si>
  <si>
    <t>https://www.google.com/search?newwindow=1&amp;ei=2MT0XrvGGM-vytMP1OyDgAY&amp;q=site%3Alinkedin.com+Lila+Haffey+MBA+Campus+Recruiter+Wayfair</t>
  </si>
  <si>
    <t>Carrie Palmer</t>
  </si>
  <si>
    <t>Campus Recruiting Program Manager</t>
  </si>
  <si>
    <t>https://www.google.com/search?newwindow=1&amp;ei=2MT0XrvGGM-vytMP1OyDgAY&amp;q=site%3Alinkedin.com+Carrie+Palmer+Campus+Recruiting+Program+Manager+Wayfair</t>
  </si>
  <si>
    <t>Fallon Stewart</t>
  </si>
  <si>
    <t>https://www.google.com/search?newwindow=1&amp;ei=2MT0XrvGGM-vytMP1OyDgAY&amp;q=site%3Alinkedin.com+Fallon+Stewart+Campus+Recruiter+Wayfair</t>
  </si>
  <si>
    <t>Ryan Cantwell</t>
  </si>
  <si>
    <t>https://www.google.com/search?newwindow=1&amp;ei=2MT0XrvGGM-vytMP1OyDgAY&amp;q=site%3Alinkedin.com+Ryan+Cantwell+Campus+Recruiter+Wayfair</t>
  </si>
  <si>
    <t>Erica Matos</t>
  </si>
  <si>
    <t>https://www.google.com/search?newwindow=1&amp;ei=2MT0XrvGGM-vytMP1OyDgAY&amp;q=site%3Alinkedin.com+Erica+Matos+Campus+Recruiter+Wayfair</t>
  </si>
  <si>
    <t>Katie Jones</t>
  </si>
  <si>
    <t>Campus Recruiter II</t>
  </si>
  <si>
    <t>https://www.google.com/search?newwindow=1&amp;ei=2MT0XrvGGM-vytMP1OyDgAY&amp;q=site%3Alinkedin.com+Katie+Jones+Campus+Recruiter+II+Wayfair</t>
  </si>
  <si>
    <t>Megan Williams</t>
  </si>
  <si>
    <t>https://www.google.com/search?newwindow=1&amp;ei=2MT0XrvGGM-vytMP1OyDgAY&amp;q=site%3Alinkedin.com+Megan+Williams+Campus+Recruiter+II+Wayfair</t>
  </si>
  <si>
    <t>Chelsea D.</t>
  </si>
  <si>
    <t>https://www.google.com/search?newwindow=1&amp;ei=2MT0XrvGGM-vytMP1OyDgAY&amp;q=site%3Alinkedin.com+Chelsea+D.+Campus+Recruiter+Wayfair</t>
  </si>
  <si>
    <t>Erin Collins</t>
  </si>
  <si>
    <t>Campus Recruiter, Technical Campus Recruiting</t>
  </si>
  <si>
    <t>https://www.google.com/search?newwindow=1&amp;ei=2MT0XrvGGM-vytMP1OyDgAY&amp;q=site%3Alinkedin.com+Erin+Collins+Campus+Recruiter,+Technical+Campus+Recruiting+Wayfair</t>
  </si>
  <si>
    <t>Milena Restrepo</t>
  </si>
  <si>
    <t>MBA Campus Recruiter Co-op</t>
  </si>
  <si>
    <t>https://www.google.com/search?newwindow=1&amp;ei=2MT0XrvGGM-vytMP1OyDgAY&amp;q=site%3Alinkedin.com+Milena+Restrepo+MBA+Campus+Recruiter+Co-op+Wayfair</t>
  </si>
  <si>
    <t>Jennifer Clerici</t>
  </si>
  <si>
    <t>University Recruiter- Intern Program Specialists</t>
  </si>
  <si>
    <t>Waymo</t>
  </si>
  <si>
    <t>https://www.google.com/search?newwindow=1&amp;ei=2MT0XrvGGM-vytMP1OyDgAY&amp;q=site%3Alinkedin.com+Jennifer+Clerici+University+Recruiter-+Intern+Program+Specialists+Waymo</t>
  </si>
  <si>
    <t>Linda Ma</t>
  </si>
  <si>
    <t>University Recruiter/ Intern Program Specialist</t>
  </si>
  <si>
    <t>https://www.google.com/search?newwindow=1&amp;ei=2MT0XrvGGM-vytMP1OyDgAY&amp;q=site%3Alinkedin.com+Linda+Ma+University+Recruiter/+Intern+Program+Specialist+Waymo</t>
  </si>
  <si>
    <t>Brandon Kayhes</t>
  </si>
  <si>
    <t>Wells Fargo</t>
  </si>
  <si>
    <t>Bronx</t>
  </si>
  <si>
    <t>https://www.google.com/search?newwindow=1&amp;ei=2MT0XrvGGM-vytMP1OyDgAY&amp;q=site%3Alinkedin.com+Brandon+Kayhes+Campus+Recruiter+Wells+Fargo</t>
  </si>
  <si>
    <t>Christie Kerr</t>
  </si>
  <si>
    <t>Campus Recruiting, Project Manager</t>
  </si>
  <si>
    <t>8 years 9 months in role</t>
  </si>
  <si>
    <t>https://www.google.com/search?newwindow=1&amp;ei=2MT0XrvGGM-vytMP1OyDgAY&amp;q=site%3Alinkedin.com+Christie+Kerr+Campus+Recruiting,+Project+Manager+Wells+Fargo</t>
  </si>
  <si>
    <t>Cathy Amezcua Nikrooz</t>
  </si>
  <si>
    <t>Senior Wholesale Campus Recruiter</t>
  </si>
  <si>
    <t>14 years 1 month in role and company</t>
  </si>
  <si>
    <t>https://www.google.com/search?newwindow=1&amp;ei=2MT0XrvGGM-vytMP1OyDgAY&amp;q=site%3Alinkedin.com+Cathy+Amezcua+Nikrooz+Senior+Wholesale+Campus+Recruiter+Wells+Fargo</t>
  </si>
  <si>
    <t>Allison Hill</t>
  </si>
  <si>
    <t>https://www.google.com/search?newwindow=1&amp;ei=2MT0XrvGGM-vytMP1OyDgAY&amp;q=site%3Alinkedin.com+Allison+Hill+Campus+Recruiter+Wells+Fargo</t>
  </si>
  <si>
    <t>Jane Johnstone</t>
  </si>
  <si>
    <t>https://www.google.com/search?newwindow=1&amp;ei=2MT0XrvGGM-vytMP1OyDgAY&amp;q=site%3Alinkedin.com+Jane+Johnstone+Campus+Recruiter+Wells+Fargo</t>
  </si>
  <si>
    <t>Leah Stewart</t>
  </si>
  <si>
    <t>Head of Campus Recruiting</t>
  </si>
  <si>
    <t>https://www.google.com/search?newwindow=1&amp;ei=2MT0XrvGGM-vytMP1OyDgAY&amp;q=site%3Alinkedin.com+Leah+Stewart+Head+of+Campus+Recruiting+Wells+Fargo</t>
  </si>
  <si>
    <t>Dianah May</t>
  </si>
  <si>
    <t>https://www.google.com/search?newwindow=1&amp;ei=2MT0XrvGGM-vytMP1OyDgAY&amp;q=site%3Alinkedin.com+Dianah+May+Campus+Recruiter+Wells+Fargo</t>
  </si>
  <si>
    <t>Ryan Ruiz</t>
  </si>
  <si>
    <t>VP, Campus Recruiting Manager</t>
  </si>
  <si>
    <t>https://www.google.com/search?newwindow=1&amp;ei=2MT0XrvGGM-vytMP1OyDgAY&amp;q=site%3Alinkedin.com+Ryan+Ruiz+VP,+Campus+Recruiting+Manager+Wells+Fargo</t>
  </si>
  <si>
    <t>Marissa Shimada</t>
  </si>
  <si>
    <t>Campus Recruiting Consultant</t>
  </si>
  <si>
    <t>https://www.google.com/search?newwindow=1&amp;ei=2MT0XrvGGM-vytMP1OyDgAY&amp;q=site%3Alinkedin.com+Marissa+Shimada+Campus+Recruiting+Consultant+Wells+Fargo</t>
  </si>
  <si>
    <t>Rachel Bruce</t>
  </si>
  <si>
    <t>Project Manager, Campus Recruiting, Talent Acquisition</t>
  </si>
  <si>
    <t>9 years 11 months in role</t>
  </si>
  <si>
    <t>https://www.google.com/search?newwindow=1&amp;ei=2MT0XrvGGM-vytMP1OyDgAY&amp;q=site%3Alinkedin.com+Rachel+Bruce+Project+Manager,+Campus+Recruiting,+Talent+Acquisition+Wells+Fargo+Bank</t>
  </si>
  <si>
    <t>Ruth Armendariz, MBA</t>
  </si>
  <si>
    <t>Campus Relationship Manager</t>
  </si>
  <si>
    <t>6 years 7 months in role</t>
  </si>
  <si>
    <t>Laveen</t>
  </si>
  <si>
    <t>https://www.google.com/search?newwindow=1&amp;ei=2MT0XrvGGM-vytMP1OyDgAY&amp;q=site%3Alinkedin.com+Ruth+Armendariz,+MBA+Campus+Relationship+Manager+Wells+Fargo+Home+Mortgage</t>
  </si>
  <si>
    <t>Jordan McAdams</t>
  </si>
  <si>
    <t>Recruiter - University Programs</t>
  </si>
  <si>
    <t>https://www.google.com/search?newwindow=1&amp;ei=2MT0XrvGGM-vytMP1OyDgAY&amp;q=site%3Alinkedin.com+Jordan+McAdams+Recruiter+-+University+Programs+Wells+Fargo+Securities</t>
  </si>
  <si>
    <t>Rob Shanks</t>
  </si>
  <si>
    <t>Undergraduate Campus Recruiter</t>
  </si>
  <si>
    <t>https://www.google.com/search?newwindow=1&amp;ei=2MT0XrvGGM-vytMP1OyDgAY&amp;q=site%3Alinkedin.com+Rob+Shanks+Undergraduate+Campus+Recruiter+Wells+Fargo+Securities</t>
  </si>
  <si>
    <t>Virginia Edahl Molan</t>
  </si>
  <si>
    <t>Undergraduate Campus Recruiter at Wells Fargo Securities</t>
  </si>
  <si>
    <t>https://www.google.com/search?newwindow=1&amp;ei=2MT0XrvGGM-vytMP1OyDgAY&amp;q=site%3Alinkedin.com+Virginia+Edahl+Molan+Undergraduate+Campus+Recruiter+at+Wells+Fargo+Securities+Wells+Fargo+Securities</t>
  </si>
  <si>
    <t>Katy Grant</t>
  </si>
  <si>
    <t>MBA Recruiter</t>
  </si>
  <si>
    <t>https://www.google.com/search?newwindow=1&amp;ei=2MT0XrvGGM-vytMP1OyDgAY&amp;q=site%3Alinkedin.com+Katy+Grant+MBA+Recruiter+Wells+Fargo+Securities</t>
  </si>
  <si>
    <t>David Salgado</t>
  </si>
  <si>
    <t>University Business Recruiter</t>
  </si>
  <si>
    <t>Western Digital</t>
  </si>
  <si>
    <t>Antioch</t>
  </si>
  <si>
    <t>https://www.google.com/search?newwindow=1&amp;ei=2MT0XrvGGM-vytMP1OyDgAY&amp;q=site%3Alinkedin.com+David+Salgado+University+Business+Recruiter+Western+Digital</t>
  </si>
  <si>
    <t>Vicky Ho</t>
  </si>
  <si>
    <t>https://www.google.com/search?newwindow=1&amp;ei=2MT0XrvGGM-vytMP1OyDgAY&amp;q=site%3Alinkedin.com+Vicky+Ho+University+Recruiter+Western+Digital</t>
  </si>
  <si>
    <t>Kristin Parker</t>
  </si>
  <si>
    <t>https://www.google.com/search?newwindow=1&amp;ei=2MT0XrvGGM-vytMP1OyDgAY&amp;q=site%3Alinkedin.com+Kristin+Parker+Lead+University+Recruiter+Western+Digital</t>
  </si>
  <si>
    <t>Matthew Kim</t>
  </si>
  <si>
    <t>https://www.google.com/search?newwindow=1&amp;ei=2MT0XrvGGM-vytMP1OyDgAY&amp;q=site%3Alinkedin.com+Matthew+Kim+University+Recruiter+Western+Digital</t>
  </si>
  <si>
    <t>https://www.google.com/search?newwindow=1&amp;ei=2MT0XrvGGM-vytMP1OyDgAY&amp;q=site%3Alinkedin.com+Olivia+Leskiw+Student+Recruiter</t>
  </si>
  <si>
    <t>Olivia Leskiw</t>
  </si>
  <si>
    <t>Student Recruiter</t>
  </si>
  <si>
    <t>University of the Fraser Valley</t>
  </si>
  <si>
    <t>Abbotsford</t>
  </si>
  <si>
    <t>British Columbia</t>
  </si>
  <si>
    <t>Canada</t>
  </si>
  <si>
    <t>https://www.google.com/search?newwindow=1&amp;ei=2MT0XrvGGM-vytMP1OyDgAY&amp;q=site%3Alinkedin.com+Thomas+Ilett+Recruitment+and+University+Relations+Manager+-+Europe</t>
  </si>
  <si>
    <t>Thomas Ilett</t>
  </si>
  <si>
    <t>Recruitment and University Relations Manager - Europe</t>
  </si>
  <si>
    <t>Schlumberger</t>
  </si>
  <si>
    <t>Aberdeen</t>
  </si>
  <si>
    <t>Scotland</t>
  </si>
  <si>
    <t>United Kingdom</t>
  </si>
  <si>
    <t>https://www.google.com/search?newwindow=1&amp;ei=2MT0XrvGGM-vytMP1OyDgAY&amp;q=site%3Alinkedin.com+Asia+Mitchell+Campus+Recruiting+Senior+Specialist</t>
  </si>
  <si>
    <t>Asia Mitchell</t>
  </si>
  <si>
    <t>Campus Recruiting Senior Specialist</t>
  </si>
  <si>
    <t>JPMorgan Chase &amp; Co.</t>
  </si>
  <si>
    <t>Abingdon</t>
  </si>
  <si>
    <t>https://www.google.com/search?newwindow=1&amp;ei=2MT0XrvGGM-vytMP1OyDgAY&amp;q=site%3Alinkedin.com+Steve+Eden+Head+of+International+Student+Programs</t>
  </si>
  <si>
    <t>Steve Eden</t>
  </si>
  <si>
    <t>Head of International Student Programs</t>
  </si>
  <si>
    <t>Concordia College Adelaide</t>
  </si>
  <si>
    <t>Adelaide</t>
  </si>
  <si>
    <t>South Australia</t>
  </si>
  <si>
    <t>Australia</t>
  </si>
  <si>
    <t>https://www.google.com/search?newwindow=1&amp;ei=2MT0XrvGGM-vytMP1OyDgAY&amp;q=site%3Alinkedin.com+Jennifer+Nguyen+Committee+Member+-+University+Education+Committee</t>
  </si>
  <si>
    <t>Jennifer Nguyen</t>
  </si>
  <si>
    <t>Committee Member - University Education Committee</t>
  </si>
  <si>
    <t>University of Adelaide</t>
  </si>
  <si>
    <t>https://www.google.com/search?newwindow=1&amp;ei=2MT0XrvGGM-vytMP1OyDgAY&amp;q=site%3Alinkedin.com+Julie+Farmer+Coordinator+-+Admin+&amp;+Student+Programs</t>
  </si>
  <si>
    <t>Julie Farmer</t>
  </si>
  <si>
    <t>Coordinator - Admin &amp; Student Programs</t>
  </si>
  <si>
    <t>RC</t>
  </si>
  <si>
    <t>15 years 10 months in role and company</t>
  </si>
  <si>
    <t>https://www.google.com/search?newwindow=1&amp;ei=2MT0XrvGGM-vytMP1OyDgAY&amp;q=site%3Alinkedin.com+Julie+Angus+Regional+Recruitment+Manager</t>
  </si>
  <si>
    <t>Julie Angus</t>
  </si>
  <si>
    <t>Regional Recruitment Manager</t>
  </si>
  <si>
    <t>FDM Group</t>
  </si>
  <si>
    <t>Airdrie</t>
  </si>
  <si>
    <t>https://www.google.com/search?newwindow=1&amp;ei=2MT0XrvGGM-vytMP1OyDgAY&amp;q=site%3Alinkedin.com+Melissa+Homer+Early+Talent+Recruiter</t>
  </si>
  <si>
    <t>Melissa Homer</t>
  </si>
  <si>
    <t>TD Bank</t>
  </si>
  <si>
    <t>Ajax</t>
  </si>
  <si>
    <t>Ontario</t>
  </si>
  <si>
    <t>https://www.google.com/search?newwindow=1&amp;ei=2MT0XrvGGM-vytMP1OyDgAY&amp;q=site%3Alinkedin.com+Courtney+Wagner+Student+Recruiter/Financial+Advisor</t>
  </si>
  <si>
    <t>Courtney Wagner</t>
  </si>
  <si>
    <t>Student Recruiter/Financial Advisor</t>
  </si>
  <si>
    <t>University of Alberta, Faculty of Law</t>
  </si>
  <si>
    <t>Calgary</t>
  </si>
  <si>
    <t>Alberta</t>
  </si>
  <si>
    <t>https://www.google.com/search?newwindow=1&amp;ei=2MT0XrvGGM-vytMP1OyDgAY&amp;q=site%3Alinkedin.com+Kaydeon+Lampart+++MSc.,+BSc.+Student+Recruiter</t>
  </si>
  <si>
    <t>Kaydeon Lampart   MSc., BSc.</t>
  </si>
  <si>
    <t>The University of the West Indies</t>
  </si>
  <si>
    <t>https://www.google.com/search?newwindow=1&amp;ei=2MT0XrvGGM-vytMP1OyDgAY&amp;q=site%3Alinkedin.com+Alison+Pfeifer+Student+Recruiter</t>
  </si>
  <si>
    <t>Alison Pfeifer</t>
  </si>
  <si>
    <t>Medicine Hat College</t>
  </si>
  <si>
    <t>https://www.google.com/search?newwindow=1&amp;ei=2MT0XrvGGM-vytMP1OyDgAY&amp;q=site%3Alinkedin.com+Rebecca+Hennessy+Administrative+Assistant-+Campus+Recruiting+Coordinator</t>
  </si>
  <si>
    <t>Rebecca Hennessy</t>
  </si>
  <si>
    <t>Administrative Assistant- Campus Recruiting Coordinator</t>
  </si>
  <si>
    <t>Anchorage</t>
  </si>
  <si>
    <t>Alaska</t>
  </si>
  <si>
    <t>https://www.google.com/search?newwindow=1&amp;ei=2MT0XrvGGM-vytMP1OyDgAY&amp;q=site%3Alinkedin.com+Gwendolyn+Reddy+Director,+National+Campus+Recruiting</t>
  </si>
  <si>
    <t>Gwendolyn Reddy</t>
  </si>
  <si>
    <t>Director, National Campus Recruiting</t>
  </si>
  <si>
    <t>KPMG US</t>
  </si>
  <si>
    <t>https://www.google.com/search?newwindow=1&amp;ei=2MT0XrvGGM-vytMP1OyDgAY&amp;q=site%3Alinkedin.com+MJ+MacLellan+Associate+Registrar+-+Recruitment,+St.+Francis+Xavier+University</t>
  </si>
  <si>
    <t>MJ MacLellan</t>
  </si>
  <si>
    <t>Associate Registrar - Recruitment, St. Francis Xavier University</t>
  </si>
  <si>
    <t>St. Francis Xavier University</t>
  </si>
  <si>
    <t>Antigonish County</t>
  </si>
  <si>
    <t>Nova Scotia</t>
  </si>
  <si>
    <t>https://www.google.com/search?newwindow=1&amp;ei=2MT0XrvGGM-vytMP1OyDgAY&amp;q=site%3Alinkedin.com+Monica+Williams+Director+of+Programs+and+Student+Services</t>
  </si>
  <si>
    <t>Monica Williams</t>
  </si>
  <si>
    <t>Director of Programs and Student Services</t>
  </si>
  <si>
    <t>Strait Regional School Board</t>
  </si>
  <si>
    <t>11 years 9 months in role and company</t>
  </si>
  <si>
    <t>https://www.google.com/search?newwindow=1&amp;ei=2MT0XrvGGM-vytMP1OyDgAY&amp;q=site%3Alinkedin.com+Allyson+Cowden+Campus+Recruiting+Manager</t>
  </si>
  <si>
    <t>https://www.google.com/search?newwindow=1&amp;ei=2MT0XrvGGM-vytMP1OyDgAY&amp;q=site%3Alinkedin.com+Lauren+Seijido+Senior+Campus+Recruiting+Specialist</t>
  </si>
  <si>
    <t>Lauren Seijido</t>
  </si>
  <si>
    <t>Senior Campus Recruiting Specialist</t>
  </si>
  <si>
    <t>https://www.google.com/search?newwindow=1&amp;ei=2MT0XrvGGM-vytMP1OyDgAY&amp;q=site%3Alinkedin.com+Victoria+Clement+Senior+Campus+Recruiting+Coordinator</t>
  </si>
  <si>
    <t>Victoria Clement</t>
  </si>
  <si>
    <t>Senior Campus Recruiting Coordinator</t>
  </si>
  <si>
    <t>https://www.google.com/search?newwindow=1&amp;ei=2MT0XrvGGM-vytMP1OyDgAY&amp;q=site%3Alinkedin.com+Danielle+Pawliw+Assistant+Director+of+Development+-+College+of+Business+at+the+University+of+Nevada+Reno</t>
  </si>
  <si>
    <t>Danielle Pawliw</t>
  </si>
  <si>
    <t>Assistant Director of Development - College of Business at the University of Nevada Reno</t>
  </si>
  <si>
    <t>University of Nevada, Reno</t>
  </si>
  <si>
    <t>https://www.google.com/search?newwindow=1&amp;ei=2MT0XrvGGM-vytMP1OyDgAY&amp;q=site%3Alinkedin.com+Zoe+Nagel+Campus+Recruiting+Specialist</t>
  </si>
  <si>
    <t>Zoe Nagel</t>
  </si>
  <si>
    <t>https://www.google.com/search?newwindow=1&amp;ei=2MT0XrvGGM-vytMP1OyDgAY&amp;q=site%3Alinkedin.com+Liz+Verrecchia+Campus+Recruiting+Specialist</t>
  </si>
  <si>
    <t>Liz Verrecchia</t>
  </si>
  <si>
    <t>https://www.google.com/search?newwindow=1&amp;ei=2MT0XrvGGM-vytMP1OyDgAY&amp;q=site%3Alinkedin.com+Meredith+Sutter+Campus+Recruiting+Manager</t>
  </si>
  <si>
    <t>https://www.google.com/search?newwindow=1&amp;ei=2MT0XrvGGM-vytMP1OyDgAY&amp;q=site%3Alinkedin.com+Kaitlin+Duberstein+Campus+Recruiting+Manager</t>
  </si>
  <si>
    <t>https://www.google.com/search?newwindow=1&amp;ei=2MT0XrvGGM-vytMP1OyDgAY&amp;q=site%3Alinkedin.com+Wandie+Toledo+Bethune+Lead+Diversity+&amp;+Inclusion+Program+Manager</t>
  </si>
  <si>
    <t>https://www.google.com/search?newwindow=1&amp;ei=2MT0XrvGGM-vytMP1OyDgAY&amp;q=site%3Alinkedin.com+Kristen+Bolt+Senior+Campus+Recruiting+Specialist</t>
  </si>
  <si>
    <t>Kristen Bolt</t>
  </si>
  <si>
    <t>https://www.google.com/search?newwindow=1&amp;ei=2MT0XrvGGM-vytMP1OyDgAY&amp;q=site%3Alinkedin.com+Kelly+(Wise)+D’Amato+Campus+Recruiting+Specialist</t>
  </si>
  <si>
    <t>Kelly (Wise) D’Amato</t>
  </si>
  <si>
    <t>https://www.google.com/search?newwindow=1&amp;ei=2MT0XrvGGM-vytMP1OyDgAY&amp;q=site%3Alinkedin.com+Crystal+Brockington+Consulting+Campus+Recruiting+Specialist</t>
  </si>
  <si>
    <t>Crystal Brockington</t>
  </si>
  <si>
    <t>Consulting Campus Recruiting Specialist</t>
  </si>
  <si>
    <t>https://www.google.com/search?newwindow=1&amp;ei=2MT0XrvGGM-vytMP1OyDgAY&amp;q=site%3Alinkedin.com+Chase+Simpson+Senior+Campus+Recruiting+Specialist</t>
  </si>
  <si>
    <t>Chase Simpson</t>
  </si>
  <si>
    <t>https://www.google.com/search?newwindow=1&amp;ei=2MT0XrvGGM-vytMP1OyDgAY&amp;q=site%3Alinkedin.com+Shahista+Bhimani+Campus+Recruiting+Coordinator-+US+East</t>
  </si>
  <si>
    <t>Shahista Bhimani</t>
  </si>
  <si>
    <t>Campus Recruiting Coordinator- US East</t>
  </si>
  <si>
    <t>EY</t>
  </si>
  <si>
    <t>https://www.google.com/search?newwindow=1&amp;ei=2MT0XrvGGM-vytMP1OyDgAY&amp;q=site%3Alinkedin.com+Alexis+Hardman+Campus+Recruiting+Specialist</t>
  </si>
  <si>
    <t>Alexis Hardman</t>
  </si>
  <si>
    <t>https://www.google.com/search?newwindow=1&amp;ei=2MT0XrvGGM-vytMP1OyDgAY&amp;q=site%3Alinkedin.com+Ben+Raynor+Senior+Recruiter,+Student+Programs</t>
  </si>
  <si>
    <t>Ben Raynor</t>
  </si>
  <si>
    <t>Senior Recruiter, Student Programs</t>
  </si>
  <si>
    <t>https://www.google.com/search?newwindow=1&amp;ei=2MT0XrvGGM-vytMP1OyDgAY&amp;q=site%3Alinkedin.com+Rachel+Leonard+Lead+Campus+Recruiting+Specialist</t>
  </si>
  <si>
    <t>Rachel Leonard</t>
  </si>
  <si>
    <t>Lead Campus Recruiting Specialist</t>
  </si>
  <si>
    <t>https://www.google.com/search?newwindow=1&amp;ei=2MT0XrvGGM-vytMP1OyDgAY&amp;q=site%3Alinkedin.com+Jessica+Winkles+Lead+Campus+Recruiting+Specialist</t>
  </si>
  <si>
    <t>Jessica Winkles</t>
  </si>
  <si>
    <t>https://www.google.com/search?newwindow=1&amp;ei=2MT0XrvGGM-vytMP1OyDgAY&amp;q=site%3Alinkedin.com+Jennifer+Rice+Manager,+Campus+Recruiting</t>
  </si>
  <si>
    <t>https://www.google.com/search?newwindow=1&amp;ei=2MT0XrvGGM-vytMP1OyDgAY&amp;q=site%3Alinkedin.com+Haley+Scudder+Talent+ID+Campus+Recruiting+Associate</t>
  </si>
  <si>
    <t>Haley Scudder</t>
  </si>
  <si>
    <t>Talent ID Campus Recruiting Associate</t>
  </si>
  <si>
    <t>https://www.google.com/search?newwindow=1&amp;ei=2MT0XrvGGM-vytMP1OyDgAY&amp;q=site%3Alinkedin.com+Elise+Scott+Assistant+Director,+Campus+Recruiting</t>
  </si>
  <si>
    <t>Elise Scott</t>
  </si>
  <si>
    <t>Assistant Director, Campus Recruiting</t>
  </si>
  <si>
    <t>https://www.google.com/search?newwindow=1&amp;ei=2MT0XrvGGM-vytMP1OyDgAY&amp;q=site%3Alinkedin.com+Lauren+Nelson+Assistant+Director,+Campus+Recruiting</t>
  </si>
  <si>
    <t>Lauren Nelson</t>
  </si>
  <si>
    <t>https://www.google.com/search?newwindow=1&amp;ei=2MT0XrvGGM-vytMP1OyDgAY&amp;q=site%3Alinkedin.com+Kilsis+"Saint"+Saint-Hilaire+Student+Veteran+Recruiter</t>
  </si>
  <si>
    <t>Kilsis "Saint" Saint-Hilaire</t>
  </si>
  <si>
    <t>Student Veteran Recruiter</t>
  </si>
  <si>
    <t>https://www.google.com/search?newwindow=1&amp;ei=2MT0XrvGGM-vytMP1OyDgAY&amp;q=site%3Alinkedin.com+Kristin+Spivey+Associate+Director,+Campus+Recruiting</t>
  </si>
  <si>
    <t>https://www.google.com/search?newwindow=1&amp;ei=2MT0XrvGGM-vytMP1OyDgAY&amp;q=site%3Alinkedin.com+Brittany+Roth+Healy+Campus+Recruiting+Associate+Manager</t>
  </si>
  <si>
    <t>https://www.google.com/search?newwindow=1&amp;ei=2MT0XrvGGM-vytMP1OyDgAY&amp;q=site%3Alinkedin.com+Laura+Gallagher+EY+US-Central+Region+Campus+Recruiting+Leader</t>
  </si>
  <si>
    <t>Laura Gallagher</t>
  </si>
  <si>
    <t>EY US-Central Region Campus Recruiting Leader</t>
  </si>
  <si>
    <t>https://www.google.com/search?newwindow=1&amp;ei=2MT0XrvGGM-vytMP1OyDgAY&amp;q=site%3Alinkedin.com+Jessica+Hardeman+National+Associate+Director+-+Campus+Recruiting+Operations</t>
  </si>
  <si>
    <t>Jessica Hardeman</t>
  </si>
  <si>
    <t>National Associate Director - Campus Recruiting Operations</t>
  </si>
  <si>
    <t>https://www.google.com/search?newwindow=1&amp;ei=2MT0XrvGGM-vytMP1OyDgAY&amp;q=site%3Alinkedin.com+Kathryn+Slaton+Associate+Director,+SE+Campus+Recruiting</t>
  </si>
  <si>
    <t>Kathryn Slaton</t>
  </si>
  <si>
    <t>Associate Director, SE Campus Recruiting</t>
  </si>
  <si>
    <t>9 years 4 months in role</t>
  </si>
  <si>
    <t>https://www.google.com/search?newwindow=1&amp;ei=2MT0XrvGGM-vytMP1OyDgAY&amp;q=site%3Alinkedin.com+Jessy+Jager+Senior+Campus+Recruiter</t>
  </si>
  <si>
    <t>https://www.google.com/search?newwindow=1&amp;ei=2MT0XrvGGM-vytMP1OyDgAY&amp;q=site%3Alinkedin.com+Holly+Thomas+National+Director,+Tax+Campus+Recruiting+Strategy+and+East+Region+Director+for+Audit+and+Tax</t>
  </si>
  <si>
    <t>Holly Thomas</t>
  </si>
  <si>
    <t>National Director, Tax Campus Recruiting Strategy and East Region Director for Audit and Tax</t>
  </si>
  <si>
    <t>https://www.google.com/search?newwindow=1&amp;ei=2MT0XrvGGM-vytMP1OyDgAY&amp;q=site%3Alinkedin.com+Sarah+Hodges+Associate,+Campus+Recruiting</t>
  </si>
  <si>
    <t>Sarah Hodges</t>
  </si>
  <si>
    <t>Associate, Campus Recruiting</t>
  </si>
  <si>
    <t>https://www.google.com/search?newwindow=1&amp;ei=2MT0XrvGGM-vytMP1OyDgAY&amp;q=site%3Alinkedin.com+Carly+Williams+National+Campus+Recruiting+Leader</t>
  </si>
  <si>
    <t>Carly Williams</t>
  </si>
  <si>
    <t>National Campus Recruiting Leader</t>
  </si>
  <si>
    <t>https://www.google.com/search?newwindow=1&amp;ei=2MT0XrvGGM-vytMP1OyDgAY&amp;q=site%3Alinkedin.com+Betsy+Davis+Senior+Campus+Recruiter</t>
  </si>
  <si>
    <t>https://www.google.com/search?newwindow=1&amp;ei=2MT0XrvGGM-vytMP1OyDgAY&amp;q=site%3Alinkedin.com+Madison+Ford+Campus+Recruiting+Coordinator</t>
  </si>
  <si>
    <t>Madison Ford</t>
  </si>
  <si>
    <t>Campus Recruiting Coordinator</t>
  </si>
  <si>
    <t>https://www.google.com/search?newwindow=1&amp;ei=2MT0XrvGGM-vytMP1OyDgAY&amp;q=site%3Alinkedin.com+Kimberley+Gibson+Campus+Recruiting+Coordinator</t>
  </si>
  <si>
    <t>Kimberley Gibson</t>
  </si>
  <si>
    <t>https://www.google.com/search?newwindow=1&amp;ei=2MT0XrvGGM-vytMP1OyDgAY&amp;q=site%3Alinkedin.com+Beth+Bunn+Recruitment+Manager</t>
  </si>
  <si>
    <t>Beth Bunn</t>
  </si>
  <si>
    <t>Recruitment Manager</t>
  </si>
  <si>
    <t>University of East Anglia</t>
  </si>
  <si>
    <t>Attleborough</t>
  </si>
  <si>
    <t>England</t>
  </si>
  <si>
    <t>https://www.google.com/search?newwindow=1&amp;ei=2MT0XrvGGM-vytMP1OyDgAY&amp;q=site%3Alinkedin.com+Maryam+Goharinejad+Campus+Recruiting+Consultant</t>
  </si>
  <si>
    <t>Maryam Goharinejad</t>
  </si>
  <si>
    <t>Sun Life Financial</t>
  </si>
  <si>
    <t>https://www.google.com/search?newwindow=1&amp;ei=2MT0XrvGGM-vytMP1OyDgAY&amp;q=site%3Alinkedin.com+Jessica+J.+University+Recruiting+Campus+Manager</t>
  </si>
  <si>
    <t>https://www.google.com/search?newwindow=1&amp;ei=2MT0XrvGGM-vytMP1OyDgAY&amp;q=site%3Alinkedin.com+Hailey+Pyle+Campus+Recruiting+Specialist</t>
  </si>
  <si>
    <t>Hailey Pyle</t>
  </si>
  <si>
    <t>https://www.google.com/search?newwindow=1&amp;ei=2MT0XrvGGM-vytMP1OyDgAY&amp;q=site%3Alinkedin.com+Fabian+Figi+Head+of+Campus+Channels</t>
  </si>
  <si>
    <t>Fabian Figi</t>
  </si>
  <si>
    <t>Head of Campus Channels</t>
  </si>
  <si>
    <t>https://www.google.com/search?newwindow=1&amp;ei=2MT0XrvGGM-vytMP1OyDgAY&amp;q=site%3Alinkedin.com+Trisha+Maberly+Lead+Campus+Recruiting+Specialist</t>
  </si>
  <si>
    <t>Trisha Maberly</t>
  </si>
  <si>
    <t>https://www.google.com/search?newwindow=1&amp;ei=2MT0XrvGGM-vytMP1OyDgAY&amp;q=site%3Alinkedin.com+Molly+Haas+Recruiter,+Student+Programs</t>
  </si>
  <si>
    <t>Molly Haas</t>
  </si>
  <si>
    <t>Recruiter, Student Programs</t>
  </si>
  <si>
    <t>https://www.google.com/search?newwindow=1&amp;ei=2MT0XrvGGM-vytMP1OyDgAY&amp;q=site%3Alinkedin.com+Teryl+Booth+Campus+Recruiting+Manager</t>
  </si>
  <si>
    <t>https://www.google.com/search?newwindow=1&amp;ei=2MT0XrvGGM-vytMP1OyDgAY&amp;q=site%3Alinkedin.com+Jane+Adeosun+Associate,+Campus+Recruiting</t>
  </si>
  <si>
    <t>Jane Adeosun</t>
  </si>
  <si>
    <t>https://www.google.com/search?newwindow=1&amp;ei=2MT0XrvGGM-vytMP1OyDgAY&amp;q=site%3Alinkedin.com+Sarah+Harari+Manager,+Campus+Recruiting</t>
  </si>
  <si>
    <t>https://www.google.com/search?newwindow=1&amp;ei=2MT0XrvGGM-vytMP1OyDgAY&amp;q=site%3Alinkedin.com+Sheona+Morrison+Manager,+Student+Leadership+and+Transition+Programs</t>
  </si>
  <si>
    <t>Sheona Morrison</t>
  </si>
  <si>
    <t>Manager, Student Leadership and Transition Programs</t>
  </si>
  <si>
    <t>Georgian College</t>
  </si>
  <si>
    <t>Barrie</t>
  </si>
  <si>
    <t>https://www.google.com/search?newwindow=1&amp;ei=2MT0XrvGGM-vytMP1OyDgAY&amp;q=site%3Alinkedin.com+Stephanie+Spencer+Interim+Adminstrative+Assistant+in+Caridiovascular+&amp;+Renal+Progrmas+&amp;+Patient+Flow+Programs</t>
  </si>
  <si>
    <t>Stephanie Spencer</t>
  </si>
  <si>
    <t>Interim Adminstrative Assistant in Caridiovascular &amp; Renal Progrmas &amp; Patient Flow Programs</t>
  </si>
  <si>
    <t>Royal Victoria Regional Health Centre</t>
  </si>
  <si>
    <t>https://www.google.com/search?newwindow=1&amp;ei=2MT0XrvGGM-vytMP1OyDgAY&amp;q=site%3Alinkedin.com+Alexia+Stocker+Clearing+And+Recruitment+Ambassador</t>
  </si>
  <si>
    <t>Alexia Stocker</t>
  </si>
  <si>
    <t>Clearing And Recruitment Ambassador</t>
  </si>
  <si>
    <t>University of Greenwich</t>
  </si>
  <si>
    <t>Bath</t>
  </si>
  <si>
    <t>https://www.google.com/search?newwindow=1&amp;ei=2MT0XrvGGM-vytMP1OyDgAY&amp;q=site%3Alinkedin.com+Anthony+Dean+Policy+and+Technical+Assistant+Manager+-+Energy+Efficiency+and+Social+Programs</t>
  </si>
  <si>
    <t>Anthony Dean</t>
  </si>
  <si>
    <t>Policy and Technical Assistant Manager - Energy Efficiency and Social Programs</t>
  </si>
  <si>
    <t>Ofgem</t>
  </si>
  <si>
    <t>https://www.google.com/search?newwindow=1&amp;ei=2MT0XrvGGM-vytMP1OyDgAY&amp;q=site%3Alinkedin.com+Amy+Benton+Human+Resources,+Firmwide+Campus+Recruiting+Operations+Manager</t>
  </si>
  <si>
    <t>https://www.google.com/search?newwindow=1&amp;ei=2MT0XrvGGM-vytMP1OyDgAY&amp;q=site%3Alinkedin.com+Dominika+Kalinowska+Educational+Adviser/+Student+Ambassador/+Student+Recruiter</t>
  </si>
  <si>
    <t>Dominika Kalinowska</t>
  </si>
  <si>
    <t>Educational Adviser/ Student Ambassador/ Student Recruiter</t>
  </si>
  <si>
    <t>Studia w Anglii</t>
  </si>
  <si>
    <t>3 years 11 months in role and company</t>
  </si>
  <si>
    <t>Bedford</t>
  </si>
  <si>
    <t>https://www.google.com/search?newwindow=1&amp;ei=2MT0XrvGGM-vytMP1OyDgAY&amp;q=site%3Alinkedin.com+Virginia+Canning+Adult+Educator+Correctional+Programs</t>
  </si>
  <si>
    <t>Virginia Canning</t>
  </si>
  <si>
    <t>Adult Educator Correctional Programs</t>
  </si>
  <si>
    <t>Canadian Federal Government</t>
  </si>
  <si>
    <t>https://www.google.com/search?newwindow=1&amp;ei=2MT0XrvGGM-vytMP1OyDgAY&amp;q=site%3Alinkedin.com+Catherine+Irvine+Campus+Recruiter+|+Operations+EMEA</t>
  </si>
  <si>
    <t>Catherine Irvine</t>
  </si>
  <si>
    <t>Campus Recruiter | Operations EMEA</t>
  </si>
  <si>
    <t>Belfast</t>
  </si>
  <si>
    <t>Northern Ireland</t>
  </si>
  <si>
    <t>Ireland</t>
  </si>
  <si>
    <t>https://www.google.com/search?newwindow=1&amp;ei=2MT0XrvGGM-vytMP1OyDgAY&amp;q=site%3Alinkedin.com+Stephen+Scott+Operations+Programs+and+Standards+Co-op+Student</t>
  </si>
  <si>
    <t>Stephen Scott</t>
  </si>
  <si>
    <t>Operations Programs and Standards Co-op Student</t>
  </si>
  <si>
    <t>AECL</t>
  </si>
  <si>
    <t>Belle River</t>
  </si>
  <si>
    <t>https://www.google.com/search?newwindow=1&amp;ei=2MT0XrvGGM-vytMP1OyDgAY&amp;q=site%3Alinkedin.com+Alexandra+Foret+Recruiting+Lead,+Campus+Recruiting</t>
  </si>
  <si>
    <t>Alexandra Foret</t>
  </si>
  <si>
    <t>Recruiting Lead, Campus Recruiting</t>
  </si>
  <si>
    <t>https://www.google.com/search?newwindow=1&amp;ei=2MT0XrvGGM-vytMP1OyDgAY&amp;q=site%3Alinkedin.com+Diane+Cook,+PMP+Project+Manager+II,+Campus+Recruiting</t>
  </si>
  <si>
    <t>https://www.google.com/search?newwindow=1&amp;ei=2MT0XrvGGM-vytMP1OyDgAY&amp;q=site%3Alinkedin.com+Brooke+Katz+Campus+Recruiting+Coordinator</t>
  </si>
  <si>
    <t>Brooke Katz</t>
  </si>
  <si>
    <t>Beverly Hills</t>
  </si>
  <si>
    <t>https://www.google.com/search?newwindow=1&amp;ei=2MT0XrvGGM-vytMP1OyDgAY&amp;q=site%3Alinkedin.com+Megan+Carter,+CPA+Senior+Associate,+EY+Talent+Acquisition+and+Attraction,+Campus+Recruiting</t>
  </si>
  <si>
    <t>Megan Carter, CPA</t>
  </si>
  <si>
    <t>Senior Associate, EY Talent Acquisition and Attraction, Campus Recruiting</t>
  </si>
  <si>
    <t>https://www.google.com/search?newwindow=1&amp;ei=2MT0XrvGGM-vytMP1OyDgAY&amp;q=site%3Alinkedin.com+Millie+Charnley+Recruiter+Support+Coordinator</t>
  </si>
  <si>
    <t>Millie Charnley</t>
  </si>
  <si>
    <t>Recruiter Support Coordinator</t>
  </si>
  <si>
    <t>Randstad</t>
  </si>
  <si>
    <t>Blackburn with Darwen</t>
  </si>
  <si>
    <t>https://www.google.com/search?newwindow=1&amp;ei=2MT0XrvGGM-vytMP1OyDgAY&amp;q=site%3Alinkedin.com+Rhonda+Winstead+Campus+Recruiting</t>
  </si>
  <si>
    <t>Rhonda Winstead</t>
  </si>
  <si>
    <t>Bluffton</t>
  </si>
  <si>
    <t>https://www.google.com/search?newwindow=1&amp;ei=2MT0XrvGGM-vytMP1OyDgAY&amp;q=site%3Alinkedin.com+Carrie-Ellen+Mitchell+University+Recruiter</t>
  </si>
  <si>
    <t>Carrie-Ellen Mitchell</t>
  </si>
  <si>
    <t>Teach First</t>
  </si>
  <si>
    <t>Blyth</t>
  </si>
  <si>
    <t>https://www.google.com/search?newwindow=1&amp;ei=2MT0XrvGGM-vytMP1OyDgAY&amp;q=site%3Alinkedin.com+Thienan+Dang+Senior+Associate,+Campus+Recruiting</t>
  </si>
  <si>
    <t>Thienan Dang</t>
  </si>
  <si>
    <t>https://www.google.com/search?newwindow=1&amp;ei=2MT0XrvGGM-vytMP1OyDgAY&amp;q=site%3Alinkedin.com+Ben+Amerault+Senior+Campus+Recruiting+Talent+Scout+[Recruiter]</t>
  </si>
  <si>
    <t>https://www.google.com/search?newwindow=1&amp;ei=2MT0XrvGGM-vytMP1OyDgAY&amp;q=site%3Alinkedin.com+Charlotte+Barszewski+Campus+Recruiting+Specialist</t>
  </si>
  <si>
    <t>Charlotte Barszewski</t>
  </si>
  <si>
    <t>https://www.google.com/search?newwindow=1&amp;ei=2MT0XrvGGM-vytMP1OyDgAY&amp;q=site%3Alinkedin.com+Elisabeth+Mox,+SHRM-CP+Lead+of+Undergraduate+Campus+Recruiting+(Business+and+Tech)</t>
  </si>
  <si>
    <t>Elisabeth Mox, SHRM-CP</t>
  </si>
  <si>
    <t>Lead of Undergraduate Campus Recruiting (Business and Tech)</t>
  </si>
  <si>
    <t>https://www.google.com/search?newwindow=1&amp;ei=2MT0XrvGGM-vytMP1OyDgAY&amp;q=site%3Alinkedin.com+Danielle+D'Elia+Associate,+Campus+Recruiting</t>
  </si>
  <si>
    <t>Danielle D'Elia</t>
  </si>
  <si>
    <t>https://www.google.com/search?newwindow=1&amp;ei=2MT0XrvGGM-vytMP1OyDgAY&amp;q=site%3Alinkedin.com+Maureen+Gilroy+Campus+Recruiting+Manager</t>
  </si>
  <si>
    <t>https://www.google.com/search?newwindow=1&amp;ei=2MT0XrvGGM-vytMP1OyDgAY&amp;q=site%3Alinkedin.com+Brittany+Cuevas+Senior+Associate,+Campus+Recruiting</t>
  </si>
  <si>
    <t>Brittany Cuevas</t>
  </si>
  <si>
    <t>https://www.google.com/search?newwindow=1&amp;ei=2MT0XrvGGM-vytMP1OyDgAY&amp;q=site%3Alinkedin.com+Ryan+O'Neil+Campus+Recruiting+Coordinator</t>
  </si>
  <si>
    <t>Ryan O'Neil</t>
  </si>
  <si>
    <t>https://www.google.com/search?newwindow=1&amp;ei=2MT0XrvGGM-vytMP1OyDgAY&amp;q=site%3Alinkedin.com+Li+Steinberg+Campus+Recruiting+Manager</t>
  </si>
  <si>
    <t>https://www.google.com/search?newwindow=1&amp;ei=2MT0XrvGGM-vytMP1OyDgAY&amp;q=site%3Alinkedin.com+Krysta+DiGregorio+Senior+Campus+Recruiting+Specialist</t>
  </si>
  <si>
    <t>Krysta DiGregorio</t>
  </si>
  <si>
    <t>https://www.google.com/search?newwindow=1&amp;ei=2MT0XrvGGM-vytMP1OyDgAY&amp;q=site%3Alinkedin.com+Christopher+Mann+Senior+Associate,+Campus+Recruiting</t>
  </si>
  <si>
    <t>Christopher Mann</t>
  </si>
  <si>
    <t>https://www.google.com/search?newwindow=1&amp;ei=2MT0XrvGGM-vytMP1OyDgAY&amp;q=site%3Alinkedin.com+Carrie+Palmer+Campus+Recruiting+Program+Manager</t>
  </si>
  <si>
    <t>https://www.google.com/search?newwindow=1&amp;ei=2MT0XrvGGM-vytMP1OyDgAY&amp;q=site%3Alinkedin.com+Monica+Baldwin+Recruiting+Manager,+Campus+&amp;+Programmatic+Hiring+(Manager-Level+Hiring)</t>
  </si>
  <si>
    <t>https://www.google.com/search?newwindow=1&amp;ei=2MT0XrvGGM-vytMP1OyDgAY&amp;q=site%3Alinkedin.com+Isabelle+Mellon+Senior+Campus+Recruiting+Coordinator</t>
  </si>
  <si>
    <t>Isabelle Mellon</t>
  </si>
  <si>
    <t>https://www.google.com/search?newwindow=1&amp;ei=2MT0XrvGGM-vytMP1OyDgAY&amp;q=site%3Alinkedin.com+Molly+Leighton+National+Assurance+Campus+Recruiting+Lead</t>
  </si>
  <si>
    <t>https://www.google.com/search?newwindow=1&amp;ei=2MT0XrvGGM-vytMP1OyDgAY&amp;q=site%3Alinkedin.com+Lisa+Twomey,+PHR+Manager,+Consulting+Campus+Recruiting</t>
  </si>
  <si>
    <t>https://www.google.com/search?newwindow=1&amp;ei=2MT0XrvGGM-vytMP1OyDgAY&amp;q=site%3Alinkedin.com+Jessica+Hart+Campus+Recruiting+Coordinator+Co-Op</t>
  </si>
  <si>
    <t>Jessica Hart</t>
  </si>
  <si>
    <t>Campus Recruiting Coordinator Co-Op</t>
  </si>
  <si>
    <t>https://www.google.com/search?newwindow=1&amp;ei=2MT0XrvGGM-vytMP1OyDgAY&amp;q=site%3Alinkedin.com+Barbara+Nee+Center+of+Excellence+-+Campus+Recruiting+Field+Strategy+Leader</t>
  </si>
  <si>
    <t>Barbara Nee</t>
  </si>
  <si>
    <t>Center of Excellence - Campus Recruiting Field Strategy Leader</t>
  </si>
  <si>
    <t>8 years 4 months in role</t>
  </si>
  <si>
    <t>https://www.google.com/search?newwindow=1&amp;ei=2MT0XrvGGM-vytMP1OyDgAY&amp;q=site%3Alinkedin.com+Claire+Tully+Campus+Recruiting+Specialist</t>
  </si>
  <si>
    <t>Claire Tully</t>
  </si>
  <si>
    <t>https://www.google.com/search?newwindow=1&amp;ei=2MT0XrvGGM-vytMP1OyDgAY&amp;q=site%3Alinkedin.com+Kylie+Mendonca+Campus+Recruiting+Coordinator</t>
  </si>
  <si>
    <t>Kylie Mendonca</t>
  </si>
  <si>
    <t>https://www.google.com/search?newwindow=1&amp;ei=2MT0XrvGGM-vytMP1OyDgAY&amp;q=site%3Alinkedin.com+Julie+Mims+Campus+Talent+Acquisition+Manager</t>
  </si>
  <si>
    <t>https://www.google.com/search?newwindow=1&amp;ei=2MT0XrvGGM-vytMP1OyDgAY&amp;q=site%3Alinkedin.com+Erin+Collins+Campus+Recruiter,+Technical+Campus+Recruiting</t>
  </si>
  <si>
    <t>https://www.google.com/search?newwindow=1&amp;ei=2MT0XrvGGM-vytMP1OyDgAY&amp;q=site%3Alinkedin.com+Michelle+Lombardo+Campus+Recruiting+Senior+Associate</t>
  </si>
  <si>
    <t>Michelle Lombardo</t>
  </si>
  <si>
    <t>Campus Recruiting Senior Associate</t>
  </si>
  <si>
    <t>PricewaterhouseCoopers LLP</t>
  </si>
  <si>
    <t>16 years 10 months in role</t>
  </si>
  <si>
    <t>https://www.google.com/search?newwindow=1&amp;ei=2MT0XrvGGM-vytMP1OyDgAY&amp;q=site%3Alinkedin.com+Brianne+Campbell+Financial+Services+Campus+Recruiting,+Associate+Director</t>
  </si>
  <si>
    <t>Brianne Campbell</t>
  </si>
  <si>
    <t>Financial Services Campus Recruiting, Associate Director</t>
  </si>
  <si>
    <t>https://www.google.com/search?newwindow=1&amp;ei=2MT0XrvGGM-vytMP1OyDgAY&amp;q=site%3Alinkedin.com+Fedora+Maduro+Technology+Campus+Recruiter+-+Human+Resources</t>
  </si>
  <si>
    <t>Fedora Maduro</t>
  </si>
  <si>
    <t>Technology Campus Recruiter - Human Resources</t>
  </si>
  <si>
    <t>Bournemouth</t>
  </si>
  <si>
    <t>https://www.google.com/search?newwindow=1&amp;ei=2MT0XrvGGM-vytMP1OyDgAY&amp;q=site%3Alinkedin.com+Valeria+B.+Programs+Intern</t>
  </si>
  <si>
    <t>Valeria B.</t>
  </si>
  <si>
    <t>Programs Intern</t>
  </si>
  <si>
    <t>Hamble Aerostructures Ltd</t>
  </si>
  <si>
    <t>https://www.google.com/search?newwindow=1&amp;ei=2MT0XrvGGM-vytMP1OyDgAY&amp;q=site%3Alinkedin.com+Bryony+Bain+Campus+Recruiting</t>
  </si>
  <si>
    <t>Bryony Bain</t>
  </si>
  <si>
    <t>J.P. Morgan</t>
  </si>
  <si>
    <t>https://www.google.com/search?newwindow=1&amp;ei=2MT0XrvGGM-vytMP1OyDgAY&amp;q=site%3Alinkedin.com+Paula+J+Horton+UK/EU+Recruitment+Officer,+External+Affairs+-+University+of+Bradford+(to+September+2020)</t>
  </si>
  <si>
    <t>Paula J Horton</t>
  </si>
  <si>
    <t>UK/EU Recruitment Officer, External Affairs - University of Bradford (to September 2020)</t>
  </si>
  <si>
    <t>University of Bradford</t>
  </si>
  <si>
    <t>Bradford</t>
  </si>
  <si>
    <t>https://www.google.com/search?newwindow=1&amp;ei=2MT0XrvGGM-vytMP1OyDgAY&amp;q=site%3Alinkedin.com+Mohammed+A.+Talent+Advisor+&amp;+Graduate+Recruiter+at+Kelda+Group+Plc</t>
  </si>
  <si>
    <t>Mohammed A.</t>
  </si>
  <si>
    <t>Talent Advisor &amp; Graduate Recruiter at Kelda Group Plc</t>
  </si>
  <si>
    <t>Kelda Group Plc</t>
  </si>
  <si>
    <t>9 years 10 months in role and company</t>
  </si>
  <si>
    <t>https://www.google.com/search?newwindow=1&amp;ei=2MT0XrvGGM-vytMP1OyDgAY&amp;q=site%3Alinkedin.com+Olivia+Charran+Dual+credit+program+student+support+officer+(school+college+work+initiative)</t>
  </si>
  <si>
    <t>Olivia Charran</t>
  </si>
  <si>
    <t>Dual credit program student support officer (school college work initiative)</t>
  </si>
  <si>
    <t>Sheridan College</t>
  </si>
  <si>
    <t>Brampton</t>
  </si>
  <si>
    <t>https://www.google.com/search?newwindow=1&amp;ei=2MT0XrvGGM-vytMP1OyDgAY&amp;q=site%3Alinkedin.com+Ininder+Badwal,+CHRP+Talent+Attraction+Specialist+-+Campus+Recruiting</t>
  </si>
  <si>
    <t>Ininder Badwal, CHRP</t>
  </si>
  <si>
    <t>Talent Attraction Specialist - Campus Recruiting</t>
  </si>
  <si>
    <t>KPMG Canada</t>
  </si>
  <si>
    <t>https://www.google.com/search?newwindow=1&amp;ei=2MT0XrvGGM-vytMP1OyDgAY&amp;q=site%3Alinkedin.com+Iesha+Smith+Student+Recruiter+Assistant</t>
  </si>
  <si>
    <t>Iesha Smith</t>
  </si>
  <si>
    <t>Student Recruiter Assistant</t>
  </si>
  <si>
    <t>Centennial College</t>
  </si>
  <si>
    <t>10 years 2 months in role and company</t>
  </si>
  <si>
    <t>https://www.google.com/search?newwindow=1&amp;ei=2MT0XrvGGM-vytMP1OyDgAY&amp;q=site%3Alinkedin.com+Rebeca+M.,+MSW,+RSW+Student+Development+Coordinator+-+Intercultural+Programs</t>
  </si>
  <si>
    <t>Rebeca M., MSW, RSW</t>
  </si>
  <si>
    <t>Student Development Coordinator - Intercultural Programs</t>
  </si>
  <si>
    <t>University of Toronto Mississauga</t>
  </si>
  <si>
    <t>https://www.google.com/search?newwindow=1&amp;ei=2MT0XrvGGM-vytMP1OyDgAY&amp;q=site%3Alinkedin.com+Oriana+Barros+Manager,+Pathway+Programs,+Student+Recruitment+&amp;+Admissions</t>
  </si>
  <si>
    <t>Oriana Barros</t>
  </si>
  <si>
    <t>Manager, Pathway Programs, Student Recruitment &amp; Admissions</t>
  </si>
  <si>
    <t>https://www.google.com/search?newwindow=1&amp;ei=2MT0XrvGGM-vytMP1OyDgAY&amp;q=site%3Alinkedin.com+Nancy+Boyce+Student+Programs+Coordinator</t>
  </si>
  <si>
    <t>Nancy Boyce</t>
  </si>
  <si>
    <t>Student Programs Coordinator</t>
  </si>
  <si>
    <t>Blake, Cassels &amp; Graydon LLP</t>
  </si>
  <si>
    <t>10 years 4 months in role and company</t>
  </si>
  <si>
    <t>https://www.google.com/search?newwindow=1&amp;ei=2MT0XrvGGM-vytMP1OyDgAY&amp;q=site%3Alinkedin.com+Cathee+McAuley+Campus+Recruiting+Associate</t>
  </si>
  <si>
    <t>Cathee McAuley</t>
  </si>
  <si>
    <t>Campus Recruiting Associate</t>
  </si>
  <si>
    <t>PricewaterhouseCoopers</t>
  </si>
  <si>
    <t>Brandon</t>
  </si>
  <si>
    <t>https://www.google.com/search?newwindow=1&amp;ei=2MT0XrvGGM-vytMP1OyDgAY&amp;q=site%3Alinkedin.com+Sara+De+La+Cruz+Graduate+Recruiter+Specialist+at+GE+on+behalf+of+AMS</t>
  </si>
  <si>
    <t>Sara De La Cruz</t>
  </si>
  <si>
    <t>Graduate Recruiter Specialist at GE on behalf of AMS</t>
  </si>
  <si>
    <t>Brentwood</t>
  </si>
  <si>
    <t>https://www.google.com/search?newwindow=1&amp;ei=2MT0XrvGGM-vytMP1OyDgAY&amp;q=site%3Alinkedin.com+Jacqueline+Waugh+Campus+Recruiting+Manager</t>
  </si>
  <si>
    <t>https://www.google.com/search?newwindow=1&amp;ei=2MT0XrvGGM-vytMP1OyDgAY&amp;q=site%3Alinkedin.com+Harley+H.+Content+Creator+&amp;+Student+Ambassador</t>
  </si>
  <si>
    <t>Harley H.</t>
  </si>
  <si>
    <t>Content Creator &amp; Student Ambassador</t>
  </si>
  <si>
    <t>University of Stirling</t>
  </si>
  <si>
    <t>Bridge of Allan</t>
  </si>
  <si>
    <t>https://www.google.com/search?newwindow=1&amp;ei=2MT0XrvGGM-vytMP1OyDgAY&amp;q=site%3Alinkedin.com+Michael+Warburton+University+Recruiter</t>
  </si>
  <si>
    <t>Michael Warburton</t>
  </si>
  <si>
    <t>Brighton</t>
  </si>
  <si>
    <t>https://www.google.com/search?newwindow=1&amp;ei=2MT0XrvGGM-vytMP1OyDgAY&amp;q=site%3Alinkedin.com+Josephine+F.+Graduate+and+Intern+Recruiter+-+Emerging+Talent+(via+AMS)</t>
  </si>
  <si>
    <t>Josephine F.</t>
  </si>
  <si>
    <t>Graduate and Intern Recruiter - Emerging Talent (via AMS)</t>
  </si>
  <si>
    <t>HSBC</t>
  </si>
  <si>
    <t>Brighton and Hove</t>
  </si>
  <si>
    <t>https://www.google.com/search?newwindow=1&amp;ei=2MT0XrvGGM-vytMP1OyDgAY&amp;q=site%3Alinkedin.com+Paul+Lovegrove+CEO+UP+EU+&amp;+Chief+Recruitment+Officer+UP+Global</t>
  </si>
  <si>
    <t>Paul Lovegrove</t>
  </si>
  <si>
    <t>CEO UP EU &amp; Chief Recruitment Officer UP Global</t>
  </si>
  <si>
    <t>Navitas</t>
  </si>
  <si>
    <t>https://www.google.com/search?newwindow=1&amp;ei=2MT0XrvGGM-vytMP1OyDgAY&amp;q=site%3Alinkedin.com+Suzy+Bolt+Transitions+into+University+workshop.</t>
  </si>
  <si>
    <t>Suzy Bolt</t>
  </si>
  <si>
    <t>Transitions into University workshop.</t>
  </si>
  <si>
    <t>suzybolt.com</t>
  </si>
  <si>
    <t>https://www.google.com/search?newwindow=1&amp;ei=2MT0XrvGGM-vytMP1OyDgAY&amp;q=site%3Alinkedin.com+Louie+Webb+Recruiter</t>
  </si>
  <si>
    <t>Louie Webb</t>
  </si>
  <si>
    <t>Let Me Play</t>
  </si>
  <si>
    <t>https://www.google.com/search?newwindow=1&amp;ei=2MT0XrvGGM-vytMP1OyDgAY&amp;q=site%3Alinkedin.com+Kaylene+Hanlon+Student+Administration+Officer+-+Postgraduate+programs</t>
  </si>
  <si>
    <t>Kaylene Hanlon</t>
  </si>
  <si>
    <t>Student Administration Officer - Postgraduate programs</t>
  </si>
  <si>
    <t>The University of Queensland</t>
  </si>
  <si>
    <t>Brisbane</t>
  </si>
  <si>
    <t>Queensland</t>
  </si>
  <si>
    <t>https://www.google.com/search?newwindow=1&amp;ei=2MT0XrvGGM-vytMP1OyDgAY&amp;q=site%3Alinkedin.com+Wendy+Gilbert+Manager,+International+Student+Programs</t>
  </si>
  <si>
    <t>Wendy Gilbert</t>
  </si>
  <si>
    <t>Manager, International Student Programs</t>
  </si>
  <si>
    <t>Education Queensland International</t>
  </si>
  <si>
    <t>https://www.google.com/search?newwindow=1&amp;ei=2MT0XrvGGM-vytMP1OyDgAY&amp;q=site%3Alinkedin.com+Lydiah+Njagi+(she/+her)+Campus+Recruiter+-+Diverse+Hires</t>
  </si>
  <si>
    <t>Lydiah Njagi (she/ her)</t>
  </si>
  <si>
    <t>Campus Recruiter - Diverse Hires</t>
  </si>
  <si>
    <t>PwC Australia</t>
  </si>
  <si>
    <t>https://www.google.com/search?newwindow=1&amp;ei=2MT0XrvGGM-vytMP1OyDgAY&amp;q=site%3Alinkedin.com+Anthea+Berry+Regional+Manager,+Recruitment+-+International+Student+Programs</t>
  </si>
  <si>
    <t>Anthea Berry</t>
  </si>
  <si>
    <t>Regional Manager, Recruitment - International Student Programs</t>
  </si>
  <si>
    <t>Education Queensland International (QLD Department of Education)</t>
  </si>
  <si>
    <t>https://www.google.com/search?newwindow=1&amp;ei=2MT0XrvGGM-vytMP1OyDgAY&amp;q=site%3Alinkedin.com+Hayley+V+Support+Officer-+International+Student+Programs</t>
  </si>
  <si>
    <t>Hayley V</t>
  </si>
  <si>
    <t>Support Officer- International Student Programs</t>
  </si>
  <si>
    <t>Queensland Department of Education</t>
  </si>
  <si>
    <t>https://www.google.com/search?newwindow=1&amp;ei=2MT0XrvGGM-vytMP1OyDgAY&amp;q=site%3Alinkedin.com+Madelein+Hawthorne+Office+Manager+and+Graduate+Recruiter</t>
  </si>
  <si>
    <t>Madelein Hawthorne</t>
  </si>
  <si>
    <t>Office Manager and Graduate Recruiter</t>
  </si>
  <si>
    <t>Grant Thornton Australia</t>
  </si>
  <si>
    <t>14 years 9 months in role and company</t>
  </si>
  <si>
    <t>https://www.google.com/search?newwindow=1&amp;ei=2MT0XrvGGM-vytMP1OyDgAY&amp;q=site%3Alinkedin.com+Philippa+Douglas+Director+of+Student+Wellbeing+Programs</t>
  </si>
  <si>
    <t>Philippa Douglas</t>
  </si>
  <si>
    <t>Director of Student Wellbeing Programs</t>
  </si>
  <si>
    <t>Brisbane Grammar School</t>
  </si>
  <si>
    <t>https://www.google.com/search?newwindow=1&amp;ei=2MT0XrvGGM-vytMP1OyDgAY&amp;q=site%3Alinkedin.com+Fiona+Hudghton+HOD+-+Languages+and+International+Student+Programs</t>
  </si>
  <si>
    <t>Fiona Hudghton</t>
  </si>
  <si>
    <t>HOD - Languages and International Student Programs</t>
  </si>
  <si>
    <t>Education Queensland</t>
  </si>
  <si>
    <t>https://www.google.com/search?newwindow=1&amp;ei=2MT0XrvGGM-vytMP1OyDgAY&amp;q=site%3Alinkedin.com+Anne+Shaw+Director+-+International+Student+Programs</t>
  </si>
  <si>
    <t>Anne Shaw</t>
  </si>
  <si>
    <t>Director - International Student Programs</t>
  </si>
  <si>
    <t>West Moreton Anglican College</t>
  </si>
  <si>
    <t>18 years  in role and company</t>
  </si>
  <si>
    <t>https://www.google.com/search?newwindow=1&amp;ei=2MT0XrvGGM-vytMP1OyDgAY&amp;q=site%3Alinkedin.com+Ann+Poiner+Director,+Academic+Programs+and+Student+Services</t>
  </si>
  <si>
    <t>Ann Poiner</t>
  </si>
  <si>
    <t>Director, Academic Programs and Student Services</t>
  </si>
  <si>
    <t>Griffith College</t>
  </si>
  <si>
    <t>https://www.google.com/search?newwindow=1&amp;ei=2MT0XrvGGM-vytMP1OyDgAY&amp;q=site%3Alinkedin.com+Rowena+Robles+Manager,+State+Operations,+International+Student+Programs</t>
  </si>
  <si>
    <t>Rowena Robles</t>
  </si>
  <si>
    <t>Manager, State Operations, International Student Programs</t>
  </si>
  <si>
    <t>Department of Education International</t>
  </si>
  <si>
    <t>https://www.google.com/search?newwindow=1&amp;ei=2MT0XrvGGM-vytMP1OyDgAY&amp;q=site%3Alinkedin.com+Janelle+Peacock+Project+Officer+|+Strategy,+Quality+and+Compliance+|+International+Student+Programs</t>
  </si>
  <si>
    <t>Janelle Peacock</t>
  </si>
  <si>
    <t>Project Officer | Strategy, Quality and Compliance | International Student Programs</t>
  </si>
  <si>
    <t>https://www.google.com/search?newwindow=1&amp;ei=2MT0XrvGGM-vytMP1OyDgAY&amp;q=site%3Alinkedin.com+Nathan+Pugliese+The+Manager,+Strategy+&amp;+Performance,+International+Student+Programs</t>
  </si>
  <si>
    <t>Nathan Pugliese</t>
  </si>
  <si>
    <t>The Manager, Strategy &amp; Performance, International Student Programs</t>
  </si>
  <si>
    <t>https://www.google.com/search?newwindow=1&amp;ei=2MT0XrvGGM-vytMP1OyDgAY&amp;q=site%3Alinkedin.com+Emma+Lockwood+Graduate+Program+Coordinator</t>
  </si>
  <si>
    <t>Emma Lockwood</t>
  </si>
  <si>
    <t>Graduate Program Coordinator</t>
  </si>
  <si>
    <t>Bechtel Australia Pty Ltd</t>
  </si>
  <si>
    <t>6 years 11 months in role and company</t>
  </si>
  <si>
    <t>https://www.google.com/search?newwindow=1&amp;ei=2MT0XrvGGM-vytMP1OyDgAY&amp;q=site%3Alinkedin.com+Heather+Yerdon+Medical+Student</t>
  </si>
  <si>
    <t>Heather Yerdon</t>
  </si>
  <si>
    <t>Medical Student</t>
  </si>
  <si>
    <t>University of Queensland</t>
  </si>
  <si>
    <t>https://www.google.com/search?newwindow=1&amp;ei=2MT0XrvGGM-vytMP1OyDgAY&amp;q=site%3Alinkedin.com+Emma+Tanuvasa+Pacific+Island+Programs+Officer,+Student+Diversity+&amp;+Inclusion,+Student+Services</t>
  </si>
  <si>
    <t>Emma Tanuvasa</t>
  </si>
  <si>
    <t>Pacific Island Programs Officer, Student Diversity &amp; Inclusion, Student Services</t>
  </si>
  <si>
    <t>Griffith University</t>
  </si>
  <si>
    <t>7 years 10 months in role and company</t>
  </si>
  <si>
    <t>https://www.google.com/search?newwindow=1&amp;ei=2MT0XrvGGM-vytMP1OyDgAY&amp;q=site%3Alinkedin.com+Jess+Schofield+Public+Programs+Assistant</t>
  </si>
  <si>
    <t>Jess Schofield</t>
  </si>
  <si>
    <t>Public Programs Assistant</t>
  </si>
  <si>
    <t>Queensland University of Technology</t>
  </si>
  <si>
    <t>7 years 9 months in role</t>
  </si>
  <si>
    <t>https://www.google.com/search?newwindow=1&amp;ei=2MT0XrvGGM-vytMP1OyDgAY&amp;q=site%3Alinkedin.com+Rachel+Fox+Student+Note-Taker</t>
  </si>
  <si>
    <t>Rachel Fox</t>
  </si>
  <si>
    <t>Student Note-Taker</t>
  </si>
  <si>
    <t>QUT (Queensland University of Technology)</t>
  </si>
  <si>
    <t>https://www.google.com/search?newwindow=1&amp;ei=2MT0XrvGGM-vytMP1OyDgAY&amp;q=site%3Alinkedin.com+Morgan+Elizabeth+Public+programs+assistant</t>
  </si>
  <si>
    <t>Morgan Elizabeth</t>
  </si>
  <si>
    <t>Public programs assistant</t>
  </si>
  <si>
    <t>Qut/Lego education</t>
  </si>
  <si>
    <t>https://www.google.com/search?newwindow=1&amp;ei=2MT0XrvGGM-vytMP1OyDgAY&amp;q=site%3Alinkedin.com+Michaela+Tsiouva+Strategy+&amp;+Operations+Recruiter</t>
  </si>
  <si>
    <t>Michaela Tsiouva</t>
  </si>
  <si>
    <t>Strategy &amp; Operations Recruiter</t>
  </si>
  <si>
    <t>Revolut</t>
  </si>
  <si>
    <t>Bristol</t>
  </si>
  <si>
    <t>https://www.google.com/search?newwindow=1&amp;ei=2MT0XrvGGM-vytMP1OyDgAY&amp;q=site%3Alinkedin.com+Owen+Gough+Graduate+Recruiter</t>
  </si>
  <si>
    <t>Owen Gough</t>
  </si>
  <si>
    <t>Graduate Recruiter</t>
  </si>
  <si>
    <t>g2 Recruitment Solutions</t>
  </si>
  <si>
    <t>https://www.google.com/search?newwindow=1&amp;ei=2MT0XrvGGM-vytMP1OyDgAY&amp;q=site%3Alinkedin.com+Chloe+Hall+University+Recruiter</t>
  </si>
  <si>
    <t>Chloe Hall</t>
  </si>
  <si>
    <t>https://www.google.com/search?newwindow=1&amp;ei=2MT0XrvGGM-vytMP1OyDgAY&amp;q=site%3Alinkedin.com+Natalie+Smith+Membership+&amp;+Programs+Manager</t>
  </si>
  <si>
    <t>Natalie Smith</t>
  </si>
  <si>
    <t>Membership &amp; Programs Manager</t>
  </si>
  <si>
    <t>The Cynefin Centre</t>
  </si>
  <si>
    <t>https://www.google.com/search?newwindow=1&amp;ei=2MT0XrvGGM-vytMP1OyDgAY&amp;q=site%3Alinkedin.com+Charlene+Coleman+Airbus+Group+-+Recruitment+Business+Partner+for+Airbus+Defence+and+Space+(UK)</t>
  </si>
  <si>
    <t>Charlene Coleman</t>
  </si>
  <si>
    <t>Airbus Group - Recruitment Business Partner for Airbus Defence and Space (UK)</t>
  </si>
  <si>
    <t>Airbus</t>
  </si>
  <si>
    <t>https://www.google.com/search?newwindow=1&amp;ei=2MT0XrvGGM-vytMP1OyDgAY&amp;q=site%3Alinkedin.com+Emily+Kandborg+International+Student+Recruiter</t>
  </si>
  <si>
    <t>Emily Kandborg</t>
  </si>
  <si>
    <t>International Student Recruiter</t>
  </si>
  <si>
    <t>Selkirk College</t>
  </si>
  <si>
    <t>https://www.google.com/search?newwindow=1&amp;ei=2MT0XrvGGM-vytMP1OyDgAY&amp;q=site%3Alinkedin.com+Renae+Roles+Student+Recruiter-Advisor</t>
  </si>
  <si>
    <t>Renae Roles</t>
  </si>
  <si>
    <t>Student Recruiter-Advisor</t>
  </si>
  <si>
    <t>North Island College</t>
  </si>
  <si>
    <t>https://www.google.com/search?newwindow=1&amp;ei=2MT0XrvGGM-vytMP1OyDgAY&amp;q=site%3Alinkedin.com+Brayden+Tielmann+Student+Recruiter</t>
  </si>
  <si>
    <t>Brayden Tielmann</t>
  </si>
  <si>
    <t>https://www.google.com/search?newwindow=1&amp;ei=2MT0XrvGGM-vytMP1OyDgAY&amp;q=site%3Alinkedin.com+Lauren+Dallow+Student+Recruiter</t>
  </si>
  <si>
    <t>Lauren Dallow</t>
  </si>
  <si>
    <t>https://www.google.com/search?newwindow=1&amp;ei=2MT0XrvGGM-vytMP1OyDgAY&amp;q=site%3Alinkedin.com+Jenna+Felske+Student+Recruiter</t>
  </si>
  <si>
    <t>Jenna Felske</t>
  </si>
  <si>
    <t>Northern Lights College</t>
  </si>
  <si>
    <t>https://www.google.com/search?newwindow=1&amp;ei=2MT0XrvGGM-vytMP1OyDgAY&amp;q=site%3Alinkedin.com+Megan+Ryan+Student+Recruiter</t>
  </si>
  <si>
    <t>Megan Ryan</t>
  </si>
  <si>
    <t>Grande Prairie Regional College (GPRC)</t>
  </si>
  <si>
    <t>https://www.google.com/search?newwindow=1&amp;ei=2MT0XrvGGM-vytMP1OyDgAY&amp;q=site%3Alinkedin.com+Karen+Otway+(O'Brien)+Student+Recruiter+Lead</t>
  </si>
  <si>
    <t>Karen Otway (O'Brien)</t>
  </si>
  <si>
    <t>Student Recruiter Lead</t>
  </si>
  <si>
    <t>https://www.google.com/search?newwindow=1&amp;ei=2MT0XrvGGM-vytMP1OyDgAY&amp;q=site%3Alinkedin.com+Halyna+Petryshyn+Student+Recruiter+-+Advisor</t>
  </si>
  <si>
    <t>Halyna Petryshyn</t>
  </si>
  <si>
    <t>Student Recruiter - Advisor</t>
  </si>
  <si>
    <t>The University of British Columbia</t>
  </si>
  <si>
    <t>https://www.google.com/search?newwindow=1&amp;ei=2MT0XrvGGM-vytMP1OyDgAY&amp;q=site%3Alinkedin.com+Brianne+Lakeman+Co-op+Student+-+Compensation+Policy+and+Programs</t>
  </si>
  <si>
    <t>Brianne Lakeman</t>
  </si>
  <si>
    <t>Co-op Student - Compensation Policy and Programs</t>
  </si>
  <si>
    <t>British Columbia Ministry of Health</t>
  </si>
  <si>
    <t>https://www.google.com/search?newwindow=1&amp;ei=2MT0XrvGGM-vytMP1OyDgAY&amp;q=site%3Alinkedin.com+Catherine+Camp+University+Recruiter</t>
  </si>
  <si>
    <t>Catherine Camp</t>
  </si>
  <si>
    <t>Bromley</t>
  </si>
  <si>
    <t>https://www.google.com/search?newwindow=1&amp;ei=2MT0XrvGGM-vytMP1OyDgAY&amp;q=site%3Alinkedin.com+Jessica+Franklin+Graduate+Recruiter</t>
  </si>
  <si>
    <t>Jessica Franklin</t>
  </si>
  <si>
    <t>https://www.google.com/search?newwindow=1&amp;ei=2MT0XrvGGM-vytMP1OyDgAY&amp;q=site%3Alinkedin.com+Kwame+Joseph+Campus+Recruiting+Coordinator+onsite+at+Goldman+Sachs+via+ADP+RPO</t>
  </si>
  <si>
    <t>Kwame Joseph</t>
  </si>
  <si>
    <t>Campus Recruiting Coordinator onsite at Goldman Sachs via ADP RPO</t>
  </si>
  <si>
    <t>https://www.google.com/search?newwindow=1&amp;ei=2MT0XrvGGM-vytMP1OyDgAY&amp;q=site%3Alinkedin.com+Gregory+Lopez+Campus+recruiting+senior+specialist</t>
  </si>
  <si>
    <t>Gregory Lopez</t>
  </si>
  <si>
    <t>Campus recruiting senior specialist</t>
  </si>
  <si>
    <t>https://www.google.com/search?newwindow=1&amp;ei=2MT0XrvGGM-vytMP1OyDgAY&amp;q=site%3Alinkedin.com+Robin+Diglio+Vice+President,+Campus+Recruiting+and+Entry+Programs</t>
  </si>
  <si>
    <t>Robin Diglio</t>
  </si>
  <si>
    <t>Vice President, Campus Recruiting and Entry Programs</t>
  </si>
  <si>
    <t>https://www.google.com/search?newwindow=1&amp;ei=2MT0XrvGGM-vytMP1OyDgAY&amp;q=site%3Alinkedin.com+Missy+Miller+Consulting+Campus+Recruiting+Leader</t>
  </si>
  <si>
    <t>Missy Miller</t>
  </si>
  <si>
    <t>Consulting Campus Recruiting Leader</t>
  </si>
  <si>
    <t>13 years 8 months in role and company</t>
  </si>
  <si>
    <t>https://www.google.com/search?newwindow=1&amp;ei=2MT0XrvGGM-vytMP1OyDgAY&amp;q=site%3Alinkedin.com+Abir+Rahi+CodeNext+Student</t>
  </si>
  <si>
    <t>Abir Rahi</t>
  </si>
  <si>
    <t>CodeNext Student</t>
  </si>
  <si>
    <t>https://www.google.com/search?newwindow=1&amp;ei=2MT0XrvGGM-vytMP1OyDgAY&amp;q=site%3Alinkedin.com+Gregg+Pica+Senior+Campus+Recruiting+Coordinator</t>
  </si>
  <si>
    <t>Gregg Pica</t>
  </si>
  <si>
    <t>https://www.google.com/search?newwindow=1&amp;ei=2MT0XrvGGM-vytMP1OyDgAY&amp;q=site%3Alinkedin.com+Kristi+Fields+Interview+Partner,+Campus+Recruiting</t>
  </si>
  <si>
    <t>Kristi Fields</t>
  </si>
  <si>
    <t>Interview Partner, Campus Recruiting</t>
  </si>
  <si>
    <t>https://www.google.com/search?newwindow=1&amp;ei=2MT0XrvGGM-vytMP1OyDgAY&amp;q=site%3Alinkedin.com+Jessica+Kelly-Noakes+Graduate+Recruiter+and+University+Partnerships+Consultant</t>
  </si>
  <si>
    <t>Jessica Kelly-Noakes</t>
  </si>
  <si>
    <t>Graduate Recruiter and University Partnerships Consultant</t>
  </si>
  <si>
    <t>Burgess Hill</t>
  </si>
  <si>
    <t>https://www.google.com/search?newwindow=1&amp;ei=2MT0XrvGGM-vytMP1OyDgAY&amp;q=site%3Alinkedin.com+Allana+Davis+Student+Recruiter</t>
  </si>
  <si>
    <t>Allana Davis</t>
  </si>
  <si>
    <t>Canadian Blood Services</t>
  </si>
  <si>
    <t>Burnaby</t>
  </si>
  <si>
    <t>https://www.google.com/search?newwindow=1&amp;ei=2MT0XrvGGM-vytMP1OyDgAY&amp;q=site%3Alinkedin.com+Claire+Wilson+Student+Recruiter+-+Faculty+of+Science</t>
  </si>
  <si>
    <t>Claire Wilson</t>
  </si>
  <si>
    <t>Student Recruiter - Faculty of Science</t>
  </si>
  <si>
    <t>Simon Fraser University</t>
  </si>
  <si>
    <t>https://www.google.com/search?newwindow=1&amp;ei=2MT0XrvGGM-vytMP1OyDgAY&amp;q=site%3Alinkedin.com+Tessa+Briglio+Student+Affairs+Coordinator+-+Faculty+of+Applied+Sciences</t>
  </si>
  <si>
    <t>Tessa Briglio</t>
  </si>
  <si>
    <t>Student Affairs Coordinator - Faculty of Applied Sciences</t>
  </si>
  <si>
    <t>https://www.google.com/search?newwindow=1&amp;ei=2MT0XrvGGM-vytMP1OyDgAY&amp;q=site%3Alinkedin.com+Ashlyn+Monks+Campus+Recruiter</t>
  </si>
  <si>
    <t>Ashlyn Monks</t>
  </si>
  <si>
    <t>TELUS</t>
  </si>
  <si>
    <t>13 years 11 months in role</t>
  </si>
  <si>
    <t>https://www.google.com/search?newwindow=1&amp;ei=2MT0XrvGGM-vytMP1OyDgAY&amp;q=site%3Alinkedin.com+Denise+Somuah-Asamoah+Virtual+Programs+Assistant</t>
  </si>
  <si>
    <t>Denise Somuah-Asamoah</t>
  </si>
  <si>
    <t>Virtual Programs Assistant</t>
  </si>
  <si>
    <t>InpireHealth- Supportive Cancer Care</t>
  </si>
  <si>
    <t>https://www.google.com/search?newwindow=1&amp;ei=2MT0XrvGGM-vytMP1OyDgAY&amp;q=site%3Alinkedin.com+Donna+Pistilli+Associate+&amp;+Student+Programs+Coordinator</t>
  </si>
  <si>
    <t>Donna Pistilli</t>
  </si>
  <si>
    <t>Associate &amp; Student Programs Coordinator</t>
  </si>
  <si>
    <t>McCarthy Tetrault</t>
  </si>
  <si>
    <t>https://www.google.com/search?newwindow=1&amp;ei=2MT0XrvGGM-vytMP1OyDgAY&amp;q=site%3Alinkedin.com+Hiroshi+Yasuoka+Recruitment,+Academic+and+Student+Affairs+Advisor,+Undergraduate+Programs,+Beedie+School+of+Business</t>
  </si>
  <si>
    <t>Hiroshi Yasuoka</t>
  </si>
  <si>
    <t>Recruitment, Academic and Student Affairs Advisor, Undergraduate Programs, Beedie School of Business</t>
  </si>
  <si>
    <t>https://www.google.com/search?newwindow=1&amp;ei=2MT0XrvGGM-vytMP1OyDgAY&amp;q=site%3Alinkedin.com+Carolyn+Hanna+Coordinator,+International+Graduate+Student+Programs</t>
  </si>
  <si>
    <t>Carolyn Hanna</t>
  </si>
  <si>
    <t>Coordinator, International Graduate Student Programs</t>
  </si>
  <si>
    <t>https://www.google.com/search?newwindow=1&amp;ei=2MT0XrvGGM-vytMP1OyDgAY&amp;q=site%3Alinkedin.com+Mark+Fell+University+Recruitment+Business+Partner</t>
  </si>
  <si>
    <t>Mark Fell</t>
  </si>
  <si>
    <t>University Recruitment Business Partner</t>
  </si>
  <si>
    <t>Buxton</t>
  </si>
  <si>
    <t>https://www.google.com/search?newwindow=1&amp;ei=2MT0XrvGGM-vytMP1OyDgAY&amp;q=site%3Alinkedin.com+Ty+Logan+Programs+Officer</t>
  </si>
  <si>
    <t>Ty Logan</t>
  </si>
  <si>
    <t>Programs Officer</t>
  </si>
  <si>
    <t>Canada Revenue Agency</t>
  </si>
  <si>
    <t>Caledonia</t>
  </si>
  <si>
    <t>https://www.google.com/search?newwindow=1&amp;ei=2MT0XrvGGM-vytMP1OyDgAY&amp;q=site%3Alinkedin.com+Michael+McKinlay,+MBA+Student+Recruiter</t>
  </si>
  <si>
    <t>Michael McKinlay, MBA</t>
  </si>
  <si>
    <t>University of Regina</t>
  </si>
  <si>
    <t>https://www.google.com/search?newwindow=1&amp;ei=2MT0XrvGGM-vytMP1OyDgAY&amp;q=site%3Alinkedin.com+Amanda+Pearson+Campus+Recruiter</t>
  </si>
  <si>
    <t>Amanda Pearson</t>
  </si>
  <si>
    <t>https://www.google.com/search?newwindow=1&amp;ei=2MT0XrvGGM-vytMP1OyDgAY&amp;q=site%3Alinkedin.com+Jessica+Abel+University+Recruiter,+Americas</t>
  </si>
  <si>
    <t>Jessica Abel</t>
  </si>
  <si>
    <t>University Recruiter, Americas</t>
  </si>
  <si>
    <t>https://www.google.com/search?newwindow=1&amp;ei=2MT0XrvGGM-vytMP1OyDgAY&amp;q=site%3Alinkedin.com+Aimee+Tadeo+Admission+Advisor/Student+Recruiter</t>
  </si>
  <si>
    <t>Aimee Tadeo</t>
  </si>
  <si>
    <t>Admission Advisor/Student Recruiter</t>
  </si>
  <si>
    <t>ABM College</t>
  </si>
  <si>
    <t>https://www.google.com/search?newwindow=1&amp;ei=2MT0XrvGGM-vytMP1OyDgAY&amp;q=site%3Alinkedin.com+Adela+Harja+University+Recruiting+Programs+Support</t>
  </si>
  <si>
    <t>Adela Harja</t>
  </si>
  <si>
    <t>University Recruiting Programs Support</t>
  </si>
  <si>
    <t>https://www.google.com/search?newwindow=1&amp;ei=2MT0XrvGGM-vytMP1OyDgAY&amp;q=site%3Alinkedin.com+Rita+Matveyenko+International+Student+Recruiter+and+Partnership+Development+Officer</t>
  </si>
  <si>
    <t>Rita Matveyenko</t>
  </si>
  <si>
    <t>International Student Recruiter and Partnership Development Officer</t>
  </si>
  <si>
    <t>Southern Alberta Institute of Technology (SAIT)</t>
  </si>
  <si>
    <t>https://www.google.com/search?newwindow=1&amp;ei=2MT0XrvGGM-vytMP1OyDgAY&amp;q=site%3Alinkedin.com+Kasia+Sterniczuk+Talent+Attraction+Manager+-+Campus+Recruiting</t>
  </si>
  <si>
    <t>Kasia Sterniczuk</t>
  </si>
  <si>
    <t>Talent Attraction Manager - Campus Recruiting</t>
  </si>
  <si>
    <t>https://www.google.com/search?newwindow=1&amp;ei=2MT0XrvGGM-vytMP1OyDgAY&amp;q=site%3Alinkedin.com+Casey+Bryant+Campus+Recruiting+Team+Member</t>
  </si>
  <si>
    <t>Casey Bryant</t>
  </si>
  <si>
    <t>Campus Recruiting Team Member</t>
  </si>
  <si>
    <t>https://www.google.com/search?newwindow=1&amp;ei=2MT0XrvGGM-vytMP1OyDgAY&amp;q=site%3Alinkedin.com+Zi+Yu+Peng+College+Recruiter</t>
  </si>
  <si>
    <t>Zi Yu Peng</t>
  </si>
  <si>
    <t>Alison College</t>
  </si>
  <si>
    <t>https://www.google.com/search?newwindow=1&amp;ei=2MT0XrvGGM-vytMP1OyDgAY&amp;q=site%3Alinkedin.com+Stella+Bamurekye+International+Student+recruiter</t>
  </si>
  <si>
    <t>Stella Bamurekye</t>
  </si>
  <si>
    <t>International Student recruiter</t>
  </si>
  <si>
    <t>https://www.google.com/search?newwindow=1&amp;ei=2MT0XrvGGM-vytMP1OyDgAY&amp;q=site%3Alinkedin.com+Guiomar+Rouillard+Campus+Recruiter-Western+Canada</t>
  </si>
  <si>
    <t>Guiomar Rouillard</t>
  </si>
  <si>
    <t>Campus Recruiter-Western Canada</t>
  </si>
  <si>
    <t>Ernst &amp; Young LLP</t>
  </si>
  <si>
    <t>https://www.google.com/search?newwindow=1&amp;ei=2MT0XrvGGM-vytMP1OyDgAY&amp;q=site%3Alinkedin.com+Annaliisa+Sando+Manager,+Student+Recruitment+and+Programs+(Alberta)</t>
  </si>
  <si>
    <t>Annaliisa Sando</t>
  </si>
  <si>
    <t>Manager, Student Recruitment and Programs (Alberta)</t>
  </si>
  <si>
    <t>Bennett Jones LLP</t>
  </si>
  <si>
    <t>https://www.google.com/search?newwindow=1&amp;ei=2MT0XrvGGM-vytMP1OyDgAY&amp;q=site%3Alinkedin.com+Rob+Lyon+HR+Lead+-+Student+Programs</t>
  </si>
  <si>
    <t>Rob Lyon</t>
  </si>
  <si>
    <t>HR Lead - Student Programs</t>
  </si>
  <si>
    <t>TC Energy</t>
  </si>
  <si>
    <t>https://www.google.com/search?newwindow=1&amp;ei=2MT0XrvGGM-vytMP1OyDgAY&amp;q=site%3Alinkedin.com+Aurora+Huber+Talent+Acquisition+Programs-+Summer+Student</t>
  </si>
  <si>
    <t>Aurora Huber</t>
  </si>
  <si>
    <t>Talent Acquisition Programs- Summer Student</t>
  </si>
  <si>
    <t>Suncor</t>
  </si>
  <si>
    <t>https://www.google.com/search?newwindow=1&amp;ei=2MT0XrvGGM-vytMP1OyDgAY&amp;q=site%3Alinkedin.com+Maureen+Ohaya+STUDENT+SERVICES+AND+PROGRAMS+MANAGER</t>
  </si>
  <si>
    <t>Maureen Ohaya</t>
  </si>
  <si>
    <t>STUDENT SERVICES AND PROGRAMS MANAGER</t>
  </si>
  <si>
    <t>CAMBROOKS COLLEGE CALGARY.</t>
  </si>
  <si>
    <t>https://www.google.com/search?newwindow=1&amp;ei=2MT0XrvGGM-vytMP1OyDgAY&amp;q=site%3Alinkedin.com+Anmol+Hehar+Coordinator+-+HR+&amp;+Student/Associate+Programs</t>
  </si>
  <si>
    <t>Anmol Hehar</t>
  </si>
  <si>
    <t>Coordinator - HR &amp; Student/Associate Programs</t>
  </si>
  <si>
    <t>Gowling WLG</t>
  </si>
  <si>
    <t>https://www.google.com/search?newwindow=1&amp;ei=2MT0XrvGGM-vytMP1OyDgAY&amp;q=site%3Alinkedin.com+Marvinn+Antonio+Student+Support+Specialist,+Language+Programs</t>
  </si>
  <si>
    <t>Marvinn Antonio</t>
  </si>
  <si>
    <t>Student Support Specialist, Language Programs</t>
  </si>
  <si>
    <t>Centre for Newcomers</t>
  </si>
  <si>
    <t>https://www.google.com/search?newwindow=1&amp;ei=2MT0XrvGGM-vytMP1OyDgAY&amp;q=site%3Alinkedin.com+Allyson+Patmore+Graduate+Recruiter+&amp;+Internship+Advisor</t>
  </si>
  <si>
    <t>Allyson Patmore</t>
  </si>
  <si>
    <t>Graduate Recruiter &amp; Internship Advisor</t>
  </si>
  <si>
    <t>https://www.google.com/search?newwindow=1&amp;ei=2MT0XrvGGM-vytMP1OyDgAY&amp;q=site%3Alinkedin.com+Ashley+Coss+Coordinator+of+Student+and+Associate+Programs</t>
  </si>
  <si>
    <t>Ashley Coss</t>
  </si>
  <si>
    <t>Coordinator of Student and Associate Programs</t>
  </si>
  <si>
    <t>Gowling WLG Canada</t>
  </si>
  <si>
    <t>https://www.google.com/search?newwindow=1&amp;ei=2MT0XrvGGM-vytMP1OyDgAY&amp;q=site%3Alinkedin.com+Jessica+Weatherhead+Supervisor,+Professional+Development+&amp;+Student+Programs</t>
  </si>
  <si>
    <t>Jessica Weatherhead</t>
  </si>
  <si>
    <t>Supervisor, Professional Development &amp; Student Programs</t>
  </si>
  <si>
    <t>https://www.google.com/search?newwindow=1&amp;ei=2MT0XrvGGM-vytMP1OyDgAY&amp;q=site%3Alinkedin.com+Lizelle+Igesund+Cordinator+SCMFL+Student+Programs</t>
  </si>
  <si>
    <t>Lizelle Igesund</t>
  </si>
  <si>
    <t>Cordinator SCMFL Student Programs</t>
  </si>
  <si>
    <t>Suncor Energy</t>
  </si>
  <si>
    <t>https://www.google.com/search?newwindow=1&amp;ei=2MT0XrvGGM-vytMP1OyDgAY&amp;q=site%3Alinkedin.com+Jenn+H.+Student+Advisor,+Undergraduate+Programs,+Haskayne+School+of+Business</t>
  </si>
  <si>
    <t>Jenn H.</t>
  </si>
  <si>
    <t>Student Advisor, Undergraduate Programs, Haskayne School of Business</t>
  </si>
  <si>
    <t>University of Calgary</t>
  </si>
  <si>
    <t>https://www.google.com/search?newwindow=1&amp;ei=2MT0XrvGGM-vytMP1OyDgAY&amp;q=site%3Alinkedin.com+Carole+Tucker+Student+Advisor,+Aboriginal+Programs+&amp;+Support+Services</t>
  </si>
  <si>
    <t>Carole Tucker</t>
  </si>
  <si>
    <t>Student Advisor, Aboriginal Programs &amp; Support Services</t>
  </si>
  <si>
    <t>https://www.google.com/search?newwindow=1&amp;ei=2MT0XrvGGM-vytMP1OyDgAY&amp;q=site%3Alinkedin.com+Brock+Robertson+Co-ordinaor,+International+Student+Programs+(Science)</t>
  </si>
  <si>
    <t>Brock Robertson</t>
  </si>
  <si>
    <t>Co-ordinaor, International Student Programs (Science)</t>
  </si>
  <si>
    <t>https://www.google.com/search?newwindow=1&amp;ei=2MT0XrvGGM-vytMP1OyDgAY&amp;q=site%3Alinkedin.com+Tenzin+D+Associate+&amp;+Student+Programs+Coordinator</t>
  </si>
  <si>
    <t>Tenzin D</t>
  </si>
  <si>
    <t>McCarthy Tétrault</t>
  </si>
  <si>
    <t>https://www.google.com/search?newwindow=1&amp;ei=2MT0XrvGGM-vytMP1OyDgAY&amp;q=site%3Alinkedin.com+Steven+Ekert+Analyst,+Engineering+Campus+Recruiting</t>
  </si>
  <si>
    <t>Steven Ekert</t>
  </si>
  <si>
    <t>Analyst, Engineering Campus Recruiting</t>
  </si>
  <si>
    <t>https://www.google.com/search?newwindow=1&amp;ei=2MT0XrvGGM-vytMP1OyDgAY&amp;q=site%3Alinkedin.com+Liz+Souza+Senior+Associate+-+Campus+Recruiting,+Technology</t>
  </si>
  <si>
    <t>Liz Souza</t>
  </si>
  <si>
    <t>Senior Associate - Campus Recruiting, Technology</t>
  </si>
  <si>
    <t>https://www.google.com/search?newwindow=1&amp;ei=2MT0XrvGGM-vytMP1OyDgAY&amp;q=site%3Alinkedin.com+Veronica+Pickard+AVP,+Human+Resources+-+Campus+Program+Lead</t>
  </si>
  <si>
    <t>Veronica Pickard</t>
  </si>
  <si>
    <t>AVP, Human Resources - Campus Program Lead</t>
  </si>
  <si>
    <t>https://www.google.com/search?newwindow=1&amp;ei=2MT0XrvGGM-vytMP1OyDgAY&amp;q=site%3Alinkedin.com+Desiree+Saunders+Recruiter</t>
  </si>
  <si>
    <t>Desiree Saunders</t>
  </si>
  <si>
    <t>Poly Placements</t>
  </si>
  <si>
    <t>https://www.google.com/search?newwindow=1&amp;ei=2MT0XrvGGM-vytMP1OyDgAY&amp;q=site%3Alinkedin.com+Aimee+Everest+EMEA+Campus+Recruiter+-+Graduate+Programme+&amp;+Early+Years+-+hiring+now!</t>
  </si>
  <si>
    <t>Aimee Everest</t>
  </si>
  <si>
    <t>EMEA Campus Recruiter - Graduate Programme &amp; Early Years - hiring now!</t>
  </si>
  <si>
    <t>MathWorks</t>
  </si>
  <si>
    <t>https://www.google.com/search?newwindow=1&amp;ei=2MT0XrvGGM-vytMP1OyDgAY&amp;q=site%3Alinkedin.com+Daria+Kimerina+European+MBA+University+Recruiter</t>
  </si>
  <si>
    <t>Daria Kimerina</t>
  </si>
  <si>
    <t>European MBA University Recruiter</t>
  </si>
  <si>
    <t>https://www.google.com/search?newwindow=1&amp;ei=2MT0XrvGGM-vytMP1OyDgAY&amp;q=site%3Alinkedin.com+Tom+Fowler+Student</t>
  </si>
  <si>
    <t>Tom Fowler</t>
  </si>
  <si>
    <t>Student</t>
  </si>
  <si>
    <t>St George's, University of London</t>
  </si>
  <si>
    <t>https://www.google.com/search?newwindow=1&amp;ei=2MT0XrvGGM-vytMP1OyDgAY&amp;q=site%3Alinkedin.com+Sara+Buxton+NorCal+Campus+Recruiting+Manager</t>
  </si>
  <si>
    <t>https://www.google.com/search?newwindow=1&amp;ei=2MT0XrvGGM-vytMP1OyDgAY&amp;q=site%3Alinkedin.com+Emma+Pilkington+Student+Recruiter+and+Advisor</t>
  </si>
  <si>
    <t>Emma Pilkington</t>
  </si>
  <si>
    <t>Student Recruiter and Advisor</t>
  </si>
  <si>
    <t>University of Alberta</t>
  </si>
  <si>
    <t>Camrose</t>
  </si>
  <si>
    <t>https://www.google.com/search?newwindow=1&amp;ei=2MT0XrvGGM-vytMP1OyDgAY&amp;q=site%3Alinkedin.com+Sean+Lynott,+MBA,+CDR+Senior+Campus+Recruiter</t>
  </si>
  <si>
    <t>Sean Lynott, MBA, CDR</t>
  </si>
  <si>
    <t>Toronto</t>
  </si>
  <si>
    <t>https://www.google.com/search?newwindow=1&amp;ei=2MT0XrvGGM-vytMP1OyDgAY&amp;q=site%3Alinkedin.com+Saliha+Ahmadi+Campus+Recruiter</t>
  </si>
  <si>
    <t>Saliha Ahmadi</t>
  </si>
  <si>
    <t>Rio Tinto</t>
  </si>
  <si>
    <t>https://www.google.com/search?newwindow=1&amp;ei=2MT0XrvGGM-vytMP1OyDgAY&amp;q=site%3Alinkedin.com+Robyn+Macdonald,+CHRP+Corporate+Recruiter,+University+Relations</t>
  </si>
  <si>
    <t>Robyn Macdonald, CHRP</t>
  </si>
  <si>
    <t>Corporate Recruiter, University Relations</t>
  </si>
  <si>
    <t>Kinaxis</t>
  </si>
  <si>
    <t>https://www.google.com/search?newwindow=1&amp;ei=2MT0XrvGGM-vytMP1OyDgAY&amp;q=site%3Alinkedin.com+Sandra+Abdelmaseih+Associate+University+Relations+Recruiter</t>
  </si>
  <si>
    <t>Sandra Abdelmaseih</t>
  </si>
  <si>
    <t>Associate University Relations Recruiter</t>
  </si>
  <si>
    <t>Zynga</t>
  </si>
  <si>
    <t>https://www.google.com/search?newwindow=1&amp;ei=2MT0XrvGGM-vytMP1OyDgAY&amp;q=site%3Alinkedin.com+Daniel+Booth+(pronouns+-+he,+him)+National+Campus+Recruiting+Lead</t>
  </si>
  <si>
    <t>Daniel Booth (pronouns - he, him)</t>
  </si>
  <si>
    <t>National Campus Recruiting Lead</t>
  </si>
  <si>
    <t>RSM Canada</t>
  </si>
  <si>
    <t>https://www.google.com/search?newwindow=1&amp;ei=2MT0XrvGGM-vytMP1OyDgAY&amp;q=site%3Alinkedin.com+Pavit+S.+Arora+Campus+Recruiting+Specialist</t>
  </si>
  <si>
    <t>Pavit S. Arora</t>
  </si>
  <si>
    <t>https://www.google.com/search?newwindow=1&amp;ei=2MT0XrvGGM-vytMP1OyDgAY&amp;q=site%3Alinkedin.com+Scott+Lee+Associate+International+Student+Advisor/Recruiter</t>
  </si>
  <si>
    <t>Scott Lee</t>
  </si>
  <si>
    <t>Associate International Student Advisor/Recruiter</t>
  </si>
  <si>
    <t>https://www.google.com/search?newwindow=1&amp;ei=2MT0XrvGGM-vytMP1OyDgAY&amp;q=site%3Alinkedin.com+Andy+Chung+Fat+Recruitment+Intern+(University+Collaborations)</t>
  </si>
  <si>
    <t>Andy Chung Fat</t>
  </si>
  <si>
    <t>Recruitment Intern (University Collaborations)</t>
  </si>
  <si>
    <t>BOMBARDIER</t>
  </si>
  <si>
    <t>https://www.google.com/search?newwindow=1&amp;ei=2MT0XrvGGM-vytMP1OyDgAY&amp;q=site%3Alinkedin.com+Deo+Mancini+University+Relations+Recruiter</t>
  </si>
  <si>
    <t>Deo Mancini</t>
  </si>
  <si>
    <t>Ericsson</t>
  </si>
  <si>
    <t>https://www.google.com/search?newwindow=1&amp;ei=2MT0XrvGGM-vytMP1OyDgAY&amp;q=site%3Alinkedin.com+Jessica+Nguyen+Assistant+Student+Recruiter</t>
  </si>
  <si>
    <t>Assistant Student Recruiter</t>
  </si>
  <si>
    <t>Ontario Tech University</t>
  </si>
  <si>
    <t>https://www.google.com/search?newwindow=1&amp;ei=2MT0XrvGGM-vytMP1OyDgAY&amp;q=site%3Alinkedin.com+Ana+Moaz+Campus+Recruiting+Manager+-+Commercial+&amp;+Canadian+Banking+(Secondment)</t>
  </si>
  <si>
    <t>Ana Moaz</t>
  </si>
  <si>
    <t>Campus Recruiting Manager - Commercial &amp; Canadian Banking (Secondment)</t>
  </si>
  <si>
    <t>Scotiabank</t>
  </si>
  <si>
    <t>https://www.google.com/search?newwindow=1&amp;ei=2MT0XrvGGM-vytMP1OyDgAY&amp;q=site%3Alinkedin.com+Arina+Levko+Sr.+Manager,+Canadian+University+Recruitment</t>
  </si>
  <si>
    <t>Arina Levko</t>
  </si>
  <si>
    <t>Sr. Manager, Canadian University Recruitment</t>
  </si>
  <si>
    <t>https://www.google.com/search?newwindow=1&amp;ei=2MT0XrvGGM-vytMP1OyDgAY&amp;q=site%3Alinkedin.com+Vince+Watson+Student+Recruiter+-+Advisor</t>
  </si>
  <si>
    <t>Vince Watson</t>
  </si>
  <si>
    <t>Thompson Rivers University</t>
  </si>
  <si>
    <t>https://www.google.com/search?newwindow=1&amp;ei=2MT0XrvGGM-vytMP1OyDgAY&amp;q=site%3Alinkedin.com+Jasleen+Subherwal+Campus+Recruiter,+Strategic+Functions</t>
  </si>
  <si>
    <t>Jasleen Subherwal</t>
  </si>
  <si>
    <t>Campus Recruiter, Strategic Functions</t>
  </si>
  <si>
    <t>https://www.google.com/search?newwindow=1&amp;ei=2MT0XrvGGM-vytMP1OyDgAY&amp;q=site%3Alinkedin.com+Ana+Curcin+Student+Advisor/Recruiter</t>
  </si>
  <si>
    <t>Ana Curcin</t>
  </si>
  <si>
    <t>Student Advisor/Recruiter</t>
  </si>
  <si>
    <t>https://www.google.com/search?newwindow=1&amp;ei=2MT0XrvGGM-vytMP1OyDgAY&amp;q=site%3Alinkedin.com+Susana+Baez+Associate+Student+Recruiter+&amp;+Advisor</t>
  </si>
  <si>
    <t>Susana Baez</t>
  </si>
  <si>
    <t>Associate Student Recruiter &amp; Advisor</t>
  </si>
  <si>
    <t>https://www.google.com/search?newwindow=1&amp;ei=2MT0XrvGGM-vytMP1OyDgAY&amp;q=site%3Alinkedin.com+Dana+Taylor+Student+Recruiter</t>
  </si>
  <si>
    <t>Dana Taylor</t>
  </si>
  <si>
    <t>https://www.google.com/search?newwindow=1&amp;ei=2MT0XrvGGM-vytMP1OyDgAY&amp;q=site%3Alinkedin.com+Ozench+Ibrahim+Lead+Executive+Partner,+Campus+Recruiting</t>
  </si>
  <si>
    <t>Ozench Ibrahim</t>
  </si>
  <si>
    <t>Lead Executive Partner, Campus Recruiting</t>
  </si>
  <si>
    <t>https://www.google.com/search?newwindow=1&amp;ei=2MT0XrvGGM-vytMP1OyDgAY&amp;q=site%3Alinkedin.com+Bojan+Pajic+MBA+Student+Consultant</t>
  </si>
  <si>
    <t>Bojan Pajic</t>
  </si>
  <si>
    <t>MBA Student Consultant</t>
  </si>
  <si>
    <t>Detroit Economic Growth Corporation</t>
  </si>
  <si>
    <t>https://www.google.com/search?newwindow=1&amp;ei=2MT0XrvGGM-vytMP1OyDgAY&amp;q=site%3Alinkedin.com+Shweta+Gaikar+University+Recruitment</t>
  </si>
  <si>
    <t>Shweta Gaikar</t>
  </si>
  <si>
    <t>University Recruitment</t>
  </si>
  <si>
    <t>https://www.google.com/search?newwindow=1&amp;ei=2MT0XrvGGM-vytMP1OyDgAY&amp;q=site%3Alinkedin.com+Jonathan+Tee+Student+Recruiter</t>
  </si>
  <si>
    <t>Jonathan Tee</t>
  </si>
  <si>
    <t>Corpus Christi College and St. Mark's College at UBC</t>
  </si>
  <si>
    <t>https://www.google.com/search?newwindow=1&amp;ei=2MT0XrvGGM-vytMP1OyDgAY&amp;q=site%3Alinkedin.com+Jessica+Chen+Guide+and+Student+Representative+on+the+University+Recruitment+Committee+at+Columbia</t>
  </si>
  <si>
    <t>Jessica Chen</t>
  </si>
  <si>
    <t>Guide and Student Representative on the University Recruitment Committee at Columbia</t>
  </si>
  <si>
    <t>Columbia University in the City of New York</t>
  </si>
  <si>
    <t>https://www.google.com/search?newwindow=1&amp;ei=2MT0XrvGGM-vytMP1OyDgAY&amp;q=site%3Alinkedin.com+Nadia+Paul+Student+Recruiter</t>
  </si>
  <si>
    <t>Nadia Paul</t>
  </si>
  <si>
    <t>The University of Winnipeg</t>
  </si>
  <si>
    <t>https://www.google.com/search?newwindow=1&amp;ei=2MT0XrvGGM-vytMP1OyDgAY&amp;q=site%3Alinkedin.com+Stacy+P.+Student+Recruiter+-+Advisor</t>
  </si>
  <si>
    <t>Stacy P.</t>
  </si>
  <si>
    <t>https://www.google.com/search?newwindow=1&amp;ei=2MT0XrvGGM-vytMP1OyDgAY&amp;q=site%3Alinkedin.com+Henry+Pham+Recruiter</t>
  </si>
  <si>
    <t>Henry Pham</t>
  </si>
  <si>
    <t>Future Foundation.inc</t>
  </si>
  <si>
    <t>https://www.google.com/search?newwindow=1&amp;ei=2MT0XrvGGM-vytMP1OyDgAY&amp;q=site%3Alinkedin.com+Rashi+Shah+Volunteer+-+University+Representative</t>
  </si>
  <si>
    <t>Rashi Shah</t>
  </si>
  <si>
    <t>Volunteer - University Representative</t>
  </si>
  <si>
    <t>INACE.ORG</t>
  </si>
  <si>
    <t>https://www.google.com/search?newwindow=1&amp;ei=2MT0XrvGGM-vytMP1OyDgAY&amp;q=site%3Alinkedin.com+Karina+Holmgren+National+Recruitment+Coordinator</t>
  </si>
  <si>
    <t>Karina Holmgren</t>
  </si>
  <si>
    <t>National Recruitment Coordinator</t>
  </si>
  <si>
    <t>https://www.google.com/search?newwindow=1&amp;ei=2MT0XrvGGM-vytMP1OyDgAY&amp;q=site%3Alinkedin.com+Jessie+I.+Administrative+and+Recruitment+Assistant+-+Trent+University+(School+of+Graduate+Studies)</t>
  </si>
  <si>
    <t>Jessie I.</t>
  </si>
  <si>
    <t>Administrative and Recruitment Assistant - Trent University (School of Graduate Studies)</t>
  </si>
  <si>
    <t>Trent University</t>
  </si>
  <si>
    <t>https://www.google.com/search?newwindow=1&amp;ei=2MT0XrvGGM-vytMP1OyDgAY&amp;q=site%3Alinkedin.com+Milica+N.+Student+Advisory+Services+-+Student+Recruiter</t>
  </si>
  <si>
    <t>Milica N.</t>
  </si>
  <si>
    <t>Student Advisory Services - Student Recruiter</t>
  </si>
  <si>
    <t>MaKami College</t>
  </si>
  <si>
    <t>https://www.google.com/search?newwindow=1&amp;ei=2MT0XrvGGM-vytMP1OyDgAY&amp;q=site%3Alinkedin.com+Boyao+(Roy)+Jiang+Student</t>
  </si>
  <si>
    <t>Boyao (Roy) Jiang</t>
  </si>
  <si>
    <t>University of Toronto</t>
  </si>
  <si>
    <t>https://www.google.com/search?newwindow=1&amp;ei=2MT0XrvGGM-vytMP1OyDgAY&amp;q=site%3Alinkedin.com+Toronto+Forensic+Institute+College+Recruiter</t>
  </si>
  <si>
    <t>Toronto Forensic Institute</t>
  </si>
  <si>
    <t>https://www.google.com/search?newwindow=1&amp;ei=2MT0XrvGGM-vytMP1OyDgAY&amp;q=site%3Alinkedin.com+Sashah+R.+Student+Recruiter-Advisor</t>
  </si>
  <si>
    <t>Sashah R.</t>
  </si>
  <si>
    <t>https://www.google.com/search?newwindow=1&amp;ei=2MT0XrvGGM-vytMP1OyDgAY&amp;q=site%3Alinkedin.com+Hak-Ki+Noh+International+Student+Recruiter</t>
  </si>
  <si>
    <t>Hak-Ki Noh</t>
  </si>
  <si>
    <t>Vision Info Centre</t>
  </si>
  <si>
    <t>8 years 5 months in role and company</t>
  </si>
  <si>
    <t>https://www.google.com/search?newwindow=1&amp;ei=2MT0XrvGGM-vytMP1OyDgAY&amp;q=site%3Alinkedin.com+Melinda+Drews+Student+Recruiter</t>
  </si>
  <si>
    <t>Melinda Drews</t>
  </si>
  <si>
    <t>SAIT Polytechnic</t>
  </si>
  <si>
    <t>8 years 7 months in role and company</t>
  </si>
  <si>
    <t>https://www.google.com/search?newwindow=1&amp;ei=2MT0XrvGGM-vytMP1OyDgAY&amp;q=site%3Alinkedin.com+Cleo+Wah+Graduate+Development+and+Campus+Recruiter,+HR</t>
  </si>
  <si>
    <t>Cleo Wah</t>
  </si>
  <si>
    <t>Graduate Development and Campus Recruiter, HR</t>
  </si>
  <si>
    <t>https://www.google.com/search?newwindow=1&amp;ei=2MT0XrvGGM-vytMP1OyDgAY&amp;q=site%3Alinkedin.com+kaur+Gurpreet+Student+Recruiter+and+Bookkeeper</t>
  </si>
  <si>
    <t>kaur Gurpreet</t>
  </si>
  <si>
    <t>Student Recruiter and Bookkeeper</t>
  </si>
  <si>
    <t>Brampton Immigration Consultancy</t>
  </si>
  <si>
    <t>https://www.google.com/search?newwindow=1&amp;ei=2MT0XrvGGM-vytMP1OyDgAY&amp;q=site%3Alinkedin.com+Udy+Olaolu-Oyeyemi+Student+Services+Advisor</t>
  </si>
  <si>
    <t>Udy Olaolu-Oyeyemi</t>
  </si>
  <si>
    <t>Student Services Advisor</t>
  </si>
  <si>
    <t>NorQuest College</t>
  </si>
  <si>
    <t>https://www.google.com/search?newwindow=1&amp;ei=2MT0XrvGGM-vytMP1OyDgAY&amp;q=site%3Alinkedin.com+Jonathon+Chio+Recruitment+Assistant</t>
  </si>
  <si>
    <t>Jonathon Chio</t>
  </si>
  <si>
    <t>Recruitment Assistant</t>
  </si>
  <si>
    <t>Endeavour Volunteer Consulting for Non-Profits</t>
  </si>
  <si>
    <t>https://www.google.com/search?newwindow=1&amp;ei=2MT0XrvGGM-vytMP1OyDgAY&amp;q=site%3Alinkedin.com+Beverly+Schrekinger+HR+Programs+Student</t>
  </si>
  <si>
    <t>Beverly Schrekinger</t>
  </si>
  <si>
    <t>HR Programs Student</t>
  </si>
  <si>
    <t>PCL Construction</t>
  </si>
  <si>
    <t>https://www.google.com/search?newwindow=1&amp;ei=2MT0XrvGGM-vytMP1OyDgAY&amp;q=site%3Alinkedin.com+You+Jia+Lee+Coordinator,+International+Programs+(International+Student+Experience)</t>
  </si>
  <si>
    <t>You Jia Lee</t>
  </si>
  <si>
    <t>Coordinator, International Programs (International Student Experience)</t>
  </si>
  <si>
    <t>University of Guelph</t>
  </si>
  <si>
    <t>https://www.google.com/search?newwindow=1&amp;ei=2MT0XrvGGM-vytMP1OyDgAY&amp;q=site%3Alinkedin.com+Maryam+Jula+Zadeh,+RCIC+International+Student+Programs+Coordinator</t>
  </si>
  <si>
    <t>Maryam Jula Zadeh, RCIC</t>
  </si>
  <si>
    <t>International Student Programs Coordinator</t>
  </si>
  <si>
    <t>George Brown College</t>
  </si>
  <si>
    <t>https://www.google.com/search?newwindow=1&amp;ei=2MT0XrvGGM-vytMP1OyDgAY&amp;q=site%3Alinkedin.com+Jackie+Young+National+Director+of+Student+Programs</t>
  </si>
  <si>
    <t>Jackie Young</t>
  </si>
  <si>
    <t>National Director of Student Programs</t>
  </si>
  <si>
    <t>The Learning Partnership</t>
  </si>
  <si>
    <t>https://www.google.com/search?newwindow=1&amp;ei=2MT0XrvGGM-vytMP1OyDgAY&amp;q=site%3Alinkedin.com+Jared+Boland+Student+Life+Programs+Coordinator</t>
  </si>
  <si>
    <t>Jared Boland</t>
  </si>
  <si>
    <t>Student Life Programs Coordinator</t>
  </si>
  <si>
    <t>University of Toronto - New College</t>
  </si>
  <si>
    <t>https://www.google.com/search?newwindow=1&amp;ei=2MT0XrvGGM-vytMP1OyDgAY&amp;q=site%3Alinkedin.com+Tatianna+Burnett+Undergraduate+Recruiter</t>
  </si>
  <si>
    <t>Tatianna Burnett</t>
  </si>
  <si>
    <t>Undergraduate Recruiter</t>
  </si>
  <si>
    <t>Carleton University Undergraduate Recruitment Office</t>
  </si>
  <si>
    <t>https://www.google.com/search?newwindow=1&amp;ei=2MT0XrvGGM-vytMP1OyDgAY&amp;q=site%3Alinkedin.com+Zed+Chia+Undergraduate+Advisor+&amp;+Recruiter</t>
  </si>
  <si>
    <t>Zed Chia</t>
  </si>
  <si>
    <t>Undergraduate Advisor &amp; Recruiter</t>
  </si>
  <si>
    <t>https://www.google.com/search?newwindow=1&amp;ei=2MT0XrvGGM-vytMP1OyDgAY&amp;q=site%3Alinkedin.com+Alysia+Isidro+Student+Programs+Coordinator</t>
  </si>
  <si>
    <t>Alysia Isidro</t>
  </si>
  <si>
    <t>https://www.google.com/search?newwindow=1&amp;ei=2MT0XrvGGM-vytMP1OyDgAY&amp;q=site%3Alinkedin.com+Thandi+Myers+Student+Engineer</t>
  </si>
  <si>
    <t>Thandi Myers</t>
  </si>
  <si>
    <t>Student Engineer</t>
  </si>
  <si>
    <t>R.V. Anderson Associates Limited</t>
  </si>
  <si>
    <t>https://www.google.com/search?newwindow=1&amp;ei=2MT0XrvGGM-vytMP1OyDgAY&amp;q=site%3Alinkedin.com+Remi+Kandal+Research+Student</t>
  </si>
  <si>
    <t>Remi Kandal</t>
  </si>
  <si>
    <t>Research Student</t>
  </si>
  <si>
    <t>The Birth Place Lab</t>
  </si>
  <si>
    <t>https://www.google.com/search?newwindow=1&amp;ei=2MT0XrvGGM-vytMP1OyDgAY&amp;q=site%3Alinkedin.com+Jim+Bohun+Assistant+Dean,+Academic+and+Student+Programs</t>
  </si>
  <si>
    <t>Jim Bohun</t>
  </si>
  <si>
    <t>Assistant Dean, Academic and Student Programs</t>
  </si>
  <si>
    <t>Faculty of Agricultural, Life &amp; Environmental Sciences</t>
  </si>
  <si>
    <t>6 years 8 months in role and company</t>
  </si>
  <si>
    <t>https://www.google.com/search?newwindow=1&amp;ei=2MT0XrvGGM-vytMP1OyDgAY&amp;q=site%3Alinkedin.com+Zarina+Mamadbekova+International+Student+Programs+Team+Lead</t>
  </si>
  <si>
    <t>Zarina Mamadbekova</t>
  </si>
  <si>
    <t>International Student Programs Team Lead</t>
  </si>
  <si>
    <t>https://www.google.com/search?newwindow=1&amp;ei=2MT0XrvGGM-vytMP1OyDgAY&amp;q=site%3Alinkedin.com+Natasha+Bhimji+Director+of+Student+Programs</t>
  </si>
  <si>
    <t>Natasha Bhimji</t>
  </si>
  <si>
    <t>Director of Student Programs</t>
  </si>
  <si>
    <t>Stikeman Elliott LLP</t>
  </si>
  <si>
    <t>https://www.google.com/search?newwindow=1&amp;ei=2MT0XrvGGM-vytMP1OyDgAY&amp;q=site%3Alinkedin.com+Min+Ji+Kang+Student+Programs+Coordinator</t>
  </si>
  <si>
    <t>Min Ji Kang</t>
  </si>
  <si>
    <t>https://www.google.com/search?newwindow=1&amp;ei=2MT0XrvGGM-vytMP1OyDgAY&amp;q=site%3Alinkedin.com+Sarah-Mae+Rahal+Indigenous+Programs+Coordinator</t>
  </si>
  <si>
    <t>Sarah-Mae Rahal</t>
  </si>
  <si>
    <t>Indigenous Programs Coordinator</t>
  </si>
  <si>
    <t>Aboriginal Labour Force Development Circle</t>
  </si>
  <si>
    <t>https://www.google.com/search?newwindow=1&amp;ei=2MT0XrvGGM-vytMP1OyDgAY&amp;q=site%3Alinkedin.com+Liz+Gamble+District+Principal+of+International+Student+Programs</t>
  </si>
  <si>
    <t>Liz Gamble</t>
  </si>
  <si>
    <t>District Principal of International Student Programs</t>
  </si>
  <si>
    <t>Cowichan Valley School District</t>
  </si>
  <si>
    <t>https://www.google.com/search?newwindow=1&amp;ei=2MT0XrvGGM-vytMP1OyDgAY&amp;q=site%3Alinkedin.com+Abby+Taher+Assistant+of+Student+Development+Programs</t>
  </si>
  <si>
    <t>Abby Taher</t>
  </si>
  <si>
    <t>Assistant of Student Development Programs</t>
  </si>
  <si>
    <t>Queen's University</t>
  </si>
  <si>
    <t>https://www.google.com/search?newwindow=1&amp;ei=2MT0XrvGGM-vytMP1OyDgAY&amp;q=site%3Alinkedin.com+Caroline+Mitry+Manager,+Global+Operations+and+Student+Support+Programs</t>
  </si>
  <si>
    <t>Caroline Mitry</t>
  </si>
  <si>
    <t>Manager, Global Operations and Student Support Programs</t>
  </si>
  <si>
    <t>Morneau Shepell</t>
  </si>
  <si>
    <t>https://www.google.com/search?newwindow=1&amp;ei=2MT0XrvGGM-vytMP1OyDgAY&amp;q=site%3Alinkedin.com+Mara+Mihailescu+Health+Systems+Stream+Representative+-+Telfer+Graduate+Research+Programs+Student+Association</t>
  </si>
  <si>
    <t>Mara Mihailescu</t>
  </si>
  <si>
    <t>Health Systems Stream Representative - Telfer Graduate Research Programs Student Association</t>
  </si>
  <si>
    <t>Telfer School of Management at the University of Ottawa</t>
  </si>
  <si>
    <t>https://www.google.com/search?newwindow=1&amp;ei=2MT0XrvGGM-vytMP1OyDgAY&amp;q=site%3Alinkedin.com+Valerie+Groysman+Coordinator,+Student+Programs+and+Outreach</t>
  </si>
  <si>
    <t>Valerie Groysman</t>
  </si>
  <si>
    <t>Coordinator, Student Programs and Outreach</t>
  </si>
  <si>
    <t>https://www.google.com/search?newwindow=1&amp;ei=2MT0XrvGGM-vytMP1OyDgAY&amp;q=site%3Alinkedin.com+Shunmathi+Shanmugam+Undergraduate+Teaching+Assistant+-+INSPIRE+3EL3+(C03)</t>
  </si>
  <si>
    <t>Shunmathi Shanmugam</t>
  </si>
  <si>
    <t>Undergraduate Teaching Assistant - INSPIRE 3EL3 (C03)</t>
  </si>
  <si>
    <t>McMaster University</t>
  </si>
  <si>
    <t>https://www.google.com/search?newwindow=1&amp;ei=2MT0XrvGGM-vytMP1OyDgAY&amp;q=site%3Alinkedin.com+Cathy+Watkins+Manager+of+Associate+and+Student+Programs</t>
  </si>
  <si>
    <t>Cathy Watkins</t>
  </si>
  <si>
    <t>Manager of Associate and Student Programs</t>
  </si>
  <si>
    <t>https://www.google.com/search?newwindow=1&amp;ei=2MT0XrvGGM-vytMP1OyDgAY&amp;q=site%3Alinkedin.com+Heba+Qazilbash+Student+Success+Programs+Assistant</t>
  </si>
  <si>
    <t>Heba Qazilbash</t>
  </si>
  <si>
    <t>Student Success Programs Assistant</t>
  </si>
  <si>
    <t>University of Toronto - Faculty of Arts &amp; Science</t>
  </si>
  <si>
    <t>https://www.google.com/search?newwindow=1&amp;ei=2MT0XrvGGM-vytMP1OyDgAY&amp;q=site%3Alinkedin.com+Wendy+Norman+Associate+Director,+Student+Engagement+Programs</t>
  </si>
  <si>
    <t>Wendy Norman</t>
  </si>
  <si>
    <t>Associate Director, Student Engagement Programs</t>
  </si>
  <si>
    <t>https://www.google.com/search?newwindow=1&amp;ei=2MT0XrvGGM-vytMP1OyDgAY&amp;q=site%3Alinkedin.com+Amber+O'Quinn+Vice+Principal+for+International+Student+Programs</t>
  </si>
  <si>
    <t>Amber O'Quinn</t>
  </si>
  <si>
    <t>Vice Principal for International Student Programs</t>
  </si>
  <si>
    <t>Sooke School District</t>
  </si>
  <si>
    <t>https://www.google.com/search?newwindow=1&amp;ei=2MT0XrvGGM-vytMP1OyDgAY&amp;q=site%3Alinkedin.com+Andrea+Kirkham+PhD+Student,+Applied+Human+Nutrition</t>
  </si>
  <si>
    <t>Andrea Kirkham</t>
  </si>
  <si>
    <t>PhD Student, Applied Human Nutrition</t>
  </si>
  <si>
    <t>https://www.google.com/search?newwindow=1&amp;ei=2MT0XrvGGM-vytMP1OyDgAY&amp;q=site%3Alinkedin.com+Jennifer+Berman+National+Manager,+CPA+Student+Program</t>
  </si>
  <si>
    <t>Jennifer Berman</t>
  </si>
  <si>
    <t>National Manager, CPA Student Program</t>
  </si>
  <si>
    <t>Grant Thornton LLP</t>
  </si>
  <si>
    <t>https://www.google.com/search?newwindow=1&amp;ei=2MT0XrvGGM-vytMP1OyDgAY&amp;q=site%3Alinkedin.com+Sandra+Loeppky+Coordinator+of+Commuter,+International+Student+and+Accessibility+Programs</t>
  </si>
  <si>
    <t>Sandra Loeppky</t>
  </si>
  <si>
    <t>Coordinator of Commuter, International Student and Accessibility Programs</t>
  </si>
  <si>
    <t>Canadian Mennonite University</t>
  </si>
  <si>
    <t>https://www.google.com/search?newwindow=1&amp;ei=2MT0XrvGGM-vytMP1OyDgAY&amp;q=site%3Alinkedin.com+Tanya+Saini+Coordinator,+Student+Financial+Aid+&amp;+Awards,+Masters+Programs,+Office+of+the+Registrar+&amp;</t>
  </si>
  <si>
    <t>Tanya Saini</t>
  </si>
  <si>
    <t>Coordinator, Student Financial Aid &amp; Awards, Masters Programs, Office of the Registrar &amp;</t>
  </si>
  <si>
    <t>University of Toronto - Rotman School of Management</t>
  </si>
  <si>
    <t>https://www.google.com/search?newwindow=1&amp;ei=2MT0XrvGGM-vytMP1OyDgAY&amp;q=site%3Alinkedin.com+Charlene+Mak+International+Student+Advisor:+Immigration+and+University+Regualtions</t>
  </si>
  <si>
    <t>Charlene Mak</t>
  </si>
  <si>
    <t>International Student Advisor: Immigration and University Regualtions</t>
  </si>
  <si>
    <t>Wilfrid Laurier University</t>
  </si>
  <si>
    <t>https://www.google.com/search?newwindow=1&amp;ei=2MT0XrvGGM-vytMP1OyDgAY&amp;q=site%3Alinkedin.com+Jenna+Purther+University+Student</t>
  </si>
  <si>
    <t>Jenna Purther</t>
  </si>
  <si>
    <t>University Student</t>
  </si>
  <si>
    <t>Ryerson University</t>
  </si>
  <si>
    <t>https://www.google.com/search?newwindow=1&amp;ei=2MT0XrvGGM-vytMP1OyDgAY&amp;q=site%3Alinkedin.com+Maureen+Workman+Manager+of+Student+Clubs</t>
  </si>
  <si>
    <t>Maureen Workman</t>
  </si>
  <si>
    <t>Manager of Student Clubs</t>
  </si>
  <si>
    <t>Students' Association MacEwan University</t>
  </si>
  <si>
    <t>https://www.google.com/search?newwindow=1&amp;ei=2MT0XrvGGM-vytMP1OyDgAY&amp;q=site%3Alinkedin.com+Laura+Schwertfeger+District+Principal;+International+Student+Programs</t>
  </si>
  <si>
    <t>Laura Schwertfeger</t>
  </si>
  <si>
    <t>District Principal; International Student Programs</t>
  </si>
  <si>
    <t>10 years 1 month in role and company</t>
  </si>
  <si>
    <t>https://www.google.com/search?newwindow=1&amp;ei=2MT0XrvGGM-vytMP1OyDgAY&amp;q=site%3Alinkedin.com+Nezha+soumir+Recreation+Programs+Assistant</t>
  </si>
  <si>
    <t>Nezha soumir</t>
  </si>
  <si>
    <t>Recreation Programs Assistant</t>
  </si>
  <si>
    <t>Hamlet</t>
  </si>
  <si>
    <t>https://www.google.com/search?newwindow=1&amp;ei=2MT0XrvGGM-vytMP1OyDgAY&amp;q=site%3Alinkedin.com+Amanda+Lemus+Administrative+Assistant+&amp;+Student+Programs+Support</t>
  </si>
  <si>
    <t>Amanda Lemus</t>
  </si>
  <si>
    <t>Administrative Assistant &amp; Student Programs Support</t>
  </si>
  <si>
    <t>The McMaster Chaplaincy Centre</t>
  </si>
  <si>
    <t>https://www.google.com/search?newwindow=1&amp;ei=2MT0XrvGGM-vytMP1OyDgAY&amp;q=site%3Alinkedin.com+Jenny+Gardipy+University+Student</t>
  </si>
  <si>
    <t>Jenny Gardipy</t>
  </si>
  <si>
    <t>University of Saskatchewan</t>
  </si>
  <si>
    <t>https://www.google.com/search?newwindow=1&amp;ei=2MT0XrvGGM-vytMP1OyDgAY&amp;q=site%3Alinkedin.com+Jeff+Dewolfe+Director+of+Programs+and+Student+Services</t>
  </si>
  <si>
    <t>Jeff Dewolfe</t>
  </si>
  <si>
    <t>South Shore Regional School Board</t>
  </si>
  <si>
    <t>https://www.google.com/search?newwindow=1&amp;ei=2MT0XrvGGM-vytMP1OyDgAY&amp;q=site%3Alinkedin.com+Desiree+Bagnall+Tourism+Resource+and+Programs+Coordinator</t>
  </si>
  <si>
    <t>Desiree Bagnall</t>
  </si>
  <si>
    <t>Tourism Resource and Programs Coordinator</t>
  </si>
  <si>
    <t>Government of the Northwest Territories</t>
  </si>
  <si>
    <t>https://www.google.com/search?newwindow=1&amp;ei=2MT0XrvGGM-vytMP1OyDgAY&amp;q=site%3Alinkedin.com+Bissoon+Radica+Coordinator+of+Student+and+Associate+Programs</t>
  </si>
  <si>
    <t>Bissoon Radica</t>
  </si>
  <si>
    <t>Gowling WLG (Canada) LLP</t>
  </si>
  <si>
    <t>16 years 3 months in role and company</t>
  </si>
  <si>
    <t>https://www.google.com/search?newwindow=1&amp;ei=2MT0XrvGGM-vytMP1OyDgAY&amp;q=site%3Alinkedin.com+Doug+Bothwell+Student+Success/Sec.+School+Programs+Principal</t>
  </si>
  <si>
    <t>Doug Bothwell</t>
  </si>
  <si>
    <t>Student Success/Sec. School Programs Principal</t>
  </si>
  <si>
    <t>Halton District School Board</t>
  </si>
  <si>
    <t>https://www.google.com/search?newwindow=1&amp;ei=2MT0XrvGGM-vytMP1OyDgAY&amp;q=site%3Alinkedin.com+Jakob+Voo+(he/him)+CBE+Student+Employability+Coordinator+(Industry+Programs)</t>
  </si>
  <si>
    <t>Jakob Voo (he/him)</t>
  </si>
  <si>
    <t>CBE Student Employability Coordinator (Industry Programs)</t>
  </si>
  <si>
    <t>The Australian National University</t>
  </si>
  <si>
    <t>Canberra</t>
  </si>
  <si>
    <t>Australian Capital Territory</t>
  </si>
  <si>
    <t>https://www.google.com/search?newwindow=1&amp;ei=2MT0XrvGGM-vytMP1OyDgAY&amp;q=site%3Alinkedin.com+Dylan+Clements+Programs+Manager</t>
  </si>
  <si>
    <t>Dylan Clements</t>
  </si>
  <si>
    <t>Programs Manager</t>
  </si>
  <si>
    <t>Academy of the Social Sciences in Australia</t>
  </si>
  <si>
    <t>https://www.google.com/search?newwindow=1&amp;ei=2MT0XrvGGM-vytMP1OyDgAY&amp;q=site%3Alinkedin.com+Wendy+Moore+Teacher,+Aboriginal+Health+Programs</t>
  </si>
  <si>
    <t>Wendy Moore</t>
  </si>
  <si>
    <t>Teacher, Aboriginal Health Programs</t>
  </si>
  <si>
    <t>TAFE NSW</t>
  </si>
  <si>
    <t>Canobolas</t>
  </si>
  <si>
    <t>New South Wales</t>
  </si>
  <si>
    <t>https://www.google.com/search?newwindow=1&amp;ei=2MT0XrvGGM-vytMP1OyDgAY&amp;q=site%3Alinkedin.com+Matthew+Aitchison+Student+Recruiter</t>
  </si>
  <si>
    <t>Matthew Aitchison</t>
  </si>
  <si>
    <t>University</t>
  </si>
  <si>
    <t>Carlisle</t>
  </si>
  <si>
    <t>https://www.google.com/search?newwindow=1&amp;ei=2MT0XrvGGM-vytMP1OyDgAY&amp;q=site%3Alinkedin.com+Lauren+Suttner+Campus+Recruiting+Manager</t>
  </si>
  <si>
    <t>https://www.google.com/search?newwindow=1&amp;ei=2MT0XrvGGM-vytMP1OyDgAY&amp;q=site%3Alinkedin.com+Emily+Graves+McWatty+Campus+Recruiting+Southeast+Region+Co-Lead/Campus+Recruiting+Operations+Lead</t>
  </si>
  <si>
    <t>Emily Graves McWatty</t>
  </si>
  <si>
    <t>Campus Recruiting Southeast Region Co-Lead/Campus Recruiting Operations Lead</t>
  </si>
  <si>
    <t>https://www.google.com/search?newwindow=1&amp;ei=2MT0XrvGGM-vytMP1OyDgAY&amp;q=site%3Alinkedin.com+Erica+Johnson+Campus+Recruiting+Manager</t>
  </si>
  <si>
    <t>Deloitte LP</t>
  </si>
  <si>
    <t>https://www.google.com/search?newwindow=1&amp;ei=2MT0XrvGGM-vytMP1OyDgAY&amp;q=site%3Alinkedin.com+Samantha+Jacobs+Campus+Recruiting+Coordinator</t>
  </si>
  <si>
    <t>Samantha Jacobs</t>
  </si>
  <si>
    <t>Chadds Ford</t>
  </si>
  <si>
    <t>https://www.google.com/search?newwindow=1&amp;ei=2MT0XrvGGM-vytMP1OyDgAY&amp;q=site%3Alinkedin.com+Britton+Frampton+Campus+Recruiting+Consultant</t>
  </si>
  <si>
    <t>Britton Frampton</t>
  </si>
  <si>
    <t>https://www.google.com/search?newwindow=1&amp;ei=2MT0XrvGGM-vytMP1OyDgAY&amp;q=site%3Alinkedin.com+Claire+Hall+Senior+Associate,+Campus+Recruiting</t>
  </si>
  <si>
    <t>Claire Hall</t>
  </si>
  <si>
    <t>https://www.google.com/search?newwindow=1&amp;ei=2MT0XrvGGM-vytMP1OyDgAY&amp;q=site%3Alinkedin.com+Christie+Kerr+Campus+Recruiting,+Project+Manager</t>
  </si>
  <si>
    <t>https://www.google.com/search?newwindow=1&amp;ei=2MT0XrvGGM-vytMP1OyDgAY&amp;q=site%3Alinkedin.com+Cameron+Thomasson+Campus+Recruiting+Coordinator</t>
  </si>
  <si>
    <t>Cameron Thomasson</t>
  </si>
  <si>
    <t>https://www.google.com/search?newwindow=1&amp;ei=2MT0XrvGGM-vytMP1OyDgAY&amp;q=site%3Alinkedin.com+Fawn+Price+National+Tax+Campus+Recruiting+Leader,+Assistant+Director</t>
  </si>
  <si>
    <t>Fawn Price</t>
  </si>
  <si>
    <t>National Tax Campus Recruiting Leader, Assistant Director</t>
  </si>
  <si>
    <t>https://www.google.com/search?newwindow=1&amp;ei=2MT0XrvGGM-vytMP1OyDgAY&amp;q=site%3Alinkedin.com+Crissy+Hartman+Campus+Recruiting+Coordinator</t>
  </si>
  <si>
    <t>Crissy Hartman</t>
  </si>
  <si>
    <t>https://www.google.com/search?newwindow=1&amp;ei=2MT0XrvGGM-vytMP1OyDgAY&amp;q=site%3Alinkedin.com+Erin+Green+Campus+Recruiting+Manager</t>
  </si>
  <si>
    <t>https://www.google.com/search?newwindow=1&amp;ei=2MT0XrvGGM-vytMP1OyDgAY&amp;q=site%3Alinkedin.com+Molly+Leonard+Campus+Recruiting+Coordinator</t>
  </si>
  <si>
    <t>Molly Leonard</t>
  </si>
  <si>
    <t>https://www.google.com/search?newwindow=1&amp;ei=2MT0XrvGGM-vytMP1OyDgAY&amp;q=site%3Alinkedin.com+Ryan+Kist+Recruiting</t>
  </si>
  <si>
    <t>Ryan Kist</t>
  </si>
  <si>
    <t>Recruiting</t>
  </si>
  <si>
    <t>https://www.google.com/search?newwindow=1&amp;ei=2MT0XrvGGM-vytMP1OyDgAY&amp;q=site%3Alinkedin.com+Katy+Grant+MBA+Recruiter</t>
  </si>
  <si>
    <t>Wells Fargo Securities</t>
  </si>
  <si>
    <t>https://www.google.com/search?newwindow=1&amp;ei=2MT0XrvGGM-vytMP1OyDgAY&amp;q=site%3Alinkedin.com+Patricia+Moretz+MBA+Campus+Recruiting+Consultant</t>
  </si>
  <si>
    <t>Patricia Moretz</t>
  </si>
  <si>
    <t>MBA Campus Recruiting Consultant</t>
  </si>
  <si>
    <t>https://www.google.com/search?newwindow=1&amp;ei=2MT0XrvGGM-vytMP1OyDgAY&amp;q=site%3Alinkedin.com+Danielle+Smith+Campus+Recruiter</t>
  </si>
  <si>
    <t>https://www.google.com/search?newwindow=1&amp;ei=2MT0XrvGGM-vytMP1OyDgAY&amp;q=site%3Alinkedin.com+Kendra+Murphy+Project+Manager+for+National+Campus+Recruiting</t>
  </si>
  <si>
    <t>Deloitte &amp; Touche</t>
  </si>
  <si>
    <t>https://www.google.com/search?newwindow=1&amp;ei=2MT0XrvGGM-vytMP1OyDgAY&amp;q=site%3Alinkedin.com+Tiara+Birtha+Campus+Recruiting+Consultant</t>
  </si>
  <si>
    <t>Tiara Birtha</t>
  </si>
  <si>
    <t>https://www.google.com/search?newwindow=1&amp;ei=2MT0XrvGGM-vytMP1OyDgAY&amp;q=site%3Alinkedin.com+Pamela+Benavente+Campus+Recruiting+Coordinator</t>
  </si>
  <si>
    <t>Pamela Benavente</t>
  </si>
  <si>
    <t>https://www.google.com/search?newwindow=1&amp;ei=2MT0XrvGGM-vytMP1OyDgAY&amp;q=site%3Alinkedin.com+Madeline+Korol+Senior+Campus+Recruiting+Coordinator</t>
  </si>
  <si>
    <t>Madeline Korol</t>
  </si>
  <si>
    <t>https://www.google.com/search?newwindow=1&amp;ei=2MT0XrvGGM-vytMP1OyDgAY&amp;q=site%3Alinkedin.com+Meagan+Scheffler+Head+of+Commercial+Banking+Campus+Recruiting</t>
  </si>
  <si>
    <t>Meagan Scheffler</t>
  </si>
  <si>
    <t>Head of Commercial Banking Campus Recruiting</t>
  </si>
  <si>
    <t>https://www.google.com/search?newwindow=1&amp;ei=2MT0XrvGGM-vytMP1OyDgAY&amp;q=site%3Alinkedin.com+Emily+Scott+Early+Talent+Program+Coordinator</t>
  </si>
  <si>
    <t>Emily Scott</t>
  </si>
  <si>
    <t>Early Talent Program Coordinator</t>
  </si>
  <si>
    <t>https://www.google.com/search?newwindow=1&amp;ei=2MT0XrvGGM-vytMP1OyDgAY&amp;q=site%3Alinkedin.com+David+Busshart+College+Recruiter</t>
  </si>
  <si>
    <t>https://www.google.com/search?newwindow=1&amp;ei=2MT0XrvGGM-vytMP1OyDgAY&amp;q=site%3Alinkedin.com+Lisa+Ulker+Engineering+Campus+Recruiting+Coordinator</t>
  </si>
  <si>
    <t>Lisa Ulker</t>
  </si>
  <si>
    <t>Engineering Campus Recruiting Coordinator</t>
  </si>
  <si>
    <t>Chatham</t>
  </si>
  <si>
    <t>https://www.google.com/search?newwindow=1&amp;ei=2MT0XrvGGM-vytMP1OyDgAY&amp;q=site%3Alinkedin.com+Emma+Bailey+Graduate+Recruiter</t>
  </si>
  <si>
    <t>Emma Bailey</t>
  </si>
  <si>
    <t>Bright Futures Resourcing</t>
  </si>
  <si>
    <t>Cheltenham</t>
  </si>
  <si>
    <t>https://www.google.com/search?newwindow=1&amp;ei=2MT0XrvGGM-vytMP1OyDgAY&amp;q=site%3Alinkedin.com+John+Sarsfield+International+University+Recruiter</t>
  </si>
  <si>
    <t>John Sarsfield</t>
  </si>
  <si>
    <t>International University Recruiter</t>
  </si>
  <si>
    <t>johnsarsfield.ca</t>
  </si>
  <si>
    <t>11 years 10 months in role and company</t>
  </si>
  <si>
    <t>Chemainus Indian Reserve 13</t>
  </si>
  <si>
    <t>https://www.google.com/search?newwindow=1&amp;ei=2MT0XrvGGM-vytMP1OyDgAY&amp;q=site%3Alinkedin.com+john+R.+student</t>
  </si>
  <si>
    <t>john R.</t>
  </si>
  <si>
    <t>student</t>
  </si>
  <si>
    <t>BCC</t>
  </si>
  <si>
    <t>Chestermere</t>
  </si>
  <si>
    <t>https://www.google.com/search?newwindow=1&amp;ei=2MT0XrvGGM-vytMP1OyDgAY&amp;q=site%3Alinkedin.com+Michael+Watkins+Manager,+Campus+Recruiting</t>
  </si>
  <si>
    <t>https://www.google.com/search?newwindow=1&amp;ei=2MT0XrvGGM-vytMP1OyDgAY&amp;q=site%3Alinkedin.com+Gretchen+Thom+Campus+Recruiting+Specialist+-+Consulting</t>
  </si>
  <si>
    <t>Gretchen Thom</t>
  </si>
  <si>
    <t>Campus Recruiting Specialist - Consulting</t>
  </si>
  <si>
    <t>https://www.google.com/search?newwindow=1&amp;ei=2MT0XrvGGM-vytMP1OyDgAY&amp;q=site%3Alinkedin.com+Taylor+Bjerke+Firmwide+Diversity+Programs,+Campus+Recruiting</t>
  </si>
  <si>
    <t>Taylor Bjerke</t>
  </si>
  <si>
    <t>Firmwide Diversity Programs, Campus Recruiting</t>
  </si>
  <si>
    <t>https://www.google.com/search?newwindow=1&amp;ei=2MT0XrvGGM-vytMP1OyDgAY&amp;q=site%3Alinkedin.com+Jessica+C.+Campus+Recruiting+Specialist</t>
  </si>
  <si>
    <t>Jessica C.</t>
  </si>
  <si>
    <t>https://www.google.com/search?newwindow=1&amp;ei=2MT0XrvGGM-vytMP1OyDgAY&amp;q=site%3Alinkedin.com+Blake+Johnson+Firmwide+Diversity+Campus+Recruiting</t>
  </si>
  <si>
    <t>https://www.google.com/search?newwindow=1&amp;ei=2MT0XrvGGM-vytMP1OyDgAY&amp;q=site%3Alinkedin.com+Katherine+Roy+Campus+Recruiting+Specialist</t>
  </si>
  <si>
    <t>Katherine Roy</t>
  </si>
  <si>
    <t>https://www.google.com/search?newwindow=1&amp;ei=2MT0XrvGGM-vytMP1OyDgAY&amp;q=site%3Alinkedin.com+Kori+Kelly+Campus+Recruiting+Manager</t>
  </si>
  <si>
    <t>https://www.google.com/search?newwindow=1&amp;ei=2MT0XrvGGM-vytMP1OyDgAY&amp;q=site%3Alinkedin.com+Kaitlyn+Tallarico+Associate+CTS+Campus+Recruiting+Specialist</t>
  </si>
  <si>
    <t>Kaitlyn Tallarico</t>
  </si>
  <si>
    <t>Associate CTS Campus Recruiting Specialist</t>
  </si>
  <si>
    <t>https://www.google.com/search?newwindow=1&amp;ei=2MT0XrvGGM-vytMP1OyDgAY&amp;q=site%3Alinkedin.com+Stephanie+Loftus,+aPHR+Campus+Recruiting+Coordinator</t>
  </si>
  <si>
    <t>Stephanie Loftus, aPHR</t>
  </si>
  <si>
    <t>https://www.google.com/search?newwindow=1&amp;ei=2MT0XrvGGM-vytMP1OyDgAY&amp;q=site%3Alinkedin.com+Kathleen+McMillan+Campus+Recruiting+Specialist</t>
  </si>
  <si>
    <t>Kathleen McMillan</t>
  </si>
  <si>
    <t>https://www.google.com/search?newwindow=1&amp;ei=2MT0XrvGGM-vytMP1OyDgAY&amp;q=site%3Alinkedin.com+Carter+McCormack+Hartung+Campus+Recruiting+Manager</t>
  </si>
  <si>
    <t>https://www.google.com/search?newwindow=1&amp;ei=2MT0XrvGGM-vytMP1OyDgAY&amp;q=site%3Alinkedin.com+Katelin+Penaranda+Campus+Recruiting+Specialist</t>
  </si>
  <si>
    <t>Katelin Penaranda</t>
  </si>
  <si>
    <t>https://www.google.com/search?newwindow=1&amp;ei=2MT0XrvGGM-vytMP1OyDgAY&amp;q=site%3Alinkedin.com+Eddie+Covarrubias+Senior+Campus+Recruiting+Specialist</t>
  </si>
  <si>
    <t>Eddie Covarrubias</t>
  </si>
  <si>
    <t>https://www.google.com/search?newwindow=1&amp;ei=2MT0XrvGGM-vytMP1OyDgAY&amp;q=site%3Alinkedin.com+Andrea+Schott+Senior+Campus+Recruiting+Specialist</t>
  </si>
  <si>
    <t>Andrea Schott</t>
  </si>
  <si>
    <t>https://www.google.com/search?newwindow=1&amp;ei=2MT0XrvGGM-vytMP1OyDgAY&amp;q=site%3Alinkedin.com+Celeste+Benton+Rotational+Talent+Advisor,+Supervising+Associate,+Campus+Recruiting</t>
  </si>
  <si>
    <t>Celeste Benton</t>
  </si>
  <si>
    <t>Rotational Talent Advisor, Supervising Associate, Campus Recruiting</t>
  </si>
  <si>
    <t>https://www.google.com/search?newwindow=1&amp;ei=2MT0XrvGGM-vytMP1OyDgAY&amp;q=site%3Alinkedin.com+Samara+R.+Campus+Recruiting+Coordinator</t>
  </si>
  <si>
    <t>Samara R.</t>
  </si>
  <si>
    <t>https://www.google.com/search?newwindow=1&amp;ei=2MT0XrvGGM-vytMP1OyDgAY&amp;q=site%3Alinkedin.com+Elizabeth+Abboreno+Senior+Associate+Campus+Recruiting</t>
  </si>
  <si>
    <t>Elizabeth Abboreno</t>
  </si>
  <si>
    <t>Senior Associate Campus Recruiting</t>
  </si>
  <si>
    <t>https://www.google.com/search?newwindow=1&amp;ei=2MT0XrvGGM-vytMP1OyDgAY&amp;q=site%3Alinkedin.com+Ashleigh+Butler+Senior+Campus+Recruiting+Analyst</t>
  </si>
  <si>
    <t>Ashleigh Butler</t>
  </si>
  <si>
    <t>Senior Campus Recruiting Analyst</t>
  </si>
  <si>
    <t>https://www.google.com/search?newwindow=1&amp;ei=2MT0XrvGGM-vytMP1OyDgAY&amp;q=site%3Alinkedin.com+Ariana+Tomasula+FSO+Campus+Recruiting+Coordinator</t>
  </si>
  <si>
    <t>Ariana Tomasula</t>
  </si>
  <si>
    <t>FSO Campus Recruiting Coordinator</t>
  </si>
  <si>
    <t>https://www.google.com/search?newwindow=1&amp;ei=2MT0XrvGGM-vytMP1OyDgAY&amp;q=site%3Alinkedin.com+Helen+Luz+Campus+Recruiting+Specialist</t>
  </si>
  <si>
    <t>Helen Luz</t>
  </si>
  <si>
    <t>https://www.google.com/search?newwindow=1&amp;ei=2MT0XrvGGM-vytMP1OyDgAY&amp;q=site%3Alinkedin.com+Lauren+Smith+Campus+Recruiting+Specialist</t>
  </si>
  <si>
    <t>Lauren Smith</t>
  </si>
  <si>
    <t>https://www.google.com/search?newwindow=1&amp;ei=2MT0XrvGGM-vytMP1OyDgAY&amp;q=site%3Alinkedin.com+Mary+Nolan+Campus+Recruiting+Manager</t>
  </si>
  <si>
    <t>https://www.google.com/search?newwindow=1&amp;ei=2MT0XrvGGM-vytMP1OyDgAY&amp;q=site%3Alinkedin.com+Kelly+Rath+Senior+Manager,+National+Campus+Recruiting</t>
  </si>
  <si>
    <t>Kelly Rath</t>
  </si>
  <si>
    <t>Senior Manager, National Campus Recruiting</t>
  </si>
  <si>
    <t>Andersen</t>
  </si>
  <si>
    <t>https://www.google.com/search?newwindow=1&amp;ei=2MT0XrvGGM-vytMP1OyDgAY&amp;q=site%3Alinkedin.com+Cristina+Tomasko+Campus+Recruiting+Manager</t>
  </si>
  <si>
    <t>https://www.google.com/search?newwindow=1&amp;ei=2MT0XrvGGM-vytMP1OyDgAY&amp;q=site%3Alinkedin.com+Rabia+Baig+Vice+President,+Diversity+Sourcing+for+Campus+Recruiting</t>
  </si>
  <si>
    <t>Rabia Baig</t>
  </si>
  <si>
    <t>Vice President, Diversity Sourcing for Campus Recruiting</t>
  </si>
  <si>
    <t>https://www.google.com/search?newwindow=1&amp;ei=2MT0XrvGGM-vytMP1OyDgAY&amp;q=site%3Alinkedin.com+Elizabeth+Zimmermann+Campus+Recruiting+Coordinator</t>
  </si>
  <si>
    <t>Elizabeth Zimmermann</t>
  </si>
  <si>
    <t>https://www.google.com/search?newwindow=1&amp;ei=2MT0XrvGGM-vytMP1OyDgAY&amp;q=site%3Alinkedin.com+Danielle+Watson+Associate+Director+of+Campus+Recruiting,+Advisory+Services</t>
  </si>
  <si>
    <t>https://www.google.com/search?newwindow=1&amp;ei=2MT0XrvGGM-vytMP1OyDgAY&amp;q=site%3Alinkedin.com+Amy+Fondell+Campus+Recruiting+Field+Leader,+Talent+Attraction+&amp;+Acquisition+at+EY</t>
  </si>
  <si>
    <t>Amy Fondell</t>
  </si>
  <si>
    <t>Campus Recruiting Field Leader, Talent Attraction &amp; Acquisition at EY</t>
  </si>
  <si>
    <t>https://www.google.com/search?newwindow=1&amp;ei=2MT0XrvGGM-vytMP1OyDgAY&amp;q=site%3Alinkedin.com+Bridgett+Turro+Campus+Recruiting+Coordinator</t>
  </si>
  <si>
    <t>Bridgett Turro</t>
  </si>
  <si>
    <t>https://www.google.com/search?newwindow=1&amp;ei=2MT0XrvGGM-vytMP1OyDgAY&amp;q=site%3Alinkedin.com+Charlotte+Rivard+Senior+Campus+Recruiting+Coordinator</t>
  </si>
  <si>
    <t>Charlotte Rivard</t>
  </si>
  <si>
    <t>https://www.google.com/search?newwindow=1&amp;ei=2MT0XrvGGM-vytMP1OyDgAY&amp;q=site%3Alinkedin.com+William+Hilbrich+Campus+Recruiting+Specialist+-+Consulting</t>
  </si>
  <si>
    <t>William Hilbrich</t>
  </si>
  <si>
    <t>https://www.google.com/search?newwindow=1&amp;ei=2MT0XrvGGM-vytMP1OyDgAY&amp;q=site%3Alinkedin.com+Jen+Marshall+Central+Market+Talent+Identification+Lead</t>
  </si>
  <si>
    <t>Central Market Talent Identification Lead</t>
  </si>
  <si>
    <t>https://www.google.com/search?newwindow=1&amp;ei=2MT0XrvGGM-vytMP1OyDgAY&amp;q=site%3Alinkedin.com+Jill+Wilson+Campus+Recruiting+Market+Segment+Lead</t>
  </si>
  <si>
    <t>Jill Wilson</t>
  </si>
  <si>
    <t>Campus Recruiting Market Segment Lead</t>
  </si>
  <si>
    <t>https://www.google.com/search?newwindow=1&amp;ei=2MT0XrvGGM-vytMP1OyDgAY&amp;q=site%3Alinkedin.com+Kristin+Mikelson+Campus+Recruiting+Manager</t>
  </si>
  <si>
    <t>https://www.google.com/search?newwindow=1&amp;ei=2MT0XrvGGM-vytMP1OyDgAY&amp;q=site%3Alinkedin.com+Natasha+Stough+Campus+Recruiting+Leader</t>
  </si>
  <si>
    <t>Natasha Stough</t>
  </si>
  <si>
    <t>Campus Recruiting Leader</t>
  </si>
  <si>
    <t>https://www.google.com/search?newwindow=1&amp;ei=2MT0XrvGGM-vytMP1OyDgAY&amp;q=site%3Alinkedin.com+Laura+Hamilton+Campus+Recruiting+Specialist</t>
  </si>
  <si>
    <t>https://www.google.com/search?newwindow=1&amp;ei=2MT0XrvGGM-vytMP1OyDgAY&amp;q=site%3Alinkedin.com+Natalie+Schoonover+Campus+Recruiting+Leader</t>
  </si>
  <si>
    <t>Natalie Schoonover</t>
  </si>
  <si>
    <t>https://www.google.com/search?newwindow=1&amp;ei=2MT0XrvGGM-vytMP1OyDgAY&amp;q=site%3Alinkedin.com+Jessica+Yaeger+Campus+Recruiting+Coordinator</t>
  </si>
  <si>
    <t>Jessica Yaeger</t>
  </si>
  <si>
    <t>https://www.google.com/search?newwindow=1&amp;ei=2MT0XrvGGM-vytMP1OyDgAY&amp;q=site%3Alinkedin.com+Elise+E+Grover+Campus+Recruiting+Coordinator</t>
  </si>
  <si>
    <t>Elise E Grover</t>
  </si>
  <si>
    <t>https://www.google.com/search?newwindow=1&amp;ei=2MT0XrvGGM-vytMP1OyDgAY&amp;q=site%3Alinkedin.com+Anne+(Keppler)+Mayor+Advisory+Consumer+Markets+Talent+Consultant</t>
  </si>
  <si>
    <t>Advisory Consumer Markets Talent Consultant</t>
  </si>
  <si>
    <t>https://www.google.com/search?newwindow=1&amp;ei=2MT0XrvGGM-vytMP1OyDgAY&amp;q=site%3Alinkedin.com+Brianne+Petricone+Campus+Recruiting+Coordinator</t>
  </si>
  <si>
    <t>Brianne Petricone</t>
  </si>
  <si>
    <t>https://www.google.com/search?newwindow=1&amp;ei=2MT0XrvGGM-vytMP1OyDgAY&amp;q=site%3Alinkedin.com+Carol+Mammel+UFV+International+Student+Support+and+Programs</t>
  </si>
  <si>
    <t>Carol Mammel</t>
  </si>
  <si>
    <t>UFV International Student Support and Programs</t>
  </si>
  <si>
    <t>Chilliwack</t>
  </si>
  <si>
    <t>https://www.google.com/search?newwindow=1&amp;ei=2MT0XrvGGM-vytMP1OyDgAY&amp;q=site%3Alinkedin.com+Christal+Shillingford+Assistant+Director,+US-West+Diversity+&amp;+Inclusiveness+Campus+Recruiting+Lead</t>
  </si>
  <si>
    <t>Christal Shillingford</t>
  </si>
  <si>
    <t>Assistant Director, US-West Diversity &amp; Inclusiveness Campus Recruiting Lead</t>
  </si>
  <si>
    <t>Chino Hills</t>
  </si>
  <si>
    <t>https://www.google.com/search?newwindow=1&amp;ei=2MT0XrvGGM-vytMP1OyDgAY&amp;q=site%3Alinkedin.com+Lucy+Lim+Student+Recruiter</t>
  </si>
  <si>
    <t>Lucy Lim</t>
  </si>
  <si>
    <t>85 Broads University of New South Wales Chapter</t>
  </si>
  <si>
    <t>Chirnside Park</t>
  </si>
  <si>
    <t>Victoria</t>
  </si>
  <si>
    <t>https://www.google.com/search?newwindow=1&amp;ei=2MT0XrvGGM-vytMP1OyDgAY&amp;q=site%3Alinkedin.com+Megan+Schulte+Senior+Campus+Recruiting+Specialist</t>
  </si>
  <si>
    <t>Megan Schulte</t>
  </si>
  <si>
    <t>https://www.google.com/search?newwindow=1&amp;ei=2MT0XrvGGM-vytMP1OyDgAY&amp;q=site%3Alinkedin.com+Emma+Laura+Campus+Recruiting+Coordinator</t>
  </si>
  <si>
    <t>Emma Laura</t>
  </si>
  <si>
    <t>https://www.google.com/search?newwindow=1&amp;ei=2MT0XrvGGM-vytMP1OyDgAY&amp;q=site%3Alinkedin.com+Ali+Strohm+Assistant+Director+-+Campus+Recruiting,+CPA,+PHR</t>
  </si>
  <si>
    <t>Ali Strohm</t>
  </si>
  <si>
    <t>Assistant Director - Campus Recruiting, CPA, PHR</t>
  </si>
  <si>
    <t>https://www.google.com/search?newwindow=1&amp;ei=2MT0XrvGGM-vytMP1OyDgAY&amp;q=site%3Alinkedin.com+Lynn+Steele+Janson+Administrative+Assistant+&amp;+Campus+Recruiting+Coordinator</t>
  </si>
  <si>
    <t>Lynn Steele Janson</t>
  </si>
  <si>
    <t>Administrative Assistant &amp; Campus Recruiting Coordinator</t>
  </si>
  <si>
    <t>15 years 1 month in role and company</t>
  </si>
  <si>
    <t>https://www.google.com/search?newwindow=1&amp;ei=2MT0XrvGGM-vytMP1OyDgAY&amp;q=site%3Alinkedin.com+Takao+Tanaka+Student+Lifecycle+Services+Officer,+Students+&amp;+Programs,+College+of+Business+&amp;+Law</t>
  </si>
  <si>
    <t>Takao Tanaka</t>
  </si>
  <si>
    <t>Student Lifecycle Services Officer, Students &amp; Programs, College of Business &amp; Law</t>
  </si>
  <si>
    <t>RMIT University</t>
  </si>
  <si>
    <t>City of Melbourne</t>
  </si>
  <si>
    <t>https://www.google.com/search?newwindow=1&amp;ei=2MT0XrvGGM-vytMP1OyDgAY&amp;q=site%3Alinkedin.com+Mylena+Sigalou+Campus+Recruiter</t>
  </si>
  <si>
    <t>Mylena Sigalou</t>
  </si>
  <si>
    <t>GSA Capital</t>
  </si>
  <si>
    <t>City of Westminster</t>
  </si>
  <si>
    <t>https://www.google.com/search?newwindow=1&amp;ei=2MT0XrvGGM-vytMP1OyDgAY&amp;q=site%3Alinkedin.com+Sian+Rowlands-Mackenzie+Graduate+Recruiter+&amp;+Professional+Development+Specialist</t>
  </si>
  <si>
    <t>Sian Rowlands-Mackenzie</t>
  </si>
  <si>
    <t>Graduate Recruiter &amp; Professional Development Specialist</t>
  </si>
  <si>
    <t>Eden McCallum</t>
  </si>
  <si>
    <t>https://www.google.com/search?newwindow=1&amp;ei=2MT0XrvGGM-vytMP1OyDgAY&amp;q=site%3Alinkedin.com+Dan+Hawkinson+Campus+Recruiting+Specialist</t>
  </si>
  <si>
    <t>Dan Hawkinson</t>
  </si>
  <si>
    <t>Clearwater</t>
  </si>
  <si>
    <t>https://www.google.com/search?newwindow=1&amp;ei=2MT0XrvGGM-vytMP1OyDgAY&amp;q=site%3Alinkedin.com+Danielle+Schneck+Associate,+Campus+Recruiting</t>
  </si>
  <si>
    <t>Danielle Schneck</t>
  </si>
  <si>
    <t>https://www.google.com/search?newwindow=1&amp;ei=2MT0XrvGGM-vytMP1OyDgAY&amp;q=site%3Alinkedin.com+Danielle+Porter+Campus+Recruiting+Coordinator</t>
  </si>
  <si>
    <t>Danielle Porter</t>
  </si>
  <si>
    <t>https://www.google.com/search?newwindow=1&amp;ei=2MT0XrvGGM-vytMP1OyDgAY&amp;q=site%3Alinkedin.com+Erika+DiCresce+Campus+Recruiting+Operations+Specialist</t>
  </si>
  <si>
    <t>Erika DiCresce</t>
  </si>
  <si>
    <t>Campus Recruiting Operations Specialist</t>
  </si>
  <si>
    <t>https://www.google.com/search?newwindow=1&amp;ei=2MT0XrvGGM-vytMP1OyDgAY&amp;q=site%3Alinkedin.com+Diana+Vanucci+Assistant+Director,+Brand,+Marketing+and+Communications+Leader+-+US+Campus+Recruiting</t>
  </si>
  <si>
    <t>Diana Vanucci</t>
  </si>
  <si>
    <t>Assistant Director, Brand, Marketing and Communications Leader - US Campus Recruiting</t>
  </si>
  <si>
    <t>https://www.google.com/search?newwindow=1&amp;ei=2MT0XrvGGM-vytMP1OyDgAY&amp;q=site%3Alinkedin.com+Lisa+Severino+Campus+Recruiting+Coordinator</t>
  </si>
  <si>
    <t>Lisa Severino</t>
  </si>
  <si>
    <t>https://www.google.com/search?newwindow=1&amp;ei=2MT0XrvGGM-vytMP1OyDgAY&amp;q=site%3Alinkedin.com+Laura+Warren+Campus+recruiting+assistant</t>
  </si>
  <si>
    <t>Laura Warren</t>
  </si>
  <si>
    <t>Campus recruiting assistant</t>
  </si>
  <si>
    <t>https://www.google.com/search?newwindow=1&amp;ei=2MT0XrvGGM-vytMP1OyDgAY&amp;q=site%3Alinkedin.com+David+Goodchild+Head+Volleyball+Coach+Durham+University+/+athlete+recruitment+co-ordinator</t>
  </si>
  <si>
    <t>David Goodchild</t>
  </si>
  <si>
    <t>Head Volleyball Coach Durham University / athlete recruitment co-ordinator</t>
  </si>
  <si>
    <t>Durham University</t>
  </si>
  <si>
    <t>https://www.google.com/search?newwindow=1&amp;ei=2MT0XrvGGM-vytMP1OyDgAY&amp;q=site%3Alinkedin.com+Kaelen+O'Rahilly+Human+Resources+Assistant-Recruiter</t>
  </si>
  <si>
    <t>Kaelen O'Rahilly</t>
  </si>
  <si>
    <t>Human Resources Assistant-Recruiter</t>
  </si>
  <si>
    <t>Ontario Shores Centre for Mental Health Sciences</t>
  </si>
  <si>
    <t>Cobourg</t>
  </si>
  <si>
    <t>https://www.google.com/search?newwindow=1&amp;ei=2MT0XrvGGM-vytMP1OyDgAY&amp;q=site%3Alinkedin.com+Caroline+Chao,+MA,+PHR+Campus+Recruiting+Specialist</t>
  </si>
  <si>
    <t>Caroline Chao, MA, PHR</t>
  </si>
  <si>
    <t>https://www.google.com/search?newwindow=1&amp;ei=2MT0XrvGGM-vytMP1OyDgAY&amp;q=site%3Alinkedin.com+David+Lyle+Campus+Recruiting</t>
  </si>
  <si>
    <t>David Lyle</t>
  </si>
  <si>
    <t>https://www.google.com/search?newwindow=1&amp;ei=2MT0XrvGGM-vytMP1OyDgAY&amp;q=site%3Alinkedin.com+Kati+Hood+Associate+Director,+University+Talent+Acquisition</t>
  </si>
  <si>
    <t>https://www.google.com/search?newwindow=1&amp;ei=2MT0XrvGGM-vytMP1OyDgAY&amp;q=site%3Alinkedin.com+Leah+Young+Employer+Brand+&amp;+Marketing</t>
  </si>
  <si>
    <t>Leah Young</t>
  </si>
  <si>
    <t>Employer Brand &amp; Marketing</t>
  </si>
  <si>
    <t>https://www.google.com/search?newwindow=1&amp;ei=2MT0XrvGGM-vytMP1OyDgAY&amp;q=site%3Alinkedin.com+Aaron+Smith+University+Ambassador</t>
  </si>
  <si>
    <t>Aaron Smith</t>
  </si>
  <si>
    <t>University Ambassador</t>
  </si>
  <si>
    <t>The Ohio State University</t>
  </si>
  <si>
    <t>https://www.google.com/search?newwindow=1&amp;ei=2MT0XrvGGM-vytMP1OyDgAY&amp;q=site%3Alinkedin.com+Katie+Caraboa+Campus+Recruiter</t>
  </si>
  <si>
    <t>https://www.google.com/search?newwindow=1&amp;ei=2MT0XrvGGM-vytMP1OyDgAY&amp;q=site%3Alinkedin.com+Erika+Utt,+MBA+Campus+Recruiting+Operations+Specialist</t>
  </si>
  <si>
    <t>Erika Utt, MBA</t>
  </si>
  <si>
    <t>https://www.google.com/search?newwindow=1&amp;ei=2MT0XrvGGM-vytMP1OyDgAY&amp;q=site%3Alinkedin.com+Krysta+Lewis+Associate+Manager</t>
  </si>
  <si>
    <t>https://www.google.com/search?newwindow=1&amp;ei=2MT0XrvGGM-vytMP1OyDgAY&amp;q=site%3Alinkedin.com+Alexia+Sharell+Winfield+Culture+Solutions+Program+Manager</t>
  </si>
  <si>
    <t>https://www.google.com/search?newwindow=1&amp;ei=2MT0XrvGGM-vytMP1OyDgAY&amp;q=site%3Alinkedin.com+Kristen+Dorsey+Campus+Recruiting+Coordinator</t>
  </si>
  <si>
    <t>Kristen Dorsey</t>
  </si>
  <si>
    <t>Commack</t>
  </si>
  <si>
    <t>https://www.google.com/search?newwindow=1&amp;ei=2MT0XrvGGM-vytMP1OyDgAY&amp;q=site%3Alinkedin.com+Heather+Goldman+Campus+Recruiting+Associate</t>
  </si>
  <si>
    <t>Heather Goldman</t>
  </si>
  <si>
    <t>https://www.google.com/search?newwindow=1&amp;ei=2MT0XrvGGM-vytMP1OyDgAY&amp;q=site%3Alinkedin.com+Sholon+Rucker+Associate+Director+-+Program+Management,+Audit</t>
  </si>
  <si>
    <t>Associate Director - Program Management, Audit</t>
  </si>
  <si>
    <t>https://www.google.com/search?newwindow=1&amp;ei=2MT0XrvGGM-vytMP1OyDgAY&amp;q=site%3Alinkedin.com+Josephine+Gunawan+Recruiter,+Advisor+&amp;+Student+Affairs+Coordinator</t>
  </si>
  <si>
    <t>Josephine Gunawan</t>
  </si>
  <si>
    <t>Recruiter, Advisor &amp; Student Affairs Coordinator</t>
  </si>
  <si>
    <t>Beedie School of Business at Simon Fraser University</t>
  </si>
  <si>
    <t>Coquitlam</t>
  </si>
  <si>
    <t>https://www.google.com/search?newwindow=1&amp;ei=2MT0XrvGGM-vytMP1OyDgAY&amp;q=site%3Alinkedin.com+Melissa+Lynne,+CPCU+Recruiting+Systems+Analyst</t>
  </si>
  <si>
    <t>https://www.google.com/search?newwindow=1&amp;ei=2MT0XrvGGM-vytMP1OyDgAY&amp;q=site%3Alinkedin.com+Steph+Walton+Head+of+Student+Recruitment++-+Coventry+University+Recruitment+&amp;+Admissions</t>
  </si>
  <si>
    <t>Steph Walton</t>
  </si>
  <si>
    <t>Head of Student Recruitment  - Coventry University Recruitment &amp; Admissions</t>
  </si>
  <si>
    <t>Coventry University</t>
  </si>
  <si>
    <t>Coventry</t>
  </si>
  <si>
    <t>https://www.google.com/search?newwindow=1&amp;ei=2MT0XrvGGM-vytMP1OyDgAY&amp;q=site%3Alinkedin.com+Neelam+Thapar+Student+Experience+Officer+at+Coventry+University+Online</t>
  </si>
  <si>
    <t>Neelam Thapar</t>
  </si>
  <si>
    <t>Student Experience Officer at Coventry University Online</t>
  </si>
  <si>
    <t>https://www.google.com/search?newwindow=1&amp;ei=2MT0XrvGGM-vytMP1OyDgAY&amp;q=site%3Alinkedin.com+Lorna+Bytheway+Director+of+Unitemps+Recruitment+Service</t>
  </si>
  <si>
    <t>Lorna Bytheway</t>
  </si>
  <si>
    <t>Director of Unitemps Recruitment Service</t>
  </si>
  <si>
    <t>Unitemps</t>
  </si>
  <si>
    <t>https://www.google.com/search?newwindow=1&amp;ei=2MT0XrvGGM-vytMP1OyDgAY&amp;q=site%3Alinkedin.com+Elliott+Campbell+Graduate+Talent+Recruiter</t>
  </si>
  <si>
    <t>Elliott Campbell</t>
  </si>
  <si>
    <t>Graduate Talent Recruiter</t>
  </si>
  <si>
    <t>Lime Talent</t>
  </si>
  <si>
    <t>https://www.google.com/search?newwindow=1&amp;ei=2MT0XrvGGM-vytMP1OyDgAY&amp;q=site%3Alinkedin.com+Jack+Coles+Academy+Recruitment+Analyst</t>
  </si>
  <si>
    <t>Jack Coles</t>
  </si>
  <si>
    <t>Academy Recruitment Analyst</t>
  </si>
  <si>
    <t>Leicester City Football Club</t>
  </si>
  <si>
    <t>https://www.google.com/search?newwindow=1&amp;ei=2MT0XrvGGM-vytMP1OyDgAY&amp;q=site%3Alinkedin.com+Leyli+Aliyeva+Product+Officer,+UK+Programs</t>
  </si>
  <si>
    <t>Leyli Aliyeva</t>
  </si>
  <si>
    <t>Product Officer, UK Programs</t>
  </si>
  <si>
    <t>Project Access</t>
  </si>
  <si>
    <t>https://www.google.com/search?newwindow=1&amp;ei=2MT0XrvGGM-vytMP1OyDgAY&amp;q=site%3Alinkedin.com+Steven+Hoskins+Ambulance+Technician/+Student+Paramedic</t>
  </si>
  <si>
    <t>Steven Hoskins</t>
  </si>
  <si>
    <t>Ambulance Technician/ Student Paramedic</t>
  </si>
  <si>
    <t>West Midlands Ambulance Service NHS Trust</t>
  </si>
  <si>
    <t>https://www.google.com/search?newwindow=1&amp;ei=2MT0XrvGGM-vytMP1OyDgAY&amp;q=site%3Alinkedin.com+Dennis+Chavarria+Campus+Recruiting+Coordinator</t>
  </si>
  <si>
    <t>Dennis Chavarria</t>
  </si>
  <si>
    <t>Covina</t>
  </si>
  <si>
    <t>https://www.google.com/search?newwindow=1&amp;ei=2MT0XrvGGM-vytMP1OyDgAY&amp;q=site%3Alinkedin.com+Manasi+Nagaokar,+MHRM+Campus+Recruiting+Coordinator</t>
  </si>
  <si>
    <t>Manasi Nagaokar, MHRM</t>
  </si>
  <si>
    <t>Cranbury Township</t>
  </si>
  <si>
    <t>https://www.google.com/search?newwindow=1&amp;ei=2MT0XrvGGM-vytMP1OyDgAY&amp;q=site%3Alinkedin.com+Brittany+Barker+Campus+Recruiting+Coordinator</t>
  </si>
  <si>
    <t>Brittany Barker</t>
  </si>
  <si>
    <t>https://www.google.com/search?newwindow=1&amp;ei=2MT0XrvGGM-vytMP1OyDgAY&amp;q=site%3Alinkedin.com+Janna+Remperas+Campus+Recruiting+Coordinator</t>
  </si>
  <si>
    <t>Janna Remperas</t>
  </si>
  <si>
    <t>https://www.google.com/search?newwindow=1&amp;ei=2MT0XrvGGM-vytMP1OyDgAY&amp;q=site%3Alinkedin.com+Nicole+King+Campus+Recruiting</t>
  </si>
  <si>
    <t>Nicole King</t>
  </si>
  <si>
    <t>https://www.google.com/search?newwindow=1&amp;ei=2MT0XrvGGM-vytMP1OyDgAY&amp;q=site%3Alinkedin.com+Lauren+Fair+Senior+Campus+Recruiting+Specialist</t>
  </si>
  <si>
    <t>Lauren Fair</t>
  </si>
  <si>
    <t>https://www.google.com/search?newwindow=1&amp;ei=2MT0XrvGGM-vytMP1OyDgAY&amp;q=site%3Alinkedin.com+Nicole+Votsmier+Consulting+Campus+Recruiting+Manager</t>
  </si>
  <si>
    <t>Nicole Votsmier</t>
  </si>
  <si>
    <t>Consulting Campus Recruiting Manager</t>
  </si>
  <si>
    <t>https://www.google.com/search?newwindow=1&amp;ei=2MT0XrvGGM-vytMP1OyDgAY&amp;q=site%3Alinkedin.com+Libby+Schleinat+Campus+Recruiting+Specialist</t>
  </si>
  <si>
    <t>Libby Schleinat</t>
  </si>
  <si>
    <t>https://www.google.com/search?newwindow=1&amp;ei=2MT0XrvGGM-vytMP1OyDgAY&amp;q=site%3Alinkedin.com+Shannon+Gyarmathy+Campus+Recruiting+Location+Lead</t>
  </si>
  <si>
    <t>Shannon Gyarmathy</t>
  </si>
  <si>
    <t>Campus Recruiting Location Lead</t>
  </si>
  <si>
    <t>https://www.google.com/search?newwindow=1&amp;ei=2MT0XrvGGM-vytMP1OyDgAY&amp;q=site%3Alinkedin.com+Allyssa+Tivis+Campus+Recruiting+Specialist</t>
  </si>
  <si>
    <t>https://www.google.com/search?newwindow=1&amp;ei=2MT0XrvGGM-vytMP1OyDgAY&amp;q=site%3Alinkedin.com+Lisa+Fite+Campus+Recruiting+Coordinator</t>
  </si>
  <si>
    <t>Lisa Fite</t>
  </si>
  <si>
    <t>https://www.google.com/search?newwindow=1&amp;ei=2MT0XrvGGM-vytMP1OyDgAY&amp;q=site%3Alinkedin.com+Amanda+Summey+Graduate+(MBA)+Campus+Recruiting+-+Consulting</t>
  </si>
  <si>
    <t>Amanda Summey</t>
  </si>
  <si>
    <t>Graduate (MBA) Campus Recruiting - Consulting</t>
  </si>
  <si>
    <t>https://www.google.com/search?newwindow=1&amp;ei=2MT0XrvGGM-vytMP1OyDgAY&amp;q=site%3Alinkedin.com+Anneliese+Schumacher+West+Region+Campus+Recruiting+Director</t>
  </si>
  <si>
    <t>Anneliese Schumacher</t>
  </si>
  <si>
    <t>West Region Campus Recruiting Director</t>
  </si>
  <si>
    <t>https://www.google.com/search?newwindow=1&amp;ei=2MT0XrvGGM-vytMP1OyDgAY&amp;q=site%3Alinkedin.com+Lewis+Omboga+Campus+Recruiting+Sourcer</t>
  </si>
  <si>
    <t>Lewis Omboga</t>
  </si>
  <si>
    <t>Campus Recruiting Sourcer</t>
  </si>
  <si>
    <t>https://www.google.com/search?newwindow=1&amp;ei=2MT0XrvGGM-vytMP1OyDgAY&amp;q=site%3Alinkedin.com+Brittany+Almendrales+Campus+Recruiting+Coordinator</t>
  </si>
  <si>
    <t>Brittany Almendrales</t>
  </si>
  <si>
    <t>https://www.google.com/search?newwindow=1&amp;ei=2MT0XrvGGM-vytMP1OyDgAY&amp;q=site%3Alinkedin.com+Amy+Droz+Lead+Campus+Recruiting+Specialist,+Deloitte+Consulting+LLP</t>
  </si>
  <si>
    <t>Amy Droz</t>
  </si>
  <si>
    <t>Lead Campus Recruiting Specialist, Deloitte Consulting LLP</t>
  </si>
  <si>
    <t>https://www.google.com/search?newwindow=1&amp;ei=2MT0XrvGGM-vytMP1OyDgAY&amp;q=site%3Alinkedin.com+Taylor+McKamy+Campus+Recruiting+Manager</t>
  </si>
  <si>
    <t>https://www.google.com/search?newwindow=1&amp;ei=2MT0XrvGGM-vytMP1OyDgAY&amp;q=site%3Alinkedin.com+Michelle+Ferguson+National+Associate,+Campus+Recruiting+Internal+Operations</t>
  </si>
  <si>
    <t>Michelle Ferguson</t>
  </si>
  <si>
    <t>National Associate, Campus Recruiting Internal Operations</t>
  </si>
  <si>
    <t>KPMG LLP</t>
  </si>
  <si>
    <t>https://www.google.com/search?newwindow=1&amp;ei=2MT0XrvGGM-vytMP1OyDgAY&amp;q=site%3Alinkedin.com+Megan+Pavalock+Large+Campus+Team+Lead</t>
  </si>
  <si>
    <t>Megan Pavalock</t>
  </si>
  <si>
    <t>Large Campus Team Lead</t>
  </si>
  <si>
    <t>https://www.google.com/search?newwindow=1&amp;ei=2MT0XrvGGM-vytMP1OyDgAY&amp;q=site%3Alinkedin.com+Sarah+Jensen+Hasenauer+Regional+Campus+Recruiting+Manager</t>
  </si>
  <si>
    <t>https://www.google.com/search?newwindow=1&amp;ei=2MT0XrvGGM-vytMP1OyDgAY&amp;q=site%3Alinkedin.com+Hanna+Arrington+Senior+Campus+Recruiting+Coordinator</t>
  </si>
  <si>
    <t>Hanna Arrington</t>
  </si>
  <si>
    <t>https://www.google.com/search?newwindow=1&amp;ei=2MT0XrvGGM-vytMP1OyDgAY&amp;q=site%3Alinkedin.com+Fredrick+Scott+Americas+Campus+Recruiting+Leader+-+Advisory+Services</t>
  </si>
  <si>
    <t>Fredrick Scott</t>
  </si>
  <si>
    <t>Americas Campus Recruiting Leader - Advisory Services</t>
  </si>
  <si>
    <t>https://www.google.com/search?newwindow=1&amp;ei=2MT0XrvGGM-vytMP1OyDgAY&amp;q=site%3Alinkedin.com+Jessica+Livon+Campus+Recruiting+Sourcer</t>
  </si>
  <si>
    <t>Jessica Livon</t>
  </si>
  <si>
    <t>https://www.google.com/search?newwindow=1&amp;ei=2MT0XrvGGM-vytMP1OyDgAY&amp;q=site%3Alinkedin.com+Michelle+Bowens,+MBA,+PHR+Diversity+Sourcer,+Firmwide+Campus+Recruiting</t>
  </si>
  <si>
    <t>Michelle Bowens, MBA, PHR</t>
  </si>
  <si>
    <t>Diversity Sourcer, Firmwide Campus Recruiting</t>
  </si>
  <si>
    <t>https://www.google.com/search?newwindow=1&amp;ei=2MT0XrvGGM-vytMP1OyDgAY&amp;q=site%3Alinkedin.com+Lauren+Ward+Senior+Campus+Recruiting+Specialist+-+Consulting</t>
  </si>
  <si>
    <t>Lauren Ward</t>
  </si>
  <si>
    <t>Senior Campus Recruiting Specialist - Consulting</t>
  </si>
  <si>
    <t>https://www.google.com/search?newwindow=1&amp;ei=2MT0XrvGGM-vytMP1OyDgAY&amp;q=site%3Alinkedin.com+Tierra+Carter,+MBA+Campus+Recruiting+Coordinator,+Diversity+&amp;+Early+Engagement+Events</t>
  </si>
  <si>
    <t>Tierra Carter, MBA</t>
  </si>
  <si>
    <t>Campus Recruiting Coordinator, Diversity &amp; Early Engagement Events</t>
  </si>
  <si>
    <t>https://www.google.com/search?newwindow=1&amp;ei=2MT0XrvGGM-vytMP1OyDgAY&amp;q=site%3Alinkedin.com+Laney+Oaks+Associate,+Investment+Banking+Campus+Recruiting</t>
  </si>
  <si>
    <t>Laney Oaks</t>
  </si>
  <si>
    <t>Associate, Investment Banking Campus Recruiting</t>
  </si>
  <si>
    <t>https://www.google.com/search?newwindow=1&amp;ei=2MT0XrvGGM-vytMP1OyDgAY&amp;q=site%3Alinkedin.com+Sarah+Marsh+Firmwide+Campus+Recruiting+Events+Specialist</t>
  </si>
  <si>
    <t>Sarah Marsh</t>
  </si>
  <si>
    <t>Firmwide Campus Recruiting Events Specialist</t>
  </si>
  <si>
    <t>https://www.google.com/search?newwindow=1&amp;ei=2MT0XrvGGM-vytMP1OyDgAY&amp;q=site%3Alinkedin.com+Scott+Dai+Senior+Manager,+Business+Strategy+&amp;+Consulting</t>
  </si>
  <si>
    <t>https://www.google.com/search?newwindow=1&amp;ei=2MT0XrvGGM-vytMP1OyDgAY&amp;q=site%3Alinkedin.com+Tiara+Triplett,+MBA+Campus+Recruiting+Operations+Specialist-+Software+Engineer+Program</t>
  </si>
  <si>
    <t>Tiara Triplett, MBA</t>
  </si>
  <si>
    <t>Campus Recruiting Operations Specialist- Software Engineer Program</t>
  </si>
  <si>
    <t>https://www.google.com/search?newwindow=1&amp;ei=2MT0XrvGGM-vytMP1OyDgAY&amp;q=site%3Alinkedin.com+Brighid+Jensen+US+Campus+Recruiting,+Associate+Director+-+Transformation+Project+Leader</t>
  </si>
  <si>
    <t>https://www.google.com/search?newwindow=1&amp;ei=2MT0XrvGGM-vytMP1OyDgAY&amp;q=site%3Alinkedin.com+Derek+Winkler+People+Advisory+Services+-+Americas+COO+for+Global+Immigration+and+Business+Traveler+Services</t>
  </si>
  <si>
    <t>Derek Winkler</t>
  </si>
  <si>
    <t>People Advisory Services - Americas COO for Global Immigration and Business Traveler Services</t>
  </si>
  <si>
    <t>https://www.google.com/search?newwindow=1&amp;ei=2MT0XrvGGM-vytMP1OyDgAY&amp;q=site%3Alinkedin.com+Ki'Mii+Sellers,+aPHR+CIB+Campus+Recruiting+Business+Advisor</t>
  </si>
  <si>
    <t>Ki'Mii Sellers, aPHR</t>
  </si>
  <si>
    <t>CIB Campus Recruiting Business Advisor</t>
  </si>
  <si>
    <t>https://www.google.com/search?newwindow=1&amp;ei=2MT0XrvGGM-vytMP1OyDgAY&amp;q=site%3Alinkedin.com+Mary+Latino+Recruiting+Associate,+University+Recruiting</t>
  </si>
  <si>
    <t>https://www.google.com/search?newwindow=1&amp;ei=2MT0XrvGGM-vytMP1OyDgAY&amp;q=site%3Alinkedin.com+Aubrey+Dodds+Senior+Campus+Recruiting+Specialist</t>
  </si>
  <si>
    <t>Aubrey Dodds</t>
  </si>
  <si>
    <t>https://www.google.com/search?newwindow=1&amp;ei=2MT0XrvGGM-vytMP1OyDgAY&amp;q=site%3Alinkedin.com+Taryn+Talbert+Campus+Recruiting+Coordinator</t>
  </si>
  <si>
    <t>Taryn Talbert</t>
  </si>
  <si>
    <t>9 years 5 months in role and company</t>
  </si>
  <si>
    <t>https://www.google.com/search?newwindow=1&amp;ei=2MT0XrvGGM-vytMP1OyDgAY&amp;q=site%3Alinkedin.com+Ravinder+Sharma+Senior+Recruiter+(Graduate+&amp;+In-house)</t>
  </si>
  <si>
    <t>Ravinder Sharma</t>
  </si>
  <si>
    <t>Senior Recruiter (Graduate &amp; In-house)</t>
  </si>
  <si>
    <t>Anglia Ruskin University</t>
  </si>
  <si>
    <t>Dartford</t>
  </si>
  <si>
    <t>https://www.google.com/search?newwindow=1&amp;ei=2MT0XrvGGM-vytMP1OyDgAY&amp;q=site%3Alinkedin.com+Allison+Halfpenny+Contingent+Worker+-+Training+Programs+&amp;+Standards+-+Administration+Student</t>
  </si>
  <si>
    <t>Allison Halfpenny</t>
  </si>
  <si>
    <t>Contingent Worker - Training Programs &amp; Standards - Administration Student</t>
  </si>
  <si>
    <t>Canadian Nuclear Laboratories</t>
  </si>
  <si>
    <t>Deep River</t>
  </si>
  <si>
    <t>https://www.google.com/search?newwindow=1&amp;ei=2MT0XrvGGM-vytMP1OyDgAY&amp;q=site%3Alinkedin.com+Lynsey+Dinovo+Associate+Director,+Campus+Recruiting</t>
  </si>
  <si>
    <t>Lynsey Dinovo</t>
  </si>
  <si>
    <t>https://www.google.com/search?newwindow=1&amp;ei=2MT0XrvGGM-vytMP1OyDgAY&amp;q=site%3Alinkedin.com+Bailey+DeBruin-Stam+Associate+student+recruiter+advisor+Douglas+College</t>
  </si>
  <si>
    <t>Bailey DeBruin-Stam</t>
  </si>
  <si>
    <t>Associate student recruiter advisor Douglas College</t>
  </si>
  <si>
    <t>Douglas College</t>
  </si>
  <si>
    <t>Delta</t>
  </si>
  <si>
    <t>https://www.google.com/search?newwindow=1&amp;ei=2MT0XrvGGM-vytMP1OyDgAY&amp;q=site%3Alinkedin.com+Marissa+Funaro+Executive+Director,+Undergraduate+Programs+&amp;+Student+Services</t>
  </si>
  <si>
    <t>Marissa Funaro</t>
  </si>
  <si>
    <t>Executive Director, Undergraduate Programs &amp; Student Services</t>
  </si>
  <si>
    <t>https://www.google.com/search?newwindow=1&amp;ei=2MT0XrvGGM-vytMP1OyDgAY&amp;q=site%3Alinkedin.com+Zachary+Yarnell,+CPA+Campus+Recruiting+Specialist</t>
  </si>
  <si>
    <t>Zachary Yarnell, CPA</t>
  </si>
  <si>
    <t>https://www.google.com/search?newwindow=1&amp;ei=2MT0XrvGGM-vytMP1OyDgAY&amp;q=site%3Alinkedin.com+Jen+Bednar+Sr.+Recruiter,+Student+(University)+Programs+-+MBA</t>
  </si>
  <si>
    <t>https://www.google.com/search?newwindow=1&amp;ei=2MT0XrvGGM-vytMP1OyDgAY&amp;q=site%3Alinkedin.com+Erin+Rasey+Campus+Recruiting+Senior+Associate</t>
  </si>
  <si>
    <t>Erin Rasey</t>
  </si>
  <si>
    <t>https://www.google.com/search?newwindow=1&amp;ei=2MT0XrvGGM-vytMP1OyDgAY&amp;q=site%3Alinkedin.com+Ferrin+Decker+Senior+Manager+Advisory+Campus+Recruiting</t>
  </si>
  <si>
    <t>https://www.google.com/search?newwindow=1&amp;ei=2MT0XrvGGM-vytMP1OyDgAY&amp;q=site%3Alinkedin.com+Stephanie+Angellotto+Campus+Recruiting+Manager+-+Southwest+&amp;+Bay+Area+NW</t>
  </si>
  <si>
    <t>https://www.google.com/search?newwindow=1&amp;ei=2MT0XrvGGM-vytMP1OyDgAY&amp;q=site%3Alinkedin.com+Madeline+Cahue+Senior+Campus+Recruiting+Specialist</t>
  </si>
  <si>
    <t>Madeline Cahue</t>
  </si>
  <si>
    <t>https://www.google.com/search?newwindow=1&amp;ei=2MT0XrvGGM-vytMP1OyDgAY&amp;q=site%3Alinkedin.com+Brad+Barry+Talent+Identification+-+Campus+Recruiting+Associate</t>
  </si>
  <si>
    <t>Brad Barry</t>
  </si>
  <si>
    <t>Talent Identification - Campus Recruiting Associate</t>
  </si>
  <si>
    <t>https://www.google.com/search?newwindow=1&amp;ei=2MT0XrvGGM-vytMP1OyDgAY&amp;q=site%3Alinkedin.com+Laurel+Miller+Stone+Associate+Director,+Campus+Recruiting</t>
  </si>
  <si>
    <t>https://www.google.com/search?newwindow=1&amp;ei=2MT0XrvGGM-vytMP1OyDgAY&amp;q=site%3Alinkedin.com+Joey+Adams+Business+Analyst+-+Strategic+Planning+for+COVID+Contact+Tracing+Program+(eCommerce)</t>
  </si>
  <si>
    <t>Business Analyst - Strategic Planning for COVID Contact Tracing Program (eCommerce)</t>
  </si>
  <si>
    <t>https://www.google.com/search?newwindow=1&amp;ei=2MT0XrvGGM-vytMP1OyDgAY&amp;q=site%3Alinkedin.com+Danielle+Brogan,+MBA+Talent+ID+Digital+Campus+Recruiting+Associate</t>
  </si>
  <si>
    <t>Danielle Brogan, MBA</t>
  </si>
  <si>
    <t>Talent ID Digital Campus Recruiting Associate</t>
  </si>
  <si>
    <t>https://www.google.com/search?newwindow=1&amp;ei=2MT0XrvGGM-vytMP1OyDgAY&amp;q=site%3Alinkedin.com+Shelby+McClelland+Student+Recruiter</t>
  </si>
  <si>
    <t>Shelby McClelland</t>
  </si>
  <si>
    <t>Sault College</t>
  </si>
  <si>
    <t>Desbarats</t>
  </si>
  <si>
    <t>https://www.google.com/search?newwindow=1&amp;ei=2MT0XrvGGM-vytMP1OyDgAY&amp;q=site%3Alinkedin.com+Bill+LeAnnais+Senior+Campus+Recruiting+Specialist</t>
  </si>
  <si>
    <t>Bill LeAnnais</t>
  </si>
  <si>
    <t>https://www.google.com/search?newwindow=1&amp;ei=2MT0XrvGGM-vytMP1OyDgAY&amp;q=site%3Alinkedin.com+Molly+Martin+Senior+Campus+Recruiting+Specialist</t>
  </si>
  <si>
    <t>Molly Martin</t>
  </si>
  <si>
    <t>https://www.google.com/search?newwindow=1&amp;ei=2MT0XrvGGM-vytMP1OyDgAY&amp;q=site%3Alinkedin.com+Natalie+Nunnold+Senior+Campus+Recruiting+Specialist</t>
  </si>
  <si>
    <t>Natalie Nunnold</t>
  </si>
  <si>
    <t>https://www.google.com/search?newwindow=1&amp;ei=2MT0XrvGGM-vytMP1OyDgAY&amp;q=site%3Alinkedin.com+Gail+Lewis-Kelley+Campus+Recruiting+Manager</t>
  </si>
  <si>
    <t>https://www.google.com/search?newwindow=1&amp;ei=2MT0XrvGGM-vytMP1OyDgAY&amp;q=site%3Alinkedin.com+Sara+Condino+Campus+Recruiting+Manager</t>
  </si>
  <si>
    <t>https://www.google.com/search?newwindow=1&amp;ei=2MT0XrvGGM-vytMP1OyDgAY&amp;q=site%3Alinkedin.com+Jennifer+N.+Campus+Recruiting</t>
  </si>
  <si>
    <t>Jennifer N.</t>
  </si>
  <si>
    <t>5 years 11 months in role and company</t>
  </si>
  <si>
    <t>https://www.google.com/search?newwindow=1&amp;ei=2MT0XrvGGM-vytMP1OyDgAY&amp;q=site%3Alinkedin.com+Lisa+Francisco+National+Manager,+Campus+Recruiting+&amp;+University+Relations</t>
  </si>
  <si>
    <t>https://www.google.com/search?newwindow=1&amp;ei=2MT0XrvGGM-vytMP1OyDgAY&amp;q=site%3Alinkedin.com+Lauren+Cheesewright+Senior+Graduate+Recruiter+-+EU+Operations+&amp;+Logistics</t>
  </si>
  <si>
    <t>Lauren Cheesewright</t>
  </si>
  <si>
    <t>Senior Graduate Recruiter - EU Operations &amp; Logistics</t>
  </si>
  <si>
    <t>Amazon UK</t>
  </si>
  <si>
    <t>Doncaster</t>
  </si>
  <si>
    <t>https://www.google.com/search?newwindow=1&amp;ei=2MT0XrvGGM-vytMP1OyDgAY&amp;q=site%3Alinkedin.com+Jamie+Murphy+Campus+Recruiting+Coordinator</t>
  </si>
  <si>
    <t>Jamie Murphy</t>
  </si>
  <si>
    <t>Draper</t>
  </si>
  <si>
    <t>https://www.google.com/search?newwindow=1&amp;ei=2MT0XrvGGM-vytMP1OyDgAY&amp;q=site%3Alinkedin.com+Julie+Benner+Campus+Recruiting+Manager</t>
  </si>
  <si>
    <t>https://www.google.com/search?newwindow=1&amp;ei=2MT0XrvGGM-vytMP1OyDgAY&amp;q=site%3Alinkedin.com+Joseph+Ellis+Associate+Recruiter</t>
  </si>
  <si>
    <t>Joseph Ellis</t>
  </si>
  <si>
    <t>Associate Recruiter</t>
  </si>
  <si>
    <t>Daniel Owen Ltd</t>
  </si>
  <si>
    <t>Dudley</t>
  </si>
  <si>
    <t>https://www.google.com/search?newwindow=1&amp;ei=2MT0XrvGGM-vytMP1OyDgAY&amp;q=site%3Alinkedin.com+Rebecca+Venner+Campus+Recruiting+Coordinator</t>
  </si>
  <si>
    <t>Rebecca Venner</t>
  </si>
  <si>
    <t>https://www.google.com/search?newwindow=1&amp;ei=2MT0XrvGGM-vytMP1OyDgAY&amp;q=site%3Alinkedin.com+Daisy+Hoops+Data+Scientist</t>
  </si>
  <si>
    <t>Daisy Hoops</t>
  </si>
  <si>
    <t>Data Scientist</t>
  </si>
  <si>
    <t>https://www.google.com/search?newwindow=1&amp;ei=2MT0XrvGGM-vytMP1OyDgAY&amp;q=site%3Alinkedin.com+Jeff+Stencel+Team+Lead,+University+Recruiting</t>
  </si>
  <si>
    <t>https://www.google.com/search?newwindow=1&amp;ei=2MT0XrvGGM-vytMP1OyDgAY&amp;q=site%3Alinkedin.com+Margarita+L+Arana+S+Advisor+-+Recruiter</t>
  </si>
  <si>
    <t>Margarita L Arana S</t>
  </si>
  <si>
    <t>Advisor - Recruiter</t>
  </si>
  <si>
    <t>BRIT LANGUAGE CONNECTIONS LIMITED</t>
  </si>
  <si>
    <t>Eastdean</t>
  </si>
  <si>
    <t>https://www.google.com/search?newwindow=1&amp;ei=2MT0XrvGGM-vytMP1OyDgAY&amp;q=site%3Alinkedin.com+Toby+Beveridge+Student+Recruitment+Manager+at+Edinburgh+Law+School,+the+University+of+Edinburgh</t>
  </si>
  <si>
    <t>Toby Beveridge</t>
  </si>
  <si>
    <t>Student Recruitment Manager at Edinburgh Law School, the University of Edinburgh</t>
  </si>
  <si>
    <t>Edinburgh Law School</t>
  </si>
  <si>
    <t>Edinburgh</t>
  </si>
  <si>
    <t>https://www.google.com/search?newwindow=1&amp;ei=2MT0XrvGGM-vytMP1OyDgAY&amp;q=site%3Alinkedin.com+Grant+Cullen+Member+of+University+Court</t>
  </si>
  <si>
    <t>Grant Cullen</t>
  </si>
  <si>
    <t>Member of University Court</t>
  </si>
  <si>
    <t>Edinburgh Napier University</t>
  </si>
  <si>
    <t>https://www.google.com/search?newwindow=1&amp;ei=2MT0XrvGGM-vytMP1OyDgAY&amp;q=site%3Alinkedin.com+YIRAN+LIU+Campus+Recruiter</t>
  </si>
  <si>
    <t>YIRAN LIU</t>
  </si>
  <si>
    <t>ByteDance</t>
  </si>
  <si>
    <t>https://www.google.com/search?newwindow=1&amp;ei=2MT0XrvGGM-vytMP1OyDgAY&amp;q=site%3Alinkedin.com+Alex+Thurlow+Recruiter</t>
  </si>
  <si>
    <t>Alex Thurlow</t>
  </si>
  <si>
    <t>Parity Professionals</t>
  </si>
  <si>
    <t>https://www.google.com/search?newwindow=1&amp;ei=2MT0XrvGGM-vytMP1OyDgAY&amp;q=site%3Alinkedin.com+Maninder+K.+Recruitment+Consultant</t>
  </si>
  <si>
    <t>Maninder K.</t>
  </si>
  <si>
    <t>Recruitment Consultant</t>
  </si>
  <si>
    <t>Tech-Hiring Ltd</t>
  </si>
  <si>
    <t>10 years 6 months in role and company</t>
  </si>
  <si>
    <t>https://www.google.com/search?newwindow=1&amp;ei=2MT0XrvGGM-vytMP1OyDgAY&amp;q=site%3Alinkedin.com+Deanne+Smith+Staff+Pharmacist</t>
  </si>
  <si>
    <t>Staff Pharmacist</t>
  </si>
  <si>
    <t>https://www.google.com/search?newwindow=1&amp;ei=2MT0XrvGGM-vytMP1OyDgAY&amp;q=site%3Alinkedin.com+Shane+Boothe+,+MA,+BEd+Student+Recruiter</t>
  </si>
  <si>
    <t>Shane Boothe , MA, BEd</t>
  </si>
  <si>
    <t>Edmonton</t>
  </si>
  <si>
    <t>https://www.google.com/search?newwindow=1&amp;ei=2MT0XrvGGM-vytMP1OyDgAY&amp;q=site%3Alinkedin.com+Shuwen+Tian+Student+Recruiter</t>
  </si>
  <si>
    <t>Shuwen Tian</t>
  </si>
  <si>
    <t>https://www.google.com/search?newwindow=1&amp;ei=2MT0XrvGGM-vytMP1OyDgAY&amp;q=site%3Alinkedin.com+Amanda+Shular+Prospective+Student+Recruiter</t>
  </si>
  <si>
    <t>Amanda Shular</t>
  </si>
  <si>
    <t>Prospective Student Recruiter</t>
  </si>
  <si>
    <t>Alberta School of Business, University of Alberta</t>
  </si>
  <si>
    <t>https://www.google.com/search?newwindow=1&amp;ei=2MT0XrvGGM-vytMP1OyDgAY&amp;q=site%3Alinkedin.com+Gillian+L.+Student+Recruiter</t>
  </si>
  <si>
    <t>Gillian L.</t>
  </si>
  <si>
    <t>https://www.google.com/search?newwindow=1&amp;ei=2MT0XrvGGM-vytMP1OyDgAY&amp;q=site%3Alinkedin.com+Eric+Franke+Student+Recruiter</t>
  </si>
  <si>
    <t>Eric Franke</t>
  </si>
  <si>
    <t>MacEwan University</t>
  </si>
  <si>
    <t>https://www.google.com/search?newwindow=1&amp;ei=2MT0XrvGGM-vytMP1OyDgAY&amp;q=site%3Alinkedin.com+Victoria+Rissling+Manager,+International+Student+Recruitment</t>
  </si>
  <si>
    <t>Victoria Rissling</t>
  </si>
  <si>
    <t>Manager, International Student Recruitment</t>
  </si>
  <si>
    <t>https://www.google.com/search?newwindow=1&amp;ei=2MT0XrvGGM-vytMP1OyDgAY&amp;q=site%3Alinkedin.com+Christian+Ford+Student+Recruiter,+National+(Alberta+and+Saskatchewan)</t>
  </si>
  <si>
    <t>Christian Ford</t>
  </si>
  <si>
    <t>Student Recruiter, National (Alberta and Saskatchewan)</t>
  </si>
  <si>
    <t>https://www.google.com/search?newwindow=1&amp;ei=2MT0XrvGGM-vytMP1OyDgAY&amp;q=site%3Alinkedin.com+Deepeshni+Goundar+International+Student+Recruiter/Agent+Coordinator</t>
  </si>
  <si>
    <t>Deepeshni Goundar</t>
  </si>
  <si>
    <t>International Student Recruiter/Agent Coordinator</t>
  </si>
  <si>
    <t>https://www.google.com/search?newwindow=1&amp;ei=2MT0XrvGGM-vytMP1OyDgAY&amp;q=site%3Alinkedin.com+Cassandra+Duffenais+National+Student+Recruiter</t>
  </si>
  <si>
    <t>Cassandra Duffenais</t>
  </si>
  <si>
    <t>National Student Recruiter</t>
  </si>
  <si>
    <t>https://www.google.com/search?newwindow=1&amp;ei=2MT0XrvGGM-vytMP1OyDgAY&amp;q=site%3Alinkedin.com+Fátima+Lopes+International+Student+Recruiter/+Agent</t>
  </si>
  <si>
    <t>Fátima Lopes</t>
  </si>
  <si>
    <t>International Student Recruiter/ Agent</t>
  </si>
  <si>
    <t>Upper Madison College</t>
  </si>
  <si>
    <t>9 years 11 months in role and company</t>
  </si>
  <si>
    <t>https://www.google.com/search?newwindow=1&amp;ei=2MT0XrvGGM-vytMP1OyDgAY&amp;q=site%3Alinkedin.com+Trent+Harris+Student+Recruiter,+National+Recruitment</t>
  </si>
  <si>
    <t>Trent Harris</t>
  </si>
  <si>
    <t>Student Recruiter, National Recruitment</t>
  </si>
  <si>
    <t>https://www.google.com/search?newwindow=1&amp;ei=2MT0XrvGGM-vytMP1OyDgAY&amp;q=site%3Alinkedin.com+Maud+Madsen+National+Student+Recruiter</t>
  </si>
  <si>
    <t>Maud Madsen</t>
  </si>
  <si>
    <t>https://www.google.com/search?newwindow=1&amp;ei=2MT0XrvGGM-vytMP1OyDgAY&amp;q=site%3Alinkedin.com+Molly+Garstad+Student+Recruiter</t>
  </si>
  <si>
    <t>Molly Garstad</t>
  </si>
  <si>
    <t>https://www.google.com/search?newwindow=1&amp;ei=2MT0XrvGGM-vytMP1OyDgAY&amp;q=site%3Alinkedin.com+Adam+Jamal+Human+Resources+Recruiter+(Summer+Student)</t>
  </si>
  <si>
    <t>Adam Jamal</t>
  </si>
  <si>
    <t>Human Resources Recruiter (Summer Student)</t>
  </si>
  <si>
    <t>Durabuilt Windows &amp; Doors</t>
  </si>
  <si>
    <t>https://www.google.com/search?newwindow=1&amp;ei=2MT0XrvGGM-vytMP1OyDgAY&amp;q=site%3Alinkedin.com+Brooke+Davis+Student+Recruiter</t>
  </si>
  <si>
    <t>Brooke Davis</t>
  </si>
  <si>
    <t>NAIT</t>
  </si>
  <si>
    <t>https://www.google.com/search?newwindow=1&amp;ei=2MT0XrvGGM-vytMP1OyDgAY&amp;q=site%3Alinkedin.com+Cindy+Kennedy+Talent+Coordinator,+Associate+and+Student+Programs</t>
  </si>
  <si>
    <t>Cindy Kennedy</t>
  </si>
  <si>
    <t>Talent Coordinator, Associate and Student Programs</t>
  </si>
  <si>
    <t>Dentons Canada LLP</t>
  </si>
  <si>
    <t>https://www.google.com/search?newwindow=1&amp;ei=2MT0XrvGGM-vytMP1OyDgAY&amp;q=site%3Alinkedin.com+Kristy+Wuetherick+Senior+Officer,+Student+Programs+and+Services,+Faculty+of+Arts</t>
  </si>
  <si>
    <t>Kristy Wuetherick</t>
  </si>
  <si>
    <t>Senior Officer, Student Programs and Services, Faculty of Arts</t>
  </si>
  <si>
    <t>https://www.google.com/search?newwindow=1&amp;ei=2MT0XrvGGM-vytMP1OyDgAY&amp;q=site%3Alinkedin.com+Scott+Travis+Director,+Research+and+Programs</t>
  </si>
  <si>
    <t>Scott Travis</t>
  </si>
  <si>
    <t>Director, Research and Programs</t>
  </si>
  <si>
    <t>Alberta Rural Development Network (ARDN)</t>
  </si>
  <si>
    <t>https://www.google.com/search?newwindow=1&amp;ei=2MT0XrvGGM-vytMP1OyDgAY&amp;q=site%3Alinkedin.com+Yonas+B.+Gebrehiwot+PHD+Student</t>
  </si>
  <si>
    <t>Yonas B. Gebrehiwot</t>
  </si>
  <si>
    <t>PHD Student</t>
  </si>
  <si>
    <t>https://www.google.com/search?newwindow=1&amp;ei=2MT0XrvGGM-vytMP1OyDgAY&amp;q=site%3Alinkedin.com+Dallyce+Bialowas+Director+of+Programs+and+Student+Services</t>
  </si>
  <si>
    <t>Dallyce Bialowas</t>
  </si>
  <si>
    <t>Faculty of Pharmacy and Pharmaceutical Sciences at the University of Alberta</t>
  </si>
  <si>
    <t>https://www.google.com/search?newwindow=1&amp;ei=2MT0XrvGGM-vytMP1OyDgAY&amp;q=site%3Alinkedin.com+John+Jones+Rec+Tec+I+-+River+Valley+Programs</t>
  </si>
  <si>
    <t>John Jones</t>
  </si>
  <si>
    <t>Rec Tec I - River Valley Programs</t>
  </si>
  <si>
    <t>City of Edmonton</t>
  </si>
  <si>
    <t>https://www.google.com/search?newwindow=1&amp;ei=2MT0XrvGGM-vytMP1OyDgAY&amp;q=site%3Alinkedin.com+Rebecca+Nagel+Associate+Dean+(Student+Programs),+Faculty+of+Arts</t>
  </si>
  <si>
    <t>Rebecca Nagel</t>
  </si>
  <si>
    <t>Associate Dean (Student Programs), Faculty of Arts</t>
  </si>
  <si>
    <t>https://www.google.com/search?newwindow=1&amp;ei=2MT0XrvGGM-vytMP1OyDgAY&amp;q=site%3Alinkedin.com+Regina+Afable+Coordinator+of+Intercultural+Student+Programs</t>
  </si>
  <si>
    <t>Regina Afable</t>
  </si>
  <si>
    <t>Coordinator of Intercultural Student Programs</t>
  </si>
  <si>
    <t>The King's University</t>
  </si>
  <si>
    <t>https://www.google.com/search?newwindow=1&amp;ei=2MT0XrvGGM-vytMP1OyDgAY&amp;q=site%3Alinkedin.com+Rosie+Colangelo+Student+programs+assistant</t>
  </si>
  <si>
    <t>Rosie Colangelo</t>
  </si>
  <si>
    <t>Student programs assistant</t>
  </si>
  <si>
    <t>NAIT (Northern Alberta Institute of Technology)</t>
  </si>
  <si>
    <t>https://www.google.com/search?newwindow=1&amp;ei=2MT0XrvGGM-vytMP1OyDgAY&amp;q=site%3Alinkedin.com+Kayla+Hollihan+Coordinator+of+intercultural+Student+Programs</t>
  </si>
  <si>
    <t>Kayla Hollihan</t>
  </si>
  <si>
    <t>Coordinator of intercultural Student Programs</t>
  </si>
  <si>
    <t>https://www.google.com/search?newwindow=1&amp;ei=2MT0XrvGGM-vytMP1OyDgAY&amp;q=site%3Alinkedin.com+Kellie+Henderson+Graduate+and+Early+Careers+Recruitment+Manager</t>
  </si>
  <si>
    <t>Kellie Henderson</t>
  </si>
  <si>
    <t>Graduate and Early Careers Recruitment Manager</t>
  </si>
  <si>
    <t>Metaswitch Networks</t>
  </si>
  <si>
    <t>Enfield</t>
  </si>
  <si>
    <t>https://www.google.com/search?newwindow=1&amp;ei=2MT0XrvGGM-vytMP1OyDgAY&amp;q=site%3Alinkedin.com+Sophie+McNamara+Early+Careers+&amp;+Graduate+Recruiter</t>
  </si>
  <si>
    <t>Sophie McNamara</t>
  </si>
  <si>
    <t>Early Careers &amp; Graduate Recruiter</t>
  </si>
  <si>
    <t>https://www.google.com/search?newwindow=1&amp;ei=2MT0XrvGGM-vytMP1OyDgAY&amp;q=site%3Alinkedin.com+Gabriella+Ragno+Graduate+Recruiter</t>
  </si>
  <si>
    <t>Gabriella Ragno</t>
  </si>
  <si>
    <t>https://www.google.com/search?newwindow=1&amp;ei=2MT0XrvGGM-vytMP1OyDgAY&amp;q=site%3Alinkedin.com+Daniela+Goldberger+Campus+Recruiting+Coordinator</t>
  </si>
  <si>
    <t>Daniela Goldberger</t>
  </si>
  <si>
    <t>https://www.google.com/search?newwindow=1&amp;ei=2MT0XrvGGM-vytMP1OyDgAY&amp;q=site%3Alinkedin.com+Jane+Chafer+Director+of+Marketing,+Recruitment+(Students),+Communications+and+Global+at+the+University+of+Exeter</t>
  </si>
  <si>
    <t>Jane Chafer</t>
  </si>
  <si>
    <t>Director of Marketing, Recruitment (Students), Communications and Global at the University of Exeter</t>
  </si>
  <si>
    <t>University of Exeter</t>
  </si>
  <si>
    <t>Exeter</t>
  </si>
  <si>
    <t>https://www.google.com/search?newwindow=1&amp;ei=2MT0XrvGGM-vytMP1OyDgAY&amp;q=site%3Alinkedin.com+Natalie+March+Graduate+Recruiter</t>
  </si>
  <si>
    <t>Natalie March</t>
  </si>
  <si>
    <t>iTutorGroup</t>
  </si>
  <si>
    <t>https://www.google.com/search?newwindow=1&amp;ei=2MT0XrvGGM-vytMP1OyDgAY&amp;q=site%3Alinkedin.com+Annarose+Christakos+Campus+Recruiting+Coordinator</t>
  </si>
  <si>
    <t>Annarose Christakos</t>
  </si>
  <si>
    <t>https://www.google.com/search?newwindow=1&amp;ei=2MT0XrvGGM-vytMP1OyDgAY&amp;q=site%3Alinkedin.com+Kristin+Chase+Campus+Recruiting+Specialist</t>
  </si>
  <si>
    <t>Kristin Chase</t>
  </si>
  <si>
    <t>Fairfax Station</t>
  </si>
  <si>
    <t>https://www.google.com/search?newwindow=1&amp;ei=2MT0XrvGGM-vytMP1OyDgAY&amp;q=site%3Alinkedin.com+Samyra+Clarke+Campus+Recruiting+Operations+Lead,+Accenture+Federal+Services</t>
  </si>
  <si>
    <t>Samyra Clarke</t>
  </si>
  <si>
    <t>Campus Recruiting Operations Lead, Accenture Federal Services</t>
  </si>
  <si>
    <t>https://www.google.com/search?newwindow=1&amp;ei=2MT0XrvGGM-vytMP1OyDgAY&amp;q=site%3Alinkedin.com+Hayley+McCormack+Student+recruitment+and+Admissions+Co-ordinator+(Penryn+Campus)</t>
  </si>
  <si>
    <t>Hayley McCormack</t>
  </si>
  <si>
    <t>Student recruitment and Admissions Co-ordinator (Penryn Campus)</t>
  </si>
  <si>
    <t>Falmouth</t>
  </si>
  <si>
    <t>https://www.google.com/search?newwindow=1&amp;ei=2MT0XrvGGM-vytMP1OyDgAY&amp;q=site%3Alinkedin.com+Dawn+John+Northeast+Campus+Recruiting+Leader</t>
  </si>
  <si>
    <t>https://www.google.com/search?newwindow=1&amp;ei=2MT0XrvGGM-vytMP1OyDgAY&amp;q=site%3Alinkedin.com+Emily+Farrah,+CGSP+University,+D&amp;I+Recruiting+Project+Specialist</t>
  </si>
  <si>
    <t>Emily Farrah, CGSP</t>
  </si>
  <si>
    <t>University, D&amp;I Recruiting Project Specialist</t>
  </si>
  <si>
    <t>https://www.google.com/search?newwindow=1&amp;ei=2MT0XrvGGM-vytMP1OyDgAY&amp;q=site%3Alinkedin.com+Caitlin+Seccombe+Manager,+Recruiting</t>
  </si>
  <si>
    <t>https://www.google.com/search?newwindow=1&amp;ei=2MT0XrvGGM-vytMP1OyDgAY&amp;q=site%3Alinkedin.com+CJ+Giles+Senior+Recruiting+-+Global+and+Large+Enterprise+Sales</t>
  </si>
  <si>
    <t>https://www.google.com/search?newwindow=1&amp;ei=2MT0XrvGGM-vytMP1OyDgAY&amp;q=site%3Alinkedin.com+Amy+Curtin+Human+Capital+Recruiting+Manager</t>
  </si>
  <si>
    <t>https://www.google.com/search?newwindow=1&amp;ei=2MT0XrvGGM-vytMP1OyDgAY&amp;q=site%3Alinkedin.com+Taiesha+Olden+Campus+Recruiting+Coordinator,+Diversity+&amp;+Early+Engagement+Events</t>
  </si>
  <si>
    <t>Taiesha Olden</t>
  </si>
  <si>
    <t>https://www.google.com/search?newwindow=1&amp;ei=2MT0XrvGGM-vytMP1OyDgAY&amp;q=site%3Alinkedin.com+Alexandre+Tremblay,+CPA,+CA+Student+Programs+Coordinator</t>
  </si>
  <si>
    <t>Alexandre Tremblay, CPA, CA</t>
  </si>
  <si>
    <t>Office of the Auditor General of Canada</t>
  </si>
  <si>
    <t>Gatineau</t>
  </si>
  <si>
    <t>Quebec</t>
  </si>
  <si>
    <t>https://www.google.com/search?newwindow=1&amp;ei=2MT0XrvGGM-vytMP1OyDgAY&amp;q=site%3Alinkedin.com+Joelle+Plouffe+Student+Programs+Coordinator</t>
  </si>
  <si>
    <t>Joelle Plouffe</t>
  </si>
  <si>
    <t>Public Works and Government Services Canada</t>
  </si>
  <si>
    <t>https://www.google.com/search?newwindow=1&amp;ei=2MT0XrvGGM-vytMP1OyDgAY&amp;q=site%3Alinkedin.com+Anoosha+Mahmood+Graduate+Recruiter</t>
  </si>
  <si>
    <t>Anoosha Mahmood</t>
  </si>
  <si>
    <t>Glasgow</t>
  </si>
  <si>
    <t>https://www.google.com/search?newwindow=1&amp;ei=2MT0XrvGGM-vytMP1OyDgAY&amp;q=site%3Alinkedin.com+Daryl+Doyle+EMEA+Technology+Campus+Recruiter+-+HR+Corporate</t>
  </si>
  <si>
    <t>Daryl Doyle</t>
  </si>
  <si>
    <t>EMEA Technology Campus Recruiter - HR Corporate</t>
  </si>
  <si>
    <t>https://www.google.com/search?newwindow=1&amp;ei=2MT0XrvGGM-vytMP1OyDgAY&amp;q=site%3Alinkedin.com+Sarah+Donald+Campus+Recruiter-+Engineering</t>
  </si>
  <si>
    <t>Sarah Donald</t>
  </si>
  <si>
    <t>Campus Recruiter- Engineering</t>
  </si>
  <si>
    <t>https://www.google.com/search?newwindow=1&amp;ei=2MT0XrvGGM-vytMP1OyDgAY&amp;q=site%3Alinkedin.com+Shelley+O'Hare+Campus+Technology+Recruiter+at+Morgan+Stanley+(via+Alexander+Mann+Solutions)</t>
  </si>
  <si>
    <t>Shelley O'Hare</t>
  </si>
  <si>
    <t>Campus Technology Recruiter at Morgan Stanley (via Alexander Mann Solutions)</t>
  </si>
  <si>
    <t>https://www.google.com/search?newwindow=1&amp;ei=2MT0XrvGGM-vytMP1OyDgAY&amp;q=site%3Alinkedin.com+Rebecca+Usher+Graduate+Recruiter</t>
  </si>
  <si>
    <t>Rebecca Usher</t>
  </si>
  <si>
    <t>https://www.google.com/search?newwindow=1&amp;ei=2MT0XrvGGM-vytMP1OyDgAY&amp;q=site%3Alinkedin.com+Alan+Robertson+BA,+PG+Dip+CG,+FHEA+Careers+adviser,+coach,+motivator,+mentor;+university/industry+liaison+(careers/recruitment)</t>
  </si>
  <si>
    <t>Alan Robertson BA, PG Dip CG, FHEA</t>
  </si>
  <si>
    <t>Careers adviser, coach, motivator, mentor; university/industry liaison (careers/recruitment)</t>
  </si>
  <si>
    <t>Freelance</t>
  </si>
  <si>
    <t>https://www.google.com/search?newwindow=1&amp;ei=2MT0XrvGGM-vytMP1OyDgAY&amp;q=site%3Alinkedin.com+Fiona+McKerral+Senior+University+Partnerships+Recruiter</t>
  </si>
  <si>
    <t>Fiona McKerral</t>
  </si>
  <si>
    <t>Senior University Partnerships Recruiter</t>
  </si>
  <si>
    <t>https://www.google.com/search?newwindow=1&amp;ei=2MT0XrvGGM-vytMP1OyDgAY&amp;q=site%3Alinkedin.com+Alasdair+McKenzie+University+Partnerships+Consultant+&amp;+Graduate+Recruiter</t>
  </si>
  <si>
    <t>Alasdair McKenzie</t>
  </si>
  <si>
    <t>University Partnerships Consultant &amp; Graduate Recruiter</t>
  </si>
  <si>
    <t>https://www.google.com/search?newwindow=1&amp;ei=2MT0XrvGGM-vytMP1OyDgAY&amp;q=site%3Alinkedin.com+Nicola+Thomson+Campus+Recruiter+-+Finance,+Fund+Services+and+Apprenticeships</t>
  </si>
  <si>
    <t>Nicola Thomson</t>
  </si>
  <si>
    <t>Campus Recruiter - Finance, Fund Services and Apprenticeships</t>
  </si>
  <si>
    <t>https://www.google.com/search?newwindow=1&amp;ei=2MT0XrvGGM-vytMP1OyDgAY&amp;q=site%3Alinkedin.com+Andrew+Alexander+Graduate+Recruiter</t>
  </si>
  <si>
    <t>Andrew Alexander</t>
  </si>
  <si>
    <t>https://www.google.com/search?newwindow=1&amp;ei=2MT0XrvGGM-vytMP1OyDgAY&amp;q=site%3Alinkedin.com+Jenny+Mallon+Researcher+PHD+Student</t>
  </si>
  <si>
    <t>Jenny Mallon</t>
  </si>
  <si>
    <t>Researcher PHD Student</t>
  </si>
  <si>
    <t>University of Glasgow</t>
  </si>
  <si>
    <t>https://www.google.com/search?newwindow=1&amp;ei=2MT0XrvGGM-vytMP1OyDgAY&amp;q=site%3Alinkedin.com+Transatlantic+Sports+College+Sports+Recruiter</t>
  </si>
  <si>
    <t>Transatlantic Sports</t>
  </si>
  <si>
    <t>College Sports Recruiter</t>
  </si>
  <si>
    <t>https://www.google.com/search?newwindow=1&amp;ei=2MT0XrvGGM-vytMP1OyDgAY&amp;q=site%3Alinkedin.com+Tanisha+Moore+Sr.+Campus+Recruiting+Coordinator</t>
  </si>
  <si>
    <t>Tanisha Moore</t>
  </si>
  <si>
    <t>Sr. Campus Recruiting Coordinator</t>
  </si>
  <si>
    <t>https://www.google.com/search?newwindow=1&amp;ei=2MT0XrvGGM-vytMP1OyDgAY&amp;q=site%3Alinkedin.com+Courtney+Randall+Student+Advisor,+Student+Experience+-+Institute+of+Teaching+and+Learning+Innovation</t>
  </si>
  <si>
    <t>Courtney Randall</t>
  </si>
  <si>
    <t>Student Advisor, Student Experience - Institute of Teaching and Learning Innovation</t>
  </si>
  <si>
    <t>Gold Coast</t>
  </si>
  <si>
    <t>https://www.google.com/search?newwindow=1&amp;ei=2MT0XrvGGM-vytMP1OyDgAY&amp;q=site%3Alinkedin.com+Ron+Hamilton+University+Recruiter</t>
  </si>
  <si>
    <t>Ron Hamilton</t>
  </si>
  <si>
    <t>Government of Canada</t>
  </si>
  <si>
    <t>Golden Lake</t>
  </si>
  <si>
    <t>https://www.google.com/search?newwindow=1&amp;ei=2MT0XrvGGM-vytMP1OyDgAY&amp;q=site%3Alinkedin.com+Jay+Preston+Office+Managing+Partner</t>
  </si>
  <si>
    <t>Jay Preston</t>
  </si>
  <si>
    <t>Office Managing Partner</t>
  </si>
  <si>
    <t>https://www.google.com/search?newwindow=1&amp;ei=2MT0XrvGGM-vytMP1OyDgAY&amp;q=site%3Alinkedin.com+Melissa+Olson+Recruiting+Associate+Manager</t>
  </si>
  <si>
    <t>https://www.google.com/search?newwindow=1&amp;ei=2MT0XrvGGM-vytMP1OyDgAY&amp;q=site%3Alinkedin.com+Tori+Irvin+Campus+Recruiting+Specialist</t>
  </si>
  <si>
    <t>Tori Irvin</t>
  </si>
  <si>
    <t>Greenville</t>
  </si>
  <si>
    <t>https://www.google.com/search?newwindow=1&amp;ei=2MT0XrvGGM-vytMP1OyDgAY&amp;q=site%3Alinkedin.com+Jemal+Demeke+ABO+Blood+Typer/Student+Recruiter</t>
  </si>
  <si>
    <t>Jemal Demeke</t>
  </si>
  <si>
    <t>ABO Blood Typer/Student Recruiter</t>
  </si>
  <si>
    <t>Guelph</t>
  </si>
  <si>
    <t>https://www.google.com/search?newwindow=1&amp;ei=2MT0XrvGGM-vytMP1OyDgAY&amp;q=site%3Alinkedin.com+Simone+Ianniello+Customer+Programs+Assistant</t>
  </si>
  <si>
    <t>Simone Ianniello</t>
  </si>
  <si>
    <t>Customer Programs Assistant</t>
  </si>
  <si>
    <t>Kenna</t>
  </si>
  <si>
    <t>https://www.google.com/search?newwindow=1&amp;ei=2MT0XrvGGM-vytMP1OyDgAY&amp;q=site%3Alinkedin.com+Sophie+Bayless+Graduate+Recruiter</t>
  </si>
  <si>
    <t>Sophie Bayless</t>
  </si>
  <si>
    <t>Ideal Health Ltd</t>
  </si>
  <si>
    <t>Guildford</t>
  </si>
  <si>
    <t>https://www.google.com/search?newwindow=1&amp;ei=2MT0XrvGGM-vytMP1OyDgAY&amp;q=site%3Alinkedin.com+Adam+Robertson+Assistant+Vice+Provost+(Student+Affairs)+and+University+Registrar</t>
  </si>
  <si>
    <t>Adam Robertson</t>
  </si>
  <si>
    <t>Assistant Vice Provost (Student Affairs) and University Registrar</t>
  </si>
  <si>
    <t>Dalhousie University</t>
  </si>
  <si>
    <t>Halifax</t>
  </si>
  <si>
    <t>https://www.google.com/search?newwindow=1&amp;ei=2MT0XrvGGM-vytMP1OyDgAY&amp;q=site%3Alinkedin.com+Ruby+Boutilier+International+Recruiter+York+university</t>
  </si>
  <si>
    <t>Ruby Boutilier</t>
  </si>
  <si>
    <t>International Recruiter York university</t>
  </si>
  <si>
    <t>York University</t>
  </si>
  <si>
    <t>https://www.google.com/search?newwindow=1&amp;ei=2MT0XrvGGM-vytMP1OyDgAY&amp;q=site%3Alinkedin.com+Nia+MacFarlane+Student+Success+Leader+(Recruiter)</t>
  </si>
  <si>
    <t>Nia MacFarlane</t>
  </si>
  <si>
    <t>Student Success Leader (Recruiter)</t>
  </si>
  <si>
    <t>https://www.google.com/search?newwindow=1&amp;ei=2MT0XrvGGM-vytMP1OyDgAY&amp;q=site%3Alinkedin.com+Melissa+McDonald+Hiring+Recruiter</t>
  </si>
  <si>
    <t>Melissa McDonald</t>
  </si>
  <si>
    <t>Hiring Recruiter</t>
  </si>
  <si>
    <t>Kent Building Supplies</t>
  </si>
  <si>
    <t>https://www.google.com/search?newwindow=1&amp;ei=2MT0XrvGGM-vytMP1OyDgAY&amp;q=site%3Alinkedin.com+Matthew+Beal+Student+Programs+Coordinator</t>
  </si>
  <si>
    <t>Matthew Beal</t>
  </si>
  <si>
    <t>Saint Mary's University</t>
  </si>
  <si>
    <t>https://www.google.com/search?newwindow=1&amp;ei=2MT0XrvGGM-vytMP1OyDgAY&amp;q=site%3Alinkedin.com+Jennifer+E.+Hann+Director,+Mature+Student+Services+and+University+Prep/Pathways+Programs</t>
  </si>
  <si>
    <t>Jennifer E. Hann</t>
  </si>
  <si>
    <t>Director, Mature Student Services and University Prep/Pathways Programs</t>
  </si>
  <si>
    <t>17 years 7 months in role</t>
  </si>
  <si>
    <t>https://www.google.com/search?newwindow=1&amp;ei=2MT0XrvGGM-vytMP1OyDgAY&amp;q=site%3Alinkedin.com+Dawn+Cottreau+Director,+Student+&amp;+Paralegal+Programs</t>
  </si>
  <si>
    <t>Dawn Cottreau</t>
  </si>
  <si>
    <t>Director, Student &amp; Paralegal Programs</t>
  </si>
  <si>
    <t>Stewart McKelvey</t>
  </si>
  <si>
    <t>https://www.google.com/search?newwindow=1&amp;ei=2MT0XrvGGM-vytMP1OyDgAY&amp;q=site%3Alinkedin.com+Janet+Zed+Coordinator,+Student+Programs+and+Lawyer+Development</t>
  </si>
  <si>
    <t>Janet Zed</t>
  </si>
  <si>
    <t>Coordinator, Student Programs and Lawyer Development</t>
  </si>
  <si>
    <t>https://www.google.com/search?newwindow=1&amp;ei=2MT0XrvGGM-vytMP1OyDgAY&amp;q=site%3Alinkedin.com+Jackie+Fricke+Campus+Recruiting+Coordinator</t>
  </si>
  <si>
    <t>Jackie Fricke</t>
  </si>
  <si>
    <t>Hamel</t>
  </si>
  <si>
    <t>https://www.google.com/search?newwindow=1&amp;ei=2MT0XrvGGM-vytMP1OyDgAY&amp;q=site%3Alinkedin.com+Sandy+Willett+Student+Recruiter</t>
  </si>
  <si>
    <t>Sandy Willett</t>
  </si>
  <si>
    <t>Mohawk College</t>
  </si>
  <si>
    <t>Hamilton</t>
  </si>
  <si>
    <t>https://www.google.com/search?newwindow=1&amp;ei=2MT0XrvGGM-vytMP1OyDgAY&amp;q=site%3Alinkedin.com+Brittney+McManus+Coordinator,+Student+Programs</t>
  </si>
  <si>
    <t>Brittney McManus</t>
  </si>
  <si>
    <t>Coordinator, Student Programs</t>
  </si>
  <si>
    <t>https://www.google.com/search?newwindow=1&amp;ei=2MT0XrvGGM-vytMP1OyDgAY&amp;q=site%3Alinkedin.com+Anna+Magnotta+Manager,+Experiential+Programs</t>
  </si>
  <si>
    <t>Anna Magnotta</t>
  </si>
  <si>
    <t>Manager, Experiential Programs</t>
  </si>
  <si>
    <t>https://www.google.com/search?newwindow=1&amp;ei=2MT0XrvGGM-vytMP1OyDgAY&amp;q=site%3Alinkedin.com+Victoria+Wylie+Support+Officer+-+P.A.S.S.+(Peer+Assisted+Study+Sessions)+&amp;+Student+Success+Programs</t>
  </si>
  <si>
    <t>Victoria Wylie</t>
  </si>
  <si>
    <t>Support Officer - P.A.S.S. (Peer Assisted Study Sessions) &amp; Student Success Programs</t>
  </si>
  <si>
    <t>https://www.google.com/search?newwindow=1&amp;ei=2MT0XrvGGM-vytMP1OyDgAY&amp;q=site%3Alinkedin.com+Darlene+Edmonds+Regional+Community+Development+Coordinator+for+Student+Nutrition+Programs</t>
  </si>
  <si>
    <t>Darlene Edmonds</t>
  </si>
  <si>
    <t>Regional Community Development Coordinator for Student Nutrition Programs</t>
  </si>
  <si>
    <t>Haldimand Norfolk REACH</t>
  </si>
  <si>
    <t>12 years  in role and company</t>
  </si>
  <si>
    <t>https://www.google.com/search?newwindow=1&amp;ei=2MT0XrvGGM-vytMP1OyDgAY&amp;q=site%3Alinkedin.com+Sarah+Ocasio+Vice+President,+Campus+Recruiting</t>
  </si>
  <si>
    <t>https://www.google.com/search?newwindow=1&amp;ei=2MT0XrvGGM-vytMP1OyDgAY&amp;q=site%3Alinkedin.com+Richard+Abel+III+Senior+Campus+Recruiting+Specialist</t>
  </si>
  <si>
    <t>Richard Abel III</t>
  </si>
  <si>
    <t>Harrisburg</t>
  </si>
  <si>
    <t>https://www.google.com/search?newwindow=1&amp;ei=2MT0XrvGGM-vytMP1OyDgAY&amp;q=site%3Alinkedin.com+Tom+Young+University+Recruitment+Manager</t>
  </si>
  <si>
    <t>Tom Young</t>
  </si>
  <si>
    <t>University Recruitment Manager</t>
  </si>
  <si>
    <t>Harrogate</t>
  </si>
  <si>
    <t>https://www.google.com/search?newwindow=1&amp;ei=2MT0XrvGGM-vytMP1OyDgAY&amp;q=site%3Alinkedin.com+Eileen+Seal+Employability+and+Recruitment+Adviser</t>
  </si>
  <si>
    <t>Eileen Seal</t>
  </si>
  <si>
    <t>Employability and Recruitment Adviser</t>
  </si>
  <si>
    <t>Exemplas</t>
  </si>
  <si>
    <t>Hatfield</t>
  </si>
  <si>
    <t>https://www.google.com/search?newwindow=1&amp;ei=2MT0XrvGGM-vytMP1OyDgAY&amp;q=site%3Alinkedin.com+Kim+Mariani,+MBA+Campus+Recruiting+Coordinator</t>
  </si>
  <si>
    <t>Kim Mariani, MBA</t>
  </si>
  <si>
    <t>Havertown</t>
  </si>
  <si>
    <t>https://www.google.com/search?newwindow=1&amp;ei=2MT0XrvGGM-vytMP1OyDgAY&amp;q=site%3Alinkedin.com+Imroz+Shaikh+Master+Student</t>
  </si>
  <si>
    <t>Imroz Shaikh</t>
  </si>
  <si>
    <t>Master Student</t>
  </si>
  <si>
    <t>Study Break</t>
  </si>
  <si>
    <t>Hemel Hempstead</t>
  </si>
  <si>
    <t>https://www.google.com/search?newwindow=1&amp;ei=2MT0XrvGGM-vytMP1OyDgAY&amp;q=site%3Alinkedin.com+Scott+Henderson+Student+Recruiter</t>
  </si>
  <si>
    <t>Scott Henderson</t>
  </si>
  <si>
    <t>University of Sunderland</t>
  </si>
  <si>
    <t>Hetton-le-Hole</t>
  </si>
  <si>
    <t>https://www.google.com/search?newwindow=1&amp;ei=2MT0XrvGGM-vytMP1OyDgAY&amp;q=site%3Alinkedin.com+Georgia+Finlayson+Student+Peer+Mentoring+Programs+Coordinator</t>
  </si>
  <si>
    <t>Georgia Finlayson</t>
  </si>
  <si>
    <t>Student Peer Mentoring Programs Coordinator</t>
  </si>
  <si>
    <t>Monash University</t>
  </si>
  <si>
    <t>Highett</t>
  </si>
  <si>
    <t>https://www.google.com/search?newwindow=1&amp;ei=2MT0XrvGGM-vytMP1OyDgAY&amp;q=site%3Alinkedin.com+Mia+Friederich+Campus+Recruiting+Coordinator</t>
  </si>
  <si>
    <t>Mia Friederich</t>
  </si>
  <si>
    <t>Highland</t>
  </si>
  <si>
    <t>https://www.google.com/search?newwindow=1&amp;ei=2MT0XrvGGM-vytMP1OyDgAY&amp;q=site%3Alinkedin.com+Kristina+Scutari+Campus+Recruiting+Manager</t>
  </si>
  <si>
    <t>https://www.google.com/search?newwindow=1&amp;ei=2MT0XrvGGM-vytMP1OyDgAY&amp;q=site%3Alinkedin.com+Kathleen+Corrigan+Campus+Recruiting+Assistant+Director</t>
  </si>
  <si>
    <t>Kathleen Corrigan</t>
  </si>
  <si>
    <t>Campus Recruiting Assistant Director</t>
  </si>
  <si>
    <t>https://www.google.com/search?newwindow=1&amp;ei=2MT0XrvGGM-vytMP1OyDgAY&amp;q=site%3Alinkedin.com+Morgan+Liss+FSO+Assurance+Campus+Recruiter</t>
  </si>
  <si>
    <t>https://www.google.com/search?newwindow=1&amp;ei=2MT0XrvGGM-vytMP1OyDgAY&amp;q=site%3Alinkedin.com+Carlos+Pereira,+MPA+Campus+Recruiting</t>
  </si>
  <si>
    <t>Carlos Pereira, MPA</t>
  </si>
  <si>
    <t>https://www.google.com/search?newwindow=1&amp;ei=2MT0XrvGGM-vytMP1OyDgAY&amp;q=site%3Alinkedin.com+Katie+Doerer,+MBA+Campus+Recruiting+Manager</t>
  </si>
  <si>
    <t>https://www.google.com/search?newwindow=1&amp;ei=2MT0XrvGGM-vytMP1OyDgAY&amp;q=site%3Alinkedin.com+Liliana+Cruz+Campus+Recruiting+Specialist</t>
  </si>
  <si>
    <t>Liliana Cruz</t>
  </si>
  <si>
    <t>https://www.google.com/search?newwindow=1&amp;ei=2MT0XrvGGM-vytMP1OyDgAY&amp;q=site%3Alinkedin.com+Zoie+Castellanos+Campus+Recruiting+Coordinator</t>
  </si>
  <si>
    <t>Zoie Castellanos</t>
  </si>
  <si>
    <t>https://www.google.com/search?newwindow=1&amp;ei=2MT0XrvGGM-vytMP1OyDgAY&amp;q=site%3Alinkedin.com+Shelby+Edmoundson+Campus+Recruiting-Senior+Associate</t>
  </si>
  <si>
    <t>Shelby Edmoundson</t>
  </si>
  <si>
    <t>Campus Recruiting-Senior Associate</t>
  </si>
  <si>
    <t>https://www.google.com/search?newwindow=1&amp;ei=2MT0XrvGGM-vytMP1OyDgAY&amp;q=site%3Alinkedin.com+Kelly+Wray+Senior+Campus+Recruiting+Specialist</t>
  </si>
  <si>
    <t>Kelly Wray</t>
  </si>
  <si>
    <t>https://www.google.com/search?newwindow=1&amp;ei=2MT0XrvGGM-vytMP1OyDgAY&amp;q=site%3Alinkedin.com+Gabrielle+Leal+Senior+Campus+Recruiting+Specialist</t>
  </si>
  <si>
    <t>Gabrielle Leal</t>
  </si>
  <si>
    <t>https://www.google.com/search?newwindow=1&amp;ei=2MT0XrvGGM-vytMP1OyDgAY&amp;q=site%3Alinkedin.com+Claire+Bourgeois+Senior+Campus+Recruiting+Specialist</t>
  </si>
  <si>
    <t>Claire Bourgeois</t>
  </si>
  <si>
    <t>https://www.google.com/search?newwindow=1&amp;ei=2MT0XrvGGM-vytMP1OyDgAY&amp;q=site%3Alinkedin.com+Sydney+Ziober+Campus+Recruiting+Coordinator</t>
  </si>
  <si>
    <t>Sydney Ziober</t>
  </si>
  <si>
    <t>https://www.google.com/search?newwindow=1&amp;ei=2MT0XrvGGM-vytMP1OyDgAY&amp;q=site%3Alinkedin.com+Nicole+Yogi+Audit+Primary+Recruiter,+Campus+Recruiting</t>
  </si>
  <si>
    <t>https://www.google.com/search?newwindow=1&amp;ei=2MT0XrvGGM-vytMP1OyDgAY&amp;q=site%3Alinkedin.com+Didi+Itauma+Associate,+Area+Campus+Recruiting+Coordinator</t>
  </si>
  <si>
    <t>Didi Itauma</t>
  </si>
  <si>
    <t>Associate, Area Campus Recruiting Coordinator</t>
  </si>
  <si>
    <t>https://www.google.com/search?newwindow=1&amp;ei=2MT0XrvGGM-vytMP1OyDgAY&amp;q=site%3Alinkedin.com+Danielle+Quintanilla,+MSHRM+Campus+Recruiting+Coordinator,+Software+Engineer+Program</t>
  </si>
  <si>
    <t>Danielle Quintanilla, MSHRM</t>
  </si>
  <si>
    <t>Campus Recruiting Coordinator, Software Engineer Program</t>
  </si>
  <si>
    <t>https://www.google.com/search?newwindow=1&amp;ei=2MT0XrvGGM-vytMP1OyDgAY&amp;q=site%3Alinkedin.com+Daniel+Muro+Senior+Campus+Recruiting+Coordinator</t>
  </si>
  <si>
    <t>Daniel Muro</t>
  </si>
  <si>
    <t>https://www.google.com/search?newwindow=1&amp;ei=2MT0XrvGGM-vytMP1OyDgAY&amp;q=site%3Alinkedin.com+Natalie+Holland,+CPA+Primary+Tax+Recruiter+-+Campus+Recruiting</t>
  </si>
  <si>
    <t>https://www.google.com/search?newwindow=1&amp;ei=2MT0XrvGGM-vytMP1OyDgAY&amp;q=site%3Alinkedin.com+Taylor+Lyons+Campus+Recruiting+Coordinator</t>
  </si>
  <si>
    <t>Taylor Lyons</t>
  </si>
  <si>
    <t>https://www.google.com/search?newwindow=1&amp;ei=2MT0XrvGGM-vytMP1OyDgAY&amp;q=site%3Alinkedin.com+Lauren+Selwyn+Campus+Recruiting+Specialist</t>
  </si>
  <si>
    <t>Lauren Selwyn</t>
  </si>
  <si>
    <t>https://www.google.com/search?newwindow=1&amp;ei=2MT0XrvGGM-vytMP1OyDgAY&amp;q=site%3Alinkedin.com+Meredith+Feltmann+Senior+Campus+Recruiting+Specialist</t>
  </si>
  <si>
    <t>Meredith Feltmann</t>
  </si>
  <si>
    <t>https://www.google.com/search?newwindow=1&amp;ei=2MT0XrvGGM-vytMP1OyDgAY&amp;q=site%3Alinkedin.com+Eliza+Coleman+Assistant+Director,+Americas+Technology+Consultant,+Campus+Recruiting+Operations</t>
  </si>
  <si>
    <t>Eliza Coleman</t>
  </si>
  <si>
    <t>Assistant Director, Americas Technology Consultant, Campus Recruiting Operations</t>
  </si>
  <si>
    <t>https://www.google.com/search?newwindow=1&amp;ei=2MT0XrvGGM-vytMP1OyDgAY&amp;q=site%3Alinkedin.com+Jessica+Maurer+Associate+Director+Campus+Recruiting</t>
  </si>
  <si>
    <t>Jessica Maurer</t>
  </si>
  <si>
    <t>Associate Director Campus Recruiting</t>
  </si>
  <si>
    <t>https://www.google.com/search?newwindow=1&amp;ei=2MT0XrvGGM-vytMP1OyDgAY&amp;q=site%3Alinkedin.com+Ruth+Brooks+Subject+Leader+Management+and+International+Recruitment+Manager++at+University+of+Huddersfield</t>
  </si>
  <si>
    <t>Ruth Brooks</t>
  </si>
  <si>
    <t>Subject Leader Management and International Recruitment Manager  at University of Huddersfield</t>
  </si>
  <si>
    <t>The University of Huddersfield</t>
  </si>
  <si>
    <t>15 years 3 months in role and company</t>
  </si>
  <si>
    <t>Huddersfield</t>
  </si>
  <si>
    <t>https://www.google.com/search?newwindow=1&amp;ei=2MT0XrvGGM-vytMP1OyDgAY&amp;q=site%3Alinkedin.com+Caroline+Foret+Senior+Recruiting+Coordinator</t>
  </si>
  <si>
    <t>Caroline Foret</t>
  </si>
  <si>
    <t>Senior Recruiting Coordinator</t>
  </si>
  <si>
    <t>Huntsville</t>
  </si>
  <si>
    <t>https://www.google.com/search?newwindow=1&amp;ei=2MT0XrvGGM-vytMP1OyDgAY&amp;q=site%3Alinkedin.com+Jay+Grothause+Talent+Acquisition,+Campus+Recruiting+Associate</t>
  </si>
  <si>
    <t>Jay Grothause</t>
  </si>
  <si>
    <t>Talent Acquisition, Campus Recruiting Associate</t>
  </si>
  <si>
    <t>https://www.google.com/search?newwindow=1&amp;ei=2MT0XrvGGM-vytMP1OyDgAY&amp;q=site%3Alinkedin.com+Mary+Kohr+Campus+Recruiting+Coordinator</t>
  </si>
  <si>
    <t>Mary Kohr</t>
  </si>
  <si>
    <t>https://www.google.com/search?newwindow=1&amp;ei=2MT0XrvGGM-vytMP1OyDgAY&amp;q=site%3Alinkedin.com+Roshni+Naik+Campus+Recruiting+Coordinator</t>
  </si>
  <si>
    <t>Roshni Naik</t>
  </si>
  <si>
    <t>https://www.google.com/search?newwindow=1&amp;ei=2MT0XrvGGM-vytMP1OyDgAY&amp;q=site%3Alinkedin.com+Vicki+Mok+Senior+UK&amp;APAC+Graduate+Recruiter</t>
  </si>
  <si>
    <t>Vicki Mok</t>
  </si>
  <si>
    <t>Senior UK&amp;APAC Graduate Recruiter</t>
  </si>
  <si>
    <t>Isleworth</t>
  </si>
  <si>
    <t>https://www.google.com/search?newwindow=1&amp;ei=2MT0XrvGGM-vytMP1OyDgAY&amp;q=site%3Alinkedin.com+Verlandy+Michel+MBA+Recruiter</t>
  </si>
  <si>
    <t>Verlandy Michel</t>
  </si>
  <si>
    <t>Ithaca</t>
  </si>
  <si>
    <t>https://www.google.com/search?newwindow=1&amp;ei=2MT0XrvGGM-vytMP1OyDgAY&amp;q=site%3Alinkedin.com+Darshana+Rao+Campus+Recruiting+Diversity+Events+Specialist</t>
  </si>
  <si>
    <t>Darshana Rao</t>
  </si>
  <si>
    <t>Campus Recruiting Diversity Events Specialist</t>
  </si>
  <si>
    <t>https://www.google.com/search?newwindow=1&amp;ei=2MT0XrvGGM-vytMP1OyDgAY&amp;q=site%3Alinkedin.com+Gabi+Scollon+Senior+Student+Recruiter-Advisor</t>
  </si>
  <si>
    <t>Gabi Scollon</t>
  </si>
  <si>
    <t>Senior Student Recruiter-Advisor</t>
  </si>
  <si>
    <t>Kamloops</t>
  </si>
  <si>
    <t>https://www.google.com/search?newwindow=1&amp;ei=2MT0XrvGGM-vytMP1OyDgAY&amp;q=site%3Alinkedin.com+Elizabeth+Li+International+Student+Recruiter/Cultural+Advisor</t>
  </si>
  <si>
    <t>Elizabeth Li</t>
  </si>
  <si>
    <t>International Student Recruiter/Cultural Advisor</t>
  </si>
  <si>
    <t>https://www.google.com/search?newwindow=1&amp;ei=2MT0XrvGGM-vytMP1OyDgAY&amp;q=site%3Alinkedin.com+Jessi+Guercio+Student+Recruiter+&amp;+Enrolment+Representitive</t>
  </si>
  <si>
    <t>Jessi Guercio</t>
  </si>
  <si>
    <t>Student Recruiter &amp; Enrolment Representitive</t>
  </si>
  <si>
    <t>https://www.google.com/search?newwindow=1&amp;ei=2MT0XrvGGM-vytMP1OyDgAY&amp;q=site%3Alinkedin.com+Ashley+MacLellan+Qelmúcw+Student+Recruiter-Advisor</t>
  </si>
  <si>
    <t>Ashley MacLellan</t>
  </si>
  <si>
    <t>Qelmúcw Student Recruiter-Advisor</t>
  </si>
  <si>
    <t>https://www.google.com/search?newwindow=1&amp;ei=2MT0XrvGGM-vytMP1OyDgAY&amp;q=site%3Alinkedin.com+Kyri+Gorges+Manager,+Campus+Recruiting</t>
  </si>
  <si>
    <t>https://www.google.com/search?newwindow=1&amp;ei=2MT0XrvGGM-vytMP1OyDgAY&amp;q=site%3Alinkedin.com+Angie+Adeyemo+Deal+Advisory+Intern</t>
  </si>
  <si>
    <t>Angie Adeyemo</t>
  </si>
  <si>
    <t>Deal Advisory Intern</t>
  </si>
  <si>
    <t>https://www.google.com/search?newwindow=1&amp;ei=2MT0XrvGGM-vytMP1OyDgAY&amp;q=site%3Alinkedin.com+Kalil+S.+Australian+Education+Counselor/++International+Student+Recruiter+/+Australian+Migration+Advisor</t>
  </si>
  <si>
    <t>Kalil S.</t>
  </si>
  <si>
    <t>Australian Education Counselor/  International Student Recruiter / Australian Migration Advisor</t>
  </si>
  <si>
    <t>Hidayah Global Australian Education and Migration Services</t>
  </si>
  <si>
    <t>Kealba</t>
  </si>
  <si>
    <t>https://www.google.com/search?newwindow=1&amp;ei=2MT0XrvGGM-vytMP1OyDgAY&amp;q=site%3Alinkedin.com+Katrina+Iuvancigh+International+Student+Recruiter+and+Advisor,+Asia+&amp;+Europe</t>
  </si>
  <si>
    <t>Katrina Iuvancigh</t>
  </si>
  <si>
    <t>International Student Recruiter and Advisor, Asia &amp; Europe</t>
  </si>
  <si>
    <t>Kelowna</t>
  </si>
  <si>
    <t>https://www.google.com/search?newwindow=1&amp;ei=2MT0XrvGGM-vytMP1OyDgAY&amp;q=site%3Alinkedin.com+Marleen+Ozel+Associate+International+Student+Recruiter</t>
  </si>
  <si>
    <t>Marleen Ozel</t>
  </si>
  <si>
    <t>Associate International Student Recruiter</t>
  </si>
  <si>
    <t>https://www.google.com/search?newwindow=1&amp;ei=2MT0XrvGGM-vytMP1OyDgAY&amp;q=site%3Alinkedin.com+Dayna+Li+International+Student+Recruiter/Advisor</t>
  </si>
  <si>
    <t>Dayna Li</t>
  </si>
  <si>
    <t>International Student Recruiter/Advisor</t>
  </si>
  <si>
    <t>https://www.google.com/search?newwindow=1&amp;ei=2MT0XrvGGM-vytMP1OyDgAY&amp;q=site%3Alinkedin.com+Cherry+Wang+International+Recruiter+&amp;+Advisor+-+eRecruitment</t>
  </si>
  <si>
    <t>Cherry Wang</t>
  </si>
  <si>
    <t>International Recruiter &amp; Advisor - eRecruitment</t>
  </si>
  <si>
    <t>https://www.google.com/search?newwindow=1&amp;ei=2MT0XrvGGM-vytMP1OyDgAY&amp;q=site%3Alinkedin.com+Hilary+Leigh+Student+Recruiter-Advisor</t>
  </si>
  <si>
    <t>Hilary Leigh</t>
  </si>
  <si>
    <t>https://www.google.com/search?newwindow=1&amp;ei=2MT0XrvGGM-vytMP1OyDgAY&amp;q=site%3Alinkedin.com+Monica+Stewart+Queen's+University+Representative+on+the+Kingston+Immigration+Partnership+Council</t>
  </si>
  <si>
    <t>Monica Stewart</t>
  </si>
  <si>
    <t>Queen's University Representative on the Kingston Immigration Partnership Council</t>
  </si>
  <si>
    <t>11 years 2 months in role</t>
  </si>
  <si>
    <t>https://www.google.com/search?newwindow=1&amp;ei=2MT0XrvGGM-vytMP1OyDgAY&amp;q=site%3Alinkedin.com+Hanna+Bathurst+Coordinator:+Student+Programs+&amp;+Volunteers</t>
  </si>
  <si>
    <t>Hanna Bathurst</t>
  </si>
  <si>
    <t>Coordinator: Student Programs &amp; Volunteers</t>
  </si>
  <si>
    <t>Queen's University International Centre</t>
  </si>
  <si>
    <t>11 years 6 months in role and company</t>
  </si>
  <si>
    <t>https://www.google.com/search?newwindow=1&amp;ei=2MT0XrvGGM-vytMP1OyDgAY&amp;q=site%3Alinkedin.com+Sam+Nicholls+History+Department+Student+Council+Co-President</t>
  </si>
  <si>
    <t>Sam Nicholls</t>
  </si>
  <si>
    <t>History Department Student Council Co-President</t>
  </si>
  <si>
    <t>https://www.google.com/search?newwindow=1&amp;ei=2MT0XrvGGM-vytMP1OyDgAY&amp;q=site%3Alinkedin.com+Catherine+Perkins+Senior+Welfare+Officer,+Durham+University</t>
  </si>
  <si>
    <t>Catherine Perkins</t>
  </si>
  <si>
    <t>Senior Welfare Officer, Durham University</t>
  </si>
  <si>
    <t>University of Durham, St John's College</t>
  </si>
  <si>
    <t>Kingston upon Thames</t>
  </si>
  <si>
    <t>https://www.google.com/search?newwindow=1&amp;ei=2MT0XrvGGM-vytMP1OyDgAY&amp;q=site%3Alinkedin.com+Yasir+Mahdi+Graduate+Recruiter</t>
  </si>
  <si>
    <t>Yasir Mahdi</t>
  </si>
  <si>
    <t>Unlocked Graduates</t>
  </si>
  <si>
    <t>https://www.google.com/search?newwindow=1&amp;ei=2MT0XrvGGM-vytMP1OyDgAY&amp;q=site%3Alinkedin.com+Leanna+Glen+Mental+Health+Student+Nurse</t>
  </si>
  <si>
    <t>Leanna Glen</t>
  </si>
  <si>
    <t>Mental Health Student Nurse</t>
  </si>
  <si>
    <t>Abertay University</t>
  </si>
  <si>
    <t>Kirkcaldy</t>
  </si>
  <si>
    <t>https://www.google.com/search?newwindow=1&amp;ei=2MT0XrvGGM-vytMP1OyDgAY&amp;q=site%3Alinkedin.com+Paul+Shevsky+Campus+Recruiter</t>
  </si>
  <si>
    <t>Paul Shevsky</t>
  </si>
  <si>
    <t>Shopify</t>
  </si>
  <si>
    <t>Kitchener</t>
  </si>
  <si>
    <t>https://www.google.com/search?newwindow=1&amp;ei=2MT0XrvGGM-vytMP1OyDgAY&amp;q=site%3Alinkedin.com+Elizabeth+Arcila+International+Student+Recruiter</t>
  </si>
  <si>
    <t>Elizabeth Arcila</t>
  </si>
  <si>
    <t>Estudia en Canada OSE</t>
  </si>
  <si>
    <t>https://www.google.com/search?newwindow=1&amp;ei=2MT0XrvGGM-vytMP1OyDgAY&amp;q=site%3Alinkedin.com+Kerri+Kudsia+College+Recruiter</t>
  </si>
  <si>
    <t>Kerri Kudsia</t>
  </si>
  <si>
    <t>https://www.google.com/search?newwindow=1&amp;ei=2MT0XrvGGM-vytMP1OyDgAY&amp;q=site%3Alinkedin.com+Janina+Robinson+Degree+Programs+Consultant</t>
  </si>
  <si>
    <t>Janina Robinson</t>
  </si>
  <si>
    <t>Degree Programs Consultant</t>
  </si>
  <si>
    <t>Conestoga College</t>
  </si>
  <si>
    <t>https://www.google.com/search?newwindow=1&amp;ei=2MT0XrvGGM-vytMP1OyDgAY&amp;q=site%3Alinkedin.com+Eden+Hennessey+Manager,+Student+Centre+for+Equity,+Diversity+and+Inclusion</t>
  </si>
  <si>
    <t>Eden Hennessey</t>
  </si>
  <si>
    <t>Manager, Student Centre for Equity, Diversity and Inclusion</t>
  </si>
  <si>
    <t>https://www.google.com/search?newwindow=1&amp;ei=2MT0XrvGGM-vytMP1OyDgAY&amp;q=site%3Alinkedin.com+Mira+H.+Confernce+Programs+Summer+Student</t>
  </si>
  <si>
    <t>Mira H.</t>
  </si>
  <si>
    <t>Confernce Programs Summer Student</t>
  </si>
  <si>
    <t>Perimeter Institute</t>
  </si>
  <si>
    <t>https://www.google.com/search?newwindow=1&amp;ei=2MT0XrvGGM-vytMP1OyDgAY&amp;q=site%3Alinkedin.com+Spring+Wei-Hsuan+Su+Adult+programs+instructor</t>
  </si>
  <si>
    <t>Spring Wei-Hsuan Su</t>
  </si>
  <si>
    <t>Adult programs instructor</t>
  </si>
  <si>
    <t>A.R. Kaufman Family YMCA</t>
  </si>
  <si>
    <t>https://www.google.com/search?newwindow=1&amp;ei=2MT0XrvGGM-vytMP1OyDgAY&amp;q=site%3Alinkedin.com+Dolorez+Dumas-Aris+Campus+Recruiting+Manager</t>
  </si>
  <si>
    <t>https://www.google.com/search?newwindow=1&amp;ei=2MT0XrvGGM-vytMP1OyDgAY&amp;q=site%3Alinkedin.com+Hannah+Monaghan+Recruitment+and+Conversion+Officer,+Lancaster+University+Management+School</t>
  </si>
  <si>
    <t>Hannah Monaghan</t>
  </si>
  <si>
    <t>Recruitment and Conversion Officer, Lancaster University Management School</t>
  </si>
  <si>
    <t>Lancaster University Management School</t>
  </si>
  <si>
    <t>Lancaster</t>
  </si>
  <si>
    <t>https://www.google.com/search?newwindow=1&amp;ei=2MT0XrvGGM-vytMP1OyDgAY&amp;q=site%3Alinkedin.com+Yu+Wang+International+Student+Programs+Associate</t>
  </si>
  <si>
    <t>Yu Wang</t>
  </si>
  <si>
    <t>International Student Programs Associate</t>
  </si>
  <si>
    <t>Trinity Western University</t>
  </si>
  <si>
    <t>Langley</t>
  </si>
  <si>
    <t>https://www.google.com/search?newwindow=1&amp;ei=2MT0XrvGGM-vytMP1OyDgAY&amp;q=site%3Alinkedin.com+Jennifer+Kaniewski+HR+&amp;+Campus+Recruiting+Manager</t>
  </si>
  <si>
    <t>https://www.google.com/search?newwindow=1&amp;ei=2MT0XrvGGM-vytMP1OyDgAY&amp;q=site%3Alinkedin.com+Melissa+Ventura+Vice+President+Human+Resources+-+Technology+Campus+Recruiting</t>
  </si>
  <si>
    <t>Melissa Ventura</t>
  </si>
  <si>
    <t>Vice President Human Resources - Technology Campus Recruiting</t>
  </si>
  <si>
    <t>Laval</t>
  </si>
  <si>
    <t>https://www.google.com/search?newwindow=1&amp;ei=2MT0XrvGGM-vytMP1OyDgAY&amp;q=site%3Alinkedin.com+Arthur+Barron+Director+Of+Student+Services</t>
  </si>
  <si>
    <t>Arthur Barron</t>
  </si>
  <si>
    <t>Director Of Student Services</t>
  </si>
  <si>
    <t>St. Clair College</t>
  </si>
  <si>
    <t>Leamington</t>
  </si>
  <si>
    <t>https://www.google.com/search?newwindow=1&amp;ei=2MT0XrvGGM-vytMP1OyDgAY&amp;q=site%3Alinkedin.com+Lindsey+Price+Campus+Recruiting+Specialist</t>
  </si>
  <si>
    <t>Lindsey Price</t>
  </si>
  <si>
    <t>Leawood</t>
  </si>
  <si>
    <t>https://www.google.com/search?newwindow=1&amp;ei=2MT0XrvGGM-vytMP1OyDgAY&amp;q=site%3Alinkedin.com+Oliver+Churchill+University+Recruitment+Specialist</t>
  </si>
  <si>
    <t>Oliver Churchill</t>
  </si>
  <si>
    <t>University Recruitment Specialist</t>
  </si>
  <si>
    <t>Covance</t>
  </si>
  <si>
    <t>Leeds</t>
  </si>
  <si>
    <t>https://www.google.com/search?newwindow=1&amp;ei=2MT0XrvGGM-vytMP1OyDgAY&amp;q=site%3Alinkedin.com+Molly+French+Senior+Graduate+Recruiter</t>
  </si>
  <si>
    <t>Molly French</t>
  </si>
  <si>
    <t>Senior Graduate Recruiter</t>
  </si>
  <si>
    <t>https://www.google.com/search?newwindow=1&amp;ei=2MT0XrvGGM-vytMP1OyDgAY&amp;q=site%3Alinkedin.com+Sheldan+Bristol-Walton+University+Partnership+&amp;+Recruitment</t>
  </si>
  <si>
    <t>Sheldan Bristol-Walton</t>
  </si>
  <si>
    <t>University Partnership &amp; Recruitment</t>
  </si>
  <si>
    <t>https://www.google.com/search?newwindow=1&amp;ei=2MT0XrvGGM-vytMP1OyDgAY&amp;q=site%3Alinkedin.com+Isel+Abdellatif+University+Partnership+and+Recruitment+Consultant</t>
  </si>
  <si>
    <t>Isel Abdellatif</t>
  </si>
  <si>
    <t>University Partnership and Recruitment Consultant</t>
  </si>
  <si>
    <t>https://www.google.com/search?newwindow=1&amp;ei=2MT0XrvGGM-vytMP1OyDgAY&amp;q=site%3Alinkedin.com+Churong+Huang+Campus+Recruiting+Manager</t>
  </si>
  <si>
    <t>Churong Huang</t>
  </si>
  <si>
    <t>OPPO</t>
  </si>
  <si>
    <t>https://www.google.com/search?newwindow=1&amp;ei=2MT0XrvGGM-vytMP1OyDgAY&amp;q=site%3Alinkedin.com+Lara+Senhen+University+Partnership+Team+Lead</t>
  </si>
  <si>
    <t>Lara Senhen</t>
  </si>
  <si>
    <t>University Partnership Team Lead</t>
  </si>
  <si>
    <t>https://www.google.com/search?newwindow=1&amp;ei=2MT0XrvGGM-vytMP1OyDgAY&amp;q=site%3Alinkedin.com+Melik+Cinar+Senior+Graduate+Recruiter+and+University+Partnership+Consultant</t>
  </si>
  <si>
    <t>Melik Cinar</t>
  </si>
  <si>
    <t>Senior Graduate Recruiter and University Partnership Consultant</t>
  </si>
  <si>
    <t>https://www.google.com/search?newwindow=1&amp;ei=2MT0XrvGGM-vytMP1OyDgAY&amp;q=site%3Alinkedin.com+Jay+Cooper+Graduate+Recruiter</t>
  </si>
  <si>
    <t>Jay Cooper</t>
  </si>
  <si>
    <t>https://www.google.com/search?newwindow=1&amp;ei=2MT0XrvGGM-vytMP1OyDgAY&amp;q=site%3Alinkedin.com+Sophie+Parsons+Graduate+Recruiter</t>
  </si>
  <si>
    <t>Sophie Parsons</t>
  </si>
  <si>
    <t>https://www.google.com/search?newwindow=1&amp;ei=2MT0XrvGGM-vytMP1OyDgAY&amp;q=site%3Alinkedin.com+Chris+Watts+Director+of+University+Recruitment</t>
  </si>
  <si>
    <t>Chris Watts</t>
  </si>
  <si>
    <t>Director of University Recruitment</t>
  </si>
  <si>
    <t>Leeds Beckett University</t>
  </si>
  <si>
    <t>https://www.google.com/search?newwindow=1&amp;ei=2MT0XrvGGM-vytMP1OyDgAY&amp;q=site%3Alinkedin.com+Veronica+Zmudzka+University+Recruitment+Executive+Assistant</t>
  </si>
  <si>
    <t>Veronica Zmudzka</t>
  </si>
  <si>
    <t>University Recruitment Executive Assistant</t>
  </si>
  <si>
    <t>https://www.google.com/search?newwindow=1&amp;ei=2MT0XrvGGM-vytMP1OyDgAY&amp;q=site%3Alinkedin.com+Ruby+Law+University+Recruiter</t>
  </si>
  <si>
    <t>Ruby Law</t>
  </si>
  <si>
    <t>https://www.google.com/search?newwindow=1&amp;ei=2MT0XrvGGM-vytMP1OyDgAY&amp;q=site%3Alinkedin.com+Melik+Cinar+Graduate+Recruiter</t>
  </si>
  <si>
    <t>https://www.google.com/search?newwindow=1&amp;ei=2MT0XrvGGM-vytMP1OyDgAY&amp;q=site%3Alinkedin.com+Frankie+Harding+Race,+Recruitment+and+Curriculm+Internship.+History+Dept.+Leeds+University</t>
  </si>
  <si>
    <t>Frankie Harding</t>
  </si>
  <si>
    <t>Race, Recruitment and Curriculm Internship. History Dept. Leeds University</t>
  </si>
  <si>
    <t>University of Leeds</t>
  </si>
  <si>
    <t>https://www.google.com/search?newwindow=1&amp;ei=2MT0XrvGGM-vytMP1OyDgAY&amp;q=site%3Alinkedin.com+Mahendra+Mistry+University/Academic+Partner+&amp;+Student+Recruiter+for+Higher+Education+Institutions+in+India+&amp;+Global</t>
  </si>
  <si>
    <t>Mahendra Mistry</t>
  </si>
  <si>
    <t>University/Academic Partner &amp; Student Recruiter for Higher Education Institutions in India &amp; Global</t>
  </si>
  <si>
    <t>Business Link India Ltd</t>
  </si>
  <si>
    <t>Leicester</t>
  </si>
  <si>
    <t>https://www.google.com/search?newwindow=1&amp;ei=2MT0XrvGGM-vytMP1OyDgAY&amp;q=site%3Alinkedin.com+Alex+Beeby+Graduate+Recruiter</t>
  </si>
  <si>
    <t>Alex Beeby</t>
  </si>
  <si>
    <t>Enterprise Holdings</t>
  </si>
  <si>
    <t>https://www.google.com/search?newwindow=1&amp;ei=2MT0XrvGGM-vytMP1OyDgAY&amp;q=site%3Alinkedin.com+Adhiraj+Singh+Gill,+M.Mgt+International+Recruitment+Manager</t>
  </si>
  <si>
    <t>Adhiraj Singh Gill, M.Mgt</t>
  </si>
  <si>
    <t>International Recruitment Manager</t>
  </si>
  <si>
    <t>The University of Lethbridge</t>
  </si>
  <si>
    <t>Lethbridge</t>
  </si>
  <si>
    <t>https://www.google.com/search?newwindow=1&amp;ei=2MT0XrvGGM-vytMP1OyDgAY&amp;q=site%3Alinkedin.com+Charlene+D+Janes+Manager,+International+Student+Services+&amp;+Programs</t>
  </si>
  <si>
    <t>Charlene D Janes</t>
  </si>
  <si>
    <t>Manager, International Student Services &amp; Programs</t>
  </si>
  <si>
    <t>University of Lethbridge</t>
  </si>
  <si>
    <t>https://www.google.com/search?newwindow=1&amp;ei=2MT0XrvGGM-vytMP1OyDgAY&amp;q=site%3Alinkedin.com+Ailsa+Mackay+Student+Recruitment+Assistant</t>
  </si>
  <si>
    <t>Ailsa Mackay</t>
  </si>
  <si>
    <t>Student Recruitment Assistant</t>
  </si>
  <si>
    <t>Heriot-Watt University</t>
  </si>
  <si>
    <t>Linlithgow</t>
  </si>
  <si>
    <t>https://www.google.com/search?newwindow=1&amp;ei=2MT0XrvGGM-vytMP1OyDgAY&amp;q=site%3Alinkedin.com+Dr+Danny+Ha,+Sr.+Advisor+online+for+Startup,+Risk+Mgt,+DX+strategy,+Information+Security+Execution+Student+of+Mr.+Lee+李偉宏老師,+毛筆行草書,+Chinese+calligraphy</t>
  </si>
  <si>
    <t>Dr Danny Ha, Sr. Advisor online for Startup, Risk Mgt, DX strategy, Information Security Execution</t>
  </si>
  <si>
    <t>Student of Mr. Lee 李偉宏老師, 毛筆行草書, Chinese calligraphy</t>
  </si>
  <si>
    <t>李偉宏老師</t>
  </si>
  <si>
    <t>Linton-on-Ouse</t>
  </si>
  <si>
    <t>https://www.google.com/search?newwindow=1&amp;ei=2MT0XrvGGM-vytMP1OyDgAY&amp;q=site%3Alinkedin.com+Declan+Fairey+Student+Recruitment+Data+Analysis+Trainee+at+Edge+Hill+University</t>
  </si>
  <si>
    <t>Declan Fairey</t>
  </si>
  <si>
    <t>Student Recruitment Data Analysis Trainee at Edge Hill University</t>
  </si>
  <si>
    <t>Edge Hill University</t>
  </si>
  <si>
    <t>https://www.google.com/search?newwindow=1&amp;ei=2MT0XrvGGM-vytMP1OyDgAY&amp;q=site%3Alinkedin.com+Chloe+Milton+Graduate+Recruiter</t>
  </si>
  <si>
    <t>Chloe Milton</t>
  </si>
  <si>
    <t>QA Consulting</t>
  </si>
  <si>
    <t>https://www.google.com/search?newwindow=1&amp;ei=2MT0XrvGGM-vytMP1OyDgAY&amp;q=site%3Alinkedin.com+Lucy+Reed+Student</t>
  </si>
  <si>
    <t>Lucy Reed</t>
  </si>
  <si>
    <t>Wirral Metropolitan College - Wirral Met College</t>
  </si>
  <si>
    <t>https://www.google.com/search?newwindow=1&amp;ei=2MT0XrvGGM-vytMP1OyDgAY&amp;q=site%3Alinkedin.com+Betsy+Exley+Student+Recruiter+PSI</t>
  </si>
  <si>
    <t>Betsy Exley</t>
  </si>
  <si>
    <t>Student Recruiter PSI</t>
  </si>
  <si>
    <t>Chartered Professional Accountants of Ontario (CPA Ontario)</t>
  </si>
  <si>
    <t>London</t>
  </si>
  <si>
    <t>https://www.google.com/search?newwindow=1&amp;ei=2MT0XrvGGM-vytMP1OyDgAY&amp;q=site%3Alinkedin.com+Cara+Pedersen,+CHRP+Associate+University+Recruitment+Specialist</t>
  </si>
  <si>
    <t>Cara Pedersen, CHRP</t>
  </si>
  <si>
    <t>Associate University Recruitment Specialist</t>
  </si>
  <si>
    <t>https://www.google.com/search?newwindow=1&amp;ei=2MT0XrvGGM-vytMP1OyDgAY&amp;q=site%3Alinkedin.com+Jared+M.+Campus+Recruiter</t>
  </si>
  <si>
    <t>Jared M.</t>
  </si>
  <si>
    <t>MNP</t>
  </si>
  <si>
    <t>https://www.google.com/search?newwindow=1&amp;ei=2MT0XrvGGM-vytMP1OyDgAY&amp;q=site%3Alinkedin.com+Taylor+Yungblut+Campus+Recruiting+Coordinator</t>
  </si>
  <si>
    <t>Taylor Yungblut</t>
  </si>
  <si>
    <t>https://www.google.com/search?newwindow=1&amp;ei=2MT0XrvGGM-vytMP1OyDgAY&amp;q=site%3Alinkedin.com+Tatjana+Davidson+Campus+Recruiter+(EMEA)+&amp;+EMEA+Generational+/+UK+Multicultural+ERG+Champion</t>
  </si>
  <si>
    <t>Tatjana Davidson</t>
  </si>
  <si>
    <t>Campus Recruiter (EMEA) &amp; EMEA Generational / UK Multicultural ERG Champion</t>
  </si>
  <si>
    <t>Moody's Corporation</t>
  </si>
  <si>
    <t>https://www.google.com/search?newwindow=1&amp;ei=2MT0XrvGGM-vytMP1OyDgAY&amp;q=site%3Alinkedin.com+Eugenia+Pascual+Gil+Tech+University+Graduate+Recruiter+(via+Randstad)</t>
  </si>
  <si>
    <t>Eugenia Pascual Gil</t>
  </si>
  <si>
    <t>Tech University Graduate Recruiter (via Randstad)</t>
  </si>
  <si>
    <t>https://www.google.com/search?newwindow=1&amp;ei=2MT0XrvGGM-vytMP1OyDgAY&amp;q=site%3Alinkedin.com+Justin+Fay+Graduate+Recruiter</t>
  </si>
  <si>
    <t>Justin Fay</t>
  </si>
  <si>
    <t>DLA Piper</t>
  </si>
  <si>
    <t>https://www.google.com/search?newwindow=1&amp;ei=2MT0XrvGGM-vytMP1OyDgAY&amp;q=site%3Alinkedin.com+Heidi+Plant+Freelance+graduate+recruiter</t>
  </si>
  <si>
    <t>Heidi Plant</t>
  </si>
  <si>
    <t>Freelance graduate recruiter</t>
  </si>
  <si>
    <t>Various Companies</t>
  </si>
  <si>
    <t>https://www.google.com/search?newwindow=1&amp;ei=2MT0XrvGGM-vytMP1OyDgAY&amp;q=site%3Alinkedin.com+Sara+Williams+Graduate+Recruiter</t>
  </si>
  <si>
    <t>Sara Williams</t>
  </si>
  <si>
    <t>https://www.google.com/search?newwindow=1&amp;ei=2MT0XrvGGM-vytMP1OyDgAY&amp;q=site%3Alinkedin.com+Alex+Lucy+Candidate+Services+Recruiter,+Student+Programs</t>
  </si>
  <si>
    <t>Alex Lucy</t>
  </si>
  <si>
    <t>Candidate Services Recruiter, Student Programs</t>
  </si>
  <si>
    <t>https://www.google.com/search?newwindow=1&amp;ei=2MT0XrvGGM-vytMP1OyDgAY&amp;q=site%3Alinkedin.com+Amy+Bird+EMEA+Recruiter+(University+Recruiting)</t>
  </si>
  <si>
    <t>Amy Bird</t>
  </si>
  <si>
    <t>EMEA Recruiter (University Recruiting)</t>
  </si>
  <si>
    <t>CrowdStrike</t>
  </si>
  <si>
    <t>https://www.google.com/search?newwindow=1&amp;ei=2MT0XrvGGM-vytMP1OyDgAY&amp;q=site%3Alinkedin.com+Hannah+Jones+Early+Careers+Recruiter</t>
  </si>
  <si>
    <t>Hannah Jones</t>
  </si>
  <si>
    <t>Early Careers Recruiter</t>
  </si>
  <si>
    <t>Investec</t>
  </si>
  <si>
    <t>https://www.google.com/search?newwindow=1&amp;ei=2MT0XrvGGM-vytMP1OyDgAY&amp;q=site%3Alinkedin.com+Corinne+Dugdale+Graduate+Recruiter</t>
  </si>
  <si>
    <t>Corinne Dugdale</t>
  </si>
  <si>
    <t>Barclays</t>
  </si>
  <si>
    <t>https://www.google.com/search?newwindow=1&amp;ei=2MT0XrvGGM-vytMP1OyDgAY&amp;q=site%3Alinkedin.com+Lucy+Adams,+Graduate+Recruiter+Graduate+Recruiter</t>
  </si>
  <si>
    <t>Lucy Adams, Graduate Recruiter</t>
  </si>
  <si>
    <t>Campus Recruitment Practice</t>
  </si>
  <si>
    <t>https://www.google.com/search?newwindow=1&amp;ei=2MT0XrvGGM-vytMP1OyDgAY&amp;q=site%3Alinkedin.com+Hannah+Bassett+EMEA+Student+Programs,+Tech+Recruiting+Lead</t>
  </si>
  <si>
    <t>Hannah Bassett</t>
  </si>
  <si>
    <t>EMEA Student Programs, Tech Recruiting Lead</t>
  </si>
  <si>
    <t>Amazon Web Services (AWS)</t>
  </si>
  <si>
    <t>https://www.google.com/search?newwindow=1&amp;ei=2MT0XrvGGM-vytMP1OyDgAY&amp;q=site%3Alinkedin.com+Daniel+Vieira+International+Student+Recruiter</t>
  </si>
  <si>
    <t>Daniel Vieira</t>
  </si>
  <si>
    <t>Global University Systems</t>
  </si>
  <si>
    <t>https://www.google.com/search?newwindow=1&amp;ei=2MT0XrvGGM-vytMP1OyDgAY&amp;q=site%3Alinkedin.com+Tolu+Ogunlaiye+Senior+Graduate+Recruiter+and+University+Partnerships+Consultant</t>
  </si>
  <si>
    <t>Tolu Ogunlaiye</t>
  </si>
  <si>
    <t>Senior Graduate Recruiter and University Partnerships Consultant</t>
  </si>
  <si>
    <t>https://www.google.com/search?newwindow=1&amp;ei=2MT0XrvGGM-vytMP1OyDgAY&amp;q=site%3Alinkedin.com+Ivy+Kayima+University+Recruiter/Sourcer-+EMEA(Perm)</t>
  </si>
  <si>
    <t>Ivy Kayima</t>
  </si>
  <si>
    <t>University Recruiter/Sourcer- EMEA(Perm)</t>
  </si>
  <si>
    <t>Nutanix</t>
  </si>
  <si>
    <t>https://www.google.com/search?newwindow=1&amp;ei=2MT0XrvGGM-vytMP1OyDgAY&amp;q=site%3Alinkedin.com+Aurélie+HERRERO+EMEA+Campus+Recruiter+and+Programme+Manager</t>
  </si>
  <si>
    <t>Aurélie HERRERO</t>
  </si>
  <si>
    <t>EMEA Campus Recruiter and Programme Manager</t>
  </si>
  <si>
    <t>https://www.google.com/search?newwindow=1&amp;ei=2MT0XrvGGM-vytMP1OyDgAY&amp;q=site%3Alinkedin.com+Vanessa+Lengfellner+Campus+Recruiter</t>
  </si>
  <si>
    <t>Vanessa Lengfellner</t>
  </si>
  <si>
    <t>https://www.google.com/search?newwindow=1&amp;ei=2MT0XrvGGM-vytMP1OyDgAY&amp;q=site%3Alinkedin.com+Jennifer+Wishart+Graduate+Recruiter</t>
  </si>
  <si>
    <t>Jennifer Wishart</t>
  </si>
  <si>
    <t>Nomura</t>
  </si>
  <si>
    <t>https://www.google.com/search?newwindow=1&amp;ei=2MT0XrvGGM-vytMP1OyDgAY&amp;q=site%3Alinkedin.com+Dora+Mucsi+Technical+Recruiter,+Student+Programs+for+Software+Engineering+(EMEA)</t>
  </si>
  <si>
    <t>Dora Mucsi</t>
  </si>
  <si>
    <t>Technical Recruiter, Student Programs for Software Engineering (EMEA)</t>
  </si>
  <si>
    <t>https://www.google.com/search?newwindow=1&amp;ei=2MT0XrvGGM-vytMP1OyDgAY&amp;q=site%3Alinkedin.com+Pamela+Hutton+Campus+Recruiter</t>
  </si>
  <si>
    <t>Pamela Hutton</t>
  </si>
  <si>
    <t>https://www.google.com/search?newwindow=1&amp;ei=2MT0XrvGGM-vytMP1OyDgAY&amp;q=site%3Alinkedin.com+Paul+Davies+Graduate+/+PhD+Recruiter+in+Finance</t>
  </si>
  <si>
    <t>Paul Davies</t>
  </si>
  <si>
    <t>Graduate / PhD Recruiter in Finance</t>
  </si>
  <si>
    <t>The Campus Recruitment Practice</t>
  </si>
  <si>
    <t>https://www.google.com/search?newwindow=1&amp;ei=2MT0XrvGGM-vytMP1OyDgAY&amp;q=site%3Alinkedin.com+Audrey+Kerloc'h+☁+EMEA+Campus+Recruiter</t>
  </si>
  <si>
    <t>Audrey Kerloc'h ☁</t>
  </si>
  <si>
    <t>EMEA Campus Recruiter</t>
  </si>
  <si>
    <t>FIS</t>
  </si>
  <si>
    <t>https://www.google.com/search?newwindow=1&amp;ei=2MT0XrvGGM-vytMP1OyDgAY&amp;q=site%3Alinkedin.com+James+J.+Senior+Graduate+and+Early+Career+Recruiter</t>
  </si>
  <si>
    <t>James J.</t>
  </si>
  <si>
    <t>Senior Graduate and Early Career Recruiter</t>
  </si>
  <si>
    <t>https://www.google.com/search?newwindow=1&amp;ei=2MT0XrvGGM-vytMP1OyDgAY&amp;q=site%3Alinkedin.com+Stefani+Zaharieva+Campus+Recruiter+EMEA</t>
  </si>
  <si>
    <t>Stefani Zaharieva</t>
  </si>
  <si>
    <t>Campus Recruiter EMEA</t>
  </si>
  <si>
    <t>https://www.google.com/search?newwindow=1&amp;ei=2MT0XrvGGM-vytMP1OyDgAY&amp;q=site%3Alinkedin.com+Beatrice+Lupi+Campus+Recruiter+-+EMEA+Operations</t>
  </si>
  <si>
    <t>Beatrice Lupi</t>
  </si>
  <si>
    <t>Campus Recruiter - EMEA Operations</t>
  </si>
  <si>
    <t>https://www.google.com/search?newwindow=1&amp;ei=2MT0XrvGGM-vytMP1OyDgAY&amp;q=site%3Alinkedin.com+Sarah+Scadding+(Assoc+CIPD)+Early+Careers+Recruiter+-+Campus+&amp;+Diversity</t>
  </si>
  <si>
    <t>Sarah Scadding (Assoc CIPD)</t>
  </si>
  <si>
    <t>Early Careers Recruiter - Campus &amp; Diversity</t>
  </si>
  <si>
    <t>https://www.google.com/search?newwindow=1&amp;ei=2MT0XrvGGM-vytMP1OyDgAY&amp;q=site%3Alinkedin.com+Rumana+Hassan+EMEA+Engineering+Campus+Recruiter</t>
  </si>
  <si>
    <t>Rumana Hassan</t>
  </si>
  <si>
    <t>EMEA Engineering Campus Recruiter</t>
  </si>
  <si>
    <t>https://www.google.com/search?newwindow=1&amp;ei=2MT0XrvGGM-vytMP1OyDgAY&amp;q=site%3Alinkedin.com+Eilish+McGovern+Campus+Recruitment+Coordinator+-+EMEA+Student+Programs</t>
  </si>
  <si>
    <t>Eilish McGovern</t>
  </si>
  <si>
    <t>Campus Recruitment Coordinator - EMEA Student Programs</t>
  </si>
  <si>
    <t>https://www.google.com/search?newwindow=1&amp;ei=2MT0XrvGGM-vytMP1OyDgAY&amp;q=site%3Alinkedin.com+Kelvin+Jones+(Abdul+Kareem)+Director+of+International,+Recruitment+(Representing+University+of+Law)</t>
  </si>
  <si>
    <t>Kelvin Jones (Abdul Kareem)</t>
  </si>
  <si>
    <t>Director of International, Recruitment (Representing University of Law)</t>
  </si>
  <si>
    <t>https://www.google.com/search?newwindow=1&amp;ei=2MT0XrvGGM-vytMP1OyDgAY&amp;q=site%3Alinkedin.com+Greg+Duffy+Senior+Campus+Recruiter+-+Capital+Markets+and+Wealth+Management</t>
  </si>
  <si>
    <t>Greg Duffy</t>
  </si>
  <si>
    <t>Senior Campus Recruiter - Capital Markets and Wealth Management</t>
  </si>
  <si>
    <t>RBC Capital Markets</t>
  </si>
  <si>
    <t>https://www.google.com/search?newwindow=1&amp;ei=2MT0XrvGGM-vytMP1OyDgAY&amp;q=site%3Alinkedin.com+Bianca+Sabatini+Candidate+Service+Recruiter,+Student+Programs</t>
  </si>
  <si>
    <t>Bianca Sabatini</t>
  </si>
  <si>
    <t>Candidate Service Recruiter, Student Programs</t>
  </si>
  <si>
    <t>https://www.google.com/search?newwindow=1&amp;ei=2MT0XrvGGM-vytMP1OyDgAY&amp;q=site%3Alinkedin.com+Neil+Shaw+Senior+Graduate+Recruiter,+Europe</t>
  </si>
  <si>
    <t>Neil Shaw</t>
  </si>
  <si>
    <t>Senior Graduate Recruiter, Europe</t>
  </si>
  <si>
    <t>AECOM</t>
  </si>
  <si>
    <t>https://www.google.com/search?newwindow=1&amp;ei=2MT0XrvGGM-vytMP1OyDgAY&amp;q=site%3Alinkedin.com+Luke+Rogers+University+Recruiter</t>
  </si>
  <si>
    <t>Luke Rogers</t>
  </si>
  <si>
    <t>https://www.google.com/search?newwindow=1&amp;ei=2MT0XrvGGM-vytMP1OyDgAY&amp;q=site%3Alinkedin.com+Amy+W.+Senior+Campus+Recruiter</t>
  </si>
  <si>
    <t>Amy W.</t>
  </si>
  <si>
    <t>https://www.google.com/search?newwindow=1&amp;ei=2MT0XrvGGM-vytMP1OyDgAY&amp;q=site%3Alinkedin.com+Rebecca+Cragoe+Campus+Recruiter</t>
  </si>
  <si>
    <t>Rebecca Cragoe</t>
  </si>
  <si>
    <t>RBC</t>
  </si>
  <si>
    <t>https://www.google.com/search?newwindow=1&amp;ei=2MT0XrvGGM-vytMP1OyDgAY&amp;q=site%3Alinkedin.com+Grace+Acquah+Regional+Lead,+EMEA+Student+Programs+Campus+Attraction+and+Engagement</t>
  </si>
  <si>
    <t>Grace Acquah</t>
  </si>
  <si>
    <t>Regional Lead, EMEA Student Programs Campus Attraction and Engagement</t>
  </si>
  <si>
    <t>https://www.google.com/search?newwindow=1&amp;ei=2MT0XrvGGM-vytMP1OyDgAY&amp;q=site%3Alinkedin.com+Vandressa+Picht+EMEA+Campus+Recruiter</t>
  </si>
  <si>
    <t>Vandressa Picht</t>
  </si>
  <si>
    <t>https://www.google.com/search?newwindow=1&amp;ei=2MT0XrvGGM-vytMP1OyDgAY&amp;q=site%3Alinkedin.com+Holly+Thompson+Recruiter+-+UK+Campus</t>
  </si>
  <si>
    <t>Holly Thompson</t>
  </si>
  <si>
    <t>Recruiter - UK Campus</t>
  </si>
  <si>
    <t>https://www.google.com/search?newwindow=1&amp;ei=2MT0XrvGGM-vytMP1OyDgAY&amp;q=site%3Alinkedin.com+Victoria+Didilica+Campus+Recruiting+|+Talent+Acquisition</t>
  </si>
  <si>
    <t>Victoria Didilica</t>
  </si>
  <si>
    <t>Campus Recruiting | Talent Acquisition</t>
  </si>
  <si>
    <t>https://www.google.com/search?newwindow=1&amp;ei=2MT0XrvGGM-vytMP1OyDgAY&amp;q=site%3Alinkedin.com+Thomas+Carter+Graduate+Recruiter</t>
  </si>
  <si>
    <t>Thomas Carter</t>
  </si>
  <si>
    <t>Merkle EMEA</t>
  </si>
  <si>
    <t>https://www.google.com/search?newwindow=1&amp;ei=2MT0XrvGGM-vytMP1OyDgAY&amp;q=site%3Alinkedin.com+Elizabeth+Ogunwusi+Student+Programs+Recruitment+Coordinator</t>
  </si>
  <si>
    <t>Elizabeth Ogunwusi</t>
  </si>
  <si>
    <t>Student Programs Recruitment Coordinator</t>
  </si>
  <si>
    <t>https://www.google.com/search?newwindow=1&amp;ei=2MT0XrvGGM-vytMP1OyDgAY&amp;q=site%3Alinkedin.com+Valentina+Jambrušić+Graduate+Recruiter+-+IT/Operations</t>
  </si>
  <si>
    <t>Valentina Jambrušić</t>
  </si>
  <si>
    <t>Graduate Recruiter - IT/Operations</t>
  </si>
  <si>
    <t>https://www.google.com/search?newwindow=1&amp;ei=2MT0XrvGGM-vytMP1OyDgAY&amp;q=site%3Alinkedin.com+Parshotam+S.+University+Recruiter+-+Global+Business+Sales+&amp;+Global+Technology+Sales,++EMEA</t>
  </si>
  <si>
    <t>Parshotam S.</t>
  </si>
  <si>
    <t>University Recruiter - Global Business Sales &amp; Global Technology Sales,  EMEA</t>
  </si>
  <si>
    <t>https://www.google.com/search?newwindow=1&amp;ei=2MT0XrvGGM-vytMP1OyDgAY&amp;q=site%3Alinkedin.com+Phillip+Thomas+Recruiting+Coordinator+Manager,+Student+Programs</t>
  </si>
  <si>
    <t>Phillip Thomas</t>
  </si>
  <si>
    <t>Recruiting Coordinator Manager, Student Programs</t>
  </si>
  <si>
    <t>https://www.google.com/search?newwindow=1&amp;ei=2MT0XrvGGM-vytMP1OyDgAY&amp;q=site%3Alinkedin.com+Olivia+Aylett+Recruiter+-+UK+Campus+Team</t>
  </si>
  <si>
    <t>Olivia Aylett</t>
  </si>
  <si>
    <t>Recruiter - UK Campus Team</t>
  </si>
  <si>
    <t>https://www.google.com/search?newwindow=1&amp;ei=2MT0XrvGGM-vytMP1OyDgAY&amp;q=site%3Alinkedin.com+Charlotte+Sangster+University+Recruitment+Manager</t>
  </si>
  <si>
    <t>Charlotte Sangster</t>
  </si>
  <si>
    <t>https://www.google.com/search?newwindow=1&amp;ei=2MT0XrvGGM-vytMP1OyDgAY&amp;q=site%3Alinkedin.com+Sophie+Wallis+EMEA+Campus+Recruiter+&amp;+Programme+Manager</t>
  </si>
  <si>
    <t>Sophie Wallis</t>
  </si>
  <si>
    <t>EMEA Campus Recruiter &amp; Programme Manager</t>
  </si>
  <si>
    <t>https://www.google.com/search?newwindow=1&amp;ei=2MT0XrvGGM-vytMP1OyDgAY&amp;q=site%3Alinkedin.com+Sabrina+Lagana'+Recruiting+Partner+EMEA,+Student+Programs</t>
  </si>
  <si>
    <t>Sabrina Lagana'</t>
  </si>
  <si>
    <t>Recruiting Partner EMEA, Student Programs</t>
  </si>
  <si>
    <t>https://www.google.com/search?newwindow=1&amp;ei=2MT0XrvGGM-vytMP1OyDgAY&amp;q=site%3Alinkedin.com+Kerry+Mamongo+Assoc.CIPD+EMEA+Graduate+Recruiter</t>
  </si>
  <si>
    <t>Kerry Mamongo Assoc.CIPD</t>
  </si>
  <si>
    <t>EMEA Graduate Recruiter</t>
  </si>
  <si>
    <t>Berenberg</t>
  </si>
  <si>
    <t>https://www.google.com/search?newwindow=1&amp;ei=2MT0XrvGGM-vytMP1OyDgAY&amp;q=site%3Alinkedin.com+Claire+Eason+Senior+University+Recruiter</t>
  </si>
  <si>
    <t>Claire Eason</t>
  </si>
  <si>
    <t>Boston Consulting Group (BCG)</t>
  </si>
  <si>
    <t>https://www.google.com/search?newwindow=1&amp;ei=2MT0XrvGGM-vytMP1OyDgAY&amp;q=site%3Alinkedin.com+Amanda+Griffith+EMEA+Campus+Recruiter+-+Corporate+Finance,+Corporate+Bank++&amp;+Campus+Engagement+(Contract)</t>
  </si>
  <si>
    <t>Amanda Griffith</t>
  </si>
  <si>
    <t>EMEA Campus Recruiter - Corporate Finance, Corporate Bank  &amp; Campus Engagement (Contract)</t>
  </si>
  <si>
    <t>https://www.google.com/search?newwindow=1&amp;ei=2MT0XrvGGM-vytMP1OyDgAY&amp;q=site%3Alinkedin.com+Kam+Vien+Recruiter,+Campus+&amp;+Lateral</t>
  </si>
  <si>
    <t>Kam Vien</t>
  </si>
  <si>
    <t>Recruiter, Campus &amp; Lateral</t>
  </si>
  <si>
    <t>PIMCO</t>
  </si>
  <si>
    <t>https://www.google.com/search?newwindow=1&amp;ei=2MT0XrvGGM-vytMP1OyDgAY&amp;q=site%3Alinkedin.com+Jo+Terryn+Recruiter,+EMEA+|+Student+Programs</t>
  </si>
  <si>
    <t>Jo Terryn</t>
  </si>
  <si>
    <t>Recruiter, EMEA | Student Programs</t>
  </si>
  <si>
    <t>https://www.google.com/search?newwindow=1&amp;ei=2MT0XrvGGM-vytMP1OyDgAY&amp;q=site%3Alinkedin.com+Yasmeen+Khalaf+Senior+Graduate+Recruiter</t>
  </si>
  <si>
    <t>Yasmeen Khalaf</t>
  </si>
  <si>
    <t>https://www.google.com/search?newwindow=1&amp;ei=2MT0XrvGGM-vytMP1OyDgAY&amp;q=site%3Alinkedin.com+Abigail+Bush+University+Recruiter</t>
  </si>
  <si>
    <t>Abigail Bush</t>
  </si>
  <si>
    <t>https://www.google.com/search?newwindow=1&amp;ei=2MT0XrvGGM-vytMP1OyDgAY&amp;q=site%3Alinkedin.com+Natallia+Guimarais+University+Recruiter+-+EMEA</t>
  </si>
  <si>
    <t>Natallia Guimarais</t>
  </si>
  <si>
    <t>University Recruiter - EMEA</t>
  </si>
  <si>
    <t>https://www.google.com/search?newwindow=1&amp;ei=2MT0XrvGGM-vytMP1OyDgAY&amp;q=site%3Alinkedin.com+Edward+Chatfield+Graduate+Recruitment+and+University+Partnerships+Consultant</t>
  </si>
  <si>
    <t>Edward Chatfield</t>
  </si>
  <si>
    <t>Graduate Recruitment and University Partnerships Consultant</t>
  </si>
  <si>
    <t>https://www.google.com/search?newwindow=1&amp;ei=2MT0XrvGGM-vytMP1OyDgAY&amp;q=site%3Alinkedin.com+Jessica+Wessely+MBA+Investment+Banking+Campus+Recruiter</t>
  </si>
  <si>
    <t>Jessica Wessely</t>
  </si>
  <si>
    <t>MBA Investment Banking Campus Recruiter</t>
  </si>
  <si>
    <t>https://www.google.com/search?newwindow=1&amp;ei=2MT0XrvGGM-vytMP1OyDgAY&amp;q=site%3Alinkedin.com+Oliver+Evans+Digital+&amp;+Platform+Services+Recruiter+-+EMEA+Campus+Recruitment</t>
  </si>
  <si>
    <t>Oliver Evans</t>
  </si>
  <si>
    <t>Digital &amp; Platform Services Recruiter - EMEA Campus Recruitment</t>
  </si>
  <si>
    <t>https://www.google.com/search?newwindow=1&amp;ei=2MT0XrvGGM-vytMP1OyDgAY&amp;q=site%3Alinkedin.com+Ashley+Dartnell+Head+of+International+Campus+Recruiting</t>
  </si>
  <si>
    <t>Ashley Dartnell</t>
  </si>
  <si>
    <t>Head of International Campus Recruiting</t>
  </si>
  <si>
    <t>The Boston Consulting Group (BCG)</t>
  </si>
  <si>
    <t>https://www.google.com/search?newwindow=1&amp;ei=2MT0XrvGGM-vytMP1OyDgAY&amp;q=site%3Alinkedin.com+Pippa+W.+Senior+Recruiter+-+Futureforce+University+Recruiting</t>
  </si>
  <si>
    <t>Pippa W.</t>
  </si>
  <si>
    <t>Senior Recruiter - Futureforce University Recruiting</t>
  </si>
  <si>
    <t>https://www.google.com/search?newwindow=1&amp;ei=2MT0XrvGGM-vytMP1OyDgAY&amp;q=site%3Alinkedin.com+Chris+Kenny+Head+of+Sales+&amp;+Recruitment+Services,+University+Partnerships</t>
  </si>
  <si>
    <t>Chris Kenny</t>
  </si>
  <si>
    <t>Head of Sales &amp; Recruitment Services, University Partnerships</t>
  </si>
  <si>
    <t>Pearson</t>
  </si>
  <si>
    <t>https://www.google.com/search?newwindow=1&amp;ei=2MT0XrvGGM-vytMP1OyDgAY&amp;q=site%3Alinkedin.com+Paul+Kerridge+Senior+Graduate+Recruiter</t>
  </si>
  <si>
    <t>Paul Kerridge</t>
  </si>
  <si>
    <t>Capco</t>
  </si>
  <si>
    <t>https://www.google.com/search?newwindow=1&amp;ei=2MT0XrvGGM-vytMP1OyDgAY&amp;q=site%3Alinkedin.com+Nonye+Ndekwu,+Chartered+MCIPD+Lead+Graduate+Recruiter,+EMEA+Engineering</t>
  </si>
  <si>
    <t>Nonye Ndekwu, Chartered MCIPD</t>
  </si>
  <si>
    <t>Lead Graduate Recruiter, EMEA Engineering</t>
  </si>
  <si>
    <t>https://www.google.com/search?newwindow=1&amp;ei=2MT0XrvGGM-vytMP1OyDgAY&amp;q=site%3Alinkedin.com+Jess+Lilley+Senior+Campus+Recruiter+(University+&amp;+MBA)</t>
  </si>
  <si>
    <t>Jess Lilley</t>
  </si>
  <si>
    <t>Senior Campus Recruiter (University &amp; MBA)</t>
  </si>
  <si>
    <t>King</t>
  </si>
  <si>
    <t>https://www.google.com/search?newwindow=1&amp;ei=2MT0XrvGGM-vytMP1OyDgAY&amp;q=site%3Alinkedin.com+Donna+Cummings+Senior+Graduate+Recruiter+-+Technology+&amp;+Cyber+Security</t>
  </si>
  <si>
    <t>Donna Cummings</t>
  </si>
  <si>
    <t>Senior Graduate Recruiter - Technology &amp; Cyber Security</t>
  </si>
  <si>
    <t>https://www.google.com/search?newwindow=1&amp;ei=2MT0XrvGGM-vytMP1OyDgAY&amp;q=site%3Alinkedin.com+Amy+Blake+Graduate+Recruiter</t>
  </si>
  <si>
    <t>https://www.google.com/search?newwindow=1&amp;ei=2MT0XrvGGM-vytMP1OyDgAY&amp;q=site%3Alinkedin.com+Bethany+Copping+Graduate+Tech+Recruiter</t>
  </si>
  <si>
    <t>Bethany Copping</t>
  </si>
  <si>
    <t>Graduate Tech Recruiter</t>
  </si>
  <si>
    <t>https://www.google.com/search?newwindow=1&amp;ei=2MT0XrvGGM-vytMP1OyDgAY&amp;q=site%3Alinkedin.com+Joanne+O'Brien+Graduate+Recruiter</t>
  </si>
  <si>
    <t>Joanne O'Brien</t>
  </si>
  <si>
    <t>ThoughtWorks</t>
  </si>
  <si>
    <t>https://www.google.com/search?newwindow=1&amp;ei=2MT0XrvGGM-vytMP1OyDgAY&amp;q=site%3Alinkedin.com+Craig+Thompson+Senior+Graduate+Recruiter+-+Global+Banking+&amp;+Markets</t>
  </si>
  <si>
    <t>Craig Thompson</t>
  </si>
  <si>
    <t>Senior Graduate Recruiter - Global Banking &amp; Markets</t>
  </si>
  <si>
    <t>https://www.google.com/search?newwindow=1&amp;ei=2MT0XrvGGM-vytMP1OyDgAY&amp;q=site%3Alinkedin.com+Shauna+Louise+Biggins+Banking+EMEA+Campus+Recruiter+-+Associate+Vice+President</t>
  </si>
  <si>
    <t>Shauna Louise Biggins</t>
  </si>
  <si>
    <t>Banking EMEA Campus Recruiter - Associate Vice President</t>
  </si>
  <si>
    <t>https://www.google.com/search?newwindow=1&amp;ei=2MT0XrvGGM-vytMP1OyDgAY&amp;q=site%3Alinkedin.com+Kane+Willmott-Kalokoh+Graduate+Recruiter</t>
  </si>
  <si>
    <t>Kane Willmott-Kalokoh</t>
  </si>
  <si>
    <t>https://www.google.com/search?newwindow=1&amp;ei=2MT0XrvGGM-vytMP1OyDgAY&amp;q=site%3Alinkedin.com+Pilar+T.+Pérez-Griffo+Jaén+EMEA+-+Graduate+Recruiter+-+BCMA</t>
  </si>
  <si>
    <t>Pilar T. Pérez-Griffo Jaén</t>
  </si>
  <si>
    <t>EMEA - Graduate Recruiter - BCMA</t>
  </si>
  <si>
    <t>https://www.google.com/search?newwindow=1&amp;ei=2MT0XrvGGM-vytMP1OyDgAY&amp;q=site%3Alinkedin.com+Ioana+Tanase+Recruitment+Account+Manager+for+EMEA+University+Engineering</t>
  </si>
  <si>
    <t>Ioana Tanase</t>
  </si>
  <si>
    <t>Recruitment Account Manager for EMEA University Engineering</t>
  </si>
  <si>
    <t>https://www.google.com/search?newwindow=1&amp;ei=2MT0XrvGGM-vytMP1OyDgAY&amp;q=site%3Alinkedin.com+Paul+Sutherland+VP,+Global+Lead+-+AIML+&amp;+Quant+Analytics+Campus+Recruiting</t>
  </si>
  <si>
    <t>Paul Sutherland</t>
  </si>
  <si>
    <t>VP, Global Lead - AIML &amp; Quant Analytics Campus Recruiting</t>
  </si>
  <si>
    <t>https://www.google.com/search?newwindow=1&amp;ei=2MT0XrvGGM-vytMP1OyDgAY&amp;q=site%3Alinkedin.com+Lucy+Burrows+Assoc+CIPD+Graduate+Recruiter</t>
  </si>
  <si>
    <t>Lucy Burrows Assoc CIPD</t>
  </si>
  <si>
    <t>https://www.google.com/search?newwindow=1&amp;ei=2MT0XrvGGM-vytMP1OyDgAY&amp;q=site%3Alinkedin.com+Daria+Dobrzyniecka+EMEA+Campus+Recruiter+and+Programme+Manager</t>
  </si>
  <si>
    <t>Daria Dobrzyniecka</t>
  </si>
  <si>
    <t>https://www.google.com/search?newwindow=1&amp;ei=2MT0XrvGGM-vytMP1OyDgAY&amp;q=site%3Alinkedin.com+Laura+Houghton+Project+Coordinator+-+Student+Programs</t>
  </si>
  <si>
    <t>Laura Houghton</t>
  </si>
  <si>
    <t>Project Coordinator - Student Programs</t>
  </si>
  <si>
    <t>https://www.google.com/search?newwindow=1&amp;ei=2MT0XrvGGM-vytMP1OyDgAY&amp;q=site%3Alinkedin.com+Rebecca+Durante+Team+Leader+-+Engineering+Campus+Recruiting</t>
  </si>
  <si>
    <t>Rebecca Durante</t>
  </si>
  <si>
    <t>Team Leader - Engineering Campus Recruiting</t>
  </si>
  <si>
    <t>https://www.google.com/search?newwindow=1&amp;ei=2MT0XrvGGM-vytMP1OyDgAY&amp;q=site%3Alinkedin.com+Anna+Curtis+(Assoc+CIPD)+Europe+Lead+Campus+Recruiter</t>
  </si>
  <si>
    <t>Anna Curtis (Assoc CIPD)</t>
  </si>
  <si>
    <t>Europe Lead Campus Recruiter</t>
  </si>
  <si>
    <t>https://www.google.com/search?newwindow=1&amp;ei=2MT0XrvGGM-vytMP1OyDgAY&amp;q=site%3Alinkedin.com+Zee+Chimkupete+Student+Recruiter+and+Outreach+Officer</t>
  </si>
  <si>
    <t>Zee Chimkupete</t>
  </si>
  <si>
    <t>Student Recruiter and Outreach Officer</t>
  </si>
  <si>
    <t>Pearson College London</t>
  </si>
  <si>
    <t>https://www.google.com/search?newwindow=1&amp;ei=2MT0XrvGGM-vytMP1OyDgAY&amp;q=site%3Alinkedin.com+Crystal+Grant+Senior+MBA+Recruiter,+Student+Programs</t>
  </si>
  <si>
    <t>Crystal Grant</t>
  </si>
  <si>
    <t>Senior MBA Recruiter, Student Programs</t>
  </si>
  <si>
    <t>https://www.google.com/search?newwindow=1&amp;ei=2MT0XrvGGM-vytMP1OyDgAY&amp;q=site%3Alinkedin.com+Aisling+Lavagna+International+Campus+Senior+Recruiter</t>
  </si>
  <si>
    <t>Aisling Lavagna</t>
  </si>
  <si>
    <t>International Campus Senior Recruiter</t>
  </si>
  <si>
    <t>https://www.google.com/search?newwindow=1&amp;ei=2MT0XrvGGM-vytMP1OyDgAY&amp;q=site%3Alinkedin.com+Claire+Williams+Technical+University+Recruiter+EMEA+-+Software+Engineers</t>
  </si>
  <si>
    <t>Claire Williams</t>
  </si>
  <si>
    <t>Technical University Recruiter EMEA - Software Engineers</t>
  </si>
  <si>
    <t>https://www.google.com/search?newwindow=1&amp;ei=2MT0XrvGGM-vytMP1OyDgAY&amp;q=site%3Alinkedin.com+Lucy+Williams+Campus+Recruiter</t>
  </si>
  <si>
    <t>Lucy Williams</t>
  </si>
  <si>
    <t>https://www.google.com/search?newwindow=1&amp;ei=2MT0XrvGGM-vytMP1OyDgAY&amp;q=site%3Alinkedin.com+Sital+Patel+IBCMA+EMEA+Campus+Recruiter</t>
  </si>
  <si>
    <t>Sital Patel</t>
  </si>
  <si>
    <t>IBCMA EMEA Campus Recruiter</t>
  </si>
  <si>
    <t>https://www.google.com/search?newwindow=1&amp;ei=2MT0XrvGGM-vytMP1OyDgAY&amp;q=site%3Alinkedin.com+Katie+Evans+Graduate+Recruiter+at+Lendlease</t>
  </si>
  <si>
    <t>Katie Evans</t>
  </si>
  <si>
    <t>Graduate Recruiter at Lendlease</t>
  </si>
  <si>
    <t>https://www.google.com/search?newwindow=1&amp;ei=2MT0XrvGGM-vytMP1OyDgAY&amp;q=site%3Alinkedin.com+Emma+Evans+Senior+FutureForce+University+Recruiter,+EMEA</t>
  </si>
  <si>
    <t>Emma Evans</t>
  </si>
  <si>
    <t>Senior FutureForce University Recruiter, EMEA</t>
  </si>
  <si>
    <t>https://www.google.com/search?newwindow=1&amp;ei=2MT0XrvGGM-vytMP1OyDgAY&amp;q=site%3Alinkedin.com+James+O'Farrell+Graduate+Placement+-+Information+Tecghnology+Recruiter</t>
  </si>
  <si>
    <t>James O'Farrell</t>
  </si>
  <si>
    <t>Graduate Placement - Information Tecghnology Recruiter</t>
  </si>
  <si>
    <t>Scope AT Recruitment</t>
  </si>
  <si>
    <t>https://www.google.com/search?newwindow=1&amp;ei=2MT0XrvGGM-vytMP1OyDgAY&amp;q=site%3Alinkedin.com+Sophie+Willmott+Early+Careers+Recruitment+Advisor</t>
  </si>
  <si>
    <t>Sophie Willmott</t>
  </si>
  <si>
    <t>Early Careers Recruitment Advisor</t>
  </si>
  <si>
    <t>Mott MacDonald</t>
  </si>
  <si>
    <t>https://www.google.com/search?newwindow=1&amp;ei=2MT0XrvGGM-vytMP1OyDgAY&amp;q=site%3Alinkedin.com+Fabiana+Tepedino+RISIA+(Registered+International+Student+Immigration+Advisor)</t>
  </si>
  <si>
    <t>Fabiana Tepedino</t>
  </si>
  <si>
    <t>RISIA (Registered International Student Immigration Advisor)</t>
  </si>
  <si>
    <t>Western University</t>
  </si>
  <si>
    <t>https://www.google.com/search?newwindow=1&amp;ei=2MT0XrvGGM-vytMP1OyDgAY&amp;q=site%3Alinkedin.com+George+Duff+University+Recruitment+Coordinator</t>
  </si>
  <si>
    <t>George Duff</t>
  </si>
  <si>
    <t>University Recruitment Coordinator</t>
  </si>
  <si>
    <t>https://www.google.com/search?newwindow=1&amp;ei=2MT0XrvGGM-vytMP1OyDgAY&amp;q=site%3Alinkedin.com+Brett+Hemmerling+Assistant+Vice+President-Campus+Recruiter+and+Program+Manager+(Europe,+Middle+East+and+Africa)</t>
  </si>
  <si>
    <t>Brett Hemmerling</t>
  </si>
  <si>
    <t>Assistant Vice President-Campus Recruiter and Program Manager (Europe, Middle East and Africa)</t>
  </si>
  <si>
    <t>https://www.google.com/search?newwindow=1&amp;ei=2MT0XrvGGM-vytMP1OyDgAY&amp;q=site%3Alinkedin.com+Kelly+Smith+Graduate+Student</t>
  </si>
  <si>
    <t>Kelly Smith</t>
  </si>
  <si>
    <t>Graduate Student</t>
  </si>
  <si>
    <t>The London School of Economics and Political Science (LSE)</t>
  </si>
  <si>
    <t>https://www.google.com/search?newwindow=1&amp;ei=2MT0XrvGGM-vytMP1OyDgAY&amp;q=site%3Alinkedin.com+Emily+Haseldine+Lead+Recruiter+-+UK+Campus</t>
  </si>
  <si>
    <t>Emily Haseldine</t>
  </si>
  <si>
    <t>Lead Recruiter - UK Campus</t>
  </si>
  <si>
    <t>https://www.google.com/search?newwindow=1&amp;ei=2MT0XrvGGM-vytMP1OyDgAY&amp;q=site%3Alinkedin.com+Katerina+Birova+Non-Technical+Intern,+Global+Partner+Programs+&amp;+Operations</t>
  </si>
  <si>
    <t>Katerina Birova</t>
  </si>
  <si>
    <t>Non-Technical Intern, Global Partner Programs &amp; Operations</t>
  </si>
  <si>
    <t>Progress</t>
  </si>
  <si>
    <t>https://www.google.com/search?newwindow=1&amp;ei=2MT0XrvGGM-vytMP1OyDgAY&amp;q=site%3Alinkedin.com+Lisa+McNeil-Duncan+Campus+Recruiter</t>
  </si>
  <si>
    <t>Lisa McNeil-Duncan</t>
  </si>
  <si>
    <t>https://www.google.com/search?newwindow=1&amp;ei=2MT0XrvGGM-vytMP1OyDgAY&amp;q=site%3Alinkedin.com+Nita+Karavadra+Senior+Program+Manager,+EMEA+Student+Programs</t>
  </si>
  <si>
    <t>Nita Karavadra</t>
  </si>
  <si>
    <t>Senior Program Manager, EMEA Student Programs</t>
  </si>
  <si>
    <t>https://www.google.com/search?newwindow=1&amp;ei=2MT0XrvGGM-vytMP1OyDgAY&amp;q=site%3Alinkedin.com+Julia+Dadswell+Associate+Graduate+Recruiter</t>
  </si>
  <si>
    <t>Julia Dadswell</t>
  </si>
  <si>
    <t>Associate Graduate Recruiter</t>
  </si>
  <si>
    <t>https://www.google.com/search?newwindow=1&amp;ei=2MT0XrvGGM-vytMP1OyDgAY&amp;q=site%3Alinkedin.com+Kuldip+Bhathal+Graduate+Recruiter</t>
  </si>
  <si>
    <t>Kuldip Bhathal</t>
  </si>
  <si>
    <t>https://www.google.com/search?newwindow=1&amp;ei=2MT0XrvGGM-vytMP1OyDgAY&amp;q=site%3Alinkedin.com+Chen+Murugiah+Assistant+Vice+President+-+Lead+Campus+Recruiter</t>
  </si>
  <si>
    <t>Chen Murugiah</t>
  </si>
  <si>
    <t>Assistant Vice President - Lead Campus Recruiter</t>
  </si>
  <si>
    <t>https://www.google.com/search?newwindow=1&amp;ei=2MT0XrvGGM-vytMP1OyDgAY&amp;q=site%3Alinkedin.com+Veerali+Patel+Recruiter</t>
  </si>
  <si>
    <t>Veerali Patel</t>
  </si>
  <si>
    <t>LEARNOVATE ECOMMERCE</t>
  </si>
  <si>
    <t>https://www.google.com/search?newwindow=1&amp;ei=2MT0XrvGGM-vytMP1OyDgAY&amp;q=site%3Alinkedin.com+Abby+Bryson+University+Recruiter</t>
  </si>
  <si>
    <t>Abby Bryson</t>
  </si>
  <si>
    <t>https://www.google.com/search?newwindow=1&amp;ei=2MT0XrvGGM-vytMP1OyDgAY&amp;q=site%3Alinkedin.com+Catherine+Ives+Campus+Recruiter</t>
  </si>
  <si>
    <t>Catherine Ives</t>
  </si>
  <si>
    <t>https://www.google.com/search?newwindow=1&amp;ei=2MT0XrvGGM-vytMP1OyDgAY&amp;q=site%3Alinkedin.com+Saira+Mohammed+EMEA+University+Recruiter</t>
  </si>
  <si>
    <t>Saira Mohammed</t>
  </si>
  <si>
    <t>EMEA University Recruiter</t>
  </si>
  <si>
    <t>https://www.google.com/search?newwindow=1&amp;ei=2MT0XrvGGM-vytMP1OyDgAY&amp;q=site%3Alinkedin.com+Charlotte+Unwin+Campus+Recruiter</t>
  </si>
  <si>
    <t>Charlotte Unwin</t>
  </si>
  <si>
    <t>https://www.google.com/search?newwindow=1&amp;ei=2MT0XrvGGM-vytMP1OyDgAY&amp;q=site%3Alinkedin.com+Anna+Lathia+Senior+Program+Manager,+DEI+EMEA,+Student+Programs</t>
  </si>
  <si>
    <t>Anna Lathia</t>
  </si>
  <si>
    <t>Senior Program Manager, DEI EMEA, Student Programs</t>
  </si>
  <si>
    <t>https://www.google.com/search?newwindow=1&amp;ei=2MT0XrvGGM-vytMP1OyDgAY&amp;q=site%3Alinkedin.com+Emma+Watts+Senior+Campus+Recruiter+with+AMS</t>
  </si>
  <si>
    <t>Emma Watts</t>
  </si>
  <si>
    <t>Senior Campus Recruiter with AMS</t>
  </si>
  <si>
    <t>https://www.google.com/search?newwindow=1&amp;ei=2MT0XrvGGM-vytMP1OyDgAY&amp;q=site%3Alinkedin.com+UK+Academia+Student+Recruiter</t>
  </si>
  <si>
    <t>UK Academia</t>
  </si>
  <si>
    <t>UKAcademia Limited</t>
  </si>
  <si>
    <t>https://www.google.com/search?newwindow=1&amp;ei=2MT0XrvGGM-vytMP1OyDgAY&amp;q=site%3Alinkedin.com+Freddie+Podmore+Senior+Recruiter+&amp;+Campus+Trainer</t>
  </si>
  <si>
    <t>Freddie Podmore</t>
  </si>
  <si>
    <t>Senior Recruiter &amp; Campus Trainer</t>
  </si>
  <si>
    <t>JOE &amp; THE JUICE</t>
  </si>
  <si>
    <t>https://www.google.com/search?newwindow=1&amp;ei=2MT0XrvGGM-vytMP1OyDgAY&amp;q=site%3Alinkedin.com+Jessica+Noon+Tech+University+Graduate+Recruiter,+EMEA</t>
  </si>
  <si>
    <t>Jessica Noon</t>
  </si>
  <si>
    <t>Tech University Graduate Recruiter, EMEA</t>
  </si>
  <si>
    <t>https://www.google.com/search?newwindow=1&amp;ei=2MT0XrvGGM-vytMP1OyDgAY&amp;q=site%3Alinkedin.com+Richard+Gillett+Head+of+Recruitment+(Arden+University)</t>
  </si>
  <si>
    <t>Richard Gillett</t>
  </si>
  <si>
    <t>Head of Recruitment (Arden University)</t>
  </si>
  <si>
    <t>https://www.google.com/search?newwindow=1&amp;ei=2MT0XrvGGM-vytMP1OyDgAY&amp;q=site%3Alinkedin.com+Francesca+White+Graduate+Recruiter</t>
  </si>
  <si>
    <t>Francesca White</t>
  </si>
  <si>
    <t>https://www.google.com/search?newwindow=1&amp;ei=2MT0XrvGGM-vytMP1OyDgAY&amp;q=site%3Alinkedin.com+Diana+Ly+International+Campus+Recruiting+Manager</t>
  </si>
  <si>
    <t>Diana Ly</t>
  </si>
  <si>
    <t>International Campus Recruiting Manager</t>
  </si>
  <si>
    <t>https://www.google.com/search?newwindow=1&amp;ei=2MT0XrvGGM-vytMP1OyDgAY&amp;q=site%3Alinkedin.com+Emily+Horton+University+Recruiter</t>
  </si>
  <si>
    <t>Emily Horton</t>
  </si>
  <si>
    <t>https://www.google.com/search?newwindow=1&amp;ei=2MT0XrvGGM-vytMP1OyDgAY&amp;q=site%3Alinkedin.com+Katie+Gray+Graduate+Recruiter</t>
  </si>
  <si>
    <t>Katie Gray</t>
  </si>
  <si>
    <t>Newton Europe</t>
  </si>
  <si>
    <t>https://www.google.com/search?newwindow=1&amp;ei=2MT0XrvGGM-vytMP1OyDgAY&amp;q=site%3Alinkedin.com+Jignesh+Vaghadia+(Assoc+CIPD)+Graduate+Recruiter+–+Markets+(Sales,+Trading,+Structuring+and+Research)</t>
  </si>
  <si>
    <t>Jignesh Vaghadia (Assoc CIPD)</t>
  </si>
  <si>
    <t>Graduate Recruiter – Markets (Sales, Trading, Structuring and Research)</t>
  </si>
  <si>
    <t>https://www.google.com/search?newwindow=1&amp;ei=2MT0XrvGGM-vytMP1OyDgAY&amp;q=site%3Alinkedin.com+Nat+V.+Campus+Recruiter</t>
  </si>
  <si>
    <t>Nat V.</t>
  </si>
  <si>
    <t>https://www.google.com/search?newwindow=1&amp;ei=2MT0XrvGGM-vytMP1OyDgAY&amp;q=site%3Alinkedin.com+Suhana+Anwar+Graduate+Recruiter+-+AVP</t>
  </si>
  <si>
    <t>Suhana Anwar</t>
  </si>
  <si>
    <t>Graduate Recruiter - AVP</t>
  </si>
  <si>
    <t>https://www.google.com/search?newwindow=1&amp;ei=2MT0XrvGGM-vytMP1OyDgAY&amp;q=site%3Alinkedin.com+Harriet+Willis+Undergraduate+Programmes+Recruiter</t>
  </si>
  <si>
    <t>Harriet Willis</t>
  </si>
  <si>
    <t>Undergraduate Programmes Recruiter</t>
  </si>
  <si>
    <t>https://www.google.com/search?newwindow=1&amp;ei=2MT0XrvGGM-vytMP1OyDgAY&amp;q=site%3Alinkedin.com+fedoua+jalmous+International+Recruitment+Officer+at+University+of+Greenwich</t>
  </si>
  <si>
    <t>fedoua jalmous</t>
  </si>
  <si>
    <t>International Recruitment Officer at University of Greenwich</t>
  </si>
  <si>
    <t>https://www.google.com/search?newwindow=1&amp;ei=2MT0XrvGGM-vytMP1OyDgAY&amp;q=site%3Alinkedin.com+Andrea+Legato+Coordinator,+Student+Services+and+Undergraduate+Programs</t>
  </si>
  <si>
    <t>Andrea Legato</t>
  </si>
  <si>
    <t>Coordinator, Student Services and Undergraduate Programs</t>
  </si>
  <si>
    <t>School of Health Studies, Western University</t>
  </si>
  <si>
    <t>https://www.google.com/search?newwindow=1&amp;ei=2MT0XrvGGM-vytMP1OyDgAY&amp;q=site%3Alinkedin.com+Shireen+Loonat+University+Partnership+Recruitment+Manager</t>
  </si>
  <si>
    <t>Shireen Loonat</t>
  </si>
  <si>
    <t>University Partnership Recruitment Manager</t>
  </si>
  <si>
    <t>https://www.google.com/search?newwindow=1&amp;ei=2MT0XrvGGM-vytMP1OyDgAY&amp;q=site%3Alinkedin.com+Danielius+Asipavičius+Clearing+and+Recruitment+Ambassador</t>
  </si>
  <si>
    <t>Danielius Asipavičius</t>
  </si>
  <si>
    <t>Clearing and Recruitment Ambassador</t>
  </si>
  <si>
    <t>https://www.google.com/search?newwindow=1&amp;ei=2MT0XrvGGM-vytMP1OyDgAY&amp;q=site%3Alinkedin.com+Charlie+Setoodeh+Student+Development+Specialist+/+Program+Manager+|+University+Programs+Team</t>
  </si>
  <si>
    <t>Charlie Setoodeh</t>
  </si>
  <si>
    <t>Student Development Specialist / Program Manager | University Programs Team</t>
  </si>
  <si>
    <t>https://www.google.com/search?newwindow=1&amp;ei=2MT0XrvGGM-vytMP1OyDgAY&amp;q=site%3Alinkedin.com+Krystal+Gabriel+Senior+Graduate+Recruiter</t>
  </si>
  <si>
    <t>Krystal Gabriel</t>
  </si>
  <si>
    <t>https://www.google.com/search?newwindow=1&amp;ei=2MT0XrvGGM-vytMP1OyDgAY&amp;q=site%3Alinkedin.com+Ciara+Mitchell+(Lyons)+Graduate+Recruiter</t>
  </si>
  <si>
    <t>Ciara Mitchell (Lyons)</t>
  </si>
  <si>
    <t>Financial Conduct Authority</t>
  </si>
  <si>
    <t>https://www.google.com/search?newwindow=1&amp;ei=2MT0XrvGGM-vytMP1OyDgAY&amp;q=site%3Alinkedin.com+Andrea+Giuseppe+Foti+International+Marketing+and+Recruitment+Officer+at+City,+University+of+London</t>
  </si>
  <si>
    <t>Andrea Giuseppe Foti</t>
  </si>
  <si>
    <t>International Marketing and Recruitment Officer at City, University of London</t>
  </si>
  <si>
    <t>City, University of London</t>
  </si>
  <si>
    <t>https://www.google.com/search?newwindow=1&amp;ei=2MT0XrvGGM-vytMP1OyDgAY&amp;q=site%3Alinkedin.com+Charlotte+Davies+Vice+President+-+Securities+EMEA+Graduate+Recruiter</t>
  </si>
  <si>
    <t>Charlotte Davies</t>
  </si>
  <si>
    <t>Vice President - Securities EMEA Graduate Recruiter</t>
  </si>
  <si>
    <t>https://www.google.com/search?newwindow=1&amp;ei=2MT0XrvGGM-vytMP1OyDgAY&amp;q=site%3Alinkedin.com+Heather+Roberts+Assistant+Vice+President+Campus+Recruiter,+Corporate+Banking,+Private+Bank,+Cards+&amp;+Payments</t>
  </si>
  <si>
    <t>Heather Roberts</t>
  </si>
  <si>
    <t>Assistant Vice President Campus Recruiter, Corporate Banking, Private Bank, Cards &amp; Payments</t>
  </si>
  <si>
    <t>https://www.google.com/search?newwindow=1&amp;ei=2MT0XrvGGM-vytMP1OyDgAY&amp;q=site%3Alinkedin.com+Bukola+Enirayetan+Junior+Graduate+Recruiter</t>
  </si>
  <si>
    <t>Bukola Enirayetan</t>
  </si>
  <si>
    <t>Junior Graduate Recruiter</t>
  </si>
  <si>
    <t>https://www.google.com/search?newwindow=1&amp;ei=2MT0XrvGGM-vytMP1OyDgAY&amp;q=site%3Alinkedin.com+Joanna+Morrison+Vice+President,+Global+Technology+&amp;+Operations+Campus+Recruiter</t>
  </si>
  <si>
    <t>Joanna Morrison</t>
  </si>
  <si>
    <t>Vice President, Global Technology &amp; Operations Campus Recruiter</t>
  </si>
  <si>
    <t>https://www.google.com/search?newwindow=1&amp;ei=2MT0XrvGGM-vytMP1OyDgAY&amp;q=site%3Alinkedin.com+Madeleine+Hatton+University+Welcome+Officer</t>
  </si>
  <si>
    <t>Madeleine Hatton</t>
  </si>
  <si>
    <t>University Welcome Officer</t>
  </si>
  <si>
    <t>https://www.google.com/search?newwindow=1&amp;ei=2MT0XrvGGM-vytMP1OyDgAY&amp;q=site%3Alinkedin.com+Marnie+Wright+Campus+Recruiter</t>
  </si>
  <si>
    <t>Marnie Wright</t>
  </si>
  <si>
    <t>https://www.google.com/search?newwindow=1&amp;ei=2MT0XrvGGM-vytMP1OyDgAY&amp;q=site%3Alinkedin.com+Phill+Haig+University+Recruitment+Business+Partner+-+Sales+&amp;+CX+(Global)</t>
  </si>
  <si>
    <t>Phill Haig</t>
  </si>
  <si>
    <t>University Recruitment Business Partner - Sales &amp; CX (Global)</t>
  </si>
  <si>
    <t>https://www.google.com/search?newwindow=1&amp;ei=2MT0XrvGGM-vytMP1OyDgAY&amp;q=site%3Alinkedin.com+Fionn+Brennan+International+Pathways+Recruitment+Manager,+Queen+Mary+University+of+London</t>
  </si>
  <si>
    <t>Fionn Brennan</t>
  </si>
  <si>
    <t>International Pathways Recruitment Manager, Queen Mary University of London</t>
  </si>
  <si>
    <t>Queen Mary University of London</t>
  </si>
  <si>
    <t>https://www.google.com/search?newwindow=1&amp;ei=2MT0XrvGGM-vytMP1OyDgAY&amp;q=site%3Alinkedin.com+Abbie+Streek+Graduate+Recruiter</t>
  </si>
  <si>
    <t>Abbie Streek</t>
  </si>
  <si>
    <t>Marsh &amp; McLennan Companies</t>
  </si>
  <si>
    <t>https://www.google.com/search?newwindow=1&amp;ei=2MT0XrvGGM-vytMP1OyDgAY&amp;q=site%3Alinkedin.com+Jo+Hole+UK+Non-Tech+Recruiter,+Student+Programs</t>
  </si>
  <si>
    <t>Jo Hole</t>
  </si>
  <si>
    <t>UK Non-Tech Recruiter, Student Programs</t>
  </si>
  <si>
    <t>https://www.google.com/search?newwindow=1&amp;ei=2MT0XrvGGM-vytMP1OyDgAY&amp;q=site%3Alinkedin.com+Meg+U'Ren+Coordinator,+Student+Engagement+Programs</t>
  </si>
  <si>
    <t>Meg U'Ren</t>
  </si>
  <si>
    <t>Coordinator, Student Engagement Programs</t>
  </si>
  <si>
    <t>https://www.google.com/search?newwindow=1&amp;ei=2MT0XrvGGM-vytMP1OyDgAY&amp;q=site%3Alinkedin.com+Lorna+Culpin+University+Recruitment+Manager</t>
  </si>
  <si>
    <t>Lorna Culpin</t>
  </si>
  <si>
    <t>https://www.google.com/search?newwindow=1&amp;ei=2MT0XrvGGM-vytMP1OyDgAY&amp;q=site%3Alinkedin.com+Eleni+Miltiadous+Junior+Recruiter</t>
  </si>
  <si>
    <t>Eleni Miltiadous</t>
  </si>
  <si>
    <t>Junior Recruiter</t>
  </si>
  <si>
    <t>https://www.google.com/search?newwindow=1&amp;ei=2MT0XrvGGM-vytMP1OyDgAY&amp;q=site%3Alinkedin.com+Heena+Chaudry+Graduate+&amp;+Apprentice+Recruiter+(Contract+Role)</t>
  </si>
  <si>
    <t>Heena Chaudry</t>
  </si>
  <si>
    <t>Graduate &amp; Apprentice Recruiter (Contract Role)</t>
  </si>
  <si>
    <t>Transport for London</t>
  </si>
  <si>
    <t>https://www.google.com/search?newwindow=1&amp;ei=2MT0XrvGGM-vytMP1OyDgAY&amp;q=site%3Alinkedin.com+Kate+Lewis+University+Recruiter</t>
  </si>
  <si>
    <t>Kate Lewis</t>
  </si>
  <si>
    <t>https://www.google.com/search?newwindow=1&amp;ei=2MT0XrvGGM-vytMP1OyDgAY&amp;q=site%3Alinkedin.com+Caroline+Waack+EMEA+University+Recruiter</t>
  </si>
  <si>
    <t>Caroline Waack</t>
  </si>
  <si>
    <t>https://www.google.com/search?newwindow=1&amp;ei=2MT0XrvGGM-vytMP1OyDgAY&amp;q=site%3Alinkedin.com+Jasmina+Bharwani+EMEA+Campus+Recruiter+-+Global+Markets</t>
  </si>
  <si>
    <t>Jasmina Bharwani</t>
  </si>
  <si>
    <t>EMEA Campus Recruiter - Global Markets</t>
  </si>
  <si>
    <t>Barclays Investment Bank</t>
  </si>
  <si>
    <t>8 years 1 month in role</t>
  </si>
  <si>
    <t>https://www.google.com/search?newwindow=1&amp;ei=2MT0XrvGGM-vytMP1OyDgAY&amp;q=site%3Alinkedin.com+Carl+Shepherd+Head+of+Recruitment+(University+of+Law+Direct+Student+Recruitment)</t>
  </si>
  <si>
    <t>Carl Shepherd</t>
  </si>
  <si>
    <t>Head of Recruitment (University of Law Direct Student Recruitment)</t>
  </si>
  <si>
    <t>https://www.google.com/search?newwindow=1&amp;ei=2MT0XrvGGM-vytMP1OyDgAY&amp;q=site%3Alinkedin.com+Denise+Jackson+Project+Manager,+University+Relations+&amp;+Recruitment+Communications+(6-month+contract)</t>
  </si>
  <si>
    <t>Denise Jackson</t>
  </si>
  <si>
    <t>Project Manager, University Relations &amp; Recruitment Communications (6-month contract)</t>
  </si>
  <si>
    <t>https://www.google.com/search?newwindow=1&amp;ei=2MT0XrvGGM-vytMP1OyDgAY&amp;q=site%3Alinkedin.com+Sally+Clayton+Senior+Consultant+-+Graduate+Recruitment</t>
  </si>
  <si>
    <t>Sally Clayton</t>
  </si>
  <si>
    <t>Senior Consultant - Graduate Recruitment</t>
  </si>
  <si>
    <t>Fyte</t>
  </si>
  <si>
    <t>https://www.google.com/search?newwindow=1&amp;ei=2MT0XrvGGM-vytMP1OyDgAY&amp;q=site%3Alinkedin.com+Syed+Nabi+​+Assistant+Director+for+Overseas+Recruitment+-+​+Webster+University-Thailand+Campuses​</t>
  </si>
  <si>
    <t>Syed Nabi</t>
  </si>
  <si>
    <t>​ Assistant Director for Overseas Recruitment - ​ Webster University-Thailand Campuses​</t>
  </si>
  <si>
    <t>Webster University</t>
  </si>
  <si>
    <t>https://www.google.com/search?newwindow=1&amp;ei=2MT0XrvGGM-vytMP1OyDgAY&amp;q=site%3Alinkedin.com+Julia+Yakloveva+Graduate+Recruiter</t>
  </si>
  <si>
    <t>Julia Yakloveva</t>
  </si>
  <si>
    <t>Timberseed</t>
  </si>
  <si>
    <t>https://www.google.com/search?newwindow=1&amp;ei=2MT0XrvGGM-vytMP1OyDgAY&amp;q=site%3Alinkedin.com+Joanne+Pullen+Internship+and+Graduate+Coordinator</t>
  </si>
  <si>
    <t>Joanne Pullen</t>
  </si>
  <si>
    <t>Internship and Graduate Coordinator</t>
  </si>
  <si>
    <t>H&amp;M</t>
  </si>
  <si>
    <t>https://www.google.com/search?newwindow=1&amp;ei=2MT0XrvGGM-vytMP1OyDgAY&amp;q=site%3Alinkedin.com+Gillian+Thompson+EMEA+Student+Development+Lead,+Talent+Outreach+and+Programs</t>
  </si>
  <si>
    <t>Gillian Thompson</t>
  </si>
  <si>
    <t>EMEA Student Development Lead, Talent Outreach and Programs</t>
  </si>
  <si>
    <t>https://www.google.com/search?newwindow=1&amp;ei=2MT0XrvGGM-vytMP1OyDgAY&amp;q=site%3Alinkedin.com+Saoirse+Brewer+Campus+Recruiter+&amp;+Programme+Manager</t>
  </si>
  <si>
    <t>Saoirse Brewer</t>
  </si>
  <si>
    <t>Campus Recruiter &amp; Programme Manager</t>
  </si>
  <si>
    <t>https://www.google.com/search?newwindow=1&amp;ei=2MT0XrvGGM-vytMP1OyDgAY&amp;q=site%3Alinkedin.com+Harriet+Phillips+University+Recruiter</t>
  </si>
  <si>
    <t>Harriet Phillips</t>
  </si>
  <si>
    <t>https://www.google.com/search?newwindow=1&amp;ei=2MT0XrvGGM-vytMP1OyDgAY&amp;q=site%3Alinkedin.com+Catherine+Robinson+University+Recruiter</t>
  </si>
  <si>
    <t>Catherine Robinson</t>
  </si>
  <si>
    <t>The Boston Consulting Group</t>
  </si>
  <si>
    <t>https://www.google.com/search?newwindow=1&amp;ei=2MT0XrvGGM-vytMP1OyDgAY&amp;q=site%3Alinkedin.com+Mark+Nicholson+Graduate+Recruiter</t>
  </si>
  <si>
    <t>Mark Nicholson</t>
  </si>
  <si>
    <t>BNP Paribas</t>
  </si>
  <si>
    <t>10 years  in role</t>
  </si>
  <si>
    <t>https://www.google.com/search?newwindow=1&amp;ei=2MT0XrvGGM-vytMP1OyDgAY&amp;q=site%3Alinkedin.com+Tom+Cole+Graduate+Recruitment+Officer+-+University+of+Oxford</t>
  </si>
  <si>
    <t>Tom Cole</t>
  </si>
  <si>
    <t>Graduate Recruitment Officer - University of Oxford</t>
  </si>
  <si>
    <t>https://www.google.com/search?newwindow=1&amp;ei=2MT0XrvGGM-vytMP1OyDgAY&amp;q=site%3Alinkedin.com+Matthew+Jones+Senior+Recruiter</t>
  </si>
  <si>
    <t>Matthew Jones</t>
  </si>
  <si>
    <t>BlockworkIT</t>
  </si>
  <si>
    <t>https://www.google.com/search?newwindow=1&amp;ei=2MT0XrvGGM-vytMP1OyDgAY&amp;q=site%3Alinkedin.com+Alison+Lane+Graduate+Recruiter</t>
  </si>
  <si>
    <t>Alison Lane</t>
  </si>
  <si>
    <t>https://www.google.com/search?newwindow=1&amp;ei=2MT0XrvGGM-vytMP1OyDgAY&amp;q=site%3Alinkedin.com+Kirsten+Steen+Graduate+Technology+Recruiter</t>
  </si>
  <si>
    <t>Kirsten Steen</t>
  </si>
  <si>
    <t>Graduate Technology Recruiter</t>
  </si>
  <si>
    <t>Burns Sheehan</t>
  </si>
  <si>
    <t>https://www.google.com/search?newwindow=1&amp;ei=2MT0XrvGGM-vytMP1OyDgAY&amp;q=site%3Alinkedin.com+Selina+Li+EMEA+Graduate+Recruiter</t>
  </si>
  <si>
    <t>Selina Li</t>
  </si>
  <si>
    <t>https://www.google.com/search?newwindow=1&amp;ei=2MT0XrvGGM-vytMP1OyDgAY&amp;q=site%3Alinkedin.com+Lucy+Rubin+(CIPD)+Engineering+Recruitment+Lead</t>
  </si>
  <si>
    <t>Lucy Rubin (CIPD)</t>
  </si>
  <si>
    <t>Engineering Recruitment Lead</t>
  </si>
  <si>
    <t>https://www.google.com/search?newwindow=1&amp;ei=2MT0XrvGGM-vytMP1OyDgAY&amp;q=site%3Alinkedin.com+Claire+Smith(LION)claire.smith@ochrehouse.com+Recruiting+Business+Partner</t>
  </si>
  <si>
    <t>Claire Smith(LION)claire.smith@ochrehouse.com</t>
  </si>
  <si>
    <t>Recruiting Business Partner</t>
  </si>
  <si>
    <t>Cielo Talent</t>
  </si>
  <si>
    <t>https://www.google.com/search?newwindow=1&amp;ei=2MT0XrvGGM-vytMP1OyDgAY&amp;q=site%3Alinkedin.com+Carmen+Wan+Full+Cycle+University+Recruiter,+Software+Engineering,+EMEA</t>
  </si>
  <si>
    <t>Carmen Wan</t>
  </si>
  <si>
    <t>Full Cycle University Recruiter, Software Engineering, EMEA</t>
  </si>
  <si>
    <t>https://www.google.com/search?newwindow=1&amp;ei=2MT0XrvGGM-vytMP1OyDgAY&amp;q=site%3Alinkedin.com+Alexandra+Mitchell+Graduate+Recruiter</t>
  </si>
  <si>
    <t>Alexandra Mitchell</t>
  </si>
  <si>
    <t>Latham &amp; Watkins</t>
  </si>
  <si>
    <t>https://www.google.com/search?newwindow=1&amp;ei=2MT0XrvGGM-vytMP1OyDgAY&amp;q=site%3Alinkedin.com+nicole+gunn+Graduate+Recruiter</t>
  </si>
  <si>
    <t>nicole gunn</t>
  </si>
  <si>
    <t>Contracts IT</t>
  </si>
  <si>
    <t>https://www.google.com/search?newwindow=1&amp;ei=2MT0XrvGGM-vytMP1OyDgAY&amp;q=site%3Alinkedin.com+Hayley+Pinnell+Campus+Recruiter</t>
  </si>
  <si>
    <t>Hayley Pinnell</t>
  </si>
  <si>
    <t>https://www.google.com/search?newwindow=1&amp;ei=2MT0XrvGGM-vytMP1OyDgAY&amp;q=site%3Alinkedin.com+Jane+Howard+University+Recruitment+Account+Manager</t>
  </si>
  <si>
    <t>Jane Howard</t>
  </si>
  <si>
    <t>University Recruitment Account Manager</t>
  </si>
  <si>
    <t>GSK</t>
  </si>
  <si>
    <t>14 years 10 months in company</t>
  </si>
  <si>
    <t>https://www.google.com/search?newwindow=1&amp;ei=2MT0XrvGGM-vytMP1OyDgAY&amp;q=site%3Alinkedin.com+Louise+Giron+Graduate+&amp;+Analyst+Recruiter</t>
  </si>
  <si>
    <t>Louise Giron</t>
  </si>
  <si>
    <t>Graduate &amp; Analyst Recruiter</t>
  </si>
  <si>
    <t>https://www.google.com/search?newwindow=1&amp;ei=2MT0XrvGGM-vytMP1OyDgAY&amp;q=site%3Alinkedin.com+George+Sargent+Recruitment+Consultant+-+Germany</t>
  </si>
  <si>
    <t>George Sargent</t>
  </si>
  <si>
    <t>Recruitment Consultant - Germany</t>
  </si>
  <si>
    <t>Vivid Resourcing Ltd</t>
  </si>
  <si>
    <t>https://www.google.com/search?newwindow=1&amp;ei=2MT0XrvGGM-vytMP1OyDgAY&amp;q=site%3Alinkedin.com+Claire+Paxton+Graduate+Recruiter</t>
  </si>
  <si>
    <t>Claire Paxton</t>
  </si>
  <si>
    <t>Atos Origin</t>
  </si>
  <si>
    <t>https://www.google.com/search?newwindow=1&amp;ei=2MT0XrvGGM-vytMP1OyDgAY&amp;q=site%3Alinkedin.com+Victoria+Webster+University+Recruitment+Co-ordinator</t>
  </si>
  <si>
    <t>Victoria Webster</t>
  </si>
  <si>
    <t>University Recruitment Co-ordinator</t>
  </si>
  <si>
    <t>GlaxoSmithKline</t>
  </si>
  <si>
    <t>9 years 4 months in role and company</t>
  </si>
  <si>
    <t>https://www.google.com/search?newwindow=1&amp;ei=2MT0XrvGGM-vytMP1OyDgAY&amp;q=site%3Alinkedin.com+Claire+A.+Marshall+Undergraduate+Projects+and+Programmes</t>
  </si>
  <si>
    <t>Claire A. Marshall</t>
  </si>
  <si>
    <t>Undergraduate Projects and Programmes</t>
  </si>
  <si>
    <t>7 years 5 months in role</t>
  </si>
  <si>
    <t>https://www.google.com/search?newwindow=1&amp;ei=2MT0XrvGGM-vytMP1OyDgAY&amp;q=site%3Alinkedin.com+Priti+Patel+Graduate+Recruiter</t>
  </si>
  <si>
    <t>Priti Patel</t>
  </si>
  <si>
    <t>https://www.google.com/search?newwindow=1&amp;ei=2MT0XrvGGM-vytMP1OyDgAY&amp;q=site%3Alinkedin.com+Neeta+Patel+Graduate+Recruiter</t>
  </si>
  <si>
    <t>Neeta Patel</t>
  </si>
  <si>
    <t>Deustche Bank</t>
  </si>
  <si>
    <t>https://www.google.com/search?newwindow=1&amp;ei=2MT0XrvGGM-vytMP1OyDgAY&amp;q=site%3Alinkedin.com+Saoirse+Brewer+Campus+Recruiter</t>
  </si>
  <si>
    <t>https://www.google.com/search?newwindow=1&amp;ei=2MT0XrvGGM-vytMP1OyDgAY&amp;q=site%3Alinkedin.com+Nikki+Andrews+Graduate+Recruiter</t>
  </si>
  <si>
    <t>Nikki Andrews</t>
  </si>
  <si>
    <t>Resource Solutions</t>
  </si>
  <si>
    <t>https://www.google.com/search?newwindow=1&amp;ei=2MT0XrvGGM-vytMP1OyDgAY&amp;q=site%3Alinkedin.com+Rachel+Bloem+Campus+Recruiter</t>
  </si>
  <si>
    <t>Rachel Bloem</t>
  </si>
  <si>
    <t>Maandag®</t>
  </si>
  <si>
    <t>https://www.google.com/search?newwindow=1&amp;ei=2MT0XrvGGM-vytMP1OyDgAY&amp;q=site%3Alinkedin.com+Michelle+Chenneour+Graduate+Recruiter</t>
  </si>
  <si>
    <t>Michelle Chenneour</t>
  </si>
  <si>
    <t>EDS</t>
  </si>
  <si>
    <t>https://www.google.com/search?newwindow=1&amp;ei=2MT0XrvGGM-vytMP1OyDgAY&amp;q=site%3Alinkedin.com+Maria+Da+Costa+Graduate+Recruiter</t>
  </si>
  <si>
    <t>Maria Da Costa</t>
  </si>
  <si>
    <t>Cerner Corporation</t>
  </si>
  <si>
    <t>https://www.google.com/search?newwindow=1&amp;ei=2MT0XrvGGM-vytMP1OyDgAY&amp;q=site%3Alinkedin.com+Margot+Johnston+Graduate+Recruitment+Officer+-+Oxford+University</t>
  </si>
  <si>
    <t>Margot Johnston</t>
  </si>
  <si>
    <t>Graduate Recruitment Officer - Oxford University</t>
  </si>
  <si>
    <t>https://www.google.com/search?newwindow=1&amp;ei=2MT0XrvGGM-vytMP1OyDgAY&amp;q=site%3Alinkedin.com+Lisa-Jane+Ryan+Graduate+Recruiter</t>
  </si>
  <si>
    <t>Lisa-Jane Ryan</t>
  </si>
  <si>
    <t>Lehman Brothers</t>
  </si>
  <si>
    <t>https://www.google.com/search?newwindow=1&amp;ei=2MT0XrvGGM-vytMP1OyDgAY&amp;q=site%3Alinkedin.com+natasha+salt+Recruiter</t>
  </si>
  <si>
    <t>natasha salt</t>
  </si>
  <si>
    <t>RigManpower</t>
  </si>
  <si>
    <t>https://www.google.com/search?newwindow=1&amp;ei=2MT0XrvGGM-vytMP1OyDgAY&amp;q=site%3Alinkedin.com+Tanzim+Akhtar+Graduate+Recruiter</t>
  </si>
  <si>
    <t>Tanzim Akhtar</t>
  </si>
  <si>
    <t>Michael Page</t>
  </si>
  <si>
    <t>https://www.google.com/search?newwindow=1&amp;ei=2MT0XrvGGM-vytMP1OyDgAY&amp;q=site%3Alinkedin.com+Worldwide+Student+Services+Ltd+Student+Recruiter</t>
  </si>
  <si>
    <t>Worldwide Student Services Ltd</t>
  </si>
  <si>
    <t>Worldwide Student Services</t>
  </si>
  <si>
    <t>https://www.google.com/search?newwindow=1&amp;ei=2MT0XrvGGM-vytMP1OyDgAY&amp;q=site%3Alinkedin.com+Jo+Brady+</t>
  </si>
  <si>
    <t>Jo Brady</t>
  </si>
  <si>
    <t>https://www.google.com/search?newwindow=1&amp;ei=2MT0XrvGGM-vytMP1OyDgAY&amp;q=site%3Alinkedin.com+Jocelyn+Ross+Graduate+Recruiter</t>
  </si>
  <si>
    <t>Jocelyn Ross</t>
  </si>
  <si>
    <t>Lyon Recruits</t>
  </si>
  <si>
    <t>https://www.google.com/search?newwindow=1&amp;ei=2MT0XrvGGM-vytMP1OyDgAY&amp;q=site%3Alinkedin.com+Shabaz+Ahmad+Student+Recruiter</t>
  </si>
  <si>
    <t>Shabaz Ahmad</t>
  </si>
  <si>
    <t>Global Connect</t>
  </si>
  <si>
    <t>https://www.google.com/search?newwindow=1&amp;ei=2MT0XrvGGM-vytMP1OyDgAY&amp;q=site%3Alinkedin.com+Zaineb+Javed+Student+Recruiter</t>
  </si>
  <si>
    <t>Zaineb Javed</t>
  </si>
  <si>
    <t>Learning 2 Learn</t>
  </si>
  <si>
    <t>https://www.google.com/search?newwindow=1&amp;ei=2MT0XrvGGM-vytMP1OyDgAY&amp;q=site%3Alinkedin.com+Zulfu+Aslanli+student+recruiter</t>
  </si>
  <si>
    <t>Zulfu Aslanli</t>
  </si>
  <si>
    <t>student recruiter</t>
  </si>
  <si>
    <t>Hult International Business School</t>
  </si>
  <si>
    <t>https://www.google.com/search?newwindow=1&amp;ei=2MT0XrvGGM-vytMP1OyDgAY&amp;q=site%3Alinkedin.com+Adz+Saleh+student+recruiter</t>
  </si>
  <si>
    <t>Adz Saleh</t>
  </si>
  <si>
    <t>east london school of english</t>
  </si>
  <si>
    <t>https://www.google.com/search?newwindow=1&amp;ei=2MT0XrvGGM-vytMP1OyDgAY&amp;q=site%3Alinkedin.com+Denise+Y.+Graduate+Recruiter</t>
  </si>
  <si>
    <t>Denise Y.</t>
  </si>
  <si>
    <t>https://www.google.com/search?newwindow=1&amp;ei=2MT0XrvGGM-vytMP1OyDgAY&amp;q=site%3Alinkedin.com+Emily+Newton+Campus+Recruiting+Associate</t>
  </si>
  <si>
    <t>Emily Newton</t>
  </si>
  <si>
    <t>https://www.google.com/search?newwindow=1&amp;ei=2MT0XrvGGM-vytMP1OyDgAY&amp;q=site%3Alinkedin.com+Divya+Shenoy+Campus+Recruiting+Manager</t>
  </si>
  <si>
    <t>https://www.google.com/search?newwindow=1&amp;ei=2MT0XrvGGM-vytMP1OyDgAY&amp;q=site%3Alinkedin.com+Yasamin+Yeganeh+Campus+Recruiting+Specialist</t>
  </si>
  <si>
    <t>Yasamin Yeganeh</t>
  </si>
  <si>
    <t>https://www.google.com/search?newwindow=1&amp;ei=2MT0XrvGGM-vytMP1OyDgAY&amp;q=site%3Alinkedin.com+Rosie+Boyland+Senior+Campus+Recruiting+Specialist</t>
  </si>
  <si>
    <t>Rosie Boyland</t>
  </si>
  <si>
    <t>https://www.google.com/search?newwindow=1&amp;ei=2MT0XrvGGM-vytMP1OyDgAY&amp;q=site%3Alinkedin.com+Maddie+Mohr+Senior+Campus+Recruiting+Associate,+Talent+Attraction+and+Acquisition</t>
  </si>
  <si>
    <t>Maddie Mohr</t>
  </si>
  <si>
    <t>Senior Campus Recruiting Associate, Talent Attraction and Acquisition</t>
  </si>
  <si>
    <t>https://www.google.com/search?newwindow=1&amp;ei=2MT0XrvGGM-vytMP1OyDgAY&amp;q=site%3Alinkedin.com+Yesenia+Turcios+Campus+Recruiting+Coordinator+-+Financial+Services+Organization</t>
  </si>
  <si>
    <t>Yesenia Turcios</t>
  </si>
  <si>
    <t>Campus Recruiting Coordinator - Financial Services Organization</t>
  </si>
  <si>
    <t>https://www.google.com/search?newwindow=1&amp;ei=2MT0XrvGGM-vytMP1OyDgAY&amp;q=site%3Alinkedin.com+Jennifer+Cohen,+PHR+Campus+Recruiting+Manager</t>
  </si>
  <si>
    <t>https://www.google.com/search?newwindow=1&amp;ei=2MT0XrvGGM-vytMP1OyDgAY&amp;q=site%3Alinkedin.com+Brittany+Cicmanec+Campus+Recruiting+Coordinator+-+Audit,+Tax,+and+Advisory</t>
  </si>
  <si>
    <t>Brittany Cicmanec</t>
  </si>
  <si>
    <t>Campus Recruiting Coordinator - Audit, Tax, and Advisory</t>
  </si>
  <si>
    <t>https://www.google.com/search?newwindow=1&amp;ei=2MT0XrvGGM-vytMP1OyDgAY&amp;q=site%3Alinkedin.com+Keilyn+Robinson,+MSW+Campus+Recruiting+Coordinator</t>
  </si>
  <si>
    <t>Keilyn Robinson, MSW</t>
  </si>
  <si>
    <t>https://www.google.com/search?newwindow=1&amp;ei=2MT0XrvGGM-vytMP1OyDgAY&amp;q=site%3Alinkedin.com+Jessica+Vittas+(she,+her,+hers)+Campus+Development+Manager:+Campus+Recruiting</t>
  </si>
  <si>
    <t>https://www.google.com/search?newwindow=1&amp;ei=2MT0XrvGGM-vytMP1OyDgAY&amp;q=site%3Alinkedin.com+Sarah+Hoyos+Campus+Recruiting+Specialist</t>
  </si>
  <si>
    <t>Sarah Hoyos</t>
  </si>
  <si>
    <t>https://www.google.com/search?newwindow=1&amp;ei=2MT0XrvGGM-vytMP1OyDgAY&amp;q=site%3Alinkedin.com+Angela+Vasquez-Delgado+West+Region+Tax+Campus+Recruiting+Lead</t>
  </si>
  <si>
    <t>Angela Vasquez-Delgado</t>
  </si>
  <si>
    <t>West Region Tax Campus Recruiting Lead</t>
  </si>
  <si>
    <t>https://www.google.com/search?newwindow=1&amp;ei=2MT0XrvGGM-vytMP1OyDgAY&amp;q=site%3Alinkedin.com+Amanda+Garcia+Southwest+Tax+Campus+Recruiting+Manager</t>
  </si>
  <si>
    <t>https://www.google.com/search?newwindow=1&amp;ei=2MT0XrvGGM-vytMP1OyDgAY&amp;q=site%3Alinkedin.com+Francesca+Jones+Campus+Recruiting+Leader+-+Financial+Services+Organization</t>
  </si>
  <si>
    <t>https://www.google.com/search?newwindow=1&amp;ei=2MT0XrvGGM-vytMP1OyDgAY&amp;q=site%3Alinkedin.com+Laura+Tapia+Campus+Recruiting+Specialist</t>
  </si>
  <si>
    <t>Laura Tapia</t>
  </si>
  <si>
    <t>https://www.google.com/search?newwindow=1&amp;ei=2MT0XrvGGM-vytMP1OyDgAY&amp;q=site%3Alinkedin.com+Jackie+Devitt+Assistant+Director+-+Campus+Recruiting</t>
  </si>
  <si>
    <t>Jackie Devitt</t>
  </si>
  <si>
    <t>Assistant Director - Campus Recruiting</t>
  </si>
  <si>
    <t>7 years 3 months in role and company</t>
  </si>
  <si>
    <t>https://www.google.com/search?newwindow=1&amp;ei=2MT0XrvGGM-vytMP1OyDgAY&amp;q=site%3Alinkedin.com+Sophia+Gooden+Campus+Recruiting+Specialist++|++Deloitte+Consulting++|++Technology</t>
  </si>
  <si>
    <t>Sophia Gooden</t>
  </si>
  <si>
    <t>Campus Recruiting Specialist  |  Deloitte Consulting  |  Technology</t>
  </si>
  <si>
    <t>5 years 9 months in role</t>
  </si>
  <si>
    <t>https://www.google.com/search?newwindow=1&amp;ei=2MT0XrvGGM-vytMP1OyDgAY&amp;q=site%3Alinkedin.com+Hanna+Murphy+Campus+Recruiting+Coordinator</t>
  </si>
  <si>
    <t>Hanna Murphy</t>
  </si>
  <si>
    <t>https://www.google.com/search?newwindow=1&amp;ei=2MT0XrvGGM-vytMP1OyDgAY&amp;q=site%3Alinkedin.com+Liz+Trevor+Primary+Recruiting+Manager+for+LA/OC+Advisory:+Campus+Recruiting</t>
  </si>
  <si>
    <t>https://www.google.com/search?newwindow=1&amp;ei=2MT0XrvGGM-vytMP1OyDgAY&amp;q=site%3Alinkedin.com+Angela+Wong+Pacific+Southwest+Business+Unit+Lead,+Tax+Campus+Recruiting</t>
  </si>
  <si>
    <t>Angela Wong</t>
  </si>
  <si>
    <t>Pacific Southwest Business Unit Lead, Tax Campus Recruiting</t>
  </si>
  <si>
    <t>https://www.google.com/search?newwindow=1&amp;ei=2MT0XrvGGM-vytMP1OyDgAY&amp;q=site%3Alinkedin.com+Gabriella+Campos+Mariani+Senior+Campus+Recruiting+Specialist</t>
  </si>
  <si>
    <t>Gabriella Campos Mariani</t>
  </si>
  <si>
    <t>https://www.google.com/search?newwindow=1&amp;ei=2MT0XrvGGM-vytMP1OyDgAY&amp;q=site%3Alinkedin.com+Necia+Dunlap+Business+Unit+Coordinator</t>
  </si>
  <si>
    <t>Necia Dunlap</t>
  </si>
  <si>
    <t>Business Unit Coordinator</t>
  </si>
  <si>
    <t>https://www.google.com/search?newwindow=1&amp;ei=2MT0XrvGGM-vytMP1OyDgAY&amp;q=site%3Alinkedin.com+Shannon+Kaiser+Campus+Recruiting+Manager</t>
  </si>
  <si>
    <t>https://www.google.com/search?newwindow=1&amp;ei=2MT0XrvGGM-vytMP1OyDgAY&amp;q=site%3Alinkedin.com+Mike+Gunter+Campus+Recruiting</t>
  </si>
  <si>
    <t>Mike Gunter</t>
  </si>
  <si>
    <t>Deloitte Los Angeles</t>
  </si>
  <si>
    <t>https://www.google.com/search?newwindow=1&amp;ei=2MT0XrvGGM-vytMP1OyDgAY&amp;q=site%3Alinkedin.com+Marsha+Hinckley-Christie+West+Area+Director+of+Campus+Recruiting</t>
  </si>
  <si>
    <t>Marsha Hinckley-Christie</t>
  </si>
  <si>
    <t>West Area Director of Campus Recruiting</t>
  </si>
  <si>
    <t>Los Angeles County</t>
  </si>
  <si>
    <t>https://www.google.com/search?newwindow=1&amp;ei=2MT0XrvGGM-vytMP1OyDgAY&amp;q=site%3Alinkedin.com+Rene'+Newsome+Campus+Recruiting+Manager</t>
  </si>
  <si>
    <t>https://www.google.com/search?newwindow=1&amp;ei=2MT0XrvGGM-vytMP1OyDgAY&amp;q=site%3Alinkedin.com+Anna+Longar+Associate+Director,+University+Recruiting</t>
  </si>
  <si>
    <t>https://www.google.com/search?newwindow=1&amp;ei=2MT0XrvGGM-vytMP1OyDgAY&amp;q=site%3Alinkedin.com+Nicholas+Lloyd+Graduate+Recruitment+and+University+Partnerships</t>
  </si>
  <si>
    <t>Nicholas Lloyd</t>
  </si>
  <si>
    <t>Graduate Recruitment and University Partnerships</t>
  </si>
  <si>
    <t>Macquarie Park</t>
  </si>
  <si>
    <t>https://www.google.com/search?newwindow=1&amp;ei=2MT0XrvGGM-vytMP1OyDgAY&amp;q=site%3Alinkedin.com+Shannon+Healey+Permanent+Placement+Helathcare+Recruiter</t>
  </si>
  <si>
    <t>Shannon Healey</t>
  </si>
  <si>
    <t>Permanent Placement Helathcare Recruiter</t>
  </si>
  <si>
    <t>CoreMedical Group</t>
  </si>
  <si>
    <t>Manchester</t>
  </si>
  <si>
    <t>https://www.google.com/search?newwindow=1&amp;ei=2MT0XrvGGM-vytMP1OyDgAY&amp;q=site%3Alinkedin.com+Ash+Knight+Owner+/+Founder+/+Recruiter+(SaaS,+Graduate,+Sales,+Marketing+&amp;+Operations+Recruitment+&amp;+Rec2Rec)</t>
  </si>
  <si>
    <t>Ash Knight</t>
  </si>
  <si>
    <t>Owner / Founder / Recruiter (SaaS, Graduate, Sales, Marketing &amp; Operations Recruitment &amp; Rec2Rec)</t>
  </si>
  <si>
    <t>Ashley James Group</t>
  </si>
  <si>
    <t>https://www.google.com/search?newwindow=1&amp;ei=2MT0XrvGGM-vytMP1OyDgAY&amp;q=site%3Alinkedin.com+Charlotte+Curle+University+Recruiter</t>
  </si>
  <si>
    <t>Charlotte Curle</t>
  </si>
  <si>
    <t>https://www.google.com/search?newwindow=1&amp;ei=2MT0XrvGGM-vytMP1OyDgAY&amp;q=site%3Alinkedin.com+Damian+Cripps+Network+Graduate+and+Apprentice+Support+Manager</t>
  </si>
  <si>
    <t>Damian Cripps</t>
  </si>
  <si>
    <t>Network Graduate and Apprentice Support Manager</t>
  </si>
  <si>
    <t>DPDgroup UK Limited</t>
  </si>
  <si>
    <t>https://www.google.com/search?newwindow=1&amp;ei=2MT0XrvGGM-vytMP1OyDgAY&amp;q=site%3Alinkedin.com+Matthew+Williamson+Head+of+University+Recruitment</t>
  </si>
  <si>
    <t>Matthew Williamson</t>
  </si>
  <si>
    <t>Head of University Recruitment</t>
  </si>
  <si>
    <t>https://www.google.com/search?newwindow=1&amp;ei=2MT0XrvGGM-vytMP1OyDgAY&amp;q=site%3Alinkedin.com+Erin+Mckelvey+University+Recruitment+Manager</t>
  </si>
  <si>
    <t>Erin Mckelvey</t>
  </si>
  <si>
    <t>https://www.google.com/search?newwindow=1&amp;ei=2MT0XrvGGM-vytMP1OyDgAY&amp;q=site%3Alinkedin.com+Tyler+Antonia+Datlen+Student+Recruiter+&amp;+Support+Advisor</t>
  </si>
  <si>
    <t>Tyler Antonia Datlen</t>
  </si>
  <si>
    <t>Student Recruiter &amp; Support Advisor</t>
  </si>
  <si>
    <t>The Open University</t>
  </si>
  <si>
    <t>https://www.google.com/search?newwindow=1&amp;ei=2MT0XrvGGM-vytMP1OyDgAY&amp;q=site%3Alinkedin.com+Ffion+Rees+Hughes+Head+of+Marketing+and+Recruitment,+University+of+Manchester+Worldwide</t>
  </si>
  <si>
    <t>Ffion Rees Hughes</t>
  </si>
  <si>
    <t>Head of Marketing and Recruitment, University of Manchester Worldwide</t>
  </si>
  <si>
    <t>The University of Manchester</t>
  </si>
  <si>
    <t>https://www.google.com/search?newwindow=1&amp;ei=2MT0XrvGGM-vytMP1OyDgAY&amp;q=site%3Alinkedin.com+Jessica+McDonagh+Sales+Recruiter</t>
  </si>
  <si>
    <t>Jessica McDonagh</t>
  </si>
  <si>
    <t>Sales Recruiter</t>
  </si>
  <si>
    <t>ao.com</t>
  </si>
  <si>
    <t>https://www.google.com/search?newwindow=1&amp;ei=2MT0XrvGGM-vytMP1OyDgAY&amp;q=site%3Alinkedin.com+Bridgewater+Graduates+Graduate+Recruiter</t>
  </si>
  <si>
    <t>Bridgewater Graduates</t>
  </si>
  <si>
    <t>Bridgewater Resources UK</t>
  </si>
  <si>
    <t>12 years 1 month in role and company</t>
  </si>
  <si>
    <t>https://www.google.com/search?newwindow=1&amp;ei=2MT0XrvGGM-vytMP1OyDgAY&amp;q=site%3Alinkedin.com+Rachael+Jordan+Recruitment+and+Admissions+Manager,+University+Language+Centre</t>
  </si>
  <si>
    <t>Rachael Jordan</t>
  </si>
  <si>
    <t>Recruitment and Admissions Manager, University Language Centre</t>
  </si>
  <si>
    <t>https://www.google.com/search?newwindow=1&amp;ei=2MT0XrvGGM-vytMP1OyDgAY&amp;q=site%3Alinkedin.com+Stefan+Kosharevski+Recruitment+assistant+and+mental+health+project+coordinator</t>
  </si>
  <si>
    <t>Stefan Kosharevski</t>
  </si>
  <si>
    <t>Recruitment assistant and mental health project coordinator</t>
  </si>
  <si>
    <t>Treatment without Borders</t>
  </si>
  <si>
    <t>https://www.google.com/search?newwindow=1&amp;ei=2MT0XrvGGM-vytMP1OyDgAY&amp;q=site%3Alinkedin.com+Noor+Albeldawe+Official+International+Recruitment+Representative+of+Liverpool+John+Moores+University</t>
  </si>
  <si>
    <t>Noor Albeldawe</t>
  </si>
  <si>
    <t>Official International Recruitment Representative of Liverpool John Moores University</t>
  </si>
  <si>
    <t>Liverpool John Moores University</t>
  </si>
  <si>
    <t>https://www.google.com/search?newwindow=1&amp;ei=2MT0XrvGGM-vytMP1OyDgAY&amp;q=site%3Alinkedin.com+ian+Nuttall+Campus+Recruiting+Manager</t>
  </si>
  <si>
    <t>ian Nuttall</t>
  </si>
  <si>
    <t>Oldham College</t>
  </si>
  <si>
    <t>https://www.google.com/search?newwindow=1&amp;ei=2MT0XrvGGM-vytMP1OyDgAY&amp;q=site%3Alinkedin.com+Jerry+Kirby+Campus+Recruiting+Representative</t>
  </si>
  <si>
    <t>Jerry Kirby</t>
  </si>
  <si>
    <t>Campus Recruiting Representative</t>
  </si>
  <si>
    <t>https://www.google.com/search?newwindow=1&amp;ei=2MT0XrvGGM-vytMP1OyDgAY&amp;q=site%3Alinkedin.com+Anuja+J.+Programs+Specialist,+Member+and+Student+Experience</t>
  </si>
  <si>
    <t>Anuja J.</t>
  </si>
  <si>
    <t>Programs Specialist, Member and Student Experience</t>
  </si>
  <si>
    <t>Markham</t>
  </si>
  <si>
    <t>https://www.google.com/search?newwindow=1&amp;ei=2MT0XrvGGM-vytMP1OyDgAY&amp;q=site%3Alinkedin.com+Tiffany+Kwok+Placement+Student</t>
  </si>
  <si>
    <t>Tiffany Kwok</t>
  </si>
  <si>
    <t>Placement Student</t>
  </si>
  <si>
    <t>City of Toronto - Social Development, Finance, Administration Division</t>
  </si>
  <si>
    <t>https://www.google.com/search?newwindow=1&amp;ei=2MT0XrvGGM-vytMP1OyDgAY&amp;q=site%3Alinkedin.com+Kelly+Chen+International+Student+Programs+Assistant</t>
  </si>
  <si>
    <t>Kelly Chen</t>
  </si>
  <si>
    <t>International Student Programs Assistant</t>
  </si>
  <si>
    <t>https://www.google.com/search?newwindow=1&amp;ei=2MT0XrvGGM-vytMP1OyDgAY&amp;q=site%3Alinkedin.com+Amanda+Moir+Internal+Recruitment+Executive+|+Candidate+Acquisition+Specialist+|+Graduate+Recruiter</t>
  </si>
  <si>
    <t>Amanda Moir</t>
  </si>
  <si>
    <t>Internal Recruitment Executive | Candidate Acquisition Specialist | Graduate Recruiter</t>
  </si>
  <si>
    <t>Softcat plc</t>
  </si>
  <si>
    <t>Marlow</t>
  </si>
  <si>
    <t>https://www.google.com/search?newwindow=1&amp;ei=2MT0XrvGGM-vytMP1OyDgAY&amp;q=site%3Alinkedin.com+De'Shay+Turner+Campus+Recruiting+Supervising+Associate</t>
  </si>
  <si>
    <t>De'Shay Turner</t>
  </si>
  <si>
    <t>Campus Recruiting Supervising Associate</t>
  </si>
  <si>
    <t>https://www.google.com/search?newwindow=1&amp;ei=2MT0XrvGGM-vytMP1OyDgAY&amp;q=site%3Alinkedin.com+Rheanna+Martino+Assistant+Director,+Talent+Attraction+&amp;+Acquisition+–+Campus+Recruiting</t>
  </si>
  <si>
    <t>Rheanna Martino</t>
  </si>
  <si>
    <t>Assistant Director, Talent Attraction &amp; Acquisition – Campus Recruiting</t>
  </si>
  <si>
    <t>https://www.google.com/search?newwindow=1&amp;ei=2MT0XrvGGM-vytMP1OyDgAY&amp;q=site%3Alinkedin.com+Kelli+Bakopanos+(Speidel)+Federal+Campus+Recruiting+Senior+Manager</t>
  </si>
  <si>
    <t>https://www.google.com/search?newwindow=1&amp;ei=2MT0XrvGGM-vytMP1OyDgAY&amp;q=site%3Alinkedin.com+Aaron+Hendrickson+Senior+Manager,+Campus+Recruiting</t>
  </si>
  <si>
    <t>https://www.google.com/search?newwindow=1&amp;ei=2MT0XrvGGM-vytMP1OyDgAY&amp;q=site%3Alinkedin.com+Kerry+Watson+Coordinator+of+Student+Services+(Primary+Programs)</t>
  </si>
  <si>
    <t>Kerry Watson</t>
  </si>
  <si>
    <t>Coordinator of Student Services (Primary Programs)</t>
  </si>
  <si>
    <t>Prairie Rose School Division No. 8</t>
  </si>
  <si>
    <t>Medicine Hat</t>
  </si>
  <si>
    <t>https://www.google.com/search?newwindow=1&amp;ei=2MT0XrvGGM-vytMP1OyDgAY&amp;q=site%3Alinkedin.com+Maggie+Mansfield+Campus+Recruiting+Coordinator</t>
  </si>
  <si>
    <t>Maggie Mansfield</t>
  </si>
  <si>
    <t>Medway</t>
  </si>
  <si>
    <t>https://www.google.com/search?newwindow=1&amp;ei=2MT0XrvGGM-vytMP1OyDgAY&amp;q=site%3Alinkedin.com+Cristina+B.+Talent+Acquisition+Campus+Recruiter+for+PwC+Legal+and+Strategy&amp;</t>
  </si>
  <si>
    <t>Cristina B.</t>
  </si>
  <si>
    <t>Talent Acquisition Campus Recruiter for PwC Legal and Strategy&amp;</t>
  </si>
  <si>
    <t>Melbourne</t>
  </si>
  <si>
    <t>https://www.google.com/search?newwindow=1&amp;ei=2MT0XrvGGM-vytMP1OyDgAY&amp;q=site%3Alinkedin.com+Anisha+Pillai+Project+Officer+|+Student+Engagement+and+Peer+Programs</t>
  </si>
  <si>
    <t>Anisha Pillai</t>
  </si>
  <si>
    <t>Project Officer | Student Engagement and Peer Programs</t>
  </si>
  <si>
    <t>University of Melbourne</t>
  </si>
  <si>
    <t>https://www.google.com/search?newwindow=1&amp;ei=2MT0XrvGGM-vytMP1OyDgAY&amp;q=site%3Alinkedin.com+Amber+Sowden+Head+of+Staff+&amp;+Student+Health+and+Wellbeing+Programs</t>
  </si>
  <si>
    <t>Amber Sowden</t>
  </si>
  <si>
    <t>Head of Staff &amp; Student Health and Wellbeing Programs</t>
  </si>
  <si>
    <t>Strathcona Girls Grammar</t>
  </si>
  <si>
    <t>https://www.google.com/search?newwindow=1&amp;ei=2MT0XrvGGM-vytMP1OyDgAY&amp;q=site%3Alinkedin.com+Elizabeth+Hu+Onshore+Recruitment+-+University+Host</t>
  </si>
  <si>
    <t>Elizabeth Hu</t>
  </si>
  <si>
    <t>Onshore Recruitment - University Host</t>
  </si>
  <si>
    <t>https://www.google.com/search?newwindow=1&amp;ei=2MT0XrvGGM-vytMP1OyDgAY&amp;q=site%3Alinkedin.com+Gina+Peele+OLY+Director+of+Student+Programs</t>
  </si>
  <si>
    <t>Gina Peele OLY</t>
  </si>
  <si>
    <t>St Catherine's School</t>
  </si>
  <si>
    <t>https://www.google.com/search?newwindow=1&amp;ei=2MT0XrvGGM-vytMP1OyDgAY&amp;q=site%3Alinkedin.com+Maria+Nguyen+National+Coordinator+Student+Programs</t>
  </si>
  <si>
    <t>Maria Nguyen</t>
  </si>
  <si>
    <t>National Coordinator Student Programs</t>
  </si>
  <si>
    <t>Professionals Australia</t>
  </si>
  <si>
    <t>https://www.google.com/search?newwindow=1&amp;ei=2MT0XrvGGM-vytMP1OyDgAY&amp;q=site%3Alinkedin.com+Jill+C.+Student+Engagement+Officer+-+Programs</t>
  </si>
  <si>
    <t>Jill C.</t>
  </si>
  <si>
    <t>Student Engagement Officer - Programs</t>
  </si>
  <si>
    <t>Graduate Student Association, University of Melbourne</t>
  </si>
  <si>
    <t>https://www.google.com/search?newwindow=1&amp;ei=2MT0XrvGGM-vytMP1OyDgAY&amp;q=site%3Alinkedin.com+Kate+Kennedy-Ripon+Senior+Student+Experience+Programs+Officer</t>
  </si>
  <si>
    <t>Kate Kennedy-Ripon</t>
  </si>
  <si>
    <t>Senior Student Experience Programs Officer</t>
  </si>
  <si>
    <t>https://www.google.com/search?newwindow=1&amp;ei=2MT0XrvGGM-vytMP1OyDgAY&amp;q=site%3Alinkedin.com+Christina+Leahy+Manager+-+Student+Programs</t>
  </si>
  <si>
    <t>Christina Leahy</t>
  </si>
  <si>
    <t>Manager - Student Programs</t>
  </si>
  <si>
    <t>Australian Volunteers International</t>
  </si>
  <si>
    <t>https://www.google.com/search?newwindow=1&amp;ei=2MT0XrvGGM-vytMP1OyDgAY&amp;q=site%3Alinkedin.com+Shari+Blanck+Student+Programs+Coordinator</t>
  </si>
  <si>
    <t>Shari Blanck</t>
  </si>
  <si>
    <t>The University of Melbourne</t>
  </si>
  <si>
    <t>https://www.google.com/search?newwindow=1&amp;ei=2MT0XrvGGM-vytMP1OyDgAY&amp;q=site%3Alinkedin.com+Kate+Shum+Consulting+Programs+Manager+–+Student+
Management</t>
  </si>
  <si>
    <t>Kate Shum</t>
  </si>
  <si>
    <t>Consulting Programs Manager – Student 
Management</t>
  </si>
  <si>
    <t>TechnologyOne</t>
  </si>
  <si>
    <t>https://www.google.com/search?newwindow=1&amp;ei=2MT0XrvGGM-vytMP1OyDgAY&amp;q=site%3Alinkedin.com+Susan+Wood+Student+programs+coordinator</t>
  </si>
  <si>
    <t>Susan Wood</t>
  </si>
  <si>
    <t>Student programs coordinator</t>
  </si>
  <si>
    <t>John Paul College, Frankston</t>
  </si>
  <si>
    <t>https://www.google.com/search?newwindow=1&amp;ei=2MT0XrvGGM-vytMP1OyDgAY&amp;q=site%3Alinkedin.com+Amanda+Martin+-+International+Leadership+Impact+International+leadership+strategist+designing+programs+and+measuring+the+impact+of+leaders,+CEO</t>
  </si>
  <si>
    <t>Amanda Martin - International Leadership Impact</t>
  </si>
  <si>
    <t>International leadership strategist designing programs and measuring the impact of leaders, CEO</t>
  </si>
  <si>
    <t>Centre for Executive Development Impact</t>
  </si>
  <si>
    <t>https://www.google.com/search?newwindow=1&amp;ei=2MT0XrvGGM-vytMP1OyDgAY&amp;q=site%3Alinkedin.com+Sarah+J.+Student+Programs+Officer</t>
  </si>
  <si>
    <t>Sarah J.</t>
  </si>
  <si>
    <t>Student Programs Officer</t>
  </si>
  <si>
    <t>https://www.google.com/search?newwindow=1&amp;ei=2MT0XrvGGM-vytMP1OyDgAY&amp;q=site%3Alinkedin.com+Leidy+Gomezaquira+Student+Engagement+Officer+-+Programs+&amp;+Events</t>
  </si>
  <si>
    <t>Leidy Gomezaquira</t>
  </si>
  <si>
    <t>Student Engagement Officer - Programs &amp; Events</t>
  </si>
  <si>
    <t>William Angliss Institute</t>
  </si>
  <si>
    <t>https://www.google.com/search?newwindow=1&amp;ei=2MT0XrvGGM-vytMP1OyDgAY&amp;q=site%3Alinkedin.com+Maria+L.+Student+Programs+Officer</t>
  </si>
  <si>
    <t>Maria L.</t>
  </si>
  <si>
    <t>https://www.google.com/search?newwindow=1&amp;ei=2MT0XrvGGM-vytMP1OyDgAY&amp;q=site%3Alinkedin.com+Jane+McCausland+ARMI+Student+Programs+Manager</t>
  </si>
  <si>
    <t>Jane McCausland</t>
  </si>
  <si>
    <t>ARMI Student Programs Manager</t>
  </si>
  <si>
    <t>https://www.google.com/search?newwindow=1&amp;ei=2MT0XrvGGM-vytMP1OyDgAY&amp;q=site%3Alinkedin.com+Sav+Devi+Student+and+Programs+Progress+Review+Coordinator</t>
  </si>
  <si>
    <t>Sav Devi</t>
  </si>
  <si>
    <t>Student and Programs Progress Review Coordinator</t>
  </si>
  <si>
    <t>Swinburne University of Technology</t>
  </si>
  <si>
    <t>https://www.google.com/search?newwindow=1&amp;ei=2MT0XrvGGM-vytMP1OyDgAY&amp;q=site%3Alinkedin.com+Trish+Royall+Executive+Assistant+to+the+Director,+Medical+Student+Programs,+EHCS</t>
  </si>
  <si>
    <t>Trish Royall</t>
  </si>
  <si>
    <t>Executive Assistant to the Director, Medical Student Programs, EHCS</t>
  </si>
  <si>
    <t>https://www.google.com/search?newwindow=1&amp;ei=2MT0XrvGGM-vytMP1OyDgAY&amp;q=site%3Alinkedin.com+Morgan+Bett+Research+Recruiter</t>
  </si>
  <si>
    <t>Morgan Bett</t>
  </si>
  <si>
    <t>Research Recruiter</t>
  </si>
  <si>
    <t>Focus People - Market Research Recruitment</t>
  </si>
  <si>
    <t>https://www.google.com/search?newwindow=1&amp;ei=2MT0XrvGGM-vytMP1OyDgAY&amp;q=site%3Alinkedin.com+Warwick+Padgham+Manager,+Indigenous+Student+Programs+-+Melbourne+Poche+Centre+for+Indigenous+Health</t>
  </si>
  <si>
    <t>Warwick Padgham</t>
  </si>
  <si>
    <t>Manager, Indigenous Student Programs - Melbourne Poche Centre for Indigenous Health</t>
  </si>
  <si>
    <t>https://www.google.com/search?newwindow=1&amp;ei=2MT0XrvGGM-vytMP1OyDgAY&amp;q=site%3Alinkedin.com+Mary+Rizza+Co-ordinator+-+Co-curricular+Programs+&amp;+Student+Learning</t>
  </si>
  <si>
    <t>Mary Rizza</t>
  </si>
  <si>
    <t>Co-ordinator - Co-curricular Programs &amp; Student Learning</t>
  </si>
  <si>
    <t>Genazzano FCJ College</t>
  </si>
  <si>
    <t>https://www.google.com/search?newwindow=1&amp;ei=2MT0XrvGGM-vytMP1OyDgAY&amp;q=site%3Alinkedin.com+Peter+C.+University+Online+Learning+Support+(Business+Law,+Accounting,+Management,+Economics,+Environment</t>
  </si>
  <si>
    <t>Peter C.</t>
  </si>
  <si>
    <t>University Online Learning Support (Business Law, Accounting, Management, Economics, Environment</t>
  </si>
  <si>
    <t>Charles Sturt University</t>
  </si>
  <si>
    <t>https://www.google.com/search?newwindow=1&amp;ei=2MT0XrvGGM-vytMP1OyDgAY&amp;q=site%3Alinkedin.com+Katrina+D'Souza+Academic+Programs+Project+Manager,+Melbourne+Medical+School</t>
  </si>
  <si>
    <t>Katrina D'Souza</t>
  </si>
  <si>
    <t>Academic Programs Project Manager, Melbourne Medical School</t>
  </si>
  <si>
    <t>https://www.google.com/search?newwindow=1&amp;ei=2MT0XrvGGM-vytMP1OyDgAY&amp;q=site%3Alinkedin.com+Navya+Bala-Aiyer+Monash+Connect+Student+Officer</t>
  </si>
  <si>
    <t>Navya Bala-Aiyer</t>
  </si>
  <si>
    <t>Monash Connect Student Officer</t>
  </si>
  <si>
    <t>https://www.google.com/search?newwindow=1&amp;ei=2MT0XrvGGM-vytMP1OyDgAY&amp;q=site%3Alinkedin.com+Melissa+Horvath+Student+Training+&amp;+Programs+Coordinator+-+Student+Engagement</t>
  </si>
  <si>
    <t>Melissa Horvath</t>
  </si>
  <si>
    <t>Student Training &amp; Programs Coordinator - Student Engagement</t>
  </si>
  <si>
    <t>Deakin University Student Association</t>
  </si>
  <si>
    <t>https://www.google.com/search?newwindow=1&amp;ei=2MT0XrvGGM-vytMP1OyDgAY&amp;q=site%3Alinkedin.com+Alana+Marriner+Student+Programs+Coordinator</t>
  </si>
  <si>
    <t>Alana Marriner</t>
  </si>
  <si>
    <t>https://www.google.com/search?newwindow=1&amp;ei=2MT0XrvGGM-vytMP1OyDgAY&amp;q=site%3Alinkedin.com+Roula+Karakostas+Head,+Student+Recruitment+at+Deakin+University</t>
  </si>
  <si>
    <t>Roula Karakostas</t>
  </si>
  <si>
    <t>Head, Student Recruitment at Deakin University</t>
  </si>
  <si>
    <t>Deakin University</t>
  </si>
  <si>
    <t>https://www.google.com/search?newwindow=1&amp;ei=2MT0XrvGGM-vytMP1OyDgAY&amp;q=site%3Alinkedin.com+Deb+Kane+International+Student+Programs+Officer</t>
  </si>
  <si>
    <t>Deb Kane</t>
  </si>
  <si>
    <t>International Student Programs Officer</t>
  </si>
  <si>
    <t>Billanook College</t>
  </si>
  <si>
    <t>https://www.google.com/search?newwindow=1&amp;ei=2MT0XrvGGM-vytMP1OyDgAY&amp;q=site%3Alinkedin.com+Costa+Englezos+Lecturer+in+Accounting,+Manager+of+Business+Student+Mentor+Programs</t>
  </si>
  <si>
    <t>Costa Englezos</t>
  </si>
  <si>
    <t>Lecturer in Accounting, Manager of Business Student Mentor Programs</t>
  </si>
  <si>
    <t>https://www.google.com/search?newwindow=1&amp;ei=2MT0XrvGGM-vytMP1OyDgAY&amp;q=site%3Alinkedin.com+Ruby+Lee+International+Student+Mobility+Programs</t>
  </si>
  <si>
    <t>Ruby Lee</t>
  </si>
  <si>
    <t>International Student Mobility Programs</t>
  </si>
  <si>
    <t>https://www.google.com/search?newwindow=1&amp;ei=2MT0XrvGGM-vytMP1OyDgAY&amp;q=site%3Alinkedin.com+Steven+Lingard+Coordinator+-+International+Student+Programs</t>
  </si>
  <si>
    <t>Steven Lingard</t>
  </si>
  <si>
    <t>Coordinator - International Student Programs</t>
  </si>
  <si>
    <t>18 years 10 months in role and company</t>
  </si>
  <si>
    <t>https://www.google.com/search?newwindow=1&amp;ei=2MT0XrvGGM-vytMP1OyDgAY&amp;q=site%3Alinkedin.com+Ellen+Grouios+Program+Support+Student+Recruitment</t>
  </si>
  <si>
    <t>Ellen Grouios</t>
  </si>
  <si>
    <t>Program Support Student Recruitment</t>
  </si>
  <si>
    <t>https://www.google.com/search?newwindow=1&amp;ei=2MT0XrvGGM-vytMP1OyDgAY&amp;q=site%3Alinkedin.com+Sanober+Hossain+Student+Central+Hub+Coordinator</t>
  </si>
  <si>
    <t>Sanober Hossain</t>
  </si>
  <si>
    <t>Student Central Hub Coordinator</t>
  </si>
  <si>
    <t>https://www.google.com/search?newwindow=1&amp;ei=2MT0XrvGGM-vytMP1OyDgAY&amp;q=site%3Alinkedin.com+Louise+Crowe+Student+Programs+Coordinator</t>
  </si>
  <si>
    <t>Louise Crowe</t>
  </si>
  <si>
    <t>Loyola  College</t>
  </si>
  <si>
    <t>https://www.google.com/search?newwindow=1&amp;ei=2MT0XrvGGM-vytMP1OyDgAY&amp;q=site%3Alinkedin.com+Farahdiba+R+Bachtiar+Doctoral+Student</t>
  </si>
  <si>
    <t>Farahdiba R Bachtiar</t>
  </si>
  <si>
    <t>Doctoral Student</t>
  </si>
  <si>
    <t>https://www.google.com/search?newwindow=1&amp;ei=2MT0XrvGGM-vytMP1OyDgAY&amp;q=site%3Alinkedin.com+Elise+Fraser+Lecturer+&amp;+Coordinator+Women's,+Men's+&amp;+Pelvic+Health+Physiotherapy+programs</t>
  </si>
  <si>
    <t>Elise Fraser</t>
  </si>
  <si>
    <t>Lecturer &amp; Coordinator Women's, Men's &amp; Pelvic Health Physiotherapy programs</t>
  </si>
  <si>
    <t>https://www.google.com/search?newwindow=1&amp;ei=2MT0XrvGGM-vytMP1OyDgAY&amp;q=site%3Alinkedin.com+jenny+vanderzweep+Individual+Student+Programs+Coordinator</t>
  </si>
  <si>
    <t>jenny vanderzweep</t>
  </si>
  <si>
    <t>Individual Student Programs Coordinator</t>
  </si>
  <si>
    <t>Ivanhoe Grammar School</t>
  </si>
  <si>
    <t>https://www.google.com/search?newwindow=1&amp;ei=2MT0XrvGGM-vytMP1OyDgAY&amp;q=site%3Alinkedin.com+Kerryn+Wallace+Student+Recruitment</t>
  </si>
  <si>
    <t>Kerryn Wallace</t>
  </si>
  <si>
    <t>Student Recruitment</t>
  </si>
  <si>
    <t>https://www.google.com/search?newwindow=1&amp;ei=2MT0XrvGGM-vytMP1OyDgAY&amp;q=site%3Alinkedin.com+Rebekah+Gill+Experience+Community+Services+Program+-+Student+Supervisor</t>
  </si>
  <si>
    <t>Rebekah Gill</t>
  </si>
  <si>
    <t>Experience Community Services Program - Student Supervisor</t>
  </si>
  <si>
    <t>Geelong Regional Local Learning and Employment Network.</t>
  </si>
  <si>
    <t>https://www.google.com/search?newwindow=1&amp;ei=2MT0XrvGGM-vytMP1OyDgAY&amp;q=site%3Alinkedin.com+Anita+Orr+Coordinator+-+Student+and+Programs</t>
  </si>
  <si>
    <t>Anita Orr</t>
  </si>
  <si>
    <t>Coordinator - Student and Programs</t>
  </si>
  <si>
    <t>https://www.google.com/search?newwindow=1&amp;ei=2MT0XrvGGM-vytMP1OyDgAY&amp;q=site%3Alinkedin.com+Katie+Barber+Campus+Recruiting+Specialist</t>
  </si>
  <si>
    <t>Katie Barber</t>
  </si>
  <si>
    <t>https://www.google.com/search?newwindow=1&amp;ei=2MT0XrvGGM-vytMP1OyDgAY&amp;q=site%3Alinkedin.com+Laney+Williams+Senior+Associate,+Campus+Recruiting</t>
  </si>
  <si>
    <t>https://www.google.com/search?newwindow=1&amp;ei=2MT0XrvGGM-vytMP1OyDgAY&amp;q=site%3Alinkedin.com+Kathryn+Roberts+Senior+Campus+Recruiting+Specialist</t>
  </si>
  <si>
    <t>Kathryn Roberts</t>
  </si>
  <si>
    <t>Meriden</t>
  </si>
  <si>
    <t>https://www.google.com/search?newwindow=1&amp;ei=2MT0XrvGGM-vytMP1OyDgAY&amp;q=site%3Alinkedin.com+Anissa+Escobar,+MSHRM+Campus+Recruiting+Coordinator</t>
  </si>
  <si>
    <t>Anissa Escobar, MSHRM</t>
  </si>
  <si>
    <t>https://www.google.com/search?newwindow=1&amp;ei=2MT0XrvGGM-vytMP1OyDgAY&amp;q=site%3Alinkedin.com+Katarina+I.+Perez,+MBA+Campus+Recruiting+Specialist</t>
  </si>
  <si>
    <t>Katarina I. Perez, MBA</t>
  </si>
  <si>
    <t>https://www.google.com/search?newwindow=1&amp;ei=2MT0XrvGGM-vytMP1OyDgAY&amp;q=site%3Alinkedin.com+Federico+E.+Campus+Recruiting+Manager</t>
  </si>
  <si>
    <t>https://www.google.com/search?newwindow=1&amp;ei=2MT0XrvGGM-vytMP1OyDgAY&amp;q=site%3Alinkedin.com+Robert+Conrad+National+Campus+Forensics+Recruiting+Leader</t>
  </si>
  <si>
    <t>Robert Conrad</t>
  </si>
  <si>
    <t>National Campus Forensics Recruiting Leader</t>
  </si>
  <si>
    <t>Price Waterhouse Coopers</t>
  </si>
  <si>
    <t>https://www.google.com/search?newwindow=1&amp;ei=2MT0XrvGGM-vytMP1OyDgAY&amp;q=site%3Alinkedin.com+Jeff+Hudgins+Principal+Talent+Acquisition+Specialist+-+Grad+Campus+Recruiting+Team</t>
  </si>
  <si>
    <t>Jeff Hudgins</t>
  </si>
  <si>
    <t>Principal Talent Acquisition Specialist - Grad Campus Recruiting Team</t>
  </si>
  <si>
    <t>https://www.google.com/search?newwindow=1&amp;ei=2MT0XrvGGM-vytMP1OyDgAY&amp;q=site%3Alinkedin.com+Freda+Asare+Senior+Recruitment+&amp;+Support+Adviser+at+Open+University</t>
  </si>
  <si>
    <t>Freda Asare</t>
  </si>
  <si>
    <t>Senior Recruitment &amp; Support Adviser at Open University</t>
  </si>
  <si>
    <t>4 years  in role and company</t>
  </si>
  <si>
    <t>Milton Keynes</t>
  </si>
  <si>
    <t>https://www.google.com/search?newwindow=1&amp;ei=2MT0XrvGGM-vytMP1OyDgAY&amp;q=site%3Alinkedin.com+Natasha+Teji+Student+Recruiter</t>
  </si>
  <si>
    <t>Natasha Teji</t>
  </si>
  <si>
    <t>Open University Business School (OUBS)</t>
  </si>
  <si>
    <t>https://www.google.com/search?newwindow=1&amp;ei=2MT0XrvGGM-vytMP1OyDgAY&amp;q=site%3Alinkedin.com+Jill+Laurenson+Open+University+Recruitment+ Response+Manager</t>
  </si>
  <si>
    <t>Jill Laurenson</t>
  </si>
  <si>
    <t>Open University Recruitment  Response Manager</t>
  </si>
  <si>
    <t>Reed</t>
  </si>
  <si>
    <t>https://www.google.com/search?newwindow=1&amp;ei=2MT0XrvGGM-vytMP1OyDgAY&amp;q=site%3Alinkedin.com+Michael+Clark+College+Recruiter</t>
  </si>
  <si>
    <t>Michael Clark</t>
  </si>
  <si>
    <t>https://www.google.com/search?newwindow=1&amp;ei=2MT0XrvGGM-vytMP1OyDgAY&amp;q=site%3Alinkedin.com+Amber+Lemieux+Senior+Campus+Recruiting+Coordinator</t>
  </si>
  <si>
    <t>Amber Lemieux</t>
  </si>
  <si>
    <t>https://www.google.com/search?newwindow=1&amp;ei=2MT0XrvGGM-vytMP1OyDgAY&amp;q=site%3Alinkedin.com+Nicole+Price+Executive+Assistant+&amp;+Campus+Recruiting+Coordinator</t>
  </si>
  <si>
    <t>Nicole Price</t>
  </si>
  <si>
    <t>Executive Assistant &amp; Campus Recruiting Coordinator</t>
  </si>
  <si>
    <t>https://www.google.com/search?newwindow=1&amp;ei=2MT0XrvGGM-vytMP1OyDgAY&amp;q=site%3Alinkedin.com+Anadelia+Garcia+Campus+Recruiting+Manager+-+Central+Region</t>
  </si>
  <si>
    <t>https://www.google.com/search?newwindow=1&amp;ei=2MT0XrvGGM-vytMP1OyDgAY&amp;q=site%3Alinkedin.com+Brittany+Prather+Campus+Recruiting+Specialist</t>
  </si>
  <si>
    <t>Brittany Prather</t>
  </si>
  <si>
    <t>https://www.google.com/search?newwindow=1&amp;ei=2MT0XrvGGM-vytMP1OyDgAY&amp;q=site%3Alinkedin.com+Janel+Houston+Senior+Campus+Recruiting+Specialist</t>
  </si>
  <si>
    <t>Janel Houston</t>
  </si>
  <si>
    <t>https://www.google.com/search?newwindow=1&amp;ei=2MT0XrvGGM-vytMP1OyDgAY&amp;q=site%3Alinkedin.com+Nathan+Petroski,+SHRM-CP+Campus+Recruiting+Coordinator+-+Contract</t>
  </si>
  <si>
    <t>Nathan Petroski, SHRM-CP</t>
  </si>
  <si>
    <t>Campus Recruiting Coordinator - Contract</t>
  </si>
  <si>
    <t>https://www.google.com/search?newwindow=1&amp;ei=2MT0XrvGGM-vytMP1OyDgAY&amp;q=site%3Alinkedin.com+Kate+Bata+Campus+Recruiting+Coordinator</t>
  </si>
  <si>
    <t>Kate Bata</t>
  </si>
  <si>
    <t>https://www.google.com/search?newwindow=1&amp;ei=2MT0XrvGGM-vytMP1OyDgAY&amp;q=site%3Alinkedin.com+Aileen+Meade+Assurance+Business+Recruiting+Manager</t>
  </si>
  <si>
    <t>https://www.google.com/search?newwindow=1&amp;ei=2MT0XrvGGM-vytMP1OyDgAY&amp;q=site%3Alinkedin.com+Kurt+Peterson+Campus+Recruiting+Manager</t>
  </si>
  <si>
    <t>https://www.google.com/search?newwindow=1&amp;ei=2MT0XrvGGM-vytMP1OyDgAY&amp;q=site%3Alinkedin.com+Laura+Smith+Sr.+Campus+Recruiting+Specialist</t>
  </si>
  <si>
    <t>Laura Smith</t>
  </si>
  <si>
    <t>Sr. Campus Recruiting Specialist</t>
  </si>
  <si>
    <t>Target Corporation</t>
  </si>
  <si>
    <t>https://www.google.com/search?newwindow=1&amp;ei=2MT0XrvGGM-vytMP1OyDgAY&amp;q=site%3Alinkedin.com+Lindsay+Kallenbach+Campus+Recruiting+Consultant</t>
  </si>
  <si>
    <t>Lindsay Kallenbach</t>
  </si>
  <si>
    <t>https://www.google.com/search?newwindow=1&amp;ei=2MT0XrvGGM-vytMP1OyDgAY&amp;q=site%3Alinkedin.com+Shaka+Farr+Campus+Recruiting+Consultant</t>
  </si>
  <si>
    <t>Shaka Farr</t>
  </si>
  <si>
    <t>https://www.google.com/search?newwindow=1&amp;ei=2MT0XrvGGM-vytMP1OyDgAY&amp;q=site%3Alinkedin.com+Megan+O'Connor+Campus+Recruiting+Coordinator+-+Consulting</t>
  </si>
  <si>
    <t>Megan O'Connor</t>
  </si>
  <si>
    <t>Campus Recruiting Coordinator - Consulting</t>
  </si>
  <si>
    <t>https://www.google.com/search?newwindow=1&amp;ei=2MT0XrvGGM-vytMP1OyDgAY&amp;q=site%3Alinkedin.com+Maddie+Borwege+Senior+Associate,+Campus+Recruiting</t>
  </si>
  <si>
    <t>Maddie Borwege</t>
  </si>
  <si>
    <t>https://www.google.com/search?newwindow=1&amp;ei=2MT0XrvGGM-vytMP1OyDgAY&amp;q=site%3Alinkedin.com+Ashly+Kelley+Campus+Recruiting+Specialist</t>
  </si>
  <si>
    <t>Ashly Kelley</t>
  </si>
  <si>
    <t>https://www.google.com/search?newwindow=1&amp;ei=2MT0XrvGGM-vytMP1OyDgAY&amp;q=site%3Alinkedin.com+Sarah+Wazir+International+Student+Recruiter,+South+Asia</t>
  </si>
  <si>
    <t>Sarah Wazir</t>
  </si>
  <si>
    <t>International Student Recruiter, South Asia</t>
  </si>
  <si>
    <t>Hanson Education Group</t>
  </si>
  <si>
    <t>Mississauga</t>
  </si>
  <si>
    <t>https://www.google.com/search?newwindow=1&amp;ei=2MT0XrvGGM-vytMP1OyDgAY&amp;q=site%3Alinkedin.com+Giovanna+Naranjo+Senior+Global+Campus+Recruiter</t>
  </si>
  <si>
    <t>Giovanna Naranjo</t>
  </si>
  <si>
    <t>Senior Global Campus Recruiter</t>
  </si>
  <si>
    <t>SOTI</t>
  </si>
  <si>
    <t>https://www.google.com/search?newwindow=1&amp;ei=2MT0XrvGGM-vytMP1OyDgAY&amp;q=site%3Alinkedin.com+Andy+Ranjan+Campus+Recruiter</t>
  </si>
  <si>
    <t>Andy Ranjan</t>
  </si>
  <si>
    <t>https://www.google.com/search?newwindow=1&amp;ei=2MT0XrvGGM-vytMP1OyDgAY&amp;q=site%3Alinkedin.com+Danielle+Soo+Campus+Recruiter+-+Technology+&amp;+Digital</t>
  </si>
  <si>
    <t>Danielle Soo</t>
  </si>
  <si>
    <t>Campus Recruiter - Technology &amp; Digital</t>
  </si>
  <si>
    <t>https://www.google.com/search?newwindow=1&amp;ei=2MT0XrvGGM-vytMP1OyDgAY&amp;q=site%3Alinkedin.com+Clara+Ramirez-Orellana+Store+Recruiter/Cashier/Customer+Service</t>
  </si>
  <si>
    <t>Clara Ramirez-Orellana</t>
  </si>
  <si>
    <t>Store Recruiter/Cashier/Customer Service</t>
  </si>
  <si>
    <t>Real Canadian Superstore</t>
  </si>
  <si>
    <t>https://www.google.com/search?newwindow=1&amp;ei=2MT0XrvGGM-vytMP1OyDgAY&amp;q=site%3Alinkedin.com+Rebecca+Crawford+Medical+Student</t>
  </si>
  <si>
    <t>Rebecca Crawford</t>
  </si>
  <si>
    <t>https://www.google.com/search?newwindow=1&amp;ei=2MT0XrvGGM-vytMP1OyDgAY&amp;q=site%3Alinkedin.com+Joseph+Kooliadan+Consultant+/+International+Student+Recruiter</t>
  </si>
  <si>
    <t>Joseph Kooliadan</t>
  </si>
  <si>
    <t>Consultant / International Student Recruiter</t>
  </si>
  <si>
    <t>ZC&amp;A Bahrain</t>
  </si>
  <si>
    <t>https://www.google.com/search?newwindow=1&amp;ei=2MT0XrvGGM-vytMP1OyDgAY&amp;q=site%3Alinkedin.com+Heather+Hines+Director,+Undergraduate+Programs+&amp;+Student+Services</t>
  </si>
  <si>
    <t>Heather Hines</t>
  </si>
  <si>
    <t>Director, Undergraduate Programs &amp; Student Services</t>
  </si>
  <si>
    <t>https://www.google.com/search?newwindow=1&amp;ei=2MT0XrvGGM-vytMP1OyDgAY&amp;q=site%3Alinkedin.com+Tina+Charalambu+Graduate+Recruiter</t>
  </si>
  <si>
    <t>Tina Charalambu</t>
  </si>
  <si>
    <t>Hatch</t>
  </si>
  <si>
    <t>https://www.google.com/search?newwindow=1&amp;ei=2MT0XrvGGM-vytMP1OyDgAY&amp;q=site%3Alinkedin.com+Marilou+Bisson+Campus+Recruiter</t>
  </si>
  <si>
    <t>Marilou Bisson</t>
  </si>
  <si>
    <t>Coveo</t>
  </si>
  <si>
    <t>Montreal</t>
  </si>
  <si>
    <t>https://www.google.com/search?newwindow=1&amp;ei=2MT0XrvGGM-vytMP1OyDgAY&amp;q=site%3Alinkedin.com+Amélie+Côté+University+Recruiter</t>
  </si>
  <si>
    <t>Amélie Côté</t>
  </si>
  <si>
    <t>https://www.google.com/search?newwindow=1&amp;ei=2MT0XrvGGM-vytMP1OyDgAY&amp;q=site%3Alinkedin.com+Charline+Florestal+Campus+recruiter</t>
  </si>
  <si>
    <t>Charline Florestal</t>
  </si>
  <si>
    <t>https://www.google.com/search?newwindow=1&amp;ei=2MT0XrvGGM-vytMP1OyDgAY&amp;q=site%3Alinkedin.com+Min+Seok+Kim+International+Student+Recruiter</t>
  </si>
  <si>
    <t>Min Seok Kim</t>
  </si>
  <si>
    <t>Rising Phoenix International</t>
  </si>
  <si>
    <t>https://www.google.com/search?newwindow=1&amp;ei=2MT0XrvGGM-vytMP1OyDgAY&amp;q=site%3Alinkedin.com+Julie+Poirier+Campus+Recruiter,+Early+Careers</t>
  </si>
  <si>
    <t>Julie Poirier</t>
  </si>
  <si>
    <t>Campus Recruiter, Early Careers</t>
  </si>
  <si>
    <t>Aon</t>
  </si>
  <si>
    <t>https://www.google.com/search?newwindow=1&amp;ei=2MT0XrvGGM-vytMP1OyDgAY&amp;q=site%3Alinkedin.com+Agathe+Pérusse-Deschênes+Talent+Acquisition+Specialist+-+Campus+&amp;+New+Grads+Recruiting</t>
  </si>
  <si>
    <t>Agathe Pérusse-Deschênes</t>
  </si>
  <si>
    <t>Talent Acquisition Specialist - Campus &amp; New Grads Recruiting</t>
  </si>
  <si>
    <t>Behaviour Interactive</t>
  </si>
  <si>
    <t>https://www.google.com/search?newwindow=1&amp;ei=2MT0XrvGGM-vytMP1OyDgAY&amp;q=site%3Alinkedin.com+Marjorie+Joasil+Talent+Attraction+Specialist,+National+Digital+Campus+Recruiter</t>
  </si>
  <si>
    <t>Marjorie Joasil</t>
  </si>
  <si>
    <t>Talent Attraction Specialist, National Digital Campus Recruiter</t>
  </si>
  <si>
    <t>https://www.google.com/search?newwindow=1&amp;ei=2MT0XrvGGM-vytMP1OyDgAY&amp;q=site%3Alinkedin.com+Heba+Alashi+Spécialiste+en+recrutement+Campus+Québec/+Senior+Campus+Recruiter+Quebec</t>
  </si>
  <si>
    <t>Heba Alashi</t>
  </si>
  <si>
    <t>Spécialiste en recrutement Campus Québec/ Senior Campus Recruiter Quebec</t>
  </si>
  <si>
    <t>https://www.google.com/search?newwindow=1&amp;ei=2MT0XrvGGM-vytMP1OyDgAY&amp;q=site%3Alinkedin.com+Alexandra+Fishman+VP+Marketing+&amp;+Recruitment+at+McGill+University</t>
  </si>
  <si>
    <t>Alexandra Fishman</t>
  </si>
  <si>
    <t>VP Marketing &amp; Recruitment at McGill University</t>
  </si>
  <si>
    <t>TAMID Group</t>
  </si>
  <si>
    <t>https://www.google.com/search?newwindow=1&amp;ei=2MT0XrvGGM-vytMP1OyDgAY&amp;q=site%3Alinkedin.com+Carla+Simon+Student+recruiter+/+Conseillère+au+recrutement+des+étudiants</t>
  </si>
  <si>
    <t>Carla Simon</t>
  </si>
  <si>
    <t>Student recruiter / Conseillère au recrutement des étudiants</t>
  </si>
  <si>
    <t>Universit�� de Montr��al</t>
  </si>
  <si>
    <t>https://www.google.com/search?newwindow=1&amp;ei=2MT0XrvGGM-vytMP1OyDgAY&amp;q=site%3Alinkedin.com+Lyndsay+Thompson+Recruiter+/+University+Relations</t>
  </si>
  <si>
    <t>Lyndsay Thompson</t>
  </si>
  <si>
    <t>Recruiter / University Relations</t>
  </si>
  <si>
    <t>https://www.google.com/search?newwindow=1&amp;ei=2MT0XrvGGM-vytMP1OyDgAY&amp;q=site%3Alinkedin.com+Véronique+Therrien+Student+Recruiter/Conseillère+au+recrutement+des+étudiants</t>
  </si>
  <si>
    <t>Véronique Therrien</t>
  </si>
  <si>
    <t>Student Recruiter/Conseillère au recrutement des étudiants</t>
  </si>
  <si>
    <t>HEC Montréal</t>
  </si>
  <si>
    <t>https://www.google.com/search?newwindow=1&amp;ei=2MT0XrvGGM-vytMP1OyDgAY&amp;q=site%3Alinkedin.com+sherin+Moustafa+Student+Advisor+and+Recruiter</t>
  </si>
  <si>
    <t>sherin Moustafa</t>
  </si>
  <si>
    <t>Student Advisor and Recruiter</t>
  </si>
  <si>
    <t>L’etoile Internationale de l’education INC.</t>
  </si>
  <si>
    <t>https://www.google.com/search?newwindow=1&amp;ei=2MT0XrvGGM-vytMP1OyDgAY&amp;q=site%3Alinkedin.com+Valerie+Kruk+Technology+Campus+Recruiter+(Consultant)</t>
  </si>
  <si>
    <t>Valerie Kruk</t>
  </si>
  <si>
    <t>Technology Campus Recruiter (Consultant)</t>
  </si>
  <si>
    <t>https://www.google.com/search?newwindow=1&amp;ei=2MT0XrvGGM-vytMP1OyDgAY&amp;q=site%3Alinkedin.com+sri+Divya+Student</t>
  </si>
  <si>
    <t>sri Divya</t>
  </si>
  <si>
    <t>Montreal College of Information Technology</t>
  </si>
  <si>
    <t>https://www.google.com/search?newwindow=1&amp;ei=2MT0XrvGGM-vytMP1OyDgAY&amp;q=site%3Alinkedin.com+Georgia+Sfantos+HR+Manager+-+Technology+Campus+Recruiting</t>
  </si>
  <si>
    <t>Georgia Sfantos</t>
  </si>
  <si>
    <t>HR Manager - Technology Campus Recruiting</t>
  </si>
  <si>
    <t>https://www.google.com/search?newwindow=1&amp;ei=2MT0XrvGGM-vytMP1OyDgAY&amp;q=site%3Alinkedin.com+Michael+Dosado+Men’s+basketball+Recruiter+at+Brandon+University</t>
  </si>
  <si>
    <t>Michael Dosado</t>
  </si>
  <si>
    <t>Men’s basketball Recruiter at Brandon University</t>
  </si>
  <si>
    <t>Brandon University</t>
  </si>
  <si>
    <t>https://www.google.com/search?newwindow=1&amp;ei=2MT0XrvGGM-vytMP1OyDgAY&amp;q=site%3Alinkedin.com+Neish+Joelle+Student+recruiter</t>
  </si>
  <si>
    <t>Neish Joelle</t>
  </si>
  <si>
    <t>Student recruiter</t>
  </si>
  <si>
    <t>McGill University, Enrolment Services</t>
  </si>
  <si>
    <t>https://www.google.com/search?newwindow=1&amp;ei=2MT0XrvGGM-vytMP1OyDgAY&amp;q=site%3Alinkedin.com+Adrian+Boro+Recruiter</t>
  </si>
  <si>
    <t>Adrian Boro</t>
  </si>
  <si>
    <t>looking for a new challenge</t>
  </si>
  <si>
    <t>https://www.google.com/search?newwindow=1&amp;ei=2MT0XrvGGM-vytMP1OyDgAY&amp;q=site%3Alinkedin.com+Leah+Jane+Esau+Freelance+Writer,+Fact+Checker,+University+Recruitment,+Communications</t>
  </si>
  <si>
    <t>Leah Jane Esau</t>
  </si>
  <si>
    <t>Freelance Writer, Fact Checker, University Recruitment, Communications</t>
  </si>
  <si>
    <t>Self Employed</t>
  </si>
  <si>
    <t>https://www.google.com/search?newwindow=1&amp;ei=2MT0XrvGGM-vytMP1OyDgAY&amp;q=site%3Alinkedin.com+Sara+Ittukiti+College+Recruiter</t>
  </si>
  <si>
    <t>Sara Ittukiti</t>
  </si>
  <si>
    <t>Amazon Sat</t>
  </si>
  <si>
    <t>https://www.google.com/search?newwindow=1&amp;ei=2MT0XrvGGM-vytMP1OyDgAY&amp;q=site%3Alinkedin.com+Beth+McKenna+Student+Recruitment+Officer+-+John+Molson+School+of+Business+(Graduate+Programs)</t>
  </si>
  <si>
    <t>Beth McKenna</t>
  </si>
  <si>
    <t>Student Recruitment Officer - John Molson School of Business (Graduate Programs)</t>
  </si>
  <si>
    <t>Concordia University</t>
  </si>
  <si>
    <t>https://www.google.com/search?newwindow=1&amp;ei=2MT0XrvGGM-vytMP1OyDgAY&amp;q=site%3Alinkedin.com+Alex+Megelas+Researcher+PHD+Student</t>
  </si>
  <si>
    <t>Alex Megelas</t>
  </si>
  <si>
    <t>McGill University</t>
  </si>
  <si>
    <t>https://www.google.com/search?newwindow=1&amp;ei=2MT0XrvGGM-vytMP1OyDgAY&amp;q=site%3Alinkedin.com+Julie+Brisson+Director,+Student+Programs,Associates+&amp;+Professional+Development</t>
  </si>
  <si>
    <t>Julie Brisson</t>
  </si>
  <si>
    <t>Director, Student Programs,Associates &amp; Professional Development</t>
  </si>
  <si>
    <t>4 years 11 months in role and company</t>
  </si>
  <si>
    <t>https://www.google.com/search?newwindow=1&amp;ei=2MT0XrvGGM-vytMP1OyDgAY&amp;q=site%3Alinkedin.com+Shana+Szikman+Associate+Director,+Student+&amp;+Young+Alumni+Programs</t>
  </si>
  <si>
    <t>Shana Szikman</t>
  </si>
  <si>
    <t>Associate Director, Student &amp; Young Alumni Programs</t>
  </si>
  <si>
    <t>University Advancement, McGill University</t>
  </si>
  <si>
    <t>https://www.google.com/search?newwindow=1&amp;ei=2MT0XrvGGM-vytMP1OyDgAY&amp;q=site%3Alinkedin.com+Christine+D.+Student+Affairs+Administrator+-+Global+Health+Programs</t>
  </si>
  <si>
    <t>Christine D.</t>
  </si>
  <si>
    <t>Student Affairs Administrator - Global Health Programs</t>
  </si>
  <si>
    <t>https://www.google.com/search?newwindow=1&amp;ei=2MT0XrvGGM-vytMP1OyDgAY&amp;q=site%3Alinkedin.com+Valerie+Brodeur+Learning+Expedition+Programs+Principal+Officer+|+International+Activities+and+Student+Mobility</t>
  </si>
  <si>
    <t>Valerie Brodeur</t>
  </si>
  <si>
    <t>Learning Expedition Programs Principal Officer | International Activities and Student Mobility</t>
  </si>
  <si>
    <t>https://www.google.com/search?newwindow=1&amp;ei=2MT0XrvGGM-vytMP1OyDgAY&amp;q=site%3Alinkedin.com+Alexandra+Kaluzny+Manager,+Student+Programs+&amp;+Development+Initiatives</t>
  </si>
  <si>
    <t>Alexandra Kaluzny</t>
  </si>
  <si>
    <t>Manager, Student Programs &amp; Development Initiatives</t>
  </si>
  <si>
    <t>Davies Ward Phillips &amp; Vineberg LLP</t>
  </si>
  <si>
    <t>https://www.google.com/search?newwindow=1&amp;ei=2MT0XrvGGM-vytMP1OyDgAY&amp;q=site%3Alinkedin.com+Lelach+Winterfeld+Student+Adviser+AEC+Programs</t>
  </si>
  <si>
    <t>Lelach Winterfeld</t>
  </si>
  <si>
    <t>Student Adviser AEC Programs</t>
  </si>
  <si>
    <t>Tav College</t>
  </si>
  <si>
    <t>https://www.google.com/search?newwindow=1&amp;ei=2MT0XrvGGM-vytMP1OyDgAY&amp;q=site%3Alinkedin.com+Anaïs+G.+Student+Advisor+for+M.Sc.+&amp;+Ph.D+Programs,+Office+of+the+Registrar</t>
  </si>
  <si>
    <t>Anaïs G.</t>
  </si>
  <si>
    <t>Student Advisor for M.Sc. &amp; Ph.D Programs, Office of the Registrar</t>
  </si>
  <si>
    <t>https://www.google.com/search?newwindow=1&amp;ei=2MT0XrvGGM-vytMP1OyDgAY&amp;q=site%3Alinkedin.com+Kelly+Cassidy+Student+Advisor,+MBA+Programs</t>
  </si>
  <si>
    <t>Kelly Cassidy</t>
  </si>
  <si>
    <t>Student Advisor, MBA Programs</t>
  </si>
  <si>
    <t>McGill University - Desautels Faculty of Management</t>
  </si>
  <si>
    <t>https://www.google.com/search?newwindow=1&amp;ei=2MT0XrvGGM-vytMP1OyDgAY&amp;q=site%3Alinkedin.com+Dina+Bakopanos+Assistant+Director,+MBA+and+Graduate+Programs+in+Business+Administration</t>
  </si>
  <si>
    <t>Dina Bakopanos</t>
  </si>
  <si>
    <t>Assistant Director, MBA and Graduate Programs in Business Administration</t>
  </si>
  <si>
    <t>JMSB, Concordia University</t>
  </si>
  <si>
    <t>https://www.google.com/search?newwindow=1&amp;ei=2MT0XrvGGM-vytMP1OyDgAY&amp;q=site%3Alinkedin.com+Kris+Martens+College+Recruiter</t>
  </si>
  <si>
    <t>Kris Martens</t>
  </si>
  <si>
    <t>Horizon</t>
  </si>
  <si>
    <t>Moose Jaw No 161</t>
  </si>
  <si>
    <t>Saskatchewan</t>
  </si>
  <si>
    <t>https://www.google.com/search?newwindow=1&amp;ei=2MT0XrvGGM-vytMP1OyDgAY&amp;q=site%3Alinkedin.com+Kaitlin+Vance+Senior+Campus+Recruiting+Specialist</t>
  </si>
  <si>
    <t>Kaitlin Vance</t>
  </si>
  <si>
    <t>Morristown</t>
  </si>
  <si>
    <t>https://www.google.com/search?newwindow=1&amp;ei=2MT0XrvGGM-vytMP1OyDgAY&amp;q=site%3Alinkedin.com+Wes+Barrow+US+East+&amp;+Financial+Services+Campus+Recruiting</t>
  </si>
  <si>
    <t>Wes Barrow</t>
  </si>
  <si>
    <t>US East &amp; Financial Services Campus Recruiting</t>
  </si>
  <si>
    <t>Moseley</t>
  </si>
  <si>
    <t>https://www.google.com/search?newwindow=1&amp;ei=2MT0XrvGGM-vytMP1OyDgAY&amp;q=site%3Alinkedin.com+Jennifer+McCanty,+MBA+National+Manager,+Campus+Recruiting</t>
  </si>
  <si>
    <t>https://www.google.com/search?newwindow=1&amp;ei=2MT0XrvGGM-vytMP1OyDgAY&amp;q=site%3Alinkedin.com+Renee+Skinner+Student+Recruiter</t>
  </si>
  <si>
    <t>Renee Skinner</t>
  </si>
  <si>
    <t>Fisheries and Marine Institute of Memorial University of Newfoundland</t>
  </si>
  <si>
    <t>Mount Pearl Park</t>
  </si>
  <si>
    <t>Newfoundland and Labrador</t>
  </si>
  <si>
    <t>https://www.google.com/search?newwindow=1&amp;ei=2MT0XrvGGM-vytMP1OyDgAY&amp;q=site%3Alinkedin.com+Renee+Morrison,+CPA+Campus+Recruiter</t>
  </si>
  <si>
    <t>https://www.google.com/search?newwindow=1&amp;ei=2MT0XrvGGM-vytMP1OyDgAY&amp;q=site%3Alinkedin.com+Demetrio+Ornelas+Campus+Recruiting+Coordinator+at+Deloitte</t>
  </si>
  <si>
    <t>Demetrio Ornelas</t>
  </si>
  <si>
    <t>Campus Recruiting Coordinator at Deloitte</t>
  </si>
  <si>
    <t>Munster</t>
  </si>
  <si>
    <t>https://www.google.com/search?newwindow=1&amp;ei=2MT0XrvGGM-vytMP1OyDgAY&amp;q=site%3Alinkedin.com+Shahnora+Mustafayeva+Office+Manager,+International+Student+Programs</t>
  </si>
  <si>
    <t>Shahnora Mustafayeva</t>
  </si>
  <si>
    <t>Office Manager, International Student Programs</t>
  </si>
  <si>
    <t>Qualicum School District 69</t>
  </si>
  <si>
    <t>Nanaimo</t>
  </si>
  <si>
    <t>https://www.google.com/search?newwindow=1&amp;ei=2MT0XrvGGM-vytMP1OyDgAY&amp;q=site%3Alinkedin.com+Rolanda+Murray+Recruitment+Officer</t>
  </si>
  <si>
    <t>Rolanda Murray</t>
  </si>
  <si>
    <t>Recruitment Officer</t>
  </si>
  <si>
    <t>Vancouver Island University</t>
  </si>
  <si>
    <t>https://www.google.com/search?newwindow=1&amp;ei=2MT0XrvGGM-vytMP1OyDgAY&amp;q=site%3Alinkedin.com+Austin+South+Student+Recruiter</t>
  </si>
  <si>
    <t>Austin South</t>
  </si>
  <si>
    <t>St. Lawrence College</t>
  </si>
  <si>
    <t>Napanee</t>
  </si>
  <si>
    <t>https://www.google.com/search?newwindow=1&amp;ei=2MT0XrvGGM-vytMP1OyDgAY&amp;q=site%3Alinkedin.com+Henal+Majethia+Operations+University+Recruiter</t>
  </si>
  <si>
    <t>https://www.google.com/search?newwindow=1&amp;ei=2MT0XrvGGM-vytMP1OyDgAY&amp;q=site%3Alinkedin.com+Allison+Renner+Campus+Recruiting+Specialist</t>
  </si>
  <si>
    <t>Allison Renner</t>
  </si>
  <si>
    <t>https://www.google.com/search?newwindow=1&amp;ei=2MT0XrvGGM-vytMP1OyDgAY&amp;q=site%3Alinkedin.com+Emily+Dorsey+Perno+Assistant+Director,+Campus+Recruiting+-+Tax</t>
  </si>
  <si>
    <t>https://www.google.com/search?newwindow=1&amp;ei=2MT0XrvGGM-vytMP1OyDgAY&amp;q=site%3Alinkedin.com+Emily+Campana+Director,+Global+Campus+Recruiting</t>
  </si>
  <si>
    <t>Emily Campana</t>
  </si>
  <si>
    <t>Director, Global Campus Recruiting</t>
  </si>
  <si>
    <t>https://www.google.com/search?newwindow=1&amp;ei=2MT0XrvGGM-vytMP1OyDgAY&amp;q=site%3Alinkedin.com+Leah+Stewart+Head+of+Campus+Recruiting</t>
  </si>
  <si>
    <t>https://www.google.com/search?newwindow=1&amp;ei=2MT0XrvGGM-vytMP1OyDgAY&amp;q=site%3Alinkedin.com+Brianna+Galloway+On-Campus+Recruiter</t>
  </si>
  <si>
    <t>Brianna Galloway</t>
  </si>
  <si>
    <t>On-Campus Recruiter</t>
  </si>
  <si>
    <t>University of New Brunswick</t>
  </si>
  <si>
    <t>Fredericton</t>
  </si>
  <si>
    <t>New Brunswick</t>
  </si>
  <si>
    <t>https://www.google.com/search?newwindow=1&amp;ei=2MT0XrvGGM-vytMP1OyDgAY&amp;q=site%3Alinkedin.com+Taylor+Caswell+Graduate+Level+Recruiter/+Admissions+Advisor+(Master+of+Arts+in+Counselling+Psychology)</t>
  </si>
  <si>
    <t>Taylor Caswell</t>
  </si>
  <si>
    <t>Graduate Level Recruiter/ Admissions Advisor (Master of Arts in Counselling Psychology)</t>
  </si>
  <si>
    <t>Yorkville University</t>
  </si>
  <si>
    <t>https://www.google.com/search?newwindow=1&amp;ei=2MT0XrvGGM-vytMP1OyDgAY&amp;q=site%3Alinkedin.com+Katie+Lauren+Jones+Recruiter</t>
  </si>
  <si>
    <t>Katie Lauren Jones</t>
  </si>
  <si>
    <t>Vision Apprentices</t>
  </si>
  <si>
    <t>New Houghton</t>
  </si>
  <si>
    <t>https://www.google.com/search?newwindow=1&amp;ei=2MT0XrvGGM-vytMP1OyDgAY&amp;q=site%3Alinkedin.com+Pat+Murphy+Director+of+Programs+&amp;+Services</t>
  </si>
  <si>
    <t>Pat Murphy</t>
  </si>
  <si>
    <t>Director of Programs &amp; Services</t>
  </si>
  <si>
    <t>AVRCE</t>
  </si>
  <si>
    <t>New Minas</t>
  </si>
  <si>
    <t>https://www.google.com/search?newwindow=1&amp;ei=2MT0XrvGGM-vytMP1OyDgAY&amp;q=site%3Alinkedin.com+Millie+Norton-Knight+Australia+Country+Campus+Recruiter</t>
  </si>
  <si>
    <t>Millie Norton-Knight</t>
  </si>
  <si>
    <t>Australia Country Campus Recruiter</t>
  </si>
  <si>
    <t>Sydney</t>
  </si>
  <si>
    <t>https://www.google.com/search?newwindow=1&amp;ei=2MT0XrvGGM-vytMP1OyDgAY&amp;q=site%3Alinkedin.com+Karen+Jessen+Coordinator+Student+Exchange+Programs</t>
  </si>
  <si>
    <t>Karen Jessen</t>
  </si>
  <si>
    <t>Coordinator Student Exchange Programs</t>
  </si>
  <si>
    <t>Southern Cross University</t>
  </si>
  <si>
    <t>https://www.google.com/search?newwindow=1&amp;ei=2MT0XrvGGM-vytMP1OyDgAY&amp;q=site%3Alinkedin.com+Elaine.+McBride+Manager+International+Student+Programs+-+TAFE+NSW+Riverina+Institute</t>
  </si>
  <si>
    <t>Elaine. McBride</t>
  </si>
  <si>
    <t>Manager International Student Programs - TAFE NSW Riverina Institute</t>
  </si>
  <si>
    <t>https://www.google.com/search?newwindow=1&amp;ei=2MT0XrvGGM-vytMP1OyDgAY&amp;q=site%3Alinkedin.com+Matchett+Jane+A/Student+Services+Officer,+Disability+Programs+New+England+Region</t>
  </si>
  <si>
    <t>Matchett Jane</t>
  </si>
  <si>
    <t>A/Student Services Officer, Disability Programs New England Region</t>
  </si>
  <si>
    <t>NSW Department of Education and Communities</t>
  </si>
  <si>
    <t>https://www.google.com/search?newwindow=1&amp;ei=2MT0XrvGGM-vytMP1OyDgAY&amp;q=site%3Alinkedin.com+Silina+Browne+Student+Recruiter+/Advisor</t>
  </si>
  <si>
    <t>Silina Browne</t>
  </si>
  <si>
    <t>Student Recruiter /Advisor</t>
  </si>
  <si>
    <t>JIBC</t>
  </si>
  <si>
    <t>New Westminster</t>
  </si>
  <si>
    <t>https://www.google.com/search?newwindow=1&amp;ei=2MT0XrvGGM-vytMP1OyDgAY&amp;q=site%3Alinkedin.com+Lauren+E.+Kim+Talent+Acquisition-+Campus+Recruiting</t>
  </si>
  <si>
    <t>Lauren E. Kim</t>
  </si>
  <si>
    <t>Talent Acquisition- Campus Recruiting</t>
  </si>
  <si>
    <t>https://www.google.com/search?newwindow=1&amp;ei=2MT0XrvGGM-vytMP1OyDgAY&amp;q=site%3Alinkedin.com+Chris+Kalloo+Engineering+Campus+Recruiting</t>
  </si>
  <si>
    <t>Chris Kalloo</t>
  </si>
  <si>
    <t>Engineering Campus Recruiting</t>
  </si>
  <si>
    <t>https://www.google.com/search?newwindow=1&amp;ei=2MT0XrvGGM-vytMP1OyDgAY&amp;q=site%3Alinkedin.com+Moira+Gibney+Campus+Recruiting+Coordinator</t>
  </si>
  <si>
    <t>Moira Gibney</t>
  </si>
  <si>
    <t>https://www.google.com/search?newwindow=1&amp;ei=2MT0XrvGGM-vytMP1OyDgAY&amp;q=site%3Alinkedin.com+Taylor+Caldwell+Campus+Recruiting+Specialist</t>
  </si>
  <si>
    <t>Taylor Caldwell</t>
  </si>
  <si>
    <t>https://www.google.com/search?newwindow=1&amp;ei=2MT0XrvGGM-vytMP1OyDgAY&amp;q=site%3Alinkedin.com+Harun+Hasib+Campus+Recruiting+Coordinator</t>
  </si>
  <si>
    <t>Harun Hasib</t>
  </si>
  <si>
    <t>https://www.google.com/search?newwindow=1&amp;ei=2MT0XrvGGM-vytMP1OyDgAY&amp;q=site%3Alinkedin.com+Jena+Hanlon+Associate,+Campus+Recruiting</t>
  </si>
  <si>
    <t>Jena Hanlon</t>
  </si>
  <si>
    <t>https://www.google.com/search?newwindow=1&amp;ei=2MT0XrvGGM-vytMP1OyDgAY&amp;q=site%3Alinkedin.com+Hannah+Wolff+Campus+Recruiting+Lead</t>
  </si>
  <si>
    <t>Hannah Wolff</t>
  </si>
  <si>
    <t>https://www.google.com/search?newwindow=1&amp;ei=2MT0XrvGGM-vytMP1OyDgAY&amp;q=site%3Alinkedin.com+Mallory+Sylvester+Campus+Recruiting+Associate</t>
  </si>
  <si>
    <t>Mallory Sylvester</t>
  </si>
  <si>
    <t>https://www.google.com/search?newwindow=1&amp;ei=2MT0XrvGGM-vytMP1OyDgAY&amp;q=site%3Alinkedin.com+Gabby+Ordaz+Campus+Recruiting+Specialist</t>
  </si>
  <si>
    <t>Gabby Ordaz</t>
  </si>
  <si>
    <t>https://www.google.com/search?newwindow=1&amp;ei=2MT0XrvGGM-vytMP1OyDgAY&amp;q=site%3Alinkedin.com+Angela+Zirino+Engineering+Campus+Recruiting+Coordinator</t>
  </si>
  <si>
    <t>Angela Zirino</t>
  </si>
  <si>
    <t>https://www.google.com/search?newwindow=1&amp;ei=2MT0XrvGGM-vytMP1OyDgAY&amp;q=site%3Alinkedin.com+Amanda+Fornieri+(She+/+Her+/+Hers)+Associate+-+Campus+Recruiting</t>
  </si>
  <si>
    <t>Amanda Fornieri (She / Her / Hers)</t>
  </si>
  <si>
    <t>Associate - Campus Recruiting</t>
  </si>
  <si>
    <t>https://www.google.com/search?newwindow=1&amp;ei=2MT0XrvGGM-vytMP1OyDgAY&amp;q=site%3Alinkedin.com+Jenna+Sobel+Senior+Campus+Recruiting+Coordinator</t>
  </si>
  <si>
    <t>Jenna Sobel</t>
  </si>
  <si>
    <t>https://www.google.com/search?newwindow=1&amp;ei=2MT0XrvGGM-vytMP1OyDgAY&amp;q=site%3Alinkedin.com+Kevin+Rose+Senior+Manager,+Campus+Recruiting</t>
  </si>
  <si>
    <t>https://www.google.com/search?newwindow=1&amp;ei=2MT0XrvGGM-vytMP1OyDgAY&amp;q=site%3Alinkedin.com+Kaitlin+Fitzpatrick+(she/her)+Campus+Recruiting+and+Entry+Programs+Training,+Company+Divisions</t>
  </si>
  <si>
    <t>Kaitlin Fitzpatrick (she/her)</t>
  </si>
  <si>
    <t>Campus Recruiting and Entry Programs Training, Company Divisions</t>
  </si>
  <si>
    <t>https://www.google.com/search?newwindow=1&amp;ei=2MT0XrvGGM-vytMP1OyDgAY&amp;q=site%3Alinkedin.com+Jessica+Lockard+Campus+Recruiting+Manager</t>
  </si>
  <si>
    <t>https://www.google.com/search?newwindow=1&amp;ei=2MT0XrvGGM-vytMP1OyDgAY&amp;q=site%3Alinkedin.com+jaclyn+stagg+Campus+recruiting+coordinator</t>
  </si>
  <si>
    <t>jaclyn stagg</t>
  </si>
  <si>
    <t>Campus recruiting coordinator</t>
  </si>
  <si>
    <t>Bank of America Merrill Lynch via ADP</t>
  </si>
  <si>
    <t>https://www.google.com/search?newwindow=1&amp;ei=2MT0XrvGGM-vytMP1OyDgAY&amp;q=site%3Alinkedin.com+Christie+Mongiardo+Manager,+Institutional+Equity+Campus+Recruiting</t>
  </si>
  <si>
    <t>https://www.google.com/search?newwindow=1&amp;ei=2MT0XrvGGM-vytMP1OyDgAY&amp;q=site%3Alinkedin.com+Anna+Nyzio+Campus+Recruiting+Team+Lead+-+Boston/Hartford</t>
  </si>
  <si>
    <t>Anna Nyzio</t>
  </si>
  <si>
    <t>Campus Recruiting Team Lead - Boston/Hartford</t>
  </si>
  <si>
    <t>https://www.google.com/search?newwindow=1&amp;ei=2MT0XrvGGM-vytMP1OyDgAY&amp;q=site%3Alinkedin.com+Lauren+Cardia+Senior+Campus+Recruiting+Specialist</t>
  </si>
  <si>
    <t>Lauren Cardia</t>
  </si>
  <si>
    <t>https://www.google.com/search?newwindow=1&amp;ei=2MT0XrvGGM-vytMP1OyDgAY&amp;q=site%3Alinkedin.com+Yamiley+Joseph+Engineering+Campus+Recruiting</t>
  </si>
  <si>
    <t>Yamiley Joseph</t>
  </si>
  <si>
    <t>https://www.google.com/search?newwindow=1&amp;ei=2MT0XrvGGM-vytMP1OyDgAY&amp;q=site%3Alinkedin.com+Yesenia+Gomez+Vice+President,+Campus+Diversity+Recruiting+Manager</t>
  </si>
  <si>
    <t>https://www.google.com/search?newwindow=1&amp;ei=2MT0XrvGGM-vytMP1OyDgAY&amp;q=site%3Alinkedin.com+Chelsea+Herritt+Director,+Campus+Recruiting</t>
  </si>
  <si>
    <t>Chelsea Herritt</t>
  </si>
  <si>
    <t>Director, Campus Recruiting</t>
  </si>
  <si>
    <t>https://www.google.com/search?newwindow=1&amp;ei=2MT0XrvGGM-vytMP1OyDgAY&amp;q=site%3Alinkedin.com+Laura+Schmidt+Campus+Recruiting+Specialist</t>
  </si>
  <si>
    <t>Laura Schmidt</t>
  </si>
  <si>
    <t>https://www.google.com/search?newwindow=1&amp;ei=2MT0XrvGGM-vytMP1OyDgAY&amp;q=site%3Alinkedin.com+Nicole+Griffith+Associate+Director,+Financial+Services+Campus+Recruiting</t>
  </si>
  <si>
    <t>Nicole Griffith</t>
  </si>
  <si>
    <t>Associate Director, Financial Services Campus Recruiting</t>
  </si>
  <si>
    <t>https://www.google.com/search?newwindow=1&amp;ei=2MT0XrvGGM-vytMP1OyDgAY&amp;q=site%3Alinkedin.com+Jennifer+Lynch+Assistant+Vice+President,+Senior+Recruiter+Campus+Recruiting+-+Sales+&amp;+Trading</t>
  </si>
  <si>
    <t>https://www.google.com/search?newwindow=1&amp;ei=2MT0XrvGGM-vytMP1OyDgAY&amp;q=site%3Alinkedin.com+Emily+R.+Mejia+Campus+Recruiting+and+Entry+Programs+Training,+Coordinator</t>
  </si>
  <si>
    <t>Emily R. Mejia</t>
  </si>
  <si>
    <t>Campus Recruiting and Entry Programs Training, Coordinator</t>
  </si>
  <si>
    <t>https://www.google.com/search?newwindow=1&amp;ei=2MT0XrvGGM-vytMP1OyDgAY&amp;q=site%3Alinkedin.com+Katie+Fry+Campus+Recruiting+Associate</t>
  </si>
  <si>
    <t>Katie Fry</t>
  </si>
  <si>
    <t>https://www.google.com/search?newwindow=1&amp;ei=2MT0XrvGGM-vytMP1OyDgAY&amp;q=site%3Alinkedin.com+Emilie+Schneider+Campus+Recruiting+-+National+Senior+Associate</t>
  </si>
  <si>
    <t>Emilie Schneider</t>
  </si>
  <si>
    <t>Campus Recruiting - National Senior Associate</t>
  </si>
  <si>
    <t>https://www.google.com/search?newwindow=1&amp;ei=2MT0XrvGGM-vytMP1OyDgAY&amp;q=site%3Alinkedin.com+Heather+VanDerheyden+Campus+Recruiting+-+Assistant+Vice+President</t>
  </si>
  <si>
    <t>Heather VanDerheyden</t>
  </si>
  <si>
    <t>Campus Recruiting - Assistant Vice President</t>
  </si>
  <si>
    <t>https://www.google.com/search?newwindow=1&amp;ei=2MT0XrvGGM-vytMP1OyDgAY&amp;q=site%3Alinkedin.com+Vicki+Tung+Global+Head+Campus+Recruiting</t>
  </si>
  <si>
    <t>Vicki Tung</t>
  </si>
  <si>
    <t>Global Head Campus Recruiting</t>
  </si>
  <si>
    <t>https://www.google.com/search?newwindow=1&amp;ei=2MT0XrvGGM-vytMP1OyDgAY&amp;q=site%3Alinkedin.com+Gregory+Schwartz+Campus+Recruiting+Specialist</t>
  </si>
  <si>
    <t>Gregory Schwartz</t>
  </si>
  <si>
    <t>https://www.google.com/search?newwindow=1&amp;ei=2MT0XrvGGM-vytMP1OyDgAY&amp;q=site%3Alinkedin.com+Charlotte+Fadden+Director,+Campus+Recruiting+Manager</t>
  </si>
  <si>
    <t>https://www.google.com/search?newwindow=1&amp;ei=2MT0XrvGGM-vytMP1OyDgAY&amp;q=site%3Alinkedin.com+Camille+Gonzalez+Engineering+D&amp;I+Campus+Recruiting</t>
  </si>
  <si>
    <t>Camille Gonzalez</t>
  </si>
  <si>
    <t>Engineering D&amp;I Campus Recruiting</t>
  </si>
  <si>
    <t>https://www.google.com/search?newwindow=1&amp;ei=2MT0XrvGGM-vytMP1OyDgAY&amp;q=site%3Alinkedin.com+Aubrey+Baier+Senior+Associate,+Campus+Recruiting</t>
  </si>
  <si>
    <t>Aubrey Baier</t>
  </si>
  <si>
    <t>https://www.google.com/search?newwindow=1&amp;ei=2MT0XrvGGM-vytMP1OyDgAY&amp;q=site%3Alinkedin.com+Trevor+Bridgepaul+Engineering+Campus+Recruiting</t>
  </si>
  <si>
    <t>Trevor Bridgepaul</t>
  </si>
  <si>
    <t>https://www.google.com/search?newwindow=1&amp;ei=2MT0XrvGGM-vytMP1OyDgAY&amp;q=site%3Alinkedin.com+Jali+Henry+Graduate+Campus+Recruiting+Coordinator</t>
  </si>
  <si>
    <t>Jali Henry</t>
  </si>
  <si>
    <t>Graduate Campus Recruiting Coordinator</t>
  </si>
  <si>
    <t>https://www.google.com/search?newwindow=1&amp;ei=2MT0XrvGGM-vytMP1OyDgAY&amp;q=site%3Alinkedin.com+Tiffany+Palacios+Hawkins+Campus+Recruiting+Manager,+Global+Functions</t>
  </si>
  <si>
    <t>https://www.google.com/search?newwindow=1&amp;ei=2MT0XrvGGM-vytMP1OyDgAY&amp;q=site%3Alinkedin.com+Jenna+Posner+Director,+Technology+Campus+Recruiting</t>
  </si>
  <si>
    <t>Jenna Posner</t>
  </si>
  <si>
    <t>Director, Technology Campus Recruiting</t>
  </si>
  <si>
    <t>https://www.google.com/search?newwindow=1&amp;ei=2MT0XrvGGM-vytMP1OyDgAY&amp;q=site%3Alinkedin.com+Juliane+Looney+Campus+Recruiting+Coordinator</t>
  </si>
  <si>
    <t>Juliane Looney</t>
  </si>
  <si>
    <t>https://www.google.com/search?newwindow=1&amp;ei=2MT0XrvGGM-vytMP1OyDgAY&amp;q=site%3Alinkedin.com+Cassandra+Z.+Campus+Recruiting+Senior+Coordinator</t>
  </si>
  <si>
    <t>Cassandra Z.</t>
  </si>
  <si>
    <t>Campus Recruiting Senior Coordinator</t>
  </si>
  <si>
    <t>https://www.google.com/search?newwindow=1&amp;ei=2MT0XrvGGM-vytMP1OyDgAY&amp;q=site%3Alinkedin.com+Shany+Feliz+Campus+Recruiting+Coordinator</t>
  </si>
  <si>
    <t>Shany Feliz</t>
  </si>
  <si>
    <t>https://www.google.com/search?newwindow=1&amp;ei=2MT0XrvGGM-vytMP1OyDgAY&amp;q=site%3Alinkedin.com+Brianna+Whitney+Campus+Recruiting+Coordinator</t>
  </si>
  <si>
    <t>Brianna Whitney</t>
  </si>
  <si>
    <t>https://www.google.com/search?newwindow=1&amp;ei=2MT0XrvGGM-vytMP1OyDgAY&amp;q=site%3Alinkedin.com+Erin+Leonard+Manager,+Investment+Banking+MBA+Campus+Recruiting</t>
  </si>
  <si>
    <t>https://www.google.com/search?newwindow=1&amp;ei=2MT0XrvGGM-vytMP1OyDgAY&amp;q=site%3Alinkedin.com+Nicole+Fritz+Director,+Talent+Acquisition+Marketing</t>
  </si>
  <si>
    <t>Nicole Fritz</t>
  </si>
  <si>
    <t>Director, Talent Acquisition Marketing</t>
  </si>
  <si>
    <t>https://www.google.com/search?newwindow=1&amp;ei=2MT0XrvGGM-vytMP1OyDgAY&amp;q=site%3Alinkedin.com+Sarah+Abt+Campus+Recruiting+Manager</t>
  </si>
  <si>
    <t>https://www.google.com/search?newwindow=1&amp;ei=2MT0XrvGGM-vytMP1OyDgAY&amp;q=site%3Alinkedin.com+Mary+Curtis+U.S.+Campus+Recruiter</t>
  </si>
  <si>
    <t>https://www.google.com/search?newwindow=1&amp;ei=2MT0XrvGGM-vytMP1OyDgAY&amp;q=site%3Alinkedin.com+Katie+Long,+SHRM-CP,+PHR+Campus+Recruiting+Manager</t>
  </si>
  <si>
    <t>https://www.google.com/search?newwindow=1&amp;ei=2MT0XrvGGM-vytMP1OyDgAY&amp;q=site%3Alinkedin.com+Madison+Philips+Campus+Recruiting+Coordinator</t>
  </si>
  <si>
    <t>Madison Philips</t>
  </si>
  <si>
    <t>https://www.google.com/search?newwindow=1&amp;ei=2MT0XrvGGM-vytMP1OyDgAY&amp;q=site%3Alinkedin.com+Jeremy+Carrine+Campus+Recruiting+Manager+|+East+Region</t>
  </si>
  <si>
    <t>https://www.google.com/search?newwindow=1&amp;ei=2MT0XrvGGM-vytMP1OyDgAY&amp;q=site%3Alinkedin.com+Lauren+Harris+Assistant+Director,+US-East+Campus+Recruiting</t>
  </si>
  <si>
    <t>Lauren Harris</t>
  </si>
  <si>
    <t>Assistant Director, US-East Campus Recruiting</t>
  </si>
  <si>
    <t>https://www.google.com/search?newwindow=1&amp;ei=2MT0XrvGGM-vytMP1OyDgAY&amp;q=site%3Alinkedin.com+Madison+Gallagher+Director+of+Technology+Campus+Recruiting</t>
  </si>
  <si>
    <t>Madison Gallagher</t>
  </si>
  <si>
    <t>Director of Technology Campus Recruiting</t>
  </si>
  <si>
    <t>https://www.google.com/search?newwindow=1&amp;ei=2MT0XrvGGM-vytMP1OyDgAY&amp;q=site%3Alinkedin.com+Natasha+Bhalla+Manager,+Technology+Campus+Recruiting</t>
  </si>
  <si>
    <t>https://www.google.com/search?newwindow=1&amp;ei=2MT0XrvGGM-vytMP1OyDgAY&amp;q=site%3Alinkedin.com+Rita+DiLeo+Tomann,+MBA+National+Campus+Recruiting+Lead</t>
  </si>
  <si>
    <t>Rita DiLeo Tomann, MBA</t>
  </si>
  <si>
    <t>https://www.google.com/search?newwindow=1&amp;ei=2MT0XrvGGM-vytMP1OyDgAY&amp;q=site%3Alinkedin.com+Jacqueline+DeFrancesco+Campus+Recruiting+Specailist</t>
  </si>
  <si>
    <t>Jacqueline DeFrancesco</t>
  </si>
  <si>
    <t>Campus Recruiting Specailist</t>
  </si>
  <si>
    <t>https://www.google.com/search?newwindow=1&amp;ei=2MT0XrvGGM-vytMP1OyDgAY&amp;q=site%3Alinkedin.com+Tim+Caggiano+Campus+Recruiting+Specialist</t>
  </si>
  <si>
    <t>Tim Caggiano</t>
  </si>
  <si>
    <t>https://www.google.com/search?newwindow=1&amp;ei=2MT0XrvGGM-vytMP1OyDgAY&amp;q=site%3Alinkedin.com+Courtney+Schroeder+Associate+Recruiter+-+Campus+Recruiting</t>
  </si>
  <si>
    <t>https://www.google.com/search?newwindow=1&amp;ei=2MT0XrvGGM-vytMP1OyDgAY&amp;q=site%3Alinkedin.com+James+(Seldric)+Blocker+Executive+Director;+Asset+&amp;+Wealth+Management+Campus+Recruiting</t>
  </si>
  <si>
    <t>James (Seldric) Blocker</t>
  </si>
  <si>
    <t>Executive Director; Asset &amp; Wealth Management Campus Recruiting</t>
  </si>
  <si>
    <t>https://www.google.com/search?newwindow=1&amp;ei=2MT0XrvGGM-vytMP1OyDgAY&amp;q=site%3Alinkedin.com+Courtney+Payne+Campus+Recruiting+Senior+Analyst</t>
  </si>
  <si>
    <t>Courtney Payne</t>
  </si>
  <si>
    <t>Campus Recruiting Senior Analyst</t>
  </si>
  <si>
    <t>https://www.google.com/search?newwindow=1&amp;ei=2MT0XrvGGM-vytMP1OyDgAY&amp;q=site%3Alinkedin.com+Alyssa+Fleischman+Campus+Recruiting+Coordinator,+Technology</t>
  </si>
  <si>
    <t>Alyssa Fleischman</t>
  </si>
  <si>
    <t>Campus Recruiting Coordinator, Technology</t>
  </si>
  <si>
    <t>https://www.google.com/search?newwindow=1&amp;ei=2MT0XrvGGM-vytMP1OyDgAY&amp;q=site%3Alinkedin.com+Rachel+Vance+Talent+Experience+Specialist:+Campus+&amp;+Entry+Level+Recruiting</t>
  </si>
  <si>
    <t>Rachel Vance</t>
  </si>
  <si>
    <t>Talent Experience Specialist: Campus &amp; Entry Level Recruiting</t>
  </si>
  <si>
    <t>https://www.google.com/search?newwindow=1&amp;ei=2MT0XrvGGM-vytMP1OyDgAY&amp;q=site%3Alinkedin.com+Kaitlyn+Kilduff+Recruiting+Lead+-+Graduate+Campus+Internship+(GCi)+Data+Science+Program</t>
  </si>
  <si>
    <t>Kaitlyn Kilduff</t>
  </si>
  <si>
    <t>Recruiting Lead - Graduate Campus Internship (GCi) Data Science Program</t>
  </si>
  <si>
    <t>https://www.google.com/search?newwindow=1&amp;ei=2MT0XrvGGM-vytMP1OyDgAY&amp;q=site%3Alinkedin.com+Matthew+Curry+Vice+President,+Technology+Campus+Recruiting+Lead+-+North+America</t>
  </si>
  <si>
    <t>Matthew Curry</t>
  </si>
  <si>
    <t>Vice President, Technology Campus Recruiting Lead - North America</t>
  </si>
  <si>
    <t>https://www.google.com/search?newwindow=1&amp;ei=2MT0XrvGGM-vytMP1OyDgAY&amp;q=site%3Alinkedin.com+Jia+C.+Campus+Recruiting+Manager</t>
  </si>
  <si>
    <t>https://www.google.com/search?newwindow=1&amp;ei=2MT0XrvGGM-vytMP1OyDgAY&amp;q=site%3Alinkedin.com+Annie+Boig+McMullen+Vice+President,+Global+Head+of+Investment+Research+&amp;+Merchant+Banking+Campus+Recruiting</t>
  </si>
  <si>
    <t>Annie Boig McMullen</t>
  </si>
  <si>
    <t>Vice President, Global Head of Investment Research &amp; Merchant Banking Campus Recruiting</t>
  </si>
  <si>
    <t>https://www.google.com/search?newwindow=1&amp;ei=2MT0XrvGGM-vytMP1OyDgAY&amp;q=site%3Alinkedin.com+Melissa+Bianco+Associate,+Campus+Recruiting+at+Goldman+Sachs</t>
  </si>
  <si>
    <t>Melissa Bianco</t>
  </si>
  <si>
    <t>Associate, Campus Recruiting at Goldman Sachs</t>
  </si>
  <si>
    <t>https://www.google.com/search?newwindow=1&amp;ei=2MT0XrvGGM-vytMP1OyDgAY&amp;q=site%3Alinkedin.com+Stephanie+Mondo+Executive+Director+-+Head+of+Technology+Experienced+and+Campus+Recruiting</t>
  </si>
  <si>
    <t>Stephanie Mondo</t>
  </si>
  <si>
    <t>Executive Director - Head of Technology Experienced and Campus Recruiting</t>
  </si>
  <si>
    <t>https://www.google.com/search?newwindow=1&amp;ei=2MT0XrvGGM-vytMP1OyDgAY&amp;q=site%3Alinkedin.com+Karen+Burke+Campus+Recruiting+Coordinator</t>
  </si>
  <si>
    <t>Karen Burke</t>
  </si>
  <si>
    <t>https://www.google.com/search?newwindow=1&amp;ei=2MT0XrvGGM-vytMP1OyDgAY&amp;q=site%3Alinkedin.com+Samantha+Robins+Vice+President,+Technology+Campus+Recruiting+Manager+at+Citi</t>
  </si>
  <si>
    <t>https://www.google.com/search?newwindow=1&amp;ei=2MT0XrvGGM-vytMP1OyDgAY&amp;q=site%3Alinkedin.com+Annie+Horsley+Campus+Recruiting+Coordinator</t>
  </si>
  <si>
    <t>Annie Horsley</t>
  </si>
  <si>
    <t>https://www.google.com/search?newwindow=1&amp;ei=2MT0XrvGGM-vytMP1OyDgAY&amp;q=site%3Alinkedin.com+Brooks+Farley+Campus+Recruiting+Coordinator,+ADP+RPO</t>
  </si>
  <si>
    <t>Brooks Farley</t>
  </si>
  <si>
    <t>Campus Recruiting Coordinator, ADP RPO</t>
  </si>
  <si>
    <t>https://www.google.com/search?newwindow=1&amp;ei=2MT0XrvGGM-vytMP1OyDgAY&amp;q=site%3Alinkedin.com+Katy+Y.+Campus+Recruiting+Coordinator+&amp;+Operations+Analyst</t>
  </si>
  <si>
    <t>Katy Y.</t>
  </si>
  <si>
    <t>Campus Recruiting Coordinator &amp; Operations Analyst</t>
  </si>
  <si>
    <t>https://www.google.com/search?newwindow=1&amp;ei=2MT0XrvGGM-vytMP1OyDgAY&amp;q=site%3Alinkedin.com+Andrea+Diamond+Executive+Director,+Head+of+Campus+Strategy,+Investment+Mgmt,+&amp;+Infrastructure+Campus+Recruiting</t>
  </si>
  <si>
    <t>Andrea Diamond</t>
  </si>
  <si>
    <t>Executive Director, Head of Campus Strategy, Investment Mgmt, &amp; Infrastructure Campus Recruiting</t>
  </si>
  <si>
    <t>https://www.google.com/search?newwindow=1&amp;ei=2MT0XrvGGM-vytMP1OyDgAY&amp;q=site%3Alinkedin.com+Melissa+Martinez+Lead+Campus+Recruiting+Coordinator</t>
  </si>
  <si>
    <t>Melissa Martinez</t>
  </si>
  <si>
    <t>Lead Campus Recruiting Coordinator</t>
  </si>
  <si>
    <t>https://www.google.com/search?newwindow=1&amp;ei=2MT0XrvGGM-vytMP1OyDgAY&amp;q=site%3Alinkedin.com+Kathleen+McQuarrie+Campus+Recruiting+Coordinator+onsite+via+ADP+RPO</t>
  </si>
  <si>
    <t>Kathleen McQuarrie</t>
  </si>
  <si>
    <t>Campus Recruiting Coordinator onsite via ADP RPO</t>
  </si>
  <si>
    <t>https://www.google.com/search?newwindow=1&amp;ei=2MT0XrvGGM-vytMP1OyDgAY&amp;q=site%3Alinkedin.com+Marissa+Mellan+Manager,+Quantitative+Finance+Campus+Recruiting+at+Morgan+Stanley</t>
  </si>
  <si>
    <t>https://www.google.com/search?newwindow=1&amp;ei=2MT0XrvGGM-vytMP1OyDgAY&amp;q=site%3Alinkedin.com+Caitlin+Gallant+Campus+Recruiting</t>
  </si>
  <si>
    <t>Caitlin Gallant</t>
  </si>
  <si>
    <t>https://www.google.com/search?newwindow=1&amp;ei=2MT0XrvGGM-vytMP1OyDgAY&amp;q=site%3Alinkedin.com+Corrine+Verga+Campus+Recruiting+Coordinator+-+Investment+Banking+Division+at+Goldman+Sachs+via+ADP+RPO</t>
  </si>
  <si>
    <t>Corrine Verga</t>
  </si>
  <si>
    <t>Campus Recruiting Coordinator - Investment Banking Division at Goldman Sachs via ADP RPO</t>
  </si>
  <si>
    <t>https://www.google.com/search?newwindow=1&amp;ei=2MT0XrvGGM-vytMP1OyDgAY&amp;q=site%3Alinkedin.com+Victoria+Hess+Associate+Director,+Campus+Recruiting</t>
  </si>
  <si>
    <t>Victoria Hess</t>
  </si>
  <si>
    <t>12 years 8 months in role and company</t>
  </si>
  <si>
    <t>https://www.google.com/search?newwindow=1&amp;ei=2MT0XrvGGM-vytMP1OyDgAY&amp;q=site%3Alinkedin.com+Sandeep+Draviam+Inclusion+and+Diversity+Manager,+Campus+Recruiting</t>
  </si>
  <si>
    <t>https://www.google.com/search?newwindow=1&amp;ei=2MT0XrvGGM-vytMP1OyDgAY&amp;q=site%3Alinkedin.com+Alexis+Polanco,+MS+Global+Markets+Lead+Recruiter,+Vice+President</t>
  </si>
  <si>
    <t>https://www.google.com/search?newwindow=1&amp;ei=2MT0XrvGGM-vytMP1OyDgAY&amp;q=site%3Alinkedin.com+Danielle+(.+Talent+Acquisition+Manager</t>
  </si>
  <si>
    <t>https://www.google.com/search?newwindow=1&amp;ei=2MT0XrvGGM-vytMP1OyDgAY&amp;q=site%3Alinkedin.com+Kathryn+R.+Manager,+Campus+Recruiting</t>
  </si>
  <si>
    <t>https://www.google.com/search?newwindow=1&amp;ei=2MT0XrvGGM-vytMP1OyDgAY&amp;q=site%3Alinkedin.com+Shannon+Rennie+Campus+Recruiting+Specialist</t>
  </si>
  <si>
    <t>Shannon Rennie</t>
  </si>
  <si>
    <t>https://www.google.com/search?newwindow=1&amp;ei=2MT0XrvGGM-vytMP1OyDgAY&amp;q=site%3Alinkedin.com+Alison+Speedling+Manager,+Campus+Recruiting</t>
  </si>
  <si>
    <t>https://www.google.com/search?newwindow=1&amp;ei=2MT0XrvGGM-vytMP1OyDgAY&amp;q=site%3Alinkedin.com+Katie+Hawkins+Drasso+Campus+Recruiting+Coordinator+onsite+at+Goldman+Sachs+via+ADP+RPO</t>
  </si>
  <si>
    <t>Katie Hawkins Drasso</t>
  </si>
  <si>
    <t>https://www.google.com/search?newwindow=1&amp;ei=2MT0XrvGGM-vytMP1OyDgAY&amp;q=site%3Alinkedin.com+Alison+Mancuso+Assistant+Vice+President,+Campus+Recruiting</t>
  </si>
  <si>
    <t>Alison Mancuso</t>
  </si>
  <si>
    <t>Assistant Vice President, Campus Recruiting</t>
  </si>
  <si>
    <t>Bank of America Merrill Lynch</t>
  </si>
  <si>
    <t>https://www.google.com/search?newwindow=1&amp;ei=2MT0XrvGGM-vytMP1OyDgAY&amp;q=site%3Alinkedin.com+Christina+Belmonte+Manager,+Fixed+Income+Analyst+Campus+Recruiting</t>
  </si>
  <si>
    <t>https://www.google.com/search?newwindow=1&amp;ei=2MT0XrvGGM-vytMP1OyDgAY&amp;q=site%3Alinkedin.com+Jessica+Franco+New+York+Metro+Campus+Recruiting+Lead</t>
  </si>
  <si>
    <t>Jessica Franco</t>
  </si>
  <si>
    <t>New York Metro Campus Recruiting Lead</t>
  </si>
  <si>
    <t>https://www.google.com/search?newwindow=1&amp;ei=2MT0XrvGGM-vytMP1OyDgAY&amp;q=site%3Alinkedin.com+Jemima+Sloggett+Manager,+Campus+Recruiting</t>
  </si>
  <si>
    <t>https://www.google.com/search?newwindow=1&amp;ei=2MT0XrvGGM-vytMP1OyDgAY&amp;q=site%3Alinkedin.com+Joe+Maturando+Director+of+Campus+Recruiting,+Northeast+Region</t>
  </si>
  <si>
    <t>Joe Maturando</t>
  </si>
  <si>
    <t>Director of Campus Recruiting, Northeast Region</t>
  </si>
  <si>
    <t>23 years 2 months in role and company</t>
  </si>
  <si>
    <t>https://www.google.com/search?newwindow=1&amp;ei=2MT0XrvGGM-vytMP1OyDgAY&amp;q=site%3Alinkedin.com+Angela+Marchesi+Cherry+National+Deloitte+Risk+and+Financial+Advisory+Campus+Recruiting+Leader</t>
  </si>
  <si>
    <t>Angela Marchesi Cherry</t>
  </si>
  <si>
    <t>National Deloitte Risk and Financial Advisory Campus Recruiting Leader</t>
  </si>
  <si>
    <t>https://www.google.com/search?newwindow=1&amp;ei=2MT0XrvGGM-vytMP1OyDgAY&amp;q=site%3Alinkedin.com+Erica+Ciolli+Head+of+Campus+Recruiting+for+Consumer+and+Investment+Management+(Private+Wealth+&amp;+Asset+Management)</t>
  </si>
  <si>
    <t>https://www.google.com/search?newwindow=1&amp;ei=2MT0XrvGGM-vytMP1OyDgAY&amp;q=site%3Alinkedin.com+Katie+Robinson-Duff+Manager,+Campus+Recruiting</t>
  </si>
  <si>
    <t>https://www.google.com/search?newwindow=1&amp;ei=2MT0XrvGGM-vytMP1OyDgAY&amp;q=site%3Alinkedin.com+Ragland+Mackin+Director+of+Campus+Recruiting</t>
  </si>
  <si>
    <t>https://www.google.com/search?newwindow=1&amp;ei=2MT0XrvGGM-vytMP1OyDgAY&amp;q=site%3Alinkedin.com+Hollan+Humphrey+Campus+Recruiting+Coordinator,+Investment+Banking+Analyst+Program</t>
  </si>
  <si>
    <t>Hollan Humphrey</t>
  </si>
  <si>
    <t>Campus Recruiting Coordinator, Investment Banking Analyst Program</t>
  </si>
  <si>
    <t>https://www.google.com/search?newwindow=1&amp;ei=2MT0XrvGGM-vytMP1OyDgAY&amp;q=site%3Alinkedin.com+Gabrielle+DiBuono+Vice+President,+Head+of+Campus+Recruiting+-+US+Financial+Advisory</t>
  </si>
  <si>
    <t>Gabrielle DiBuono</t>
  </si>
  <si>
    <t>Vice President, Head of Campus Recruiting - US Financial Advisory</t>
  </si>
  <si>
    <t>Lazard</t>
  </si>
  <si>
    <t>https://www.google.com/search?newwindow=1&amp;ei=2MT0XrvGGM-vytMP1OyDgAY&amp;q=site%3Alinkedin.com+Christine+Sexton+Campus+Recruiting++|+Americas+Talent+Team</t>
  </si>
  <si>
    <t>Christine Sexton</t>
  </si>
  <si>
    <t>Campus Recruiting  | Americas Talent Team</t>
  </si>
  <si>
    <t>https://www.google.com/search?newwindow=1&amp;ei=2MT0XrvGGM-vytMP1OyDgAY&amp;q=site%3Alinkedin.com+Elizabeth+Schoentube+Senior+Vice+President,+Head+of+Campus+Recruiting+&amp;+Program+Management</t>
  </si>
  <si>
    <t>Elizabeth Schoentube</t>
  </si>
  <si>
    <t>Senior Vice President, Head of Campus Recruiting &amp; Program Management</t>
  </si>
  <si>
    <t>https://www.google.com/search?newwindow=1&amp;ei=2MT0XrvGGM-vytMP1OyDgAY&amp;q=site%3Alinkedin.com+Kiera+McMullan+Wealth+Management+Campus+Recruiting+&amp;+Program+Management</t>
  </si>
  <si>
    <t>Kiera McMullan</t>
  </si>
  <si>
    <t>Wealth Management Campus Recruiting &amp; Program Management</t>
  </si>
  <si>
    <t>https://www.google.com/search?newwindow=1&amp;ei=2MT0XrvGGM-vytMP1OyDgAY&amp;q=site%3Alinkedin.com+Melanie+S.+Human+Resources+Intern+-+Campus+Recruiting</t>
  </si>
  <si>
    <t>Melanie S.</t>
  </si>
  <si>
    <t>Human Resources Intern - Campus Recruiting</t>
  </si>
  <si>
    <t>https://www.google.com/search?newwindow=1&amp;ei=2MT0XrvGGM-vytMP1OyDgAY&amp;q=site%3Alinkedin.com+Taylor+Monticollo+Campus+Recruiting+Coordinator</t>
  </si>
  <si>
    <t>Taylor Monticollo</t>
  </si>
  <si>
    <t>https://www.google.com/search?newwindow=1&amp;ei=2MT0XrvGGM-vytMP1OyDgAY&amp;q=site%3Alinkedin.com+Jenna+R.+Campus+Recruiting+Manager</t>
  </si>
  <si>
    <t>https://www.google.com/search?newwindow=1&amp;ei=2MT0XrvGGM-vytMP1OyDgAY&amp;q=site%3Alinkedin.com+Lisa+James+Human+Resources</t>
  </si>
  <si>
    <t>Lisa James</t>
  </si>
  <si>
    <t>Human Resources</t>
  </si>
  <si>
    <t>26 years 11 months in role and company</t>
  </si>
  <si>
    <t>https://www.google.com/search?newwindow=1&amp;ei=2MT0XrvGGM-vytMP1OyDgAY&amp;q=site%3Alinkedin.com+Chloe+Street+Campus+Recruiting+Director</t>
  </si>
  <si>
    <t>Chloe Street</t>
  </si>
  <si>
    <t>Campus Recruiting Director</t>
  </si>
  <si>
    <t>https://www.google.com/search?newwindow=1&amp;ei=2MT0XrvGGM-vytMP1OyDgAY&amp;q=site%3Alinkedin.com+Mary+Catherine+Executive+Director,+Campus+Recruiting</t>
  </si>
  <si>
    <t>Mary Catherine</t>
  </si>
  <si>
    <t>Executive Director, Campus Recruiting</t>
  </si>
  <si>
    <t>https://www.google.com/search?newwindow=1&amp;ei=2MT0XrvGGM-vytMP1OyDgAY&amp;q=site%3Alinkedin.com+Meghan+McKenzie+Experienced+Hire+Recruiting</t>
  </si>
  <si>
    <t>Meghan McKenzie</t>
  </si>
  <si>
    <t>Experienced Hire Recruiting</t>
  </si>
  <si>
    <t>4 years 7 months in role</t>
  </si>
  <si>
    <t>https://www.google.com/search?newwindow=1&amp;ei=2MT0XrvGGM-vytMP1OyDgAY&amp;q=site%3Alinkedin.com+Ashley+Hyde,+MS,+SPHR+Manager,+Performance+Management</t>
  </si>
  <si>
    <t>https://www.google.com/search?newwindow=1&amp;ei=2MT0XrvGGM-vytMP1OyDgAY&amp;q=site%3Alinkedin.com+Alyse+Aven+Lead+Experienced+Hire+Recruiter</t>
  </si>
  <si>
    <t>https://www.google.com/search?newwindow=1&amp;ei=2MT0XrvGGM-vytMP1OyDgAY&amp;q=site%3Alinkedin.com+Megan+Armellini+Campus+Recruiting+Manager</t>
  </si>
  <si>
    <t>https://www.google.com/search?newwindow=1&amp;ei=2MT0XrvGGM-vytMP1OyDgAY&amp;q=site%3Alinkedin.com+Jessica+Bartch+Associate+Director,+Campus+Recruiting</t>
  </si>
  <si>
    <t>Jessica Bartch</t>
  </si>
  <si>
    <t>https://www.google.com/search?newwindow=1&amp;ei=2MT0XrvGGM-vytMP1OyDgAY&amp;q=site%3Alinkedin.com+Molli+Flynt+Associate+Director+of+Campus+Recruiting</t>
  </si>
  <si>
    <t>Molli Flynt</t>
  </si>
  <si>
    <t>Associate Director of Campus Recruiting</t>
  </si>
  <si>
    <t>https://www.google.com/search?newwindow=1&amp;ei=2MT0XrvGGM-vytMP1OyDgAY&amp;q=site%3Alinkedin.com+Jagreet+Baghasingh+Team+Lead+-+R&amp;D+Investor+Ownership</t>
  </si>
  <si>
    <t>Jagreet Baghasingh</t>
  </si>
  <si>
    <t>Team Lead - R&amp;D Investor Ownership</t>
  </si>
  <si>
    <t>https://www.google.com/search?newwindow=1&amp;ei=2MT0XrvGGM-vytMP1OyDgAY&amp;q=site%3Alinkedin.com+Andrea+Beldecos+Managing+Director,+Global+Head+of+Asset+Management+Campus+Recruiting</t>
  </si>
  <si>
    <t>Andrea Beldecos</t>
  </si>
  <si>
    <t>Managing Director, Global Head of Asset Management Campus Recruiting</t>
  </si>
  <si>
    <t>https://www.google.com/search?newwindow=1&amp;ei=2MT0XrvGGM-vytMP1OyDgAY&amp;q=site%3Alinkedin.com+Kate+Bennis+Lead+Campus+Recruiting+Specialist</t>
  </si>
  <si>
    <t>Kate Bennis</t>
  </si>
  <si>
    <t>https://www.google.com/search?newwindow=1&amp;ei=2MT0XrvGGM-vytMP1OyDgAY&amp;q=site%3Alinkedin.com+Asli+Pamir-Uzun+Undergrad+Strategy+Campus+Recruiting+Associate</t>
  </si>
  <si>
    <t>Asli Pamir-Uzun</t>
  </si>
  <si>
    <t>Undergrad Strategy Campus Recruiting Associate</t>
  </si>
  <si>
    <t>https://www.google.com/search?newwindow=1&amp;ei=2MT0XrvGGM-vytMP1OyDgAY&amp;q=site%3Alinkedin.com+Jia+Chong+Campus+Recruiting</t>
  </si>
  <si>
    <t>Jia Chong</t>
  </si>
  <si>
    <t>https://www.google.com/search?newwindow=1&amp;ei=2MT0XrvGGM-vytMP1OyDgAY&amp;q=site%3Alinkedin.com+Emily+KB+Hines+Campus+Recruiting+Coordinator</t>
  </si>
  <si>
    <t>Emily KB Hines</t>
  </si>
  <si>
    <t>https://www.google.com/search?newwindow=1&amp;ei=2MT0XrvGGM-vytMP1OyDgAY&amp;q=site%3Alinkedin.com+Linnea+Carter+Campus+Recruiting+Coordinator</t>
  </si>
  <si>
    <t>Linnea Carter</t>
  </si>
  <si>
    <t>https://www.google.com/search?newwindow=1&amp;ei=2MT0XrvGGM-vytMP1OyDgAY&amp;q=site%3Alinkedin.com+Joseph+Blue+Campus+Recruiting+-+Jr.+Business+Advisor/Analyst</t>
  </si>
  <si>
    <t>Joseph Blue</t>
  </si>
  <si>
    <t>Campus Recruiting - Jr. Business Advisor/Analyst</t>
  </si>
  <si>
    <t>https://www.google.com/search?newwindow=1&amp;ei=2MT0XrvGGM-vytMP1OyDgAY&amp;q=site%3Alinkedin.com+Yasmeen+Marques+Campus+Recruiting+Coordinator</t>
  </si>
  <si>
    <t>Yasmeen Marques</t>
  </si>
  <si>
    <t>https://www.google.com/search?newwindow=1&amp;ei=2MT0XrvGGM-vytMP1OyDgAY&amp;q=site%3Alinkedin.com+Keana+Prisk+Global+Wholesale+Revenue+Campus+Recruiting</t>
  </si>
  <si>
    <t>Keana Prisk</t>
  </si>
  <si>
    <t>Global Wholesale Revenue Campus Recruiting</t>
  </si>
  <si>
    <t>https://www.google.com/search?newwindow=1&amp;ei=2MT0XrvGGM-vytMP1OyDgAY&amp;q=site%3Alinkedin.com+Nyell+Spicer+Campus+Recruiting+Coordinator</t>
  </si>
  <si>
    <t>Nyell Spicer</t>
  </si>
  <si>
    <t>https://www.google.com/search?newwindow=1&amp;ei=2MT0XrvGGM-vytMP1OyDgAY&amp;q=site%3Alinkedin.com+Carolyn+Watson+CIB+Campus+Recruiting+Coordinator</t>
  </si>
  <si>
    <t>Carolyn Watson</t>
  </si>
  <si>
    <t>CIB Campus Recruiting Coordinator</t>
  </si>
  <si>
    <t>https://www.google.com/search?newwindow=1&amp;ei=2MT0XrvGGM-vytMP1OyDgAY&amp;q=site%3Alinkedin.com+Sophie+Thompson+University+Recruiter</t>
  </si>
  <si>
    <t>Sophie Thompson</t>
  </si>
  <si>
    <t>Newcastle upon Tyne</t>
  </si>
  <si>
    <t>https://www.google.com/search?newwindow=1&amp;ei=2MT0XrvGGM-vytMP1OyDgAY&amp;q=site%3Alinkedin.com+Swathi+Priya+Dasari+Student</t>
  </si>
  <si>
    <t>Swathi Priya Dasari</t>
  </si>
  <si>
    <t>Northumbria University</t>
  </si>
  <si>
    <t>https://www.google.com/search?newwindow=1&amp;ei=2MT0XrvGGM-vytMP1OyDgAY&amp;q=site%3Alinkedin.com+Dan+Dawson+University+Lecturer</t>
  </si>
  <si>
    <t>Dan Dawson</t>
  </si>
  <si>
    <t>University Lecturer</t>
  </si>
  <si>
    <t>Staffordshire University</t>
  </si>
  <si>
    <t>Newcastle-under-Lyme</t>
  </si>
  <si>
    <t>https://www.google.com/search?newwindow=1&amp;ei=2MT0XrvGGM-vytMP1OyDgAY&amp;q=site%3Alinkedin.com+Krista+Navalta+Campus+Recruiter</t>
  </si>
  <si>
    <t>Krista Navalta</t>
  </si>
  <si>
    <t>York Region (The Regional Municipality of York)</t>
  </si>
  <si>
    <t>Newmarket</t>
  </si>
  <si>
    <t>https://www.google.com/search?newwindow=1&amp;ei=2MT0XrvGGM-vytMP1OyDgAY&amp;q=site%3Alinkedin.com+Janet+Downer+Assistant+Head+of+School,+Academics+and+Student+Programs</t>
  </si>
  <si>
    <t>Janet Downer</t>
  </si>
  <si>
    <t>Assistant Head of School, Academics and Student Programs</t>
  </si>
  <si>
    <t>Pickering College</t>
  </si>
  <si>
    <t>https://www.google.com/search?newwindow=1&amp;ei=2MT0XrvGGM-vytMP1OyDgAY&amp;q=site%3Alinkedin.com+Jackson+Borg+Student+Learning+Support+Officer</t>
  </si>
  <si>
    <t>Jackson Borg</t>
  </si>
  <si>
    <t>Student Learning Support Officer</t>
  </si>
  <si>
    <t>ST IVES HIGH SCHOOL</t>
  </si>
  <si>
    <t>Newport</t>
  </si>
  <si>
    <t>https://www.google.com/search?newwindow=1&amp;ei=2MT0XrvGGM-vytMP1OyDgAY&amp;q=site%3Alinkedin.com+Hugo+Garcia-Gonzalez+Student+Assistant</t>
  </si>
  <si>
    <t>Hugo Garcia-Gonzalez</t>
  </si>
  <si>
    <t>Student Assistant</t>
  </si>
  <si>
    <t>Niagara College Canada International Division</t>
  </si>
  <si>
    <t>Niagara-on-the-Lake</t>
  </si>
  <si>
    <t>https://www.google.com/search?newwindow=1&amp;ei=2MT0XrvGGM-vytMP1OyDgAY&amp;q=site%3Alinkedin.com+Derrick+Beggs,+PHR+CDR+KMPG+Campus+Recruiting+Manager</t>
  </si>
  <si>
    <t>https://www.google.com/search?newwindow=1&amp;ei=2MT0XrvGGM-vytMP1OyDgAY&amp;q=site%3Alinkedin.com+Jorgia+Petschack+Student+Recruiter</t>
  </si>
  <si>
    <t>Jorgia Petschack</t>
  </si>
  <si>
    <t>Alphacrucis College</t>
  </si>
  <si>
    <t>North Parramatta</t>
  </si>
  <si>
    <t>https://www.google.com/search?newwindow=1&amp;ei=2MT0XrvGGM-vytMP1OyDgAY&amp;q=site%3Alinkedin.com+Ellie+Woodfield+Campus+Recruiter</t>
  </si>
  <si>
    <t>Ellie Woodfield</t>
  </si>
  <si>
    <t>IMC Trading</t>
  </si>
  <si>
    <t>North Sydney</t>
  </si>
  <si>
    <t>https://www.google.com/search?newwindow=1&amp;ei=2MT0XrvGGM-vytMP1OyDgAY&amp;q=site%3Alinkedin.com+Heather+Gawenda+Student+Recruiter</t>
  </si>
  <si>
    <t>Heather Gawenda</t>
  </si>
  <si>
    <t>North Vancouver</t>
  </si>
  <si>
    <t>https://www.google.com/search?newwindow=1&amp;ei=2MT0XrvGGM-vytMP1OyDgAY&amp;q=site%3Alinkedin.com+Zinnet+Omidvar+International+student+recruiter+/+counselor</t>
  </si>
  <si>
    <t>Zinnet Omidvar</t>
  </si>
  <si>
    <t>International student recruiter / counselor</t>
  </si>
  <si>
    <t>FUTURE PLACEMENT AGENCY</t>
  </si>
  <si>
    <t>https://www.google.com/search?newwindow=1&amp;ei=2MT0XrvGGM-vytMP1OyDgAY&amp;q=site%3Alinkedin.com+Ali+Accumanno+Griffin+Lead+Campus+Recruiting+Specialist</t>
  </si>
  <si>
    <t>Ali Accumanno Griffin</t>
  </si>
  <si>
    <t>Norwalk</t>
  </si>
  <si>
    <t>https://www.google.com/search?newwindow=1&amp;ei=2MT0XrvGGM-vytMP1OyDgAY&amp;q=site%3Alinkedin.com+Joseph+Linley+Student+Recruitment+Officer+-+Nottingham+University+Business+School</t>
  </si>
  <si>
    <t>Joseph Linley</t>
  </si>
  <si>
    <t>Student Recruitment Officer - Nottingham University Business School</t>
  </si>
  <si>
    <t>University of Nottingham</t>
  </si>
  <si>
    <t>Nottinghamshire</t>
  </si>
  <si>
    <t>https://www.google.com/search?newwindow=1&amp;ei=2MT0XrvGGM-vytMP1OyDgAY&amp;q=site%3Alinkedin.com+Olwen+Watson+Senior+Campus+Recruiter+-+Talent+Acquisition</t>
  </si>
  <si>
    <t>Olwen Watson</t>
  </si>
  <si>
    <t>Senior Campus Recruiter - Talent Acquisition</t>
  </si>
  <si>
    <t>https://www.google.com/search?newwindow=1&amp;ei=2MT0XrvGGM-vytMP1OyDgAY&amp;q=site%3Alinkedin.com+Waasif+Syed+Student+Recruiter</t>
  </si>
  <si>
    <t>Waasif Syed</t>
  </si>
  <si>
    <t>https://www.google.com/search?newwindow=1&amp;ei=2MT0XrvGGM-vytMP1OyDgAY&amp;q=site%3Alinkedin.com+Lurker+Ding+Student+Recruiter</t>
  </si>
  <si>
    <t>Lurker Ding</t>
  </si>
  <si>
    <t>https://www.google.com/search?newwindow=1&amp;ei=2MT0XrvGGM-vytMP1OyDgAY&amp;q=site%3Alinkedin.com+Darrell+LeBlanc+Director+of+Programs+&amp;+Student+Services</t>
  </si>
  <si>
    <t>Darrell LeBlanc</t>
  </si>
  <si>
    <t>Director of Programs &amp; Student Services</t>
  </si>
  <si>
    <t>Strait Regional Centre for Education</t>
  </si>
  <si>
    <t>https://www.google.com/search?newwindow=1&amp;ei=2MT0XrvGGM-vytMP1OyDgAY&amp;q=site%3Alinkedin.com+Aaron+Callaghan+Director+of+Programs+&amp;+Student+Services</t>
  </si>
  <si>
    <t>Aaron Callaghan</t>
  </si>
  <si>
    <t>Chinecto Central Regional Centre for Education</t>
  </si>
  <si>
    <t>https://www.google.com/search?newwindow=1&amp;ei=2MT0XrvGGM-vytMP1OyDgAY&amp;q=site%3Alinkedin.com+Sofia+DiPaolo+Campus+Recruiting+Coordinator</t>
  </si>
  <si>
    <t>Sofia DiPaolo</t>
  </si>
  <si>
    <t>https://www.google.com/search?newwindow=1&amp;ei=2MT0XrvGGM-vytMP1OyDgAY&amp;q=site%3Alinkedin.com+David+Jenner+Director+of+Commercial+Activities,+Director+Student+Elite+Programs</t>
  </si>
  <si>
    <t>David Jenner</t>
  </si>
  <si>
    <t>Director of Commercial Activities, Director Student Elite Programs</t>
  </si>
  <si>
    <t>Appleby College</t>
  </si>
  <si>
    <t>Oakville</t>
  </si>
  <si>
    <t>https://www.google.com/search?newwindow=1&amp;ei=2MT0XrvGGM-vytMP1OyDgAY&amp;q=site%3Alinkedin.com+Margaret+Walker+Campus+Recruiting+Rep</t>
  </si>
  <si>
    <t>Margaret Walker</t>
  </si>
  <si>
    <t>Campus Recruiting Rep</t>
  </si>
  <si>
    <t>Oceano</t>
  </si>
  <si>
    <t>https://www.google.com/search?newwindow=1&amp;ei=2MT0XrvGGM-vytMP1OyDgAY&amp;q=site%3Alinkedin.com+Margaret+Walker+Campus+Recruiting+Representative</t>
  </si>
  <si>
    <t>https://www.google.com/search?newwindow=1&amp;ei=2MT0XrvGGM-vytMP1OyDgAY&amp;q=site%3Alinkedin.com+Megan+Boyer+Campus+Recruiting+Specialist</t>
  </si>
  <si>
    <t>Megan Boyer</t>
  </si>
  <si>
    <t>https://www.google.com/search?newwindow=1&amp;ei=2MT0XrvGGM-vytMP1OyDgAY&amp;q=site%3Alinkedin.com+Becky+Paseka,+CPA+Campus+Recruiting+Manager</t>
  </si>
  <si>
    <t>https://www.google.com/search?newwindow=1&amp;ei=2MT0XrvGGM-vytMP1OyDgAY&amp;q=site%3Alinkedin.com+Frank+Katradis+Assistant+Student+Recruiter</t>
  </si>
  <si>
    <t>Frank Katradis</t>
  </si>
  <si>
    <t>https://www.google.com/search?newwindow=1&amp;ei=2MT0XrvGGM-vytMP1OyDgAY&amp;q=site%3Alinkedin.com+Heather+Yang+International+Student+Recruiter</t>
  </si>
  <si>
    <t>Heather Yang</t>
  </si>
  <si>
    <t>Hanson Canada</t>
  </si>
  <si>
    <t>https://www.google.com/search?newwindow=1&amp;ei=2MT0XrvGGM-vytMP1OyDgAY&amp;q=site%3Alinkedin.com+Allison+Brown+College+Recruiter</t>
  </si>
  <si>
    <t>Allison Brown</t>
  </si>
  <si>
    <t>University of Guelph, Ridgetown Campus</t>
  </si>
  <si>
    <t>https://www.google.com/search?newwindow=1&amp;ei=2MT0XrvGGM-vytMP1OyDgAY&amp;q=site%3Alinkedin.com+Catherine+Corbeil+Student+-+Resource+Planning+and+Student+Programs</t>
  </si>
  <si>
    <t>Catherine Corbeil</t>
  </si>
  <si>
    <t>Student - Resource Planning and Student Programs</t>
  </si>
  <si>
    <t>Office of the Auditor General of Canada / Bureau du vérificateur général du Canada</t>
  </si>
  <si>
    <t>https://www.google.com/search?newwindow=1&amp;ei=2MT0XrvGGM-vytMP1OyDgAY&amp;q=site%3Alinkedin.com+Sarah+Jones+Coordinator,+Professional+Recruiting/Student+Programs</t>
  </si>
  <si>
    <t>Sarah Jones</t>
  </si>
  <si>
    <t>Coordinator, Professional Recruiting/Student Programs</t>
  </si>
  <si>
    <t>Borden Ladner Gervais LLP (BLG)</t>
  </si>
  <si>
    <t>https://www.google.com/search?newwindow=1&amp;ei=2MT0XrvGGM-vytMP1OyDgAY&amp;q=site%3Alinkedin.com+Susan+Downey+Student+Placement+Facilitator</t>
  </si>
  <si>
    <t>Susan Downey</t>
  </si>
  <si>
    <t>Student Placement Facilitator</t>
  </si>
  <si>
    <t>https://www.google.com/search?newwindow=1&amp;ei=2MT0XrvGGM-vytMP1OyDgAY&amp;q=site%3Alinkedin.com+Kelli+Shimizu+Campus+Recruiting+Specialist</t>
  </si>
  <si>
    <t>Kelli Shimizu</t>
  </si>
  <si>
    <t>https://www.google.com/search?newwindow=1&amp;ei=2MT0XrvGGM-vytMP1OyDgAY&amp;q=site%3Alinkedin.com+Grace+Powers+Campus+Recruiting+Specialist</t>
  </si>
  <si>
    <t>Grace Powers</t>
  </si>
  <si>
    <t>https://www.google.com/search?newwindow=1&amp;ei=2MT0XrvGGM-vytMP1OyDgAY&amp;q=site%3Alinkedin.com+Janelle+Huang+Primary+Recruiter,+Campus+Recruiting</t>
  </si>
  <si>
    <t>https://www.google.com/search?newwindow=1&amp;ei=2MT0XrvGGM-vytMP1OyDgAY&amp;q=site%3Alinkedin.com+Kristina+Liphardt+Director;+Campus+Recruiting+Leader</t>
  </si>
  <si>
    <t>Kristina Liphardt</t>
  </si>
  <si>
    <t>Director; Campus Recruiting Leader</t>
  </si>
  <si>
    <t>25 years 10 months in role and company</t>
  </si>
  <si>
    <t>https://www.google.com/search?newwindow=1&amp;ei=2MT0XrvGGM-vytMP1OyDgAY&amp;q=site%3Alinkedin.com+Trent+Barwick+Student+Engagement+Coordinator,+Transition+Programs</t>
  </si>
  <si>
    <t>Trent Barwick</t>
  </si>
  <si>
    <t>Student Engagement Coordinator, Transition Programs</t>
  </si>
  <si>
    <t>Orangeville</t>
  </si>
  <si>
    <t>https://www.google.com/search?newwindow=1&amp;ei=2MT0XrvGGM-vytMP1OyDgAY&amp;q=site%3Alinkedin.com+Hercilia+Teodoro+Human+Resources+Administrator+(Co-op+Student)</t>
  </si>
  <si>
    <t>Hercilia Teodoro</t>
  </si>
  <si>
    <t>Human Resources Administrator (Co-op Student)</t>
  </si>
  <si>
    <t>Magna International</t>
  </si>
  <si>
    <t>Orillia</t>
  </si>
  <si>
    <t>https://www.google.com/search?newwindow=1&amp;ei=2MT0XrvGGM-vytMP1OyDgAY&amp;q=site%3Alinkedin.com+Linzie+Arnett+(Stahl)+Campus+Recruiting+Specialist</t>
  </si>
  <si>
    <t>Linzie Arnett (Stahl)</t>
  </si>
  <si>
    <t>https://www.google.com/search?newwindow=1&amp;ei=2MT0XrvGGM-vytMP1OyDgAY&amp;q=site%3Alinkedin.com+Sheena+Wirth,+SHRM-CP+Senior+Campus+Recruiting+Specialist</t>
  </si>
  <si>
    <t>Sheena Wirth, SHRM-CP</t>
  </si>
  <si>
    <t>https://www.google.com/search?newwindow=1&amp;ei=2MT0XrvGGM-vytMP1OyDgAY&amp;q=site%3Alinkedin.com+Michael+Flores+Senior+Campus+Recruiting+Coordinator</t>
  </si>
  <si>
    <t>Michael Flores</t>
  </si>
  <si>
    <t>https://www.google.com/search?newwindow=1&amp;ei=2MT0XrvGGM-vytMP1OyDgAY&amp;q=site%3Alinkedin.com+Jodee-Ann+W.+Campus+Recruiting+supporting+Goldman+Sachs+via+ADP+RPO</t>
  </si>
  <si>
    <t>Jodee-Ann W.</t>
  </si>
  <si>
    <t>Campus Recruiting supporting Goldman Sachs via ADP RPO</t>
  </si>
  <si>
    <t>https://www.google.com/search?newwindow=1&amp;ei=2MT0XrvGGM-vytMP1OyDgAY&amp;q=site%3Alinkedin.com+Laura+Fernandez+Campus+Recruiting+Coordinator</t>
  </si>
  <si>
    <t>Laura Fernandez</t>
  </si>
  <si>
    <t>https://www.google.com/search?newwindow=1&amp;ei=2MT0XrvGGM-vytMP1OyDgAY&amp;q=site%3Alinkedin.com+Gracen+Hawco+Assistant+Student+Recruiter</t>
  </si>
  <si>
    <t>Gracen Hawco</t>
  </si>
  <si>
    <t>Oshawa</t>
  </si>
  <si>
    <t>https://www.google.com/search?newwindow=1&amp;ei=2MT0XrvGGM-vytMP1OyDgAY&amp;q=site%3Alinkedin.com+Maddie+Nelles+Assistant+Student+Recruiter</t>
  </si>
  <si>
    <t>Maddie Nelles</t>
  </si>
  <si>
    <t>https://www.google.com/search?newwindow=1&amp;ei=2MT0XrvGGM-vytMP1OyDgAY&amp;q=site%3Alinkedin.com+Janine+Mutton+Student</t>
  </si>
  <si>
    <t>Janine Mutton</t>
  </si>
  <si>
    <t>triOS College</t>
  </si>
  <si>
    <t>https://www.google.com/search?newwindow=1&amp;ei=2MT0XrvGGM-vytMP1OyDgAY&amp;q=site%3Alinkedin.com+Gloria+Annable+PSI+Student+Recruiter,+Eastern+Ontario</t>
  </si>
  <si>
    <t>Gloria Annable</t>
  </si>
  <si>
    <t>PSI Student Recruiter, Eastern Ontario</t>
  </si>
  <si>
    <t>Ottawa</t>
  </si>
  <si>
    <t>https://www.google.com/search?newwindow=1&amp;ei=2MT0XrvGGM-vytMP1OyDgAY&amp;q=site%3Alinkedin.com+Jody+Hisko+Recruitment+Coordinator,+University+Relations</t>
  </si>
  <si>
    <t>Jody Hisko</t>
  </si>
  <si>
    <t>Recruitment Coordinator, University Relations</t>
  </si>
  <si>
    <t>https://www.google.com/search?newwindow=1&amp;ei=2MT0XrvGGM-vytMP1OyDgAY&amp;q=site%3Alinkedin.com+Jeffrey+Pessoa+Student+Ambassador</t>
  </si>
  <si>
    <t>Jeffrey Pessoa</t>
  </si>
  <si>
    <t>Student Ambassador</t>
  </si>
  <si>
    <t>Algonquin College of Applied Arts and Technology</t>
  </si>
  <si>
    <t>https://www.google.com/search?newwindow=1&amp;ei=2MT0XrvGGM-vytMP1OyDgAY&amp;q=site%3Alinkedin.com+Stacey+McMillan+Talent+Attraction+Campus+Recruiter</t>
  </si>
  <si>
    <t>Stacey McMillan</t>
  </si>
  <si>
    <t>Talent Attraction Campus Recruiter</t>
  </si>
  <si>
    <t>https://www.google.com/search?newwindow=1&amp;ei=2MT0XrvGGM-vytMP1OyDgAY&amp;q=site%3Alinkedin.com+paz+ribeiro+Student+Recruiter</t>
  </si>
  <si>
    <t>paz ribeiro</t>
  </si>
  <si>
    <t>Paz Ribeiro-Brazil</t>
  </si>
  <si>
    <t>https://www.google.com/search?newwindow=1&amp;ei=2MT0XrvGGM-vytMP1OyDgAY&amp;q=site%3Alinkedin.com+Nicole+Kitchen+Undergraduate+Recruitment+Officer</t>
  </si>
  <si>
    <t>Nicole Kitchen</t>
  </si>
  <si>
    <t>Undergraduate Recruitment Officer</t>
  </si>
  <si>
    <t>Carleton University</t>
  </si>
  <si>
    <t>https://www.google.com/search?newwindow=1&amp;ei=2MT0XrvGGM-vytMP1OyDgAY&amp;q=site%3Alinkedin.com+Moya+Firth+Campus+Resource+-+Campus+Recruiting</t>
  </si>
  <si>
    <t>Moya Firth</t>
  </si>
  <si>
    <t>Campus Resource - Campus Recruiting</t>
  </si>
  <si>
    <t>13 years 6 months in role</t>
  </si>
  <si>
    <t>https://www.google.com/search?newwindow=1&amp;ei=2MT0XrvGGM-vytMP1OyDgAY&amp;q=site%3Alinkedin.com+Jean+Mullan+Former+Director+(Retired),+Undergraduate+Recruitment,+Carleton+University</t>
  </si>
  <si>
    <t>Jean Mullan</t>
  </si>
  <si>
    <t>Former Director (Retired), Undergraduate Recruitment, Carleton University</t>
  </si>
  <si>
    <t>https://www.google.com/search?newwindow=1&amp;ei=2MT0XrvGGM-vytMP1OyDgAY&amp;q=site%3Alinkedin.com+Lorraine+Anderson+Student+Employment+Programs,+Co-op+and+Career+Services</t>
  </si>
  <si>
    <t>Lorraine Anderson</t>
  </si>
  <si>
    <t>Student Employment Programs, Co-op and Career Services</t>
  </si>
  <si>
    <t>Carleton University, Co-op and Career Services</t>
  </si>
  <si>
    <t>https://www.google.com/search?newwindow=1&amp;ei=2MT0XrvGGM-vytMP1OyDgAY&amp;q=site%3Alinkedin.com+Carmelle+N'Goran+Student,+Resource+Planning+and+Student+Programs</t>
  </si>
  <si>
    <t>Carmelle N'Goran</t>
  </si>
  <si>
    <t>Student, Resource Planning and Student Programs</t>
  </si>
  <si>
    <t>https://www.google.com/search?newwindow=1&amp;ei=2MT0XrvGGM-vytMP1OyDgAY&amp;q=site%3Alinkedin.com+Amanda+Hodgson+ACT+to+Employ+and+Student+Employment+Programs+Coordinator</t>
  </si>
  <si>
    <t>Amanda Hodgson</t>
  </si>
  <si>
    <t>ACT to Employ and Student Employment Programs Coordinator</t>
  </si>
  <si>
    <t>https://www.google.com/search?newwindow=1&amp;ei=2MT0XrvGGM-vytMP1OyDgAY&amp;q=site%3Alinkedin.com+Amanda+Cauchon+Student+-+Human+Resources+(Resource+Planning+and+Student+Programs)</t>
  </si>
  <si>
    <t>Amanda Cauchon</t>
  </si>
  <si>
    <t>Student - Human Resources (Resource Planning and Student Programs)</t>
  </si>
  <si>
    <t>https://www.google.com/search?newwindow=1&amp;ei=2MT0XrvGGM-vytMP1OyDgAY&amp;q=site%3Alinkedin.com+Jason+Wilson+Resource+Planning+&amp;+Student+Programs+Assistant</t>
  </si>
  <si>
    <t>Jason Wilson</t>
  </si>
  <si>
    <t>Resource Planning &amp; Student Programs Assistant</t>
  </si>
  <si>
    <t>https://www.google.com/search?newwindow=1&amp;ei=2MT0XrvGGM-vytMP1OyDgAY&amp;q=site%3Alinkedin.com+Sarah+Mather-Sabourin+Manager+of+Student+Employment+Programs+and+Partnership+Development</t>
  </si>
  <si>
    <t>Sarah Mather-Sabourin</t>
  </si>
  <si>
    <t>Manager of Student Employment Programs and Partnership Development</t>
  </si>
  <si>
    <t>https://www.google.com/search?newwindow=1&amp;ei=2MT0XrvGGM-vytMP1OyDgAY&amp;q=site%3Alinkedin.com+Sally+Zhao+Research+Programs+Student</t>
  </si>
  <si>
    <t>Sally Zhao</t>
  </si>
  <si>
    <t>Research Programs Student</t>
  </si>
  <si>
    <t>Canadian Institutes of Health Research | Instituts de recherche en santé du Canada</t>
  </si>
  <si>
    <t>https://www.google.com/search?newwindow=1&amp;ei=2MT0XrvGGM-vytMP1OyDgAY&amp;q=site%3Alinkedin.com+Adedoyin+Kolade+International+Internship+and+Student+Employment+Programs+Assistant</t>
  </si>
  <si>
    <t>Adedoyin Kolade</t>
  </si>
  <si>
    <t>International Internship and Student Employment Programs Assistant</t>
  </si>
  <si>
    <t>https://www.google.com/search?newwindow=1&amp;ei=2MT0XrvGGM-vytMP1OyDgAY&amp;q=site%3Alinkedin.com+Loriann+Joseph+Talent+Coordinator,+Associate+and+Student+Programs</t>
  </si>
  <si>
    <t>Loriann Joseph</t>
  </si>
  <si>
    <t>Dentons</t>
  </si>
  <si>
    <t>https://www.google.com/search?newwindow=1&amp;ei=2MT0XrvGGM-vytMP1OyDgAY&amp;q=site%3Alinkedin.com+Grace+Haime+New+Student+Programs+and+Activities+Coordinator,+Student+Experience+Office</t>
  </si>
  <si>
    <t>Grace Haime</t>
  </si>
  <si>
    <t>New Student Programs and Activities Coordinator, Student Experience Office</t>
  </si>
  <si>
    <t>https://www.google.com/search?newwindow=1&amp;ei=2MT0XrvGGM-vytMP1OyDgAY&amp;q=site%3Alinkedin.com+Lucas+Gergyek+Graduate+Teaching+Assistant</t>
  </si>
  <si>
    <t>Lucas Gergyek</t>
  </si>
  <si>
    <t>Graduate Teaching Assistant</t>
  </si>
  <si>
    <t>https://www.google.com/search?newwindow=1&amp;ei=2MT0XrvGGM-vytMP1OyDgAY&amp;q=site%3Alinkedin.com+Malek+Hajri+Program+Officer,+Student+Refugee+Program+-+Overseas+Programming</t>
  </si>
  <si>
    <t>Malek Hajri</t>
  </si>
  <si>
    <t>Program Officer, Student Refugee Program - Overseas Programming</t>
  </si>
  <si>
    <t>World University Service of Canada (WUSC - EUMC)</t>
  </si>
  <si>
    <t>https://www.google.com/search?newwindow=1&amp;ei=2MT0XrvGGM-vytMP1OyDgAY&amp;q=site%3Alinkedin.com+Emeline+Auguste+Administrative+Assistant+-+Diversity,+Equity+and+Community+Programs</t>
  </si>
  <si>
    <t>Emeline Auguste</t>
  </si>
  <si>
    <t>Administrative Assistant - Diversity, Equity and Community Programs</t>
  </si>
  <si>
    <t>https://www.google.com/search?newwindow=1&amp;ei=2MT0XrvGGM-vytMP1OyDgAY&amp;q=site%3Alinkedin.com+Fiona+Wright+Student+and+Public+Programs+Coordinator</t>
  </si>
  <si>
    <t>Fiona Wright</t>
  </si>
  <si>
    <t>Student and Public Programs Coordinator</t>
  </si>
  <si>
    <t>Carleton University Art Gallery</t>
  </si>
  <si>
    <t>https://www.google.com/search?newwindow=1&amp;ei=2MT0XrvGGM-vytMP1OyDgAY&amp;q=site%3Alinkedin.com+Kira+Geisterfer-Black+Student+Employment+Programs+Assistant</t>
  </si>
  <si>
    <t>Kira Geisterfer-Black</t>
  </si>
  <si>
    <t>Student Employment Programs Assistant</t>
  </si>
  <si>
    <t>https://www.google.com/search?newwindow=1&amp;ei=2MT0XrvGGM-vytMP1OyDgAY&amp;q=site%3Alinkedin.com+Karina+Wang+Undergraduate+Research+Assistant+-+Brown+Sports+Injury+Lab</t>
  </si>
  <si>
    <t>Karina Wang</t>
  </si>
  <si>
    <t>Undergraduate Research Assistant - Brown Sports Injury Lab</t>
  </si>
  <si>
    <t>University Orthopedics</t>
  </si>
  <si>
    <t>https://www.google.com/search?newwindow=1&amp;ei=2MT0XrvGGM-vytMP1OyDgAY&amp;q=site%3Alinkedin.com+Dominique+Romain+Student+Environmental+Programs/Compliance+Officer</t>
  </si>
  <si>
    <t>Dominique Romain</t>
  </si>
  <si>
    <t>Student Environmental Programs/Compliance Officer</t>
  </si>
  <si>
    <t>Environment and Climate Change Canada</t>
  </si>
  <si>
    <t>https://www.google.com/search?newwindow=1&amp;ei=2MT0XrvGGM-vytMP1OyDgAY&amp;q=site%3Alinkedin.com+Niamh+O'Shea+Intercultural+Programs+Coordinator,+International+Student+Services+Office</t>
  </si>
  <si>
    <t>Niamh O'Shea</t>
  </si>
  <si>
    <t>Intercultural Programs Coordinator, International Student Services Office</t>
  </si>
  <si>
    <t>https://www.google.com/search?newwindow=1&amp;ei=2MT0XrvGGM-vytMP1OyDgAY&amp;q=site%3Alinkedin.com+Jennifer+Hum+Student+Programs+Coordinator</t>
  </si>
  <si>
    <t>Jennifer Hum</t>
  </si>
  <si>
    <t>https://www.google.com/search?newwindow=1&amp;ei=2MT0XrvGGM-vytMP1OyDgAY&amp;q=site%3Alinkedin.com+Jasmine+Iyengar+Student+-+HR+Planning,+Programs+and+Reporting</t>
  </si>
  <si>
    <t>Jasmine Iyengar</t>
  </si>
  <si>
    <t>Student - HR Planning, Programs and Reporting</t>
  </si>
  <si>
    <t>https://www.google.com/search?newwindow=1&amp;ei=2MT0XrvGGM-vytMP1OyDgAY&amp;q=site%3Alinkedin.com+Chiara+Webb+New+Student+Programs+and+Activites+Coorindator+at+Carleton+University</t>
  </si>
  <si>
    <t>Chiara Webb</t>
  </si>
  <si>
    <t>New Student Programs and Activites Coorindator at Carleton University</t>
  </si>
  <si>
    <t>https://www.google.com/search?newwindow=1&amp;ei=2MT0XrvGGM-vytMP1OyDgAY&amp;q=site%3Alinkedin.com+Kaitlyn+McLeod+Programs+Officer</t>
  </si>
  <si>
    <t>Kaitlyn McLeod</t>
  </si>
  <si>
    <t>https://www.google.com/search?newwindow=1&amp;ei=2MT0XrvGGM-vytMP1OyDgAY&amp;q=site%3Alinkedin.com+Sue+Boudreau+Project+Lead+(Summer+Student+Programs)</t>
  </si>
  <si>
    <t>Sue Boudreau</t>
  </si>
  <si>
    <t>Project Lead (Summer Student Programs)</t>
  </si>
  <si>
    <t>Ottawa-Carleton Education Network (OCENET)</t>
  </si>
  <si>
    <t>19 years 5 months in role and company</t>
  </si>
  <si>
    <t>https://www.google.com/search?newwindow=1&amp;ei=2MT0XrvGGM-vytMP1OyDgAY&amp;q=site%3Alinkedin.com+Aurora+O.+Indigenous+Student+Programs+Assistant</t>
  </si>
  <si>
    <t>Aurora O.</t>
  </si>
  <si>
    <t>Indigenous Student Programs Assistant</t>
  </si>
  <si>
    <t>https://www.google.com/search?newwindow=1&amp;ei=2MT0XrvGGM-vytMP1OyDgAY&amp;q=site%3Alinkedin.com+Johanne+Brownrigg+Project+Manager+-+Student+Programs</t>
  </si>
  <si>
    <t>Johanne Brownrigg</t>
  </si>
  <si>
    <t>Project Manager - Student Programs</t>
  </si>
  <si>
    <t>Canadian Physicians for Life</t>
  </si>
  <si>
    <t>https://www.google.com/search?newwindow=1&amp;ei=2MT0XrvGGM-vytMP1OyDgAY&amp;q=site%3Alinkedin.com+Madison+MacLachlan+Student+Mentor</t>
  </si>
  <si>
    <t>Madison MacLachlan</t>
  </si>
  <si>
    <t>Student Mentor</t>
  </si>
  <si>
    <t>University of Ottawa (Department of French Immersion Studies, Rez-Housing Services)</t>
  </si>
  <si>
    <t>https://www.google.com/search?newwindow=1&amp;ei=2MT0XrvGGM-vytMP1OyDgAY&amp;q=site%3Alinkedin.com+Hannah+Griffiths+MBA+Recruitment+and+Admissions+Manager+(Global+Regions),+Saïd+Business+School,+University+of+Oxford</t>
  </si>
  <si>
    <t>Hannah Griffiths</t>
  </si>
  <si>
    <t>MBA Recruitment and Admissions Manager (Global Regions), Saïd Business School, University of Oxford</t>
  </si>
  <si>
    <t>Saïd Business School, University of Oxford</t>
  </si>
  <si>
    <t>Oxford</t>
  </si>
  <si>
    <t>https://www.google.com/search?newwindow=1&amp;ei=2MT0XrvGGM-vytMP1OyDgAY&amp;q=site%3Alinkedin.com+Krystyna+Anderson+Recruiter+(Future+Talent)</t>
  </si>
  <si>
    <t>Krystyna Anderson</t>
  </si>
  <si>
    <t>Recruiter (Future Talent)</t>
  </si>
  <si>
    <t>BMW Group</t>
  </si>
  <si>
    <t>https://www.google.com/search?newwindow=1&amp;ei=2MT0XrvGGM-vytMP1OyDgAY&amp;q=site%3Alinkedin.com+Ashley+Green+Campus+Recruiting+Coordinator</t>
  </si>
  <si>
    <t>Ashley Green</t>
  </si>
  <si>
    <t>https://www.google.com/search?newwindow=1&amp;ei=2MT0XrvGGM-vytMP1OyDgAY&amp;q=site%3Alinkedin.com+Justin+Wilkey+Indigenous+Student+Mentor+&amp;+Education+Consultant</t>
  </si>
  <si>
    <t>Justin Wilkey</t>
  </si>
  <si>
    <t>Indigenous Student Mentor &amp; Education Consultant</t>
  </si>
  <si>
    <t>Association of Independent Schools of SA</t>
  </si>
  <si>
    <t>Panorama</t>
  </si>
  <si>
    <t>https://www.google.com/search?newwindow=1&amp;ei=2MT0XrvGGM-vytMP1OyDgAY&amp;q=site%3Alinkedin.com+Vickie+Dawli+Campus+Recruiting+Coordinator</t>
  </si>
  <si>
    <t>Vickie Dawli</t>
  </si>
  <si>
    <t>Paramus</t>
  </si>
  <si>
    <t>https://www.google.com/search?newwindow=1&amp;ei=2MT0XrvGGM-vytMP1OyDgAY&amp;q=site%3Alinkedin.com+Jonathan+Mahn+Chair,+Membership+Services+and+Programs+Advisory+Committee</t>
  </si>
  <si>
    <t>Jonathan Mahn</t>
  </si>
  <si>
    <t>Chair, Membership Services and Programs Advisory Committee</t>
  </si>
  <si>
    <t>Ontario Dental Association</t>
  </si>
  <si>
    <t>Paris</t>
  </si>
  <si>
    <t>https://www.google.com/search?newwindow=1&amp;ei=2MT0XrvGGM-vytMP1OyDgAY&amp;q=site%3Alinkedin.com+Michael+Openshaw+Co-Founder+and+Chief+Education+Officer:+Programs+and+Student+Outcomes</t>
  </si>
  <si>
    <t>Michael Openshaw</t>
  </si>
  <si>
    <t>Co-Founder and Chief Education Officer: Programs and Student Outcomes</t>
  </si>
  <si>
    <t>IDEA: Innovation Design Entrepreneurship Academy</t>
  </si>
  <si>
    <t>Perth</t>
  </si>
  <si>
    <t>Western Australia</t>
  </si>
  <si>
    <t>https://www.google.com/search?newwindow=1&amp;ei=2MT0XrvGGM-vytMP1OyDgAY&amp;q=site%3Alinkedin.com+Catherine+McKellar+Campus+Recruiter</t>
  </si>
  <si>
    <t>Catherine McKellar</t>
  </si>
  <si>
    <t>https://www.google.com/search?newwindow=1&amp;ei=2MT0XrvGGM-vytMP1OyDgAY&amp;q=site%3Alinkedin.com+Sam+Cousens+Recruiting+Officer</t>
  </si>
  <si>
    <t>Sam Cousens</t>
  </si>
  <si>
    <t>Recruiting Officer</t>
  </si>
  <si>
    <t>Richmond Football Club</t>
  </si>
  <si>
    <t>https://www.google.com/search?newwindow=1&amp;ei=2MT0XrvGGM-vytMP1OyDgAY&amp;q=site%3Alinkedin.com+Genene+Ringelstein+Recruitment+Officer+at+Murdoch+University</t>
  </si>
  <si>
    <t>Genene Ringelstein</t>
  </si>
  <si>
    <t>Recruitment Officer at Murdoch University</t>
  </si>
  <si>
    <t>Murdoch University</t>
  </si>
  <si>
    <t>22 years 7 months in role and company</t>
  </si>
  <si>
    <t>https://www.google.com/search?newwindow=1&amp;ei=2MT0XrvGGM-vytMP1OyDgAY&amp;q=site%3Alinkedin.com+Jessica+Evans+International+Student+Programs+Assistant</t>
  </si>
  <si>
    <t>Jessica Evans</t>
  </si>
  <si>
    <t>Peterborough</t>
  </si>
  <si>
    <t>https://www.google.com/search?newwindow=1&amp;ei=2MT0XrvGGM-vytMP1OyDgAY&amp;q=site%3Alinkedin.com+Gemma+Mickleborough+Business+Lecturer+-+BSc+Business+Management+in+Partnership+with+Anglian+Rusking+University</t>
  </si>
  <si>
    <t>Gemma Mickleborough</t>
  </si>
  <si>
    <t>Business Lecturer - BSc Business Management in Partnership with Anglian Rusking University</t>
  </si>
  <si>
    <t>The College of West Anglia</t>
  </si>
  <si>
    <t>https://www.google.com/search?newwindow=1&amp;ei=2MT0XrvGGM-vytMP1OyDgAY&amp;q=site%3Alinkedin.com+Kofoworola+Osomo+Volunteer+Student+Career+Center</t>
  </si>
  <si>
    <t>Kofoworola Osomo</t>
  </si>
  <si>
    <t>Volunteer Student Career Center</t>
  </si>
  <si>
    <t>https://www.google.com/search?newwindow=1&amp;ei=2MT0XrvGGM-vytMP1OyDgAY&amp;q=site%3Alinkedin.com+Maggie+Bott+Technical+Recruiter+-+Student+Veterans+++Security+Clearance+Opportunities+for+University+Students</t>
  </si>
  <si>
    <t>https://www.google.com/search?newwindow=1&amp;ei=2MT0XrvGGM-vytMP1OyDgAY&amp;q=site%3Alinkedin.com+Brian+Kroll+🔹+Campus+Recruiter+with+University+Relations+&amp;+Recruiting</t>
  </si>
  <si>
    <t>https://www.google.com/search?newwindow=1&amp;ei=2MT0XrvGGM-vytMP1OyDgAY&amp;q=site%3Alinkedin.com+Anthony+Giannetta+Senior+Campus+Recruiting+Specialist</t>
  </si>
  <si>
    <t>Anthony Giannetta</t>
  </si>
  <si>
    <t>https://www.google.com/search?newwindow=1&amp;ei=2MT0XrvGGM-vytMP1OyDgAY&amp;q=site%3Alinkedin.com+Hailey+Kaunert+Campus+Recruiting+Associate</t>
  </si>
  <si>
    <t>Hailey Kaunert</t>
  </si>
  <si>
    <t>https://www.google.com/search?newwindow=1&amp;ei=2MT0XrvGGM-vytMP1OyDgAY&amp;q=site%3Alinkedin.com+Allison+Monkman+Campus+Recruiting+Senior+Associate</t>
  </si>
  <si>
    <t>Allison Monkman</t>
  </si>
  <si>
    <t>https://www.google.com/search?newwindow=1&amp;ei=2MT0XrvGGM-vytMP1OyDgAY&amp;q=site%3Alinkedin.com+Emilie+Patterson+Campus+Recruiting+Specialist</t>
  </si>
  <si>
    <t>Emilie Patterson</t>
  </si>
  <si>
    <t>https://www.google.com/search?newwindow=1&amp;ei=2MT0XrvGGM-vytMP1OyDgAY&amp;q=site%3Alinkedin.com+Robert+Leonetti,+MBA+MFC+BA+Portfolio+Team+Lead+-+Talent+Acquisition+-+University+Relations+&amp;+Recruitment+Partner</t>
  </si>
  <si>
    <t>Robert Leonetti, MBA</t>
  </si>
  <si>
    <t>MFC BA Portfolio Team Lead - Talent Acquisition - University Relations &amp; Recruitment Partner</t>
  </si>
  <si>
    <t>https://www.google.com/search?newwindow=1&amp;ei=2MT0XrvGGM-vytMP1OyDgAY&amp;q=site%3Alinkedin.com+Kristen+Spiridon+Campus+Recruiting</t>
  </si>
  <si>
    <t>Kristen Spiridon</t>
  </si>
  <si>
    <t>https://www.google.com/search?newwindow=1&amp;ei=2MT0XrvGGM-vytMP1OyDgAY&amp;q=site%3Alinkedin.com+Alexandra+Barbacane+Campus+Recruiting</t>
  </si>
  <si>
    <t>Alexandra Barbacane</t>
  </si>
  <si>
    <t>https://www.google.com/search?newwindow=1&amp;ei=2MT0XrvGGM-vytMP1OyDgAY&amp;q=site%3Alinkedin.com+Chris+D.+Vice+President,+NAMR+Campus+Recruiting+Ops+Manager</t>
  </si>
  <si>
    <t>https://www.google.com/search?newwindow=1&amp;ei=2MT0XrvGGM-vytMP1OyDgAY&amp;q=site%3Alinkedin.com+Mary+Bongart+Campus+Recruiter</t>
  </si>
  <si>
    <t>https://www.google.com/search?newwindow=1&amp;ei=2MT0XrvGGM-vytMP1OyDgAY&amp;q=site%3Alinkedin.com+Melyssa+Rothstein+Campus+Recruiting+Coordinator</t>
  </si>
  <si>
    <t>Melyssa Rothstein</t>
  </si>
  <si>
    <t>https://www.google.com/search?newwindow=1&amp;ei=2MT0XrvGGM-vytMP1OyDgAY&amp;q=site%3Alinkedin.com+Jessica+Cracchiolo+Firmwide+Diversity+Campus+Recruiting</t>
  </si>
  <si>
    <t>Jessica Cracchiolo</t>
  </si>
  <si>
    <t>https://www.google.com/search?newwindow=1&amp;ei=2MT0XrvGGM-vytMP1OyDgAY&amp;q=site%3Alinkedin.com+Bette+Kozlowski+Director+Campus+Recruiting</t>
  </si>
  <si>
    <t>Bette Kozlowski</t>
  </si>
  <si>
    <t>Director Campus Recruiting</t>
  </si>
  <si>
    <t>https://www.google.com/search?newwindow=1&amp;ei=2MT0XrvGGM-vytMP1OyDgAY&amp;q=site%3Alinkedin.com+Oscar+Ventura+Penalo+Campus+Recruiting</t>
  </si>
  <si>
    <t>Oscar Ventura Penalo</t>
  </si>
  <si>
    <t>https://www.google.com/search?newwindow=1&amp;ei=2MT0XrvGGM-vytMP1OyDgAY&amp;q=site%3Alinkedin.com+Lisa+Earley+Campus+Recruiting+Coordinator</t>
  </si>
  <si>
    <t>Lisa Earley</t>
  </si>
  <si>
    <t>https://www.google.com/search?newwindow=1&amp;ei=2MT0XrvGGM-vytMP1OyDgAY&amp;q=site%3Alinkedin.com+Kaitlin+McDermott+Hopkins,+SHRM-SCP+Mid-Atlantic+Campus+Recruiting+Lead+|+Senior+Manager</t>
  </si>
  <si>
    <t>https://www.google.com/search?newwindow=1&amp;ei=2MT0XrvGGM-vytMP1OyDgAY&amp;q=site%3Alinkedin.com+Gore+Kamara+Jr.+Campus+Tax+Business+Recruiting+Associate</t>
  </si>
  <si>
    <t>Gore Kamara Jr.</t>
  </si>
  <si>
    <t>Campus Tax Business Recruiting Associate</t>
  </si>
  <si>
    <t>https://www.google.com/search?newwindow=1&amp;ei=2MT0XrvGGM-vytMP1OyDgAY&amp;q=site%3Alinkedin.com+Melissa+(Uhniat)+Sweeney+Manager,+Experienced+Hire+Recruiting</t>
  </si>
  <si>
    <t>https://www.google.com/search?newwindow=1&amp;ei=2MT0XrvGGM-vytMP1OyDgAY&amp;q=site%3Alinkedin.com+Porsha+Alexander+Strategy+Campus+Recruiting+Associate+Manager</t>
  </si>
  <si>
    <t>https://www.google.com/search?newwindow=1&amp;ei=2MT0XrvGGM-vytMP1OyDgAY&amp;q=site%3Alinkedin.com+Bridget+O'Malley+Campus+Recruiting+Associate</t>
  </si>
  <si>
    <t>Bridget O'Malley</t>
  </si>
  <si>
    <t>https://www.google.com/search?newwindow=1&amp;ei=2MT0XrvGGM-vytMP1OyDgAY&amp;q=site%3Alinkedin.com+Alicia+Mucci+(she/her/hers)+Manager,+Campus+Recruiting</t>
  </si>
  <si>
    <t>https://www.google.com/search?newwindow=1&amp;ei=2MT0XrvGGM-vytMP1OyDgAY&amp;q=site%3Alinkedin.com+Kelly+Nolan+Campus+Recruiting+Coordinator</t>
  </si>
  <si>
    <t>Kelly Nolan</t>
  </si>
  <si>
    <t>https://www.google.com/search?newwindow=1&amp;ei=2MT0XrvGGM-vytMP1OyDgAY&amp;q=site%3Alinkedin.com+Elizabeth+Agravante,+CPA+Advisory+Campus+Business+Recruiting+Experienced+Associate</t>
  </si>
  <si>
    <t>Elizabeth Agravante, CPA</t>
  </si>
  <si>
    <t>Advisory Campus Business Recruiting Experienced Associate</t>
  </si>
  <si>
    <t>https://www.google.com/search?newwindow=1&amp;ei=2MT0XrvGGM-vytMP1OyDgAY&amp;q=site%3Alinkedin.com+Kelly+Farrell,+MBA+Tax+Business+Recruiting+Manager</t>
  </si>
  <si>
    <t>https://www.google.com/search?newwindow=1&amp;ei=2MT0XrvGGM-vytMP1OyDgAY&amp;q=site%3Alinkedin.com+Kirsten+Lohrbach+Campus+Recruiting+Manager</t>
  </si>
  <si>
    <t>Kirsten Lohrbach</t>
  </si>
  <si>
    <t>https://www.google.com/search?newwindow=1&amp;ei=2MT0XrvGGM-vytMP1OyDgAY&amp;q=site%3Alinkedin.com+Jen+Trudnak+Student+Veteran+Recruiter+-+Operations</t>
  </si>
  <si>
    <t>Jen Trudnak</t>
  </si>
  <si>
    <t>Student Veteran Recruiter - Operations</t>
  </si>
  <si>
    <t>https://www.google.com/search?newwindow=1&amp;ei=2MT0XrvGGM-vytMP1OyDgAY&amp;q=site%3Alinkedin.com+Tracy+Carneal+Campus+Recruiting+Specialist</t>
  </si>
  <si>
    <t>Tracy Carneal</t>
  </si>
  <si>
    <t>https://www.google.com/search?newwindow=1&amp;ei=2MT0XrvGGM-vytMP1OyDgAY&amp;q=site%3Alinkedin.com+Sofia+Barela+Sr+Experienced+Recruiting+Coordinator</t>
  </si>
  <si>
    <t>Sofia Barela</t>
  </si>
  <si>
    <t>Sr Experienced Recruiting Coordinator</t>
  </si>
  <si>
    <t>https://www.google.com/search?newwindow=1&amp;ei=2MT0XrvGGM-vytMP1OyDgAY&amp;q=site%3Alinkedin.com+Kate+McClain+Campus+Recruiting+Manager</t>
  </si>
  <si>
    <t>https://www.google.com/search?newwindow=1&amp;ei=2MT0XrvGGM-vytMP1OyDgAY&amp;q=site%3Alinkedin.com+Angela+Helbing+Manager+of+Campus+Recruiting</t>
  </si>
  <si>
    <t>https://www.google.com/search?newwindow=1&amp;ei=2MT0XrvGGM-vytMP1OyDgAY&amp;q=site%3Alinkedin.com+Roger+Ragoonath+Assistant+Student+Recruiter</t>
  </si>
  <si>
    <t>Roger Ragoonath</t>
  </si>
  <si>
    <t>Pickering</t>
  </si>
  <si>
    <t>https://www.google.com/search?newwindow=1&amp;ei=2MT0XrvGGM-vytMP1OyDgAY&amp;q=site%3Alinkedin.com+Laura+Chapman+Campus+Recruiting+Senior+Manager</t>
  </si>
  <si>
    <t>https://www.google.com/search?newwindow=1&amp;ei=2MT0XrvGGM-vytMP1OyDgAY&amp;q=site%3Alinkedin.com+Kirsten+Berger+Campus+Recruiting+Specialist</t>
  </si>
  <si>
    <t>Kirsten Berger</t>
  </si>
  <si>
    <t>https://www.google.com/search?newwindow=1&amp;ei=2MT0XrvGGM-vytMP1OyDgAY&amp;q=site%3Alinkedin.com+Katie+Campbell+Senior+Campus+Recruiting+Coordinator</t>
  </si>
  <si>
    <t>Katie Campbell</t>
  </si>
  <si>
    <t>https://www.google.com/search?newwindow=1&amp;ei=2MT0XrvGGM-vytMP1OyDgAY&amp;q=site%3Alinkedin.com+Abby+Cooper,+PHR+National+Project+Controller+Campus+Recruiting+Account+Lead</t>
  </si>
  <si>
    <t>Abby Cooper, PHR</t>
  </si>
  <si>
    <t>National Project Controller Campus Recruiting Account Lead</t>
  </si>
  <si>
    <t>https://www.google.com/search?newwindow=1&amp;ei=2MT0XrvGGM-vytMP1OyDgAY&amp;q=site%3Alinkedin.com+Courtney+McLemore,+CDR+Campus+DIB+Recruiting+Strategy+Lead,+First+Generation+College+Students</t>
  </si>
  <si>
    <t>Courtney McLemore, CDR</t>
  </si>
  <si>
    <t>Campus DIB Recruiting Strategy Lead, First Generation College Students</t>
  </si>
  <si>
    <t>https://www.google.com/search?newwindow=1&amp;ei=2MT0XrvGGM-vytMP1OyDgAY&amp;q=site%3Alinkedin.com+Tim+Gutsell+Director+of+Marketing+and+Recruitment+Operations+University+Partnerships+Europe</t>
  </si>
  <si>
    <t>Tim Gutsell</t>
  </si>
  <si>
    <t>Director of Marketing and Recruitment Operations University Partnerships Europe</t>
  </si>
  <si>
    <t>Plymouth</t>
  </si>
  <si>
    <t>https://www.google.com/search?newwindow=1&amp;ei=2MT0XrvGGM-vytMP1OyDgAY&amp;q=site%3Alinkedin.com+Johanne+Chapman+Cornwall+College</t>
  </si>
  <si>
    <t>Johanne Chapman</t>
  </si>
  <si>
    <t>Cornwall College</t>
  </si>
  <si>
    <t>Camborne</t>
  </si>
  <si>
    <t>https://www.google.com/search?newwindow=1&amp;ei=2MT0XrvGGM-vytMP1OyDgAY&amp;q=site%3Alinkedin.com+Claire+de+Lisser+Coordinator,+Undergraduate+Advising,+Recruitment,+and+Retention+at+Simon+Fraser+University</t>
  </si>
  <si>
    <t>Claire de Lisser</t>
  </si>
  <si>
    <t>Coordinator, Undergraduate Advising, Recruitment, and Retention at Simon Fraser University</t>
  </si>
  <si>
    <t>SFU Faculty of Arts and Social Sciences</t>
  </si>
  <si>
    <t>Port Moody</t>
  </si>
  <si>
    <t>https://www.google.com/search?newwindow=1&amp;ei=2MT0XrvGGM-vytMP1OyDgAY&amp;q=site%3Alinkedin.com+Megan+Gustafson+Senior+Campus+Recruiting+Specialist</t>
  </si>
  <si>
    <t>Megan Gustafson</t>
  </si>
  <si>
    <t>https://www.google.com/search?newwindow=1&amp;ei=2MT0XrvGGM-vytMP1OyDgAY&amp;q=site%3Alinkedin.com+Candela+Theobald+Associate+Campus+Recruiting</t>
  </si>
  <si>
    <t>Candela Theobald</t>
  </si>
  <si>
    <t>Associate Campus Recruiting</t>
  </si>
  <si>
    <t>https://www.google.com/search?newwindow=1&amp;ei=2MT0XrvGGM-vytMP1OyDgAY&amp;q=site%3Alinkedin.com+Kassie+'Schlegel'+Plummer,+CPA+Missouri+Market+Campus+Recruiting+Manager</t>
  </si>
  <si>
    <t>https://www.google.com/search?newwindow=1&amp;ei=2MT0XrvGGM-vytMP1OyDgAY&amp;q=site%3Alinkedin.com+Rebecca+Dawson+Student+Recruiter+&amp;+Advisor</t>
  </si>
  <si>
    <t>Rebecca Dawson</t>
  </si>
  <si>
    <t>Student Recruiter &amp; Advisor</t>
  </si>
  <si>
    <t>University of Prince Edward Island</t>
  </si>
  <si>
    <t>Prince Edward Island</t>
  </si>
  <si>
    <t>https://www.google.com/search?newwindow=1&amp;ei=2MT0XrvGGM-vytMP1OyDgAY&amp;q=site%3Alinkedin.com+Freya+Qi+International+Recruiter+and+Student+Advisor</t>
  </si>
  <si>
    <t>Freya Qi</t>
  </si>
  <si>
    <t>International Recruiter and Student Advisor</t>
  </si>
  <si>
    <t>https://www.google.com/search?newwindow=1&amp;ei=2MT0XrvGGM-vytMP1OyDgAY&amp;q=site%3Alinkedin.com+Shannon+MacKay+Indigenous+Student+Recruiter</t>
  </si>
  <si>
    <t>Shannon MacKay</t>
  </si>
  <si>
    <t>Indigenous Student Recruiter</t>
  </si>
  <si>
    <t>University of Northern British Columbia (UNBC)</t>
  </si>
  <si>
    <t>Prince George</t>
  </si>
  <si>
    <t>https://www.google.com/search?newwindow=1&amp;ei=2MT0XrvGGM-vytMP1OyDgAY&amp;q=site%3Alinkedin.com+Abigail+Murray+MA,+LAC,+NCC+Campus+Recruiting</t>
  </si>
  <si>
    <t>Abigail Murray MA, LAC, NCC</t>
  </si>
  <si>
    <t>Princeton</t>
  </si>
  <si>
    <t>https://www.google.com/search?newwindow=1&amp;ei=2MT0XrvGGM-vytMP1OyDgAY&amp;q=site%3Alinkedin.com+Meg+Struble+National+Consulting+Campus+Recruiting+Lead,+Assistant+Director</t>
  </si>
  <si>
    <t>Meg Struble</t>
  </si>
  <si>
    <t>National Consulting Campus Recruiting Lead, Assistant Director</t>
  </si>
  <si>
    <t>Providence County</t>
  </si>
  <si>
    <t>Rhode Island</t>
  </si>
  <si>
    <t>https://www.google.com/search?newwindow=1&amp;ei=2MT0XrvGGM-vytMP1OyDgAY&amp;q=site%3Alinkedin.com+Lis+Miller+Campus+Recruiting+Specialist</t>
  </si>
  <si>
    <t>Lis Miller</t>
  </si>
  <si>
    <t>https://www.google.com/search?newwindow=1&amp;ei=2MT0XrvGGM-vytMP1OyDgAY&amp;q=site%3Alinkedin.com+McKay+Luu+Recruiting+and+Admissions+Officer</t>
  </si>
  <si>
    <t>McKay Luu</t>
  </si>
  <si>
    <t>Recruiting and Admissions Officer</t>
  </si>
  <si>
    <t>Mountainland Technical College</t>
  </si>
  <si>
    <t>https://www.google.com/search?newwindow=1&amp;ei=2MT0XrvGGM-vytMP1OyDgAY&amp;q=site%3Alinkedin.com+Myrna+Kelly+Assistant+to+Global+Heads+of+Diversity+and+Campus+Recruiting</t>
  </si>
  <si>
    <t>Myrna Kelly</t>
  </si>
  <si>
    <t>Assistant to Global Heads of Diversity and Campus Recruiting</t>
  </si>
  <si>
    <t>Queens County</t>
  </si>
  <si>
    <t>https://www.google.com/search?newwindow=1&amp;ei=2MT0XrvGGM-vytMP1OyDgAY&amp;q=site%3Alinkedin.com+Arlene+S.+Transaction+Services+/+Advisory+Campus+Recruiting</t>
  </si>
  <si>
    <t>Arlene S.</t>
  </si>
  <si>
    <t>Transaction Services / Advisory Campus Recruiting</t>
  </si>
  <si>
    <t>https://www.google.com/search?newwindow=1&amp;ei=2MT0XrvGGM-vytMP1OyDgAY&amp;q=site%3Alinkedin.com+Jane+Duckworth+Student+Recruitment+and+Marketing+Team+Leader+at+Edge+Hill+University</t>
  </si>
  <si>
    <t>Jane Duckworth</t>
  </si>
  <si>
    <t>Student Recruitment and Marketing Team Leader at Edge Hill University</t>
  </si>
  <si>
    <t>20 years 4 months in role and company</t>
  </si>
  <si>
    <t>Rainford</t>
  </si>
  <si>
    <t>https://www.google.com/search?newwindow=1&amp;ei=2MT0XrvGGM-vytMP1OyDgAY&amp;q=site%3Alinkedin.com+Katie+Howland+Resource+Manager</t>
  </si>
  <si>
    <t>https://www.google.com/search?newwindow=1&amp;ei=2MT0XrvGGM-vytMP1OyDgAY&amp;q=site%3Alinkedin.com+Paige+Kelley+Business+Analyst+Recruiting+Lead</t>
  </si>
  <si>
    <t>Paige Kelley</t>
  </si>
  <si>
    <t>Business Analyst Recruiting Lead</t>
  </si>
  <si>
    <t>https://www.google.com/search?newwindow=1&amp;ei=2MT0XrvGGM-vytMP1OyDgAY&amp;q=site%3Alinkedin.com+Kayley+Istace+Student+Recruiter</t>
  </si>
  <si>
    <t>Kayley Istace</t>
  </si>
  <si>
    <t>Alberta University of the Arts</t>
  </si>
  <si>
    <t>Regina</t>
  </si>
  <si>
    <t>https://www.google.com/search?newwindow=1&amp;ei=2MT0XrvGGM-vytMP1OyDgAY&amp;q=site%3Alinkedin.com+Emily+Weekes+International+Student+Advisor+&amp;+Recruiter</t>
  </si>
  <si>
    <t>Emily Weekes</t>
  </si>
  <si>
    <t>International Student Advisor &amp; Recruiter</t>
  </si>
  <si>
    <t>Saskatchewan Polytechnic</t>
  </si>
  <si>
    <t>https://www.google.com/search?newwindow=1&amp;ei=2MT0XrvGGM-vytMP1OyDgAY&amp;q=site%3Alinkedin.com+Erica+Chan+Coordinator+of+Student+Recruitment+&amp;+Marketing</t>
  </si>
  <si>
    <t>Erica Chan</t>
  </si>
  <si>
    <t>Coordinator of Student Recruitment &amp; Marketing</t>
  </si>
  <si>
    <t>https://www.google.com/search?newwindow=1&amp;ei=2MT0XrvGGM-vytMP1OyDgAY&amp;q=site%3Alinkedin.com+Katelyn+Major+Student+Recruiter+and+Enrolment+Counsellor</t>
  </si>
  <si>
    <t>Katelyn Major</t>
  </si>
  <si>
    <t>Student Recruiter and Enrolment Counsellor</t>
  </si>
  <si>
    <t>Campion College at the University of Regina</t>
  </si>
  <si>
    <t>https://www.google.com/search?newwindow=1&amp;ei=2MT0XrvGGM-vytMP1OyDgAY&amp;q=site%3Alinkedin.com+Kendra+Strong-Garcia+Manager+Student+Experience</t>
  </si>
  <si>
    <t>Kendra Strong-Garcia</t>
  </si>
  <si>
    <t>Manager Student Experience</t>
  </si>
  <si>
    <t>https://www.google.com/search?newwindow=1&amp;ei=2MT0XrvGGM-vytMP1OyDgAY&amp;q=site%3Alinkedin.com+Victoria+Johnson+Student+Engagement+Programs+Coordinator</t>
  </si>
  <si>
    <t>Victoria Johnson</t>
  </si>
  <si>
    <t>Student Engagement Programs Coordinator</t>
  </si>
  <si>
    <t>https://www.google.com/search?newwindow=1&amp;ei=2MT0XrvGGM-vytMP1OyDgAY&amp;q=site%3Alinkedin.com+Pamela+Osmond-Johnson+Associate+Dean,+Student+Services+and+Undergraduate+Programs</t>
  </si>
  <si>
    <t>Pamela Osmond-Johnson</t>
  </si>
  <si>
    <t>Associate Dean, Student Services and Undergraduate Programs</t>
  </si>
  <si>
    <t>https://www.google.com/search?newwindow=1&amp;ei=2MT0XrvGGM-vytMP1OyDgAY&amp;q=site%3Alinkedin.com+Stephanie+Paul+Director,+Campus+Recruiting</t>
  </si>
  <si>
    <t>Stephanie Paul</t>
  </si>
  <si>
    <t>Reston</t>
  </si>
  <si>
    <t>https://www.google.com/search?newwindow=1&amp;ei=2MT0XrvGGM-vytMP1OyDgAY&amp;q=site%3Alinkedin.com+Jess+Bailey+Campus+Recruiting+Manager</t>
  </si>
  <si>
    <t>https://www.google.com/search?newwindow=1&amp;ei=2MT0XrvGGM-vytMP1OyDgAY&amp;q=site%3Alinkedin.com+Kate+Schade+Senior+HR+Associate+|+Campus+Recruiting+Lead+-+Strategy+Consulting+Group</t>
  </si>
  <si>
    <t>Kate Schade</t>
  </si>
  <si>
    <t>Senior HR Associate | Campus Recruiting Lead - Strategy Consulting Group</t>
  </si>
  <si>
    <t>https://www.google.com/search?newwindow=1&amp;ei=2MT0XrvGGM-vytMP1OyDgAY&amp;q=site%3Alinkedin.com+Ryan+Ruiz+VP,+Campus+Recruiting+Manager</t>
  </si>
  <si>
    <t>https://www.google.com/search?newwindow=1&amp;ei=2MT0XrvGGM-vytMP1OyDgAY&amp;q=site%3Alinkedin.com+Carolyn+Holman+Campus+Recruiting</t>
  </si>
  <si>
    <t>Carolyn Holman</t>
  </si>
  <si>
    <t>https://www.google.com/search?newwindow=1&amp;ei=2MT0XrvGGM-vytMP1OyDgAY&amp;q=site%3Alinkedin.com+Christina+Mitchell+Principal+HR+Coordinator,+Campus+Recruiting</t>
  </si>
  <si>
    <t>Christina Mitchell</t>
  </si>
  <si>
    <t>Principal HR Coordinator, Campus Recruiting</t>
  </si>
  <si>
    <t>https://www.google.com/search?newwindow=1&amp;ei=2MT0XrvGGM-vytMP1OyDgAY&amp;q=site%3Alinkedin.com+Mary+Kate+Duncan+Campus+Recruiter</t>
  </si>
  <si>
    <t>https://www.google.com/search?newwindow=1&amp;ei=2MT0XrvGGM-vytMP1OyDgAY&amp;q=site%3Alinkedin.com+Chris+Giacchi+Human+Resource+Consultant+for+Brand,+Workplace+Solutions,+Supplier+Management+and+Security</t>
  </si>
  <si>
    <t>Human Resource Consultant for Brand, Workplace Solutions, Supplier Management and Security</t>
  </si>
  <si>
    <t>https://www.google.com/search?newwindow=1&amp;ei=2MT0XrvGGM-vytMP1OyDgAY&amp;q=site%3Alinkedin.com+Peter+Bartok+Campus+Recruiting+Manager</t>
  </si>
  <si>
    <t>https://www.google.com/search?newwindow=1&amp;ei=2MT0XrvGGM-vytMP1OyDgAY&amp;q=site%3Alinkedin.com+Julia+Christakos+Process+Manager,+Campus+Recruiting</t>
  </si>
  <si>
    <t>https://www.google.com/search?newwindow=1&amp;ei=2MT0XrvGGM-vytMP1OyDgAY&amp;q=site%3Alinkedin.com+Laura+Valentine+Campus+Recruiting+Coordinator</t>
  </si>
  <si>
    <t>Laura Valentine</t>
  </si>
  <si>
    <t>https://www.google.com/search?newwindow=1&amp;ei=2MT0XrvGGM-vytMP1OyDgAY&amp;q=site%3Alinkedin.com+Tasneem+Damji+Student+Recruiter+&amp;+Mentor</t>
  </si>
  <si>
    <t>Tasneem Damji</t>
  </si>
  <si>
    <t>Student Recruiter &amp; Mentor</t>
  </si>
  <si>
    <t>The Spark of Hope Foundation</t>
  </si>
  <si>
    <t>https://www.google.com/search?newwindow=1&amp;ei=2MT0XrvGGM-vytMP1OyDgAY&amp;q=site%3Alinkedin.com+Anna+Reithmeier+Manager,+International+Recruitment,+eRecruitment+and+Client+Services</t>
  </si>
  <si>
    <t>Anna Reithmeier</t>
  </si>
  <si>
    <t>Manager, International Recruitment, eRecruitment and Client Services</t>
  </si>
  <si>
    <t>https://www.google.com/search?newwindow=1&amp;ei=2MT0XrvGGM-vytMP1OyDgAY&amp;q=site%3Alinkedin.com+Felipe+Moreira+International+Student+Coordinator,+LSM-PDD+Programs</t>
  </si>
  <si>
    <t>Felipe Moreira</t>
  </si>
  <si>
    <t>International Student Coordinator, LSM-PDD Programs</t>
  </si>
  <si>
    <t>Langara College</t>
  </si>
  <si>
    <t>https://www.google.com/search?newwindow=1&amp;ei=2MT0XrvGGM-vytMP1OyDgAY&amp;q=site%3Alinkedin.com+Jessica+J.+Undergraduate+Academic+Assistant</t>
  </si>
  <si>
    <t>Undergraduate Academic Assistant</t>
  </si>
  <si>
    <t>UBC Faculty of Pharmaceutical Sciences</t>
  </si>
  <si>
    <t>https://www.google.com/search?newwindow=1&amp;ei=2MT0XrvGGM-vytMP1OyDgAY&amp;q=site%3Alinkedin.com+Eileen+Lim+Program+Assistant+-+International+Student+Programs</t>
  </si>
  <si>
    <t>Eileen Lim</t>
  </si>
  <si>
    <t>Program Assistant - International Student Programs</t>
  </si>
  <si>
    <t>Richmond School District No. 38</t>
  </si>
  <si>
    <t>https://www.google.com/search?newwindow=1&amp;ei=2MT0XrvGGM-vytMP1OyDgAY&amp;q=site%3Alinkedin.com+Emily+Durham+Senior+Campus+Recruiter</t>
  </si>
  <si>
    <t>Emily Durham</t>
  </si>
  <si>
    <t>Richmond Hill</t>
  </si>
  <si>
    <t>https://www.google.com/search?newwindow=1&amp;ei=2MT0XrvGGM-vytMP1OyDgAY&amp;q=site%3Alinkedin.com+Stephanie+Liu+Campus+Recruiter</t>
  </si>
  <si>
    <t>Stephanie Liu</t>
  </si>
  <si>
    <t>https://www.google.com/search?newwindow=1&amp;ei=2MT0XrvGGM-vytMP1OyDgAY&amp;q=site%3Alinkedin.com+Kayla+C.+International+Student+Advisor/Guidance+Counselor/Student+Recruiter</t>
  </si>
  <si>
    <t>Kayla C.</t>
  </si>
  <si>
    <t>International Student Advisor/Guidance Counselor/Student Recruiter</t>
  </si>
  <si>
    <t>AddPlus International Education Institute</t>
  </si>
  <si>
    <t>https://www.google.com/search?newwindow=1&amp;ei=2MT0XrvGGM-vytMP1OyDgAY&amp;q=site%3Alinkedin.com+SANDY+LIU+REALTOR,+INTERNATIONAL+STUDENT+RECRUITER</t>
  </si>
  <si>
    <t>SANDY LIU</t>
  </si>
  <si>
    <t>REALTOR, INTERNATIONAL STUDENT RECRUITER</t>
  </si>
  <si>
    <t>Jdl Realty; TCDSB</t>
  </si>
  <si>
    <t>https://www.google.com/search?newwindow=1&amp;ei=2MT0XrvGGM-vytMP1OyDgAY&amp;q=site%3Alinkedin.com+Chiara+Arch+Campus+Recruiting+Strategist,+D&amp;I+&amp;+National+Partnerships+at+Capital+One</t>
  </si>
  <si>
    <t>Chiara Arch</t>
  </si>
  <si>
    <t>Campus Recruiting Strategist, D&amp;I &amp; National Partnerships at Capital One</t>
  </si>
  <si>
    <t>https://www.google.com/search?newwindow=1&amp;ei=2MT0XrvGGM-vytMP1OyDgAY&amp;q=site%3Alinkedin.com+Lisa+Crouse,+CPA,+SHRM-CP+Senior+Manager+Recruiting</t>
  </si>
  <si>
    <t>https://www.google.com/search?newwindow=1&amp;ei=2MT0XrvGGM-vytMP1OyDgAY&amp;q=site%3Alinkedin.com+Darlene+Kipphut+Senior+Associate,+Campus+Recruiting+Data+Analysis</t>
  </si>
  <si>
    <t>Darlene Kipphut</t>
  </si>
  <si>
    <t>Senior Associate, Campus Recruiting Data Analysis</t>
  </si>
  <si>
    <t>https://www.google.com/search?newwindow=1&amp;ei=2MT0XrvGGM-vytMP1OyDgAY&amp;q=site%3Alinkedin.com+Nadege+Oluikpe+Global+Head+of+Corporate+&amp;+Strategy+Campus+Recruiting</t>
  </si>
  <si>
    <t>Nadege Oluikpe</t>
  </si>
  <si>
    <t>Global Head of Corporate &amp; Strategy Campus Recruiting</t>
  </si>
  <si>
    <t>https://www.google.com/search?newwindow=1&amp;ei=2MT0XrvGGM-vytMP1OyDgAY&amp;q=site%3Alinkedin.com+Rachel+Kleinsmith+campus+recruiting+coordinator</t>
  </si>
  <si>
    <t>Rachel Kleinsmith</t>
  </si>
  <si>
    <t>campus recruiting coordinator</t>
  </si>
  <si>
    <t>Rocky River</t>
  </si>
  <si>
    <t>https://www.google.com/search?newwindow=1&amp;ei=2MT0XrvGGM-vytMP1OyDgAY&amp;q=site%3Alinkedin.com+Nagi+Manpreet+Kaur+Spall+(ACMI)+Student+Recruiter</t>
  </si>
  <si>
    <t>Nagi Manpreet Kaur Spall (ACMI)</t>
  </si>
  <si>
    <t>Khan Associates (UK) Ltd (T/A: StudyUni)</t>
  </si>
  <si>
    <t>Romford</t>
  </si>
  <si>
    <t>https://www.google.com/search?newwindow=1&amp;ei=2MT0XrvGGM-vytMP1OyDgAY&amp;q=site%3Alinkedin.com+Mahadi+Macauley+Recruiter</t>
  </si>
  <si>
    <t>Mahadi Macauley</t>
  </si>
  <si>
    <t>LSBF - London School of Business &amp; Finance (LSBF)</t>
  </si>
  <si>
    <t>https://www.google.com/search?newwindow=1&amp;ei=2MT0XrvGGM-vytMP1OyDgAY&amp;q=site%3Alinkedin.com+Jonathan+Ramirez+LeadGen+Recruiter</t>
  </si>
  <si>
    <t>Jonathan Ramirez</t>
  </si>
  <si>
    <t>LeadGen Recruiter</t>
  </si>
  <si>
    <t>Project Everest - Impact Ventures</t>
  </si>
  <si>
    <t>Rosemeadow</t>
  </si>
  <si>
    <t>https://www.google.com/search?newwindow=1&amp;ei=2MT0XrvGGM-vytMP1OyDgAY&amp;q=site%3Alinkedin.com+Renee+Blonde+Campus+Recruiting+Manager</t>
  </si>
  <si>
    <t>KPMG global</t>
  </si>
  <si>
    <t>https://www.google.com/search?newwindow=1&amp;ei=2MT0XrvGGM-vytMP1OyDgAY&amp;q=site%3Alinkedin.com+Dana+Catania+Campus+Recruiting+Manager</t>
  </si>
  <si>
    <t>https://www.google.com/search?newwindow=1&amp;ei=2MT0XrvGGM-vytMP1OyDgAY&amp;q=site%3Alinkedin.com+Chase,+Jeanne+Campus+Recruiting+Associate</t>
  </si>
  <si>
    <t>Chase, Jeanne</t>
  </si>
  <si>
    <t>21 years 10 months in role and company</t>
  </si>
  <si>
    <t>Rumford</t>
  </si>
  <si>
    <t>https://www.google.com/search?newwindow=1&amp;ei=2MT0XrvGGM-vytMP1OyDgAY&amp;q=site%3Alinkedin.com+Kendra+Stanfill+Graduate+Campus+Recruiter</t>
  </si>
  <si>
    <t>https://www.google.com/search?newwindow=1&amp;ei=2MT0XrvGGM-vytMP1OyDgAY&amp;q=site%3Alinkedin.com+Jie+Jiang,+MA+MBA+International+student+recruiter</t>
  </si>
  <si>
    <t>Jie Jiang, MA MBA</t>
  </si>
  <si>
    <t>International student recruiter</t>
  </si>
  <si>
    <t>Unversity of New Brunswick</t>
  </si>
  <si>
    <t>Saint John</t>
  </si>
  <si>
    <t>https://www.google.com/search?newwindow=1&amp;ei=2MT0XrvGGM-vytMP1OyDgAY&amp;q=site%3Alinkedin.com+beverly+walker+Campus+Recruiting+Representative</t>
  </si>
  <si>
    <t>beverly walker</t>
  </si>
  <si>
    <t>14 years 1 month in company</t>
  </si>
  <si>
    <t>Salem</t>
  </si>
  <si>
    <t>https://www.google.com/search?newwindow=1&amp;ei=2MT0XrvGGM-vytMP1OyDgAY&amp;q=site%3Alinkedin.com+Matthew+Colecchia+physician+Recruiter</t>
  </si>
  <si>
    <t>Matthew Colecchia</t>
  </si>
  <si>
    <t>physician Recruiter</t>
  </si>
  <si>
    <t>Medicus</t>
  </si>
  <si>
    <t>https://www.google.com/search?newwindow=1&amp;ei=2MT0XrvGGM-vytMP1OyDgAY&amp;q=site%3Alinkedin.com+Austin+El-Bakri+Campus+Recruiting+Coordinator</t>
  </si>
  <si>
    <t>Austin El-Bakri</t>
  </si>
  <si>
    <t>https://www.google.com/search?newwindow=1&amp;ei=2MT0XrvGGM-vytMP1OyDgAY&amp;q=site%3Alinkedin.com+Claire+Sonksen+Campus+Recruiting+Coordinator</t>
  </si>
  <si>
    <t>Claire Sonksen</t>
  </si>
  <si>
    <t>https://www.google.com/search?newwindow=1&amp;ei=2MT0XrvGGM-vytMP1OyDgAY&amp;q=site%3Alinkedin.com+Teresa+Pond+Associate,+Campus+Recruiting</t>
  </si>
  <si>
    <t>Teresa Pond</t>
  </si>
  <si>
    <t>https://www.google.com/search?newwindow=1&amp;ei=2MT0XrvGGM-vytMP1OyDgAY&amp;q=site%3Alinkedin.com+Jim+Andrus+-++SPHR,SHRM-SCP+Southwest+Market+Campus+Recruiting+Lead</t>
  </si>
  <si>
    <t>Jim Andrus -  SPHR,SHRM-SCP</t>
  </si>
  <si>
    <t>Southwest Market Campus Recruiting Lead</t>
  </si>
  <si>
    <t>https://www.google.com/search?newwindow=1&amp;ei=2MT0XrvGGM-vytMP1OyDgAY&amp;q=site%3Alinkedin.com+Joni+Fisher+Campus+Recruiting+Field+Operations+Lead</t>
  </si>
  <si>
    <t>Joni Fisher</t>
  </si>
  <si>
    <t>Campus Recruiting Field Operations Lead</t>
  </si>
  <si>
    <t>https://www.google.com/search?newwindow=1&amp;ei=2MT0XrvGGM-vytMP1OyDgAY&amp;q=site%3Alinkedin.com+Richelle+Medellin+Vice+President,+Head+of+Campus+Recruiting,+Salt+Lake+City</t>
  </si>
  <si>
    <t>Richelle Medellin</t>
  </si>
  <si>
    <t>Vice President, Head of Campus Recruiting, Salt Lake City</t>
  </si>
  <si>
    <t>https://www.google.com/search?newwindow=1&amp;ei=2MT0XrvGGM-vytMP1OyDgAY&amp;q=site%3Alinkedin.com+Caroline+Allison+Schools+College+Partnership+team</t>
  </si>
  <si>
    <t>Caroline Allison</t>
  </si>
  <si>
    <t>Schools College Partnership team</t>
  </si>
  <si>
    <t>Ayrshire College</t>
  </si>
  <si>
    <t>Saltcoats</t>
  </si>
  <si>
    <t>https://www.google.com/search?newwindow=1&amp;ei=2MT0XrvGGM-vytMP1OyDgAY&amp;q=site%3Alinkedin.com+Dawn+West+Senior+Administrative+Assistant</t>
  </si>
  <si>
    <t>Dawn West</t>
  </si>
  <si>
    <t>Senior Administrative Assistant</t>
  </si>
  <si>
    <t>38 years  in role and company</t>
  </si>
  <si>
    <t>https://www.google.com/search?newwindow=1&amp;ei=2MT0XrvGGM-vytMP1OyDgAY&amp;q=site%3Alinkedin.com+Jerry+Alvarez+Fraud+Specialist</t>
  </si>
  <si>
    <t>Jerry Alvarez</t>
  </si>
  <si>
    <t>Fraud Specialist</t>
  </si>
  <si>
    <t>https://www.google.com/search?newwindow=1&amp;ei=2MT0XrvGGM-vytMP1OyDgAY&amp;q=site%3Alinkedin.com+Sean+O'Connor+Campus+Recruiting+Coordinator,+Software+Engineering</t>
  </si>
  <si>
    <t>Sean O'Connor</t>
  </si>
  <si>
    <t>Campus Recruiting Coordinator, Software Engineering</t>
  </si>
  <si>
    <t>https://www.google.com/search?newwindow=1&amp;ei=2MT0XrvGGM-vytMP1OyDgAY&amp;q=site%3Alinkedin.com+Allison+Reams+Newman+Primary+Recruiter,+Campus+Recruiting</t>
  </si>
  <si>
    <t>https://www.google.com/search?newwindow=1&amp;ei=2MT0XrvGGM-vytMP1OyDgAY&amp;q=site%3Alinkedin.com+Nicole+Rosario+Senior+Campus+Recruiting+Specialist</t>
  </si>
  <si>
    <t>Nicole Rosario</t>
  </si>
  <si>
    <t>https://www.google.com/search?newwindow=1&amp;ei=2MT0XrvGGM-vytMP1OyDgAY&amp;q=site%3Alinkedin.com+Mike+Goodman+Sourcing+Recruiter</t>
  </si>
  <si>
    <t>Mike Goodman</t>
  </si>
  <si>
    <t>Sourcing Recruiter</t>
  </si>
  <si>
    <t>https://www.google.com/search?newwindow=1&amp;ei=2MT0XrvGGM-vytMP1OyDgAY&amp;q=site%3Alinkedin.com+Sarah+Moynier+Campus+Recruiting+Specialist</t>
  </si>
  <si>
    <t>Sarah Moynier</t>
  </si>
  <si>
    <t>https://www.google.com/search?newwindow=1&amp;ei=2MT0XrvGGM-vytMP1OyDgAY&amp;q=site%3Alinkedin.com+Kathleen+Schaum+Executive+Director-+Campus+Recruiting+and+University+Relations</t>
  </si>
  <si>
    <t>Kathleen Schaum</t>
  </si>
  <si>
    <t>Executive Director- Campus Recruiting and University Relations</t>
  </si>
  <si>
    <t>https://www.google.com/search?newwindow=1&amp;ei=2MT0XrvGGM-vytMP1OyDgAY&amp;q=site%3Alinkedin.com+Janine+"Nina"+Morton+Director,+Head+of+Graduate+Campus+Recruiting+&amp;+Development+Programs</t>
  </si>
  <si>
    <t>Janine "Nina" Morton</t>
  </si>
  <si>
    <t>Director, Head of Graduate Campus Recruiting &amp; Development Programs</t>
  </si>
  <si>
    <t>https://www.google.com/search?newwindow=1&amp;ei=2MT0XrvGGM-vytMP1OyDgAY&amp;q=site%3Alinkedin.com+Lauren+Yu+Campus+Recruiting+Specialist</t>
  </si>
  <si>
    <t>Lauren Yu</t>
  </si>
  <si>
    <t>https://www.google.com/search?newwindow=1&amp;ei=2MT0XrvGGM-vytMP1OyDgAY&amp;q=site%3Alinkedin.com+Tamara+Enriquez,+M.A.+(She/Her)+Campus+Recruiting+|+Intern+Programs+&amp;+Operations+-+Event+Coordinator</t>
  </si>
  <si>
    <t>Tamara Enriquez, M.A. (She/Her)</t>
  </si>
  <si>
    <t>Campus Recruiting | Intern Programs &amp; Operations - Event Coordinator</t>
  </si>
  <si>
    <t>https://www.google.com/search?newwindow=1&amp;ei=2MT0XrvGGM-vytMP1OyDgAY&amp;q=site%3Alinkedin.com+Bri+Casner+Senior+Manager,+Global+Campus+Recruiting</t>
  </si>
  <si>
    <t>https://www.google.com/search?newwindow=1&amp;ei=2MT0XrvGGM-vytMP1OyDgAY&amp;q=site%3Alinkedin.com+Vicky+Chang+Campus+Recruiting+Manager</t>
  </si>
  <si>
    <t>https://www.google.com/search?newwindow=1&amp;ei=2MT0XrvGGM-vytMP1OyDgAY&amp;q=site%3Alinkedin.com+Casey+Richard+Senior+Campus+Recruiting+Associate,+Talent+Attraction+and+Acquisition</t>
  </si>
  <si>
    <t>Casey Richard</t>
  </si>
  <si>
    <t>https://www.google.com/search?newwindow=1&amp;ei=2MT0XrvGGM-vytMP1OyDgAY&amp;q=site%3Alinkedin.com+Eric+Yeung+Program+Manager,+University+Recruitment</t>
  </si>
  <si>
    <t>Eric Yeung</t>
  </si>
  <si>
    <t>Program Manager, University Recruitment</t>
  </si>
  <si>
    <t>Keysight Technologies</t>
  </si>
  <si>
    <t>https://www.google.com/search?newwindow=1&amp;ei=2MT0XrvGGM-vytMP1OyDgAY&amp;q=site%3Alinkedin.com+Jennifer+Voss+Campus+Recruiting+Manager</t>
  </si>
  <si>
    <t>https://www.google.com/search?newwindow=1&amp;ei=2MT0XrvGGM-vytMP1OyDgAY&amp;q=site%3Alinkedin.com+Jared+Jusi+Campus+Recruiting+Coordinator</t>
  </si>
  <si>
    <t>Jared Jusi</t>
  </si>
  <si>
    <t>https://www.google.com/search?newwindow=1&amp;ei=2MT0XrvGGM-vytMP1OyDgAY&amp;q=site%3Alinkedin.com+Caroline+Grosso+Campus+Recruiter</t>
  </si>
  <si>
    <t>https://www.google.com/search?newwindow=1&amp;ei=2MT0XrvGGM-vytMP1OyDgAY&amp;q=site%3Alinkedin.com+Rachel+Bruce+Project+Manager,+Campus+Recruiting,+Talent+Acquisition</t>
  </si>
  <si>
    <t>Wells Fargo Bank</t>
  </si>
  <si>
    <t>https://www.google.com/search?newwindow=1&amp;ei=2MT0XrvGGM-vytMP1OyDgAY&amp;q=site%3Alinkedin.com+Lindsey+Stewart+Americas+Recruiting+Manager+(Campus+and+Entry-level)</t>
  </si>
  <si>
    <t>https://www.google.com/search?newwindow=1&amp;ei=2MT0XrvGGM-vytMP1OyDgAY&amp;q=site%3Alinkedin.com+Erin+Riley+Campus+Recruiting+Manager</t>
  </si>
  <si>
    <t>KPMG, LLP</t>
  </si>
  <si>
    <t>https://www.google.com/search?newwindow=1&amp;ei=2MT0XrvGGM-vytMP1OyDgAY&amp;q=site%3Alinkedin.com+Ashley+Naughton,+CIR+Campus+Recruiting</t>
  </si>
  <si>
    <t>Ashley Naughton, CIR</t>
  </si>
  <si>
    <t>12 years 3 months in role and company</t>
  </si>
  <si>
    <t>https://www.google.com/search?newwindow=1&amp;ei=2MT0XrvGGM-vytMP1OyDgAY&amp;q=site%3Alinkedin.com+Britney+(Us+Campus+Recruiting+Manager</t>
  </si>
  <si>
    <t>https://www.google.com/search?newwindow=1&amp;ei=2MT0XrvGGM-vytMP1OyDgAY&amp;q=site%3Alinkedin.com+Margaret+Murphy+Senior+Assurance+Associate+and+Campus+Recruiting</t>
  </si>
  <si>
    <t>Margaret Murphy</t>
  </si>
  <si>
    <t>Senior Assurance Associate and Campus Recruiting</t>
  </si>
  <si>
    <t>https://www.google.com/search?newwindow=1&amp;ei=2MT0XrvGGM-vytMP1OyDgAY&amp;q=site%3Alinkedin.com+Patrick+Payne+Campus+Recruiting+Manager</t>
  </si>
  <si>
    <t>Patrick Payne</t>
  </si>
  <si>
    <t>https://www.google.com/search?newwindow=1&amp;ei=2MT0XrvGGM-vytMP1OyDgAY&amp;q=site%3Alinkedin.com+Trixie+Cordova+(she/her)+Campus+Recruiting+Global+Program+Manager</t>
  </si>
  <si>
    <t>https://www.google.com/search?newwindow=1&amp;ei=2MT0XrvGGM-vytMP1OyDgAY&amp;q=site%3Alinkedin.com+Wendell+Tull+Campus+Recruiting+Manager</t>
  </si>
  <si>
    <t>https://www.google.com/search?newwindow=1&amp;ei=2MT0XrvGGM-vytMP1OyDgAY&amp;q=site%3Alinkedin.com+Travarus+Fauntleroy+Global+Program+Manager,+Campus+Recruiting</t>
  </si>
  <si>
    <t>https://www.google.com/search?newwindow=1&amp;ei=2MT0XrvGGM-vytMP1OyDgAY&amp;q=site%3Alinkedin.com+Kevin+Chirino+Campus+Recruiting+Lead</t>
  </si>
  <si>
    <t>Kevin Chirino</t>
  </si>
  <si>
    <t>https://www.google.com/search?newwindow=1&amp;ei=2MT0XrvGGM-vytMP1OyDgAY&amp;q=site%3Alinkedin.com+Cierra+Lam+Campus+Recruiting+Specialist</t>
  </si>
  <si>
    <t>Cierra Lam</t>
  </si>
  <si>
    <t>https://www.google.com/search?newwindow=1&amp;ei=2MT0XrvGGM-vytMP1OyDgAY&amp;q=site%3Alinkedin.com+Cristina+Smith+Senior+Campus+Recruiting+Specialist</t>
  </si>
  <si>
    <t>Cristina Smith</t>
  </si>
  <si>
    <t>https://www.google.com/search?newwindow=1&amp;ei=2MT0XrvGGM-vytMP1OyDgAY&amp;q=site%3Alinkedin.com+Molly+Gregware+Head+of+Tech+Campus+Recruiting</t>
  </si>
  <si>
    <t>Molly Gregware</t>
  </si>
  <si>
    <t>Head of Tech Campus Recruiting</t>
  </si>
  <si>
    <t>https://www.google.com/search?newwindow=1&amp;ei=2MT0XrvGGM-vytMP1OyDgAY&amp;q=site%3Alinkedin.com+Regina+Manansala+Campus+Recruiting+Manager</t>
  </si>
  <si>
    <t>https://www.google.com/search?newwindow=1&amp;ei=2MT0XrvGGM-vytMP1OyDgAY&amp;q=site%3Alinkedin.com+Cynthia+Le+University+Recruiting+Campus+Manager</t>
  </si>
  <si>
    <t>https://www.google.com/search?newwindow=1&amp;ei=2MT0XrvGGM-vytMP1OyDgAY&amp;q=site%3Alinkedin.com+Genna+McGrath+Senior+Campus+Recruiting+Coordinator</t>
  </si>
  <si>
    <t>Genna McGrath</t>
  </si>
  <si>
    <t>https://www.google.com/search?newwindow=1&amp;ei=2MT0XrvGGM-vytMP1OyDgAY&amp;q=site%3Alinkedin.com+Cortney+Brazil+Campus+Recruiting</t>
  </si>
  <si>
    <t>Cortney Brazil</t>
  </si>
  <si>
    <t>https://www.google.com/search?newwindow=1&amp;ei=2MT0XrvGGM-vytMP1OyDgAY&amp;q=site%3Alinkedin.com+Sydney+Horner+Senior+Recruiter,+University+Recruitment,+Full+Life-Cycle</t>
  </si>
  <si>
    <t>https://www.google.com/search?newwindow=1&amp;ei=2MT0XrvGGM-vytMP1OyDgAY&amp;q=site%3Alinkedin.com+Marissa+Shimada+Campus+Recruiting+Consultant</t>
  </si>
  <si>
    <t>https://www.google.com/search?newwindow=1&amp;ei=2MT0XrvGGM-vytMP1OyDgAY&amp;q=site%3Alinkedin.com+Jen+McGregor+Campus+Ambassador</t>
  </si>
  <si>
    <t>Jen McGregor</t>
  </si>
  <si>
    <t>Campus Ambassador</t>
  </si>
  <si>
    <t>https://www.google.com/search?newwindow=1&amp;ei=2MT0XrvGGM-vytMP1OyDgAY&amp;q=site%3Alinkedin.com+Edward+Hernandez+Campus+Recruiting+Intern</t>
  </si>
  <si>
    <t>Edward Hernandez</t>
  </si>
  <si>
    <t>Campus Recruiting Intern</t>
  </si>
  <si>
    <t>https://www.google.com/search?newwindow=1&amp;ei=2MT0XrvGGM-vytMP1OyDgAY&amp;q=site%3Alinkedin.com+Alexandria+Richardson+HR+Career+Advisor</t>
  </si>
  <si>
    <t>Alexandria Richardson</t>
  </si>
  <si>
    <t>HR Career Advisor</t>
  </si>
  <si>
    <t>https://www.google.com/search?newwindow=1&amp;ei=2MT0XrvGGM-vytMP1OyDgAY&amp;q=site%3Alinkedin.com+Susan+Te+Campus+Recruiting+Specialist</t>
  </si>
  <si>
    <t>Susan Te</t>
  </si>
  <si>
    <t>https://www.google.com/search?newwindow=1&amp;ei=2MT0XrvGGM-vytMP1OyDgAY&amp;q=site%3Alinkedin.com+Emily+Ho+Project+Manager+II,+Campus+Recruiting+Operations</t>
  </si>
  <si>
    <t>https://www.google.com/search?newwindow=1&amp;ei=2MT0XrvGGM-vytMP1OyDgAY&amp;q=site%3Alinkedin.com+Julia+Silvestre+West+Campus+Lead+Recruiting+Coordinator</t>
  </si>
  <si>
    <t>https://www.google.com/search?newwindow=1&amp;ei=2MT0XrvGGM-vytMP1OyDgAY&amp;q=site%3Alinkedin.com+Lauren+Silveira+Campus+Manager,+University+Recruiting</t>
  </si>
  <si>
    <t>https://www.google.com/search?newwindow=1&amp;ei=2MT0XrvGGM-vytMP1OyDgAY&amp;q=site%3Alinkedin.com+Jessica+Gonzalez+Campus+Recruiting+Coordinator</t>
  </si>
  <si>
    <t>Jessica Gonzalez</t>
  </si>
  <si>
    <t>https://www.google.com/search?newwindow=1&amp;ei=2MT0XrvGGM-vytMP1OyDgAY&amp;q=site%3Alinkedin.com+Sumner+Ashley+Campus+Recruiting+Coordinator</t>
  </si>
  <si>
    <t>Sumner Ashley</t>
  </si>
  <si>
    <t>Sandy</t>
  </si>
  <si>
    <t>https://www.google.com/search?newwindow=1&amp;ei=2MT0XrvGGM-vytMP1OyDgAY&amp;q=site%3Alinkedin.com+Avery+Ching+Senior+Associate+-+Campus+Recruiter</t>
  </si>
  <si>
    <t>https://www.google.com/search?newwindow=1&amp;ei=2MT0XrvGGM-vytMP1OyDgAY&amp;q=site%3Alinkedin.com+Ameen+Bery+International+Student+Advisor/+Recruiter</t>
  </si>
  <si>
    <t>Ameen Bery</t>
  </si>
  <si>
    <t>International Student Advisor/ Recruiter</t>
  </si>
  <si>
    <t>Saskatoon</t>
  </si>
  <si>
    <t>https://www.google.com/search?newwindow=1&amp;ei=2MT0XrvGGM-vytMP1OyDgAY&amp;q=site%3Alinkedin.com+Halley+Toth+Academic+Advisor/Coordinator+of+Credit+Programs+and+Student+Services</t>
  </si>
  <si>
    <t>Halley Toth</t>
  </si>
  <si>
    <t>Academic Advisor/Coordinator of Credit Programs and Student Services</t>
  </si>
  <si>
    <t>https://www.google.com/search?newwindow=1&amp;ei=2MT0XrvGGM-vytMP1OyDgAY&amp;q=site%3Alinkedin.com+Melissa+Haugrud,+CPA,+CA+Campus+Recruiter</t>
  </si>
  <si>
    <t>Melissa Haugrud, CPA, CA</t>
  </si>
  <si>
    <t>https://www.google.com/search?newwindow=1&amp;ei=2MT0XrvGGM-vytMP1OyDgAY&amp;q=site%3Alinkedin.com+Sierra+Sealy+Domestic+Student+Recruiter+Assistant</t>
  </si>
  <si>
    <t>Sierra Sealy</t>
  </si>
  <si>
    <t>Domestic Student Recruiter Assistant</t>
  </si>
  <si>
    <t>https://www.google.com/search?newwindow=1&amp;ei=2MT0XrvGGM-vytMP1OyDgAY&amp;q=site%3Alinkedin.com+Ray+Escasa+Student+Recruiter</t>
  </si>
  <si>
    <t>Ray Escasa</t>
  </si>
  <si>
    <t>Sault College of Applied Arts &amp; Technology</t>
  </si>
  <si>
    <t>13 years 3 months in role and company</t>
  </si>
  <si>
    <t>Sault Ste. Marie</t>
  </si>
  <si>
    <t>https://www.google.com/search?newwindow=1&amp;ei=2MT0XrvGGM-vytMP1OyDgAY&amp;q=site%3Alinkedin.com+Michael+Wager+Front+End+Supervisor</t>
  </si>
  <si>
    <t>Michael Wager</t>
  </si>
  <si>
    <t>Front End Supervisor</t>
  </si>
  <si>
    <t>Schenectady</t>
  </si>
  <si>
    <t>https://www.google.com/search?newwindow=1&amp;ei=2MT0XrvGGM-vytMP1OyDgAY&amp;q=site%3Alinkedin.com+Jade+Gingras+Campus+Recruiting+Specialist</t>
  </si>
  <si>
    <t>https://www.google.com/search?newwindow=1&amp;ei=2MT0XrvGGM-vytMP1OyDgAY&amp;q=site%3Alinkedin.com+Naomi+Kim+Campus+Recruiting+Manager</t>
  </si>
  <si>
    <t>https://www.google.com/search?newwindow=1&amp;ei=2MT0XrvGGM-vytMP1OyDgAY&amp;q=site%3Alinkedin.com+Siobhan+Loyd+Lead+Campus+Recruiting+Specialist</t>
  </si>
  <si>
    <t>Siobhan Loyd</t>
  </si>
  <si>
    <t>https://www.google.com/search?newwindow=1&amp;ei=2MT0XrvGGM-vytMP1OyDgAY&amp;q=site%3Alinkedin.com+Katey+Thomson+Recruiter,+Student+Programs</t>
  </si>
  <si>
    <t>Katey Thomson</t>
  </si>
  <si>
    <t>https://www.google.com/search?newwindow=1&amp;ei=2MT0XrvGGM-vytMP1OyDgAY&amp;q=site%3Alinkedin.com+Eddie+Garcilazo+Technical+Recruiter+l+University+Recruitment</t>
  </si>
  <si>
    <t>https://www.google.com/search?newwindow=1&amp;ei=2MT0XrvGGM-vytMP1OyDgAY&amp;q=site%3Alinkedin.com+Lidia+Hernandez+Recruiter+|+Student+Programs</t>
  </si>
  <si>
    <t>Lidia Hernandez</t>
  </si>
  <si>
    <t>Recruiter | Student Programs</t>
  </si>
  <si>
    <t>https://www.google.com/search?newwindow=1&amp;ei=2MT0XrvGGM-vytMP1OyDgAY&amp;q=site%3Alinkedin.com+Alexandria+Balivet-Brown+Graduate+Research+Recruiter,+Student+Programs</t>
  </si>
  <si>
    <t>Alexandria Balivet-Brown</t>
  </si>
  <si>
    <t>Graduate Research Recruiter, Student Programs</t>
  </si>
  <si>
    <t>https://www.google.com/search?newwindow=1&amp;ei=2MT0XrvGGM-vytMP1OyDgAY&amp;q=site%3Alinkedin.com+Erin+Waldschmidt+Recruiter,+Student+Programs</t>
  </si>
  <si>
    <t>Erin Waldschmidt</t>
  </si>
  <si>
    <t>https://www.google.com/search?newwindow=1&amp;ei=2MT0XrvGGM-vytMP1OyDgAY&amp;q=site%3Alinkedin.com+Kristina+Young+Recruiter,+Student+Programs</t>
  </si>
  <si>
    <t>Kristina Young</t>
  </si>
  <si>
    <t>https://www.google.com/search?newwindow=1&amp;ei=2MT0XrvGGM-vytMP1OyDgAY&amp;q=site%3Alinkedin.com+Sarah+Chun-Hoon+Recruiter,+Student+Programs</t>
  </si>
  <si>
    <t>Sarah Chun-Hoon</t>
  </si>
  <si>
    <t>https://www.google.com/search?newwindow=1&amp;ei=2MT0XrvGGM-vytMP1OyDgAY&amp;q=site%3Alinkedin.com+Erin+Creighton+Technical+University+Recruiter</t>
  </si>
  <si>
    <t>https://www.google.com/search?newwindow=1&amp;ei=2MT0XrvGGM-vytMP1OyDgAY&amp;q=site%3Alinkedin.com+Channa+Palmer+Program+Manager,+Student+Programs</t>
  </si>
  <si>
    <t>Channa Palmer</t>
  </si>
  <si>
    <t>Program Manager, Student Programs</t>
  </si>
  <si>
    <t>https://www.google.com/search?newwindow=1&amp;ei=2MT0XrvGGM-vytMP1OyDgAY&amp;q=site%3Alinkedin.com+Megan+Taylor,+SHRM-CP+Recruiter,+Student+Programs</t>
  </si>
  <si>
    <t>Megan Taylor, SHRM-CP</t>
  </si>
  <si>
    <t>https://www.google.com/search?newwindow=1&amp;ei=2MT0XrvGGM-vytMP1OyDgAY&amp;q=site%3Alinkedin.com+Amy+Siebenthaler+Technical+PhD+Recruiter+|+University+Recruitment</t>
  </si>
  <si>
    <t>https://www.google.com/search?newwindow=1&amp;ei=2MT0XrvGGM-vytMP1OyDgAY&amp;q=site%3Alinkedin.com+Sophie+DiDonato+Recruiter+II+-+Student+Programs</t>
  </si>
  <si>
    <t>Sophie DiDonato</t>
  </si>
  <si>
    <t>Recruiter II - Student Programs</t>
  </si>
  <si>
    <t>https://www.google.com/search?newwindow=1&amp;ei=2MT0XrvGGM-vytMP1OyDgAY&amp;q=site%3Alinkedin.com+Jake+Johnson+Client+Lead+Recruiter</t>
  </si>
  <si>
    <t>Jake Johnson</t>
  </si>
  <si>
    <t>Client Lead Recruiter</t>
  </si>
  <si>
    <t>https://www.google.com/search?newwindow=1&amp;ei=2MT0XrvGGM-vytMP1OyDgAY&amp;q=site%3Alinkedin.com+Cassie+Crealock+Senior+Campus+Recruiting+Specialist</t>
  </si>
  <si>
    <t>Cassie Crealock</t>
  </si>
  <si>
    <t>https://www.google.com/search?newwindow=1&amp;ei=2MT0XrvGGM-vytMP1OyDgAY&amp;q=site%3Alinkedin.com+Danielle+DeShields+Lead+Recruiter+for+Undergraduate+Sales+Internships+&amp;+Diversity+NonTech+Recruiter</t>
  </si>
  <si>
    <t>Danielle DeShields</t>
  </si>
  <si>
    <t>Lead Recruiter for Undergraduate Sales Internships &amp; Diversity NonTech Recruiter</t>
  </si>
  <si>
    <t>https://www.google.com/search?newwindow=1&amp;ei=2MT0XrvGGM-vytMP1OyDgAY&amp;q=site%3Alinkedin.com+Jordan+Gobble+Student+Programs,+Recruiter+II</t>
  </si>
  <si>
    <t>Jordan Gobble</t>
  </si>
  <si>
    <t>Student Programs, Recruiter II</t>
  </si>
  <si>
    <t>https://www.google.com/search?newwindow=1&amp;ei=2MT0XrvGGM-vytMP1OyDgAY&amp;q=site%3Alinkedin.com+Lydia+Gustafson,+MBA+Membership+Recruitment+Director+-+Board+Member</t>
  </si>
  <si>
    <t>Lydia Gustafson, MBA</t>
  </si>
  <si>
    <t>Membership Recruitment Director - Board Member</t>
  </si>
  <si>
    <t>LPGA Amateur Golf Association - Seattle Chapter</t>
  </si>
  <si>
    <t>https://www.google.com/search?newwindow=1&amp;ei=2MT0XrvGGM-vytMP1OyDgAY&amp;q=site%3Alinkedin.com+Eddie+Verhulst+Recruiter+-+Student+Programs</t>
  </si>
  <si>
    <t>Eddie Verhulst</t>
  </si>
  <si>
    <t>Recruiter - Student Programs</t>
  </si>
  <si>
    <t>https://www.google.com/search?newwindow=1&amp;ei=2MT0XrvGGM-vytMP1OyDgAY&amp;q=site%3Alinkedin.com+Alicia+Massey+Campus+Recruiting+Coordinator</t>
  </si>
  <si>
    <t>Alicia Massey</t>
  </si>
  <si>
    <t>https://www.google.com/search?newwindow=1&amp;ei=2MT0XrvGGM-vytMP1OyDgAY&amp;q=site%3Alinkedin.com+Bri+O'Connell+Sr.+Program+Manager+Global+Demand+Collection+&amp;+Forecasting+-+Student+Programs</t>
  </si>
  <si>
    <t>Bri O'Connell</t>
  </si>
  <si>
    <t>Sr. Program Manager Global Demand Collection &amp; Forecasting - Student Programs</t>
  </si>
  <si>
    <t>https://www.google.com/search?newwindow=1&amp;ei=2MT0XrvGGM-vytMP1OyDgAY&amp;q=site%3Alinkedin.com+Ali+Garcia+Recruiter,+Student+Programs</t>
  </si>
  <si>
    <t>Ali Garcia</t>
  </si>
  <si>
    <t>https://www.google.com/search?newwindow=1&amp;ei=2MT0XrvGGM-vytMP1OyDgAY&amp;q=site%3Alinkedin.com+Lindsay+Lavin,+PHR+(she/her)+Sr.+Associate,+Campus+Recruiting</t>
  </si>
  <si>
    <t>Lindsay Lavin, PHR (she/her)</t>
  </si>
  <si>
    <t>Sr. Associate, Campus Recruiting</t>
  </si>
  <si>
    <t>https://www.google.com/search?newwindow=1&amp;ei=2MT0XrvGGM-vytMP1OyDgAY&amp;q=site%3Alinkedin.com+Megan+Campbell+Recruiter,+Student+Programs</t>
  </si>
  <si>
    <t>Megan Campbell</t>
  </si>
  <si>
    <t>https://www.google.com/search?newwindow=1&amp;ei=2MT0XrvGGM-vytMP1OyDgAY&amp;q=site%3Alinkedin.com+Sharon+Lim+Recruiter,+Student+Programs</t>
  </si>
  <si>
    <t>Sharon Lim</t>
  </si>
  <si>
    <t>https://www.google.com/search?newwindow=1&amp;ei=2MT0XrvGGM-vytMP1OyDgAY&amp;q=site%3Alinkedin.com+Stephanie+Park+Senior+Science+Recruiter+-+Strategic+Recruiting+Team</t>
  </si>
  <si>
    <t>Stephanie Park</t>
  </si>
  <si>
    <t>Senior Science Recruiter - Strategic Recruiting Team</t>
  </si>
  <si>
    <t>https://www.google.com/search?newwindow=1&amp;ei=2MT0XrvGGM-vytMP1OyDgAY&amp;q=site%3Alinkedin.com+Lauren+S.+Recruiter+II,+Student+Programs</t>
  </si>
  <si>
    <t>Lauren S.</t>
  </si>
  <si>
    <t>Recruiter II, Student Programs</t>
  </si>
  <si>
    <t>https://www.google.com/search?newwindow=1&amp;ei=2MT0XrvGGM-vytMP1OyDgAY&amp;q=site%3Alinkedin.com+Carly+Porter+Student+Programs,+Campus+Recruiter</t>
  </si>
  <si>
    <t>https://www.google.com/search?newwindow=1&amp;ei=2MT0XrvGGM-vytMP1OyDgAY&amp;q=site%3Alinkedin.com+Hannah+Smith+University+Recruiter+-+Northern+England,+the+Midlands+&amp;+Ireland</t>
  </si>
  <si>
    <t>Hannah Smith</t>
  </si>
  <si>
    <t>University Recruiter - Northern England, the Midlands &amp; Ireland</t>
  </si>
  <si>
    <t>Shenfield</t>
  </si>
  <si>
    <t>https://www.google.com/search?newwindow=1&amp;ei=2MT0XrvGGM-vytMP1OyDgAY&amp;q=site%3Alinkedin.com+Albert+Suh+University+and+College+Students+Recruiter</t>
  </si>
  <si>
    <t>Albert Suh</t>
  </si>
  <si>
    <t>University and College Students Recruiter</t>
  </si>
  <si>
    <t>Ngwinsuhnjwi Consultants LTD, Sunhjwi Academic Facilitators International (SAFI)</t>
  </si>
  <si>
    <t>https://www.google.com/search?newwindow=1&amp;ei=2MT0XrvGGM-vytMP1OyDgAY&amp;q=site%3Alinkedin.com+Holly+Rezaie+Student+Recruitment+Officer+(Events)+at+The+University+of+Sheffield</t>
  </si>
  <si>
    <t>Holly Rezaie</t>
  </si>
  <si>
    <t>Student Recruitment Officer (Events) at The University of Sheffield</t>
  </si>
  <si>
    <t>The University of Sheffield</t>
  </si>
  <si>
    <t>https://www.google.com/search?newwindow=1&amp;ei=2MT0XrvGGM-vytMP1OyDgAY&amp;q=site%3Alinkedin.com+Millie+Hodges+Graduate+Recruiter</t>
  </si>
  <si>
    <t>Millie Hodges</t>
  </si>
  <si>
    <t>https://www.google.com/search?newwindow=1&amp;ei=2MT0XrvGGM-vytMP1OyDgAY&amp;q=site%3Alinkedin.com+Gavin+Palmer+Student+Engagement+Programs+Coordinator</t>
  </si>
  <si>
    <t>Gavin Palmer</t>
  </si>
  <si>
    <t>Sherwood Park</t>
  </si>
  <si>
    <t>https://www.google.com/search?newwindow=1&amp;ei=2MT0XrvGGM-vytMP1OyDgAY&amp;q=site%3Alinkedin.com+Sydney+Leischner+Manager,+Campus+Recruiting</t>
  </si>
  <si>
    <t>https://www.google.com/search?newwindow=1&amp;ei=2MT0XrvGGM-vytMP1OyDgAY&amp;q=site%3Alinkedin.com+Navdeep+Bahia+Graduate+Recruiter</t>
  </si>
  <si>
    <t>Navdeep Bahia</t>
  </si>
  <si>
    <t>Slough</t>
  </si>
  <si>
    <t>https://www.google.com/search?newwindow=1&amp;ei=2MT0XrvGGM-vytMP1OyDgAY&amp;q=site%3Alinkedin.com+Marisa+DiRocco+Manager,+Campus+Recruiting</t>
  </si>
  <si>
    <t>https://www.google.com/search?newwindow=1&amp;ei=2MT0XrvGGM-vytMP1OyDgAY&amp;q=site%3Alinkedin.com+Palmer+Mayer+Associate+Director,+Campus+Recruiting</t>
  </si>
  <si>
    <t>Palmer Mayer</t>
  </si>
  <si>
    <t>15 years 3 months in role</t>
  </si>
  <si>
    <t>https://www.google.com/search?newwindow=1&amp;ei=2MT0XrvGGM-vytMP1OyDgAY&amp;q=site%3Alinkedin.com+Melissa+Varkoly+Senior+Manager+-+Audit+Talent+Business+Advisor</t>
  </si>
  <si>
    <t>https://www.google.com/search?newwindow=1&amp;ei=2MT0XrvGGM-vytMP1OyDgAY&amp;q=site%3Alinkedin.com+Emily+Boston+Recruitment+Manager</t>
  </si>
  <si>
    <t>Emily Boston</t>
  </si>
  <si>
    <t>PJT RESTAURANTS LIMITED</t>
  </si>
  <si>
    <t>South Benfleet</t>
  </si>
  <si>
    <t>https://www.google.com/search?newwindow=1&amp;ei=2MT0XrvGGM-vytMP1OyDgAY&amp;q=site%3Alinkedin.com+Leah+Williams+Student+Programs+Support+Officer</t>
  </si>
  <si>
    <t>Leah Williams</t>
  </si>
  <si>
    <t>Student Programs Support Officer</t>
  </si>
  <si>
    <t>Broken Hill University Department of Rural Health</t>
  </si>
  <si>
    <t>South Broken Hill</t>
  </si>
  <si>
    <t>https://www.google.com/search?newwindow=1&amp;ei=2MT0XrvGGM-vytMP1OyDgAY&amp;q=site%3Alinkedin.com+Katherine+Dong+Campus+Recruiting+Intern</t>
  </si>
  <si>
    <t>Katherine Dong</t>
  </si>
  <si>
    <t>South Hadley</t>
  </si>
  <si>
    <t>https://www.google.com/search?newwindow=1&amp;ei=2MT0XrvGGM-vytMP1OyDgAY&amp;q=site%3Alinkedin.com+Deborah+Leach+Director,+Medical+Student+Programs</t>
  </si>
  <si>
    <t>Deborah Leach</t>
  </si>
  <si>
    <t>Director, Medical Student Programs</t>
  </si>
  <si>
    <t>Eastern Health Clinical School</t>
  </si>
  <si>
    <t>Southbank</t>
  </si>
  <si>
    <t>https://www.google.com/search?newwindow=1&amp;ei=2MT0XrvGGM-vytMP1OyDgAY&amp;q=site%3Alinkedin.com+Anja+Roberts+Student+Equity+Programs+Officer/+Career+Development+Practitioner</t>
  </si>
  <si>
    <t>Anja Roberts</t>
  </si>
  <si>
    <t>Student Equity Programs Officer/ Career Development Practitioner</t>
  </si>
  <si>
    <t>Southport</t>
  </si>
  <si>
    <t>https://www.google.com/search?newwindow=1&amp;ei=2MT0XrvGGM-vytMP1OyDgAY&amp;q=site%3Alinkedin.com+Janet+Bachtel+Campus+Manager+-+University+Relations+&amp;+Recruiting</t>
  </si>
  <si>
    <t>https://www.google.com/search?newwindow=1&amp;ei=2MT0XrvGGM-vytMP1OyDgAY&amp;q=site%3Alinkedin.com+Emily+Holden+Master+of+Science+Student</t>
  </si>
  <si>
    <t>Emily Holden</t>
  </si>
  <si>
    <t>Master of Science Student</t>
  </si>
  <si>
    <t>Spruce Grove</t>
  </si>
  <si>
    <t>https://www.google.com/search?newwindow=1&amp;ei=2MT0XrvGGM-vytMP1OyDgAY&amp;q=site%3Alinkedin.com+Maria+Jose+Ledesma+Cardenas+International+Student+Recruiter</t>
  </si>
  <si>
    <t>Maria Jose Ledesma Cardenas</t>
  </si>
  <si>
    <t>English Learning Canada</t>
  </si>
  <si>
    <t>St Catharines</t>
  </si>
  <si>
    <t>https://www.google.com/search?newwindow=1&amp;ei=2MT0XrvGGM-vytMP1OyDgAY&amp;q=site%3Alinkedin.com+Kent+Whitten+Co-op+Student,+Academic+Programs+Office</t>
  </si>
  <si>
    <t>Kent Whitten</t>
  </si>
  <si>
    <t>Co-op Student, Academic Programs Office</t>
  </si>
  <si>
    <t>Faculty of Business Administration at Memorial University of Newfoundland</t>
  </si>
  <si>
    <t>St John’s</t>
  </si>
  <si>
    <t>https://www.google.com/search?newwindow=1&amp;ei=2MT0XrvGGM-vytMP1OyDgAY&amp;q=site%3Alinkedin.com+Carmel+Doyle+Bishop+Mullock+Chair+of+Roman+Catholic+Studies+and+Director+of+Student+Programs</t>
  </si>
  <si>
    <t>Carmel Doyle</t>
  </si>
  <si>
    <t>Bishop Mullock Chair of Roman Catholic Studies and Director of Student Programs</t>
  </si>
  <si>
    <t>Queen's College</t>
  </si>
  <si>
    <t>https://www.google.com/search?newwindow=1&amp;ei=2MT0XrvGGM-vytMP1OyDgAY&amp;q=site%3Alinkedin.com+Jody+Rotchford+Student+Recruiter+for+the+Faculty+of+Engineering+and+Applied+Sciences</t>
  </si>
  <si>
    <t>Jody Rotchford</t>
  </si>
  <si>
    <t>Student Recruiter for the Faculty of Engineering and Applied Sciences</t>
  </si>
  <si>
    <t>Memorial University of Newfoundland</t>
  </si>
  <si>
    <t>https://www.google.com/search?newwindow=1&amp;ei=2MT0XrvGGM-vytMP1OyDgAY&amp;q=site%3Alinkedin.com+Kelly+James+Campus+Recruiting+Specialist</t>
  </si>
  <si>
    <t>Kelly James</t>
  </si>
  <si>
    <t>https://www.google.com/search?newwindow=1&amp;ei=2MT0XrvGGM-vytMP1OyDgAY&amp;q=site%3Alinkedin.com+Holly+Hoette+Assistant+Director+-+Campus+Recruiting</t>
  </si>
  <si>
    <t>Holly Hoette</t>
  </si>
  <si>
    <t>https://www.google.com/search?newwindow=1&amp;ei=2MT0XrvGGM-vytMP1OyDgAY&amp;q=site%3Alinkedin.com+Ashley+Josephson+Campus+Recruiting+Manager+-+Consulting</t>
  </si>
  <si>
    <t>https://www.google.com/search?newwindow=1&amp;ei=2MT0XrvGGM-vytMP1OyDgAY&amp;q=site%3Alinkedin.com+Katy+Williams+Graduate+Recruiter</t>
  </si>
  <si>
    <t>Katy Williams</t>
  </si>
  <si>
    <t>Sellafield Ltd</t>
  </si>
  <si>
    <t>St. Bees</t>
  </si>
  <si>
    <t>https://www.google.com/search?newwindow=1&amp;ei=2MT0XrvGGM-vytMP1OyDgAY&amp;q=site%3Alinkedin.com+Raza+Shah+Student+Recruiter</t>
  </si>
  <si>
    <t>Raza Shah</t>
  </si>
  <si>
    <t>Canadian College of Naturopathic Medicine</t>
  </si>
  <si>
    <t>St. Jacobs</t>
  </si>
  <si>
    <t>https://www.google.com/search?newwindow=1&amp;ei=2MT0XrvGGM-vytMP1OyDgAY&amp;q=site%3Alinkedin.com+Jim+Sheridan+Managing+Director,+Global+Head+of+Tech+Campus+Recruiting</t>
  </si>
  <si>
    <t>Jim Sheridan</t>
  </si>
  <si>
    <t>Managing Director, Global Head of Tech Campus Recruiting</t>
  </si>
  <si>
    <t>https://www.google.com/search?newwindow=1&amp;ei=2MT0XrvGGM-vytMP1OyDgAY&amp;q=site%3Alinkedin.com+Kimberly+Czarnecki+Assistant+Director,+Campus+Recruiting</t>
  </si>
  <si>
    <t>Kimberly Czarnecki</t>
  </si>
  <si>
    <t>https://www.google.com/search?newwindow=1&amp;ei=2MT0XrvGGM-vytMP1OyDgAY&amp;q=site%3Alinkedin.com+Caitlin+Toohey+Associate+Director,+Campus+Recruiting</t>
  </si>
  <si>
    <t>Caitlin Toohey</t>
  </si>
  <si>
    <t>https://www.google.com/search?newwindow=1&amp;ei=2MT0XrvGGM-vytMP1OyDgAY&amp;q=site%3Alinkedin.com+Lynda+Jackson+Apprenticeship+and+Graduate+Recruitment+Manager</t>
  </si>
  <si>
    <t>Lynda Jackson</t>
  </si>
  <si>
    <t>Apprenticeship and Graduate Recruitment Manager</t>
  </si>
  <si>
    <t>Tesco Plc</t>
  </si>
  <si>
    <t>Stevenage</t>
  </si>
  <si>
    <t>https://www.google.com/search?newwindow=1&amp;ei=2MT0XrvGGM-vytMP1OyDgAY&amp;q=site%3Alinkedin.com+Olivia+Jaworski+Programs+Officer</t>
  </si>
  <si>
    <t>Olivia Jaworski</t>
  </si>
  <si>
    <t>Florida State University</t>
  </si>
  <si>
    <t>https://www.google.com/search?newwindow=1&amp;ei=2MT0XrvGGM-vytMP1OyDgAY&amp;q=site%3Alinkedin.com+John+Hopkinson+Graduate+Recruiter</t>
  </si>
  <si>
    <t>John Hopkinson</t>
  </si>
  <si>
    <t>Royal Bank of Scotland</t>
  </si>
  <si>
    <t>Stockport</t>
  </si>
  <si>
    <t>https://www.google.com/search?newwindow=1&amp;ei=2MT0XrvGGM-vytMP1OyDgAY&amp;q=site%3Alinkedin.com+Marsha+Smith+PA+to+Director+of+Global+Student+Recruitment+&amp;+Admissions,+at+Keele+University</t>
  </si>
  <si>
    <t>Marsha Smith</t>
  </si>
  <si>
    <t>PA to Director of Global Student Recruitment &amp; Admissions, at Keele University</t>
  </si>
  <si>
    <t>Keele University</t>
  </si>
  <si>
    <t>Stoke-on-Trent</t>
  </si>
  <si>
    <t>https://www.google.com/search?newwindow=1&amp;ei=2MT0XrvGGM-vytMP1OyDgAY&amp;q=site%3Alinkedin.com+Ramone+Davis+International+Student+Recruiter</t>
  </si>
  <si>
    <t>Ramone Davis</t>
  </si>
  <si>
    <t>RDA Recruitment (Ramone Davis Academic Recruitment)</t>
  </si>
  <si>
    <t>Sudbury</t>
  </si>
  <si>
    <t>https://www.google.com/search?newwindow=1&amp;ei=2MT0XrvGGM-vytMP1OyDgAY&amp;q=site%3Alinkedin.com+Jennifer+Sullivan+Senior+Manager,+National+Technology+Campus+Recruiting+Leader</t>
  </si>
  <si>
    <t>https://www.google.com/search?newwindow=1&amp;ei=2MT0XrvGGM-vytMP1OyDgAY&amp;q=site%3Alinkedin.com+Daorbhla+Smyth+Programmatic+Hiring+Recruiter</t>
  </si>
  <si>
    <t>Daorbhla Smyth</t>
  </si>
  <si>
    <t>Programmatic Hiring Recruiter</t>
  </si>
  <si>
    <t>BP</t>
  </si>
  <si>
    <t>Sunbury</t>
  </si>
  <si>
    <t>https://www.google.com/search?newwindow=1&amp;ei=2MT0XrvGGM-vytMP1OyDgAY&amp;q=site%3Alinkedin.com+Lorna+Todd+University+Recruiter</t>
  </si>
  <si>
    <t>Lorna Todd</t>
  </si>
  <si>
    <t>PREMIER TEACHERS LTD</t>
  </si>
  <si>
    <t>Sunderland</t>
  </si>
  <si>
    <t>https://www.google.com/search?newwindow=1&amp;ei=2MT0XrvGGM-vytMP1OyDgAY&amp;q=site%3Alinkedin.com+Anthea+Ip+Lead,+Campus+Recruiting+Data+Pod,+Senior+Technical+Recruiter</t>
  </si>
  <si>
    <t>https://www.google.com/search?newwindow=1&amp;ei=2MT0XrvGGM-vytMP1OyDgAY&amp;q=site%3Alinkedin.com+Nathalie+Zamora+(She/Her)+Senior+Events+Program+Manager+|+Global+Programs+&amp;+Events+|+Campus+Recruiting+|+Talent+Acquisition</t>
  </si>
  <si>
    <t>Nathalie Zamora (She/Her)</t>
  </si>
  <si>
    <t>Senior Events Program Manager | Global Programs &amp; Events | Campus Recruiting | Talent Acquisition</t>
  </si>
  <si>
    <t>https://www.google.com/search?newwindow=1&amp;ei=2MT0XrvGGM-vytMP1OyDgAY&amp;q=site%3Alinkedin.com+Michelle+Tri+College+Recruiter</t>
  </si>
  <si>
    <t>Michelle Tri</t>
  </si>
  <si>
    <t>Surrey</t>
  </si>
  <si>
    <t>https://www.google.com/search?newwindow=1&amp;ei=2MT0XrvGGM-vytMP1OyDgAY&amp;q=site%3Alinkedin.com+Dharm+Joshi+Director+Masters+Programs</t>
  </si>
  <si>
    <t>Dharm Joshi</t>
  </si>
  <si>
    <t>Director Masters Programs</t>
  </si>
  <si>
    <t>UBC Sauder School of Business</t>
  </si>
  <si>
    <t>https://www.google.com/search?newwindow=1&amp;ei=2MT0XrvGGM-vytMP1OyDgAY&amp;q=site%3Alinkedin.com+Haolun+Tang+HR+Campus+Recruiter</t>
  </si>
  <si>
    <t>Haolun Tang</t>
  </si>
  <si>
    <t>西门子</t>
  </si>
  <si>
    <t>https://www.google.com/search?newwindow=1&amp;ei=2MT0XrvGGM-vytMP1OyDgAY&amp;q=site%3Alinkedin.com+Joe+Harrison+Programs+Assistant</t>
  </si>
  <si>
    <t>Joe Harrison</t>
  </si>
  <si>
    <t>Programs Assistant</t>
  </si>
  <si>
    <t>Surrey Hills</t>
  </si>
  <si>
    <t>https://www.google.com/search?newwindow=1&amp;ei=2MT0XrvGGM-vytMP1OyDgAY&amp;q=site%3Alinkedin.com+Zuli+Posada+Senior+Campus+Recruiter</t>
  </si>
  <si>
    <t>Zuli Posada</t>
  </si>
  <si>
    <t>Atlassian</t>
  </si>
  <si>
    <t>https://www.google.com/search?newwindow=1&amp;ei=2MT0XrvGGM-vytMP1OyDgAY&amp;q=site%3Alinkedin.com+Rachel+Ding+Principal+Campus+Recruiter</t>
  </si>
  <si>
    <t>Rachel Ding</t>
  </si>
  <si>
    <t>Principal Campus Recruiter</t>
  </si>
  <si>
    <t>https://www.google.com/search?newwindow=1&amp;ei=2MT0XrvGGM-vytMP1OyDgAY&amp;q=site%3Alinkedin.com+Brianna+Durso+Campus+Recruiter+ANZ+&amp;+APAC+University+Relations+Specialist</t>
  </si>
  <si>
    <t>Brianna Durso</t>
  </si>
  <si>
    <t>Campus Recruiter ANZ &amp; APAC University Relations Specialist</t>
  </si>
  <si>
    <t>https://www.google.com/search?newwindow=1&amp;ei=2MT0XrvGGM-vytMP1OyDgAY&amp;q=site%3Alinkedin.com+Catherine+Tsiakoulas+Graduate+Recruitment+and+University+Partnerships+Consultant</t>
  </si>
  <si>
    <t>Catherine Tsiakoulas</t>
  </si>
  <si>
    <t>https://www.google.com/search?newwindow=1&amp;ei=2MT0XrvGGM-vytMP1OyDgAY&amp;q=site%3Alinkedin.com+Kym+Freedman+Campus+Recruiting</t>
  </si>
  <si>
    <t>Kym Freedman</t>
  </si>
  <si>
    <t>Susquehanna International Group, LLP (SIG)</t>
  </si>
  <si>
    <t>https://www.google.com/search?newwindow=1&amp;ei=2MT0XrvGGM-vytMP1OyDgAY&amp;q=site%3Alinkedin.com+Harriet+Hetherton+Campus+Recruiter+-+Senior+Consultant</t>
  </si>
  <si>
    <t>Harriet Hetherton</t>
  </si>
  <si>
    <t>Campus Recruiter - Senior Consultant</t>
  </si>
  <si>
    <t>https://www.google.com/search?newwindow=1&amp;ei=2MT0XrvGGM-vytMP1OyDgAY&amp;q=site%3Alinkedin.com+Gemma+Bowles+Graduate+Recruiter,+APAC</t>
  </si>
  <si>
    <t>Gemma Bowles</t>
  </si>
  <si>
    <t>Graduate Recruiter, APAC</t>
  </si>
  <si>
    <t>https://www.google.com/search?newwindow=1&amp;ei=2MT0XrvGGM-vytMP1OyDgAY&amp;q=site%3Alinkedin.com+Sairah+Hamid+Campus+Recruiter</t>
  </si>
  <si>
    <t>Sairah Hamid</t>
  </si>
  <si>
    <t>Optiver Asia Pacific</t>
  </si>
  <si>
    <t>https://www.google.com/search?newwindow=1&amp;ei=2MT0XrvGGM-vytMP1OyDgAY&amp;q=site%3Alinkedin.com+Caitlin+Hargraves+Graduate+Recruitment+and+University+Partnerships</t>
  </si>
  <si>
    <t>Caitlin Hargraves</t>
  </si>
  <si>
    <t>https://www.google.com/search?newwindow=1&amp;ei=2MT0XrvGGM-vytMP1OyDgAY&amp;q=site%3Alinkedin.com+Sarah+Lisle+Lead,+Student+Programs+(International)</t>
  </si>
  <si>
    <t>Sarah Lisle</t>
  </si>
  <si>
    <t>Lead, Student Programs (International)</t>
  </si>
  <si>
    <t>University of Wollongong</t>
  </si>
  <si>
    <t>https://www.google.com/search?newwindow=1&amp;ei=2MT0XrvGGM-vytMP1OyDgAY&amp;q=site%3Alinkedin.com+Celina+Gonzales+Senior+Graduate+Recruitment+and+University+Partnerships+Consultant</t>
  </si>
  <si>
    <t>Celina Gonzales</t>
  </si>
  <si>
    <t>Senior Graduate Recruitment and University Partnerships Consultant</t>
  </si>
  <si>
    <t>https://www.google.com/search?newwindow=1&amp;ei=2MT0XrvGGM-vytMP1OyDgAY&amp;q=site%3Alinkedin.com+Asmaa+Zahid+ANZ+Campus+Recruiting</t>
  </si>
  <si>
    <t>Asmaa Zahid</t>
  </si>
  <si>
    <t>ANZ Campus Recruiting</t>
  </si>
  <si>
    <t>https://www.google.com/search?newwindow=1&amp;ei=2MT0XrvGGM-vytMP1OyDgAY&amp;q=site%3Alinkedin.com+Emily+Cooper+Campus+Recruiter+-+Senior+Consultant</t>
  </si>
  <si>
    <t>Emily Cooper</t>
  </si>
  <si>
    <t>https://www.google.com/search?newwindow=1&amp;ei=2MT0XrvGGM-vytMP1OyDgAY&amp;q=site%3Alinkedin.com+Ngaire+Young+Manager+Programs+&amp;+Projects,+Student+Services</t>
  </si>
  <si>
    <t>Ngaire Young</t>
  </si>
  <si>
    <t>Manager Programs &amp; Projects, Student Services</t>
  </si>
  <si>
    <t>https://www.google.com/search?newwindow=1&amp;ei=2MT0XrvGGM-vytMP1OyDgAY&amp;q=site%3Alinkedin.com+Kalani+Dantanarayana+University+Talent+Recruiter</t>
  </si>
  <si>
    <t>Kalani Dantanarayana</t>
  </si>
  <si>
    <t>University Talent Recruiter</t>
  </si>
  <si>
    <t>https://www.google.com/search?newwindow=1&amp;ei=2MT0XrvGGM-vytMP1OyDgAY&amp;q=site%3Alinkedin.com+Yi+Ting+Wong+Graduate+Recruiter+&amp;+Graduate+Experience+Lead</t>
  </si>
  <si>
    <t>Yi Ting Wong</t>
  </si>
  <si>
    <t>Graduate Recruiter &amp; Graduate Experience Lead</t>
  </si>
  <si>
    <t>https://www.google.com/search?newwindow=1&amp;ei=2MT0XrvGGM-vytMP1OyDgAY&amp;q=site%3Alinkedin.com+Stephanie+Archer+Senior+Campus+Recruiter,+Early+Career+Talent</t>
  </si>
  <si>
    <t>Stephanie Archer</t>
  </si>
  <si>
    <t>Senior Campus Recruiter, Early Career Talent</t>
  </si>
  <si>
    <t>https://www.google.com/search?newwindow=1&amp;ei=2MT0XrvGGM-vytMP1OyDgAY&amp;q=site%3Alinkedin.com+Adele+Charlton+University+Recruitment+Manager+-+South+East+Asia+and+Australia+and+New+Zealand</t>
  </si>
  <si>
    <t>Adele Charlton</t>
  </si>
  <si>
    <t>University Recruitment Manager - South East Asia and Australia and New Zealand</t>
  </si>
  <si>
    <t>https://www.google.com/search?newwindow=1&amp;ei=2MT0XrvGGM-vytMP1OyDgAY&amp;q=site%3Alinkedin.com+Liza+Rodger+Director+(acting)+Student+Recruitment+Division</t>
  </si>
  <si>
    <t>Liza Rodger</t>
  </si>
  <si>
    <t>Director (acting) Student Recruitment Division</t>
  </si>
  <si>
    <t>https://www.google.com/search?newwindow=1&amp;ei=2MT0XrvGGM-vytMP1OyDgAY&amp;q=site%3Alinkedin.com+Charmaine+Lau+International+Programs+Assistant+and+Student+Activities+Officer</t>
  </si>
  <si>
    <t>Charmaine Lau</t>
  </si>
  <si>
    <t>International Programs Assistant and Student Activities Officer</t>
  </si>
  <si>
    <t>University of Sydney Union (USU)</t>
  </si>
  <si>
    <t>https://www.google.com/search?newwindow=1&amp;ei=2MT0XrvGGM-vytMP1OyDgAY&amp;q=site%3Alinkedin.com+Dan+Lacey+Senior+Recruiting+Manager,+Sydney+Campus+Programs</t>
  </si>
  <si>
    <t>Dan Lacey</t>
  </si>
  <si>
    <t>Senior Recruiting Manager, Sydney Campus Programs</t>
  </si>
  <si>
    <t>https://www.google.com/search?newwindow=1&amp;ei=2MT0XrvGGM-vytMP1OyDgAY&amp;q=site%3Alinkedin.com+Montana+Middleton+Student+Engagement+Programs+Coordinator</t>
  </si>
  <si>
    <t>Montana Middleton</t>
  </si>
  <si>
    <t>UNSW</t>
  </si>
  <si>
    <t>https://www.google.com/search?newwindow=1&amp;ei=2MT0XrvGGM-vytMP1OyDgAY&amp;q=site%3Alinkedin.com+Sophie+(Marie)+Imbert,+MBA,+CCXP,+FCXP+(CX-I),+SA+Programs+Manager+-+Student+Services+Branch</t>
  </si>
  <si>
    <t>Sophie (Marie) Imbert, MBA, CCXP, FCXP (CX-I), SA</t>
  </si>
  <si>
    <t>Programs Manager - Student Services Branch</t>
  </si>
  <si>
    <t>https://www.google.com/search?newwindow=1&amp;ei=2MT0XrvGGM-vytMP1OyDgAY&amp;q=site%3Alinkedin.com+Jennifer+Monis+Campus+Recruiter</t>
  </si>
  <si>
    <t>Jennifer Monis</t>
  </si>
  <si>
    <t>Cochlear</t>
  </si>
  <si>
    <t>https://www.google.com/search?newwindow=1&amp;ei=2MT0XrvGGM-vytMP1OyDgAY&amp;q=site%3Alinkedin.com+John+Tran+Student+Equity+Programs+Officer</t>
  </si>
  <si>
    <t>John Tran</t>
  </si>
  <si>
    <t>Student Equity Programs Officer</t>
  </si>
  <si>
    <t>University of Technology Sydney</t>
  </si>
  <si>
    <t>https://www.google.com/search?newwindow=1&amp;ei=2MT0XrvGGM-vytMP1OyDgAY&amp;q=site%3Alinkedin.com+Madelene+Wicht+Coordinator+of+Indigenous+Student+Programs</t>
  </si>
  <si>
    <t>Madelene Wicht</t>
  </si>
  <si>
    <t>Coordinator of Indigenous Student Programs</t>
  </si>
  <si>
    <t>Barker College</t>
  </si>
  <si>
    <t>https://www.google.com/search?newwindow=1&amp;ei=2MT0XrvGGM-vytMP1OyDgAY&amp;q=site%3Alinkedin.com+Crystal+McLoughlin+Student+Programs+Coordinator</t>
  </si>
  <si>
    <t>Crystal McLoughlin</t>
  </si>
  <si>
    <t>https://www.google.com/search?newwindow=1&amp;ei=2MT0XrvGGM-vytMP1OyDgAY&amp;q=site%3Alinkedin.com+Geraldine+McNulty+National+Coordinator+Student+Programs</t>
  </si>
  <si>
    <t>Geraldine McNulty</t>
  </si>
  <si>
    <t>Australian Catholic University</t>
  </si>
  <si>
    <t>https://www.google.com/search?newwindow=1&amp;ei=2MT0XrvGGM-vytMP1OyDgAY&amp;q=site%3Alinkedin.com+Yara+(Yaroslava)+Vasina+Manager,+Global+Short+Programs+(Outbound+Student+Mobility)</t>
  </si>
  <si>
    <t>Yara (Yaroslava) Vasina</t>
  </si>
  <si>
    <t>Manager, Global Short Programs (Outbound Student Mobility)</t>
  </si>
  <si>
    <t>https://www.google.com/search?newwindow=1&amp;ei=2MT0XrvGGM-vytMP1OyDgAY&amp;q=site%3Alinkedin.com+Tilly+Lim+University+Recruitment+Specialist+-+ANZ+&amp;+SE+Asia</t>
  </si>
  <si>
    <t>Tilly Lim</t>
  </si>
  <si>
    <t>University Recruitment Specialist - ANZ &amp; SE Asia</t>
  </si>
  <si>
    <t>https://www.google.com/search?newwindow=1&amp;ei=2MT0XrvGGM-vytMP1OyDgAY&amp;q=site%3Alinkedin.com+Emily+K.+International+Programs+Assistant</t>
  </si>
  <si>
    <t>Emily K.</t>
  </si>
  <si>
    <t>International Programs Assistant</t>
  </si>
  <si>
    <t>https://www.google.com/search?newwindow=1&amp;ei=2MT0XrvGGM-vytMP1OyDgAY&amp;q=site%3Alinkedin.com+Xinru+Yu+University+Tutor+(Casual)</t>
  </si>
  <si>
    <t>Xinru Yu</t>
  </si>
  <si>
    <t>University Tutor (Casual)</t>
  </si>
  <si>
    <t>https://www.google.com/search?newwindow=1&amp;ei=2MT0XrvGGM-vytMP1OyDgAY&amp;q=site%3Alinkedin.com+Elly+G.+International+Student+Recruiter</t>
  </si>
  <si>
    <t>Elly G.</t>
  </si>
  <si>
    <t>Guangzhou IELTS Centre</t>
  </si>
  <si>
    <t>19 years 3 months in role and company</t>
  </si>
  <si>
    <t>https://www.google.com/search?newwindow=1&amp;ei=2MT0XrvGGM-vytMP1OyDgAY&amp;q=site%3Alinkedin.com+Jenny+Rickard+Recruitment+Consultant+(Undergraduate)</t>
  </si>
  <si>
    <t>Jenny Rickard</t>
  </si>
  <si>
    <t>Recruitment Consultant (Undergraduate)</t>
  </si>
  <si>
    <t>Macquarie University</t>
  </si>
  <si>
    <t>https://www.google.com/search?newwindow=1&amp;ei=2MT0XrvGGM-vytMP1OyDgAY&amp;q=site%3Alinkedin.com+Madhav+Raman+Student+Ambassador+-+Health+Promotion+Unit</t>
  </si>
  <si>
    <t>Madhav Raman</t>
  </si>
  <si>
    <t>Student Ambassador - Health Promotion Unit</t>
  </si>
  <si>
    <t>https://www.google.com/search?newwindow=1&amp;ei=2MT0XrvGGM-vytMP1OyDgAY&amp;q=site%3Alinkedin.com+Louise+Johnston+Academic+Coordinator+for+Student+Programs</t>
  </si>
  <si>
    <t>Louise Johnston</t>
  </si>
  <si>
    <t>Academic Coordinator for Student Programs</t>
  </si>
  <si>
    <t>The University Of Notre Dame</t>
  </si>
  <si>
    <t>https://www.google.com/search?newwindow=1&amp;ei=2MT0XrvGGM-vytMP1OyDgAY&amp;q=site%3Alinkedin.com+Michael+Ormsby+Team+Lead,+Student+Development+Programs</t>
  </si>
  <si>
    <t>Michael Ormsby</t>
  </si>
  <si>
    <t>Team Lead, Student Development Programs</t>
  </si>
  <si>
    <t>https://www.google.com/search?newwindow=1&amp;ei=2MT0XrvGGM-vytMP1OyDgAY&amp;q=site%3Alinkedin.com+Perry+Thurston+Vice+President,+Campus+Recruiting</t>
  </si>
  <si>
    <t>Perry Thurston</t>
  </si>
  <si>
    <t>https://www.google.com/search?newwindow=1&amp;ei=2MT0XrvGGM-vytMP1OyDgAY&amp;q=site%3Alinkedin.com+Margaret+Borger+A/g+Head+of+Student+Wellbeing</t>
  </si>
  <si>
    <t>Margaret Borger</t>
  </si>
  <si>
    <t>A/g Head of Student Wellbeing</t>
  </si>
  <si>
    <t>International Grammar School</t>
  </si>
  <si>
    <t>https://www.google.com/search?newwindow=1&amp;ei=2MT0XrvGGM-vytMP1OyDgAY&amp;q=site%3Alinkedin.com+Julie+Dodd+A/Operational+Coordinator,+Student+Programs</t>
  </si>
  <si>
    <t>Julie Dodd</t>
  </si>
  <si>
    <t>A/Operational Coordinator, Student Programs</t>
  </si>
  <si>
    <t>NSW Justice Health &amp; Forensic Mental Health Network</t>
  </si>
  <si>
    <t>https://www.google.com/search?newwindow=1&amp;ei=2MT0XrvGGM-vytMP1OyDgAY&amp;q=site%3Alinkedin.com+Louise+Gage+Product+Owner+-+Family+and+Student+value+stream</t>
  </si>
  <si>
    <t>Louise Gage</t>
  </si>
  <si>
    <t>Product Owner - Family and Student value stream</t>
  </si>
  <si>
    <t>The Smith Family</t>
  </si>
  <si>
    <t>https://www.google.com/search?newwindow=1&amp;ei=2MT0XrvGGM-vytMP1OyDgAY&amp;q=site%3Alinkedin.com+Vicki+Tyrrell+Student+Programs+Assistant,</t>
  </si>
  <si>
    <t>Vicki Tyrrell</t>
  </si>
  <si>
    <t>Student Programs Assistant,</t>
  </si>
  <si>
    <t>UTS: University of Technology, Sydney</t>
  </si>
  <si>
    <t>https://www.google.com/search?newwindow=1&amp;ei=2MT0XrvGGM-vytMP1OyDgAY&amp;q=site%3Alinkedin.com+Daniel+Smith+Student+Experience+Programs+Coordinator</t>
  </si>
  <si>
    <t>Daniel Smith</t>
  </si>
  <si>
    <t>Student Experience Programs Coordinator</t>
  </si>
  <si>
    <t>The University of Sydney Business School</t>
  </si>
  <si>
    <t>https://www.google.com/search?newwindow=1&amp;ei=2MT0XrvGGM-vytMP1OyDgAY&amp;q=site%3Alinkedin.com+Jillian+Black+Student+Programs+Manager</t>
  </si>
  <si>
    <t>Jillian Black</t>
  </si>
  <si>
    <t>Student Programs Manager</t>
  </si>
  <si>
    <t>National Disability Services</t>
  </si>
  <si>
    <t>https://www.google.com/search?newwindow=1&amp;ei=2MT0XrvGGM-vytMP1OyDgAY&amp;q=site%3Alinkedin.com+Akita+Sanchez+International+Student+Recruitment+Officer+at+The+University+of+Notre+Dame+Australia</t>
  </si>
  <si>
    <t>Akita Sanchez</t>
  </si>
  <si>
    <t>International Student Recruitment Officer at The University of Notre Dame Australia</t>
  </si>
  <si>
    <t>The University of Notre Dame Australia</t>
  </si>
  <si>
    <t>https://www.google.com/search?newwindow=1&amp;ei=2MT0XrvGGM-vytMP1OyDgAY&amp;q=site%3Alinkedin.com+Kimberley+Hammerton+International+Programs+Unit</t>
  </si>
  <si>
    <t>Kimberley Hammerton</t>
  </si>
  <si>
    <t>International Programs Unit</t>
  </si>
  <si>
    <t>Federal Court of Australia</t>
  </si>
  <si>
    <t>https://www.google.com/search?newwindow=1&amp;ei=2MT0XrvGGM-vytMP1OyDgAY&amp;q=site%3Alinkedin.com+Rachel+Coventry+Student+Programs+Assistant</t>
  </si>
  <si>
    <t>Rachel Coventry</t>
  </si>
  <si>
    <t>Student Programs Assistant</t>
  </si>
  <si>
    <t>UTS Faculty of Law</t>
  </si>
  <si>
    <t>https://www.google.com/search?newwindow=1&amp;ei=2MT0XrvGGM-vytMP1OyDgAY&amp;q=site%3Alinkedin.com+Jefferson+Ian+Student+Music+Programs+Officer+(K-8)</t>
  </si>
  <si>
    <t>Jefferson Ian</t>
  </si>
  <si>
    <t>Student Music Programs Officer (K-8)</t>
  </si>
  <si>
    <t>https://www.google.com/search?newwindow=1&amp;ei=2MT0XrvGGM-vytMP1OyDgAY&amp;q=site%3Alinkedin.com+Matthew+Durie+Director+Student+Recruitment+Charles+Sturt+University+Study+Centres</t>
  </si>
  <si>
    <t>Matthew Durie</t>
  </si>
  <si>
    <t>Director Student Recruitment Charles Sturt University Study Centres</t>
  </si>
  <si>
    <t>Study Group Australia</t>
  </si>
  <si>
    <t>https://www.google.com/search?newwindow=1&amp;ei=2MT0XrvGGM-vytMP1OyDgAY&amp;q=site%3Alinkedin.com+Franziska+Konschak+Programs+Manager+Student+Education+&amp;+Executive+Assistant+(CPC)</t>
  </si>
  <si>
    <t>Franziska Konschak</t>
  </si>
  <si>
    <t>Programs Manager Student Education &amp; Executive Assistant (CPC)</t>
  </si>
  <si>
    <t>The Heart Research Institute (HRI)</t>
  </si>
  <si>
    <t>https://www.google.com/search?newwindow=1&amp;ei=2MT0XrvGGM-vytMP1OyDgAY&amp;q=site%3Alinkedin.com+Sameeuddin+Mohammed+Technical+Recruiter</t>
  </si>
  <si>
    <t>Sameeuddin Mohammed</t>
  </si>
  <si>
    <t>Feltronz Consultancy Services</t>
  </si>
  <si>
    <t>https://www.google.com/search?newwindow=1&amp;ei=2MT0XrvGGM-vytMP1OyDgAY&amp;q=site%3Alinkedin.com+Aimee+Vincent+Work+placement+student+-+Social+Programs+and+Services</t>
  </si>
  <si>
    <t>Aimee Vincent</t>
  </si>
  <si>
    <t>Work placement student - Social Programs and Services</t>
  </si>
  <si>
    <t>Redfern Community Centre</t>
  </si>
  <si>
    <t>https://www.google.com/search?newwindow=1&amp;ei=2MT0XrvGGM-vytMP1OyDgAY&amp;q=site%3Alinkedin.com+Novi+Sugiarto+Student+Programs+Assistant</t>
  </si>
  <si>
    <t>Novi Sugiarto</t>
  </si>
  <si>
    <t>https://www.google.com/search?newwindow=1&amp;ei=2MT0XrvGGM-vytMP1OyDgAY&amp;q=site%3Alinkedin.com+Elizabeth+Dlugon+Student+Programs+Coordinator</t>
  </si>
  <si>
    <t>Elizabeth Dlugon</t>
  </si>
  <si>
    <t>University of Western Sydney</t>
  </si>
  <si>
    <t>https://www.google.com/search?newwindow=1&amp;ei=2MT0XrvGGM-vytMP1OyDgAY&amp;q=site%3Alinkedin.com+Davies+Michelle+Student+Support+Coordinator+Disability+Programs</t>
  </si>
  <si>
    <t>Davies Michelle</t>
  </si>
  <si>
    <t>Student Support Coordinator Disability Programs</t>
  </si>
  <si>
    <t>https://www.google.com/search?newwindow=1&amp;ei=2MT0XrvGGM-vytMP1OyDgAY&amp;q=site%3Alinkedin.com+Lorraine+Walker+State+Coordinator+-+Student+Welfare+Programs</t>
  </si>
  <si>
    <t>Lorraine Walker</t>
  </si>
  <si>
    <t>State Coordinator - Student Welfare Programs</t>
  </si>
  <si>
    <t>Catholic Education Commission NSW</t>
  </si>
  <si>
    <t>https://www.google.com/search?newwindow=1&amp;ei=2MT0XrvGGM-vytMP1OyDgAY&amp;q=site%3Alinkedin.com+Della+AN+Student+Recruiter</t>
  </si>
  <si>
    <t>Della AN</t>
  </si>
  <si>
    <t>Abbey Clollege</t>
  </si>
  <si>
    <t>https://www.google.com/search?newwindow=1&amp;ei=2MT0XrvGGM-vytMP1OyDgAY&amp;q=site%3Alinkedin.com+Tracey+A.+Assistant+Manager+Vocational+Programs</t>
  </si>
  <si>
    <t>Tracey A.</t>
  </si>
  <si>
    <t>Assistant Manager Vocational Programs</t>
  </si>
  <si>
    <t>UOW College</t>
  </si>
  <si>
    <t>https://www.google.com/search?newwindow=1&amp;ei=2MT0XrvGGM-vytMP1OyDgAY&amp;q=site%3Alinkedin.com+Me+Y.+Campus+Recruiting+Manager</t>
  </si>
  <si>
    <t>Me Y.</t>
  </si>
  <si>
    <t>The University of Adelaide College</t>
  </si>
  <si>
    <t>https://www.google.com/search?newwindow=1&amp;ei=2MT0XrvGGM-vytMP1OyDgAY&amp;q=site%3Alinkedin.com+Laura+Summers,+CPA+Senior+Associate,+Campus+Recruiting+at+KPMG+US</t>
  </si>
  <si>
    <t>Laura Summers, CPA</t>
  </si>
  <si>
    <t>Senior Associate, Campus Recruiting at KPMG US</t>
  </si>
  <si>
    <t>https://www.google.com/search?newwindow=1&amp;ei=2MT0XrvGGM-vytMP1OyDgAY&amp;q=site%3Alinkedin.com+Jefferson+Johnson+Assistant+Director+-+Campus+Recruiting</t>
  </si>
  <si>
    <t>Jefferson Johnson</t>
  </si>
  <si>
    <t>https://www.google.com/search?newwindow=1&amp;ei=2MT0XrvGGM-vytMP1OyDgAY&amp;q=site%3Alinkedin.com+Rebecca+Goldsmith+Overseas,+Graduate+and+Farm+Vet+Recruiter</t>
  </si>
  <si>
    <t>Rebecca Goldsmith</t>
  </si>
  <si>
    <t>Overseas, Graduate and Farm Vet Recruiter</t>
  </si>
  <si>
    <t>CVS Group Plc</t>
  </si>
  <si>
    <t>Taunton</t>
  </si>
  <si>
    <t>https://www.google.com/search?newwindow=1&amp;ei=2MT0XrvGGM-vytMP1OyDgAY&amp;q=site%3Alinkedin.com+Catherine+Guilbault,+CRHA+Talent+Aquisition+Student+&amp;+Special+Programs+Manager</t>
  </si>
  <si>
    <t>Catherine Guilbault, CRHA</t>
  </si>
  <si>
    <t>Talent Aquisition Student &amp; Special Programs Manager</t>
  </si>
  <si>
    <t>Air Canada</t>
  </si>
  <si>
    <t>Terrebonne</t>
  </si>
  <si>
    <t>https://www.google.com/search?newwindow=1&amp;ei=2MT0XrvGGM-vytMP1OyDgAY&amp;q=site%3Alinkedin.com+Sophie+Jenkins+Undergraduate+student</t>
  </si>
  <si>
    <t>Undergraduate student</t>
  </si>
  <si>
    <t>Newcastle University</t>
  </si>
  <si>
    <t>Timperley</t>
  </si>
  <si>
    <t>https://www.google.com/search?newwindow=1&amp;ei=2MT0XrvGGM-vytMP1OyDgAY&amp;q=site%3Alinkedin.com+Michelle+Ashley+(She/Her)+🏳️‍🌈+Founder+|+Career+Coach+|+Campus+Recruiter</t>
  </si>
  <si>
    <t>Michelle Ashley (She/Her) 🏳️‍🌈</t>
  </si>
  <si>
    <t>Founder | Career Coach | Campus Recruiter</t>
  </si>
  <si>
    <t>The Tailored Career</t>
  </si>
  <si>
    <t>Tiny</t>
  </si>
  <si>
    <t>https://www.google.com/search?newwindow=1&amp;ei=2MT0XrvGGM-vytMP1OyDgAY&amp;q=site%3Alinkedin.com+Dunja+Ilic+(she/her)+University+Recruiter+-+Canada</t>
  </si>
  <si>
    <t>Dunja Ilic (she/her)</t>
  </si>
  <si>
    <t>University Recruiter - Canada</t>
  </si>
  <si>
    <t>Willis Towers Watson</t>
  </si>
  <si>
    <t>https://www.google.com/search?newwindow=1&amp;ei=2MT0XrvGGM-vytMP1OyDgAY&amp;q=site%3Alinkedin.com+Irene+Lee+Student+recruiter</t>
  </si>
  <si>
    <t>Irene Lee</t>
  </si>
  <si>
    <t>Global Link</t>
  </si>
  <si>
    <t>https://www.google.com/search?newwindow=1&amp;ei=2MT0XrvGGM-vytMP1OyDgAY&amp;q=site%3Alinkedin.com+Tushar+Dutt,+MBA,+CPHR+Senior+Manager,+Early+Career+Recruitment+and+University+Relations</t>
  </si>
  <si>
    <t>Tushar Dutt, MBA, CPHR</t>
  </si>
  <si>
    <t>Senior Manager, Early Career Recruitment and University Relations</t>
  </si>
  <si>
    <t>HCL Canada Inc.</t>
  </si>
  <si>
    <t>https://www.google.com/search?newwindow=1&amp;ei=2MT0XrvGGM-vytMP1OyDgAY&amp;q=site%3Alinkedin.com+Bella+Muretova+Campus+Recruiter</t>
  </si>
  <si>
    <t>Bella Muretova</t>
  </si>
  <si>
    <t>https://www.google.com/search?newwindow=1&amp;ei=2MT0XrvGGM-vytMP1OyDgAY&amp;q=site%3Alinkedin.com+Jahanvi+Pandit+Campus+Recruiter+-+Global+Banking+&amp;+Markets</t>
  </si>
  <si>
    <t>Jahanvi Pandit</t>
  </si>
  <si>
    <t>Campus Recruiter - Global Banking &amp; Markets</t>
  </si>
  <si>
    <t>https://www.google.com/search?newwindow=1&amp;ei=2MT0XrvGGM-vytMP1OyDgAY&amp;q=site%3Alinkedin.com+Natashia+Raponi+Campus+Recruiter</t>
  </si>
  <si>
    <t>Natashia Raponi</t>
  </si>
  <si>
    <t>Ceridian</t>
  </si>
  <si>
    <t>https://www.google.com/search?newwindow=1&amp;ei=2MT0XrvGGM-vytMP1OyDgAY&amp;q=site%3Alinkedin.com+Catherine+Ku+Jr.+Campus+Recruiter</t>
  </si>
  <si>
    <t>Catherine Ku</t>
  </si>
  <si>
    <t>Jr. Campus Recruiter</t>
  </si>
  <si>
    <t>BMO Financial Group</t>
  </si>
  <si>
    <t>https://www.google.com/search?newwindow=1&amp;ei=2MT0XrvGGM-vytMP1OyDgAY&amp;q=site%3Alinkedin.com+Amanda+Foey+Senior+Campus+Recruiter</t>
  </si>
  <si>
    <t>Amanda Foey</t>
  </si>
  <si>
    <t>https://www.google.com/search?newwindow=1&amp;ei=2MT0XrvGGM-vytMP1OyDgAY&amp;q=site%3Alinkedin.com+Kamila+Noble+Senior+Campus+Recruiter</t>
  </si>
  <si>
    <t>Kamila Noble</t>
  </si>
  <si>
    <t>Restaurant Brands International</t>
  </si>
  <si>
    <t>https://www.google.com/search?newwindow=1&amp;ei=2MT0XrvGGM-vytMP1OyDgAY&amp;q=site%3Alinkedin.com+Kristina+Stephan+Sr.+Campus+Recruiter+-+Technology+&amp;+Operations</t>
  </si>
  <si>
    <t>Kristina Stephan</t>
  </si>
  <si>
    <t>Sr. Campus Recruiter - Technology &amp; Operations</t>
  </si>
  <si>
    <t>https://www.google.com/search?newwindow=1&amp;ei=2MT0XrvGGM-vytMP1OyDgAY&amp;q=site%3Alinkedin.com+Kari+Kabi+Campus+Recruiter</t>
  </si>
  <si>
    <t>Kari Kabi</t>
  </si>
  <si>
    <t>Labatt Breweries of Canada</t>
  </si>
  <si>
    <t>https://www.google.com/search?newwindow=1&amp;ei=2MT0XrvGGM-vytMP1OyDgAY&amp;q=site%3Alinkedin.com+Deepika+Gupta+National+Senior+Campus+Recruiter</t>
  </si>
  <si>
    <t>Deepika Gupta</t>
  </si>
  <si>
    <t>National Senior Campus Recruiter</t>
  </si>
  <si>
    <t>LifeLabs Medical Laboratory Services</t>
  </si>
  <si>
    <t>https://www.google.com/search?newwindow=1&amp;ei=2MT0XrvGGM-vytMP1OyDgAY&amp;q=site%3Alinkedin.com+Gaby+Bohus,+MBA+Director,+Technology+Career+Programs,+Campus+Recruiting+&amp;+Career+Programs,+Talent+Acquisition</t>
  </si>
  <si>
    <t>Gaby Bohus, MBA</t>
  </si>
  <si>
    <t>Director, Technology Career Programs, Campus Recruiting &amp; Career Programs, Talent Acquisition</t>
  </si>
  <si>
    <t>CIBC</t>
  </si>
  <si>
    <t>https://www.google.com/search?newwindow=1&amp;ei=2MT0XrvGGM-vytMP1OyDgAY&amp;q=site%3Alinkedin.com+Karen+Tang+Campus+Technology+Recruiter</t>
  </si>
  <si>
    <t>Karen Tang</t>
  </si>
  <si>
    <t>Campus Technology Recruiter</t>
  </si>
  <si>
    <t>https://www.google.com/search?newwindow=1&amp;ei=2MT0XrvGGM-vytMP1OyDgAY&amp;q=site%3Alinkedin.com+Maria+Miqdadi+Campus+Recruiter</t>
  </si>
  <si>
    <t>Maria Miqdadi</t>
  </si>
  <si>
    <t>https://www.google.com/search?newwindow=1&amp;ei=2MT0XrvGGM-vytMP1OyDgAY&amp;q=site%3Alinkedin.com+Laveen+Jose+Student+Recruiter</t>
  </si>
  <si>
    <t>Laveen Jose</t>
  </si>
  <si>
    <t>https://www.google.com/search?newwindow=1&amp;ei=2MT0XrvGGM-vytMP1OyDgAY&amp;q=site%3Alinkedin.com+Faith+Pember+Student+Recruiter</t>
  </si>
  <si>
    <t>Faith Pember</t>
  </si>
  <si>
    <t>https://www.google.com/search?newwindow=1&amp;ei=2MT0XrvGGM-vytMP1OyDgAY&amp;q=site%3Alinkedin.com+Rahul+Gupta+International+student+Recruiter</t>
  </si>
  <si>
    <t>Rahul Gupta</t>
  </si>
  <si>
    <t>International student Recruiter</t>
  </si>
  <si>
    <t>Sunview College - Business. Healthcare. Technology.</t>
  </si>
  <si>
    <t>https://www.google.com/search?newwindow=1&amp;ei=2MT0XrvGGM-vytMP1OyDgAY&amp;q=site%3Alinkedin.com+Sean+Mullin+Post+Secondary+Student+Recruiter</t>
  </si>
  <si>
    <t>Sean Mullin</t>
  </si>
  <si>
    <t>Post Secondary Student Recruiter</t>
  </si>
  <si>
    <t>https://www.google.com/search?newwindow=1&amp;ei=2MT0XrvGGM-vytMP1OyDgAY&amp;q=site%3Alinkedin.com+Katie+Dutton+Campus+Recruiter+-+Wealth+Management</t>
  </si>
  <si>
    <t>Katie Dutton</t>
  </si>
  <si>
    <t>Campus Recruiter - Wealth Management</t>
  </si>
  <si>
    <t>https://www.google.com/search?newwindow=1&amp;ei=2MT0XrvGGM-vytMP1OyDgAY&amp;q=site%3Alinkedin.com+Jovic+Howland+Senior+Recruiter,+Campus+Recruitment,+Early+Talent+Acquisition,+Wealth+Management</t>
  </si>
  <si>
    <t>Jovic Howland</t>
  </si>
  <si>
    <t>Senior Recruiter, Campus Recruitment, Early Talent Acquisition, Wealth Management</t>
  </si>
  <si>
    <t>https://www.google.com/search?newwindow=1&amp;ei=2MT0XrvGGM-vytMP1OyDgAY&amp;q=site%3Alinkedin.com+Natalie+Rutkowski+Talent+Attraction+Specialist+-+GTA+Campus+Recruiter</t>
  </si>
  <si>
    <t>Natalie Rutkowski</t>
  </si>
  <si>
    <t>Talent Attraction Specialist - GTA Campus Recruiter</t>
  </si>
  <si>
    <t>https://www.google.com/search?newwindow=1&amp;ei=2MT0XrvGGM-vytMP1OyDgAY&amp;q=site%3Alinkedin.com+Maria+Khan+Campus+Recruiting+Manager</t>
  </si>
  <si>
    <t>Maria Khan</t>
  </si>
  <si>
    <t>https://www.google.com/search?newwindow=1&amp;ei=2MT0XrvGGM-vytMP1OyDgAY&amp;q=site%3Alinkedin.com+Vijayita+Bhardwaj+(she/her)+University+Recruitment+Coordinator</t>
  </si>
  <si>
    <t>Vijayita Bhardwaj (she/her)</t>
  </si>
  <si>
    <t>https://www.google.com/search?newwindow=1&amp;ei=2MT0XrvGGM-vytMP1OyDgAY&amp;q=site%3Alinkedin.com+Ghada+Tajeddine+Student+Recruiter+(Regional)+-+Internationally+Educated+Professionals</t>
  </si>
  <si>
    <t>Ghada Tajeddine</t>
  </si>
  <si>
    <t>Student Recruiter (Regional) - Internationally Educated Professionals</t>
  </si>
  <si>
    <t>https://www.google.com/search?newwindow=1&amp;ei=2MT0XrvGGM-vytMP1OyDgAY&amp;q=site%3Alinkedin.com+Jordan+Barratt+National+Campus+Recruiting+Leader</t>
  </si>
  <si>
    <t>Jordan Barratt</t>
  </si>
  <si>
    <t>https://www.google.com/search?newwindow=1&amp;ei=2MT0XrvGGM-vytMP1OyDgAY&amp;q=site%3Alinkedin.com+Carolyn+Seward+Student+Recruiter</t>
  </si>
  <si>
    <t>Carolyn Seward</t>
  </si>
  <si>
    <t>https://www.google.com/search?newwindow=1&amp;ei=2MT0XrvGGM-vytMP1OyDgAY&amp;q=site%3Alinkedin.com+Ameer+Ali+University+Recruiter+&amp;+Campus+Lead,+Canada+-+Global+Talent+Acquisition</t>
  </si>
  <si>
    <t>Ameer Ali</t>
  </si>
  <si>
    <t>University Recruiter &amp; Campus Lead, Canada - Global Talent Acquisition</t>
  </si>
  <si>
    <t>General Motors</t>
  </si>
  <si>
    <t>https://www.google.com/search?newwindow=1&amp;ei=2MT0XrvGGM-vytMP1OyDgAY&amp;q=site%3Alinkedin.com+Ariane+Morency-Charbonneau+Student+Recruiter</t>
  </si>
  <si>
    <t>Ariane Morency-Charbonneau</t>
  </si>
  <si>
    <t>https://www.google.com/search?newwindow=1&amp;ei=2MT0XrvGGM-vytMP1OyDgAY&amp;q=site%3Alinkedin.com+Quynh+Dinh,+CHRP+Campus+Recruiter</t>
  </si>
  <si>
    <t>Quynh Dinh, CHRP</t>
  </si>
  <si>
    <t>https://www.google.com/search?newwindow=1&amp;ei=2MT0XrvGGM-vytMP1OyDgAY&amp;q=site%3Alinkedin.com+David+Santacruz+de+la+Torre+Leads+Specialist+and+Student+Recruiter</t>
  </si>
  <si>
    <t>David Santacruz de la Torre</t>
  </si>
  <si>
    <t>Leads Specialist and Student Recruiter</t>
  </si>
  <si>
    <t>INGWE Canada</t>
  </si>
  <si>
    <t>https://www.google.com/search?newwindow=1&amp;ei=2MT0XrvGGM-vytMP1OyDgAY&amp;q=site%3Alinkedin.com+Nicole+Yung+Campus+Recruiter,+Business+Lead</t>
  </si>
  <si>
    <t>Nicole Yung</t>
  </si>
  <si>
    <t>Campus Recruiter, Business Lead</t>
  </si>
  <si>
    <t>https://www.google.com/search?newwindow=1&amp;ei=2MT0XrvGGM-vytMP1OyDgAY&amp;q=site%3Alinkedin.com+Jon+Spence+Sr.+Recruiter+-+Campus+Recruitment</t>
  </si>
  <si>
    <t>Jon Spence</t>
  </si>
  <si>
    <t>Sr. Recruiter - Campus Recruitment</t>
  </si>
  <si>
    <t>TD</t>
  </si>
  <si>
    <t>https://www.google.com/search?newwindow=1&amp;ei=2MT0XrvGGM-vytMP1OyDgAY&amp;q=site%3Alinkedin.com+Jodi-Anne+Buckley+Student+Recruiter</t>
  </si>
  <si>
    <t>Jodi-Anne Buckley</t>
  </si>
  <si>
    <t>https://www.google.com/search?newwindow=1&amp;ei=2MT0XrvGGM-vytMP1OyDgAY&amp;q=site%3Alinkedin.com+Tracy+Lutz+Senior+Campus+Recruiter,+Personal+&amp;+Business+Banking</t>
  </si>
  <si>
    <t>Tracy Lutz</t>
  </si>
  <si>
    <t>Senior Campus Recruiter, Personal &amp; Business Banking</t>
  </si>
  <si>
    <t>https://www.google.com/search?newwindow=1&amp;ei=2MT0XrvGGM-vytMP1OyDgAY&amp;q=site%3Alinkedin.com+Sean+Baker+Director,+Student+Recruitment+at+OCAD+University</t>
  </si>
  <si>
    <t>Sean Baker</t>
  </si>
  <si>
    <t>Director, Student Recruitment at OCAD University</t>
  </si>
  <si>
    <t>OCAD University</t>
  </si>
  <si>
    <t>https://www.google.com/search?newwindow=1&amp;ei=2MT0XrvGGM-vytMP1OyDgAY&amp;q=site%3Alinkedin.com+Katie+Flanagan+Junior+Campus+Recruiter</t>
  </si>
  <si>
    <t>Katie Flanagan</t>
  </si>
  <si>
    <t>https://www.google.com/search?newwindow=1&amp;ei=2MT0XrvGGM-vytMP1OyDgAY&amp;q=site%3Alinkedin.com+Toronto+Forensic+Institute+TFCA+College+Recruiter</t>
  </si>
  <si>
    <t>Toronto Forensic Institute TFCA</t>
  </si>
  <si>
    <t>https://www.google.com/search?newwindow=1&amp;ei=2MT0XrvGGM-vytMP1OyDgAY&amp;q=site%3Alinkedin.com+Melissa+Gansham,+CPA,+CMA+Student+Recruiter</t>
  </si>
  <si>
    <t>Melissa Gansham, CPA, CMA</t>
  </si>
  <si>
    <t>https://www.google.com/search?newwindow=1&amp;ei=2MT0XrvGGM-vytMP1OyDgAY&amp;q=site%3Alinkedin.com+Michelle+Pearlman+Foy+Senior+Director,+Talent+Acquistion+-+Campus+Recruiting+and+Career+Programs</t>
  </si>
  <si>
    <t>Michelle Pearlman Foy</t>
  </si>
  <si>
    <t>Senior Director, Talent Acquistion - Campus Recruiting and Career Programs</t>
  </si>
  <si>
    <t>https://www.google.com/search?newwindow=1&amp;ei=2MT0XrvGGM-vytMP1OyDgAY&amp;q=site%3Alinkedin.com+Alexandra+Famiglietti,+CHRL+National+Advisory+Campus+Recruiting+Leader</t>
  </si>
  <si>
    <t>Alexandra Famiglietti, CHRL</t>
  </si>
  <si>
    <t>National Advisory Campus Recruiting Leader</t>
  </si>
  <si>
    <t>https://www.google.com/search?newwindow=1&amp;ei=2MT0XrvGGM-vytMP1OyDgAY&amp;q=site%3Alinkedin.com+Naomi+Carmichael+Campus+Recruiter</t>
  </si>
  <si>
    <t>Naomi Carmichael</t>
  </si>
  <si>
    <t>https://www.google.com/search?newwindow=1&amp;ei=2MT0XrvGGM-vytMP1OyDgAY&amp;q=site%3Alinkedin.com+Mayumi+Washizu+International+Student+Marketer+and+Recruiter+(Japanese+Market)</t>
  </si>
  <si>
    <t>Mayumi Washizu</t>
  </si>
  <si>
    <t>International Student Marketer and Recruiter (Japanese Market)</t>
  </si>
  <si>
    <t>Royal Canadian Institute of International Studies</t>
  </si>
  <si>
    <t>https://www.google.com/search?newwindow=1&amp;ei=2MT0XrvGGM-vytMP1OyDgAY&amp;q=site%3Alinkedin.com+Alastair+Hobson+Student+Recruiter+-+Internationally+Educated+Professionals+(IEP)+-+Ontario</t>
  </si>
  <si>
    <t>Alastair Hobson</t>
  </si>
  <si>
    <t>Student Recruiter - Internationally Educated Professionals (IEP) - Ontario</t>
  </si>
  <si>
    <t>https://www.google.com/search?newwindow=1&amp;ei=2MT0XrvGGM-vytMP1OyDgAY&amp;q=site%3Alinkedin.com+Sydney+Sun,+BCom,+CHRL+Senior+Recruiter</t>
  </si>
  <si>
    <t>Sydney Sun, BCom, CHRL</t>
  </si>
  <si>
    <t>The Coca-Cola Company</t>
  </si>
  <si>
    <t>https://www.google.com/search?newwindow=1&amp;ei=2MT0XrvGGM-vytMP1OyDgAY&amp;q=site%3Alinkedin.com+Angel+Luo+Recruitment+and+Operations+Coordinator</t>
  </si>
  <si>
    <t>Angel Luo</t>
  </si>
  <si>
    <t>Recruitment and Operations Coordinator</t>
  </si>
  <si>
    <t>Chestwood Education</t>
  </si>
  <si>
    <t>https://www.google.com/search?newwindow=1&amp;ei=2MT0XrvGGM-vytMP1OyDgAY&amp;q=site%3Alinkedin.com+shalini+reddy+HRM+student+at+York+University</t>
  </si>
  <si>
    <t>shalini reddy</t>
  </si>
  <si>
    <t>HRM student at York University</t>
  </si>
  <si>
    <t>https://www.google.com/search?newwindow=1&amp;ei=2MT0XrvGGM-vytMP1OyDgAY&amp;q=site%3Alinkedin.com+AOL+Toronto+International+Student+Recruiter</t>
  </si>
  <si>
    <t>AOL Toronto</t>
  </si>
  <si>
    <t>Academy of Learning College Bay / Bloor Campus</t>
  </si>
  <si>
    <t>https://www.google.com/search?newwindow=1&amp;ei=2MT0XrvGGM-vytMP1OyDgAY&amp;q=site%3Alinkedin.com+Shiva+Vaghei+Recruitment+and+Admissions+Officer</t>
  </si>
  <si>
    <t>Shiva Vaghei</t>
  </si>
  <si>
    <t>Recruitment and Admissions Officer</t>
  </si>
  <si>
    <t>https://www.google.com/search?newwindow=1&amp;ei=2MT0XrvGGM-vytMP1OyDgAY&amp;q=site%3Alinkedin.com+Sarah+Batley+Recreation+and+Student+Engagement+Coordinator</t>
  </si>
  <si>
    <t>Sarah Batley</t>
  </si>
  <si>
    <t>Recreation and Student Engagement Coordinator</t>
  </si>
  <si>
    <t>https://www.google.com/search?newwindow=1&amp;ei=2MT0XrvGGM-vytMP1OyDgAY&amp;q=site%3Alinkedin.com+Yann+Breka+Student+recruiter</t>
  </si>
  <si>
    <t>Yann Breka</t>
  </si>
  <si>
    <t>The Great Lakes college of Toronto</t>
  </si>
  <si>
    <t>https://www.google.com/search?newwindow=1&amp;ei=2MT0XrvGGM-vytMP1OyDgAY&amp;q=site%3Alinkedin.com+Damon+McLean+Student+Recruiter</t>
  </si>
  <si>
    <t>Damon McLean</t>
  </si>
  <si>
    <t>https://www.google.com/search?newwindow=1&amp;ei=2MT0XrvGGM-vytMP1OyDgAY&amp;q=site%3Alinkedin.com+Seher+Qureshi+Director+of+Events+-+Wilfrid+Laurier+University+Chapter</t>
  </si>
  <si>
    <t>Seher Qureshi</t>
  </si>
  <si>
    <t>Director of Events - Wilfrid Laurier University Chapter</t>
  </si>
  <si>
    <t>The Citizens Foundation</t>
  </si>
  <si>
    <t>https://www.google.com/search?newwindow=1&amp;ei=2MT0XrvGGM-vytMP1OyDgAY&amp;q=site%3Alinkedin.com+Andreea+Cotcaru+Campus+Recruiter</t>
  </si>
  <si>
    <t>Andreea Cotcaru</t>
  </si>
  <si>
    <t>https://www.google.com/search?newwindow=1&amp;ei=2MT0XrvGGM-vytMP1OyDgAY&amp;q=site%3Alinkedin.com+Gloria+Ma+Campus+Recruiter</t>
  </si>
  <si>
    <t>Gloria Ma</t>
  </si>
  <si>
    <t>PwC Mainland China and Hong Kong</t>
  </si>
  <si>
    <t>https://www.google.com/search?newwindow=1&amp;ei=2MT0XrvGGM-vytMP1OyDgAY&amp;q=site%3Alinkedin.com+Gesilene+Carvalho+International+Student+Recruiter+Specialist</t>
  </si>
  <si>
    <t>Gesilene Carvalho</t>
  </si>
  <si>
    <t>International Student Recruiter Specialist</t>
  </si>
  <si>
    <t>https://www.google.com/search?newwindow=1&amp;ei=2MT0XrvGGM-vytMP1OyDgAY&amp;q=site%3Alinkedin.com+Karla+Castillo+Assistant+Recruiter</t>
  </si>
  <si>
    <t>Karla Castillo</t>
  </si>
  <si>
    <t>Assistant Recruiter</t>
  </si>
  <si>
    <t>The Orbis Inc.</t>
  </si>
  <si>
    <t>https://www.google.com/search?newwindow=1&amp;ei=2MT0XrvGGM-vytMP1OyDgAY&amp;q=site%3Alinkedin.com+Ted+Lee+Manager,+Senior+Guidance+Counsellor+/+Student+Recruiter</t>
  </si>
  <si>
    <t>Ted Lee</t>
  </si>
  <si>
    <t>Manager, Senior Guidance Counsellor / Student Recruiter</t>
  </si>
  <si>
    <t>Birmingham International College of Canada (BICC)</t>
  </si>
  <si>
    <t>https://www.google.com/search?newwindow=1&amp;ei=2MT0XrvGGM-vytMP1OyDgAY&amp;q=site%3Alinkedin.com+Sabrina+Notarangelo+Swinden+Campus+Recruiter</t>
  </si>
  <si>
    <t>Sabrina Notarangelo Swinden</t>
  </si>
  <si>
    <t>https://www.google.com/search?newwindow=1&amp;ei=2MT0XrvGGM-vytMP1OyDgAY&amp;q=site%3Alinkedin.com+Noureddin+Lahham+Business+Developer+-+Student+recruiter+-+Immigration+advisor</t>
  </si>
  <si>
    <t>Noureddin Lahham</t>
  </si>
  <si>
    <t>Business Developer - Student recruiter - Immigration advisor</t>
  </si>
  <si>
    <t>www.lahham.biz</t>
  </si>
  <si>
    <t>https://www.google.com/search?newwindow=1&amp;ei=2MT0XrvGGM-vytMP1OyDgAY&amp;q=site%3Alinkedin.com+Marianne+Streete+Campus+Recruiter+-+Advisory</t>
  </si>
  <si>
    <t>Marianne Streete</t>
  </si>
  <si>
    <t>Campus Recruiter - Advisory</t>
  </si>
  <si>
    <t>https://www.google.com/search?newwindow=1&amp;ei=2MT0XrvGGM-vytMP1OyDgAY&amp;q=site%3Alinkedin.com+Cesar+Aguilar+International+Student+Recruiter+(Coordinator+and+Sales+Rep)</t>
  </si>
  <si>
    <t>Cesar Aguilar</t>
  </si>
  <si>
    <t>International Student Recruiter (Coordinator and Sales Rep)</t>
  </si>
  <si>
    <t>Interpromex</t>
  </si>
  <si>
    <t>https://www.google.com/search?newwindow=1&amp;ei=2MT0XrvGGM-vytMP1OyDgAY&amp;q=site%3Alinkedin.com+ALOKIK+JOSHI+Seeking+full+time+position+as+a+Student+Recruiter+or+Immigration+Case+Analyst</t>
  </si>
  <si>
    <t>ALOKIK JOSHI</t>
  </si>
  <si>
    <t>Seeking full time position as a Student Recruiter or Immigration Case Analyst</t>
  </si>
  <si>
    <t>Unemployed</t>
  </si>
  <si>
    <t>https://www.google.com/search?newwindow=1&amp;ei=2MT0XrvGGM-vytMP1OyDgAY&amp;q=site%3Alinkedin.com+Anne+Rose+Associate+Director,+University+Student+Recruitment</t>
  </si>
  <si>
    <t>Anne Rose</t>
  </si>
  <si>
    <t>Associate Director, University Student Recruitment</t>
  </si>
  <si>
    <t>Office of Student Recruitment, University of Toronto</t>
  </si>
  <si>
    <t>https://www.google.com/search?newwindow=1&amp;ei=2MT0XrvGGM-vytMP1OyDgAY&amp;q=site%3Alinkedin.com+Rachel+Rasid+international+foreign+student+recruiter</t>
  </si>
  <si>
    <t>Rachel Rasid</t>
  </si>
  <si>
    <t>international foreign student recruiter</t>
  </si>
  <si>
    <t>www.sgiccanada.com</t>
  </si>
  <si>
    <t>https://www.google.com/search?newwindow=1&amp;ei=2MT0XrvGGM-vytMP1OyDgAY&amp;q=site%3Alinkedin.com+Raghav+Sharma+Senior+Finance+Associate+&amp;+Recruiter+(Indian+Student+Association)</t>
  </si>
  <si>
    <t>Raghav Sharma</t>
  </si>
  <si>
    <t>Senior Finance Associate &amp; Recruiter (Indian Student Association)</t>
  </si>
  <si>
    <t>https://www.google.com/search?newwindow=1&amp;ei=2MT0XrvGGM-vytMP1OyDgAY&amp;q=site%3Alinkedin.com+Lori+Dalton+Student+Recruiter</t>
  </si>
  <si>
    <t>Lori Dalton</t>
  </si>
  <si>
    <t>https://www.google.com/search?newwindow=1&amp;ei=2MT0XrvGGM-vytMP1OyDgAY&amp;q=site%3Alinkedin.com+Nesana+Sriskandakumaran+Student+Recruiter</t>
  </si>
  <si>
    <t>Nesana Sriskandakumaran</t>
  </si>
  <si>
    <t>UTSC Admissions &amp; Student Recruitment</t>
  </si>
  <si>
    <t>https://www.google.com/search?newwindow=1&amp;ei=2MT0XrvGGM-vytMP1OyDgAY&amp;q=site%3Alinkedin.com+YOSHITAKA+YOSHIZUMI+Student+Recruiter</t>
  </si>
  <si>
    <t>YOSHITAKA YOSHIZUMI</t>
  </si>
  <si>
    <t>Educational Services Canada (ESC)</t>
  </si>
  <si>
    <t>https://www.google.com/search?newwindow=1&amp;ei=2MT0XrvGGM-vytMP1OyDgAY&amp;q=site%3Alinkedin.com+Anderson+College+International+Student+Recruiter</t>
  </si>
  <si>
    <t>Anderson College</t>
  </si>
  <si>
    <t>Anderson College of Health, Business &amp; Technology</t>
  </si>
  <si>
    <t>https://www.google.com/search?newwindow=1&amp;ei=2MT0XrvGGM-vytMP1OyDgAY&amp;q=site%3Alinkedin.com+Sanita+Naraine+Student</t>
  </si>
  <si>
    <t>Sanita Naraine</t>
  </si>
  <si>
    <t>North American College</t>
  </si>
  <si>
    <t>https://www.google.com/search?newwindow=1&amp;ei=2MT0XrvGGM-vytMP1OyDgAY&amp;q=site%3Alinkedin.com+Renee+Baptiste-Skyers+Sr.+University+Recruitment+Specialist+(Lead+for+Canada)</t>
  </si>
  <si>
    <t>Renee Baptiste-Skyers</t>
  </si>
  <si>
    <t>Sr. University Recruitment Specialist (Lead for Canada)</t>
  </si>
  <si>
    <t>https://www.google.com/search?newwindow=1&amp;ei=2MT0XrvGGM-vytMP1OyDgAY&amp;q=site%3Alinkedin.com+vijay+singh+student</t>
  </si>
  <si>
    <t>vijay singh</t>
  </si>
  <si>
    <t>Canadore College</t>
  </si>
  <si>
    <t>https://www.google.com/search?newwindow=1&amp;ei=2MT0XrvGGM-vytMP1OyDgAY&amp;q=site%3Alinkedin.com+Ashley+Heenan+Private+acting+College+Recruiter</t>
  </si>
  <si>
    <t>Ashley Heenan</t>
  </si>
  <si>
    <t>Private acting College Recruiter</t>
  </si>
  <si>
    <t>Toronto Academy of Acting for Film and Television</t>
  </si>
  <si>
    <t>https://www.google.com/search?newwindow=1&amp;ei=2MT0XrvGGM-vytMP1OyDgAY&amp;q=site%3Alinkedin.com+Dreamhill+Marketing+International+Student+Recruiter</t>
  </si>
  <si>
    <t>Dreamhill Marketing</t>
  </si>
  <si>
    <t>Dreamhill Marketing Inc</t>
  </si>
  <si>
    <t>https://www.google.com/search?newwindow=1&amp;ei=2MT0XrvGGM-vytMP1OyDgAY&amp;q=site%3Alinkedin.com+INDRANI+SARUKKALIGE+Finacial+Advisor,+Trainer,+Recruiter</t>
  </si>
  <si>
    <t>INDRANI SARUKKALIGE</t>
  </si>
  <si>
    <t>Finacial Advisor, Trainer, Recruiter</t>
  </si>
  <si>
    <t>World Financial Group Financial Advisor, Trainer and Recruiter</t>
  </si>
  <si>
    <t>https://www.google.com/search?newwindow=1&amp;ei=2MT0XrvGGM-vytMP1OyDgAY&amp;q=site%3Alinkedin.com+Behnoosh+K+student+recruiter</t>
  </si>
  <si>
    <t>Behnoosh K</t>
  </si>
  <si>
    <t>futureskills</t>
  </si>
  <si>
    <t>https://www.google.com/search?newwindow=1&amp;ei=2MT0XrvGGM-vytMP1OyDgAY&amp;q=site%3Alinkedin.com+Nikki+Simone+Senior+Manager,+Student+Experience+and+Early+Talent+Programs</t>
  </si>
  <si>
    <t>Nikki Simone</t>
  </si>
  <si>
    <t>Senior Manager, Student Experience and Early Talent Programs</t>
  </si>
  <si>
    <t>https://www.google.com/search?newwindow=1&amp;ei=2MT0XrvGGM-vytMP1OyDgAY&amp;q=site%3Alinkedin.com+Cara+Cornacchia+Interim+Director,+Student+Programs</t>
  </si>
  <si>
    <t>Cara Cornacchia</t>
  </si>
  <si>
    <t>Interim Director, Student Programs</t>
  </si>
  <si>
    <t>https://www.google.com/search?newwindow=1&amp;ei=2MT0XrvGGM-vytMP1OyDgAY&amp;q=site%3Alinkedin.com+Shirin+Salehi+Talent+Acquisition,+Student+Programs</t>
  </si>
  <si>
    <t>Shirin Salehi</t>
  </si>
  <si>
    <t>Talent Acquisition, Student Programs</t>
  </si>
  <si>
    <t>Ontario Teachers'​ Pension Plan</t>
  </si>
  <si>
    <t>https://www.google.com/search?newwindow=1&amp;ei=2MT0XrvGGM-vytMP1OyDgAY&amp;q=site%3Alinkedin.com+Kim+Bonnar+Assistant+Director+of+Professional+Resources+-+Student+Programs</t>
  </si>
  <si>
    <t>Kim Bonnar</t>
  </si>
  <si>
    <t>Assistant Director of Professional Resources - Student Programs</t>
  </si>
  <si>
    <t>Cassels Brock &amp; Blackwell LLP</t>
  </si>
  <si>
    <t>https://www.google.com/search?newwindow=1&amp;ei=2MT0XrvGGM-vytMP1OyDgAY&amp;q=site%3Alinkedin.com+Shemara+D.+Manager,+Student+Programs</t>
  </si>
  <si>
    <t>Shemara D.</t>
  </si>
  <si>
    <t>Manager, Student Programs</t>
  </si>
  <si>
    <t>https://www.google.com/search?newwindow=1&amp;ei=2MT0XrvGGM-vytMP1OyDgAY&amp;q=site%3Alinkedin.com+Sadia+Khan+Interim+National+Director,+Student+Programs</t>
  </si>
  <si>
    <t>Sadia Khan</t>
  </si>
  <si>
    <t>Interim National Director, Student Programs</t>
  </si>
  <si>
    <t>https://www.google.com/search?newwindow=1&amp;ei=2MT0XrvGGM-vytMP1OyDgAY&amp;q=site%3Alinkedin.com+Lindsay+Kantor+Director+of+Student+Programs</t>
  </si>
  <si>
    <t>Lindsay Kantor</t>
  </si>
  <si>
    <t>Torkin Manes LLP</t>
  </si>
  <si>
    <t>https://www.google.com/search?newwindow=1&amp;ei=2MT0XrvGGM-vytMP1OyDgAY&amp;q=site%3Alinkedin.com+Ali+Mirsky+Co-Director,+Associate+&amp;+Student+Programs</t>
  </si>
  <si>
    <t>Ali Mirsky</t>
  </si>
  <si>
    <t>Co-Director, Associate &amp; Student Programs</t>
  </si>
  <si>
    <t>Goodmans LLP</t>
  </si>
  <si>
    <t>https://www.google.com/search?newwindow=1&amp;ei=2MT0XrvGGM-vytMP1OyDgAY&amp;q=site%3Alinkedin.com+Adeena+Ali+Graduate+Programs+Assistant</t>
  </si>
  <si>
    <t>Adeena Ali</t>
  </si>
  <si>
    <t>Graduate Programs Assistant</t>
  </si>
  <si>
    <t>Ted Rogers School of Management at Ryerson University</t>
  </si>
  <si>
    <t>https://www.google.com/search?newwindow=1&amp;ei=2MT0XrvGGM-vytMP1OyDgAY&amp;q=site%3Alinkedin.com+Lynn+Thomson+Associate+and+Student+Programs+Director</t>
  </si>
  <si>
    <t>Lynn Thomson</t>
  </si>
  <si>
    <t>Associate and Student Programs Director</t>
  </si>
  <si>
    <t>Norton Rose Fulbright Canada LLP</t>
  </si>
  <si>
    <t>12 years 9 months in role and company</t>
  </si>
  <si>
    <t>https://www.google.com/search?newwindow=1&amp;ei=2MT0XrvGGM-vytMP1OyDgAY&amp;q=site%3Alinkedin.com+Ruth+Durgy+Associate+&amp;+Student+Programs+Coordinator</t>
  </si>
  <si>
    <t>Ruth Durgy</t>
  </si>
  <si>
    <t>https://www.google.com/search?newwindow=1&amp;ei=2MT0XrvGGM-vytMP1OyDgAY&amp;q=site%3Alinkedin.com+Jenna+Nensi+Student+Researcher</t>
  </si>
  <si>
    <t>Jenna Nensi</t>
  </si>
  <si>
    <t>Student Researcher</t>
  </si>
  <si>
    <t>Kingston Health Sciences Centre</t>
  </si>
  <si>
    <t>https://www.google.com/search?newwindow=1&amp;ei=2MT0XrvGGM-vytMP1OyDgAY&amp;q=site%3Alinkedin.com+Scott+Clarke+Associate+Director,+Student+Success+Programs,+Faculty+of+Arts+&amp;+Science</t>
  </si>
  <si>
    <t>Scott Clarke</t>
  </si>
  <si>
    <t>Associate Director, Student Success Programs, Faculty of Arts &amp; Science</t>
  </si>
  <si>
    <t>https://www.google.com/search?newwindow=1&amp;ei=2MT0XrvGGM-vytMP1OyDgAY&amp;q=site%3Alinkedin.com+Mackenzie+P.+Student+Engagement+and+Equity+Programs+Assistant</t>
  </si>
  <si>
    <t>Mackenzie P.</t>
  </si>
  <si>
    <t>Student Engagement and Equity Programs Assistant</t>
  </si>
  <si>
    <t>https://www.google.com/search?newwindow=1&amp;ei=2MT0XrvGGM-vytMP1OyDgAY&amp;q=site%3Alinkedin.com+Emanuela+Varga+Intern+Exhibitions+and+Programs</t>
  </si>
  <si>
    <t>Emanuela Varga</t>
  </si>
  <si>
    <t>Intern Exhibitions and Programs</t>
  </si>
  <si>
    <t>museum Beelden aan Zee</t>
  </si>
  <si>
    <t>https://www.google.com/search?newwindow=1&amp;ei=2MT0XrvGGM-vytMP1OyDgAY&amp;q=site%3Alinkedin.com+Cheryl+Biehler+Assistant+Director,+Student+Programs+&amp;+Continuing+Legal+Education</t>
  </si>
  <si>
    <t>Cheryl Biehler</t>
  </si>
  <si>
    <t>Assistant Director, Student Programs &amp; Continuing Legal Education</t>
  </si>
  <si>
    <t>Fasken</t>
  </si>
  <si>
    <t>https://www.google.com/search?newwindow=1&amp;ei=2MT0XrvGGM-vytMP1OyDgAY&amp;q=site%3Alinkedin.com+Mary+Stefanidis+Student+Success+Programs+Officer,+Faculty+of+Arts+&amp;+Science</t>
  </si>
  <si>
    <t>Mary Stefanidis</t>
  </si>
  <si>
    <t>Student Success Programs Officer, Faculty of Arts &amp; Science</t>
  </si>
  <si>
    <t>https://www.google.com/search?newwindow=1&amp;ei=2MT0XrvGGM-vytMP1OyDgAY&amp;q=site%3Alinkedin.com+Sarah+Memme+Student+Life+Coordinator,+Leadership+Programs</t>
  </si>
  <si>
    <t>Sarah Memme</t>
  </si>
  <si>
    <t>Student Life Coordinator, Leadership Programs</t>
  </si>
  <si>
    <t>https://www.google.com/search?newwindow=1&amp;ei=2MT0XrvGGM-vytMP1OyDgAY&amp;q=site%3Alinkedin.com+Lisa+Weekes+Principal,+Care+and+Treatment+Programs+(Student+Services)</t>
  </si>
  <si>
    <t>Lisa Weekes</t>
  </si>
  <si>
    <t>Principal, Care and Treatment Programs (Student Services)</t>
  </si>
  <si>
    <t>York Region District School Board</t>
  </si>
  <si>
    <t>https://www.google.com/search?newwindow=1&amp;ei=2MT0XrvGGM-vytMP1OyDgAY&amp;q=site%3Alinkedin.com+Brittany+Cohen+Student+Development+Coordinator,+Career+Resources+&amp;+Online+Technology</t>
  </si>
  <si>
    <t>Brittany Cohen</t>
  </si>
  <si>
    <t>Student Development Coordinator, Career Resources &amp; Online Technology</t>
  </si>
  <si>
    <t>https://www.google.com/search?newwindow=1&amp;ei=2MT0XrvGGM-vytMP1OyDgAY&amp;q=site%3Alinkedin.com+Heather+Kelly,+Ed.D+Executive+Director,+Student+Life+Programs+&amp;+Services,+University+of+Toronto</t>
  </si>
  <si>
    <t>Heather Kelly, Ed.D</t>
  </si>
  <si>
    <t>Executive Director, Student Life Programs &amp; Services, University of Toronto</t>
  </si>
  <si>
    <t>https://www.google.com/search?newwindow=1&amp;ei=2MT0XrvGGM-vytMP1OyDgAY&amp;q=site%3Alinkedin.com+Heather+K.+Education+Programs+Student</t>
  </si>
  <si>
    <t>Heather K.</t>
  </si>
  <si>
    <t>Education Programs Student</t>
  </si>
  <si>
    <t>Indigenous Services Canada | Services aux Autochtones Canada</t>
  </si>
  <si>
    <t>https://www.google.com/search?newwindow=1&amp;ei=2MT0XrvGGM-vytMP1OyDgAY&amp;q=site%3Alinkedin.com+Justin+Mihaly+Co-Chair+of+Student+Senate+Caucus</t>
  </si>
  <si>
    <t>Justin Mihaly</t>
  </si>
  <si>
    <t>Co-Chair of Student Senate Caucus</t>
  </si>
  <si>
    <t>https://www.google.com/search?newwindow=1&amp;ei=2MT0XrvGGM-vytMP1OyDgAY&amp;q=site%3Alinkedin.com+Ari+Blicker+Director,+Student+&amp;+Associate+Programs</t>
  </si>
  <si>
    <t>Ari Blicker</t>
  </si>
  <si>
    <t>Director, Student &amp; Associate Programs</t>
  </si>
  <si>
    <t>Aird &amp; Berlis LLP</t>
  </si>
  <si>
    <t>11 years 4 months in role and company</t>
  </si>
  <si>
    <t>https://www.google.com/search?newwindow=1&amp;ei=2MT0XrvGGM-vytMP1OyDgAY&amp;q=site%3Alinkedin.com+Lewis+Waring+Summer+Student+(Manitoba+Infrastructure+-+Policy,+Programs+&amp;+Regulation)</t>
  </si>
  <si>
    <t>Lewis Waring</t>
  </si>
  <si>
    <t>Summer Student (Manitoba Infrastructure - Policy, Programs &amp; Regulation)</t>
  </si>
  <si>
    <t>Government of Manitoba</t>
  </si>
  <si>
    <t>https://www.google.com/search?newwindow=1&amp;ei=2MT0XrvGGM-vytMP1OyDgAY&amp;q=site%3Alinkedin.com+Kimberly+Daniels+Orientation+&amp;+Student+Life+Programs+Coordinator</t>
  </si>
  <si>
    <t>Kimberly Daniels</t>
  </si>
  <si>
    <t>Orientation &amp; Student Life Programs Coordinator</t>
  </si>
  <si>
    <t>Humber College</t>
  </si>
  <si>
    <t>https://www.google.com/search?newwindow=1&amp;ei=2MT0XrvGGM-vytMP1OyDgAY&amp;q=site%3Alinkedin.com+Peter+Koutsokeris+Coordinator,+Orientation+&amp;+Transition+Programs</t>
  </si>
  <si>
    <t>Peter Koutsokeris</t>
  </si>
  <si>
    <t>Coordinator, Orientation &amp; Transition Programs</t>
  </si>
  <si>
    <t>https://www.google.com/search?newwindow=1&amp;ei=2MT0XrvGGM-vytMP1OyDgAY&amp;q=site%3Alinkedin.com+Ayesha+R.+Student+Success+Programs+Assistant</t>
  </si>
  <si>
    <t>Ayesha R.</t>
  </si>
  <si>
    <t>https://www.google.com/search?newwindow=1&amp;ei=2MT0XrvGGM-vytMP1OyDgAY&amp;q=site%3Alinkedin.com+Claire+Fraser+Coordinator,+Student+&amp;+Legal+Professional+Programs</t>
  </si>
  <si>
    <t>Claire Fraser</t>
  </si>
  <si>
    <t>Coordinator, Student &amp; Legal Professional Programs</t>
  </si>
  <si>
    <t>https://www.google.com/search?newwindow=1&amp;ei=2MT0XrvGGM-vytMP1OyDgAY&amp;q=site%3Alinkedin.com+Karen+Alexanian+Student+Employment+Programs+Coordinator</t>
  </si>
  <si>
    <t>Karen Alexanian</t>
  </si>
  <si>
    <t>Student Employment Programs Coordinator</t>
  </si>
  <si>
    <t>Ontario Government</t>
  </si>
  <si>
    <t>https://www.google.com/search?newwindow=1&amp;ei=2MT0XrvGGM-vytMP1OyDgAY&amp;q=site%3Alinkedin.com+Rebekkah+Nighswander,+M.Ed.+Coordinator,+First+Year+Programs+(Office+of+Student+Experience+&amp;+Wellbeing)</t>
  </si>
  <si>
    <t>Rebekkah Nighswander, M.Ed.</t>
  </si>
  <si>
    <t>Coordinator, First Year Programs (Office of Student Experience &amp; Wellbeing)</t>
  </si>
  <si>
    <t>University of Toronto Scarborough</t>
  </si>
  <si>
    <t>https://www.google.com/search?newwindow=1&amp;ei=2MT0XrvGGM-vytMP1OyDgAY&amp;q=site%3Alinkedin.com+Sophia+Orfanakos+Student+Success+Programs+Study+Groups+Assistant</t>
  </si>
  <si>
    <t>Sophia Orfanakos</t>
  </si>
  <si>
    <t>Student Success Programs Study Groups Assistant</t>
  </si>
  <si>
    <t>https://www.google.com/search?newwindow=1&amp;ei=2MT0XrvGGM-vytMP1OyDgAY&amp;q=site%3Alinkedin.com+Eleni+Skederidis+Recruitment+Manager</t>
  </si>
  <si>
    <t>Eleni Skederidis</t>
  </si>
  <si>
    <t>Baker McKenzie</t>
  </si>
  <si>
    <t>https://www.google.com/search?newwindow=1&amp;ei=2MT0XrvGGM-vytMP1OyDgAY&amp;q=site%3Alinkedin.com+Afreen+M.+RU+Noted+and+Transition+Programs+Assistant+|+Student+Wellbeing,+Academic+Accommodation+Support</t>
  </si>
  <si>
    <t>Afreen M.</t>
  </si>
  <si>
    <t>RU Noted and Transition Programs Assistant | Student Wellbeing, Academic Accommodation Support</t>
  </si>
  <si>
    <t>https://www.google.com/search?newwindow=1&amp;ei=2MT0XrvGGM-vytMP1OyDgAY&amp;q=site%3Alinkedin.com+Inez+Bertao+Executive+Assistant+to+Co-Director,+Associate+&amp;+Student+Program+/+Coordinator,+Student+Programs</t>
  </si>
  <si>
    <t>Inez Bertao</t>
  </si>
  <si>
    <t>Executive Assistant to Co-Director, Associate &amp; Student Program / Coordinator, Student Programs</t>
  </si>
  <si>
    <t>28 years 9 months in role and company</t>
  </si>
  <si>
    <t>https://www.google.com/search?newwindow=1&amp;ei=2MT0XrvGGM-vytMP1OyDgAY&amp;q=site%3Alinkedin.com+Nadia+Rosemond+Assistant+Dean,+Co-Curricular+Programs+and+Student+Leadership</t>
  </si>
  <si>
    <t>Nadia Rosemond</t>
  </si>
  <si>
    <t>Assistant Dean, Co-Curricular Programs and Student Leadership</t>
  </si>
  <si>
    <t>https://www.google.com/search?newwindow=1&amp;ei=2MT0XrvGGM-vytMP1OyDgAY&amp;q=site%3Alinkedin.com+Natalee+Veisi+Student+Assistant,+Student+Development+Programs</t>
  </si>
  <si>
    <t>Natalee Veisi</t>
  </si>
  <si>
    <t>Student Assistant, Student Development Programs</t>
  </si>
  <si>
    <t>https://www.google.com/search?newwindow=1&amp;ei=2MT0XrvGGM-vytMP1OyDgAY&amp;q=site%3Alinkedin.com+Angelique+Dack+Student+Engagement+and+Equity+Programs+Assistant</t>
  </si>
  <si>
    <t>Angelique Dack</t>
  </si>
  <si>
    <t>https://www.google.com/search?newwindow=1&amp;ei=2MT0XrvGGM-vytMP1OyDgAY&amp;q=site%3Alinkedin.com+Stephanie+Q.+School+Based+Programs+and+Placement+Student+Specialist</t>
  </si>
  <si>
    <t>Stephanie Q.</t>
  </si>
  <si>
    <t>School Based Programs and Placement Student Specialist</t>
  </si>
  <si>
    <t>Big Brothers Big Sisters of Toronto</t>
  </si>
  <si>
    <t>https://www.google.com/search?newwindow=1&amp;ei=2MT0XrvGGM-vytMP1OyDgAY&amp;q=site%3Alinkedin.com+Kendel+Chitolie+International+Student+Advisor</t>
  </si>
  <si>
    <t>Kendel Chitolie</t>
  </si>
  <si>
    <t>International Student Advisor</t>
  </si>
  <si>
    <t>https://www.google.com/search?newwindow=1&amp;ei=2MT0XrvGGM-vytMP1OyDgAY&amp;q=site%3Alinkedin.com+Dana+Andrews+Director,+Program+Services+and+Student+Life,+Professional+MBA+&amp;+Specialized+Programs</t>
  </si>
  <si>
    <t>Dana Andrews</t>
  </si>
  <si>
    <t>Director, Program Services and Student Life, Professional MBA &amp; Specialized Programs</t>
  </si>
  <si>
    <t>https://www.google.com/search?newwindow=1&amp;ei=2MT0XrvGGM-vytMP1OyDgAY&amp;q=site%3Alinkedin.com+Emily+Nguyen+Student+Success+Programs+Registered+Study+Group+(RSG)+Assistant</t>
  </si>
  <si>
    <t>Emily Nguyen</t>
  </si>
  <si>
    <t>Student Success Programs Registered Study Group (RSG) Assistant</t>
  </si>
  <si>
    <t>https://www.google.com/search?newwindow=1&amp;ei=2MT0XrvGGM-vytMP1OyDgAY&amp;q=site%3Alinkedin.com+Ella+Bonaldi+Skate+Programs+Head+Instructor</t>
  </si>
  <si>
    <t>Ella Bonaldi</t>
  </si>
  <si>
    <t>Skate Programs Head Instructor</t>
  </si>
  <si>
    <t>Toronto Parks, Forestry and Recreation</t>
  </si>
  <si>
    <t>https://www.google.com/search?newwindow=1&amp;ei=2MT0XrvGGM-vytMP1OyDgAY&amp;q=site%3Alinkedin.com+Christine+Wolf,+CHRP+Coordinator,+Student+Programs</t>
  </si>
  <si>
    <t>Christine Wolf, CHRP</t>
  </si>
  <si>
    <t>Osler, Hoskin &amp; Harcourt LLP</t>
  </si>
  <si>
    <t>https://www.google.com/search?newwindow=1&amp;ei=2MT0XrvGGM-vytMP1OyDgAY&amp;q=site%3Alinkedin.com+Himanshi+Joshi+Employer+and+Student+Liaison,+Internship+Programs</t>
  </si>
  <si>
    <t>Himanshi Joshi</t>
  </si>
  <si>
    <t>Employer and Student Liaison, Internship Programs</t>
  </si>
  <si>
    <t>8 years 6 months in role</t>
  </si>
  <si>
    <t>https://www.google.com/search?newwindow=1&amp;ei=2MT0XrvGGM-vytMP1OyDgAY&amp;q=site%3Alinkedin.com+Rochelle+Richards+Coordinator,+Student+and+Associate+Programs</t>
  </si>
  <si>
    <t>Rochelle Richards</t>
  </si>
  <si>
    <t>Coordinator, Student and Associate Programs</t>
  </si>
  <si>
    <t>Miller Thomson LLP</t>
  </si>
  <si>
    <t>https://www.google.com/search?newwindow=1&amp;ei=2MT0XrvGGM-vytMP1OyDgAY&amp;q=site%3Alinkedin.com+Nimisha+Mohan+Administrative+Assistant,+Community+Programs</t>
  </si>
  <si>
    <t>Nimisha Mohan</t>
  </si>
  <si>
    <t>Administrative Assistant, Community Programs</t>
  </si>
  <si>
    <t>LAMP Community Health Centre</t>
  </si>
  <si>
    <t>https://www.google.com/search?newwindow=1&amp;ei=2MT0XrvGGM-vytMP1OyDgAY&amp;q=site%3Alinkedin.com+Camila+Rusiecki+Health+Promotion+Programs+Practicum+Student</t>
  </si>
  <si>
    <t>Camila Rusiecki</t>
  </si>
  <si>
    <t>Health Promotion Programs Practicum Student</t>
  </si>
  <si>
    <t>https://www.google.com/search?newwindow=1&amp;ei=2MT0XrvGGM-vytMP1OyDgAY&amp;q=site%3Alinkedin.com+Piyal+Sarker+IITS+Student+Helpdesk</t>
  </si>
  <si>
    <t>Piyal Sarker</t>
  </si>
  <si>
    <t>IITS Student Helpdesk</t>
  </si>
  <si>
    <t>https://www.google.com/search?newwindow=1&amp;ei=2MT0XrvGGM-vytMP1OyDgAY&amp;q=site%3Alinkedin.com+Bayley+Tepperman+Student+Success+Coordinator+for+Faculty+of+Health+Programs</t>
  </si>
  <si>
    <t>Bayley Tepperman</t>
  </si>
  <si>
    <t>Student Success Coordinator for Faculty of Health Programs</t>
  </si>
  <si>
    <t>https://www.google.com/search?newwindow=1&amp;ei=2MT0XrvGGM-vytMP1OyDgAY&amp;q=site%3Alinkedin.com+Marcus+Santos+Associate+Dean+for+Undergraduate+Programs+and+Student+Affairs</t>
  </si>
  <si>
    <t>Marcus Santos</t>
  </si>
  <si>
    <t>Associate Dean for Undergraduate Programs and Student Affairs</t>
  </si>
  <si>
    <t>https://www.google.com/search?newwindow=1&amp;ei=2MT0XrvGGM-vytMP1OyDgAY&amp;q=site%3Alinkedin.com+Kimberly+Russell,+CPA,+CGA+Financial+Manager,+Student+Nutrition+Programs</t>
  </si>
  <si>
    <t>Kimberly Russell, CPA, CGA</t>
  </si>
  <si>
    <t>Financial Manager, Student Nutrition Programs</t>
  </si>
  <si>
    <t>The Angel Foundation for Learning</t>
  </si>
  <si>
    <t>https://www.google.com/search?newwindow=1&amp;ei=2MT0XrvGGM-vytMP1OyDgAY&amp;q=site%3Alinkedin.com+Sothy+Son+Undergraduate+Programs+and+Student+Affairs</t>
  </si>
  <si>
    <t>Sothy Son</t>
  </si>
  <si>
    <t>Undergraduate Programs and Student Affairs</t>
  </si>
  <si>
    <t>https://www.google.com/search?newwindow=1&amp;ei=2MT0XrvGGM-vytMP1OyDgAY&amp;q=site%3Alinkedin.com+Kate+Stoehr+Graduate+Student</t>
  </si>
  <si>
    <t>Kate Stoehr</t>
  </si>
  <si>
    <t>https://www.google.com/search?newwindow=1&amp;ei=2MT0XrvGGM-vytMP1OyDgAY&amp;q=site%3Alinkedin.com+Lisa+MacSween-Stout+Student+Programs+Specialist</t>
  </si>
  <si>
    <t>Lisa MacSween-Stout</t>
  </si>
  <si>
    <t>Student Programs Specialist</t>
  </si>
  <si>
    <t>13 years 7 months in role and company</t>
  </si>
  <si>
    <t>https://www.google.com/search?newwindow=1&amp;ei=2MT0XrvGGM-vytMP1OyDgAY&amp;q=site%3Alinkedin.com+Jennifer+Taylor+Placement+Student</t>
  </si>
  <si>
    <t>Jennifer Taylor</t>
  </si>
  <si>
    <t>WomenatthecentrE</t>
  </si>
  <si>
    <t>https://www.google.com/search?newwindow=1&amp;ei=2MT0XrvGGM-vytMP1OyDgAY&amp;q=site%3Alinkedin.com+Michel+Lederman+Co-Director,+Associate+&amp;+Student+Programs</t>
  </si>
  <si>
    <t>Michel Lederman</t>
  </si>
  <si>
    <t>https://www.google.com/search?newwindow=1&amp;ei=2MT0XrvGGM-vytMP1OyDgAY&amp;q=site%3Alinkedin.com+Monica+Shafik+Student+Advocacy+Coordinator</t>
  </si>
  <si>
    <t>Monica Shafik</t>
  </si>
  <si>
    <t>Student Advocacy Coordinator</t>
  </si>
  <si>
    <t>York Federation of Students</t>
  </si>
  <si>
    <t>https://www.google.com/search?newwindow=1&amp;ei=2MT0XrvGGM-vytMP1OyDgAY&amp;q=site%3Alinkedin.com+Jessica+J.+Wong,+BSc,+DC,+FCCS(C)+Assistant+Professor,+Graduate+Education+and+Research+Programs</t>
  </si>
  <si>
    <t>Jessica J. Wong, BSc, DC, FCCS(C)</t>
  </si>
  <si>
    <t>Assistant Professor, Graduate Education and Research Programs</t>
  </si>
  <si>
    <t>Canadian Memorial Chiropractic College</t>
  </si>
  <si>
    <t>https://www.google.com/search?newwindow=1&amp;ei=2MT0XrvGGM-vytMP1OyDgAY&amp;q=site%3Alinkedin.com+Justine+Sterling+Coordinator,+Programs+and+Services+-+Manulife+Empowering+Women+to+Employment+Project</t>
  </si>
  <si>
    <t>Justine Sterling</t>
  </si>
  <si>
    <t>Coordinator, Programs and Services - Manulife Empowering Women to Employment Project</t>
  </si>
  <si>
    <t>JobStart</t>
  </si>
  <si>
    <t>https://www.google.com/search?newwindow=1&amp;ei=2MT0XrvGGM-vytMP1OyDgAY&amp;q=site%3Alinkedin.com+Stacey+Platt+Coordinator,+International+Student+Programs+and+Services</t>
  </si>
  <si>
    <t>Stacey Platt</t>
  </si>
  <si>
    <t>Coordinator, International Student Programs and Services</t>
  </si>
  <si>
    <t>https://www.google.com/search?newwindow=1&amp;ei=2MT0XrvGGM-vytMP1OyDgAY&amp;q=site%3Alinkedin.com+Matthew+Kinasz+Student+Supervisor</t>
  </si>
  <si>
    <t>Matthew Kinasz</t>
  </si>
  <si>
    <t>Student Supervisor</t>
  </si>
  <si>
    <t>Queen's Enrichment Study Unit</t>
  </si>
  <si>
    <t>https://www.google.com/search?newwindow=1&amp;ei=2MT0XrvGGM-vytMP1OyDgAY&amp;q=site%3Alinkedin.com+Meghann+F.+Student+Programs+Assistant</t>
  </si>
  <si>
    <t>Meghann F.</t>
  </si>
  <si>
    <t>Schulich School of Business - York University</t>
  </si>
  <si>
    <t>https://www.google.com/search?newwindow=1&amp;ei=2MT0XrvGGM-vytMP1OyDgAY&amp;q=site%3Alinkedin.com+Marie+Scarfo+Assistant,+Academic+Programs+and+Student+Services</t>
  </si>
  <si>
    <t>Marie Scarfo</t>
  </si>
  <si>
    <t>Assistant, Academic Programs and Student Services</t>
  </si>
  <si>
    <t>Ontario Institute of PMAC</t>
  </si>
  <si>
    <t>https://www.google.com/search?newwindow=1&amp;ei=2MT0XrvGGM-vytMP1OyDgAY&amp;q=site%3Alinkedin.com+Lisa+P.+Peer+Support+Worker+Harm+Reduction+Adult+Programs</t>
  </si>
  <si>
    <t>Lisa P.</t>
  </si>
  <si>
    <t>Peer Support Worker Harm Reduction Adult Programs</t>
  </si>
  <si>
    <t>https://www.google.com/search?newwindow=1&amp;ei=2MT0XrvGGM-vytMP1OyDgAY&amp;q=site%3Alinkedin.com+Nikki+Strano+Indigenous+Student+Programs+Coordinator</t>
  </si>
  <si>
    <t>Nikki Strano</t>
  </si>
  <si>
    <t>Indigenous Student Programs Coordinator</t>
  </si>
  <si>
    <t>James Cook University</t>
  </si>
  <si>
    <t>Townsville</t>
  </si>
  <si>
    <t>https://www.google.com/search?newwindow=1&amp;ei=2MT0XrvGGM-vytMP1OyDgAY&amp;q=site%3Alinkedin.com+Meghan+Aubert+Graduate+Recruiter</t>
  </si>
  <si>
    <t>Meghan Aubert</t>
  </si>
  <si>
    <t>Troon</t>
  </si>
  <si>
    <t>https://www.google.com/search?newwindow=1&amp;ei=2MT0XrvGGM-vytMP1OyDgAY&amp;q=site%3Alinkedin.com+Kathryn+Sheehan+Senior+Campus+Recruiting+Coordinator</t>
  </si>
  <si>
    <t>Kathryn Sheehan</t>
  </si>
  <si>
    <t>Troy</t>
  </si>
  <si>
    <t>https://www.google.com/search?newwindow=1&amp;ei=2MT0XrvGGM-vytMP1OyDgAY&amp;q=site%3Alinkedin.com+Tamsyn+Harris+Falmouth+University+Recruitment+and+Employability+Service+and+Consultant</t>
  </si>
  <si>
    <t>Tamsyn Harris</t>
  </si>
  <si>
    <t>Falmouth University Recruitment and Employability Service and Consultant</t>
  </si>
  <si>
    <t>Falmouth University</t>
  </si>
  <si>
    <t>Truro</t>
  </si>
  <si>
    <t>https://www.google.com/search?newwindow=1&amp;ei=2MT0XrvGGM-vytMP1OyDgAY&amp;q=site%3Alinkedin.com+Kelly+Woodgate+Training+&amp;+Development+Manager+-+everis+University+UK</t>
  </si>
  <si>
    <t>Kelly Woodgate</t>
  </si>
  <si>
    <t>Training &amp; Development Manager - everis University UK</t>
  </si>
  <si>
    <t>everis</t>
  </si>
  <si>
    <t>Tunbridge Wells</t>
  </si>
  <si>
    <t>https://www.google.com/search?newwindow=1&amp;ei=2MT0XrvGGM-vytMP1OyDgAY&amp;q=site%3Alinkedin.com+Raksha+Patel+EMEA+Campus+Recruitment+Manager</t>
  </si>
  <si>
    <t>Raksha Patel</t>
  </si>
  <si>
    <t>EMEA Campus Recruitment Manager</t>
  </si>
  <si>
    <t>https://www.google.com/search?newwindow=1&amp;ei=2MT0XrvGGM-vytMP1OyDgAY&amp;q=site%3Alinkedin.com+Damien+Hughes+Student+Systems+Recruiter</t>
  </si>
  <si>
    <t>Damien Hughes</t>
  </si>
  <si>
    <t>Student Systems Recruiter</t>
  </si>
  <si>
    <t>Strategic People</t>
  </si>
  <si>
    <t>https://www.google.com/search?newwindow=1&amp;ei=2MT0XrvGGM-vytMP1OyDgAY&amp;q=site%3Alinkedin.com+TS+Tong+UK+&amp;+APAC+Graduate+Recruiter</t>
  </si>
  <si>
    <t>TS Tong</t>
  </si>
  <si>
    <t>UK &amp; APAC Graduate Recruiter</t>
  </si>
  <si>
    <t>https://www.google.com/search?newwindow=1&amp;ei=2MT0XrvGGM-vytMP1OyDgAY&amp;q=site%3Alinkedin.com+Matthew+Sherman+Sales+&amp;+Graduate+Recruiter</t>
  </si>
  <si>
    <t>Matthew Sherman</t>
  </si>
  <si>
    <t>Sales &amp; Graduate Recruiter</t>
  </si>
  <si>
    <t>https://www.google.com/search?newwindow=1&amp;ei=2MT0XrvGGM-vytMP1OyDgAY&amp;q=site%3Alinkedin.com+Raj+Dhaliwal+Graduate+Recruiter</t>
  </si>
  <si>
    <t>Raj Dhaliwal</t>
  </si>
  <si>
    <t>https://www.google.com/search?newwindow=1&amp;ei=2MT0XrvGGM-vytMP1OyDgAY&amp;q=site%3Alinkedin.com+Jamie+Cowling+Graduate+Recruiter</t>
  </si>
  <si>
    <t>Jamie Cowling</t>
  </si>
  <si>
    <t>https://www.google.com/search?newwindow=1&amp;ei=2MT0XrvGGM-vytMP1OyDgAY&amp;q=site%3Alinkedin.com+Lucy+Kemp+University+Recruiter</t>
  </si>
  <si>
    <t>Lucy Kemp</t>
  </si>
  <si>
    <t>https://www.google.com/search?newwindow=1&amp;ei=2MT0XrvGGM-vytMP1OyDgAY&amp;q=site%3Alinkedin.com+Kouther+Husain+Graduate+Recruiter</t>
  </si>
  <si>
    <t>Kouther Husain</t>
  </si>
  <si>
    <t>PA Consulting</t>
  </si>
  <si>
    <t>https://www.google.com/search?newwindow=1&amp;ei=2MT0XrvGGM-vytMP1OyDgAY&amp;q=site%3Alinkedin.com+Jessica+Plant+University+Recruiter</t>
  </si>
  <si>
    <t>Jessica Plant</t>
  </si>
  <si>
    <t>https://www.google.com/search?newwindow=1&amp;ei=2MT0XrvGGM-vytMP1OyDgAY&amp;q=site%3Alinkedin.com+Joshua+Voisey+Graduate+Recruiter</t>
  </si>
  <si>
    <t>Joshua Voisey</t>
  </si>
  <si>
    <t>https://www.google.com/search?newwindow=1&amp;ei=2MT0XrvGGM-vytMP1OyDgAY&amp;q=site%3Alinkedin.com+Mark+Gallagher+University+Graduate+Recruiter</t>
  </si>
  <si>
    <t>Mark Gallagher</t>
  </si>
  <si>
    <t>https://www.google.com/search?newwindow=1&amp;ei=2MT0XrvGGM-vytMP1OyDgAY&amp;q=site%3Alinkedin.com+Lui+DelVerto+University+Recruiter</t>
  </si>
  <si>
    <t>Lui DelVerto</t>
  </si>
  <si>
    <t>https://www.google.com/search?newwindow=1&amp;ei=2MT0XrvGGM-vytMP1OyDgAY&amp;q=site%3Alinkedin.com+Yahya+Safi+Graduate+Recruiter</t>
  </si>
  <si>
    <t>Yahya Safi</t>
  </si>
  <si>
    <t>https://www.google.com/search?newwindow=1&amp;ei=2MT0XrvGGM-vytMP1OyDgAY&amp;q=site%3Alinkedin.com+Olivia+Marsden+Graduate+Recruitment+Lead</t>
  </si>
  <si>
    <t>Olivia Marsden</t>
  </si>
  <si>
    <t>Graduate Recruitment Lead</t>
  </si>
  <si>
    <t>AND Digital</t>
  </si>
  <si>
    <t>https://www.google.com/search?newwindow=1&amp;ei=2MT0XrvGGM-vytMP1OyDgAY&amp;q=site%3Alinkedin.com+Surabhi+Kapoor+Campus+Recruiter</t>
  </si>
  <si>
    <t>Surabhi Kapoor</t>
  </si>
  <si>
    <t>https://www.google.com/search?newwindow=1&amp;ei=2MT0XrvGGM-vytMP1OyDgAY&amp;q=site%3Alinkedin.com+Lisa+O'+Connell+College+Recruiter</t>
  </si>
  <si>
    <t>Lisa O' Connell</t>
  </si>
  <si>
    <t>University College Cork</t>
  </si>
  <si>
    <t>https://www.google.com/search?newwindow=1&amp;ei=2MT0XrvGGM-vytMP1OyDgAY&amp;q=site%3Alinkedin.com+Charlotte+Rose+DE+&amp;+UK+Campus+Recruitment+Manager</t>
  </si>
  <si>
    <t>Charlotte Rose</t>
  </si>
  <si>
    <t>DE &amp; UK Campus Recruitment Manager</t>
  </si>
  <si>
    <t>https://www.google.com/search?newwindow=1&amp;ei=2MT0XrvGGM-vytMP1OyDgAY&amp;q=site%3Alinkedin.com+Bryony+Bunker+University+Recruiter</t>
  </si>
  <si>
    <t>Bryony Bunker</t>
  </si>
  <si>
    <t>https://www.google.com/search?newwindow=1&amp;ei=2MT0XrvGGM-vytMP1OyDgAY&amp;q=site%3Alinkedin.com+angela+zavidei+Student+Programs+Tech+Recruiter+EMEA</t>
  </si>
  <si>
    <t>angela zavidei</t>
  </si>
  <si>
    <t>Student Programs Tech Recruiter EMEA</t>
  </si>
  <si>
    <t>https://www.google.com/search?newwindow=1&amp;ei=2MT0XrvGGM-vytMP1OyDgAY&amp;q=site%3Alinkedin.com+Jessica+Majevadia+EMEA+Student+Programs+Recruitment+Coordinator</t>
  </si>
  <si>
    <t>Jessica Majevadia</t>
  </si>
  <si>
    <t>EMEA Student Programs Recruitment Coordinator</t>
  </si>
  <si>
    <t>https://www.google.com/search?newwindow=1&amp;ei=2MT0XrvGGM-vytMP1OyDgAY&amp;q=site%3Alinkedin.com+Emily+Collins+EMEA+Sales+&amp;+Marketing+Campus+Recruiter</t>
  </si>
  <si>
    <t>Emily Collins</t>
  </si>
  <si>
    <t>EMEA Sales &amp; Marketing Campus Recruiter</t>
  </si>
  <si>
    <t>https://www.google.com/search?newwindow=1&amp;ei=2MT0XrvGGM-vytMP1OyDgAY&amp;q=site%3Alinkedin.com+Michelle+Kiersey+University+Recruitment</t>
  </si>
  <si>
    <t>Michelle Kiersey</t>
  </si>
  <si>
    <t>https://www.google.com/search?newwindow=1&amp;ei=2MT0XrvGGM-vytMP1OyDgAY&amp;q=site%3Alinkedin.com+Sophie+Robinson+EMEA+Campus+Recruiter+and+Programme+Manager</t>
  </si>
  <si>
    <t>Sophie Robinson</t>
  </si>
  <si>
    <t>https://www.google.com/search?newwindow=1&amp;ei=2MT0XrvGGM-vytMP1OyDgAY&amp;q=site%3Alinkedin.com+Karolina+Skrzat+PL+Campus+Recruiter+-+Secondment</t>
  </si>
  <si>
    <t>Karolina Skrzat</t>
  </si>
  <si>
    <t>PL Campus Recruiter - Secondment</t>
  </si>
  <si>
    <t>https://www.google.com/search?newwindow=1&amp;ei=2MT0XrvGGM-vytMP1OyDgAY&amp;q=site%3Alinkedin.com+Victoria+Stack+Graduate+Recruiter</t>
  </si>
  <si>
    <t>Victoria Stack</t>
  </si>
  <si>
    <t>https://www.google.com/search?newwindow=1&amp;ei=2MT0XrvGGM-vytMP1OyDgAY&amp;q=site%3Alinkedin.com+Sally+Preston+Graduate+Recruiter</t>
  </si>
  <si>
    <t>Sally Preston</t>
  </si>
  <si>
    <t>https://www.google.com/search?newwindow=1&amp;ei=2MT0XrvGGM-vytMP1OyDgAY&amp;q=site%3Alinkedin.com+Akansha+Lal+Vice+President+-+Lead+Campus+&amp;+MBA+Recruiter+-+GCIB</t>
  </si>
  <si>
    <t>Akansha Lal</t>
  </si>
  <si>
    <t>Vice President - Lead Campus &amp; MBA Recruiter - GCIB</t>
  </si>
  <si>
    <t>https://www.google.com/search?newwindow=1&amp;ei=2MT0XrvGGM-vytMP1OyDgAY&amp;q=site%3Alinkedin.com+Hannah+Deakin+EMEA+Campus+Lead+Recruiter</t>
  </si>
  <si>
    <t>Hannah Deakin</t>
  </si>
  <si>
    <t>EMEA Campus Lead Recruiter</t>
  </si>
  <si>
    <t>https://www.google.com/search?newwindow=1&amp;ei=2MT0XrvGGM-vytMP1OyDgAY&amp;q=site%3Alinkedin.com+Meenakshi+Jhala+Student+Champion+University+Lead</t>
  </si>
  <si>
    <t>Meenakshi Jhala</t>
  </si>
  <si>
    <t>Student Champion University Lead</t>
  </si>
  <si>
    <t>NICE - National Institute for Health and Care Excellence</t>
  </si>
  <si>
    <t>https://www.google.com/search?newwindow=1&amp;ei=2MT0XrvGGM-vytMP1OyDgAY&amp;q=site%3Alinkedin.com+Lorraine+Little+Interim+Global+Campus+Recruiting+Lead,+Global+Support+Services</t>
  </si>
  <si>
    <t>Lorraine Little</t>
  </si>
  <si>
    <t>Interim Global Campus Recruiting Lead, Global Support Services</t>
  </si>
  <si>
    <t>https://www.google.com/search?newwindow=1&amp;ei=2MT0XrvGGM-vytMP1OyDgAY&amp;q=site%3Alinkedin.com+Abi+Fields+University+Recruiter</t>
  </si>
  <si>
    <t>Abi Fields</t>
  </si>
  <si>
    <t>https://www.google.com/search?newwindow=1&amp;ei=2MT0XrvGGM-vytMP1OyDgAY&amp;q=site%3Alinkedin.com+Klaudia+Slawinska+RAID+Recruitment+and+Admission+International+Student+Ambassador</t>
  </si>
  <si>
    <t>Klaudia Slawinska</t>
  </si>
  <si>
    <t>RAID Recruitment and Admission International Student Ambassador</t>
  </si>
  <si>
    <t>Lancaster University</t>
  </si>
  <si>
    <t>https://www.google.com/search?newwindow=1&amp;ei=2MT0XrvGGM-vytMP1OyDgAY&amp;q=site%3Alinkedin.com+Nicola+Groves+Early+Talent+/+University+Relations+Leader+EMEA</t>
  </si>
  <si>
    <t>Nicola Groves</t>
  </si>
  <si>
    <t>Early Talent / University Relations Leader EMEA</t>
  </si>
  <si>
    <t>Thermofisher Scientific</t>
  </si>
  <si>
    <t>https://www.google.com/search?newwindow=1&amp;ei=2MT0XrvGGM-vytMP1OyDgAY&amp;q=site%3Alinkedin.com+Lily+Marcou+Graduate+&amp;+Apprentice+Recruiter</t>
  </si>
  <si>
    <t>Lily Marcou</t>
  </si>
  <si>
    <t>Graduate &amp; Apprentice Recruiter</t>
  </si>
  <si>
    <t>https://www.google.com/search?newwindow=1&amp;ei=2MT0XrvGGM-vytMP1OyDgAY&amp;q=site%3Alinkedin.com+Kirsty+Smith+Graduate+Recruiter</t>
  </si>
  <si>
    <t>Kirsty Smith</t>
  </si>
  <si>
    <t>https://www.google.com/search?newwindow=1&amp;ei=2MT0XrvGGM-vytMP1OyDgAY&amp;q=site%3Alinkedin.com+Michelle+Mills+University+&amp;+Overseas+Resourcing+Manager</t>
  </si>
  <si>
    <t>Michelle Mills</t>
  </si>
  <si>
    <t>University &amp; Overseas Resourcing Manager</t>
  </si>
  <si>
    <t>Bupa</t>
  </si>
  <si>
    <t>https://www.google.com/search?newwindow=1&amp;ei=2MT0XrvGGM-vytMP1OyDgAY&amp;q=site%3Alinkedin.com+Rachael+Pardini+Vice+President,+EME+Head+of+Banking+Campus+Recruiting</t>
  </si>
  <si>
    <t>Rachael Pardini</t>
  </si>
  <si>
    <t>Vice President, EME Head of Banking Campus Recruiting</t>
  </si>
  <si>
    <t>https://www.google.com/search?newwindow=1&amp;ei=2MT0XrvGGM-vytMP1OyDgAY&amp;q=site%3Alinkedin.com+Shing+Him+M.+Regional+Lead+of+Graduate+Recruitment+Research+and+Campus+Brand+Promotions</t>
  </si>
  <si>
    <t>Shing Him M.</t>
  </si>
  <si>
    <t>Regional Lead of Graduate Recruitment Research and Campus Brand Promotions</t>
  </si>
  <si>
    <t>The Times</t>
  </si>
  <si>
    <t>https://www.google.com/search?newwindow=1&amp;ei=2MT0XrvGGM-vytMP1OyDgAY&amp;q=site%3Alinkedin.com+XINCHI+ZHANG+Student+Engagement+Assistant+-+University+Career+Service</t>
  </si>
  <si>
    <t>XINCHI ZHANG</t>
  </si>
  <si>
    <t>Student Engagement Assistant - University Career Service</t>
  </si>
  <si>
    <t>The University of Edinburgh</t>
  </si>
  <si>
    <t>https://www.google.com/search?newwindow=1&amp;ei=2MT0XrvGGM-vytMP1OyDgAY&amp;q=site%3Alinkedin.com+Olivia+Hoppé+Student+Programs+Recruiter,+EMEA</t>
  </si>
  <si>
    <t>Olivia Hoppé</t>
  </si>
  <si>
    <t>Student Programs Recruiter, EMEA</t>
  </si>
  <si>
    <t>https://www.google.com/search?newwindow=1&amp;ei=2MT0XrvGGM-vytMP1OyDgAY&amp;q=site%3Alinkedin.com+Roma+Dispirito+Graduate+Teaching+Assistant</t>
  </si>
  <si>
    <t>Roma Dispirito</t>
  </si>
  <si>
    <t>Farnham Heath End School</t>
  </si>
  <si>
    <t>https://www.google.com/search?newwindow=1&amp;ei=2MT0XrvGGM-vytMP1OyDgAY&amp;q=site%3Alinkedin.com+Sophie+Bond+University+Recruiter</t>
  </si>
  <si>
    <t>Sophie Bond</t>
  </si>
  <si>
    <t>https://www.google.com/search?newwindow=1&amp;ei=2MT0XrvGGM-vytMP1OyDgAY&amp;q=site%3Alinkedin.com+maxi+opondo-mbai+Head+of+Football+Brunel+University</t>
  </si>
  <si>
    <t>maxi opondo-mbai</t>
  </si>
  <si>
    <t>Head of Football Brunel University</t>
  </si>
  <si>
    <t>Brunel University London</t>
  </si>
  <si>
    <t>https://www.google.com/search?newwindow=1&amp;ei=2MT0XrvGGM-vytMP1OyDgAY&amp;q=site%3Alinkedin.com+Julie+Pritchard+Graduate+and+Apprentice+Recruiter</t>
  </si>
  <si>
    <t>Julie Pritchard</t>
  </si>
  <si>
    <t>Graduate and Apprentice Recruiter</t>
  </si>
  <si>
    <t>BAE Systems</t>
  </si>
  <si>
    <t>https://www.google.com/search?newwindow=1&amp;ei=2MT0XrvGGM-vytMP1OyDgAY&amp;q=site%3Alinkedin.com+Paula+Brennan+Student+Recruiter</t>
  </si>
  <si>
    <t>Paula Brennan</t>
  </si>
  <si>
    <t>Graduate One Stop</t>
  </si>
  <si>
    <t>https://www.google.com/search?newwindow=1&amp;ei=2MT0XrvGGM-vytMP1OyDgAY&amp;q=site%3Alinkedin.com+Sarah+Murphy+Campus+Recruiting+Team+Lead,+Investment+Banking+EMEA</t>
  </si>
  <si>
    <t>Sarah Murphy</t>
  </si>
  <si>
    <t>Campus Recruiting Team Lead, Investment Banking EMEA</t>
  </si>
  <si>
    <t>https://www.google.com/search?newwindow=1&amp;ei=2MT0XrvGGM-vytMP1OyDgAY&amp;q=site%3Alinkedin.com+Angela+Cole+Part-time+Graduate+Recruiter</t>
  </si>
  <si>
    <t>Angela Cole</t>
  </si>
  <si>
    <t>Part-time Graduate Recruiter</t>
  </si>
  <si>
    <t>Talent Resources – London</t>
  </si>
  <si>
    <t>https://www.google.com/search?newwindow=1&amp;ei=2MT0XrvGGM-vytMP1OyDgAY&amp;q=site%3Alinkedin.com+Danish+Ali+Student+Recruiter</t>
  </si>
  <si>
    <t>Danish Ali</t>
  </si>
  <si>
    <t>https://www.google.com/search?newwindow=1&amp;ei=2MT0XrvGGM-vytMP1OyDgAY&amp;q=site%3Alinkedin.com+Katharine+Reed+Student+Recruitment+Coordinator/Sunderland+Children's+University+Manager</t>
  </si>
  <si>
    <t>Katharine Reed</t>
  </si>
  <si>
    <t>Student Recruitment Coordinator/Sunderland Children's University Manager</t>
  </si>
  <si>
    <t>https://www.google.com/search?newwindow=1&amp;ei=2MT0XrvGGM-vytMP1OyDgAY&amp;q=site%3Alinkedin.com+Pal+Trivedi+University+Recruitment</t>
  </si>
  <si>
    <t>Pal Trivedi</t>
  </si>
  <si>
    <t>https://www.google.com/search?newwindow=1&amp;ei=2MT0XrvGGM-vytMP1OyDgAY&amp;q=site%3Alinkedin.com+Miriam+Lennon+[LION]+Graduate+Recruiter</t>
  </si>
  <si>
    <t>Miriam Lennon [LION]</t>
  </si>
  <si>
    <t>The Assessment Group</t>
  </si>
  <si>
    <t>https://www.google.com/search?newwindow=1&amp;ei=2MT0XrvGGM-vytMP1OyDgAY&amp;q=site%3Alinkedin.com+Sonia+Mathur+Graduate+Recruiter</t>
  </si>
  <si>
    <t>Sonia Mathur</t>
  </si>
  <si>
    <t>Randstad UK</t>
  </si>
  <si>
    <t>https://www.google.com/search?newwindow=1&amp;ei=2MT0XrvGGM-vytMP1OyDgAY&amp;q=site%3Alinkedin.com+Meltem+Izzet+Student+Recruiter/+Finance</t>
  </si>
  <si>
    <t>Meltem Izzet</t>
  </si>
  <si>
    <t>Student Recruiter/ Finance</t>
  </si>
  <si>
    <t>University of the Arts London</t>
  </si>
  <si>
    <t>https://www.google.com/search?newwindow=1&amp;ei=2MT0XrvGGM-vytMP1OyDgAY&amp;q=site%3Alinkedin.com+Ben+Cross+Graduate+Recruiter</t>
  </si>
  <si>
    <t>Ben Cross</t>
  </si>
  <si>
    <t>ALP</t>
  </si>
  <si>
    <t>https://www.google.com/search?newwindow=1&amp;ei=2MT0XrvGGM-vytMP1OyDgAY&amp;q=site%3Alinkedin.com+rawdie+lawler+Graduate+Recruiter</t>
  </si>
  <si>
    <t>rawdie lawler</t>
  </si>
  <si>
    <t>SW6 Associates</t>
  </si>
  <si>
    <t>https://www.google.com/search?newwindow=1&amp;ei=2MT0XrvGGM-vytMP1OyDgAY&amp;q=site%3Alinkedin.com+Melanie+Dunkley+Team+Leader,+Global+Learning+(Outbound+Programs),+Student+Success</t>
  </si>
  <si>
    <t>Melanie Dunkley</t>
  </si>
  <si>
    <t>Team Leader, Global Learning (Outbound Programs), Student Success</t>
  </si>
  <si>
    <t>https://www.google.com/search?newwindow=1&amp;ei=2MT0XrvGGM-vytMP1OyDgAY&amp;q=site%3Alinkedin.com+Sophie+Peiyu+Ji+Student+Recruiter+Advisor</t>
  </si>
  <si>
    <t>Sophie Peiyu Ji</t>
  </si>
  <si>
    <t>Student Recruiter Advisor</t>
  </si>
  <si>
    <t>https://www.google.com/search?newwindow=1&amp;ei=2MT0XrvGGM-vytMP1OyDgAY&amp;q=site%3Alinkedin.com+Gurpreet+Dhillon+Campus+Recruiting+Lead-Western+Canada</t>
  </si>
  <si>
    <t>Gurpreet Dhillon</t>
  </si>
  <si>
    <t>Campus Recruiting Lead-Western Canada</t>
  </si>
  <si>
    <t>https://www.google.com/search?newwindow=1&amp;ei=2MT0XrvGGM-vytMP1OyDgAY&amp;q=site%3Alinkedin.com+Ankur+Sinha+Senior+Recruiter+-+Student+Programs+and+University+Hiring</t>
  </si>
  <si>
    <t>Ankur Sinha</t>
  </si>
  <si>
    <t>Senior Recruiter - Student Programs and University Hiring</t>
  </si>
  <si>
    <t>https://www.google.com/search?newwindow=1&amp;ei=2MT0XrvGGM-vytMP1OyDgAY&amp;q=site%3Alinkedin.com+Danika+Coulbourn+Associate+International+Student+Recruiter+and+Advisor,+Events</t>
  </si>
  <si>
    <t>Danika Coulbourn</t>
  </si>
  <si>
    <t>Associate International Student Recruiter and Advisor, Events</t>
  </si>
  <si>
    <t>https://www.google.com/search?newwindow=1&amp;ei=2MT0XrvGGM-vytMP1OyDgAY&amp;q=site%3Alinkedin.com+Laura+Thompson+International+Student+Recruiter+Advisor</t>
  </si>
  <si>
    <t>Laura Thompson</t>
  </si>
  <si>
    <t>International Student Recruiter Advisor</t>
  </si>
  <si>
    <t>https://www.google.com/search?newwindow=1&amp;ei=2MT0XrvGGM-vytMP1OyDgAY&amp;q=site%3Alinkedin.com+Serge+Mather+Recruiter+-+Talent+Acquisition+-+Campus+Programs</t>
  </si>
  <si>
    <t>Serge Mather</t>
  </si>
  <si>
    <t>Recruiter - Talent Acquisition - Campus Programs</t>
  </si>
  <si>
    <t>Ledcor</t>
  </si>
  <si>
    <t>https://www.google.com/search?newwindow=1&amp;ei=2MT0XrvGGM-vytMP1OyDgAY&amp;q=site%3Alinkedin.com+Britt+Fernandes+Associate+International+Student+Recruiter+and+Advisor</t>
  </si>
  <si>
    <t>Britt Fernandes</t>
  </si>
  <si>
    <t>Associate International Student Recruiter and Advisor</t>
  </si>
  <si>
    <t>https://www.google.com/search?newwindow=1&amp;ei=2MT0XrvGGM-vytMP1OyDgAY&amp;q=site%3Alinkedin.com+Nicolette+Richardson+Associate+Student+Recruiter</t>
  </si>
  <si>
    <t>Nicolette Richardson</t>
  </si>
  <si>
    <t>Associate Student Recruiter</t>
  </si>
  <si>
    <t>https://www.google.com/search?newwindow=1&amp;ei=2MT0XrvGGM-vytMP1OyDgAY&amp;q=site%3Alinkedin.com+Derek+Weeres+Recruiter,+University+Relations+&amp;+Next-Gen+Talent</t>
  </si>
  <si>
    <t>Derek Weeres</t>
  </si>
  <si>
    <t>Recruiter, University Relations &amp; Next-Gen Talent</t>
  </si>
  <si>
    <t>Electronic Arts (EA)</t>
  </si>
  <si>
    <t>https://www.google.com/search?newwindow=1&amp;ei=2MT0XrvGGM-vytMP1OyDgAY&amp;q=site%3Alinkedin.com+Badre+Hassani+Internationa+Student+Recruiter/Advisor</t>
  </si>
  <si>
    <t>Badre Hassani</t>
  </si>
  <si>
    <t>Internationa Student Recruiter/Advisor</t>
  </si>
  <si>
    <t>https://www.google.com/search?newwindow=1&amp;ei=2MT0XrvGGM-vytMP1OyDgAY&amp;q=site%3Alinkedin.com+Nadia+Syskova+Internationla+Student+Recruiter/Advisor,+Asia+and+Europe</t>
  </si>
  <si>
    <t>Nadia Syskova</t>
  </si>
  <si>
    <t>Internationla Student Recruiter/Advisor, Asia and Europe</t>
  </si>
  <si>
    <t>https://www.google.com/search?newwindow=1&amp;ei=2MT0XrvGGM-vytMP1OyDgAY&amp;q=site%3Alinkedin.com+Laura+Mayer+University+Relations+Business+Partner+and+Campus+Recruiter+(maternity+leave)</t>
  </si>
  <si>
    <t>Laura Mayer</t>
  </si>
  <si>
    <t>University Relations Business Partner and Campus Recruiter (maternity leave)</t>
  </si>
  <si>
    <t>https://www.google.com/search?newwindow=1&amp;ei=2MT0XrvGGM-vytMP1OyDgAY&amp;q=site%3Alinkedin.com+Deepika+Deepika+Recruiter</t>
  </si>
  <si>
    <t>Deepika Deepika</t>
  </si>
  <si>
    <t>Campus Support</t>
  </si>
  <si>
    <t>https://www.google.com/search?newwindow=1&amp;ei=2MT0XrvGGM-vytMP1OyDgAY&amp;q=site%3Alinkedin.com+Vivian+Wang+Student+Counselor+&amp;+recruiter</t>
  </si>
  <si>
    <t>Vivian Wang</t>
  </si>
  <si>
    <t>Student Counselor &amp; recruiter</t>
  </si>
  <si>
    <t>Bodwell High School</t>
  </si>
  <si>
    <t>https://www.google.com/search?newwindow=1&amp;ei=2MT0XrvGGM-vytMP1OyDgAY&amp;q=site%3Alinkedin.com+Jeremy+Chen+Student+Recruiter</t>
  </si>
  <si>
    <t>Jeremy Chen</t>
  </si>
  <si>
    <t>WEDO EDUCATION</t>
  </si>
  <si>
    <t>https://www.google.com/search?newwindow=1&amp;ei=2MT0XrvGGM-vytMP1OyDgAY&amp;q=site%3Alinkedin.com+Lucía+Martín+Huerta+Student+Services+Coordinator+/+Homestay+Recruiter</t>
  </si>
  <si>
    <t>Lucía Martín Huerta</t>
  </si>
  <si>
    <t>Student Services Coordinator / Homestay Recruiter</t>
  </si>
  <si>
    <t>EC English Language Centres</t>
  </si>
  <si>
    <t>https://www.google.com/search?newwindow=1&amp;ei=2MT0XrvGGM-vytMP1OyDgAY&amp;q=site%3Alinkedin.com+Laura+Manyari+Associate+International+Student+Recruiter+&amp;+Advisor</t>
  </si>
  <si>
    <t>Laura Manyari</t>
  </si>
  <si>
    <t>Associate International Student Recruiter &amp; Advisor</t>
  </si>
  <si>
    <t>UBC International Student Initiative</t>
  </si>
  <si>
    <t>https://www.google.com/search?newwindow=1&amp;ei=2MT0XrvGGM-vytMP1OyDgAY&amp;q=site%3Alinkedin.com+Janna+Rumary-Kellett+Senior+Student+Advisor/Recruiter,+Faculty+of+Forestry</t>
  </si>
  <si>
    <t>Janna Rumary-Kellett</t>
  </si>
  <si>
    <t>Senior Student Advisor/Recruiter, Faculty of Forestry</t>
  </si>
  <si>
    <t>https://www.google.com/search?newwindow=1&amp;ei=2MT0XrvGGM-vytMP1OyDgAY&amp;q=site%3Alinkedin.com+Jin+Qin+Student+Manager+and+Recruiter</t>
  </si>
  <si>
    <t>Jin Qin</t>
  </si>
  <si>
    <t>Student Manager and Recruiter</t>
  </si>
  <si>
    <t>Southwestern Company</t>
  </si>
  <si>
    <t>https://www.google.com/search?newwindow=1&amp;ei=2MT0XrvGGM-vytMP1OyDgAY&amp;q=site%3Alinkedin.com+Demet+Kitis+Student+Recruiter</t>
  </si>
  <si>
    <t>Demet Kitis</t>
  </si>
  <si>
    <t>AISS Vancouver</t>
  </si>
  <si>
    <t>https://www.google.com/search?newwindow=1&amp;ei=2MT0XrvGGM-vytMP1OyDgAY&amp;q=site%3Alinkedin.com+Jacquie+Sinclair+Marketing+Coordinator+&amp;+International+Student+Recruiter</t>
  </si>
  <si>
    <t>Jacquie Sinclair</t>
  </si>
  <si>
    <t>Marketing Coordinator &amp; International Student Recruiter</t>
  </si>
  <si>
    <t>20 years 1 month in role and company</t>
  </si>
  <si>
    <t>https://www.google.com/search?newwindow=1&amp;ei=2MT0XrvGGM-vytMP1OyDgAY&amp;q=site%3Alinkedin.com+Ghoncheh+Doroudi+Recruiter+Intern</t>
  </si>
  <si>
    <t>Ghoncheh Doroudi</t>
  </si>
  <si>
    <t>Recruiter Intern</t>
  </si>
  <si>
    <t>Kaplan Test Prep</t>
  </si>
  <si>
    <t>https://www.google.com/search?newwindow=1&amp;ei=2MT0XrvGGM-vytMP1OyDgAY&amp;q=site%3Alinkedin.com+Ashley+Wan+Student+Recruiter-Advisor</t>
  </si>
  <si>
    <t>Ashley Wan</t>
  </si>
  <si>
    <t>Corpus Christi College &amp; St. Mark's College</t>
  </si>
  <si>
    <t>https://www.google.com/search?newwindow=1&amp;ei=2MT0XrvGGM-vytMP1OyDgAY&amp;q=site%3Alinkedin.com+Andrea+Kirby+Student+Recruiter,+Graduate+Business+Programs</t>
  </si>
  <si>
    <t>Andrea Kirby</t>
  </si>
  <si>
    <t>Student Recruiter, Graduate Business Programs</t>
  </si>
  <si>
    <t>Segal Graduate School of Business ~ Simon Fraser University</t>
  </si>
  <si>
    <t>14 years 1 month in role</t>
  </si>
  <si>
    <t>https://www.google.com/search?newwindow=1&amp;ei=2MT0XrvGGM-vytMP1OyDgAY&amp;q=site%3Alinkedin.com+Meike+Schieb+International+Student+Advisor,+Scholarship+Programs</t>
  </si>
  <si>
    <t>Meike Schieb</t>
  </si>
  <si>
    <t>International Student Advisor, Scholarship Programs</t>
  </si>
  <si>
    <t>https://www.google.com/search?newwindow=1&amp;ei=2MT0XrvGGM-vytMP1OyDgAY&amp;q=site%3Alinkedin.com+Tina+Borcanin+HR+Consulting+Services+Student</t>
  </si>
  <si>
    <t>Tina Borcanin</t>
  </si>
  <si>
    <t>HR Consulting Services Student</t>
  </si>
  <si>
    <t>Fraser Health Authority</t>
  </si>
  <si>
    <t>https://www.google.com/search?newwindow=1&amp;ei=2MT0XrvGGM-vytMP1OyDgAY&amp;q=site%3Alinkedin.com+Ben+Lee+Undergraduate+Advisor+&amp;+Recruiter</t>
  </si>
  <si>
    <t>Ben Lee</t>
  </si>
  <si>
    <t>https://www.google.com/search?newwindow=1&amp;ei=2MT0XrvGGM-vytMP1OyDgAY&amp;q=site%3Alinkedin.com+Lisa+Midgley+Talent+Specialist,+Associate+&amp;+Student+Programs</t>
  </si>
  <si>
    <t>Lisa Midgley</t>
  </si>
  <si>
    <t>Talent Specialist, Associate &amp; Student Programs</t>
  </si>
  <si>
    <t>https://www.google.com/search?newwindow=1&amp;ei=2MT0XrvGGM-vytMP1OyDgAY&amp;q=site%3Alinkedin.com+William+C.+Student+Programs+Assistant+(Faculty+of+Medicine)</t>
  </si>
  <si>
    <t>William C.</t>
  </si>
  <si>
    <t>Student Programs Assistant (Faculty of Medicine)</t>
  </si>
  <si>
    <t>https://www.google.com/search?newwindow=1&amp;ei=2MT0XrvGGM-vytMP1OyDgAY&amp;q=site%3Alinkedin.com+Hanna+J.+L.+International+Student+Advisor,+Programs+and+Settlement</t>
  </si>
  <si>
    <t>Hanna J. L.</t>
  </si>
  <si>
    <t>International Student Advisor, Programs and Settlement</t>
  </si>
  <si>
    <t>https://www.google.com/search?newwindow=1&amp;ei=2MT0XrvGGM-vytMP1OyDgAY&amp;q=site%3Alinkedin.com+Courtney+Apps,+MBA+Undergraduate+Advisor+&amp;+Recruiter+-+Political+Science</t>
  </si>
  <si>
    <t>Courtney Apps, MBA</t>
  </si>
  <si>
    <t>Undergraduate Advisor &amp; Recruiter - Political Science</t>
  </si>
  <si>
    <t>https://www.google.com/search?newwindow=1&amp;ei=2MT0XrvGGM-vytMP1OyDgAY&amp;q=site%3Alinkedin.com+Elisa+C.+Coordinator,+Student+and+Associate+Programs+(West)</t>
  </si>
  <si>
    <t>Elisa C.</t>
  </si>
  <si>
    <t>Coordinator, Student and Associate Programs (West)</t>
  </si>
  <si>
    <t>https://www.google.com/search?newwindow=1&amp;ei=2MT0XrvGGM-vytMP1OyDgAY&amp;q=site%3Alinkedin.com+Lisa+Sidhu+Associate+Director,+Associate+and+Student+Programs</t>
  </si>
  <si>
    <t>Lisa Sidhu</t>
  </si>
  <si>
    <t>Associate Director, Associate and Student Programs</t>
  </si>
  <si>
    <t>https://www.google.com/search?newwindow=1&amp;ei=2MT0XrvGGM-vytMP1OyDgAY&amp;q=site%3Alinkedin.com+Christine+York+Director+of+Associate+and+Student+Programs</t>
  </si>
  <si>
    <t>Christine York</t>
  </si>
  <si>
    <t>Director of Associate and Student Programs</t>
  </si>
  <si>
    <t>Alexander Holburn Beaudin + Lang LLP</t>
  </si>
  <si>
    <t>24 years 2 months in role and company</t>
  </si>
  <si>
    <t>https://www.google.com/search?newwindow=1&amp;ei=2MT0XrvGGM-vytMP1OyDgAY&amp;q=site%3Alinkedin.com+Joseph+Topornycky+Manager,+Graduate+Student+Programs</t>
  </si>
  <si>
    <t>Joseph Topornycky</t>
  </si>
  <si>
    <t>Manager, Graduate Student Programs</t>
  </si>
  <si>
    <t>https://www.google.com/search?newwindow=1&amp;ei=2MT0XrvGGM-vytMP1OyDgAY&amp;q=site%3Alinkedin.com+Kathleen+Coupland+Coordinator+for+the+Professional+Masters+Programs</t>
  </si>
  <si>
    <t>Kathleen Coupland</t>
  </si>
  <si>
    <t>Coordinator for the Professional Masters Programs</t>
  </si>
  <si>
    <t>The University of British Columbia - Faculty of Forestry</t>
  </si>
  <si>
    <t>https://www.google.com/search?newwindow=1&amp;ei=2MT0XrvGGM-vytMP1OyDgAY&amp;q=site%3Alinkedin.com+Kelsey+Dyck+Practicum+Student</t>
  </si>
  <si>
    <t>Kelsey Dyck</t>
  </si>
  <si>
    <t>Practicum Student</t>
  </si>
  <si>
    <t>CityHive Vancouver</t>
  </si>
  <si>
    <t>https://www.google.com/search?newwindow=1&amp;ei=2MT0XrvGGM-vytMP1OyDgAY&amp;q=site%3Alinkedin.com+Carol+Chestnut+Director,+Associate+&amp;+Student+Programs</t>
  </si>
  <si>
    <t>Carol Chestnut</t>
  </si>
  <si>
    <t>Director, Associate &amp; Student Programs</t>
  </si>
  <si>
    <t>https://www.google.com/search?newwindow=1&amp;ei=2MT0XrvGGM-vytMP1OyDgAY&amp;q=site%3Alinkedin.com+Gabriel+Sauro+Undergraduate+Advisor+&amp;+Recruiter+(School+of+Criminology)</t>
  </si>
  <si>
    <t>Gabriel Sauro</t>
  </si>
  <si>
    <t>Undergraduate Advisor &amp; Recruiter (School of Criminology)</t>
  </si>
  <si>
    <t>https://www.google.com/search?newwindow=1&amp;ei=2MT0XrvGGM-vytMP1OyDgAY&amp;q=site%3Alinkedin.com+Andrea+Walterhouse+Senior+Programs+Assistant,+Operations+&amp;+Administration</t>
  </si>
  <si>
    <t>Andrea Walterhouse</t>
  </si>
  <si>
    <t>Senior Programs Assistant, Operations &amp; Administration</t>
  </si>
  <si>
    <t>Robert H. Lee Graduate School, UBC Sauder School of Business</t>
  </si>
  <si>
    <t>https://www.google.com/search?newwindow=1&amp;ei=2MT0XrvGGM-vytMP1OyDgAY&amp;q=site%3Alinkedin.com+Emily+Naing+Student+Intern:+Student+Programs+Coordinator</t>
  </si>
  <si>
    <t>Emily Naing</t>
  </si>
  <si>
    <t>Student Intern: Student Programs Coordinator</t>
  </si>
  <si>
    <t>YELL Canada</t>
  </si>
  <si>
    <t>https://www.google.com/search?newwindow=1&amp;ei=2MT0XrvGGM-vytMP1OyDgAY&amp;q=site%3Alinkedin.com+Alisha+Samnani+Officer,+Student+Engagement+Programs</t>
  </si>
  <si>
    <t>Alisha Samnani</t>
  </si>
  <si>
    <t>Officer, Student Engagement Programs</t>
  </si>
  <si>
    <t>https://www.google.com/search?newwindow=1&amp;ei=2MT0XrvGGM-vytMP1OyDgAY&amp;q=site%3Alinkedin.com+Stephanie+Paige+Coordinator,+Professional+Development+and+Student+Programs+(BC)</t>
  </si>
  <si>
    <t>Stephanie Paige</t>
  </si>
  <si>
    <t>Coordinator, Professional Development and Student Programs (BC)</t>
  </si>
  <si>
    <t>https://www.google.com/search?newwindow=1&amp;ei=2MT0XrvGGM-vytMP1OyDgAY&amp;q=site%3Alinkedin.com+Jessie+C.+Academic+Programs+Coordinator+-+School+of+Computing+Science</t>
  </si>
  <si>
    <t>Jessie C.</t>
  </si>
  <si>
    <t>Academic Programs Coordinator - School of Computing Science</t>
  </si>
  <si>
    <t>https://www.google.com/search?newwindow=1&amp;ei=2MT0XrvGGM-vytMP1OyDgAY&amp;q=site%3Alinkedin.com+Alexis+Vanderveen+Special+Programs+Advisor+and+Recruiter,+Faculty+of+Education</t>
  </si>
  <si>
    <t>Alexis Vanderveen</t>
  </si>
  <si>
    <t>Special Programs Advisor and Recruiter, Faculty of Education</t>
  </si>
  <si>
    <t>https://www.google.com/search?newwindow=1&amp;ei=2MT0XrvGGM-vytMP1OyDgAY&amp;q=site%3Alinkedin.com+Syskova+Nadia+Associate+International+Student+Recruiter+and+Advisor</t>
  </si>
  <si>
    <t>Syskova Nadia</t>
  </si>
  <si>
    <t>UBC</t>
  </si>
  <si>
    <t>https://www.google.com/search?newwindow=1&amp;ei=2MT0XrvGGM-vytMP1OyDgAY&amp;q=site%3Alinkedin.com+Dr.+Mishy+Elmpak,+C.+Psych.+Professor,+Faculty+of+Psychology,+Director+of+International+Student+Programs</t>
  </si>
  <si>
    <t>Dr. Mishy Elmpak, C. Psych.</t>
  </si>
  <si>
    <t>Professor, Faculty of Psychology, Director of International Student Programs</t>
  </si>
  <si>
    <t>Adler Graduate Professional School</t>
  </si>
  <si>
    <t>9 years 10 months in role</t>
  </si>
  <si>
    <t>Vaughan</t>
  </si>
  <si>
    <t>https://www.google.com/search?newwindow=1&amp;ei=2MT0XrvGGM-vytMP1OyDgAY&amp;q=site%3Alinkedin.com+Karen+Waugh+Senior+International+Recruiter/Advisor+Awards+and+On-Campus</t>
  </si>
  <si>
    <t>Karen Waugh</t>
  </si>
  <si>
    <t>Senior International Recruiter/Advisor Awards and On-Campus</t>
  </si>
  <si>
    <t>https://www.google.com/search?newwindow=1&amp;ei=2MT0XrvGGM-vytMP1OyDgAY&amp;q=site%3Alinkedin.com+Clare+Walton+Engineering+and+Computer+Science+Student+Recruiter</t>
  </si>
  <si>
    <t>Clare Walton</t>
  </si>
  <si>
    <t>Engineering and Computer Science Student Recruiter</t>
  </si>
  <si>
    <t>University of Victoria</t>
  </si>
  <si>
    <t>https://www.google.com/search?newwindow=1&amp;ei=2MT0XrvGGM-vytMP1OyDgAY&amp;q=site%3Alinkedin.com+Kyoungsook(Kim)+Sjoblom+Student+Recruiter</t>
  </si>
  <si>
    <t>Kyoungsook(Kim) Sjoblom</t>
  </si>
  <si>
    <t>Self-Employed</t>
  </si>
  <si>
    <t>11 years 8 months in role and company</t>
  </si>
  <si>
    <t>https://www.google.com/search?newwindow=1&amp;ei=2MT0XrvGGM-vytMP1OyDgAY&amp;q=site%3Alinkedin.com+Gabrielle+Costin+Deputy+Principal+-+Student+Programs+and+Staffing</t>
  </si>
  <si>
    <t>Gabrielle Costin</t>
  </si>
  <si>
    <t>Deputy Principal - Student Programs and Staffing</t>
  </si>
  <si>
    <t>Nagle College Bairnsdale</t>
  </si>
  <si>
    <t>https://www.google.com/search?newwindow=1&amp;ei=2MT0XrvGGM-vytMP1OyDgAY&amp;q=site%3Alinkedin.com+Jeff+Davis+Director+-+International+Student+Programs</t>
  </si>
  <si>
    <t>Jeff Davis</t>
  </si>
  <si>
    <t>Greater Victoria School District</t>
  </si>
  <si>
    <t>https://www.google.com/search?newwindow=1&amp;ei=2MT0XrvGGM-vytMP1OyDgAY&amp;q=site%3Alinkedin.com+Jennifer+Lei+K.+INTERNATIONAL+STUDENT+FACILITATOR.+INTERNATIONAL+STUDENT+PROGRAMS</t>
  </si>
  <si>
    <t>Jennifer Lei K.</t>
  </si>
  <si>
    <t>INTERNATIONAL STUDENT FACILITATOR. INTERNATIONAL STUDENT PROGRAMS</t>
  </si>
  <si>
    <t>https://www.google.com/search?newwindow=1&amp;ei=2MT0XrvGGM-vytMP1OyDgAY&amp;q=site%3Alinkedin.com+Linda+Nicoll+Manager,+Student+and+Alumni+Programs</t>
  </si>
  <si>
    <t>Linda Nicoll</t>
  </si>
  <si>
    <t>Manager, Student and Alumni Programs</t>
  </si>
  <si>
    <t>20 years 2 months in role</t>
  </si>
  <si>
    <t>https://www.google.com/search?newwindow=1&amp;ei=2MT0XrvGGM-vytMP1OyDgAY&amp;q=site%3Alinkedin.com+Sabrina+Williams+Student</t>
  </si>
  <si>
    <t>Sabrina Williams</t>
  </si>
  <si>
    <t>https://www.google.com/search?newwindow=1&amp;ei=2MT0XrvGGM-vytMP1OyDgAY&amp;q=site%3Alinkedin.com+Radhika+Nair+Exchange+Student+Advisor,+International+Programs</t>
  </si>
  <si>
    <t>Radhika Nair</t>
  </si>
  <si>
    <t>Exchange Student Advisor, International Programs</t>
  </si>
  <si>
    <t>Gustavson School of Business, University of Victoria</t>
  </si>
  <si>
    <t>https://www.google.com/search?newwindow=1&amp;ei=2MT0XrvGGM-vytMP1OyDgAY&amp;q=site%3Alinkedin.com+Ellen+Podbury+Student+and+Staff+Programs+Leading+Teacher</t>
  </si>
  <si>
    <t>Ellen Podbury</t>
  </si>
  <si>
    <t>Student and Staff Programs Leading Teacher</t>
  </si>
  <si>
    <t>Timboon P-12 School</t>
  </si>
  <si>
    <t>https://www.google.com/search?newwindow=1&amp;ei=2MT0XrvGGM-vytMP1OyDgAY&amp;q=site%3Alinkedin.com+Mark+Johnston+District+Vice-Principal;+International+Student+Programs</t>
  </si>
  <si>
    <t>Mark Johnston</t>
  </si>
  <si>
    <t>District Vice-Principal; International Student Programs</t>
  </si>
  <si>
    <t>https://www.google.com/search?newwindow=1&amp;ei=2MT0XrvGGM-vytMP1OyDgAY&amp;q=site%3Alinkedin.com+Pauline+Bedford+Director+of+the+Admissions+and+Recruitment+Centre,+University+Partnerships+Europe</t>
  </si>
  <si>
    <t>Pauline Bedford</t>
  </si>
  <si>
    <t>Director of the Admissions and Recruitment Centre, University Partnerships Europe</t>
  </si>
  <si>
    <t>Wallingford</t>
  </si>
  <si>
    <t>https://www.google.com/search?newwindow=1&amp;ei=2MT0XrvGGM-vytMP1OyDgAY&amp;q=site%3Alinkedin.com+Tara+Parandak+Campus+Recruiting+Ambassador</t>
  </si>
  <si>
    <t>Tara Parandak</t>
  </si>
  <si>
    <t>Campus Recruiting Ambassador</t>
  </si>
  <si>
    <t>Walnut Creek</t>
  </si>
  <si>
    <t>https://www.google.com/search?newwindow=1&amp;ei=2MT0XrvGGM-vytMP1OyDgAY&amp;q=site%3Alinkedin.com+Christine+Savery+Campus+Recruiter</t>
  </si>
  <si>
    <t>Christine Savery</t>
  </si>
  <si>
    <t>EY-Parthenon</t>
  </si>
  <si>
    <t>Waltham</t>
  </si>
  <si>
    <t>https://www.google.com/search?newwindow=1&amp;ei=2MT0XrvGGM-vytMP1OyDgAY&amp;q=site%3Alinkedin.com+Olivia+Storer+Student+Ambassador</t>
  </si>
  <si>
    <t>Olivia Storer</t>
  </si>
  <si>
    <t>McDaniel College Center for Experience and Opportunity</t>
  </si>
  <si>
    <t>Wangaratta</t>
  </si>
  <si>
    <t>https://www.google.com/search?newwindow=1&amp;ei=2MT0XrvGGM-vytMP1OyDgAY&amp;q=site%3Alinkedin.com+Nicole+Floyd+Associate,+Campus+Recruiting</t>
  </si>
  <si>
    <t>Nicole Floyd</t>
  </si>
  <si>
    <t>Warren</t>
  </si>
  <si>
    <t>https://www.google.com/search?newwindow=1&amp;ei=2MT0XrvGGM-vytMP1OyDgAY&amp;q=site%3Alinkedin.com+Lucy+Woodrow+Graduate+Recruiter</t>
  </si>
  <si>
    <t>Lucy Woodrow</t>
  </si>
  <si>
    <t>Fircroft</t>
  </si>
  <si>
    <t>Warrington</t>
  </si>
  <si>
    <t>https://www.google.com/search?newwindow=1&amp;ei=2MT0XrvGGM-vytMP1OyDgAY&amp;q=site%3Alinkedin.com+Faith+Holland+Tech+Recruiter,+Campus+Recruiting</t>
  </si>
  <si>
    <t>https://www.google.com/search?newwindow=1&amp;ei=2MT0XrvGGM-vytMP1OyDgAY&amp;q=site%3Alinkedin.com+Christa+Sublett+Campus+Recruiting+Manager</t>
  </si>
  <si>
    <t>https://www.google.com/search?newwindow=1&amp;ei=2MT0XrvGGM-vytMP1OyDgAY&amp;q=site%3Alinkedin.com+Meredith+TenHoeve+Campus+Recruiting+Manager</t>
  </si>
  <si>
    <t>https://www.google.com/search?newwindow=1&amp;ei=2MT0XrvGGM-vytMP1OyDgAY&amp;q=site%3Alinkedin.com+Laura+Vitale+Manager,+Campus+Recruiting</t>
  </si>
  <si>
    <t>https://www.google.com/search?newwindow=1&amp;ei=2MT0XrvGGM-vytMP1OyDgAY&amp;q=site%3Alinkedin.com+Courtney+Lynch+Campus+Recruiting+Specialist</t>
  </si>
  <si>
    <t>Courtney Lynch</t>
  </si>
  <si>
    <t>https://www.google.com/search?newwindow=1&amp;ei=2MT0XrvGGM-vytMP1OyDgAY&amp;q=site%3Alinkedin.com+Natalie+Choe+Vice+President+-+Diversity+Campus+Recruiting+&amp;+Veterans+Associate+Recruiter/Program+Manager</t>
  </si>
  <si>
    <t>https://www.google.com/search?newwindow=1&amp;ei=2MT0XrvGGM-vytMP1OyDgAY&amp;q=site%3Alinkedin.com+Libby+Wallin+Lead+Campus+Recruiting+Specialist</t>
  </si>
  <si>
    <t>Libby Wallin</t>
  </si>
  <si>
    <t>https://www.google.com/search?newwindow=1&amp;ei=2MT0XrvGGM-vytMP1OyDgAY&amp;q=site%3Alinkedin.com+Julia+Dearchs+Campus+Recruiting+Specialist</t>
  </si>
  <si>
    <t>Julia Dearchs</t>
  </si>
  <si>
    <t>https://www.google.com/search?newwindow=1&amp;ei=2MT0XrvGGM-vytMP1OyDgAY&amp;q=site%3Alinkedin.com+Kwanza+K.+Nunn,+SPHR,+SHRM-SCP+Campus+Recruiting+Manager</t>
  </si>
  <si>
    <t>https://www.google.com/search?newwindow=1&amp;ei=2MT0XrvGGM-vytMP1OyDgAY&amp;q=site%3Alinkedin.com+Kristopher+(Kris)+Corey+(he/him/they)+Campus+Recruiting+Coordinator</t>
  </si>
  <si>
    <t>Kristopher (Kris) Corey (he/him/they)</t>
  </si>
  <si>
    <t>https://www.google.com/search?newwindow=1&amp;ei=2MT0XrvGGM-vytMP1OyDgAY&amp;q=site%3Alinkedin.com+Sarah+Johnston+Campus+Recruiting+Coordinator</t>
  </si>
  <si>
    <t>Sarah Johnston</t>
  </si>
  <si>
    <t>https://www.google.com/search?newwindow=1&amp;ei=2MT0XrvGGM-vytMP1OyDgAY&amp;q=site%3Alinkedin.com+Eric+A.+Arellano+Senior+Campus+Recruiting+Specialist+(Government+&amp;+Public+Service)</t>
  </si>
  <si>
    <t>Eric A. Arellano</t>
  </si>
  <si>
    <t>Senior Campus Recruiting Specialist (Government &amp; Public Service)</t>
  </si>
  <si>
    <t>https://www.google.com/search?newwindow=1&amp;ei=2MT0XrvGGM-vytMP1OyDgAY&amp;q=site%3Alinkedin.com+Nicole+Sullivan+Campus+Recruiting</t>
  </si>
  <si>
    <t>Nicole Sullivan</t>
  </si>
  <si>
    <t>https://www.google.com/search?newwindow=1&amp;ei=2MT0XrvGGM-vytMP1OyDgAY&amp;q=site%3Alinkedin.com+Melissa+Pohlman+Campus+Recruiting+Coordinator</t>
  </si>
  <si>
    <t>Melissa Pohlman</t>
  </si>
  <si>
    <t>https://www.google.com/search?newwindow=1&amp;ei=2MT0XrvGGM-vytMP1OyDgAY&amp;q=site%3Alinkedin.com+Stephanie+Plageman+Senior+Campus+Recruiting+Specialist</t>
  </si>
  <si>
    <t>Stephanie Plageman</t>
  </si>
  <si>
    <t>https://www.google.com/search?newwindow=1&amp;ei=2MT0XrvGGM-vytMP1OyDgAY&amp;q=site%3Alinkedin.com+Anthony+Jimenez+Tech+Recruiter+-+Campus+Recruiting</t>
  </si>
  <si>
    <t>https://www.google.com/search?newwindow=1&amp;ei=2MT0XrvGGM-vytMP1OyDgAY&amp;q=site%3Alinkedin.com+Kelsey+Marshall+Campus+Recruiting</t>
  </si>
  <si>
    <t>Kelsey Marshall</t>
  </si>
  <si>
    <t>https://www.google.com/search?newwindow=1&amp;ei=2MT0XrvGGM-vytMP1OyDgAY&amp;q=site%3Alinkedin.com+Laura+Schneiders+Campus+Recruiting+Coordinator</t>
  </si>
  <si>
    <t>Laura Schneiders</t>
  </si>
  <si>
    <t>https://www.google.com/search?newwindow=1&amp;ei=2MT0XrvGGM-vytMP1OyDgAY&amp;q=site%3Alinkedin.com+Taylor+Thesing+Campus+Recruiting+Specialist</t>
  </si>
  <si>
    <t>Taylor Thesing</t>
  </si>
  <si>
    <t>https://www.google.com/search?newwindow=1&amp;ei=2MT0XrvGGM-vytMP1OyDgAY&amp;q=site%3Alinkedin.com+Chelsea+Bruchs+Mid-Atlantic+/+Carolina+Regional+Events+Lead,+Campus+Recruiting</t>
  </si>
  <si>
    <t>Chelsea Bruchs</t>
  </si>
  <si>
    <t>Mid-Atlantic / Carolina Regional Events Lead, Campus Recruiting</t>
  </si>
  <si>
    <t>https://www.google.com/search?newwindow=1&amp;ei=2MT0XrvGGM-vytMP1OyDgAY&amp;q=site%3Alinkedin.com+Lolita+Hill+Supervising+Associate,+Campus+Recruiting</t>
  </si>
  <si>
    <t>Lolita Hill</t>
  </si>
  <si>
    <t>https://www.google.com/search?newwindow=1&amp;ei=2MT0XrvGGM-vytMP1OyDgAY&amp;q=site%3Alinkedin.com+Sean+Woolford+Supervising+Associate,+Financial+Services+Organization,+Campus+Recruiting</t>
  </si>
  <si>
    <t>https://www.google.com/search?newwindow=1&amp;ei=2MT0XrvGGM-vytMP1OyDgAY&amp;q=site%3Alinkedin.com+Cinthia+Lopez+Senior+Director,+Human+Resources,+Head+of+Campus+Recruiting+and+Programs</t>
  </si>
  <si>
    <t>Cinthia Lopez</t>
  </si>
  <si>
    <t>Senior Director, Human Resources, Head of Campus Recruiting and Programs</t>
  </si>
  <si>
    <t>https://www.google.com/search?newwindow=1&amp;ei=2MT0XrvGGM-vytMP1OyDgAY&amp;q=site%3Alinkedin.com+Isabel+Rose+Kadiri+Analyst+Campus+Recruiting+&amp;+Programs+|+Human+Resources+Rotational+Program+Associate</t>
  </si>
  <si>
    <t>Isabel Rose Kadiri</t>
  </si>
  <si>
    <t>Analyst Campus Recruiting &amp; Programs | Human Resources Rotational Program Associate</t>
  </si>
  <si>
    <t>https://www.google.com/search?newwindow=1&amp;ei=2MT0XrvGGM-vytMP1OyDgAY&amp;q=site%3Alinkedin.com+Shayda+Tavakoli+Principal+Coordinator,+Campus+Recruiting</t>
  </si>
  <si>
    <t>Shayda Tavakoli</t>
  </si>
  <si>
    <t>Principal Coordinator, Campus Recruiting</t>
  </si>
  <si>
    <t>https://www.google.com/search?newwindow=1&amp;ei=2MT0XrvGGM-vytMP1OyDgAY&amp;q=site%3Alinkedin.com+Kelsey+Indorf+Campus+Recruiting+Senior+Manager</t>
  </si>
  <si>
    <t>https://www.google.com/search?newwindow=1&amp;ei=2MT0XrvGGM-vytMP1OyDgAY&amp;q=site%3Alinkedin.com+Ciara+Delehanty+Senior+Campus+Recruiting+Coordinator</t>
  </si>
  <si>
    <t>Ciara Delehanty</t>
  </si>
  <si>
    <t>https://www.google.com/search?newwindow=1&amp;ei=2MT0XrvGGM-vytMP1OyDgAY&amp;q=site%3Alinkedin.com+Laura+Borak+Director,+Analyst+Campus+Recruiting+&amp;+Programs</t>
  </si>
  <si>
    <t>Laura Borak</t>
  </si>
  <si>
    <t>Director, Analyst Campus Recruiting &amp; Programs</t>
  </si>
  <si>
    <t>https://www.google.com/search?newwindow=1&amp;ei=2MT0XrvGGM-vytMP1OyDgAY&amp;q=site%3Alinkedin.com+Jessica+Consalvo+Senior+Campus+Recruiting+Specialist+-+Government+&amp;+Public+Services</t>
  </si>
  <si>
    <t>Jessica Consalvo</t>
  </si>
  <si>
    <t>Senior Campus Recruiting Specialist - Government &amp; Public Services</t>
  </si>
  <si>
    <t>https://www.google.com/search?newwindow=1&amp;ei=2MT0XrvGGM-vytMP1OyDgAY&amp;q=site%3Alinkedin.com+Renee+T.+Campus+Recruiting+Manager+-+Advisory+&amp;+Tax+Primary+Recruiter</t>
  </si>
  <si>
    <t>https://www.google.com/search?newwindow=1&amp;ei=2MT0XrvGGM-vytMP1OyDgAY&amp;q=site%3Alinkedin.com+Caitlin+Pershe+Manager</t>
  </si>
  <si>
    <t>https://www.google.com/search?newwindow=1&amp;ei=2MT0XrvGGM-vytMP1OyDgAY&amp;q=site%3Alinkedin.com+Hayley+(Ford)+Nainani+Campus+Recruiting+Manager</t>
  </si>
  <si>
    <t>https://www.google.com/search?newwindow=1&amp;ei=2MT0XrvGGM-vytMP1OyDgAY&amp;q=site%3Alinkedin.com+Meghan+Horning+Senior+Campus+Recruiting+Specialist</t>
  </si>
  <si>
    <t>Meghan Horning</t>
  </si>
  <si>
    <t>https://www.google.com/search?newwindow=1&amp;ei=2MT0XrvGGM-vytMP1OyDgAY&amp;q=site%3Alinkedin.com+Angela+Sorrell+Director,+US+Campus+Recruiting+Leader--Transaction+and+Strategy+at+Ernst+&amp;+Young,+LLP</t>
  </si>
  <si>
    <t>Angela Sorrell</t>
  </si>
  <si>
    <t>Director, US Campus Recruiting Leader--Transaction and Strategy at Ernst &amp; Young, LLP</t>
  </si>
  <si>
    <t>17 years 4 months in role and company</t>
  </si>
  <si>
    <t>https://www.google.com/search?newwindow=1&amp;ei=2MT0XrvGGM-vytMP1OyDgAY&amp;q=site%3Alinkedin.com+Gloria+Huh+Campus+Recruiting+Coordinator</t>
  </si>
  <si>
    <t>Gloria Huh</t>
  </si>
  <si>
    <t>https://www.google.com/search?newwindow=1&amp;ei=2MT0XrvGGM-vytMP1OyDgAY&amp;q=site%3Alinkedin.com+Kelly+Kasenetz+Campus+Recruiting</t>
  </si>
  <si>
    <t>https://www.google.com/search?newwindow=1&amp;ei=2MT0XrvGGM-vytMP1OyDgAY&amp;q=site%3Alinkedin.com+Jessica+Buck+Campus+Recruiter</t>
  </si>
  <si>
    <t>Jessica Buck</t>
  </si>
  <si>
    <t>Linamar Corporation</t>
  </si>
  <si>
    <t>Waterloo</t>
  </si>
  <si>
    <t>https://www.google.com/search?newwindow=1&amp;ei=2MT0XrvGGM-vytMP1OyDgAY&amp;q=site%3Alinkedin.com+Cayla+Chen+Campus+Recruiting+Specialist</t>
  </si>
  <si>
    <t>Cayla Chen</t>
  </si>
  <si>
    <t>Midea Group (Fortune Global 500 Company)</t>
  </si>
  <si>
    <t>https://www.google.com/search?newwindow=1&amp;ei=2MT0XrvGGM-vytMP1OyDgAY&amp;q=site%3Alinkedin.com+Heather+Roberts+HRBP+&amp;+Director,+Global+University+Recruitment+&amp;+Staffing</t>
  </si>
  <si>
    <t>HRBP &amp; Director, Global University Recruitment &amp; Staffing</t>
  </si>
  <si>
    <t>BlackBerry</t>
  </si>
  <si>
    <t>https://www.google.com/search?newwindow=1&amp;ei=2MT0XrvGGM-vytMP1OyDgAY&amp;q=site%3Alinkedin.com+Snezana+Savic+Academic+Advisor|School+of+Business+-+Conestoga+College</t>
  </si>
  <si>
    <t>Snezana Savic</t>
  </si>
  <si>
    <t>Academic Advisor|School of Business - Conestoga College</t>
  </si>
  <si>
    <t>https://www.google.com/search?newwindow=1&amp;ei=2MT0XrvGGM-vytMP1OyDgAY&amp;q=site%3Alinkedin.com+Brenda+Gilmore+Employer+Liaison+&amp;+Student+Recruiter</t>
  </si>
  <si>
    <t>Brenda Gilmore</t>
  </si>
  <si>
    <t>Employer Liaison &amp; Student Recruiter</t>
  </si>
  <si>
    <t>Conestoga College ITAL</t>
  </si>
  <si>
    <t>https://www.google.com/search?newwindow=1&amp;ei=2MT0XrvGGM-vytMP1OyDgAY&amp;q=site%3Alinkedin.com+Kristen+Wrigglesworth+Campus+Ambassador</t>
  </si>
  <si>
    <t>Kristen Wrigglesworth</t>
  </si>
  <si>
    <t>https://www.google.com/search?newwindow=1&amp;ei=2MT0XrvGGM-vytMP1OyDgAY&amp;q=site%3Alinkedin.com+Cecilia+Doucette,+CPA,+CFE+Manager,+CPA+Student+Programs</t>
  </si>
  <si>
    <t>Cecilia Doucette, CPA, CFE</t>
  </si>
  <si>
    <t>Manager, CPA Student Programs</t>
  </si>
  <si>
    <t>BDO Canada</t>
  </si>
  <si>
    <t>https://www.google.com/search?newwindow=1&amp;ei=2MT0XrvGGM-vytMP1OyDgAY&amp;q=site%3Alinkedin.com+Ronak+Arora+Intercultural+Programs+Assistant</t>
  </si>
  <si>
    <t>Ronak Arora</t>
  </si>
  <si>
    <t>Intercultural Programs Assistant</t>
  </si>
  <si>
    <t>https://www.google.com/search?newwindow=1&amp;ei=2MT0XrvGGM-vytMP1OyDgAY&amp;q=site%3Alinkedin.com+Jennifer+Hutchinson+Manager+Student+Nutrition+Programs+for+Central-West+Ontario</t>
  </si>
  <si>
    <t>Jennifer Hutchinson</t>
  </si>
  <si>
    <t>Manager Student Nutrition Programs for Central-West Ontario</t>
  </si>
  <si>
    <t>YMCAs of Cambridge &amp; Kitchener-Waterloo</t>
  </si>
  <si>
    <t>https://www.google.com/search?newwindow=1&amp;ei=2MT0XrvGGM-vytMP1OyDgAY&amp;q=site%3Alinkedin.com+Karleigh+Nyman+Student+Experience+Manager,+Co-operative+Education</t>
  </si>
  <si>
    <t>Karleigh Nyman</t>
  </si>
  <si>
    <t>Student Experience Manager, Co-operative Education</t>
  </si>
  <si>
    <t>University of Waterloo</t>
  </si>
  <si>
    <t>https://www.google.com/search?newwindow=1&amp;ei=2MT0XrvGGM-vytMP1OyDgAY&amp;q=site%3Alinkedin.com+Jieying+Wang+Undergraduate+academic+advisor,+international+programs</t>
  </si>
  <si>
    <t>Jieying Wang</t>
  </si>
  <si>
    <t>Undergraduate academic advisor, international programs</t>
  </si>
  <si>
    <t>https://www.google.com/search?newwindow=1&amp;ei=2MT0XrvGGM-vytMP1OyDgAY&amp;q=site%3Alinkedin.com+Angela+Martinez+On+Campus+Recruiter</t>
  </si>
  <si>
    <t>Angela Martinez</t>
  </si>
  <si>
    <t>On Campus Recruiter</t>
  </si>
  <si>
    <t>Niagara College Canada</t>
  </si>
  <si>
    <t>Welland</t>
  </si>
  <si>
    <t>https://www.google.com/search?newwindow=1&amp;ei=2MT0XrvGGM-vytMP1OyDgAY&amp;q=site%3Alinkedin.com+Michael+Luisi+Campus+Recruiting+-+Firmwide+Intern+Program+Management+Leader</t>
  </si>
  <si>
    <t>Michael Luisi</t>
  </si>
  <si>
    <t>Campus Recruiting - Firmwide Intern Program Management Leader</t>
  </si>
  <si>
    <t>https://www.google.com/search?newwindow=1&amp;ei=2MT0XrvGGM-vytMP1OyDgAY&amp;q=site%3Alinkedin.com+Amanda+Carr+Campus+Recruiting+Assistant</t>
  </si>
  <si>
    <t>Amanda Carr</t>
  </si>
  <si>
    <t>Campus Recruiting Assistant</t>
  </si>
  <si>
    <t>Ernst and Young</t>
  </si>
  <si>
    <t>West Grove</t>
  </si>
  <si>
    <t>https://www.google.com/search?newwindow=1&amp;ei=2MT0XrvGGM-vytMP1OyDgAY&amp;q=site%3Alinkedin.com+Eric+Paradis+Recruiter+-+Student+Programs</t>
  </si>
  <si>
    <t>Eric Paradis</t>
  </si>
  <si>
    <t>West Linn</t>
  </si>
  <si>
    <t>https://www.google.com/search?newwindow=1&amp;ei=2MT0XrvGGM-vytMP1OyDgAY&amp;q=site%3Alinkedin.com+Liz+Murphy+Director+Marketing+&amp;+Communication+University+Dean+Student+Recruitment+Interim+Consultant+Freelance</t>
  </si>
  <si>
    <t>Liz Murphy</t>
  </si>
  <si>
    <t>Director Marketing &amp; Communication University Dean Student Recruitment Interim Consultant Freelance</t>
  </si>
  <si>
    <t>Freelance, self-employed</t>
  </si>
  <si>
    <t>West Midlands</t>
  </si>
  <si>
    <t>https://www.google.com/search?newwindow=1&amp;ei=2MT0XrvGGM-vytMP1OyDgAY&amp;q=site%3Alinkedin.com+Kristy+Littlewood+Graduate+Recruiter+and+University+Partnerships+Consultant</t>
  </si>
  <si>
    <t>Kristy Littlewood</t>
  </si>
  <si>
    <t>https://www.google.com/search?newwindow=1&amp;ei=2MT0XrvGGM-vytMP1OyDgAY&amp;q=site%3Alinkedin.com+Mark+Onikoyi+Senior+Campus+Recruiter,+EMEA</t>
  </si>
  <si>
    <t>Mark Onikoyi</t>
  </si>
  <si>
    <t>Senior Campus Recruiter, EMEA</t>
  </si>
  <si>
    <t>https://www.google.com/search?newwindow=1&amp;ei=2MT0XrvGGM-vytMP1OyDgAY&amp;q=site%3Alinkedin.com+Sacha+Tyler+University+Recruiter</t>
  </si>
  <si>
    <t>Sacha Tyler</t>
  </si>
  <si>
    <t>https://www.google.com/search?newwindow=1&amp;ei=2MT0XrvGGM-vytMP1OyDgAY&amp;q=site%3Alinkedin.com+Kate+Weaver+University+Recruiter</t>
  </si>
  <si>
    <t>Kate Weaver</t>
  </si>
  <si>
    <t>https://www.google.com/search?newwindow=1&amp;ei=2MT0XrvGGM-vytMP1OyDgAY&amp;q=site%3Alinkedin.com+Gábor+Tóth+Graduate+Recruiter+at+HSBC+via+Alexander+Mann+Solutions</t>
  </si>
  <si>
    <t>Gábor Tóth</t>
  </si>
  <si>
    <t>Graduate Recruiter at HSBC via Alexander Mann Solutions</t>
  </si>
  <si>
    <t>Alexander Mann Solutions</t>
  </si>
  <si>
    <t>https://www.google.com/search?newwindow=1&amp;ei=2MT0XrvGGM-vytMP1OyDgAY&amp;q=site%3Alinkedin.com+Molly+Jones+University+Student</t>
  </si>
  <si>
    <t>Molly Jones</t>
  </si>
  <si>
    <t>University of Wolverhampton</t>
  </si>
  <si>
    <t>https://www.google.com/search?newwindow=1&amp;ei=2MT0XrvGGM-vytMP1OyDgAY&amp;q=site%3Alinkedin.com+Debbie+Bhermi+Student+Recruiter</t>
  </si>
  <si>
    <t>Debbie Bhermi</t>
  </si>
  <si>
    <t>https://www.google.com/search?newwindow=1&amp;ei=2MT0XrvGGM-vytMP1OyDgAY&amp;q=site%3Alinkedin.com+Klara+Brittes+da+Silva+Business+and+Health+and+Social+Care+Lecturer/Freelance+Student+Recruiter</t>
  </si>
  <si>
    <t>Klara Brittes da Silva</t>
  </si>
  <si>
    <t>Business and Health and Social Care Lecturer/Freelance Student Recruiter</t>
  </si>
  <si>
    <t>London School of Science and Technology, Birmingham Campus</t>
  </si>
  <si>
    <t>https://www.google.com/search?newwindow=1&amp;ei=2MT0XrvGGM-vytMP1OyDgAY&amp;q=site%3Alinkedin.com+Oscar+Wilton+Student+Recruiter+and+Advisor</t>
  </si>
  <si>
    <t>Oscar Wilton</t>
  </si>
  <si>
    <t>https://www.google.com/search?newwindow=1&amp;ei=2MT0XrvGGM-vytMP1OyDgAY&amp;q=site%3Alinkedin.com+Lindsey+Butterworth+Student+Recruiter</t>
  </si>
  <si>
    <t>Lindsey Butterworth</t>
  </si>
  <si>
    <t>West Vancouver</t>
  </si>
  <si>
    <t>https://www.google.com/search?newwindow=1&amp;ei=2MT0XrvGGM-vytMP1OyDgAY&amp;q=site%3Alinkedin.com+Sharon+Kenney+nee’+Wood+WA+Football+Commission+Winner+Ambassodor+Diversity+Programs</t>
  </si>
  <si>
    <t>Sharon Kenney nee’ Wood</t>
  </si>
  <si>
    <t>WA Football Commission Winner Ambassodor Diversity Programs</t>
  </si>
  <si>
    <t>West Australian Football Commission</t>
  </si>
  <si>
    <t>https://www.google.com/search?newwindow=1&amp;ei=2MT0XrvGGM-vytMP1OyDgAY&amp;q=site%3Alinkedin.com+Stephanie+Schuck+University+and+Schools+Recruitment+Intern</t>
  </si>
  <si>
    <t>Stephanie Schuck</t>
  </si>
  <si>
    <t>University and Schools Recruitment Intern</t>
  </si>
  <si>
    <t>Operation Wallacea</t>
  </si>
  <si>
    <t>Whitby</t>
  </si>
  <si>
    <t>https://www.google.com/search?newwindow=1&amp;ei=2MT0XrvGGM-vytMP1OyDgAY&amp;q=site%3Alinkedin.com+Karen+Davidson+Academic+Excellence+Team+Advisor+(Ontario+Tech+University)</t>
  </si>
  <si>
    <t>Karen Davidson</t>
  </si>
  <si>
    <t>Academic Excellence Team Advisor (Ontario Tech University)</t>
  </si>
  <si>
    <t>Alpha Gamma Delta</t>
  </si>
  <si>
    <t>https://www.google.com/search?newwindow=1&amp;ei=2MT0XrvGGM-vytMP1OyDgAY&amp;q=site%3Alinkedin.com+Emily+Oates+Campus+Recruiting+Coordinator</t>
  </si>
  <si>
    <t>Emily Oates</t>
  </si>
  <si>
    <t>White Plains</t>
  </si>
  <si>
    <t>https://www.google.com/search?newwindow=1&amp;ei=2MT0XrvGGM-vytMP1OyDgAY&amp;q=site%3Alinkedin.com+Renata+Roncalli+UK+Campus+Recruiter</t>
  </si>
  <si>
    <t>Renata Roncalli</t>
  </si>
  <si>
    <t>UK Campus Recruiter</t>
  </si>
  <si>
    <t>Whitnash</t>
  </si>
  <si>
    <t>https://www.google.com/search?newwindow=1&amp;ei=2MT0XrvGGM-vytMP1OyDgAY&amp;q=site%3Alinkedin.com+Andre+Johnson+Senior+Associate+-+Campus+Recruiting</t>
  </si>
  <si>
    <t>Andre Johnson</t>
  </si>
  <si>
    <t>Senior Associate - Campus Recruiting</t>
  </si>
  <si>
    <t>https://www.google.com/search?newwindow=1&amp;ei=2MT0XrvGGM-vytMP1OyDgAY&amp;q=site%3Alinkedin.com+Sarah+Tegen+Supervising+Associate,+Campus+Recruiting</t>
  </si>
  <si>
    <t>https://www.google.com/search?newwindow=1&amp;ei=2MT0XrvGGM-vytMP1OyDgAY&amp;q=site%3Alinkedin.com+Reece+Jagger+Campus+Recruiter</t>
  </si>
  <si>
    <t>Reece Jagger</t>
  </si>
  <si>
    <t>Greensill</t>
  </si>
  <si>
    <t>Wilmslow</t>
  </si>
  <si>
    <t>https://www.google.com/search?newwindow=1&amp;ei=2MT0XrvGGM-vytMP1OyDgAY&amp;q=site%3Alinkedin.com+Kristi+Breen+Vice+President,+Disney+International+and+Campus+Recruiting,+Disney+Cruise+LIne+Recruiting</t>
  </si>
  <si>
    <t>Kristi Breen</t>
  </si>
  <si>
    <t>Vice President, Disney International and Campus Recruiting, Disney Cruise LIne Recruiting</t>
  </si>
  <si>
    <t>7 years 8 months in role and company</t>
  </si>
  <si>
    <t>https://www.google.com/search?newwindow=1&amp;ei=2MT0XrvGGM-vytMP1OyDgAY&amp;q=site%3Alinkedin.com+Nick+Cacciato+International+Student+Recruiter</t>
  </si>
  <si>
    <t>Nick Cacciato</t>
  </si>
  <si>
    <t>DC Language</t>
  </si>
  <si>
    <t>Windsor</t>
  </si>
  <si>
    <t>https://www.google.com/search?newwindow=1&amp;ei=2MT0XrvGGM-vytMP1OyDgAY&amp;q=site%3Alinkedin.com+Petar+Vidakovic+Student+Recruiter</t>
  </si>
  <si>
    <t>Petar Vidakovic</t>
  </si>
  <si>
    <t>https://www.google.com/search?newwindow=1&amp;ei=2MT0XrvGGM-vytMP1OyDgAY&amp;q=site%3Alinkedin.com+Riley+C.+Proulx+IBEP+Student+Advisor+&amp;+Recruiter</t>
  </si>
  <si>
    <t>Riley C. Proulx</t>
  </si>
  <si>
    <t>IBEP Student Advisor &amp; Recruiter</t>
  </si>
  <si>
    <t>Asper School of Business</t>
  </si>
  <si>
    <t>Winnipeg</t>
  </si>
  <si>
    <t>Manitoba</t>
  </si>
  <si>
    <t>https://www.google.com/search?newwindow=1&amp;ei=2MT0XrvGGM-vytMP1OyDgAY&amp;q=site%3Alinkedin.com+Colleen+Booth+Student+Recruiter+/+Trainer</t>
  </si>
  <si>
    <t>Colleen Booth</t>
  </si>
  <si>
    <t>Student Recruiter / Trainer</t>
  </si>
  <si>
    <t>Manitoba Tourism Education College (MTEC)</t>
  </si>
  <si>
    <t>https://www.google.com/search?newwindow=1&amp;ei=2MT0XrvGGM-vytMP1OyDgAY&amp;q=site%3Alinkedin.com+Monele+Schrot+Director+of+French+Programs</t>
  </si>
  <si>
    <t>Monele Schrot</t>
  </si>
  <si>
    <t>Director of French Programs</t>
  </si>
  <si>
    <t>ICEF</t>
  </si>
  <si>
    <t>https://www.google.com/search?newwindow=1&amp;ei=2MT0XrvGGM-vytMP1OyDgAY&amp;q=site%3Alinkedin.com+Karen+Singleton+Graduate+Programs+Student+Advisor</t>
  </si>
  <si>
    <t>Karen Singleton</t>
  </si>
  <si>
    <t>Graduate Programs Student Advisor</t>
  </si>
  <si>
    <t>Faculty of Social Work; University of Manitoba</t>
  </si>
  <si>
    <t>18 years 9 months in role and company</t>
  </si>
  <si>
    <t>https://www.google.com/search?newwindow=1&amp;ei=2MT0XrvGGM-vytMP1OyDgAY&amp;q=site%3Alinkedin.com+Lars+Feilberg+Division+Principal+of+Student+Services</t>
  </si>
  <si>
    <t>Lars Feilberg</t>
  </si>
  <si>
    <t>Division Principal of Student Services</t>
  </si>
  <si>
    <t>Sunrise School Division</t>
  </si>
  <si>
    <t>https://www.google.com/search?newwindow=1&amp;ei=2MT0XrvGGM-vytMP1OyDgAY&amp;q=site%3Alinkedin.com+Rosanna+Caruso+Student+Services+Coordinator,+Undergraduate+Programs,+Faculty+of+Education</t>
  </si>
  <si>
    <t>Rosanna Caruso</t>
  </si>
  <si>
    <t>Student Services Coordinator, Undergraduate Programs, Faculty of Education</t>
  </si>
  <si>
    <t>University of Manitoba</t>
  </si>
  <si>
    <t>https://www.google.com/search?newwindow=1&amp;ei=2MT0XrvGGM-vytMP1OyDgAY&amp;q=site%3Alinkedin.com+Marie+Jivan+Student+Services+Coordinator+-+Admissions+&amp;+Financial+Aid++J.D.+&amp;+LL.M.+Programs</t>
  </si>
  <si>
    <t>Marie Jivan</t>
  </si>
  <si>
    <t>Student Services Coordinator - Admissions &amp; Financial Aid  J.D. &amp; LL.M. Programs</t>
  </si>
  <si>
    <t>https://www.google.com/search?newwindow=1&amp;ei=2MT0XrvGGM-vytMP1OyDgAY&amp;q=site%3Alinkedin.com+Stephanie+Crook+Assistant+to+the+Coordinator+for+First+Year+Seminar+Programs</t>
  </si>
  <si>
    <t>Stephanie Crook</t>
  </si>
  <si>
    <t>Assistant to the Coordinator for First Year Seminar Programs</t>
  </si>
  <si>
    <t>https://www.google.com/search?newwindow=1&amp;ei=2MT0XrvGGM-vytMP1OyDgAY&amp;q=site%3Alinkedin.com+Rosanna+Caruso+Student+Services+Coordinator,+Undergraduate+Programs</t>
  </si>
  <si>
    <t>Student Services Coordinator, Undergraduate Programs</t>
  </si>
  <si>
    <t>Faculty of Education, university of Manitoba</t>
  </si>
  <si>
    <t>https://www.google.com/search?newwindow=1&amp;ei=2MT0XrvGGM-vytMP1OyDgAY&amp;q=site%3Alinkedin.com+Ed+Harms+University+College+Recruiter</t>
  </si>
  <si>
    <t>Ed Harms</t>
  </si>
  <si>
    <t>University College Recruiter</t>
  </si>
  <si>
    <t>Booth University College</t>
  </si>
  <si>
    <t>https://www.google.com/search?newwindow=1&amp;ei=2MT0XrvGGM-vytMP1OyDgAY&amp;q=site%3Alinkedin.com+Judy+Schroen-Galinaitis+Student+Services+Coordinator+(Undergrad+Programs)+Engr</t>
  </si>
  <si>
    <t>Judy Schroen-Galinaitis</t>
  </si>
  <si>
    <t>Student Services Coordinator (Undergrad Programs) Engr</t>
  </si>
  <si>
    <t>Dean's Office Engineering</t>
  </si>
  <si>
    <t>https://www.google.com/search?newwindow=1&amp;ei=2MT0XrvGGM-vytMP1OyDgAY&amp;q=site%3Alinkedin.com+Pallavi+Singh+General+Manager+–+University+of+Wollongong+Humanitarian+Engineering+Project</t>
  </si>
  <si>
    <t>Pallavi Singh</t>
  </si>
  <si>
    <t>General Manager – University of Wollongong Humanitarian Engineering Project</t>
  </si>
  <si>
    <t>Wollongong</t>
  </si>
  <si>
    <t>https://www.google.com/search?newwindow=1&amp;ei=2MT0XrvGGM-vytMP1OyDgAY&amp;q=site%3Alinkedin.com+Prithvi+Patil+International+Student+Ambassador+-+International+Student+Programs</t>
  </si>
  <si>
    <t>Prithvi Patil</t>
  </si>
  <si>
    <t>International Student Ambassador - International Student Programs</t>
  </si>
  <si>
    <t>https://www.google.com/search?newwindow=1&amp;ei=2MT0XrvGGM-vytMP1OyDgAY&amp;q=site%3Alinkedin.com+stacey+kerr+Community+Programs+Officer</t>
  </si>
  <si>
    <t>stacey kerr</t>
  </si>
  <si>
    <t>Community Programs Officer</t>
  </si>
  <si>
    <t>Australian Red Cross</t>
  </si>
  <si>
    <t>https://www.google.com/search?newwindow=1&amp;ei=2MT0XrvGGM-vytMP1OyDgAY&amp;q=site%3Alinkedin.com+Oscar+Forman+UOW+Global+Sports+Programs+Student+Recruitment+Coordinator</t>
  </si>
  <si>
    <t>Oscar Forman</t>
  </si>
  <si>
    <t>UOW Global Sports Programs Student Recruitment Coordinator</t>
  </si>
  <si>
    <t>https://www.google.com/search?newwindow=1&amp;ei=2MT0XrvGGM-vytMP1OyDgAY&amp;q=site%3Alinkedin.com+Naomi+Appleton+Professional+and+Clinical+Programs+Administration+Manager</t>
  </si>
  <si>
    <t>Naomi Appleton</t>
  </si>
  <si>
    <t>Professional and Clinical Programs Administration Manager</t>
  </si>
  <si>
    <t>School of Psychology, University of Wollongong</t>
  </si>
  <si>
    <t>https://www.google.com/search?newwindow=1&amp;ei=2MT0XrvGGM-vytMP1OyDgAY&amp;q=site%3Alinkedin.com+Conor+Beaumont+LIBS+Student+Buddy</t>
  </si>
  <si>
    <t>Conor Beaumont</t>
  </si>
  <si>
    <t>LIBS Student Buddy</t>
  </si>
  <si>
    <t>University of Lincoln</t>
  </si>
  <si>
    <t>Wragby</t>
  </si>
  <si>
    <t>https://www.google.com/search?newwindow=1&amp;ei=2MT0XrvGGM-vytMP1OyDgAY&amp;q=site%3Alinkedin.com+Trevor+Cunningham+Director+of+Programs+and+Student+Services</t>
  </si>
  <si>
    <t>Trevor Cunningham</t>
  </si>
  <si>
    <t>Tri-County Regional School Board</t>
  </si>
  <si>
    <t>10 years 7 months in role and company</t>
  </si>
  <si>
    <t>Yarmouth County</t>
  </si>
  <si>
    <t>https://www.google.com/search?newwindow=1&amp;ei=2MT0XrvGGM-vytMP1OyDgAY&amp;q=site%3Alinkedin.com+Emma+Mc+Shane+Student+Recruitment+Officer+at+University+of+York</t>
  </si>
  <si>
    <t>Emma Mc Shane</t>
  </si>
  <si>
    <t>Student Recruitment Officer at University of York</t>
  </si>
  <si>
    <t>University of York</t>
  </si>
  <si>
    <t>York</t>
  </si>
  <si>
    <t>https://www.google.com/search?newwindow=1&amp;ei=2MT0XrvGGM-vytMP1OyDgAY&amp;q=site%3Alinkedin.com+Danny+Löwensberg+Director+of+European+Partnerships+and+Recruitment+and+Lecturer,+Hull+University+Business+School</t>
  </si>
  <si>
    <t>Danny Löwensberg</t>
  </si>
  <si>
    <t>Director of European Partnerships and Recruitment and Lecturer, Hull University Business School</t>
  </si>
  <si>
    <t>The University of Hull</t>
  </si>
  <si>
    <t>https://www.google.com/search?newwindow=1&amp;ei=2MT0XrvGGM-vytMP1OyDgAY&amp;q=site%3Alinkedin.com+Kilsis+Saint-Hilaire+Student+Veteran+Recruiter</t>
  </si>
  <si>
    <t>https://www.google.com/search?newwindow=1&amp;ei=2MT0XrvGGM-vytMP1OyDgAY&amp;q=site%3Alinkedin.com+Joey+Adams+Business+Analyst+Strategic+Planning+for+COVID+Contact+Tracing+Program+(eCommerce)</t>
  </si>
  <si>
    <t>https://www.google.com/search?newwindow=1&amp;ei=2MT0XrvGGM-vytMP1OyDgAY&amp;q=site%3Alinkedin.com+Samyra+Clarke+Campus+Recruiting+Operations+Lead+Accenture+Federal+Services</t>
  </si>
  <si>
    <t>https://www.google.com/search?newwindow=1&amp;ei=2MT0XrvGGM-vytMP1OyDgAY&amp;q=site%3Alinkedin.com+Donna+Cummings+Senior+Graduate+Recruiter+Technology+&amp;+Cyber+Security</t>
  </si>
  <si>
    <t>https://www.google.com/search?newwindow=1&amp;ei=2MT0XrvGGM-vytMP1OyDgAY&amp;q=site%3Alinkedin.com+Anna+Nyzio+Campus+Recruiting+Team+Lead+Boston/Hartford</t>
  </si>
  <si>
    <t>https://www.google.com/search?newwindow=1&amp;ei=2MT0XrvGGM-vytMP1OyDgAY&amp;q=site%3Alinkedin.com+Courtney+Schroeder+Associate+Recruiter+Campus+Recruiting</t>
  </si>
  <si>
    <t>https://www.google.com/search?newwindow=1&amp;ei=2MT0XrvGGM-vytMP1OyDgAY&amp;q=site%3Alinkedin.com+Bridget+Malley+Campus+Recruiting+Associate</t>
  </si>
  <si>
    <t>https://www.google.com/search?newwindow=1&amp;ei=2MT0XrvGGM-vytMP1OyDgAY&amp;q=site%3Alinkedin.com+Catherine+Leonard+M.Ed+Campus+Recruiter+Accenture</t>
  </si>
  <si>
    <t>https://www.google.com/search?newwindow=1&amp;ei=2MT0XrvGGM-vytMP1OyDgAY&amp;q=site%3Alinkedin.com+Joey+Adams+Project+Manager+Business+Process+Optimization+for+Financial+Reporting+(Resources)+Accenture</t>
  </si>
  <si>
    <t>https://www.google.com/search?newwindow=1&amp;ei=2MT0XrvGGM-vytMP1OyDgAY&amp;q=site%3Alinkedin.com+Courtney+Schroeder+Associate+Recruiter+Campus+Recruiting+Accenture</t>
  </si>
  <si>
    <t>https://www.google.com/search?newwindow=1&amp;ei=2MT0XrvGGM-vytMP1OyDgAY&amp;q=site%3Alinkedin.com+Rachel+Neuschaefer+Recruiting+Manager/Lead+Campus+and+Entry+Level+Recruitment+Accenture+Federal+Services</t>
  </si>
  <si>
    <t>https://www.google.com/search?newwindow=1&amp;ei=2MT0XrvGGM-vytMP1OyDgAY&amp;q=site%3Alinkedin.com+Erin+Breslin-Garcia+Sr.+Recruiter+Campus+Recruiting+Activision</t>
  </si>
  <si>
    <t>https://www.google.com/search?newwindow=1&amp;ei=2MT0XrvGGM-vytMP1OyDgAY&amp;q=site%3Alinkedin.com+Catherine+Guilbault+CRHA+Talent+Aquisition+Student+&amp;+Special+Programs+Manager</t>
  </si>
  <si>
    <t>https://www.google.com/search?newwindow=1&amp;ei=2MT0XrvGGM-vytMP1OyDgAY&amp;q=site%3Alinkedin.com+Charlene+Coleman+Airbus+Group+Recruitment+Business+Partner+for+Airbus+Defence+and+Space+(UK)</t>
  </si>
  <si>
    <t>https://www.google.com/search?newwindow=1&amp;ei=2MT0XrvGGM-vytMP1OyDgAY&amp;q=site%3Alinkedin.com+David+Tarkenton+MBA+Technology+Campus+Recruiter+Allstate</t>
  </si>
  <si>
    <t>https://www.google.com/search?newwindow=1&amp;ei=2MT0XrvGGM-vytMP1OyDgAY&amp;q=site%3Alinkedin.com+Kayla+King+MPA+Campus+Recruiter+Allstate</t>
  </si>
  <si>
    <t>https://www.google.com/search?newwindow=1&amp;ei=2MT0XrvGGM-vytMP1OyDgAY&amp;q=site%3Alinkedin.com+Ben+Raynor+Senior+Recruiter+Student+Programs</t>
  </si>
  <si>
    <t>https://www.google.com/search?newwindow=1&amp;ei=2MT0XrvGGM-vytMP1OyDgAY&amp;q=site%3Alinkedin.com+Molly+Haas+Recruiter+Student+Programs</t>
  </si>
  <si>
    <t>https://www.google.com/search?newwindow=1&amp;ei=2MT0XrvGGM-vytMP1OyDgAY&amp;q=site%3Alinkedin.com+Catherine+Irvine+Campus+Recruiter+Operations+EMEA</t>
  </si>
  <si>
    <t>https://www.google.com/search?newwindow=1&amp;ei=2MT0XrvGGM-vytMP1OyDgAY&amp;q=site%3Alinkedin.com+Jen+Bednar+Sr.+Recruiter+Student+(University)+Programs+MBA</t>
  </si>
  <si>
    <t>https://www.google.com/search?newwindow=1&amp;ei=2MT0XrvGGM-vytMP1OyDgAY&amp;q=site%3Alinkedin.com+Alex+Lucy+Candidate+Services+Recruiter+Student+Programs</t>
  </si>
  <si>
    <t>https://www.google.com/search?newwindow=1&amp;ei=2MT0XrvGGM-vytMP1OyDgAY&amp;q=site%3Alinkedin.com+Dora+Mucsi+Technical+Recruiter+Student+Programs+for+Software+Engineering+(EMEA)</t>
  </si>
  <si>
    <t>https://www.google.com/search?newwindow=1&amp;ei=2MT0XrvGGM-vytMP1OyDgAY&amp;q=site%3Alinkedin.com+Beatrice+Lupi+Campus+Recruiter+EMEA+Operations</t>
  </si>
  <si>
    <t>https://www.google.com/search?newwindow=1&amp;ei=2MT0XrvGGM-vytMP1OyDgAY&amp;q=site%3Alinkedin.com+Eilish+McGovern+Campus+Recruitment+Coordinator+EMEA+Student+Programs</t>
  </si>
  <si>
    <t>https://www.google.com/search?newwindow=1&amp;ei=2MT0XrvGGM-vytMP1OyDgAY&amp;q=site%3Alinkedin.com+Bianca+Sabatini+Candidate+Service+Recruiter+Student+Programs</t>
  </si>
  <si>
    <t>https://www.google.com/search?newwindow=1&amp;ei=2MT0XrvGGM-vytMP1OyDgAY&amp;q=site%3Alinkedin.com+Grace+Acquah+Regional+Lead+EMEA+Student+Programs+Campus+Attraction+and+Engagement</t>
  </si>
  <si>
    <t>https://www.google.com/search?newwindow=1&amp;ei=2MT0XrvGGM-vytMP1OyDgAY&amp;q=site%3Alinkedin.com+Phillip+Thomas+Recruiting+Coordinator+Manager+Student+Programs</t>
  </si>
  <si>
    <t>https://www.google.com/search?newwindow=1&amp;ei=2MT0XrvGGM-vytMP1OyDgAY&amp;q=site%3Alinkedin.com+Sabrina+Lagana+Recruiting+Partner+EMEA+Student+Programs</t>
  </si>
  <si>
    <t>https://www.google.com/search?newwindow=1&amp;ei=2MT0XrvGGM-vytMP1OyDgAY&amp;q=site%3Alinkedin.com+Jo+Terryn+Recruiter+EMEA+Student+Programs</t>
  </si>
  <si>
    <t>https://www.google.com/search?newwindow=1&amp;ei=2MT0XrvGGM-vytMP1OyDgAY&amp;q=site%3Alinkedin.com+Laura+Houghton+Project+Coordinator+Student+Programs</t>
  </si>
  <si>
    <t>https://www.google.com/search?newwindow=1&amp;ei=2MT0XrvGGM-vytMP1OyDgAY&amp;q=site%3Alinkedin.com+Crystal+Grant+Senior+MBA+Recruiter+Student+Programs</t>
  </si>
  <si>
    <t>https://www.google.com/search?newwindow=1&amp;ei=2MT0XrvGGM-vytMP1OyDgAY&amp;q=site%3Alinkedin.com+Nita+Karavadra+Senior+Program+Manager+EMEA+Student+Programs</t>
  </si>
  <si>
    <t>https://www.google.com/search?newwindow=1&amp;ei=2MT0XrvGGM-vytMP1OyDgAY&amp;q=site%3Alinkedin.com+Anna+Lathia+Senior+Program+Manager+DEI+EMEA+Student+Programs</t>
  </si>
  <si>
    <t>https://www.google.com/search?newwindow=1&amp;ei=2MT0XrvGGM-vytMP1OyDgAY&amp;q=site%3Alinkedin.com+Jo+Hole+UK+Non-Tech+Recruiter+Student+Programs</t>
  </si>
  <si>
    <t>https://www.google.com/search?newwindow=1&amp;ei=2MT0XrvGGM-vytMP1OyDgAY&amp;q=site%3Alinkedin.com+Jen+Trudnak+Student+Veteran+Recruiter+Operations</t>
  </si>
  <si>
    <t>https://www.google.com/search?newwindow=1&amp;ei=2MT0XrvGGM-vytMP1OyDgAY&amp;q=site%3Alinkedin.com+Katey+Thomson+Recruiter+Student+Programs</t>
  </si>
  <si>
    <t>https://www.google.com/search?newwindow=1&amp;ei=2MT0XrvGGM-vytMP1OyDgAY&amp;q=site%3Alinkedin.com+Lidia+Hernandez+Recruiter+Student+Programs</t>
  </si>
  <si>
    <t>https://www.google.com/search?newwindow=1&amp;ei=2MT0XrvGGM-vytMP1OyDgAY&amp;q=site%3Alinkedin.com+Alexandria+Balivet-Brown+Graduate+Research+Recruiter+Student+Programs</t>
  </si>
  <si>
    <t>https://www.google.com/search?newwindow=1&amp;ei=2MT0XrvGGM-vytMP1OyDgAY&amp;q=site%3Alinkedin.com+Erin+Waldschmidt+Recruiter+Student+Programs</t>
  </si>
  <si>
    <t>https://www.google.com/search?newwindow=1&amp;ei=2MT0XrvGGM-vytMP1OyDgAY&amp;q=site%3Alinkedin.com+Kristina+Young+Recruiter+Student+Programs</t>
  </si>
  <si>
    <t>https://www.google.com/search?newwindow=1&amp;ei=2MT0XrvGGM-vytMP1OyDgAY&amp;q=site%3Alinkedin.com+Sarah+Chun-Hoon+Recruiter+Student+Programs</t>
  </si>
  <si>
    <t>https://www.google.com/search?newwindow=1&amp;ei=2MT0XrvGGM-vytMP1OyDgAY&amp;q=site%3Alinkedin.com+Channa+Palmer+Program+Manager+Student+Programs</t>
  </si>
  <si>
    <t>https://www.google.com/search?newwindow=1&amp;ei=2MT0XrvGGM-vytMP1OyDgAY&amp;q=site%3Alinkedin.com+Megan+Taylor+SHRM-CP+Recruiter+Student+Programs</t>
  </si>
  <si>
    <t>https://www.google.com/search?newwindow=1&amp;ei=2MT0XrvGGM-vytMP1OyDgAY&amp;q=site%3Alinkedin.com+Sophie+DiDonato+Recruiter+II+Student+Programs</t>
  </si>
  <si>
    <t>https://www.google.com/search?newwindow=1&amp;ei=2MT0XrvGGM-vytMP1OyDgAY&amp;q=site%3Alinkedin.com+Jordan+Gobble+Student+Programs+Recruiter+II</t>
  </si>
  <si>
    <t>https://www.google.com/search?newwindow=1&amp;ei=2MT0XrvGGM-vytMP1OyDgAY&amp;q=site%3Alinkedin.com+Eddie+Verhulst+Recruiter+Student+Programs</t>
  </si>
  <si>
    <t>https://www.google.com/search?newwindow=1&amp;ei=2MT0XrvGGM-vytMP1OyDgAY&amp;q=site%3Alinkedin.com+Bri+OConnell+Sr.+Program+Manager+Global+Demand+Collection+&amp;+Forecasting+Student+Programs</t>
  </si>
  <si>
    <t>https://www.google.com/search?newwindow=1&amp;ei=2MT0XrvGGM-vytMP1OyDgAY&amp;q=site%3Alinkedin.com+Ali+Garcia+Recruiter+Student+Programs</t>
  </si>
  <si>
    <t>https://www.google.com/search?newwindow=1&amp;ei=2MT0XrvGGM-vytMP1OyDgAY&amp;q=site%3Alinkedin.com+Megan+Campbell+Recruiter+Student+Programs</t>
  </si>
  <si>
    <t>https://www.google.com/search?newwindow=1&amp;ei=2MT0XrvGGM-vytMP1OyDgAY&amp;q=site%3Alinkedin.com+Sharon+Lim+Recruiter+Student+Programs</t>
  </si>
  <si>
    <t>https://www.google.com/search?newwindow=1&amp;ei=2MT0XrvGGM-vytMP1OyDgAY&amp;q=site%3Alinkedin.com+Stephanie+Park+Senior+Science+Recruiter+Strategic+Recruiting+Team</t>
  </si>
  <si>
    <t>https://www.google.com/search?newwindow=1&amp;ei=2MT0XrvGGM-vytMP1OyDgAY&amp;q=site%3Alinkedin.com+Lauren+S.+Recruiter+II+Student+Programs</t>
  </si>
  <si>
    <t>https://www.google.com/search?newwindow=1&amp;ei=2MT0XrvGGM-vytMP1OyDgAY&amp;q=site%3Alinkedin.com+Carly+Porter+Student+Programs+Campus+Recruiter</t>
  </si>
  <si>
    <t>https://www.google.com/search?newwindow=1&amp;ei=2MT0XrvGGM-vytMP1OyDgAY&amp;q=site%3Alinkedin.com+Karolina+Skrzat+PL+Campus+Recruiter+Secondment</t>
  </si>
  <si>
    <t>https://www.google.com/search?newwindow=1&amp;ei=2MT0XrvGGM-vytMP1OyDgAY&amp;q=site%3Alinkedin.com+Olivia+Hoppé+Student+Programs+Recruiter+EMEA</t>
  </si>
  <si>
    <t>https://www.google.com/search?newwindow=1&amp;ei=2MT0XrvGGM-vytMP1OyDgAY&amp;q=site%3Alinkedin.com+Ankur+Sinha+Senior+Recruiter+Student+Programs+and+University+Hiring</t>
  </si>
  <si>
    <t>https://www.google.com/search?newwindow=1&amp;ei=2MT0XrvGGM-vytMP1OyDgAY&amp;q=site%3Alinkedin.com+Eric+Paradis+Recruiter+Student+Programs</t>
  </si>
  <si>
    <t>https://www.google.com/search?newwindow=1&amp;ei=2MT0XrvGGM-vytMP1OyDgAY&amp;q=site%3Alinkedin.com+Anna+McQuaid+Recruiter+University+Ops+Amazon</t>
  </si>
  <si>
    <t>https://www.google.com/search?newwindow=1&amp;ei=2MT0XrvGGM-vytMP1OyDgAY&amp;q=site%3Alinkedin.com+Olivia+Hopkins+University+Recruiter+Corporate+Operations+Amazon</t>
  </si>
  <si>
    <t>https://www.google.com/search?newwindow=1&amp;ei=2MT0XrvGGM-vytMP1OyDgAY&amp;q=site%3Alinkedin.com+Jen+Bednar+Sr.+Recruiter+Student+(University)+Programs+MBA+Amazon</t>
  </si>
  <si>
    <t>https://www.google.com/search?newwindow=1&amp;ei=2MT0XrvGGM-vytMP1OyDgAY&amp;q=site%3Alinkedin.com+Angelica+Loya+University+Recruiter+Amazon+Amazon</t>
  </si>
  <si>
    <t>https://www.google.com/search?newwindow=1&amp;ei=2MT0XrvGGM-vytMP1OyDgAY&amp;q=site%3Alinkedin.com+Wade+Irwin+CTL+Ops+University+Recruiter+Amazon</t>
  </si>
  <si>
    <t>https://www.google.com/search?newwindow=1&amp;ei=2MT0XrvGGM-vytMP1OyDgAY&amp;q=site%3Alinkedin.com+Lucas+Burton+Recruiter+University+Operations+Amazon</t>
  </si>
  <si>
    <t>https://www.google.com/search?newwindow=1&amp;ei=2MT0XrvGGM-vytMP1OyDgAY&amp;q=site%3Alinkedin.com+Macarena+Arceo+University+Recruiter+Ops+Amazon</t>
  </si>
  <si>
    <t>https://www.google.com/search?newwindow=1&amp;ei=2MT0XrvGGM-vytMP1OyDgAY&amp;q=site%3Alinkedin.com+Renee+M.+Senior+University+Recruiter+MBA+Recruiting+Amazon</t>
  </si>
  <si>
    <t>https://www.google.com/search?newwindow=1&amp;ei=2MT0XrvGGM-vytMP1OyDgAY&amp;q=site%3Alinkedin.com+Laynee+Brown+Client+Lead+Recruiter+University+Operations+Amazon</t>
  </si>
  <si>
    <t>https://www.google.com/search?newwindow=1&amp;ei=2MT0XrvGGM-vytMP1OyDgAY&amp;q=site%3Alinkedin.com+Jennifer+Lindquist+University+Recruiter+Operations+Amazon</t>
  </si>
  <si>
    <t>https://www.google.com/search?newwindow=1&amp;ei=2MT0XrvGGM-vytMP1OyDgAY&amp;q=site%3Alinkedin.com+Cristina+LeCuyer+Client+Lead+Recruiter+University+Operations+Amazon</t>
  </si>
  <si>
    <t>https://www.google.com/search?newwindow=1&amp;ei=2MT0XrvGGM-vytMP1OyDgAY&amp;q=site%3Alinkedin.com+Taylor+Rowland+University+Recruiter+Amazon+Operations+Amazon</t>
  </si>
  <si>
    <t>https://www.google.com/search?newwindow=1&amp;ei=2MT0XrvGGM-vytMP1OyDgAY&amp;q=site%3Alinkedin.com+Talitha+S.+University+Recruiter+Amazon+Operations+Amazon</t>
  </si>
  <si>
    <t>https://www.google.com/search?newwindow=1&amp;ei=2MT0XrvGGM-vytMP1OyDgAY&amp;q=site%3Alinkedin.com+Carly+Porter+Student+Programs+Campus+Recruiter+Amazon</t>
  </si>
  <si>
    <t>https://www.google.com/search?newwindow=1&amp;ei=2MT0XrvGGM-vytMP1OyDgAY&amp;q=site%3Alinkedin.com+Lauren+Cheesewright+Senior+Graduate+Recruiter+EU+Operations+&amp;+Logistics</t>
  </si>
  <si>
    <t>https://www.google.com/search?newwindow=1&amp;ei=2MT0XrvGGM-vytMP1OyDgAY&amp;q=site%3Alinkedin.com+Hannah+Bassett+EMEA+Student+Programs+Tech+Recruiting+Lead</t>
  </si>
  <si>
    <t>https://www.google.com/search?newwindow=1&amp;ei=2MT0XrvGGM-vytMP1OyDgAY&amp;q=site%3Alinkedin.com+Kameelah+White+MBA+Senior+Campus+Recruiter-+Tech+American+Express</t>
  </si>
  <si>
    <t>https://www.google.com/search?newwindow=1&amp;ei=2MT0XrvGGM-vytMP1OyDgAY&amp;q=site%3Alinkedin.com+Courtney+Yeager+Recruiter+University+Relations+Apple</t>
  </si>
  <si>
    <t>https://www.google.com/search?newwindow=1&amp;ei=2MT0XrvGGM-vytMP1OyDgAY&amp;q=site%3Alinkedin.com+Heather+French+Senior+University+Recruiter+MBA+Recruiting+Lead+Apple</t>
  </si>
  <si>
    <t>https://www.google.com/search?newwindow=1&amp;ei=2MT0XrvGGM-vytMP1OyDgAY&amp;q=site%3Alinkedin.com+Darren+Nakata+Recruiter+University+Relations+Apple</t>
  </si>
  <si>
    <t>https://www.google.com/search?newwindow=1&amp;ei=2MT0XrvGGM-vytMP1OyDgAY&amp;q=site%3Alinkedin.com+Ina+Williams+ACIR+Tech+Recruiter+/+Sourcer+Apple</t>
  </si>
  <si>
    <t>https://www.google.com/search?newwindow=1&amp;ei=2MT0XrvGGM-vytMP1OyDgAY&amp;q=site%3Alinkedin.com+Joanna+Mackow+University+Relations+R&amp;D+Recruiter+Apple</t>
  </si>
  <si>
    <t>https://www.google.com/search?newwindow=1&amp;ei=2MT0XrvGGM-vytMP1OyDgAY&amp;q=site%3Alinkedin.com+Michelle+Glass+Sr.+Recruiter+&amp;+Global+Program+Manager+University+Relations+Apple</t>
  </si>
  <si>
    <t>https://www.google.com/search?newwindow=1&amp;ei=2MT0XrvGGM-vytMP1OyDgAY&amp;q=site%3Alinkedin.com+Gretchen+Farr+Senior+Technical+Recruiter++University+Relations+Operations+&amp;+Software+Engineering+Apple</t>
  </si>
  <si>
    <t>https://www.google.com/search?newwindow=1&amp;ei=2MT0XrvGGM-vytMP1OyDgAY&amp;q=site%3Alinkedin.com+Cory+Johnson+University+Relations-+Software+Recruiter-+iTunes+Core+OS+iOS/OS+X+Software+Engineering+Programs+Apple</t>
  </si>
  <si>
    <t>https://www.google.com/search?newwindow=1&amp;ei=2MT0XrvGGM-vytMP1OyDgAY&amp;q=site%3Alinkedin.com+Mary+Rose+Moynihan+University+Relations+Recruiter+R&amp;D+Apple</t>
  </si>
  <si>
    <t>https://www.google.com/search?newwindow=1&amp;ei=2MT0XrvGGM-vytMP1OyDgAY&amp;q=site%3Alinkedin.com+Stephanie+Archer+Senior+Campus+Recruiter+Early+Career+Talent</t>
  </si>
  <si>
    <t>https://www.google.com/search?newwindow=1&amp;ei=2MT0XrvGGM-vytMP1OyDgAY&amp;q=site%3Alinkedin.com+Dan+Lacey+Senior+Recruiting+Manager+Sydney+Campus+Programs</t>
  </si>
  <si>
    <t>https://www.google.com/search?newwindow=1&amp;ei=2MT0XrvGGM-vytMP1OyDgAY&amp;q=site%3Alinkedin.com+Manasi+Nagaokar+MHRM+Campus+Recruiting+Coordinator</t>
  </si>
  <si>
    <t>https://www.google.com/search?newwindow=1&amp;ei=2MT0XrvGGM-vytMP1OyDgAY&amp;q=site%3Alinkedin.com+Joanna+Morrison+Vice+President+Global+Technology+&amp;+Operations+Campus+Recruiter</t>
  </si>
  <si>
    <t>https://www.google.com/search?newwindow=1&amp;ei=2MT0XrvGGM-vytMP1OyDgAY&amp;q=site%3Alinkedin.com+Heather+VanDerheyden+Campus+Recruiting+Assistant+Vice+President</t>
  </si>
  <si>
    <t>https://www.google.com/search?newwindow=1&amp;ei=2MT0XrvGGM-vytMP1OyDgAY&amp;q=site%3Alinkedin.com+Elizabeth+Schoentube+Senior+Vice+President+Head+of+Campus+Recruiting+&amp;+Program+Management</t>
  </si>
  <si>
    <t>https://www.google.com/search?newwindow=1&amp;ei=2MT0XrvGGM-vytMP1OyDgAY&amp;q=site%3Alinkedin.com+Natalie+Choe+Vice+President+Diversity+Campus+Recruiting+&amp;+Veterans+Associate+Recruiter/Program+Manager</t>
  </si>
  <si>
    <t>https://www.google.com/search?newwindow=1&amp;ei=2MT0XrvGGM-vytMP1OyDgAY&amp;q=site%3Alinkedin.com+Rachel+Johnson+Assistant+Vice+President+University+Relations+Recruiter+Bank+of+America</t>
  </si>
  <si>
    <t>https://www.google.com/search?newwindow=1&amp;ei=2MT0XrvGGM-vytMP1OyDgAY&amp;q=site%3Alinkedin.com+Abigail+Roberson+AVP+University+Relations+Campus+Recruiter+Bank+of+America</t>
  </si>
  <si>
    <t>https://www.google.com/search?newwindow=1&amp;ei=2MT0XrvGGM-vytMP1OyDgAY&amp;q=site%3Alinkedin.com+Alexander+Watkins+MBA+Campus+Recruiter+&amp;+Program+Manager+(Global+Technology+&amp;+Operations)+Bank+of+America</t>
  </si>
  <si>
    <t>https://www.google.com/search?newwindow=1&amp;ei=2MT0XrvGGM-vytMP1OyDgAY&amp;q=site%3Alinkedin.com+Jamie+Wright+Campus+Recruiter+CFO+Group+Bank+of+America</t>
  </si>
  <si>
    <t>https://www.google.com/search?newwindow=1&amp;ei=2MT0XrvGGM-vytMP1OyDgAY&amp;q=site%3Alinkedin.com+Mary+Cameron+Grice+Assistant+Vice+President+Campus+Recruiter+Bank+of+America</t>
  </si>
  <si>
    <t>https://www.google.com/search?newwindow=1&amp;ei=2MT0XrvGGM-vytMP1OyDgAY&amp;q=site%3Alinkedin.com+Rachel+Johnson+Assistant+Vice+President+Program+Manager+&amp;+Campus+Recruiter+Bank+of+America</t>
  </si>
  <si>
    <t>https://www.google.com/search?newwindow=1&amp;ei=2MT0XrvGGM-vytMP1OyDgAY&amp;q=site%3Alinkedin.com+Caroline+La+Roche+Vice+President+Campus+Recruiter+&amp;+Program+Manager+Bank+of+America</t>
  </si>
  <si>
    <t>https://www.google.com/search?newwindow=1&amp;ei=2MT0XrvGGM-vytMP1OyDgAY&amp;q=site%3Alinkedin.com+Dontia+Barrett+Assistant+Vice+President+Diversity+Campus+Recruiter+Bank+of+America</t>
  </si>
  <si>
    <t>https://www.google.com/search?newwindow=1&amp;ei=2MT0XrvGGM-vytMP1OyDgAY&amp;q=site%3Alinkedin.com+Aubrey+D.+Campus+Recruiter+Global+Risk+Development+Program+Bank+of+America</t>
  </si>
  <si>
    <t>https://www.google.com/search?newwindow=1&amp;ei=2MT0XrvGGM-vytMP1OyDgAY&amp;q=site%3Alinkedin.com+Payal+Patel+Assistant+Vice+President+Corporate+Recruiter+Bank+of+America</t>
  </si>
  <si>
    <t>https://www.google.com/search?newwindow=1&amp;ei=2MT0XrvGGM-vytMP1OyDgAY&amp;q=site%3Alinkedin.com+Beth+Richard+VP+Campus+Recruiter+Bank+of+America</t>
  </si>
  <si>
    <t>https://www.google.com/search?newwindow=1&amp;ei=2MT0XrvGGM-vytMP1OyDgAY&amp;q=site%3Alinkedin.com+Amy+Yandell+Vice+President+Campus+Recruiter+Bank+of+America</t>
  </si>
  <si>
    <t>https://www.google.com/search?newwindow=1&amp;ei=2MT0XrvGGM-vytMP1OyDgAY&amp;q=site%3Alinkedin.com+Jada+Smith+Campus+Recruiter+Global+Corporate+&amp;+Investment+Banking+Bank+of+America</t>
  </si>
  <si>
    <t>https://www.google.com/search?newwindow=1&amp;ei=2MT0XrvGGM-vytMP1OyDgAY&amp;q=site%3Alinkedin.com+Amanda+Hertzberg+Campus+Recruiter+University+Relations+Bank+of+America</t>
  </si>
  <si>
    <t>https://www.google.com/search?newwindow=1&amp;ei=2MT0XrvGGM-vytMP1OyDgAY&amp;q=site%3Alinkedin.com+Noelle+Mattessich+Campus+Recruiter+Global+Banking+and+Markets+Bank+of+America</t>
  </si>
  <si>
    <t>https://www.google.com/search?newwindow=1&amp;ei=2MT0XrvGGM-vytMP1OyDgAY&amp;q=site%3Alinkedin.com+Sean+Hille+Assistant+Vice+President+Campus+Recruiter+Bank+of+America</t>
  </si>
  <si>
    <t>https://www.google.com/search?newwindow=1&amp;ei=2MT0XrvGGM-vytMP1OyDgAY&amp;q=site%3Alinkedin.com+Stephanie+Moss+Assistant+Vice+President+Campus+Recruiter+Bank+of+America</t>
  </si>
  <si>
    <t>https://www.google.com/search?newwindow=1&amp;ei=2MT0XrvGGM-vytMP1OyDgAY&amp;q=site%3Alinkedin.com+Bryan+C.+Vice+President+Campus+Recruiter+&amp;+Program+Manager+Bank+of+America</t>
  </si>
  <si>
    <t>https://www.google.com/search?newwindow=1&amp;ei=2MT0XrvGGM-vytMP1OyDgAY&amp;q=site%3Alinkedin.com+Carmen+Del+Valle+Vice+President+Diversity+Campus+Recruiter+Global+Banking+&amp;+Markets+Bank+of+America</t>
  </si>
  <si>
    <t>https://www.google.com/search?newwindow=1&amp;ei=2MT0XrvGGM-vytMP1OyDgAY&amp;q=site%3Alinkedin.com+Izabel+Tropnasse+Assistant+Vice+President+MBA+Campus+Recruiter+Bank+of+America</t>
  </si>
  <si>
    <t>https://www.google.com/search?newwindow=1&amp;ei=2MT0XrvGGM-vytMP1OyDgAY&amp;q=site%3Alinkedin.com+Natalie+Choe+Vice+President+Diversity+Campus+Recruiting+&amp;+Veterans+Associate+Recruiter/Program+Manager+Bank+of+America</t>
  </si>
  <si>
    <t>https://www.google.com/search?newwindow=1&amp;ei=2MT0XrvGGM-vytMP1OyDgAY&amp;q=site%3Alinkedin.com+Brittany+Convery+Assistant+Vice+President+Campus+Recruiter+Bank+of+America+Merrill+Lynch</t>
  </si>
  <si>
    <t>https://www.google.com/search?newwindow=1&amp;ei=2MT0XrvGGM-vytMP1OyDgAY&amp;q=site%3Alinkedin.com+Alison+Mancuso+Assistant+Vice+President+Campus+Recruiting</t>
  </si>
  <si>
    <t>https://www.google.com/search?newwindow=1&amp;ei=2MT0XrvGGM-vytMP1OyDgAY&amp;q=site%3Alinkedin.com+Akansha+Lal+Vice+President+Lead+Campus+&amp;+MBA+Recruiter+GCIB</t>
  </si>
  <si>
    <t>https://www.google.com/search?newwindow=1&amp;ei=2MT0XrvGGM-vytMP1OyDgAY&amp;q=site%3Alinkedin.com+Shauna+Louise+Biggins+Banking+EMEA+Campus+Recruiter+Associate+Vice+President</t>
  </si>
  <si>
    <t>https://www.google.com/search?newwindow=1&amp;ei=2MT0XrvGGM-vytMP1OyDgAY&amp;q=site%3Alinkedin.com+Suhana+Anwar+Graduate+Recruiter+AVP</t>
  </si>
  <si>
    <t>https://www.google.com/search?newwindow=1&amp;ei=2MT0XrvGGM-vytMP1OyDgAY&amp;q=site%3Alinkedin.com+Heather+Roberts+Assistant+Vice+President+Campus+Recruiter+Corporate+Banking+Private+Bank+Cards+&amp;+Payments</t>
  </si>
  <si>
    <t>https://www.google.com/search?newwindow=1&amp;ei=2MT0XrvGGM-vytMP1OyDgAY&amp;q=site%3Alinkedin.com+Cleo+Wah+Graduate+Development+and+Campus+Recruiter+HR</t>
  </si>
  <si>
    <t>https://www.google.com/search?newwindow=1&amp;ei=2MT0XrvGGM-vytMP1OyDgAY&amp;q=site%3Alinkedin.com+Jasmina+Bharwani+EMEA+Campus+Recruiter+Global+Markets</t>
  </si>
  <si>
    <t>https://www.google.com/search?newwindow=1&amp;ei=2MT0XrvGGM-vytMP1OyDgAY&amp;q=site%3Alinkedin.com+Rachael+Pardini+Vice+President+EME+Head+of+Banking+Campus+Recruiting</t>
  </si>
  <si>
    <t>https://www.google.com/search?newwindow=1&amp;ei=2MT0XrvGGM-vytMP1OyDgAY&amp;q=site%3Alinkedin.com+Jenny+Araque+National+Campus+Recruiting+Manager+BDO+USA+LLP</t>
  </si>
  <si>
    <t>https://www.google.com/search?newwindow=1&amp;ei=2MT0XrvGGM-vytMP1OyDgAY&amp;q=site%3Alinkedin.com+Amanda+Martucci+Regional+HR+Generalist/Campus+Recruiter+BDO+USA+LLP</t>
  </si>
  <si>
    <t>https://www.google.com/search?newwindow=1&amp;ei=2MT0XrvGGM-vytMP1OyDgAY&amp;q=site%3Alinkedin.com+Joelle+Rosen+Campus+Recruiting+Manager+BDO+USA+LLP</t>
  </si>
  <si>
    <t>https://www.google.com/search?newwindow=1&amp;ei=2MT0XrvGGM-vytMP1OyDgAY&amp;q=site%3Alinkedin.com+Lindsay+Fisher+Campus+Recruiter+BDO+USA+LLP</t>
  </si>
  <si>
    <t>https://www.google.com/search?newwindow=1&amp;ei=2MT0XrvGGM-vytMP1OyDgAY&amp;q=site%3Alinkedin.com+Emeline+Yordán+Campus+Recruiter+BDO+USA+LLP</t>
  </si>
  <si>
    <t>https://www.google.com/search?newwindow=1&amp;ei=2MT0XrvGGM-vytMP1OyDgAY&amp;q=site%3Alinkedin.com+Brian+Vander+Lee+CPA+Campus+Recruiting+Manager+BDO+USA+LLP</t>
  </si>
  <si>
    <t>https://www.google.com/search?newwindow=1&amp;ei=2MT0XrvGGM-vytMP1OyDgAY&amp;q=site%3Alinkedin.com+Amir+Mazarei+Campus+Recruiter+BDO+USA+LLP</t>
  </si>
  <si>
    <t>https://www.google.com/search?newwindow=1&amp;ei=2MT0XrvGGM-vytMP1OyDgAY&amp;q=site%3Alinkedin.com+Karina+Espinola+Campus+Recruiting+Manager+BDO+USA+LLP</t>
  </si>
  <si>
    <t>https://www.google.com/search?newwindow=1&amp;ei=2MT0XrvGGM-vytMP1OyDgAY&amp;q=site%3Alinkedin.com+Tamera+Pumphrey+MBA+CPA+Campus+Recruiter+BDO+USA+LLP</t>
  </si>
  <si>
    <t>https://www.google.com/search?newwindow=1&amp;ei=2MT0XrvGGM-vytMP1OyDgAY&amp;q=site%3Alinkedin.com+Katherine+Acuff+Campus+Recruiting+Manager+BDO+USA+LLP</t>
  </si>
  <si>
    <t>https://www.google.com/search?newwindow=1&amp;ei=2MT0XrvGGM-vytMP1OyDgAY&amp;q=site%3Alinkedin.com+Lauren+Feaser+Campus+Recruiter/HR+BDO+USA+LLP</t>
  </si>
  <si>
    <t>https://www.google.com/search?newwindow=1&amp;ei=2MT0XrvGGM-vytMP1OyDgAY&amp;q=site%3Alinkedin.com+Katie+Bailey+Campus+Recruiting+Manager+BDO+USA+LLP</t>
  </si>
  <si>
    <t>https://www.google.com/search?newwindow=1&amp;ei=2MT0XrvGGM-vytMP1OyDgAY&amp;q=site%3Alinkedin.com+Emily+Adamowski+National+Campus+Recruiter+Advisory+BDO+USA+LLP</t>
  </si>
  <si>
    <t>https://www.google.com/search?newwindow=1&amp;ei=2MT0XrvGGM-vytMP1OyDgAY&amp;q=site%3Alinkedin.com+Cecilia+Doucette+CPA+CFE+Manager+CPA+Student+Programs</t>
  </si>
  <si>
    <t>https://www.google.com/search?newwindow=1&amp;ei=2MT0XrvGGM-vytMP1OyDgAY&amp;q=site%3Alinkedin.com+Heather+Roberts+HRBP+&amp;+Director+Global+University+Recruitment+&amp;+Staffing</t>
  </si>
  <si>
    <t>https://www.google.com/search?newwindow=1&amp;ei=2MT0XrvGGM-vytMP1OyDgAY&amp;q=site%3Alinkedin.com+Victoria+Didilica+Campus+Recruiting+Talent+Acquisition</t>
  </si>
  <si>
    <t>https://www.google.com/search?newwindow=1&amp;ei=2MT0XrvGGM-vytMP1OyDgAY&amp;q=site%3Alinkedin.com+Jelicza+Thomas+Campus+Recruiter+Associate+BlackRock</t>
  </si>
  <si>
    <t>https://www.google.com/search?newwindow=1&amp;ei=2MT0XrvGGM-vytMP1OyDgAY&amp;q=site%3Alinkedin.com+Jade+Sims+M.Ed.+Campus+Recruiter+BlackRock</t>
  </si>
  <si>
    <t>https://www.google.com/search?newwindow=1&amp;ei=2MT0XrvGGM-vytMP1OyDgAY&amp;q=site%3Alinkedin.com+Jessica+Weatherhead+Supervisor+Professional+Development+&amp;+Student+Programs</t>
  </si>
  <si>
    <t>https://www.google.com/search?newwindow=1&amp;ei=2MT0XrvGGM-vytMP1OyDgAY&amp;q=site%3Alinkedin.com+Julie+Brisson+Director+Student+ProgramsAssociates+&amp;+Professional+Development</t>
  </si>
  <si>
    <t>https://www.google.com/search?newwindow=1&amp;ei=2MT0XrvGGM-vytMP1OyDgAY&amp;q=site%3Alinkedin.com+Rebecca+Durante+Team+Leader+Engineering+Campus+Recruiting</t>
  </si>
  <si>
    <t>https://www.google.com/search?newwindow=1&amp;ei=2MT0XrvGGM-vytMP1OyDgAY&amp;q=site%3Alinkedin.com+Melanie+S.+Human+Resources+Intern+Campus+Recruiting</t>
  </si>
  <si>
    <t>https://www.google.com/search?newwindow=1&amp;ei=2MT0XrvGGM-vytMP1OyDgAY&amp;q=site%3Alinkedin.com+Jagreet+Baghasingh+Team+Lead+R&amp;D+Investor+Ownership</t>
  </si>
  <si>
    <t>https://www.google.com/search?newwindow=1&amp;ei=2MT0XrvGGM-vytMP1OyDgAY&amp;q=site%3Alinkedin.com+Sean+OConnor+Campus+Recruiting+Coordinator+Software+Engineering</t>
  </si>
  <si>
    <t>https://www.google.com/search?newwindow=1&amp;ei=2MT0XrvGGM-vytMP1OyDgAY&amp;q=site%3Alinkedin.com+Kristina+Stephan+Sr.+Campus+Recruiter+Technology+&amp;+Operations</t>
  </si>
  <si>
    <t>https://www.google.com/search?newwindow=1&amp;ei=2MT0XrvGGM-vytMP1OyDgAY&amp;q=site%3Alinkedin.com+Tracy+Lutz+Senior+Campus+Recruiter+Personal+&amp;+Business+Banking</t>
  </si>
  <si>
    <t>https://www.google.com/search?newwindow=1&amp;ei=2MT0XrvGGM-vytMP1OyDgAY&amp;q=site%3Alinkedin.com+Nikki+Simone+Senior+Manager+Student+Experience+and+Early+Talent+Programs</t>
  </si>
  <si>
    <t>https://www.google.com/search?newwindow=1&amp;ei=2MT0XrvGGM-vytMP1OyDgAY&amp;q=site%3Alinkedin.com+Melissa+Ayoob+MBA+Campus+Recruiter+BNY+Mellon</t>
  </si>
  <si>
    <t>https://www.google.com/search?newwindow=1&amp;ei=2MT0XrvGGM-vytMP1OyDgAY&amp;q=site%3Alinkedin.com+Godfrey+Anderson+MPA+Manager+EFS+Rates+&amp;+Overhead+Cost+Management+Boeing</t>
  </si>
  <si>
    <t>https://www.google.com/search?newwindow=1&amp;ei=2MT0XrvGGM-vytMP1OyDgAY&amp;q=site%3Alinkedin.com+John+B.+DeRoest+MBA+CPIM+Supply+Chain+Integrator/Analyst+/+College+Recruiter+The+Boeing+Company</t>
  </si>
  <si>
    <t>https://www.google.com/search?newwindow=1&amp;ei=2MT0XrvGGM-vytMP1OyDgAY&amp;q=site%3Alinkedin.com+Dean+Fechner+Sr.+Manager+Campus+Recruiting+Booz+Allen+Hamilton</t>
  </si>
  <si>
    <t>https://www.google.com/search?newwindow=1&amp;ei=2MT0XrvGGM-vytMP1OyDgAY&amp;q=site%3Alinkedin.com+Tia+Bennett+Campus+Manager+Diversity+Recruiting+Booz+Allen+Hamilton</t>
  </si>
  <si>
    <t>https://www.google.com/search?newwindow=1&amp;ei=2MT0XrvGGM-vytMP1OyDgAY&amp;q=site%3Alinkedin.com+Allison+Halfpenny+Contingent+Worker+Training+Programs+&amp;+Standards+Administration+Student</t>
  </si>
  <si>
    <t>https://www.google.com/search?newwindow=1&amp;ei=2MT0XrvGGM-vytMP1OyDgAY&amp;q=site%3Alinkedin.com+Johanne+Brownrigg+Project+Manager+Student+Programs</t>
  </si>
  <si>
    <t>https://www.google.com/search?newwindow=1&amp;ei=2MT0XrvGGM-vytMP1OyDgAY&amp;q=site%3Alinkedin.com+Kristell+Muniz+Talent+Acquisition+Diversity+&amp;+Specialty+Campus+Recruiter+Capgemini</t>
  </si>
  <si>
    <t>https://www.google.com/search?newwindow=1&amp;ei=2MT0XrvGGM-vytMP1OyDgAY&amp;q=site%3Alinkedin.com+Liz+Souza+Senior+Associate+Campus+Recruiting+Technology</t>
  </si>
  <si>
    <t>https://www.google.com/search?newwindow=1&amp;ei=2MT0XrvGGM-vytMP1OyDgAY&amp;q=site%3Alinkedin.com+Tierra+Carter+MBA+Campus+Recruiting+Coordinator+Diversity+&amp;+Early+Engagement+Events</t>
  </si>
  <si>
    <t>https://www.google.com/search?newwindow=1&amp;ei=2MT0XrvGGM-vytMP1OyDgAY&amp;q=site%3Alinkedin.com+Taiesha+Olden+Campus+Recruiting+Coordinator+Diversity+&amp;+Early+Engagement+Events</t>
  </si>
  <si>
    <t>https://www.google.com/search?newwindow=1&amp;ei=2MT0XrvGGM-vytMP1OyDgAY&amp;q=site%3Alinkedin.com+Kim+Mariani+MBA+Campus+Recruiting+Coordinator</t>
  </si>
  <si>
    <t>https://www.google.com/search?newwindow=1&amp;ei=2MT0XrvGGM-vytMP1OyDgAY&amp;q=site%3Alinkedin.com+Aaron+Hendrickson+Senior+Manager+Campus+Recruiting</t>
  </si>
  <si>
    <t>https://www.google.com/search?newwindow=1&amp;ei=2MT0XrvGGM-vytMP1OyDgAY&amp;q=site%3Alinkedin.com+Jeff+Hudgins+Principal+Talent+Acquisition+Specialist+Grad+Campus+Recruiting+Team</t>
  </si>
  <si>
    <t>https://www.google.com/search?newwindow=1&amp;ei=2MT0XrvGGM-vytMP1OyDgAY&amp;q=site%3Alinkedin.com+Kaitlyn+Kilduff+Recruiting+Lead+Graduate+Campus+Internship+(GCi)+Data+Science+Program</t>
  </si>
  <si>
    <t>https://www.google.com/search?newwindow=1&amp;ei=2MT0XrvGGM-vytMP1OyDgAY&amp;q=site%3Alinkedin.com+Olwen+Watson+Senior+Campus+Recruiter+Talent+Acquisition</t>
  </si>
  <si>
    <t>https://www.google.com/search?newwindow=1&amp;ei=2MT0XrvGGM-vytMP1OyDgAY&amp;q=site%3Alinkedin.com+Courtney+McLemore+CDR+Campus+DIB+Recruiting+Strategy+Lead+First+Generation+College+Students</t>
  </si>
  <si>
    <t>https://www.google.com/search?newwindow=1&amp;ei=2MT0XrvGGM-vytMP1OyDgAY&amp;q=site%3Alinkedin.com+Stephanie+Paul+Director+Campus+Recruiting</t>
  </si>
  <si>
    <t>https://www.google.com/search?newwindow=1&amp;ei=2MT0XrvGGM-vytMP1OyDgAY&amp;q=site%3Alinkedin.com+Kate+Schade+Senior+HR+Associate+Campus+Recruiting+Lead+Strategy+Consulting+Group</t>
  </si>
  <si>
    <t>https://www.google.com/search?newwindow=1&amp;ei=2MT0XrvGGM-vytMP1OyDgAY&amp;q=site%3Alinkedin.com+Christina+Mitchell+Principal+HR+Coordinator+Campus+Recruiting</t>
  </si>
  <si>
    <t>https://www.google.com/search?newwindow=1&amp;ei=2MT0XrvGGM-vytMP1OyDgAY&amp;q=site%3Alinkedin.com+Chris+Giacchi+Human+Resource+Consultant+for+Brand+Workplace+Solutions+Supplier+Management+and+Security</t>
  </si>
  <si>
    <t>https://www.google.com/search?newwindow=1&amp;ei=2MT0XrvGGM-vytMP1OyDgAY&amp;q=site%3Alinkedin.com+Julia+Christakos+Process+Manager+Campus+Recruiting</t>
  </si>
  <si>
    <t>https://www.google.com/search?newwindow=1&amp;ei=2MT0XrvGGM-vytMP1OyDgAY&amp;q=site%3Alinkedin.com+Chiara+Arch+Campus+Recruiting+Strategist+D&amp;I+&amp;+National+Partnerships+at+Capital+One</t>
  </si>
  <si>
    <t>https://www.google.com/search?newwindow=1&amp;ei=2MT0XrvGGM-vytMP1OyDgAY&amp;q=site%3Alinkedin.com+Lisa+Crouse+CPA+SHRM-CP+Senior+Manager+Recruiting</t>
  </si>
  <si>
    <t>https://www.google.com/search?newwindow=1&amp;ei=2MT0XrvGGM-vytMP1OyDgAY&amp;q=site%3Alinkedin.com+Darlene+Kipphut+Senior+Associate+Campus+Recruiting+Data+Analysis</t>
  </si>
  <si>
    <t>https://www.google.com/search?newwindow=1&amp;ei=2MT0XrvGGM-vytMP1OyDgAY&amp;q=site%3Alinkedin.com+Janine+"Nina"+Morton+Director+Head+of+Graduate+Campus+Recruiting+&amp;+Development+Programs</t>
  </si>
  <si>
    <t>https://www.google.com/search?newwindow=1&amp;ei=2MT0XrvGGM-vytMP1OyDgAY&amp;q=site%3Alinkedin.com+Nicole+Yung+Campus+Recruiter+Business+Lead</t>
  </si>
  <si>
    <t>https://www.google.com/search?newwindow=1&amp;ei=2MT0XrvGGM-vytMP1OyDgAY&amp;q=site%3Alinkedin.com+Faith+Holland+Tech+Recruiter+Campus+Recruiting</t>
  </si>
  <si>
    <t>https://www.google.com/search?newwindow=1&amp;ei=2MT0XrvGGM-vytMP1OyDgAY&amp;q=site%3Alinkedin.com+Kwanza+K.+Nunn+SPHR+SHRM-SCP+Campus+Recruiting+Manager</t>
  </si>
  <si>
    <t>https://www.google.com/search?newwindow=1&amp;ei=2MT0XrvGGM-vytMP1OyDgAY&amp;q=site%3Alinkedin.com+Anthony+Jimenez+Tech+Recruiter+Campus+Recruiting</t>
  </si>
  <si>
    <t>https://www.google.com/search?newwindow=1&amp;ei=2MT0XrvGGM-vytMP1OyDgAY&amp;q=site%3Alinkedin.com+Chelsea+Bruchs+Mid-Atlantic+/+Carolina+Regional+Events+Lead+Campus+Recruiting</t>
  </si>
  <si>
    <t>https://www.google.com/search?newwindow=1&amp;ei=2MT0XrvGGM-vytMP1OyDgAY&amp;q=site%3Alinkedin.com+Cinthia+Lopez+Senior+Director+Human+Resources+Head+of+Campus+Recruiting+and+Programs</t>
  </si>
  <si>
    <t>https://www.google.com/search?newwindow=1&amp;ei=2MT0XrvGGM-vytMP1OyDgAY&amp;q=site%3Alinkedin.com+Isabel+Rose+Kadiri+Analyst+Campus+Recruiting+&amp;+Programs+Human+Resources+Rotational+Program+Associate</t>
  </si>
  <si>
    <t>https://www.google.com/search?newwindow=1&amp;ei=2MT0XrvGGM-vytMP1OyDgAY&amp;q=site%3Alinkedin.com+Shayda+Tavakoli+Principal+Coordinator+Campus+Recruiting</t>
  </si>
  <si>
    <t>https://www.google.com/search?newwindow=1&amp;ei=2MT0XrvGGM-vytMP1OyDgAY&amp;q=site%3Alinkedin.com+Laura+Borak+Director+Analyst+Campus+Recruiting+&amp;+Programs</t>
  </si>
  <si>
    <t>https://www.google.com/search?newwindow=1&amp;ei=2MT0XrvGGM-vytMP1OyDgAY&amp;q=site%3Alinkedin.com+Andre+Johnson+Senior+Associate+Campus+Recruiting</t>
  </si>
  <si>
    <t>https://www.google.com/search?newwindow=1&amp;ei=2MT0XrvGGM-vytMP1OyDgAY&amp;q=site%3Alinkedin.com+Sarah+Fitch+Tech+Campus+Recruiter+Midwest+Region+Capital+One</t>
  </si>
  <si>
    <t>https://www.google.com/search?newwindow=1&amp;ei=2MT0XrvGGM-vytMP1OyDgAY&amp;q=site%3Alinkedin.com+Aaron+Hendrickson+Senior+Manager+Campus+Recruiting+Capital+One</t>
  </si>
  <si>
    <t>https://www.google.com/search?newwindow=1&amp;ei=2MT0XrvGGM-vytMP1OyDgAY&amp;q=site%3Alinkedin.com+Martha+OBrien+Graduate+Campus+Recruiter+HR+Rotational+Program+Capital+One</t>
  </si>
  <si>
    <t>https://www.google.com/search?newwindow=1&amp;ei=2MT0XrvGGM-vytMP1OyDgAY&amp;q=site%3Alinkedin.com+Lisa+Crouse+CPA+SHRM-CP+Senior+Manager+Recruiting+Capital+One</t>
  </si>
  <si>
    <t>https://www.google.com/search?newwindow=1&amp;ei=2MT0XrvGGM-vytMP1OyDgAY&amp;q=site%3Alinkedin.com+Kelly+Bowman+Campus+Recruiter+Technology+(Southeast+Region)+Capital+One</t>
  </si>
  <si>
    <t>https://www.google.com/search?newwindow=1&amp;ei=2MT0XrvGGM-vytMP1OyDgAY&amp;q=site%3Alinkedin.com+Chris+Giacchi+Sr.+Manager+Campus+Recruiting+Capital+One</t>
  </si>
  <si>
    <t>https://www.google.com/search?newwindow=1&amp;ei=2MT0XrvGGM-vytMP1OyDgAY&amp;q=site%3Alinkedin.com+Julia+Christakos+Process+Manager+Campus+Recruiting+Capital+One</t>
  </si>
  <si>
    <t>https://www.google.com/search?newwindow=1&amp;ei=2MT0XrvGGM-vytMP1OyDgAY&amp;q=site%3Alinkedin.com+Peyton+Lowery+Senior+Campus+Recruiter+Technology+Capital+One</t>
  </si>
  <si>
    <t>https://www.google.com/search?newwindow=1&amp;ei=2MT0XrvGGM-vytMP1OyDgAY&amp;q=site%3Alinkedin.com+Jarvis-Ricardo+Johnson+MPA+Campus+Recruiter+Capital+One</t>
  </si>
  <si>
    <t>https://www.google.com/search?newwindow=1&amp;ei=2MT0XrvGGM-vytMP1OyDgAY&amp;q=site%3Alinkedin.com+Meg+Stabler+Campus+Recruiter+Business+Analyst+(Southeast+Region)+Capital+One</t>
  </si>
  <si>
    <t>https://www.google.com/search?newwindow=1&amp;ei=2MT0XrvGGM-vytMP1OyDgAY&amp;q=site%3Alinkedin.com+Katie+Griffin+HR+Associate+Analyst+Campus+Programs+Capital+One</t>
  </si>
  <si>
    <t>https://www.google.com/search?newwindow=1&amp;ei=2MT0XrvGGM-vytMP1OyDgAY&amp;q=site%3Alinkedin.com+Kwanza+K.+Nunn+SPHR+SHRM-SCP+Campus+Recruiting+Manager+Capital+One</t>
  </si>
  <si>
    <t>https://www.google.com/search?newwindow=1&amp;ei=2MT0XrvGGM-vytMP1OyDgAY&amp;q=site%3Alinkedin.com+Faith+Holland+Tech+Recruiter+Campus+Recruiting+Capital+One</t>
  </si>
  <si>
    <t>https://www.google.com/search?newwindow=1&amp;ei=2MT0XrvGGM-vytMP1OyDgAY&amp;q=site%3Alinkedin.com+Anthony+Jimenez+Tech+Recruiter+Campus+Recruiting+Capital+One</t>
  </si>
  <si>
    <t>https://www.google.com/search?newwindow=1&amp;ei=2MT0XrvGGM-vytMP1OyDgAY&amp;q=site%3Alinkedin.com+Alan+Ward+(he/him)+Campus+Recruiter+Enterprise+Programs+Capital+One</t>
  </si>
  <si>
    <t>https://www.google.com/search?newwindow=1&amp;ei=2MT0XrvGGM-vytMP1OyDgAY&amp;q=site%3Alinkedin.com+Cara+Pedersen+CHRP+Associate+University+Recruitment+Specialist</t>
  </si>
  <si>
    <t>https://www.google.com/search?newwindow=1&amp;ei=2MT0XrvGGM-vytMP1OyDgAY&amp;q=site%3Alinkedin.com+Samgwaa+Ndifontah+University+Recruiter+Cargill</t>
  </si>
  <si>
    <t>https://www.google.com/search?newwindow=1&amp;ei=2MT0XrvGGM-vytMP1OyDgAY&amp;q=site%3Alinkedin.com+Jill+Spohn+M.A.+H.R.M.+University+Recruiting+Specialist+Cargill</t>
  </si>
  <si>
    <t>https://www.google.com/search?newwindow=1&amp;ei=2MT0XrvGGM-vytMP1OyDgAY&amp;q=site%3Alinkedin.com+Jean+Mullan+Former+Director+(Retired)+Undergraduate+Recruitment+Carleton+University</t>
  </si>
  <si>
    <t>https://www.google.com/search?newwindow=1&amp;ei=2MT0XrvGGM-vytMP1OyDgAY&amp;q=site%3Alinkedin.com+Grace+Haime+New+Student+Programs+and+Activities+Coordinator+Student+Experience+Office</t>
  </si>
  <si>
    <t>https://www.google.com/search?newwindow=1&amp;ei=2MT0XrvGGM-vytMP1OyDgAY&amp;q=site%3Alinkedin.com+Emeline+Auguste+Administrative+Assistant+Diversity+Equity+and+Community+Programs</t>
  </si>
  <si>
    <t>https://www.google.com/search?newwindow=1&amp;ei=2MT0XrvGGM-vytMP1OyDgAY&amp;q=site%3Alinkedin.com+Niamh+OShea+Intercultural+Programs+Coordinator+International+Student+Services+Office</t>
  </si>
  <si>
    <t>https://www.google.com/search?newwindow=1&amp;ei=2MT0XrvGGM-vytMP1OyDgAY&amp;q=site%3Alinkedin.com+Lorraine+Anderson+Student+Employment+Programs+Co-op+and+Career+Services</t>
  </si>
  <si>
    <t>https://www.google.com/search?newwindow=1&amp;ei=2MT0XrvGGM-vytMP1OyDgAY&amp;q=site%3Alinkedin.com+Madeline+Sills+College+Recruiter+US+West+CGI</t>
  </si>
  <si>
    <t>https://www.google.com/search?newwindow=1&amp;ei=2MT0XrvGGM-vytMP1OyDgAY&amp;q=site%3Alinkedin.com+Anne+Marie+Swanson+(she/her/hers)+PMP+U.S.+STEM@CGI+Manager+CGI</t>
  </si>
  <si>
    <t>https://www.google.com/search?newwindow=1&amp;ei=2MT0XrvGGM-vytMP1OyDgAY&amp;q=site%3Alinkedin.com+Anuja+J.+Programs+Specialist+Member+and+Student+Experience</t>
  </si>
  <si>
    <t>https://www.google.com/search?newwindow=1&amp;ei=2MT0XrvGGM-vytMP1OyDgAY&amp;q=site%3Alinkedin.com+Gloria+Annable+PSI+Student+Recruiter+Eastern+Ontario</t>
  </si>
  <si>
    <t>https://www.google.com/search?newwindow=1&amp;ei=2MT0XrvGGM-vytMP1OyDgAY&amp;q=site%3Alinkedin.com+Ghada+Tajeddine+Student+Recruiter+(Regional)+Internationally+Educated+Professionals</t>
  </si>
  <si>
    <t>https://www.google.com/search?newwindow=1&amp;ei=2MT0XrvGGM-vytMP1OyDgAY&amp;q=site%3Alinkedin.com+Melissa+Gansham+CPA+CMA+Student+Recruiter</t>
  </si>
  <si>
    <t>https://www.google.com/search?newwindow=1&amp;ei=2MT0XrvGGM-vytMP1OyDgAY&amp;q=site%3Alinkedin.com+Alastair+Hobson+Student+Recruiter+Internationally+Educated+Professionals+(IEP)+Ontario</t>
  </si>
  <si>
    <t>https://www.google.com/search?newwindow=1&amp;ei=2MT0XrvGGM-vytMP1OyDgAY&amp;q=site%3Alinkedin.com+Dante+Cunningham+Recruiting+Manager+Campus+Recruiting+Diversity+Equity+&amp;+Inclusion+Chewy</t>
  </si>
  <si>
    <t>https://www.google.com/search?newwindow=1&amp;ei=2MT0XrvGGM-vytMP1OyDgAY&amp;q=site%3Alinkedin.com+Gaby+Bohus+MBA+Director+Technology+Career+Programs+Campus+Recruiting+&amp;+Career+Programs+Talent+Acquisition</t>
  </si>
  <si>
    <t>https://www.google.com/search?newwindow=1&amp;ei=2MT0XrvGGM-vytMP1OyDgAY&amp;q=site%3Alinkedin.com+Michelle+Pearlman+Foy+Senior+Director+Talent+Acquistion+Campus+Recruiting+and+Career+Programs</t>
  </si>
  <si>
    <t>https://www.google.com/search?newwindow=1&amp;ei=2MT0XrvGGM-vytMP1OyDgAY&amp;q=site%3Alinkedin.com+Phill+Haig+University+Recruitment+Business+Partner+Sales+&amp;+CX+(Global)</t>
  </si>
  <si>
    <t>https://www.google.com/search?newwindow=1&amp;ei=2MT0XrvGGM-vytMP1OyDgAY&amp;q=site%3Alinkedin.com+Adele+Charlton+University+Recruitment+Manager+South+East+Asia+and+Australia+and+New+Zealand</t>
  </si>
  <si>
    <t>https://www.google.com/search?newwindow=1&amp;ei=2MT0XrvGGM-vytMP1OyDgAY&amp;q=site%3Alinkedin.com+Tilly+Lim+University+Recruitment+Specialist+ANZ+&amp;+SE+Asia</t>
  </si>
  <si>
    <t>https://www.google.com/search?newwindow=1&amp;ei=2MT0XrvGGM-vytMP1OyDgAY&amp;q=site%3Alinkedin.com+Brianna+(Bri)+Birkeness+University+Recruiter+Engineering+Cisco</t>
  </si>
  <si>
    <t>https://www.google.com/search?newwindow=1&amp;ei=2MT0XrvGGM-vytMP1OyDgAY&amp;q=site%3Alinkedin.com+Michelle+OConnell+University+Recruiter+Cisco</t>
  </si>
  <si>
    <t>https://www.google.com/search?newwindow=1&amp;ei=2MT0XrvGGM-vytMP1OyDgAY&amp;q=site%3Alinkedin.com+Dawn+McLaughlin+University+Recruiting+Lead+Engineering+Cisco</t>
  </si>
  <si>
    <t>https://www.google.com/search?newwindow=1&amp;ei=2MT0XrvGGM-vytMP1OyDgAY&amp;q=site%3Alinkedin.com+Jill+Decker+University+Recruiter+Cisco+Systems+Inc.</t>
  </si>
  <si>
    <t>https://www.google.com/search?newwindow=1&amp;ei=2MT0XrvGGM-vytMP1OyDgAY&amp;q=site%3Alinkedin.com+Dawn+Johnson+College+Recruiter+Cisco+Systems+Inc.</t>
  </si>
  <si>
    <t>https://www.google.com/search?newwindow=1&amp;ei=2MT0XrvGGM-vytMP1OyDgAY&amp;q=site%3Alinkedin.com+Grace+Martin+Campus+Recruiter+Quantitative+Research+Citadel</t>
  </si>
  <si>
    <t>https://www.google.com/search?newwindow=1&amp;ei=2MT0XrvGGM-vytMP1OyDgAY&amp;q=site%3Alinkedin.com+Erin+Bergano+Manager+Trading+Campus+Recruiting+Citadel</t>
  </si>
  <si>
    <t>https://www.google.com/search?newwindow=1&amp;ei=2MT0XrvGGM-vytMP1OyDgAY&amp;q=site%3Alinkedin.com+Gwendolyn+Hickey+Campus+Recruiter+Quantitative+Research+Citadel+LLC</t>
  </si>
  <si>
    <t>https://www.google.com/search?newwindow=1&amp;ei=2MT0XrvGGM-vytMP1OyDgAY&amp;q=site%3Alinkedin.com+Veronica+Pickard+AVP+Human+Resources+Campus+Program+Lead</t>
  </si>
  <si>
    <t>https://www.google.com/search?newwindow=1&amp;ei=2MT0XrvGGM-vytMP1OyDgAY&amp;q=site%3Alinkedin.com+Pilar+T.+Pérez-Griffo+Jaén+EMEA+Graduate+Recruiter+BCMA</t>
  </si>
  <si>
    <t>https://www.google.com/search?newwindow=1&amp;ei=2MT0XrvGGM-vytMP1OyDgAY&amp;q=site%3Alinkedin.com+Chen+Murugiah+Assistant+Vice+President+Lead+Campus+Recruiter</t>
  </si>
  <si>
    <t>https://www.google.com/search?newwindow=1&amp;ei=2MT0XrvGGM-vytMP1OyDgAY&amp;q=site%3Alinkedin.com+Yesenia+Gomez+Vice+President+Campus+Diversity+Recruiting+Manager</t>
  </si>
  <si>
    <t>https://www.google.com/search?newwindow=1&amp;ei=2MT0XrvGGM-vytMP1OyDgAY&amp;q=site%3Alinkedin.com+Jennifer+Lynch+Assistant+Vice+President+Senior+Recruiter+Campus+Recruiting+Sales+&amp;+Trading</t>
  </si>
  <si>
    <t>https://www.google.com/search?newwindow=1&amp;ei=2MT0XrvGGM-vytMP1OyDgAY&amp;q=site%3Alinkedin.com+Tiffany+Palacios+Hawkins+Campus+Recruiting+Manager+Global+Functions</t>
  </si>
  <si>
    <t>https://www.google.com/search?newwindow=1&amp;ei=2MT0XrvGGM-vytMP1OyDgAY&amp;q=site%3Alinkedin.com+Samantha+Robins+Vice+President+Technology+Campus+Recruiting+Manager+at+Citi</t>
  </si>
  <si>
    <t>https://www.google.com/search?newwindow=1&amp;ei=2MT0XrvGGM-vytMP1OyDgAY&amp;q=site%3Alinkedin.com+Lauren+Harrison+Campus+Recruiter+Global+Consumer+Technology+Citi</t>
  </si>
  <si>
    <t>https://www.google.com/search?newwindow=1&amp;ei=2MT0XrvGGM-vytMP1OyDgAY&amp;q=site%3Alinkedin.com+Tiffany+Palacios+Hawkins+Campus+Recruiting+Manager+Global+Functions+Citi</t>
  </si>
  <si>
    <t>https://www.google.com/search?newwindow=1&amp;ei=2MT0XrvGGM-vytMP1OyDgAY&amp;q=site%3Alinkedin.com+Emily+Bilotta+Vice+President+Head+of+University+Relations+Citi</t>
  </si>
  <si>
    <t>https://www.google.com/search?newwindow=1&amp;ei=2MT0XrvGGM-vytMP1OyDgAY&amp;q=site%3Alinkedin.com+Sivona+Blake+Assistant+Vice+President+Senior+Diversity+Campus+Recruiter+Citi</t>
  </si>
  <si>
    <t>https://www.google.com/search?newwindow=1&amp;ei=2MT0XrvGGM-vytMP1OyDgAY&amp;q=site%3Alinkedin.com+Sarah+Glaser+Assistant+Vice+President+Campus+Recruiter+Citi</t>
  </si>
  <si>
    <t>https://www.google.com/search?newwindow=1&amp;ei=2MT0XrvGGM-vytMP1OyDgAY&amp;q=site%3Alinkedin.com+Lauren+Cooley+Assistant+Vice+President+MBA+Campus+Recruiter+and+HR+Program+Manager+for+Investment+Banking+Citi</t>
  </si>
  <si>
    <t>https://www.google.com/search?newwindow=1&amp;ei=2MT0XrvGGM-vytMP1OyDgAY&amp;q=site%3Alinkedin.com+Megan+Franklin+AVP+Campus+Program+Manager+and+Recruiter+Citi</t>
  </si>
  <si>
    <t>https://www.google.com/search?newwindow=1&amp;ei=2MT0XrvGGM-vytMP1OyDgAY&amp;q=site%3Alinkedin.com+Emily+White+(Rodgers)+Assistant+Vice+President+Campus+Recruiter+Banking+Capital+Markets+&amp;+Advisory+Citi</t>
  </si>
  <si>
    <t>https://www.google.com/search?newwindow=1&amp;ei=2MT0XrvGGM-vytMP1OyDgAY&amp;q=site%3Alinkedin.com+Emily+Bilotta+Assistant+Vice+President+Campus+Recruiter+&amp;+Program+Manager+Citi</t>
  </si>
  <si>
    <t>https://www.google.com/search?newwindow=1&amp;ei=2MT0XrvGGM-vytMP1OyDgAY&amp;q=site%3Alinkedin.com+Yesenia+Gomez+Vice+President+Campus+Diversity+Recruiting+Manager+Citi</t>
  </si>
  <si>
    <t>https://www.google.com/search?newwindow=1&amp;ei=2MT0XrvGGM-vytMP1OyDgAY&amp;q=site%3Alinkedin.com+Samantha+Robins+Vice+President+Technology+Campus+Recruiting+Manager+at+Citi+Citi</t>
  </si>
  <si>
    <t>https://www.google.com/search?newwindow=1&amp;ei=2MT0XrvGGM-vytMP1OyDgAY&amp;q=site%3Alinkedin.com+Erica+Strunkey+Assistant+Vice+President+Senior+Campus+Recruiter+Citi</t>
  </si>
  <si>
    <t>https://www.google.com/search?newwindow=1&amp;ei=2MT0XrvGGM-vytMP1OyDgAY&amp;q=site%3Alinkedin.com+Devika+Seeraj+Assistant+Vice+President+Campus+Recruiter+Citi</t>
  </si>
  <si>
    <t>https://www.google.com/search?newwindow=1&amp;ei=2MT0XrvGGM-vytMP1OyDgAY&amp;q=site%3Alinkedin.com+Jennifer+Lynch+Assistant+Vice+President+Senior+Recruiter+Campus+Recruiting+Sales+&amp;+Trading+Citi</t>
  </si>
  <si>
    <t>https://www.google.com/search?newwindow=1&amp;ei=2MT0XrvGGM-vytMP1OyDgAY&amp;q=site%3Alinkedin.com+Danielle+Sirubi+Assistant+Vice+President+Campus+Recruiter+Banking+Capital+Markets+&amp;+Advisory+Citi</t>
  </si>
  <si>
    <t>https://www.google.com/search?newwindow=1&amp;ei=2MT0XrvGGM-vytMP1OyDgAY&amp;q=site%3Alinkedin.com+Michelle+DErario+Assistant+Vice+President+Campus+Recruiter+Citi</t>
  </si>
  <si>
    <t>https://www.google.com/search?newwindow=1&amp;ei=2MT0XrvGGM-vytMP1OyDgAY&amp;q=site%3Alinkedin.com+Amy+Grant+University+Recruiter+Americas+Engineering+Citrix</t>
  </si>
  <si>
    <t>https://www.google.com/search?newwindow=1&amp;ei=2MT0XrvGGM-vytMP1OyDgAY&amp;q=site%3Alinkedin.com+Gwen+Anderson+Senior+Recruiter+North+America+Campus+Recruitment+at+Cognizant+Cognizant</t>
  </si>
  <si>
    <t>https://www.google.com/search?newwindow=1&amp;ei=2MT0XrvGGM-vytMP1OyDgAY&amp;q=site%3Alinkedin.com+Melina+Barona+(she/her)+M.Ed+PHR+Senior+Manager+US+Campus+Recruiting+Cognizant+Technology+Solutions</t>
  </si>
  <si>
    <t>https://www.google.com/search?newwindow=1&amp;ei=2MT0XrvGGM-vytMP1OyDgAY&amp;q=site%3Alinkedin.com+James+Wallace+Campus+Recruiter+Cooperative+Education+Program+Comcast</t>
  </si>
  <si>
    <t>https://www.google.com/search?newwindow=1&amp;ei=2MT0XrvGGM-vytMP1OyDgAY&amp;q=site%3Alinkedin.com+Sarah+Murphy+Campus+Recruiting+Team+Lead+Investment+Banking+EMEA</t>
  </si>
  <si>
    <t>https://www.google.com/search?newwindow=1&amp;ei=2MT0XrvGGM-vytMP1OyDgAY&amp;q=site%3Alinkedin.com+Rachael+Schutzbank+AVP+Campus+Recruiter+Investment+Banking+&amp;+Capital+Markets+Credit+Suisse</t>
  </si>
  <si>
    <t>https://www.google.com/search?newwindow=1&amp;ei=2MT0XrvGGM-vytMP1OyDgAY&amp;q=site%3Alinkedin.com+Jennifer+Wilson+Campus+Recruiter+Investment+Banking+&amp;+Capital+Markets+Credit+Suisse</t>
  </si>
  <si>
    <t>https://www.google.com/search?newwindow=1&amp;ei=2MT0XrvGGM-vytMP1OyDgAY&amp;q=site%3Alinkedin.com+Erin+Gross+Campus+Recruiter+Global+Markets+&amp;+Asset+Management+Credit+Suisse</t>
  </si>
  <si>
    <t>https://www.google.com/search?newwindow=1&amp;ei=2MT0XrvGGM-vytMP1OyDgAY&amp;q=site%3Alinkedin.com+Sean+Bea+MBA+Campus+Recruiter+Cushman+&amp;+Wakefield</t>
  </si>
  <si>
    <t>https://www.google.com/search?newwindow=1&amp;ei=2MT0XrvGGM-vytMP1OyDgAY&amp;q=site%3Alinkedin.com+Amanda+Camera+Campus+Recruiter+&amp;+PREP+Manager+West+Region+at+Cushman+&amp;+Wakefield+Cushman+&amp;+Wakefield</t>
  </si>
  <si>
    <t>https://www.google.com/search?newwindow=1&amp;ei=2MT0XrvGGM-vytMP1OyDgAY&amp;q=site%3Alinkedin.com+Callie+Jones+University+Relations+Project+Manager+Product+&amp;+Operations+Dell</t>
  </si>
  <si>
    <t>https://www.google.com/search?newwindow=1&amp;ei=2MT0XrvGGM-vytMP1OyDgAY&amp;q=site%3Alinkedin.com+Megan+Evangelista+Campus+Recruiting+Manager+Sales+Academy+Program+Dell</t>
  </si>
  <si>
    <t>https://www.google.com/search?newwindow=1&amp;ei=2MT0XrvGGM-vytMP1OyDgAY&amp;q=site%3Alinkedin.com+Ellie+Biscoe+Campus+Recruiting+Manager+Next+Gen+Sales+Program+Dell+EMC</t>
  </si>
  <si>
    <t>https://www.google.com/search?newwindow=1&amp;ei=2MT0XrvGGM-vytMP1OyDgAY&amp;q=site%3Alinkedin.com+Molly+Hynes+Recruiter+University+Relations+Dell+Technologies</t>
  </si>
  <si>
    <t>https://www.google.com/search?newwindow=1&amp;ei=2MT0XrvGGM-vytMP1OyDgAY&amp;q=site%3Alinkedin.com+Lisa+Twomey+PHR+Manager+Consulting+Campus+Recruiting</t>
  </si>
  <si>
    <t>https://www.google.com/search?newwindow=1&amp;ei=2MT0XrvGGM-vytMP1OyDgAY&amp;q=site%3Alinkedin.com+Gretchen+Thom+Campus+Recruiting+Specialist+Consulting</t>
  </si>
  <si>
    <t>https://www.google.com/search?newwindow=1&amp;ei=2MT0XrvGGM-vytMP1OyDgAY&amp;q=site%3Alinkedin.com+William+Hilbrich+Campus+Recruiting+Specialist+Consulting</t>
  </si>
  <si>
    <t>https://www.google.com/search?newwindow=1&amp;ei=2MT0XrvGGM-vytMP1OyDgAY&amp;q=site%3Alinkedin.com+Caroline+Chao+MA+PHR+Campus+Recruiting+Specialist</t>
  </si>
  <si>
    <t>https://www.google.com/search?newwindow=1&amp;ei=2MT0XrvGGM-vytMP1OyDgAY&amp;q=site%3Alinkedin.com+Amy+Droz+Lead+Campus+Recruiting+Specialist+Deloitte+Consulting+LLP</t>
  </si>
  <si>
    <t>https://www.google.com/search?newwindow=1&amp;ei=2MT0XrvGGM-vytMP1OyDgAY&amp;q=site%3Alinkedin.com+Lauren+Ward+Senior+Campus+Recruiting+Specialist+Consulting</t>
  </si>
  <si>
    <t>https://www.google.com/search?newwindow=1&amp;ei=2MT0XrvGGM-vytMP1OyDgAY&amp;q=site%3Alinkedin.com+Zachary+Yarnell+CPA+Campus+Recruiting+Specialist</t>
  </si>
  <si>
    <t>https://www.google.com/search?newwindow=1&amp;ei=2MT0XrvGGM-vytMP1OyDgAY&amp;q=site%3Alinkedin.com+Jennifer+Cohen+PHR+Campus+Recruiting+Manager</t>
  </si>
  <si>
    <t>https://www.google.com/search?newwindow=1&amp;ei=2MT0XrvGGM-vytMP1OyDgAY&amp;q=site%3Alinkedin.com+Brittany+Cicmanec+Campus+Recruiting+Coordinator+Audit+Tax+and+Advisory</t>
  </si>
  <si>
    <t>https://www.google.com/search?newwindow=1&amp;ei=2MT0XrvGGM-vytMP1OyDgAY&amp;q=site%3Alinkedin.com+Sophia+Gooden+Campus+Recruiting+Specialist+++Deloitte+Consulting+++Technology</t>
  </si>
  <si>
    <t>https://www.google.com/search?newwindow=1&amp;ei=2MT0XrvGGM-vytMP1OyDgAY&amp;q=site%3Alinkedin.com+Anissa+Escobar+MSHRM+Campus+Recruiting+Coordinator</t>
  </si>
  <si>
    <t>https://www.google.com/search?newwindow=1&amp;ei=2MT0XrvGGM-vytMP1OyDgAY&amp;q=site%3Alinkedin.com+Katarina+I.+Perez+MBA+Campus+Recruiting+Specialist</t>
  </si>
  <si>
    <t>https://www.google.com/search?newwindow=1&amp;ei=2MT0XrvGGM-vytMP1OyDgAY&amp;q=site%3Alinkedin.com+Anadelia+Garcia+Campus+Recruiting+Manager+Central+Region</t>
  </si>
  <si>
    <t>https://www.google.com/search?newwindow=1&amp;ei=2MT0XrvGGM-vytMP1OyDgAY&amp;q=site%3Alinkedin.com+Megan+OConnor+Campus+Recruiting+Coordinator+Consulting</t>
  </si>
  <si>
    <t>https://www.google.com/search?newwindow=1&amp;ei=2MT0XrvGGM-vytMP1OyDgAY&amp;q=site%3Alinkedin.com+Katie+Long+SHRM-CP+PHR+Campus+Recruiting+Manager</t>
  </si>
  <si>
    <t>https://www.google.com/search?newwindow=1&amp;ei=2MT0XrvGGM-vytMP1OyDgAY&amp;q=site%3Alinkedin.com+Jeremy+Carrine+Campus+Recruiting+Manager+East+Region</t>
  </si>
  <si>
    <t>https://www.google.com/search?newwindow=1&amp;ei=2MT0XrvGGM-vytMP1OyDgAY&amp;q=site%3Alinkedin.com+Rita+DiLeo+Tomann+MBA+National+Campus+Recruiting+Lead</t>
  </si>
  <si>
    <t>https://www.google.com/search?newwindow=1&amp;ei=2MT0XrvGGM-vytMP1OyDgAY&amp;q=site%3Alinkedin.com+Ashley+Hyde+MS+SPHR+Manager+Performance+Management</t>
  </si>
  <si>
    <t>https://www.google.com/search?newwindow=1&amp;ei=2MT0XrvGGM-vytMP1OyDgAY&amp;q=site%3Alinkedin.com+Sheena+Wirth+SHRM-CP+Senior+Campus+Recruiting+Specialist</t>
  </si>
  <si>
    <t>https://www.google.com/search?newwindow=1&amp;ei=2MT0XrvGGM-vytMP1OyDgAY&amp;q=site%3Alinkedin.com+Melissa+(Uhniat)+Sweeney+Manager+Experienced+Hire+Recruiting</t>
  </si>
  <si>
    <t>https://www.google.com/search?newwindow=1&amp;ei=2MT0XrvGGM-vytMP1OyDgAY&amp;q=site%3Alinkedin.com+Abby+Cooper+PHR+National+Project+Controller+Campus+Recruiting+Account+Lead</t>
  </si>
  <si>
    <t>https://www.google.com/search?newwindow=1&amp;ei=2MT0XrvGGM-vytMP1OyDgAY&amp;q=site%3Alinkedin.com+Melissa+Varkoly+Senior+Manager+Audit+Talent+Business+Advisor</t>
  </si>
  <si>
    <t>https://www.google.com/search?newwindow=1&amp;ei=2MT0XrvGGM-vytMP1OyDgAY&amp;q=site%3Alinkedin.com+Ashley+Josephson+Campus+Recruiting+Manager+Consulting</t>
  </si>
  <si>
    <t>https://www.google.com/search?newwindow=1&amp;ei=2MT0XrvGGM-vytMP1OyDgAY&amp;q=site%3Alinkedin.com+Jennifer+Sullivan+Senior+Manager+National+Technology+Campus+Recruiting+Leader</t>
  </si>
  <si>
    <t>https://www.google.com/search?newwindow=1&amp;ei=2MT0XrvGGM-vytMP1OyDgAY&amp;q=site%3Alinkedin.com+Jessica+Consalvo+Senior+Campus+Recruiting+Specialist+Government+&amp;+Public+Services</t>
  </si>
  <si>
    <t>https://www.google.com/search?newwindow=1&amp;ei=2MT0XrvGGM-vytMP1OyDgAY&amp;q=site%3Alinkedin.com+Abby+de+Goey+PHR+SHRM-CP+GPS+Campus+Recruiting+Manager+Deloitte</t>
  </si>
  <si>
    <t>https://www.google.com/search?newwindow=1&amp;ei=2MT0XrvGGM-vytMP1OyDgAY&amp;q=site%3Alinkedin.com+Karen+Proctor+PHR+Campus+Recruiter+Deloitte</t>
  </si>
  <si>
    <t>https://www.google.com/search?newwindow=1&amp;ei=2MT0XrvGGM-vytMP1OyDgAY&amp;q=site%3Alinkedin.com+Lisa+Twomey+PHR+Manager+Consulting+Campus+Recruiting+Deloitte</t>
  </si>
  <si>
    <t>https://www.google.com/search?newwindow=1&amp;ei=2MT0XrvGGM-vytMP1OyDgAY&amp;q=site%3Alinkedin.com+Jennifer+Cohen+PHR+Campus+Recruiting+Manager+Deloitte</t>
  </si>
  <si>
    <t>https://www.google.com/search?newwindow=1&amp;ei=2MT0XrvGGM-vytMP1OyDgAY&amp;q=site%3Alinkedin.com+Anadelia+Garcia+Campus+Recruiting+Manager+Central+Region+Deloitte</t>
  </si>
  <si>
    <t>https://www.google.com/search?newwindow=1&amp;ei=2MT0XrvGGM-vytMP1OyDgAY&amp;q=site%3Alinkedin.com+Jeremy+Carrine+Campus+Recruiting+Manager+East+Region+Deloitte</t>
  </si>
  <si>
    <t>https://www.google.com/search?newwindow=1&amp;ei=2MT0XrvGGM-vytMP1OyDgAY&amp;q=site%3Alinkedin.com+Katie+Long+SHRM-CP+PHR+Campus+Recruiting+Manager+Deloitte</t>
  </si>
  <si>
    <t>https://www.google.com/search?newwindow=1&amp;ei=2MT0XrvGGM-vytMP1OyDgAY&amp;q=site%3Alinkedin.com+Ashley+Hyde+MS+SPHR+Manager+Performance+Management+Deloitte</t>
  </si>
  <si>
    <t>https://www.google.com/search?newwindow=1&amp;ei=2MT0XrvGGM-vytMP1OyDgAY&amp;q=site%3Alinkedin.com+Melissa+(Uhniat)+Sweeney+Manager+Experienced+Hire+Recruiting+Deloitte</t>
  </si>
  <si>
    <t>https://www.google.com/search?newwindow=1&amp;ei=2MT0XrvGGM-vytMP1OyDgAY&amp;q=site%3Alinkedin.com+Shannel+Amaraweera+M.S.W.+Campus+Recruiter+Deloitte</t>
  </si>
  <si>
    <t>https://www.google.com/search?newwindow=1&amp;ei=2MT0XrvGGM-vytMP1OyDgAY&amp;q=site%3Alinkedin.com+Melissa+Varkoly+Senior+Manager+Audit+Talent+Business+Advisor+Deloitte</t>
  </si>
  <si>
    <t>https://www.google.com/search?newwindow=1&amp;ei=2MT0XrvGGM-vytMP1OyDgAY&amp;q=site%3Alinkedin.com+Ashley+Josephson+Campus+Recruiting+Manager+Consulting+Deloitte</t>
  </si>
  <si>
    <t>https://www.google.com/search?newwindow=1&amp;ei=2MT0XrvGGM-vytMP1OyDgAY&amp;q=site%3Alinkedin.com+Jennifer+Sullivan+Senior+Manager+National+Technology+Campus+Recruiting+Leader+Deloitte</t>
  </si>
  <si>
    <t>https://www.google.com/search?newwindow=1&amp;ei=2MT0XrvGGM-vytMP1OyDgAY&amp;q=site%3Alinkedin.com+Agi+Galecka+CPA+Senior+Campus+Recruiter+Deloitte</t>
  </si>
  <si>
    <t>https://www.google.com/search?newwindow=1&amp;ei=2MT0XrvGGM-vytMP1OyDgAY&amp;q=site%3Alinkedin.com+Tiffany+Foskey-LewisSHRM-CP+US+Delivery+Center+Campus+Recruiter+Deloitte+Consulting</t>
  </si>
  <si>
    <t>https://www.google.com/search?newwindow=1&amp;ei=2MT0XrvGGM-vytMP1OyDgAY&amp;q=site%3Alinkedin.com+Loriann+Joseph+Talent+Coordinator+Associate+and+Student+Programs</t>
  </si>
  <si>
    <t>https://www.google.com/search?newwindow=1&amp;ei=2MT0XrvGGM-vytMP1OyDgAY&amp;q=site%3Alinkedin.com+Lisa+Midgley+Talent+Specialist+Associate+&amp;+Student+Programs</t>
  </si>
  <si>
    <t>https://www.google.com/search?newwindow=1&amp;ei=2MT0XrvGGM-vytMP1OyDgAY&amp;q=site%3Alinkedin.com+Cindy+Kennedy+Talent+Coordinator+Associate+and+Student+Programs</t>
  </si>
  <si>
    <t>https://www.google.com/search?newwindow=1&amp;ei=2MT0XrvGGM-vytMP1OyDgAY&amp;q=site%3Alinkedin.com+Sarah+Scadding+(Assoc+CIPD)+Early+Careers+Recruiter+Campus+&amp;+Diversity</t>
  </si>
  <si>
    <t>https://www.google.com/search?newwindow=1&amp;ei=2MT0XrvGGM-vytMP1OyDgAY&amp;q=site%3Alinkedin.com+Amanda+Griffith+EMEA+Campus+Recruiter+Corporate+Finance+Corporate+Bank++&amp;+Campus+Engagement+(Contract)</t>
  </si>
  <si>
    <t>https://www.google.com/search?newwindow=1&amp;ei=2MT0XrvGGM-vytMP1OyDgAY&amp;q=site%3Alinkedin.com+Jignesh+Vaghadia+(Assoc+CIPD)+Graduate+Recruiter+–+Markets+(Sales+Trading+Structuring+and+Research)</t>
  </si>
  <si>
    <t>https://www.google.com/search?newwindow=1&amp;ei=2MT0XrvGGM-vytMP1OyDgAY&amp;q=site%3Alinkedin.com+Katy+Franklin+Associate+Human+Resources+Talent+Sourcing+Campus+Recruiter+Deutsche+Bank</t>
  </si>
  <si>
    <t>https://www.google.com/search?newwindow=1&amp;ei=2MT0XrvGGM-vytMP1OyDgAY&amp;q=site%3Alinkedin.com+Katherine+Brodhead+MBA+University+Relations+Recruiter+DISH+Network</t>
  </si>
  <si>
    <t>https://www.google.com/search?newwindow=1&amp;ei=2MT0XrvGGM-vytMP1OyDgAY&amp;q=site%3Alinkedin.com+Kyerra+Moody+CPA+Campus+Recruiter+Dixon+Hughes+Goodman+LLP</t>
  </si>
  <si>
    <t>https://www.google.com/search?newwindow=1&amp;ei=2MT0XrvGGM-vytMP1OyDgAY&amp;q=site%3Alinkedin.com+Katie+Davenport+CPA+SHRM-SCP+Senior+Campus+Recruiting+Manager+Dixon+Hughes+Goodman+LLP</t>
  </si>
  <si>
    <t>https://www.google.com/search?newwindow=1&amp;ei=2MT0XrvGGM-vytMP1OyDgAY&amp;q=site%3Alinkedin.com+Kelly+Anderson+Senior+Associate+Campus+Recruiter+Dixon+Hughes+Goodman+LLP</t>
  </si>
  <si>
    <t>https://www.google.com/search?newwindow=1&amp;ei=2MT0XrvGGM-vytMP1OyDgAY&amp;q=site%3Alinkedin.com+Natalie+Boyles+CPA+Campus+Recruiter+Dixon+Hughes+Goodman+LLP</t>
  </si>
  <si>
    <t>https://www.google.com/search?newwindow=1&amp;ei=2MT0XrvGGM-vytMP1OyDgAY&amp;q=site%3Alinkedin.com+Gemma+Bowles+Graduate+Recruiter+APAC</t>
  </si>
  <si>
    <t>https://www.google.com/search?newwindow=1&amp;ei=2MT0XrvGGM-vytMP1OyDgAY&amp;q=site%3Alinkedin.com+Kunda+Musambacine+Program+Manager+University+Recruiter+DocuSign</t>
  </si>
  <si>
    <t>https://www.google.com/search?newwindow=1&amp;ei=2MT0XrvGGM-vytMP1OyDgAY&amp;q=site%3Alinkedin.com+Courtney+Neff+Technical+Recruiter+University+Recruiting+DoorDash</t>
  </si>
  <si>
    <t>https://www.google.com/search?newwindow=1&amp;ei=2MT0XrvGGM-vytMP1OyDgAY&amp;q=site%3Alinkedin.com+Elliott+Jones-Poulson+M.S.+(he/his/him)+University+Relations+Recruiter+DuPont</t>
  </si>
  <si>
    <t>https://www.google.com/search?newwindow=1&amp;ei=2MT0XrvGGM-vytMP1OyDgAY&amp;q=site%3Alinkedin.com+Natallia+Guimarais+University+Recruiter+EMEA</t>
  </si>
  <si>
    <t>https://www.google.com/search?newwindow=1&amp;ei=2MT0XrvGGM-vytMP1OyDgAY&amp;q=site%3Alinkedin.com+Fiona+Hudghton+HOD+Languages+and+International+Student+Programs</t>
  </si>
  <si>
    <t>https://www.google.com/search?newwindow=1&amp;ei=2MT0XrvGGM-vytMP1OyDgAY&amp;q=site%3Alinkedin.com+Wendy+Gilbert+Manager+International+Student+Programs</t>
  </si>
  <si>
    <t>https://www.google.com/search?newwindow=1&amp;ei=2MT0XrvGGM-vytMP1OyDgAY&amp;q=site%3Alinkedin.com+Janelle+Peacock+Project+Officer+Strategy+Quality+and+Compliance+International+Student+Programs</t>
  </si>
  <si>
    <t>https://www.google.com/search?newwindow=1&amp;ei=2MT0XrvGGM-vytMP1OyDgAY&amp;q=site%3Alinkedin.com+Anthea+Berry+Regional+Manager+Recruitment+International+Student+Programs</t>
  </si>
  <si>
    <t>https://www.google.com/search?newwindow=1&amp;ei=2MT0XrvGGM-vytMP1OyDgAY&amp;q=site%3Alinkedin.com+Karen+Stinnett+Recruiter+University+Relations+&amp;+Next-Gen+Talent+Electronic+Arts</t>
  </si>
  <si>
    <t>https://www.google.com/search?newwindow=1&amp;ei=2MT0XrvGGM-vytMP1OyDgAY&amp;q=site%3Alinkedin.com+Melissa+Wafful+Recruiter+University+Relations+&amp;+Next-Gen+Talent+Electronic+Arts+(EA)</t>
  </si>
  <si>
    <t>https://www.google.com/search?newwindow=1&amp;ei=2MT0XrvGGM-vytMP1OyDgAY&amp;q=site%3Alinkedin.com+Stephanie+Ha+Sr.+Recruiter+University+Relations+&amp;+Next+Gen+Talent+Electronic+Arts+(EA)</t>
  </si>
  <si>
    <t>https://www.google.com/search?newwindow=1&amp;ei=2MT0XrvGGM-vytMP1OyDgAY&amp;q=site%3Alinkedin.com+Derek+Weeres+Recruiter+University+Relations+&amp;+Next-Gen+Talent</t>
  </si>
  <si>
    <t>https://www.google.com/search?newwindow=1&amp;ei=2MT0XrvGGM-vytMP1OyDgAY&amp;q=site%3Alinkedin.com+Keith+B.+Stanford+Associate+Consultant/+Campus+Recruiter/Global+Staffing+&amp;+Recruiting+Eli+Lilly</t>
  </si>
  <si>
    <t>https://www.google.com/search?newwindow=1&amp;ei=2MT0XrvGGM-vytMP1OyDgAY&amp;q=site%3Alinkedin.com+Mark+Short+Associate+Consultant+Sales+Recruiting+Campus+Eli+Lilly+and+Company</t>
  </si>
  <si>
    <t>https://www.google.com/search?newwindow=1&amp;ei=2MT0XrvGGM-vytMP1OyDgAY&amp;q=site%3Alinkedin.com+Hira+Majid+Campus+Recruiter+Diversity+Lead+Eli+Lilly+and+Company</t>
  </si>
  <si>
    <t>https://www.google.com/search?newwindow=1&amp;ei=2MT0XrvGGM-vytMP1OyDgAY&amp;q=site%3Alinkedin.com+Alexandria+Pernell+MS-HRM+Global+HR+Campus+Recruiter+Eli+Lilly+and+Company</t>
  </si>
  <si>
    <t>https://www.google.com/search?newwindow=1&amp;ei=2MT0XrvGGM-vytMP1OyDgAY&amp;q=site%3Alinkedin.com+Juniris+Torres+Senior+Sales+Representative+Campus+Internship+Recruiter+Eli+Lilly+and+Company</t>
  </si>
  <si>
    <t>https://www.google.com/search?newwindow=1&amp;ei=2MT0XrvGGM-vytMP1OyDgAY&amp;q=site%3Alinkedin.com+Oscar+Grau+MBA+Consultant+Campus+Recruiter+Eli+Lilly+and+Company</t>
  </si>
  <si>
    <t>https://www.google.com/search?newwindow=1&amp;ei=2MT0XrvGGM-vytMP1OyDgAY&amp;q=site%3Alinkedin.com+Fredrick+Scott+Americas+Campus+Recruiting+Leader+Advisory+Services</t>
  </si>
  <si>
    <t>https://www.google.com/search?newwindow=1&amp;ei=2MT0XrvGGM-vytMP1OyDgAY&amp;q=site%3Alinkedin.com+Victoria+Hess+Associate+Director+Campus+Recruiting</t>
  </si>
  <si>
    <t>https://www.google.com/search?newwindow=1&amp;ei=2MT0XrvGGM-vytMP1OyDgAY&amp;q=site%3Alinkedin.com+Holly+Hoette+Assistant+Director+Campus+Recruiting</t>
  </si>
  <si>
    <t>https://www.google.com/search?newwindow=1&amp;ei=2MT0XrvGGM-vytMP1OyDgAY&amp;q=site%3Alinkedin.com+Katie+Fiorenzo+Sharp+Campus+Recruiter+Transaction+Advisory+Services+EY</t>
  </si>
  <si>
    <t>https://www.google.com/search?newwindow=1&amp;ei=2MT0XrvGGM-vytMP1OyDgAY&amp;q=site%3Alinkedin.com+Erica+Alfaro+Hammett+Campus+Recruiter+Talent+Attraction+and+Acquisition+(TA2)+EY</t>
  </si>
  <si>
    <t>https://www.google.com/search?newwindow=1&amp;ei=2MT0XrvGGM-vytMP1OyDgAY&amp;q=site%3Alinkedin.com+Sarah+Fraser+US-East+Campus+Recruiter+Supervising+Assoc.+EY</t>
  </si>
  <si>
    <t>https://www.google.com/search?newwindow=1&amp;ei=2MT0XrvGGM-vytMP1OyDgAY&amp;q=site%3Alinkedin.com+Addison+Hugo+Recruiter+Campus+Talent+Attraction+and+Acquisition+EY</t>
  </si>
  <si>
    <t>https://www.google.com/search?newwindow=1&amp;ei=2MT0XrvGGM-vytMP1OyDgAY&amp;q=site%3Alinkedin.com+Meaghan+Sansbury+Campus+Recruiter+Supervising+Associate+EY</t>
  </si>
  <si>
    <t>https://www.google.com/search?newwindow=1&amp;ei=2MT0XrvGGM-vytMP1OyDgAY&amp;q=site%3Alinkedin.com+Jessica+M.+Campus+Recruiter+Supervising+Associate+EY</t>
  </si>
  <si>
    <t>https://www.google.com/search?newwindow=1&amp;ei=2MT0XrvGGM-vytMP1OyDgAY&amp;q=site%3Alinkedin.com+Jordan+England+Campus+Recruiter+Talent+Attraction+and+Acquisition+(TA²)+EY</t>
  </si>
  <si>
    <t>https://www.google.com/search?newwindow=1&amp;ei=2MT0XrvGGM-vytMP1OyDgAY&amp;q=site%3Alinkedin.com+Madison+Pierini+Supervising+Associate+Campus+Recruiter++Financial+Services+Organization+EY</t>
  </si>
  <si>
    <t>https://www.google.com/search?newwindow=1&amp;ei=2MT0XrvGGM-vytMP1OyDgAY&amp;q=site%3Alinkedin.com+Emily+Deering+Campus+Recruiter+Supervising+Associate+EY</t>
  </si>
  <si>
    <t>https://www.google.com/search?newwindow=1&amp;ei=2MT0XrvGGM-vytMP1OyDgAY&amp;q=site%3Alinkedin.com+Carol+Nielsen+Campus+Recruiter+(Rotational+Talent+Advisor)+Supervising+Associate+EY</t>
  </si>
  <si>
    <t>https://www.google.com/search?newwindow=1&amp;ei=2MT0XrvGGM-vytMP1OyDgAY&amp;q=site%3Alinkedin.com+Brighid+Jensen+US+Campus+Recruiting+Associate+Director+Transformation+Project+Leader+EY</t>
  </si>
  <si>
    <t>https://www.google.com/search?newwindow=1&amp;ei=2MT0XrvGGM-vytMP1OyDgAY&amp;q=site%3Alinkedin.com+Scott+Dai+Senior+Manager+Business+Strategy+&amp;+Consulting+EY</t>
  </si>
  <si>
    <t>https://www.google.com/search?newwindow=1&amp;ei=2MT0XrvGGM-vytMP1OyDgAY&amp;q=site%3Alinkedin.com+Kristen+(Miller)+Goldman+Campus+Recruiter+Assistant+Director+EY</t>
  </si>
  <si>
    <t>https://www.google.com/search?newwindow=1&amp;ei=2MT0XrvGGM-vytMP1OyDgAY&amp;q=site%3Alinkedin.com+Daniela+McLoad+Campus+Recruiter+Supervising+Associate+EY</t>
  </si>
  <si>
    <t>https://www.google.com/search?newwindow=1&amp;ei=2MT0XrvGGM-vytMP1OyDgAY&amp;q=site%3Alinkedin.com+Monica+Zeno+Campus+Recruiter+Senior+Associate+FSO+EY</t>
  </si>
  <si>
    <t>https://www.google.com/search?newwindow=1&amp;ei=2MT0XrvGGM-vytMP1OyDgAY&amp;q=site%3Alinkedin.com+Francesca+Jones+Campus+Recruiting+Leader+Financial+Services+Organization+EY</t>
  </si>
  <si>
    <t>https://www.google.com/search?newwindow=1&amp;ei=2MT0XrvGGM-vytMP1OyDgAY&amp;q=site%3Alinkedin.com+Jenell+Griffin+Supervisory+Associate+Campus+Recruiter+EY</t>
  </si>
  <si>
    <t>https://www.google.com/search?newwindow=1&amp;ei=2MT0XrvGGM-vytMP1OyDgAY&amp;q=site%3Alinkedin.com+Emily+Zoller+Assistant+Director+Financial+Services+Campus+Recruiter+EY</t>
  </si>
  <si>
    <t>https://www.google.com/search?newwindow=1&amp;ei=2MT0XrvGGM-vytMP1OyDgAY&amp;q=site%3Alinkedin.com+Javan+Cross+Campus+Recruiter+Assurance+EY</t>
  </si>
  <si>
    <t>https://www.google.com/search?newwindow=1&amp;ei=2MT0XrvGGM-vytMP1OyDgAY&amp;q=site%3Alinkedin.com+Ashley+P.+Campus+Recruiter+Talent+Attraction+&amp;+Acquisition+EY</t>
  </si>
  <si>
    <t>https://www.google.com/search?newwindow=1&amp;ei=2MT0XrvGGM-vytMP1OyDgAY&amp;q=site%3Alinkedin.com+Jazsmin+Watson+Booth+Campus+Recruiter+Senior+Associate+EY</t>
  </si>
  <si>
    <t>https://www.google.com/search?newwindow=1&amp;ei=2MT0XrvGGM-vytMP1OyDgAY&amp;q=site%3Alinkedin.com+Renee+Morrison+CPA+Campus+Recruiter+EY</t>
  </si>
  <si>
    <t>https://www.google.com/search?newwindow=1&amp;ei=2MT0XrvGGM-vytMP1OyDgAY&amp;q=site%3Alinkedin.com+Emily+Dorsey+Perno+Assistant+Director+Campus+Recruiting+Tax+EY</t>
  </si>
  <si>
    <t>https://www.google.com/search?newwindow=1&amp;ei=2MT0XrvGGM-vytMP1OyDgAY&amp;q=site%3Alinkedin.com+Allison+Maron+Senior+Associate+Campus+Recruiter+EY</t>
  </si>
  <si>
    <t>https://www.google.com/search?newwindow=1&amp;ei=2MT0XrvGGM-vytMP1OyDgAY&amp;q=site%3Alinkedin.com+Cori+Fitzpatrick-Rosario+Campus+Recruiter+Transaction+Advisory+Services+and+Campus+Relationship+Manager+for+Cornell+EY</t>
  </si>
  <si>
    <t>https://www.google.com/search?newwindow=1&amp;ei=2MT0XrvGGM-vytMP1OyDgAY&amp;q=site%3Alinkedin.com+Abigail+Morgan+Campus+Recruiter+Talent+Attraction+&amp;+Acquisition+Senior+Associate+EY</t>
  </si>
  <si>
    <t>https://www.google.com/search?newwindow=1&amp;ei=2MT0XrvGGM-vytMP1OyDgAY&amp;q=site%3Alinkedin.com+Adrianne+Dias+Campus+Recruiter+(National+Tax)+Supervising+Associate+EY</t>
  </si>
  <si>
    <t>https://www.google.com/search?newwindow=1&amp;ei=2MT0XrvGGM-vytMP1OyDgAY&amp;q=site%3Alinkedin.com+Carolyn+Duffett+Talent+Attraction+&amp;+Acquisition+Campus+Recruiter+EY</t>
  </si>
  <si>
    <t>https://www.google.com/search?newwindow=1&amp;ei=2MT0XrvGGM-vytMP1OyDgAY&amp;q=site%3Alinkedin.com+Chelsea+Vena+MBA+Campus+Recruiter+Senior+Associate+EY</t>
  </si>
  <si>
    <t>https://www.google.com/search?newwindow=1&amp;ei=2MT0XrvGGM-vytMP1OyDgAY&amp;q=site%3Alinkedin.com+Jessica+(Gutman)+Lefkowitz+Campus+Recruiter+Talent+Attraction+&amp;+Acquisition+EY</t>
  </si>
  <si>
    <t>https://www.google.com/search?newwindow=1&amp;ei=2MT0XrvGGM-vytMP1OyDgAY&amp;q=site%3Alinkedin.com+Katherine+Infante+Senior+Associate+Campus+Recruiter+EY</t>
  </si>
  <si>
    <t>https://www.google.com/search?newwindow=1&amp;ei=2MT0XrvGGM-vytMP1OyDgAY&amp;q=site%3Alinkedin.com+Christine+Brennan+Campus+Referral+Recruiter+Talent+Attraction+and+Acquisition+(TA²)+EY</t>
  </si>
  <si>
    <t>https://www.google.com/search?newwindow=1&amp;ei=2MT0XrvGGM-vytMP1OyDgAY&amp;q=site%3Alinkedin.com+Abby+Motson+Campus+Recruiter+(Advisory+Cybersecurity)+EY</t>
  </si>
  <si>
    <t>https://www.google.com/search?newwindow=1&amp;ei=2MT0XrvGGM-vytMP1OyDgAY&amp;q=site%3Alinkedin.com+Nichole+Howarth+Campus+Recruiter+Rotating+Talent+Advisor+Supervising+Associate+EY</t>
  </si>
  <si>
    <t>https://www.google.com/search?newwindow=1&amp;ei=2MT0XrvGGM-vytMP1OyDgAY&amp;q=site%3Alinkedin.com+Ali+Meersman+CPA+Campus+Recruiter+Talent+Attraction+&amp;+Acquisition+EY</t>
  </si>
  <si>
    <t>https://www.google.com/search?newwindow=1&amp;ei=2MT0XrvGGM-vytMP1OyDgAY&amp;q=site%3Alinkedin.com+Beverly+Tran+Campus+Recruiter+Senior+Associate+EY</t>
  </si>
  <si>
    <t>https://www.google.com/search?newwindow=1&amp;ei=2MT0XrvGGM-vytMP1OyDgAY&amp;q=site%3Alinkedin.com+Jessi+Dale+Seattle+&amp;+Portland+Campus+Recruiter+West+Region+Diversity+and+Inclusion+Internship+(Launch)+Lead+EY</t>
  </si>
  <si>
    <t>https://www.google.com/search?newwindow=1&amp;ei=2MT0XrvGGM-vytMP1OyDgAY&amp;q=site%3Alinkedin.com+Jessica+Gruber+Supervising+Associate+Campus+Recruiter+EY</t>
  </si>
  <si>
    <t>https://www.google.com/search?newwindow=1&amp;ei=2MT0XrvGGM-vytMP1OyDgAY&amp;q=site%3Alinkedin.com+Joe+Santulli+Campus+Recruiter+Supervising+Associate+EY</t>
  </si>
  <si>
    <t>https://www.google.com/search?newwindow=1&amp;ei=2MT0XrvGGM-vytMP1OyDgAY&amp;q=site%3Alinkedin.com+Sean+Woolford+Supervising+Associate+Financial+Services+Organization+Campus+Recruiting+EY</t>
  </si>
  <si>
    <t>https://www.google.com/search?newwindow=1&amp;ei=2MT0XrvGGM-vytMP1OyDgAY&amp;q=site%3Alinkedin.com+Jacqueline+Jaszczak+Campus+Recruiter+Talent+Attraction+and+Acquisition+EY</t>
  </si>
  <si>
    <t>https://www.google.com/search?newwindow=1&amp;ei=2MT0XrvGGM-vytMP1OyDgAY&amp;q=site%3Alinkedin.com+Sarah+Tegen+Supervising+Associate+Campus+Recruiting+EY</t>
  </si>
  <si>
    <t>https://www.google.com/search?newwindow=1&amp;ei=2MT0XrvGGM-vytMP1OyDgAY&amp;q=site%3Alinkedin.com+Elise+Scott+Assistant+Director+Campus+Recruiting</t>
  </si>
  <si>
    <t>https://www.google.com/search?newwindow=1&amp;ei=2MT0XrvGGM-vytMP1OyDgAY&amp;q=site%3Alinkedin.com+Lauren+Nelson+Assistant+Director+Campus+Recruiting</t>
  </si>
  <si>
    <t>https://www.google.com/search?newwindow=1&amp;ei=2MT0XrvGGM-vytMP1OyDgAY&amp;q=site%3Alinkedin.com+Megan+Carter+CPA+Senior+Associate+EY+Talent+Acquisition+and+Attraction+Campus+Recruiting</t>
  </si>
  <si>
    <t>https://www.google.com/search?newwindow=1&amp;ei=2MT0XrvGGM-vytMP1OyDgAY&amp;q=site%3Alinkedin.com+Ryan+ONeil+Campus+Recruiting+Coordinator</t>
  </si>
  <si>
    <t>https://www.google.com/search?newwindow=1&amp;ei=2MT0XrvGGM-vytMP1OyDgAY&amp;q=site%3Alinkedin.com+Barbara+Nee+Center+of+Excellence+Campus+Recruiting+Field+Strategy+Leader</t>
  </si>
  <si>
    <t>https://www.google.com/search?newwindow=1&amp;ei=2MT0XrvGGM-vytMP1OyDgAY&amp;q=site%3Alinkedin.com+Brianne+Campbell+Financial+Services+Campus+Recruiting+Associate+Director</t>
  </si>
  <si>
    <t>https://www.google.com/search?newwindow=1&amp;ei=2MT0XrvGGM-vytMP1OyDgAY&amp;q=site%3Alinkedin.com+Claire+Hall+Senior+Associate+Campus+Recruiting</t>
  </si>
  <si>
    <t>https://www.google.com/search?newwindow=1&amp;ei=2MT0XrvGGM-vytMP1OyDgAY&amp;q=site%3Alinkedin.com+Fawn+Price+National+Tax+Campus+Recruiting+Leader+Assistant+Director</t>
  </si>
  <si>
    <t>https://www.google.com/search?newwindow=1&amp;ei=2MT0XrvGGM-vytMP1OyDgAY&amp;q=site%3Alinkedin.com+Stephanie+Loftus+aPHR+Campus+Recruiting+Coordinator</t>
  </si>
  <si>
    <t>https://www.google.com/search?newwindow=1&amp;ei=2MT0XrvGGM-vytMP1OyDgAY&amp;q=site%3Alinkedin.com+Celeste+Benton+Rotational+Talent+Advisor+Supervising+Associate+Campus+Recruiting</t>
  </si>
  <si>
    <t>https://www.google.com/search?newwindow=1&amp;ei=2MT0XrvGGM-vytMP1OyDgAY&amp;q=site%3Alinkedin.com+Amy+Fondell+Campus+Recruiting+Field+Leader+Talent+Attraction+&amp;+Acquisition+at+EY</t>
  </si>
  <si>
    <t>https://www.google.com/search?newwindow=1&amp;ei=2MT0XrvGGM-vytMP1OyDgAY&amp;q=site%3Alinkedin.com+Christal+Shillingford+Assistant+Director+US-West+Diversity+&amp;+Inclusiveness+Campus+Recruiting+Lead</t>
  </si>
  <si>
    <t>https://www.google.com/search?newwindow=1&amp;ei=2MT0XrvGGM-vytMP1OyDgAY&amp;q=site%3Alinkedin.com+Ali+Strohm+Assistant+Director+Campus+Recruiting+CPA+PHR</t>
  </si>
  <si>
    <t>https://www.google.com/search?newwindow=1&amp;ei=2MT0XrvGGM-vytMP1OyDgAY&amp;q=site%3Alinkedin.com+Diana+Vanucci+Assistant+Director+Brand+Marketing+and+Communications+Leader+US+Campus+Recruiting</t>
  </si>
  <si>
    <t>https://www.google.com/search?newwindow=1&amp;ei=2MT0XrvGGM-vytMP1OyDgAY&amp;q=site%3Alinkedin.com+Amanda+Summey+Graduate+(MBA)+Campus+Recruiting+Consulting</t>
  </si>
  <si>
    <t>https://www.google.com/search?newwindow=1&amp;ei=2MT0XrvGGM-vytMP1OyDgAY&amp;q=site%3Alinkedin.com+Scott+Dai+Senior+Manager+Business+Strategy+&amp;+Consulting</t>
  </si>
  <si>
    <t>https://www.google.com/search?newwindow=1&amp;ei=2MT0XrvGGM-vytMP1OyDgAY&amp;q=site%3Alinkedin.com+Brighid+Jensen+US+Campus+Recruiting+Associate+Director+Transformation+Project+Leader</t>
  </si>
  <si>
    <t>https://www.google.com/search?newwindow=1&amp;ei=2MT0XrvGGM-vytMP1OyDgAY&amp;q=site%3Alinkedin.com+Derek+Winkler+People+Advisory+Services+Americas+COO+for+Global+Immigration+and+Business+Traveler+Services</t>
  </si>
  <si>
    <t>https://www.google.com/search?newwindow=1&amp;ei=2MT0XrvGGM-vytMP1OyDgAY&amp;q=site%3Alinkedin.com+Eliza+Coleman+Assistant+Director+Americas+Technology+Consultant+Campus+Recruiting+Operations</t>
  </si>
  <si>
    <t>https://www.google.com/search?newwindow=1&amp;ei=2MT0XrvGGM-vytMP1OyDgAY&amp;q=site%3Alinkedin.com+Maddie+Mohr+Senior+Campus+Recruiting+Associate+Talent+Attraction+and+Acquisition</t>
  </si>
  <si>
    <t>https://www.google.com/search?newwindow=1&amp;ei=2MT0XrvGGM-vytMP1OyDgAY&amp;q=site%3Alinkedin.com+Yesenia+Turcios+Campus+Recruiting+Coordinator+Financial+Services+Organization</t>
  </si>
  <si>
    <t>https://www.google.com/search?newwindow=1&amp;ei=2MT0XrvGGM-vytMP1OyDgAY&amp;q=site%3Alinkedin.com+Keilyn+Robinson+MSW+Campus+Recruiting+Coordinator</t>
  </si>
  <si>
    <t>https://www.google.com/search?newwindow=1&amp;ei=2MT0XrvGGM-vytMP1OyDgAY&amp;q=site%3Alinkedin.com+Francesca+Jones+Campus+Recruiting+Leader+Financial+Services+Organization</t>
  </si>
  <si>
    <t>https://www.google.com/search?newwindow=1&amp;ei=2MT0XrvGGM-vytMP1OyDgAY&amp;q=site%3Alinkedin.com+Jackie+Devitt+Assistant+Director+Campus+Recruiting</t>
  </si>
  <si>
    <t>https://www.google.com/search?newwindow=1&amp;ei=2MT0XrvGGM-vytMP1OyDgAY&amp;q=site%3Alinkedin.com+DeShay+Turner+Campus+Recruiting+Supervising+Associate</t>
  </si>
  <si>
    <t>https://www.google.com/search?newwindow=1&amp;ei=2MT0XrvGGM-vytMP1OyDgAY&amp;q=site%3Alinkedin.com+Rheanna+Martino+Assistant+Director+Talent+Attraction+&amp;+Acquisition+–+Campus+Recruiting</t>
  </si>
  <si>
    <t>https://www.google.com/search?newwindow=1&amp;ei=2MT0XrvGGM-vytMP1OyDgAY&amp;q=site%3Alinkedin.com+Nathan+Petroski+SHRM-CP+Campus+Recruiting+Coordinator+Contract</t>
  </si>
  <si>
    <t>https://www.google.com/search?newwindow=1&amp;ei=2MT0XrvGGM-vytMP1OyDgAY&amp;q=site%3Alinkedin.com+Renee+Morrison+CPA+Campus+Recruiter</t>
  </si>
  <si>
    <t>https://www.google.com/search?newwindow=1&amp;ei=2MT0XrvGGM-vytMP1OyDgAY&amp;q=site%3Alinkedin.com+Emily+Dorsey+Perno+Assistant+Director+Campus+Recruiting+Tax</t>
  </si>
  <si>
    <t>https://www.google.com/search?newwindow=1&amp;ei=2MT0XrvGGM-vytMP1OyDgAY&amp;q=site%3Alinkedin.com+Nicole+Griffith+Associate+Director+Financial+Services+Campus+Recruiting</t>
  </si>
  <si>
    <t>https://www.google.com/search?newwindow=1&amp;ei=2MT0XrvGGM-vytMP1OyDgAY&amp;q=site%3Alinkedin.com+Lauren+Harris+Assistant+Director+US-East+Campus+Recruiting</t>
  </si>
  <si>
    <t>https://www.google.com/search?newwindow=1&amp;ei=2MT0XrvGGM-vytMP1OyDgAY&amp;q=site%3Alinkedin.com+Joe+Maturando+Director+of+Campus+Recruiting+Northeast+Region</t>
  </si>
  <si>
    <t>https://www.google.com/search?newwindow=1&amp;ei=2MT0XrvGGM-vytMP1OyDgAY&amp;q=site%3Alinkedin.com+Christine+Sexton+Campus+Recruiting++Americas+Talent+Team</t>
  </si>
  <si>
    <t>https://www.google.com/search?newwindow=1&amp;ei=2MT0XrvGGM-vytMP1OyDgAY&amp;q=site%3Alinkedin.com+Kristina+Liphardt+Director+Campus+Recruiting+Leader</t>
  </si>
  <si>
    <t>https://www.google.com/search?newwindow=1&amp;ei=2MT0XrvGGM-vytMP1OyDgAY&amp;q=site%3Alinkedin.com+Meg+Struble+National+Consulting+Campus+Recruiting+Lead+Assistant+Director</t>
  </si>
  <si>
    <t>https://www.google.com/search?newwindow=1&amp;ei=2MT0XrvGGM-vytMP1OyDgAY&amp;q=site%3Alinkedin.com+Casey+Richard+Senior+Campus+Recruiting+Associate+Talent+Attraction+and+Acquisition</t>
  </si>
  <si>
    <t>https://www.google.com/search?newwindow=1&amp;ei=2MT0XrvGGM-vytMP1OyDgAY&amp;q=site%3Alinkedin.com+Melissa+Haugrud+CPA+CA+Campus+Recruiter</t>
  </si>
  <si>
    <t>https://www.google.com/search?newwindow=1&amp;ei=2MT0XrvGGM-vytMP1OyDgAY&amp;q=site%3Alinkedin.com+Kimberly+Czarnecki+Assistant+Director+Campus+Recruiting</t>
  </si>
  <si>
    <t>https://www.google.com/search?newwindow=1&amp;ei=2MT0XrvGGM-vytMP1OyDgAY&amp;q=site%3Alinkedin.com+Harriet+Hetherton+Campus+Recruiter+Senior+Consultant</t>
  </si>
  <si>
    <t>https://www.google.com/search?newwindow=1&amp;ei=2MT0XrvGGM-vytMP1OyDgAY&amp;q=site%3Alinkedin.com+Emily+Cooper+Campus+Recruiter+Senior+Consultant</t>
  </si>
  <si>
    <t>https://www.google.com/search?newwindow=1&amp;ei=2MT0XrvGGM-vytMP1OyDgAY&amp;q=site%3Alinkedin.com+Jefferson+Johnson+Assistant+Director+Campus+Recruiting</t>
  </si>
  <si>
    <t>https://www.google.com/search?newwindow=1&amp;ei=2MT0XrvGGM-vytMP1OyDgAY&amp;q=site%3Alinkedin.com+Quynh+Dinh+CHRP+Campus+Recruiter</t>
  </si>
  <si>
    <t>https://www.google.com/search?newwindow=1&amp;ei=2MT0XrvGGM-vytMP1OyDgAY&amp;q=site%3Alinkedin.com+Alexandra+Famiglietti+CHRL+National+Advisory+Campus+Recruiting+Leader</t>
  </si>
  <si>
    <t>https://www.google.com/search?newwindow=1&amp;ei=2MT0XrvGGM-vytMP1OyDgAY&amp;q=site%3Alinkedin.com+Marianne+Streete+Campus+Recruiter+Advisory</t>
  </si>
  <si>
    <t>https://www.google.com/search?newwindow=1&amp;ei=2MT0XrvGGM-vytMP1OyDgAY&amp;q=site%3Alinkedin.com+Lolita+Hill+Supervising+Associate+Campus+Recruiting</t>
  </si>
  <si>
    <t>https://www.google.com/search?newwindow=1&amp;ei=2MT0XrvGGM-vytMP1OyDgAY&amp;q=site%3Alinkedin.com+Sean+Woolford+Supervising+Associate+Financial+Services+Organization+Campus+Recruiting</t>
  </si>
  <si>
    <t>https://www.google.com/search?newwindow=1&amp;ei=2MT0XrvGGM-vytMP1OyDgAY&amp;q=site%3Alinkedin.com+Angela+Sorrell+Director+US+Campus+Recruiting+Leader--Transaction+and+Strategy+at+Ernst+&amp;+Young+LLP</t>
  </si>
  <si>
    <t>https://www.google.com/search?newwindow=1&amp;ei=2MT0XrvGGM-vytMP1OyDgAY&amp;q=site%3Alinkedin.com+Sarah+Tegen+Supervising+Associate+Campus+Recruiting</t>
  </si>
  <si>
    <t>https://www.google.com/search?newwindow=1&amp;ei=2MT0XrvGGM-vytMP1OyDgAY&amp;q=site%3Alinkedin.com+Claire+Williams+Technical+University+Recruiter+EMEA+Software+Engineers</t>
  </si>
  <si>
    <t>https://www.google.com/search?newwindow=1&amp;ei=2MT0XrvGGM-vytMP1OyDgAY&amp;q=site%3Alinkedin.com+Carmen+Wan+Full+Cycle+University+Recruiter+Software+Engineering+EMEA</t>
  </si>
  <si>
    <t>https://www.google.com/search?newwindow=1&amp;ei=2MT0XrvGGM-vytMP1OyDgAY&amp;q=site%3Alinkedin.com+Sydney+Horner+Senior+Recruiter+University+Recruitment+Full+Life-Cycle</t>
  </si>
  <si>
    <t>https://www.google.com/search?newwindow=1&amp;ei=2MT0XrvGGM-vytMP1OyDgAY&amp;q=site%3Alinkedin.com+Benjamin+Pastor+University+Recruiter+Software+Engineering:+MIT+&amp;+Harvard+Facebook</t>
  </si>
  <si>
    <t>https://www.google.com/search?newwindow=1&amp;ei=2MT0XrvGGM-vytMP1OyDgAY&amp;q=site%3Alinkedin.com+Chris+Bakes+University+Recruiter+Artificial+Intelligence+Facebook</t>
  </si>
  <si>
    <t>https://www.google.com/search?newwindow=1&amp;ei=2MT0XrvGGM-vytMP1OyDgAY&amp;q=site%3Alinkedin.com+Adam+D.+Harrison+MHRLR+University+Recruiter+Facebook</t>
  </si>
  <si>
    <t>https://www.google.com/search?newwindow=1&amp;ei=2MT0XrvGGM-vytMP1OyDgAY&amp;q=site%3Alinkedin.com+Sarah+Bochner+University+Recruiter+Design+Facebook</t>
  </si>
  <si>
    <t>https://www.google.com/search?newwindow=1&amp;ei=2MT0XrvGGM-vytMP1OyDgAY&amp;q=site%3Alinkedin.com+Meagan+Harn+University+Recruiter+Product+Analytics+Facebook</t>
  </si>
  <si>
    <t>https://www.google.com/search?newwindow=1&amp;ei=2MT0XrvGGM-vytMP1OyDgAY&amp;q=site%3Alinkedin.com+Cecil+Johnson+University+Recruiter+Diversity+Facebook</t>
  </si>
  <si>
    <t>https://www.google.com/search?newwindow=1&amp;ei=2MT0XrvGGM-vytMP1OyDgAY&amp;q=site%3Alinkedin.com+Emily+Nagele+University+Recruiter+SWE+Facebook</t>
  </si>
  <si>
    <t>https://www.google.com/search?newwindow=1&amp;ei=2MT0XrvGGM-vytMP1OyDgAY&amp;q=site%3Alinkedin.com+Amal+S.+Diversity+Recruiter+University+Recruiting+Facebook</t>
  </si>
  <si>
    <t>https://www.google.com/search?newwindow=1&amp;ei=2MT0XrvGGM-vytMP1OyDgAY&amp;q=site%3Alinkedin.com+Katie+Tenboer+University+Recruiter+Design+Facebook</t>
  </si>
  <si>
    <t>https://www.google.com/search?newwindow=1&amp;ei=2MT0XrvGGM-vytMP1OyDgAY&amp;q=site%3Alinkedin.com+Seth+Radin+University+Recruiter+AR/VR+Facebook</t>
  </si>
  <si>
    <t>https://www.google.com/search?newwindow=1&amp;ei=2MT0XrvGGM-vytMP1OyDgAY&amp;q=site%3Alinkedin.com+Allie+Bordeaux+University+Recruiter+Infrastructure+Foundation+Facebook</t>
  </si>
  <si>
    <t>https://www.google.com/search?newwindow=1&amp;ei=2MT0XrvGGM-vytMP1OyDgAY&amp;q=site%3Alinkedin.com+Kim+Birch+University+Recruiter+Global+Marketing+Solutions+&amp;+Business+Facebook</t>
  </si>
  <si>
    <t>https://www.google.com/search?newwindow=1&amp;ei=2MT0XrvGGM-vytMP1OyDgAY&amp;q=site%3Alinkedin.com+Ryan+Biega+University+Recruiter+Design+Facebook</t>
  </si>
  <si>
    <t>https://www.google.com/search?newwindow=1&amp;ei=2MT0XrvGGM-vytMP1OyDgAY&amp;q=site%3Alinkedin.com+Alexandra+Mettler+University+Recruiter+Software+Engineering+Facebook</t>
  </si>
  <si>
    <t>https://www.google.com/search?newwindow=1&amp;ei=2MT0XrvGGM-vytMP1OyDgAY&amp;q=site%3Alinkedin.com+Lai+Anderson+University+Recruiter+Software+Engineering+Facebook</t>
  </si>
  <si>
    <t>https://www.google.com/search?newwindow=1&amp;ei=2MT0XrvGGM-vytMP1OyDgAY&amp;q=site%3Alinkedin.com+Jessica+Cox+University+Recruiter+Design+Facebook</t>
  </si>
  <si>
    <t>https://www.google.com/search?newwindow=1&amp;ei=2MT0XrvGGM-vytMP1OyDgAY&amp;q=site%3Alinkedin.com+Noopur+Chhabra+Technical+Recruiter+University+Facebook</t>
  </si>
  <si>
    <t>https://www.google.com/search?newwindow=1&amp;ei=2MT0XrvGGM-vytMP1OyDgAY&amp;q=site%3Alinkedin.com+Sydney+Horner+Senior+Recruiter+University+Recruitment+Full+Life-Cycle+Facebook</t>
  </si>
  <si>
    <t>https://www.google.com/search?newwindow=1&amp;ei=2MT0XrvGGM-vytMP1OyDgAY&amp;q=site%3Alinkedin.com+Kathleen+Roberts+University+Recruiter+Closer+Facebook</t>
  </si>
  <si>
    <t>https://www.google.com/search?newwindow=1&amp;ei=2MT0XrvGGM-vytMP1OyDgAY&amp;q=site%3Alinkedin.com+Stephanie+Roesbery+University+Recruiter+Infrastructure+Foundation+Facebook</t>
  </si>
  <si>
    <t>https://www.google.com/search?newwindow=1&amp;ei=2MT0XrvGGM-vytMP1OyDgAY&amp;q=site%3Alinkedin.com+Lucía+Arévalo+Valeta+University+Recruiter+Diversity+Facebook</t>
  </si>
  <si>
    <t>https://www.google.com/search?newwindow=1&amp;ei=2MT0XrvGGM-vytMP1OyDgAY&amp;q=site%3Alinkedin.com+Emilio+Arias+(He/Him)+University+Recruiter+Production+Engineering+Facebook</t>
  </si>
  <si>
    <t>https://www.google.com/search?newwindow=1&amp;ei=2MT0XrvGGM-vytMP1OyDgAY&amp;q=site%3Alinkedin.com+Erin+Johnson+University+Recruiter+Analytics+Facebook</t>
  </si>
  <si>
    <t>https://www.google.com/search?newwindow=1&amp;ei=2MT0XrvGGM-vytMP1OyDgAY&amp;q=site%3Alinkedin.com+Scott+Flanary+Senior+University+Recruiter+Full-Cycle+Recruiting+for+Product+and+Analytics+Facebook</t>
  </si>
  <si>
    <t>https://www.google.com/search?newwindow=1&amp;ei=2MT0XrvGGM-vytMP1OyDgAY&amp;q=site%3Alinkedin.com+Hayley+Mesojednik+University+Recruiter+Early+Career+Facebook</t>
  </si>
  <si>
    <t>https://www.google.com/search?newwindow=1&amp;ei=2MT0XrvGGM-vytMP1OyDgAY&amp;q=site%3Alinkedin.com+Laura+Amrein+University+Recruiter+Analytics+Facebook</t>
  </si>
  <si>
    <t>https://www.google.com/search?newwindow=1&amp;ei=2MT0XrvGGM-vytMP1OyDgAY&amp;q=site%3Alinkedin.com+Melanie+Loud+Recruiter+University+Recruiting+Facebook</t>
  </si>
  <si>
    <t>https://www.google.com/search?newwindow=1&amp;ei=2MT0XrvGGM-vytMP1OyDgAY&amp;q=site%3Alinkedin.com+Rodney+Aziz+Senior+Product+Manager+Loyalty+Platforms+Ford+Motor+Company</t>
  </si>
  <si>
    <t>https://www.google.com/search?newwindow=1&amp;ei=2MT0XrvGGM-vytMP1OyDgAY&amp;q=site%3Alinkedin.com+McKenzie+Randall+MAOL+University+Recruiter+Garmin</t>
  </si>
  <si>
    <t>https://www.google.com/search?newwindow=1&amp;ei=2MT0XrvGGM-vytMP1OyDgAY&amp;q=site%3Alinkedin.com+Kelly+OConnor+University+Relations+Recruiter+Garmin+International</t>
  </si>
  <si>
    <t>https://www.google.com/search?newwindow=1&amp;ei=2MT0XrvGGM-vytMP1OyDgAY&amp;q=site%3Alinkedin.com+Jeff+Stencel+Team+Lead+University+Recruiting</t>
  </si>
  <si>
    <t>https://www.google.com/search?newwindow=1&amp;ei=2MT0XrvGGM-vytMP1OyDgAY&amp;q=site%3Alinkedin.com+Emily+Farrah+CGSP+University+D&amp;I+Recruiting+Project+Specialist</t>
  </si>
  <si>
    <t>https://www.google.com/search?newwindow=1&amp;ei=2MT0XrvGGM-vytMP1OyDgAY&amp;q=site%3Alinkedin.com+Caitlin+Seccombe+Manager+Recruiting</t>
  </si>
  <si>
    <t>https://www.google.com/search?newwindow=1&amp;ei=2MT0XrvGGM-vytMP1OyDgAY&amp;q=site%3Alinkedin.com+CJ+Giles+Senior+Recruiting+Global+and+Large+Enterprise+Sales</t>
  </si>
  <si>
    <t>https://www.google.com/search?newwindow=1&amp;ei=2MT0XrvGGM-vytMP1OyDgAY&amp;q=site%3Alinkedin.com+Parshotam+S.+University+Recruiter+Global+Business+Sales+&amp;+Global+Technology+Sales++EMEA</t>
  </si>
  <si>
    <t>https://www.google.com/search?newwindow=1&amp;ei=2MT0XrvGGM-vytMP1OyDgAY&amp;q=site%3Alinkedin.com+Anna+Longar+Associate+Director+University+Recruiting</t>
  </si>
  <si>
    <t>https://www.google.com/search?newwindow=1&amp;ei=2MT0XrvGGM-vytMP1OyDgAY&amp;q=site%3Alinkedin.com+Jessie+King+University+Recruiter+Southeast+Territory+Gartner</t>
  </si>
  <si>
    <t>https://www.google.com/search?newwindow=1&amp;ei=2MT0XrvGGM-vytMP1OyDgAY&amp;q=site%3Alinkedin.com+Ben+Idle+Associate+Director+AMSE+&amp;+EMSE+Sales+Recruiting+Gartner</t>
  </si>
  <si>
    <t>https://www.google.com/search?newwindow=1&amp;ei=2MT0XrvGGM-vytMP1OyDgAY&amp;q=site%3Alinkedin.com+Jeff+Stencel+Team+Lead+University+Recruiting+Gartner</t>
  </si>
  <si>
    <t>https://www.google.com/search?newwindow=1&amp;ei=2MT0XrvGGM-vytMP1OyDgAY&amp;q=site%3Alinkedin.com+Caitlin+Seccombe+Manager+Recruiting+Gartner</t>
  </si>
  <si>
    <t>https://www.google.com/search?newwindow=1&amp;ei=2MT0XrvGGM-vytMP1OyDgAY&amp;q=site%3Alinkedin.com+CJ+Giles+Senior+Recruiting+Global+and+Large+Enterprise+Sales+Gartner</t>
  </si>
  <si>
    <t>https://www.google.com/search?newwindow=1&amp;ei=2MT0XrvGGM-vytMP1OyDgAY&amp;q=site%3Alinkedin.com+CJ+Giles+Manager+Campus+Recruiting+Gartner</t>
  </si>
  <si>
    <t>https://www.google.com/search?newwindow=1&amp;ei=2MT0XrvGGM-vytMP1OyDgAY&amp;q=site%3Alinkedin.com+Anna+Longar+Associate+Director+University+Recruiting+Gartner</t>
  </si>
  <si>
    <t>https://www.google.com/search?newwindow=1&amp;ei=2MT0XrvGGM-vytMP1OyDgAY&amp;q=site%3Alinkedin.com+Gracie+Enright+University+Recruiter+Associate+Gartner</t>
  </si>
  <si>
    <t>https://www.google.com/search?newwindow=1&amp;ei=2MT0XrvGGM-vytMP1OyDgAY&amp;q=site%3Alinkedin.com+Eva+(Reiter)+Jansen+Senior+Sourcing+Manager+NPI+Transition+Electromechanical+Components+GE+Aviation</t>
  </si>
  <si>
    <t>https://www.google.com/search?newwindow=1&amp;ei=2MT0XrvGGM-vytMP1OyDgAY&amp;q=site%3Alinkedin.com+Kevin+Fritz+Region+Business+Manager+Computed+Tomography+GE+Healthcare</t>
  </si>
  <si>
    <t>https://www.google.com/search?newwindow=1&amp;ei=2MT0XrvGGM-vytMP1OyDgAY&amp;q=site%3Alinkedin.com+Susan+Moore+Senior+Product+Delivery+Manager+Solution+Data+Architect+GE+Renewable+Energy</t>
  </si>
  <si>
    <t>https://www.google.com/search?newwindow=1&amp;ei=2MT0XrvGGM-vytMP1OyDgAY&amp;q=site%3Alinkedin.com+Justin+Norris+Transport+Intelligence+Senior+Engineering+Manager+Integration+Engineering+GE+Transportation</t>
  </si>
  <si>
    <t>https://www.google.com/search?newwindow=1&amp;ei=2MT0XrvGGM-vytMP1OyDgAY&amp;q=site%3Alinkedin.com+Melissa+Lynne+CPCU+Recruiting+Systems+Analyst</t>
  </si>
  <si>
    <t>https://www.google.com/search?newwindow=1&amp;ei=2MT0XrvGGM-vytMP1OyDgAY&amp;q=site%3Alinkedin.com+Justine+Ramsey+MBA+Sr.+National+College+Recruiter+GEICO</t>
  </si>
  <si>
    <t>https://www.google.com/search?newwindow=1&amp;ei=2MT0XrvGGM-vytMP1OyDgAY&amp;q=site%3Alinkedin.com+Melissa+Lynne+CPCU+Recruiting+Systems+Analyst+GEICO</t>
  </si>
  <si>
    <t>https://www.google.com/search?newwindow=1&amp;ei=2MT0XrvGGM-vytMP1OyDgAY&amp;q=site%3Alinkedin.com+Sarah+A.+Bonney+MBA+Professional+Regional+College+Recruiter+GEICO</t>
  </si>
  <si>
    <t>https://www.google.com/search?newwindow=1&amp;ei=2MT0XrvGGM-vytMP1OyDgAY&amp;q=site%3Alinkedin.com+Beth+Moellers+AINS+API+AIS+College+Recruiter+GEICO</t>
  </si>
  <si>
    <t>https://www.google.com/search?newwindow=1&amp;ei=2MT0XrvGGM-vytMP1OyDgAY&amp;q=site%3Alinkedin.com+Ameer+Ali+University+Recruiter+&amp;+Campus+Lead+Canada+Global+Talent+Acquisition</t>
  </si>
  <si>
    <t>https://www.google.com/search?newwindow=1&amp;ei=2MT0XrvGGM-vytMP1OyDgAY&amp;q=site%3Alinkedin.com+Steven+Ekert+Analyst+Engineering+Campus+Recruiting</t>
  </si>
  <si>
    <t>https://www.google.com/search?newwindow=1&amp;ei=2MT0XrvGGM-vytMP1OyDgAY&amp;q=site%3Alinkedin.com+Laney+Oaks+Associate+Investment+Banking+Campus+Recruiting</t>
  </si>
  <si>
    <t>https://www.google.com/search?newwindow=1&amp;ei=2MT0XrvGGM-vytMP1OyDgAY&amp;q=site%3Alinkedin.com+Nonye+Ndekwu+Chartered+MCIPD+Lead+Graduate+Recruiter+EMEA+Engineering</t>
  </si>
  <si>
    <t>https://www.google.com/search?newwindow=1&amp;ei=2MT0XrvGGM-vytMP1OyDgAY&amp;q=site%3Alinkedin.com+Charlotte+Davies+Vice+President+Securities+EMEA+Graduate+Recruiter</t>
  </si>
  <si>
    <t>https://www.google.com/search?newwindow=1&amp;ei=2MT0XrvGGM-vytMP1OyDgAY&amp;q=site%3Alinkedin.com+Amanda+Fornieri+(She+/+Her+/+Hers)+Associate+Campus+Recruiting</t>
  </si>
  <si>
    <t>https://www.google.com/search?newwindow=1&amp;ei=2MT0XrvGGM-vytMP1OyDgAY&amp;q=site%3Alinkedin.com+Annie+Boig+McMullen+Vice+President+Global+Head+of+Investment+Research+&amp;+Merchant+Banking+Campus+Recruiting</t>
  </si>
  <si>
    <t>https://www.google.com/search?newwindow=1&amp;ei=2MT0XrvGGM-vytMP1OyDgAY&amp;q=site%3Alinkedin.com+Melissa+Bianco+Associate+Campus+Recruiting+at+Goldman+Sachs</t>
  </si>
  <si>
    <t>https://www.google.com/search?newwindow=1&amp;ei=2MT0XrvGGM-vytMP1OyDgAY&amp;q=site%3Alinkedin.com+Brooks+Farley+Campus+Recruiting+Coordinator+ADP+RPO</t>
  </si>
  <si>
    <t>https://www.google.com/search?newwindow=1&amp;ei=2MT0XrvGGM-vytMP1OyDgAY&amp;q=site%3Alinkedin.com+Corrine+Verga+Campus+Recruiting+Coordinator+Investment+Banking+Division+at+Goldman+Sachs+via+ADP+RPO</t>
  </si>
  <si>
    <t>https://www.google.com/search?newwindow=1&amp;ei=2MT0XrvGGM-vytMP1OyDgAY&amp;q=site%3Alinkedin.com+Abigail+Murray+MA+LAC+NCC+Campus+Recruiting</t>
  </si>
  <si>
    <t>https://www.google.com/search?newwindow=1&amp;ei=2MT0XrvGGM-vytMP1OyDgAY&amp;q=site%3Alinkedin.com+Teresa+Pond+Associate+Campus+Recruiting</t>
  </si>
  <si>
    <t>https://www.google.com/search?newwindow=1&amp;ei=2MT0XrvGGM-vytMP1OyDgAY&amp;q=site%3Alinkedin.com+Richelle+Medellin+Vice+President+Head+of+Campus+Recruiting+Salt+Lake+City</t>
  </si>
  <si>
    <t>https://www.google.com/search?newwindow=1&amp;ei=2MT0XrvGGM-vytMP1OyDgAY&amp;q=site%3Alinkedin.com+Kara+Smith+Vice+President+University+Relations+Recruiter+Goldman+Sachs</t>
  </si>
  <si>
    <t>https://www.google.com/search?newwindow=1&amp;ei=2MT0XrvGGM-vytMP1OyDgAY&amp;q=site%3Alinkedin.com+Elizabeth+Washburn+Campus+Recruiter+Associate+Goldman+Sachs</t>
  </si>
  <si>
    <t>https://www.google.com/search?newwindow=1&amp;ei=2MT0XrvGGM-vytMP1OyDgAY&amp;q=site%3Alinkedin.com+Andrea+Washington+MPS+Campus+Recruiter+Operations+and+Global+Markets+Goldman+Sachs</t>
  </si>
  <si>
    <t>https://www.google.com/search?newwindow=1&amp;ei=2MT0XrvGGM-vytMP1OyDgAY&amp;q=site%3Alinkedin.com+Brielle+Johnson+SHRM-CP+Senior+Analyst-+Campus+Recruiter+Goldman+Sachs</t>
  </si>
  <si>
    <t>https://www.google.com/search?newwindow=1&amp;ei=2MT0XrvGGM-vytMP1OyDgAY&amp;q=site%3Alinkedin.com+Taylor+Mac+Kenzie+Campus+Recruiter+Vice+President+Goldman+Sachs</t>
  </si>
  <si>
    <t>https://www.google.com/search?newwindow=1&amp;ei=2MT0XrvGGM-vytMP1OyDgAY&amp;q=site%3Alinkedin.com+Marisa+Lieberman+Associate+Engineering+Campus+Recruiter+Goldman+Sachs</t>
  </si>
  <si>
    <t>https://www.google.com/search?newwindow=1&amp;ei=2MT0XrvGGM-vytMP1OyDgAY&amp;q=site%3Alinkedin.com+Andrew+C.+Associate+Engineering+Campus+Recruiter+Goldman+Sachs</t>
  </si>
  <si>
    <t>https://www.google.com/search?newwindow=1&amp;ei=2MT0XrvGGM-vytMP1OyDgAY&amp;q=site%3Alinkedin.com+Hannah+Meckler+Vice+President+Investment+Banking+Campus+Recruiter+Goldman+Sachs</t>
  </si>
  <si>
    <t>https://www.google.com/search?newwindow=1&amp;ei=2MT0XrvGGM-vytMP1OyDgAY&amp;q=site%3Alinkedin.com+Lydia+Coffey+PHR+Analyst+Campus+Recruiter+Goldman+Sachs</t>
  </si>
  <si>
    <t>https://www.google.com/search?newwindow=1&amp;ei=2MT0XrvGGM-vytMP1OyDgAY&amp;q=site%3Alinkedin.com+Ali+Mirsky+Co-Director+Associate+&amp;+Student+Programs</t>
  </si>
  <si>
    <t>https://www.google.com/search?newwindow=1&amp;ei=2MT0XrvGGM-vytMP1OyDgAY&amp;q=site%3Alinkedin.com+Inez+Bertao+Executive+Assistant+to+Co-Director+Associate+&amp;+Student+Program+/+Coordinator+Student+Programs</t>
  </si>
  <si>
    <t>https://www.google.com/search?newwindow=1&amp;ei=2MT0XrvGGM-vytMP1OyDgAY&amp;q=site%3Alinkedin.com+Michel+Lederman+Co-Director+Associate+&amp;+Student+Programs</t>
  </si>
  <si>
    <t>https://www.google.com/search?newwindow=1&amp;ei=2MT0XrvGGM-vytMP1OyDgAY&amp;q=site%3Alinkedin.com+Jessica+Noon+Tech+University+Graduate+Recruiter+EMEA</t>
  </si>
  <si>
    <t>https://www.google.com/search?newwindow=1&amp;ei=2MT0XrvGGM-vytMP1OyDgAY&amp;q=site%3Alinkedin.com+Charlie+Setoodeh+Student+Development+Specialist+/+Program+Manager+University+Programs+Team</t>
  </si>
  <si>
    <t>https://www.google.com/search?newwindow=1&amp;ei=2MT0XrvGGM-vytMP1OyDgAY&amp;q=site%3Alinkedin.com+Gillian+Thompson+EMEA+Student+Development+Lead+Talent+Outreach+and+Programs</t>
  </si>
  <si>
    <t>https://www.google.com/search?newwindow=1&amp;ei=2MT0XrvGGM-vytMP1OyDgAY&amp;q=site%3Alinkedin.com+Rob+Georgiefski+University+Recruiter+Tech+Google</t>
  </si>
  <si>
    <t>https://www.google.com/search?newwindow=1&amp;ei=2MT0XrvGGM-vytMP1OyDgAY&amp;q=site%3Alinkedin.com+Sarah+Peck+University+Recruiter+Tech+Google</t>
  </si>
  <si>
    <t>https://www.google.com/search?newwindow=1&amp;ei=2MT0XrvGGM-vytMP1OyDgAY&amp;q=site%3Alinkedin.com+Gabe+Espinosa+Technical+University+Recruiter+&amp;+Project+Manager+NA+Google</t>
  </si>
  <si>
    <t>https://www.google.com/search?newwindow=1&amp;ei=2MT0XrvGGM-vytMP1OyDgAY&amp;q=site%3Alinkedin.com+Carol+Tsuchiya+College+Recruiter+Engineering/Product+Area+Liaison+Google</t>
  </si>
  <si>
    <t>https://www.google.com/search?newwindow=1&amp;ei=2MT0XrvGGM-vytMP1OyDgAY&amp;q=site%3Alinkedin.com+Selma+Handzar+Recruiter+University+Programs+Google</t>
  </si>
  <si>
    <t>https://www.google.com/search?newwindow=1&amp;ei=2MT0XrvGGM-vytMP1OyDgAY&amp;q=site%3Alinkedin.com+Haylee+Gani+Recruiter+Engineering+Leadership+Google</t>
  </si>
  <si>
    <t>https://www.google.com/search?newwindow=1&amp;ei=2MT0XrvGGM-vytMP1OyDgAY&amp;q=site%3Alinkedin.com+Brittany+Matta+University+Recruiter+Research+(AI+Residency+Program+and+PhD)+Via+Nelson+Staffing+Google</t>
  </si>
  <si>
    <t>https://www.google.com/search?newwindow=1&amp;ei=2MT0XrvGGM-vytMP1OyDgAY&amp;q=site%3Alinkedin.com+Lewis+Waring+Summer+Student+(Manitoba+Infrastructure+Policy+Programs+&amp;+Regulation)</t>
  </si>
  <si>
    <t>https://www.google.com/search?newwindow=1&amp;ei=2MT0XrvGGM-vytMP1OyDgAY&amp;q=site%3Alinkedin.com+Anmol+Hehar+Coordinator+HR+&amp;+Student/Associate+Programs</t>
  </si>
  <si>
    <t>https://www.google.com/search?newwindow=1&amp;ei=2MT0XrvGGM-vytMP1OyDgAY&amp;q=site%3Alinkedin.com+Shemara+D.+Manager+Student+Programs</t>
  </si>
  <si>
    <t>https://www.google.com/search?newwindow=1&amp;ei=2MT0XrvGGM-vytMP1OyDgAY&amp;q=site%3Alinkedin.com+Julie+Hansen+Texoma+Market+Lead+University+Recruiting+Grant+Thornton+LLP</t>
  </si>
  <si>
    <t>https://www.google.com/search?newwindow=1&amp;ei=2MT0XrvGGM-vytMP1OyDgAY&amp;q=site%3Alinkedin.com+Mary+Latino+Recruiting+Associate+University+Recruiting+Grant+Thornton+LLP</t>
  </si>
  <si>
    <t>https://www.google.com/search?newwindow=1&amp;ei=2MT0XrvGGM-vytMP1OyDgAY&amp;q=site%3Alinkedin.com+Katerina+Theodore+OConnell+University+Recruiter+Grant+Thornton+LLP</t>
  </si>
  <si>
    <t>https://www.google.com/search?newwindow=1&amp;ei=2MT0XrvGGM-vytMP1OyDgAY&amp;q=site%3Alinkedin.com+Jennifer+Berman+National+Manager+CPA+Student+Program</t>
  </si>
  <si>
    <t>https://www.google.com/search?newwindow=1&amp;ei=2MT0XrvGGM-vytMP1OyDgAY&amp;q=site%3Alinkedin.com+Mary+Latino+Recruiting+Associate+University+Recruiting</t>
  </si>
  <si>
    <t>https://www.google.com/search?newwindow=1&amp;ei=2MT0XrvGGM-vytMP1OyDgAY&amp;q=site%3Alinkedin.com+Valerie+Brodeur+Learning+Expedition+Programs+Principal+Officer+International+Activities+and+Student+Mobility</t>
  </si>
  <si>
    <t>https://www.google.com/search?newwindow=1&amp;ei=2MT0XrvGGM-vytMP1OyDgAY&amp;q=site%3Alinkedin.com+Anaïs+G.+Student+Advisor+for+M.Sc.+&amp;+Ph.D+Programs+Office+of+the+Registrar</t>
  </si>
  <si>
    <t>https://www.google.com/search?newwindow=1&amp;ei=2MT0XrvGGM-vytMP1OyDgAY&amp;q=site%3Alinkedin.com+Josephine+F.+Graduate+and+Intern+Recruiter+Emerging+Talent+(via+AMS)</t>
  </si>
  <si>
    <t>https://www.google.com/search?newwindow=1&amp;ei=2MT0XrvGGM-vytMP1OyDgAY&amp;q=site%3Alinkedin.com+Valentina+Jambrušić+Graduate+Recruiter+Operations</t>
  </si>
  <si>
    <t>https://www.google.com/search?newwindow=1&amp;ei=2MT0XrvGGM-vytMP1OyDgAY&amp;q=site%3Alinkedin.com+Craig+Thompson+Senior+Graduate+Recruiter+Global+Banking+&amp;+Markets</t>
  </si>
  <si>
    <t>https://www.google.com/search?newwindow=1&amp;ei=2MT0XrvGGM-vytMP1OyDgAY&amp;q=site%3Alinkedin.com+Colleen+Grant+Manager+Global+Campus+Recruiting+HubSpot</t>
  </si>
  <si>
    <t>https://www.google.com/search?newwindow=1&amp;ei=2MT0XrvGGM-vytMP1OyDgAY&amp;q=site%3Alinkedin.com+Viennie+Chanthachack+(he/him)+Associate+Campus+Recruiter+North+America+&amp;+EMEA+Sales+HubSpot</t>
  </si>
  <si>
    <t>https://www.google.com/search?newwindow=1&amp;ei=2MT0XrvGGM-vytMP1OyDgAY&amp;q=site%3Alinkedin.com+Ashley+Fritts+North+America+Early+Professional+Talent+Acquisition+Manager+Systems+IBM</t>
  </si>
  <si>
    <t>https://www.google.com/search?newwindow=1&amp;ei=2MT0XrvGGM-vytMP1OyDgAY&amp;q=site%3Alinkedin.com+Leslie+Ott+University+Recruiting+Program+Manager+Diversity+Lead+(MBA+&amp;+University)+IBM</t>
  </si>
  <si>
    <t>https://www.google.com/search?newwindow=1&amp;ei=2MT0XrvGGM-vytMP1OyDgAY&amp;q=site%3Alinkedin.com+Jill+Sears+University+Recruiter+Talent+Attraction+Indeed.com</t>
  </si>
  <si>
    <t>https://www.google.com/search?newwindow=1&amp;ei=2MT0XrvGGM-vytMP1OyDgAY&amp;q=site%3Alinkedin.com+Dominic+Romávila+Sr.+University+Recruiter+Technical+Indeed.com</t>
  </si>
  <si>
    <t>https://www.google.com/search?newwindow=1&amp;ei=2MT0XrvGGM-vytMP1OyDgAY&amp;q=site%3Alinkedin.com+Rachel+Kucharik+Technical+Recruiter+Campus+Infosys</t>
  </si>
  <si>
    <t>https://www.google.com/search?newwindow=1&amp;ei=2MT0XrvGGM-vytMP1OyDgAY&amp;q=site%3Alinkedin.com+Nanci+Ferrari+Practice+Lead+Campus+Recruiting+/+Diversity+Recruting+Infosys</t>
  </si>
  <si>
    <t>https://www.google.com/search?newwindow=1&amp;ei=2MT0XrvGGM-vytMP1OyDgAY&amp;q=site%3Alinkedin.com+Margo+Garcia+Senior+University+Recruiter+MBA+&amp;+Early+Career+Intuit</t>
  </si>
  <si>
    <t>https://www.google.com/search?newwindow=1&amp;ei=2MT0XrvGGM-vytMP1OyDgAY&amp;q=site%3Alinkedin.com+Krista+Corsentino+Talent+Solutions+Intuit+University+Talent+Acquisition+Manager+Intuit</t>
  </si>
  <si>
    <t>https://www.google.com/search?newwindow=1&amp;ei=2MT0XrvGGM-vytMP1OyDgAY&amp;q=site%3Alinkedin.com+Daryl+Doyle+EMEA+Technology+Campus+Recruiter+HR+Corporate</t>
  </si>
  <si>
    <t>https://www.google.com/search?newwindow=1&amp;ei=2MT0XrvGGM-vytMP1OyDgAY&amp;q=site%3Alinkedin.com+Oliver+Evans+Digital+&amp;+Platform+Services+Recruiter+EMEA+Campus+Recruitment</t>
  </si>
  <si>
    <t>https://www.google.com/search?newwindow=1&amp;ei=2MT0XrvGGM-vytMP1OyDgAY&amp;q=site%3Alinkedin.com+Perry+Thurston+Vice+President+Campus+Recruiting</t>
  </si>
  <si>
    <t>https://www.google.com/search?newwindow=1&amp;ei=2MT0XrvGGM-vytMP1OyDgAY&amp;q=site%3Alinkedin.com+Erin+Kennedy+Allen+PHR+College+Recruiter+John+Deere</t>
  </si>
  <si>
    <t>https://www.google.com/search?newwindow=1&amp;ei=2MT0XrvGGM-vytMP1OyDgAY&amp;q=site%3Alinkedin.com+Krystal+Brindley+HR+Leader+University+Recruiting+Johnson+&amp;+Johnson</t>
  </si>
  <si>
    <t>https://www.google.com/search?newwindow=1&amp;ei=2MT0XrvGGM-vytMP1OyDgAY&amp;q=site%3Alinkedin.com+Caitlin+OShea+Sr.+University+Pipeline+Recruiter+Johnson+&amp;+Johnson</t>
  </si>
  <si>
    <t>https://www.google.com/search?newwindow=1&amp;ei=2MT0XrvGGM-vytMP1OyDgAY&amp;q=site%3Alinkedin.com+Gabriela+Ferra+TSC+CSP+Talent+Acquisition+Specialist+University+Workforce+Recruiter+Johnson+&amp;+Johnson</t>
  </si>
  <si>
    <t>https://www.google.com/search?newwindow=1&amp;ei=2MT0XrvGGM-vytMP1OyDgAY&amp;q=site%3Alinkedin.com+Logan+McBride+PHR+MBA+University+Recruiter+JPL+(NASAs+Jet+Propulsion+Laboratory)</t>
  </si>
  <si>
    <t>https://www.google.com/search?newwindow=1&amp;ei=2MT0XrvGGM-vytMP1OyDgAY&amp;q=site%3Alinkedin.com+Amy+Benton+Human+Resources+Firmwide+Campus+Recruiting+Operations+Manager</t>
  </si>
  <si>
    <t>https://www.google.com/search?newwindow=1&amp;ei=2MT0XrvGGM-vytMP1OyDgAY&amp;q=site%3Alinkedin.com+Andrea+Beldecos+Managing+Director+Global+Head+of+Asset+Management+Campus+Recruiting</t>
  </si>
  <si>
    <t>https://www.google.com/search?newwindow=1&amp;ei=2MT0XrvGGM-vytMP1OyDgAY&amp;q=site%3Alinkedin.com+Mitchel+Pardes+Campus+Recruiter+AI+&amp;+Machine+Learning+/+Quantitative+Research+J.P.+Morgan</t>
  </si>
  <si>
    <t>https://www.google.com/search?newwindow=1&amp;ei=2MT0XrvGGM-vytMP1OyDgAY&amp;q=site%3Alinkedin.com+Amy+Benton+Human+Resources+Firmwide+Campus+Recruiting+Operations+Manager+JPMorgan+Chase</t>
  </si>
  <si>
    <t>https://www.google.com/search?newwindow=1&amp;ei=2MT0XrvGGM-vytMP1OyDgAY&amp;q=site%3Alinkedin.com+Kate+Cooper+University+Relations+Recruiter+JPMorgan+Chase</t>
  </si>
  <si>
    <t>https://www.google.com/search?newwindow=1&amp;ei=2MT0XrvGGM-vytMP1OyDgAY&amp;q=site%3Alinkedin.com+Julie+Cochran+Campus+Recruiter+Corporate+and+Investment+Bank+JPMorgan+Chase+&amp;+Co.</t>
  </si>
  <si>
    <t>https://www.google.com/search?newwindow=1&amp;ei=2MT0XrvGGM-vytMP1OyDgAY&amp;q=site%3Alinkedin.com+Khevna+M.+Associate+Campus+Recruiter+JPMorgan+Chase+&amp;+Co.</t>
  </si>
  <si>
    <t>https://www.google.com/search?newwindow=1&amp;ei=2MT0XrvGGM-vytMP1OyDgAY&amp;q=site%3Alinkedin.com+Emily+DAoust+Corporate+&amp;+Investment+Bank+Campus+Recruiter+JPMorgan+Chase+&amp;+Co.</t>
  </si>
  <si>
    <t>https://www.google.com/search?newwindow=1&amp;ei=2MT0XrvGGM-vytMP1OyDgAY&amp;q=site%3Alinkedin.com+Sarah+Ocasio+Vice+President+Campus+Recruiting+JPMorgan+Chase+&amp;+Co.</t>
  </si>
  <si>
    <t>https://www.google.com/search?newwindow=1&amp;ei=2MT0XrvGGM-vytMP1OyDgAY&amp;q=site%3Alinkedin.com+Vincent+Plantamura+Senior+Campus+Recruiter+Software+Engineer+Program+JPMorgan+Chase+&amp;+Co.</t>
  </si>
  <si>
    <t>https://www.google.com/search?newwindow=1&amp;ei=2MT0XrvGGM-vytMP1OyDgAY&amp;q=site%3Alinkedin.com+Tori+Bezoza+Lead+Tech+Campus+Recruiter+&amp;+Campus+Process+Management+Advisor++Software+Engineer+Program+JPMorgan+Chase+&amp;+Co.</t>
  </si>
  <si>
    <t>https://www.google.com/search?newwindow=1&amp;ei=2MT0XrvGGM-vytMP1OyDgAY&amp;q=site%3Alinkedin.com+Alexis+Polanco+MS+Global+Markets+Lead+Recruiter+Vice+President+JPMorgan+Chase+&amp;+Co.</t>
  </si>
  <si>
    <t>https://www.google.com/search?newwindow=1&amp;ei=2MT0XrvGGM-vytMP1OyDgAY&amp;q=site%3Alinkedin.com+Chris+D.+Vice+President+NAMR+Campus+Recruiting+Ops+Manager+JPMorgan+Chase+&amp;+Co.</t>
  </si>
  <si>
    <t>https://www.google.com/search?newwindow=1&amp;ei=2MT0XrvGGM-vytMP1OyDgAY&amp;q=site%3Alinkedin.com+Sara+Jellinek+Associate+MBA+Campus+Recruiter+JPMorgan+Chase+&amp;+Co.</t>
  </si>
  <si>
    <t>https://www.google.com/search?newwindow=1&amp;ei=2MT0XrvGGM-vytMP1OyDgAY&amp;q=site%3Alinkedin.com+Haley+Blackman+Campus+Recruiter+Consumer+and+Community+Banking+JPMorgan+Chase+&amp;+Co.</t>
  </si>
  <si>
    <t>https://www.google.com/search?newwindow=1&amp;ei=2MT0XrvGGM-vytMP1OyDgAY&amp;q=site%3Alinkedin.com+Kathryn+Finley+Campus+Recruiter+Asset+&amp;+Wealth+Management+JPMorgan+Chase+&amp;+Co.</t>
  </si>
  <si>
    <t>https://www.google.com/search?newwindow=1&amp;ei=2MT0XrvGGM-vytMP1OyDgAY&amp;q=site%3Alinkedin.com+Tiffany+N.+Sheffield+Campus+Recruiter+Consumer+and+Community+Bank+JPMorgan+Chase+&amp;+Co.</t>
  </si>
  <si>
    <t>https://www.google.com/search?newwindow=1&amp;ei=2MT0XrvGGM-vytMP1OyDgAY&amp;q=site%3Alinkedin.com+Semaj+Reed+Global+Finance+&amp;+Business+Management+Campus+Recruiter+JPMorgan+Chase+&amp;+Co.</t>
  </si>
  <si>
    <t>https://www.google.com/search?newwindow=1&amp;ei=2MT0XrvGGM-vytMP1OyDgAY&amp;q=site%3Alinkedin.com+Michael+Pedroza+Senior+Associate+Campus+Recruiter+HR+and+Internal+Audit+JPMorgan+Chase+&amp;+Co.</t>
  </si>
  <si>
    <t>https://www.google.com/search?newwindow=1&amp;ei=2MT0XrvGGM-vytMP1OyDgAY&amp;q=site%3Alinkedin.com+Fedora+Maduro+Technology+Campus+Recruiter+Human+Resources</t>
  </si>
  <si>
    <t>https://www.google.com/search?newwindow=1&amp;ei=2MT0XrvGGM-vytMP1OyDgAY&amp;q=site%3Alinkedin.com+Taylor+Bjerke+Firmwide+Diversity+Programs+Campus+Recruiting</t>
  </si>
  <si>
    <t>https://www.google.com/search?newwindow=1&amp;ei=2MT0XrvGGM-vytMP1OyDgAY&amp;q=site%3Alinkedin.com+Rabia+Baig+Vice+President+Diversity+Sourcing+for+Campus+Recruiting</t>
  </si>
  <si>
    <t>https://www.google.com/search?newwindow=1&amp;ei=2MT0XrvGGM-vytMP1OyDgAY&amp;q=site%3Alinkedin.com+Erika+Utt+MBA+Campus+Recruiting+Operations+Specialist</t>
  </si>
  <si>
    <t>https://www.google.com/search?newwindow=1&amp;ei=2MT0XrvGGM-vytMP1OyDgAY&amp;q=site%3Alinkedin.com+Michelle+Bowens+MBA+PHR+Diversity+Sourcer+Firmwide+Campus+Recruiting</t>
  </si>
  <si>
    <t>https://www.google.com/search?newwindow=1&amp;ei=2MT0XrvGGM-vytMP1OyDgAY&amp;q=site%3Alinkedin.com+Tiara+Triplett+MBA+Campus+Recruiting+Operations+Specialist-+Software+Engineer+Program</t>
  </si>
  <si>
    <t>https://www.google.com/search?newwindow=1&amp;ei=2MT0XrvGGM-vytMP1OyDgAY&amp;q=site%3Alinkedin.com+KiMii+Sellers+aPHR+CIB+Campus+Recruiting+Business+Advisor</t>
  </si>
  <si>
    <t>https://www.google.com/search?newwindow=1&amp;ei=2MT0XrvGGM-vytMP1OyDgAY&amp;q=site%3Alinkedin.com+Sarah+Ocasio+Vice+President+Campus+Recruiting</t>
  </si>
  <si>
    <t>https://www.google.com/search?newwindow=1&amp;ei=2MT0XrvGGM-vytMP1OyDgAY&amp;q=site%3Alinkedin.com+Carlos+Pereira+MPA+Campus+Recruiting</t>
  </si>
  <si>
    <t>https://www.google.com/search?newwindow=1&amp;ei=2MT0XrvGGM-vytMP1OyDgAY&amp;q=site%3Alinkedin.com+Danielle+Quintanilla+MSHRM+Campus+Recruiting+Coordinator+Software+Engineer+Program</t>
  </si>
  <si>
    <t>https://www.google.com/search?newwindow=1&amp;ei=2MT0XrvGGM-vytMP1OyDgAY&amp;q=site%3Alinkedin.com+Paul+Sutherland+VP+Global+Lead+AIML+&amp;+Quant+Analytics+Campus+Recruiting</t>
  </si>
  <si>
    <t>https://www.google.com/search?newwindow=1&amp;ei=2MT0XrvGGM-vytMP1OyDgAY&amp;q=site%3Alinkedin.com+James+(Seldric)+Blocker+Executive+Director+Asset+&amp;+Wealth+Management+Campus+Recruiting</t>
  </si>
  <si>
    <t>https://www.google.com/search?newwindow=1&amp;ei=2MT0XrvGGM-vytMP1OyDgAY&amp;q=site%3Alinkedin.com+Matthew+Curry+Vice+President+Technology+Campus+Recruiting+Lead+North+America</t>
  </si>
  <si>
    <t>https://www.google.com/search?newwindow=1&amp;ei=2MT0XrvGGM-vytMP1OyDgAY&amp;q=site%3Alinkedin.com+Alexis+Polanco+MS+Global+Markets+Lead+Recruiter+Vice+President</t>
  </si>
  <si>
    <t>https://www.google.com/search?newwindow=1&amp;ei=2MT0XrvGGM-vytMP1OyDgAY&amp;q=site%3Alinkedin.com+Mary+Catherine+Executive+Director+Campus+Recruiting</t>
  </si>
  <si>
    <t>https://www.google.com/search?newwindow=1&amp;ei=2MT0XrvGGM-vytMP1OyDgAY&amp;q=site%3Alinkedin.com+Joseph+Blue+Campus+Recruiting+Jr.+Business+Advisor/Analyst</t>
  </si>
  <si>
    <t>https://www.google.com/search?newwindow=1&amp;ei=2MT0XrvGGM-vytMP1OyDgAY&amp;q=site%3Alinkedin.com+Chris+D.+Vice+President+NAMR+Campus+Recruiting+Ops+Manager</t>
  </si>
  <si>
    <t>https://www.google.com/search?newwindow=1&amp;ei=2MT0XrvGGM-vytMP1OyDgAY&amp;q=site%3Alinkedin.com+Jim+Sheridan+Managing+Director+Global+Head+of+Tech+Campus+Recruiting</t>
  </si>
  <si>
    <t>https://www.google.com/search?newwindow=1&amp;ei=2MT0XrvGGM-vytMP1OyDgAY&amp;q=site%3Alinkedin.com+Michael+Luisi+Campus+Recruiting+Firmwide+Intern+Program+Management+Leader</t>
  </si>
  <si>
    <t>https://www.google.com/search?newwindow=1&amp;ei=2MT0XrvGGM-vytMP1OyDgAY&amp;q=site%3Alinkedin.com+Jordan+Green+MBA+Campus+Recruiter+KeyBank</t>
  </si>
  <si>
    <t>https://www.google.com/search?newwindow=1&amp;ei=2MT0XrvGGM-vytMP1OyDgAY&amp;q=site%3Alinkedin.com+Kelsey+Knutty+MBA+Campus+Recruiter+KeyBank</t>
  </si>
  <si>
    <t>https://www.google.com/search?newwindow=1&amp;ei=2MT0XrvGGM-vytMP1OyDgAY&amp;q=site%3Alinkedin.com+Hannah+Post+College+Recruiter+Finance+IT+&amp;+Marketing+Kimberly-Clark</t>
  </si>
  <si>
    <t>https://www.google.com/search?newwindow=1&amp;ei=2MT0XrvGGM-vytMP1OyDgAY&amp;q=site%3Alinkedin.com+Kayla+Masterson+SHRM-+CP+College+Recruiter-+Research+&amp;+Engineering+Kimberly-Clark</t>
  </si>
  <si>
    <t>https://www.google.com/search?newwindow=1&amp;ei=2MT0XrvGGM-vytMP1OyDgAY&amp;q=site%3Alinkedin.com+Joann+Milhaupt+College+Recruiter+Co-ops+and+Interns+Kimberly-Clark</t>
  </si>
  <si>
    <t>https://www.google.com/search?newwindow=1&amp;ei=2MT0XrvGGM-vytMP1OyDgAY&amp;q=site%3Alinkedin.com+Robyn+Macdonald+CHRP+Corporate+Recruiter+University+Relations</t>
  </si>
  <si>
    <t>https://www.google.com/search?newwindow=1&amp;ei=2MT0XrvGGM-vytMP1OyDgAY&amp;q=site%3Alinkedin.com+Jody+Hisko+Recruitment+Coordinator+University+Relations</t>
  </si>
  <si>
    <t>https://www.google.com/search?newwindow=1&amp;ei=2MT0XrvGGM-vytMP1OyDgAY&amp;q=site%3Alinkedin.com+Samantha+Pierre-Alexander+Campus+Recruiter+Kohls</t>
  </si>
  <si>
    <t>https://www.google.com/search?newwindow=1&amp;ei=2MT0XrvGGM-vytMP1OyDgAY&amp;q=site%3Alinkedin.com+Angela+Bangert+Senior+Recruiter+University+Relations+Kohls</t>
  </si>
  <si>
    <t>https://www.google.com/search?newwindow=1&amp;ei=2MT0XrvGGM-vytMP1OyDgAY&amp;q=site%3Alinkedin.com+Eudulia+Velez+Campus+Recruiter+Kohls</t>
  </si>
  <si>
    <t>https://www.google.com/search?newwindow=1&amp;ei=2MT0XrvGGM-vytMP1OyDgAY&amp;q=site%3Alinkedin.com+Ashlee+Harry+Fall+NE+Campus+Team+Recruiter+Kohls</t>
  </si>
  <si>
    <t>https://www.google.com/search?newwindow=1&amp;ei=2MT0XrvGGM-vytMP1OyDgAY&amp;q=site%3Alinkedin.com+Steven+Bothwell+Early+Talent+Campus+Recruiter+Kohls</t>
  </si>
  <si>
    <t>https://www.google.com/search?newwindow=1&amp;ei=2MT0XrvGGM-vytMP1OyDgAY&amp;q=site%3Alinkedin.com+Carina+Hernandez+Campus+Recruiter+Kohls</t>
  </si>
  <si>
    <t>https://www.google.com/search?newwindow=1&amp;ei=2MT0XrvGGM-vytMP1OyDgAY&amp;q=site%3Alinkedin.com+Omni+Dean+Campus+Recruiting+Manager+kohls+Department+Stores</t>
  </si>
  <si>
    <t>https://www.google.com/search?newwindow=1&amp;ei=2MT0XrvGGM-vytMP1OyDgAY&amp;q=site%3Alinkedin.com+Gary+Wegrzyn+Digital+Campus+Recruiter+Kohls+Department+Stores</t>
  </si>
  <si>
    <t>https://www.google.com/search?newwindow=1&amp;ei=2MT0XrvGGM-vytMP1OyDgAY&amp;q=site%3Alinkedin.com+Tori+Hoffman+Early+Talent+Recruiter+Kohls+Department+Stores</t>
  </si>
  <si>
    <t>https://www.google.com/search?newwindow=1&amp;ei=2MT0XrvGGM-vytMP1OyDgAY&amp;q=site%3Alinkedin.com+Melissa+Payne+Campus+Manager/Recruiter+Kohls+Department+Stores</t>
  </si>
  <si>
    <t>https://www.google.com/search?newwindow=1&amp;ei=2MT0XrvGGM-vytMP1OyDgAY&amp;q=site%3Alinkedin.com+Erica+Trotta+Senior+Executive+Recruiter+Kohls+Department+Stores</t>
  </si>
  <si>
    <t>https://www.google.com/search?newwindow=1&amp;ei=2MT0XrvGGM-vytMP1OyDgAY&amp;q=site%3Alinkedin.com+Michael+Tran+Campus+Recruiter+Kohls+Department+Stores</t>
  </si>
  <si>
    <t>https://www.google.com/search?newwindow=1&amp;ei=2MT0XrvGGM-vytMP1OyDgAY&amp;q=site%3Alinkedin.com+Annelisa+Melendez+On-+Campus+Recruiter+Kohls+Department+Stores</t>
  </si>
  <si>
    <t>https://www.google.com/search?newwindow=1&amp;ei=2MT0XrvGGM-vytMP1OyDgAY&amp;q=site%3Alinkedin.com+Natalie+Twilley+Assistant+Store+Manager-Operations/Childrens+Footwear+and+Home+Kohls+Department+Stores</t>
  </si>
  <si>
    <t>https://www.google.com/search?newwindow=1&amp;ei=2MT0XrvGGM-vytMP1OyDgAY&amp;q=site%3Alinkedin.com+Jeannie+LaDriere+MBA+CIR+Senior+University+Recruiter+Korn+Ferry+on+HPE+Account</t>
  </si>
  <si>
    <t>https://www.google.com/search?newwindow=1&amp;ei=2MT0XrvGGM-vytMP1OyDgAY&amp;q=site%3Alinkedin.com+Kathryn+Slaton+Associate+Director+SE+Campus+Recruiting</t>
  </si>
  <si>
    <t>https://www.google.com/search?newwindow=1&amp;ei=2MT0XrvGGM-vytMP1OyDgAY&amp;q=site%3Alinkedin.com+Holly+Thomas+National+Director+Tax+Campus+Recruiting+Strategy+and+East+Region+Director+for+Audit+and+Tax</t>
  </si>
  <si>
    <t>https://www.google.com/search?newwindow=1&amp;ei=2MT0XrvGGM-vytMP1OyDgAY&amp;q=site%3Alinkedin.com+Sarah+Hodges+Associate+Campus+Recruiting</t>
  </si>
  <si>
    <t>https://www.google.com/search?newwindow=1&amp;ei=2MT0XrvGGM-vytMP1OyDgAY&amp;q=site%3Alinkedin.com+Sarah+Harari+Manager+Campus+Recruiting</t>
  </si>
  <si>
    <t>https://www.google.com/search?newwindow=1&amp;ei=2MT0XrvGGM-vytMP1OyDgAY&amp;q=site%3Alinkedin.com+Danielle+DElia+Associate+Campus+Recruiting</t>
  </si>
  <si>
    <t>https://www.google.com/search?newwindow=1&amp;ei=2MT0XrvGGM-vytMP1OyDgAY&amp;q=site%3Alinkedin.com+Danielle+Watson+Associate+Director+of+Campus+Recruiting+Advisory+Services</t>
  </si>
  <si>
    <t>https://www.google.com/search?newwindow=1&amp;ei=2MT0XrvGGM-vytMP1OyDgAY&amp;q=site%3Alinkedin.com+Danielle+Schneck+Associate+Campus+Recruiting</t>
  </si>
  <si>
    <t>https://www.google.com/search?newwindow=1&amp;ei=2MT0XrvGGM-vytMP1OyDgAY&amp;q=site%3Alinkedin.com+Sholon+Rucker+Associate+Director+Program+Management+Audit</t>
  </si>
  <si>
    <t>https://www.google.com/search?newwindow=1&amp;ei=2MT0XrvGGM-vytMP1OyDgAY&amp;q=site%3Alinkedin.com+Nicole+Yogi+Audit+Primary+Recruiter+Campus+Recruiting</t>
  </si>
  <si>
    <t>https://www.google.com/search?newwindow=1&amp;ei=2MT0XrvGGM-vytMP1OyDgAY&amp;q=site%3Alinkedin.com+Natalie+Holland+CPA+Primary+Tax+Recruiter+Campus+Recruiting</t>
  </si>
  <si>
    <t>https://www.google.com/search?newwindow=1&amp;ei=2MT0XrvGGM-vytMP1OyDgAY&amp;q=site%3Alinkedin.com+Laney+Williams+Senior+Associate+Campus+Recruiting</t>
  </si>
  <si>
    <t>https://www.google.com/search?newwindow=1&amp;ei=2MT0XrvGGM-vytMP1OyDgAY&amp;q=site%3Alinkedin.com+Maddie+Borwege+Senior+Associate+Campus+Recruiting</t>
  </si>
  <si>
    <t>https://www.google.com/search?newwindow=1&amp;ei=2MT0XrvGGM-vytMP1OyDgAY&amp;q=site%3Alinkedin.com+Jena+Hanlon+Associate+Campus+Recruiting</t>
  </si>
  <si>
    <t>https://www.google.com/search?newwindow=1&amp;ei=2MT0XrvGGM-vytMP1OyDgAY&amp;q=site%3Alinkedin.com+Sandeep+Draviam+Inclusion+and+Diversity+Manager+Campus+Recruiting</t>
  </si>
  <si>
    <t>https://www.google.com/search?newwindow=1&amp;ei=2MT0XrvGGM-vytMP1OyDgAY&amp;q=site%3Alinkedin.com+Jessica+Bartch+Associate+Director+Campus+Recruiting</t>
  </si>
  <si>
    <t>https://www.google.com/search?newwindow=1&amp;ei=2MT0XrvGGM-vytMP1OyDgAY&amp;q=site%3Alinkedin.com+Janelle+Huang+Primary+Recruiter+Campus+Recruiting</t>
  </si>
  <si>
    <t>https://www.google.com/search?newwindow=1&amp;ei=2MT0XrvGGM-vytMP1OyDgAY&amp;q=site%3Alinkedin.com+Chase+Jeanne+Campus+Recruiting+Associate</t>
  </si>
  <si>
    <t>https://www.google.com/search?newwindow=1&amp;ei=2MT0XrvGGM-vytMP1OyDgAY&amp;q=site%3Alinkedin.com+Ashley+Naughton+CIR+Campus+Recruiting</t>
  </si>
  <si>
    <t>https://www.google.com/search?newwindow=1&amp;ei=2MT0XrvGGM-vytMP1OyDgAY&amp;q=site%3Alinkedin.com+Palmer+Mayer+Associate+Director+Campus+Recruiting</t>
  </si>
  <si>
    <t>https://www.google.com/search?newwindow=1&amp;ei=2MT0XrvGGM-vytMP1OyDgAY&amp;q=site%3Alinkedin.com+Caitlin+Toohey+Associate+Director+Campus+Recruiting</t>
  </si>
  <si>
    <t>https://www.google.com/search?newwindow=1&amp;ei=2MT0XrvGGM-vytMP1OyDgAY&amp;q=site%3Alinkedin.com+Laura+Summers+CPA+Senior+Associate+Campus+Recruiting+at+KPMG+US</t>
  </si>
  <si>
    <t>https://www.google.com/search?newwindow=1&amp;ei=2MT0XrvGGM-vytMP1OyDgAY&amp;q=site%3Alinkedin.com+Laura+Vitale+Manager+Campus+Recruiting</t>
  </si>
  <si>
    <t>https://www.google.com/search?newwindow=1&amp;ei=2MT0XrvGGM-vytMP1OyDgAY&amp;q=site%3Alinkedin.com+Sarah+Harari+Manager+Campus+Recruiting+KPMG</t>
  </si>
  <si>
    <t>https://www.google.com/search?newwindow=1&amp;ei=2MT0XrvGGM-vytMP1OyDgAY&amp;q=site%3Alinkedin.com+Danielle+Watson+Associate+Director+of+Campus+Recruiting+Advisory+Services+KPMG</t>
  </si>
  <si>
    <t>https://www.google.com/search?newwindow=1&amp;ei=2MT0XrvGGM-vytMP1OyDgAY&amp;q=site%3Alinkedin.com+Sholon+Rucker+Manager+Campus+Recruiting+KPMG</t>
  </si>
  <si>
    <t>https://www.google.com/search?newwindow=1&amp;ei=2MT0XrvGGM-vytMP1OyDgAY&amp;q=site%3Alinkedin.com+María+De+Jesús+Hurtado+(she-her-hers)+Senior+Associate+Inclusion+and+Diversity+Campus+Recruiter+KPMG</t>
  </si>
  <si>
    <t>https://www.google.com/search?newwindow=1&amp;ei=2MT0XrvGGM-vytMP1OyDgAY&amp;q=site%3Alinkedin.com+Nicole+Yogi+Audit+Primary+Recruiter+Campus+Recruiting+KPMG</t>
  </si>
  <si>
    <t>https://www.google.com/search?newwindow=1&amp;ei=2MT0XrvGGM-vytMP1OyDgAY&amp;q=site%3Alinkedin.com+Natalie+Holland+CPA+Primary+Tax+Recruiter+Campus+Recruiting+KPMG</t>
  </si>
  <si>
    <t>https://www.google.com/search?newwindow=1&amp;ei=2MT0XrvGGM-vytMP1OyDgAY&amp;q=site%3Alinkedin.com+Laney+Williams+Senior+Associate+Campus+Recruiting+KPMG</t>
  </si>
  <si>
    <t>https://www.google.com/search?newwindow=1&amp;ei=2MT0XrvGGM-vytMP1OyDgAY&amp;q=site%3Alinkedin.com+Sandeep+Draviam+Inclusion+and+Diversity+Manager+Campus+Recruiting+KPMG</t>
  </si>
  <si>
    <t>https://www.google.com/search?newwindow=1&amp;ei=2MT0XrvGGM-vytMP1OyDgAY&amp;q=site%3Alinkedin.com+Janelle+Huang+Primary+Recruiter+Campus+Recruiting+KPMG</t>
  </si>
  <si>
    <t>https://www.google.com/search?newwindow=1&amp;ei=2MT0XrvGGM-vytMP1OyDgAY&amp;q=site%3Alinkedin.com+Laura+Vitale+Manager+Campus+Recruiting+KPMG</t>
  </si>
  <si>
    <t>https://www.google.com/search?newwindow=1&amp;ei=2MT0XrvGGM-vytMP1OyDgAY&amp;q=site%3Alinkedin.com+Kyri+Gorges+Manager+Campus+Recruiting+KPMG+LLP</t>
  </si>
  <si>
    <t>https://www.google.com/search?newwindow=1&amp;ei=2MT0XrvGGM-vytMP1OyDgAY&amp;q=site%3Alinkedin.com+Delucious+Patterson+Senior+Associate+Inclusion+and+Diversity+Campus+Recruiter+KPMG+US</t>
  </si>
  <si>
    <t>https://www.google.com/search?newwindow=1&amp;ei=2MT0XrvGGM-vytMP1OyDgAY&amp;q=site%3Alinkedin.com+Jennifer+Rice+Manager+Campus+Recruiting+KPMG+US</t>
  </si>
  <si>
    <t>https://www.google.com/search?newwindow=1&amp;ei=2MT0XrvGGM-vytMP1OyDgAY&amp;q=site%3Alinkedin.com+Kristin+Spivey+Associate+Director+Campus+Recruiting+KPMG+US</t>
  </si>
  <si>
    <t>https://www.google.com/search?newwindow=1&amp;ei=2MT0XrvGGM-vytMP1OyDgAY&amp;q=site%3Alinkedin.com+Kati+Hood+Associate+Director+University+Talent+Acquisition+KPMG+US</t>
  </si>
  <si>
    <t>https://www.google.com/search?newwindow=1&amp;ei=2MT0XrvGGM-vytMP1OyDgAY&amp;q=site%3Alinkedin.com+Hannah+Auer+CPA+Senior+Associate+Campus+Recruiter+KPMG+US</t>
  </si>
  <si>
    <t>https://www.google.com/search?newwindow=1&amp;ei=2MT0XrvGGM-vytMP1OyDgAY&amp;q=site%3Alinkedin.com+Laurel+Miller+Stone+Associate+Director+Campus+Recruiting+KPMG+US</t>
  </si>
  <si>
    <t>https://www.google.com/search?newwindow=1&amp;ei=2MT0XrvGGM-vytMP1OyDgAY&amp;q=site%3Alinkedin.com+Lisa+Francisco+National+Manager+Campus+Recruiting+&amp;+University+Relations+KPMG+US</t>
  </si>
  <si>
    <t>https://www.google.com/search?newwindow=1&amp;ei=2MT0XrvGGM-vytMP1OyDgAY&amp;q=site%3Alinkedin.com+Jessica+Vittas+(she+her+hers)+Campus+Development+Manager:+Campus+Recruiting+KPMG+US</t>
  </si>
  <si>
    <t>https://www.google.com/search?newwindow=1&amp;ei=2MT0XrvGGM-vytMP1OyDgAY&amp;q=site%3Alinkedin.com+Jennifer+McCanty+MBA+National+Manager+Campus+Recruiting+KPMG+US</t>
  </si>
  <si>
    <t>https://www.google.com/search?newwindow=1&amp;ei=2MT0XrvGGM-vytMP1OyDgAY&amp;q=site%3Alinkedin.com+Jemima+Sloggett+Manager+Campus+Recruiting+KPMG+US</t>
  </si>
  <si>
    <t>https://www.google.com/search?newwindow=1&amp;ei=2MT0XrvGGM-vytMP1OyDgAY&amp;q=site%3Alinkedin.com+Derrick+Beggs+PHR+CDR+KMPG+Campus+Recruiting+Manager+KPMG+US</t>
  </si>
  <si>
    <t>https://www.google.com/search?newwindow=1&amp;ei=2MT0XrvGGM-vytMP1OyDgAY&amp;q=site%3Alinkedin.com+Becky+Paseka+CPA+Campus+Recruiting+Manager+KPMG+US</t>
  </si>
  <si>
    <t>https://www.google.com/search?newwindow=1&amp;ei=2MT0XrvGGM-vytMP1OyDgAY&amp;q=site%3Alinkedin.com+Alicia+Mucci+(she/her/hers)+Manager+Campus+Recruiting+KPMG+US</t>
  </si>
  <si>
    <t>https://www.google.com/search?newwindow=1&amp;ei=2MT0XrvGGM-vytMP1OyDgAY&amp;q=site%3Alinkedin.com+Allison+Reams+Newman+Primary+Recruiter+Campus+Recruiting+KPMG+US</t>
  </si>
  <si>
    <t>https://www.google.com/search?newwindow=1&amp;ei=2MT0XrvGGM-vytMP1OyDgAY&amp;q=site%3Alinkedin.com+Avery+Ching+Senior+Associate+Campus+Recruiter+KPMG+US</t>
  </si>
  <si>
    <t>https://www.google.com/search?newwindow=1&amp;ei=2MT0XrvGGM-vytMP1OyDgAY&amp;q=site%3Alinkedin.com+Sydney+Leischner+Manager+Campus+Recruiting+KPMG+US</t>
  </si>
  <si>
    <t>https://www.google.com/search?newwindow=1&amp;ei=2MT0XrvGGM-vytMP1OyDgAY&amp;q=site%3Alinkedin.com+Marisa+DiRocco+Manager+Campus+Recruiting+KPMG+US</t>
  </si>
  <si>
    <t>https://www.google.com/search?newwindow=1&amp;ei=2MT0XrvGGM-vytMP1OyDgAY&amp;q=site%3Alinkedin.com+Renee+T.+Campus+Recruiting+Manager+Advisory+&amp;+Tax+Primary+Recruiter+KPMG+US</t>
  </si>
  <si>
    <t>https://www.google.com/search?newwindow=1&amp;ei=2MT0XrvGGM-vytMP1OyDgAY&amp;q=site%3Alinkedin.com+Erin+Riley+Campus+Recruiting+Manager+KPMG+LLP</t>
  </si>
  <si>
    <t>https://www.google.com/search?newwindow=1&amp;ei=2MT0XrvGGM-vytMP1OyDgAY&amp;q=site%3Alinkedin.com+Ininder+Badwal+CHRP+Talent+Attraction+Specialist+Campus+Recruiting</t>
  </si>
  <si>
    <t>https://www.google.com/search?newwindow=1&amp;ei=2MT0XrvGGM-vytMP1OyDgAY&amp;q=site%3Alinkedin.com+Kasia+Sterniczuk+Talent+Attraction+Manager+Campus+Recruiting</t>
  </si>
  <si>
    <t>https://www.google.com/search?newwindow=1&amp;ei=2MT0XrvGGM-vytMP1OyDgAY&amp;q=site%3Alinkedin.com+Ozench+Ibrahim+Lead+Executive+Partner+Campus+Recruiting</t>
  </si>
  <si>
    <t>https://www.google.com/search?newwindow=1&amp;ei=2MT0XrvGGM-vytMP1OyDgAY&amp;q=site%3Alinkedin.com+Marjorie+Joasil+Talent+Attraction+Specialist+National+Digital+Campus+Recruiter</t>
  </si>
  <si>
    <t>https://www.google.com/search?newwindow=1&amp;ei=2MT0XrvGGM-vytMP1OyDgAY&amp;q=site%3Alinkedin.com+Moya+Firth+Campus+Resource+Campus+Recruiting</t>
  </si>
  <si>
    <t>https://www.google.com/search?newwindow=1&amp;ei=2MT0XrvGGM-vytMP1OyDgAY&amp;q=site%3Alinkedin.com+Natalie+Rutkowski+Talent+Attraction+Specialist+GTA+Campus+Recruiter</t>
  </si>
  <si>
    <t>https://www.google.com/search?newwindow=1&amp;ei=2MT0XrvGGM-vytMP1OyDgAY&amp;q=site%3Alinkedin.com+Michelle+Ferguson+National+Associate+Campus+Recruiting+Internal+Operations</t>
  </si>
  <si>
    <t>https://www.google.com/search?newwindow=1&amp;ei=2MT0XrvGGM-vytMP1OyDgAY&amp;q=site%3Alinkedin.com+Kyri+Gorges+Manager+Campus+Recruiting</t>
  </si>
  <si>
    <t>https://www.google.com/search?newwindow=1&amp;ei=2MT0XrvGGM-vytMP1OyDgAY&amp;q=site%3Alinkedin.com+Gwendolyn+Reddy+Director+National+Campus+Recruiting</t>
  </si>
  <si>
    <t>https://www.google.com/search?newwindow=1&amp;ei=2MT0XrvGGM-vytMP1OyDgAY&amp;q=site%3Alinkedin.com+Jennifer+Rice+Manager+Campus+Recruiting</t>
  </si>
  <si>
    <t>https://www.google.com/search?newwindow=1&amp;ei=2MT0XrvGGM-vytMP1OyDgAY&amp;q=site%3Alinkedin.com+Kristin+Spivey+Associate+Director+Campus+Recruiting</t>
  </si>
  <si>
    <t>https://www.google.com/search?newwindow=1&amp;ei=2MT0XrvGGM-vytMP1OyDgAY&amp;q=site%3Alinkedin.com+Jessica+Hardeman+National+Associate+Director+Campus+Recruiting+Operations</t>
  </si>
  <si>
    <t>https://www.google.com/search?newwindow=1&amp;ei=2MT0XrvGGM-vytMP1OyDgAY&amp;q=site%3Alinkedin.com+Jane+Adeosun+Associate+Campus+Recruiting</t>
  </si>
  <si>
    <t>https://www.google.com/search?newwindow=1&amp;ei=2MT0XrvGGM-vytMP1OyDgAY&amp;q=site%3Alinkedin.com+Thienan+Dang+Senior+Associate+Campus+Recruiting</t>
  </si>
  <si>
    <t>https://www.google.com/search?newwindow=1&amp;ei=2MT0XrvGGM-vytMP1OyDgAY&amp;q=site%3Alinkedin.com+Brittany+Cuevas+Senior+Associate+Campus+Recruiting</t>
  </si>
  <si>
    <t>https://www.google.com/search?newwindow=1&amp;ei=2MT0XrvGGM-vytMP1OyDgAY&amp;q=site%3Alinkedin.com+Christopher+Mann+Senior+Associate+Campus+Recruiting</t>
  </si>
  <si>
    <t>https://www.google.com/search?newwindow=1&amp;ei=2MT0XrvGGM-vytMP1OyDgAY&amp;q=site%3Alinkedin.com+Kati+Hood+Associate+Director+University+Talent+Acquisition</t>
  </si>
  <si>
    <t>https://www.google.com/search?newwindow=1&amp;ei=2MT0XrvGGM-vytMP1OyDgAY&amp;q=site%3Alinkedin.com+Lynsey+Dinovo+Associate+Director+Campus+Recruiting</t>
  </si>
  <si>
    <t>https://www.google.com/search?newwindow=1&amp;ei=2MT0XrvGGM-vytMP1OyDgAY&amp;q=site%3Alinkedin.com+Laurel+Miller+Stone+Associate+Director+Campus+Recruiting</t>
  </si>
  <si>
    <t>https://www.google.com/search?newwindow=1&amp;ei=2MT0XrvGGM-vytMP1OyDgAY&amp;q=site%3Alinkedin.com+Lisa+Francisco+National+Manager+Campus+Recruiting+&amp;+University+Relations</t>
  </si>
  <si>
    <t>https://www.google.com/search?newwindow=1&amp;ei=2MT0XrvGGM-vytMP1OyDgAY&amp;q=site%3Alinkedin.com+Didi+Itauma+Associate+Area+Campus+Recruiting+Coordinator</t>
  </si>
  <si>
    <t>https://www.google.com/search?newwindow=1&amp;ei=2MT0XrvGGM-vytMP1OyDgAY&amp;q=site%3Alinkedin.com+Jessica+Vittas+(she+her+hers)+Campus+Development+Manager:+Campus+Recruiting</t>
  </si>
  <si>
    <t>https://www.google.com/search?newwindow=1&amp;ei=2MT0XrvGGM-vytMP1OyDgAY&amp;q=site%3Alinkedin.com+Angela+Wong+Pacific+Southwest+Business+Unit+Lead+Tax+Campus+Recruiting</t>
  </si>
  <si>
    <t>https://www.google.com/search?newwindow=1&amp;ei=2MT0XrvGGM-vytMP1OyDgAY&amp;q=site%3Alinkedin.com+Jennifer+McCanty+MBA+National+Manager+Campus+Recruiting</t>
  </si>
  <si>
    <t>https://www.google.com/search?newwindow=1&amp;ei=2MT0XrvGGM-vytMP1OyDgAY&amp;q=site%3Alinkedin.com+Emilie+Schneider+Campus+Recruiting+National+Senior+Associate</t>
  </si>
  <si>
    <t>https://www.google.com/search?newwindow=1&amp;ei=2MT0XrvGGM-vytMP1OyDgAY&amp;q=site%3Alinkedin.com+Aubrey+Baier+Senior+Associate+Campus+Recruiting</t>
  </si>
  <si>
    <t>https://www.google.com/search?newwindow=1&amp;ei=2MT0XrvGGM-vytMP1OyDgAY&amp;q=site%3Alinkedin.com+Nicole+Fritz+Director+Talent+Acquisition+Marketing</t>
  </si>
  <si>
    <t>https://www.google.com/search?newwindow=1&amp;ei=2MT0XrvGGM-vytMP1OyDgAY&amp;q=site%3Alinkedin.com+Jemima+Sloggett+Manager+Campus+Recruiting</t>
  </si>
  <si>
    <t>https://www.google.com/search?newwindow=1&amp;ei=2MT0XrvGGM-vytMP1OyDgAY&amp;q=site%3Alinkedin.com+Derrick+Beggs+PHR+CDR+KMPG+Campus+Recruiting+Manager</t>
  </si>
  <si>
    <t>https://www.google.com/search?newwindow=1&amp;ei=2MT0XrvGGM-vytMP1OyDgAY&amp;q=site%3Alinkedin.com+Becky+Paseka+CPA+Campus+Recruiting+Manager</t>
  </si>
  <si>
    <t>https://www.google.com/search?newwindow=1&amp;ei=2MT0XrvGGM-vytMP1OyDgAY&amp;q=site%3Alinkedin.com+Alicia+Mucci+(she/her/hers)+Manager+Campus+Recruiting</t>
  </si>
  <si>
    <t>https://www.google.com/search?newwindow=1&amp;ei=2MT0XrvGGM-vytMP1OyDgAY&amp;q=site%3Alinkedin.com+Allison+Reams+Newman+Primary+Recruiter+Campus+Recruiting</t>
  </si>
  <si>
    <t>https://www.google.com/search?newwindow=1&amp;ei=2MT0XrvGGM-vytMP1OyDgAY&amp;q=site%3Alinkedin.com+Avery+Ching+Senior+Associate+Campus+Recruiter</t>
  </si>
  <si>
    <t>https://www.google.com/search?newwindow=1&amp;ei=2MT0XrvGGM-vytMP1OyDgAY&amp;q=site%3Alinkedin.com+Lindsay+Lavin+PHR+(she/her)+Sr.+Associate+Campus+Recruiting</t>
  </si>
  <si>
    <t>https://www.google.com/search?newwindow=1&amp;ei=2MT0XrvGGM-vytMP1OyDgAY&amp;q=site%3Alinkedin.com+Sydney+Leischner+Manager+Campus+Recruiting</t>
  </si>
  <si>
    <t>https://www.google.com/search?newwindow=1&amp;ei=2MT0XrvGGM-vytMP1OyDgAY&amp;q=site%3Alinkedin.com+Marisa+DiRocco+Manager+Campus+Recruiting</t>
  </si>
  <si>
    <t>https://www.google.com/search?newwindow=1&amp;ei=2MT0XrvGGM-vytMP1OyDgAY&amp;q=site%3Alinkedin.com+Nicole+Floyd+Associate+Campus+Recruiting</t>
  </si>
  <si>
    <t>https://www.google.com/search?newwindow=1&amp;ei=2MT0XrvGGM-vytMP1OyDgAY&amp;q=site%3Alinkedin.com+Renee+T.+Campus+Recruiting+Manager+Advisory+&amp;+Tax+Primary+Recruiter</t>
  </si>
  <si>
    <t>https://www.google.com/search?newwindow=1&amp;ei=2MT0XrvGGM-vytMP1OyDgAY&amp;q=site%3Alinkedin.com+Meghan+Hughes+Ostrowski+Manager+Campus+Recruiting+Structured+Development+Programs+Liberty+Mutual+Insurance</t>
  </si>
  <si>
    <t>https://www.google.com/search?newwindow=1&amp;ei=2MT0XrvGGM-vytMP1OyDgAY&amp;q=site%3Alinkedin.com+Kelly+Scott+Diversity+and+Inclusion+Program+Manager+Campus+Recruiting+Liberty+Mutual+Insurance</t>
  </si>
  <si>
    <t>https://www.google.com/search?newwindow=1&amp;ei=2MT0XrvGGM-vytMP1OyDgAY&amp;q=site%3Alinkedin.com+Paige+Andrews+(she/her)+Senior+Campus+Recruiter+Finance+Accounting+&amp;+Investments+Liberty+Mutual+Insurance</t>
  </si>
  <si>
    <t>https://www.google.com/search?newwindow=1&amp;ei=2MT0XrvGGM-vytMP1OyDgAY&amp;q=site%3Alinkedin.com+MacKenzie+Bachry+(she+her)+Senior+Campus+Recruiter+Liberty+Mutual+Insurance</t>
  </si>
  <si>
    <t>https://www.google.com/search?newwindow=1&amp;ei=2MT0XrvGGM-vytMP1OyDgAY&amp;q=site%3Alinkedin.com+Jacquitta+Pool+Diversity+and+Inclusion+Associate+Program+Manager+Campus+Recruiting+Liberty+Mutual+Insurance</t>
  </si>
  <si>
    <t>https://www.google.com/search?newwindow=1&amp;ei=2MT0XrvGGM-vytMP1OyDgAY&amp;q=site%3Alinkedin.com+Monica+Vesprani+Sr.+Campus+Recruiter+Information+Technology+Liberty+Mutual+Insurance</t>
  </si>
  <si>
    <t>https://www.google.com/search?newwindow=1&amp;ei=2MT0XrvGGM-vytMP1OyDgAY&amp;q=site%3Alinkedin.com+Ray+Vion+Collins+Campus+Recruiter+Liberty+Mutual+Insurance</t>
  </si>
  <si>
    <t>https://www.google.com/search?newwindow=1&amp;ei=2MT0XrvGGM-vytMP1OyDgAY&amp;q=site%3Alinkedin.com+Auri+Morris+Manager+Campus+Recruiting+Liberty+Mutual+Insurance</t>
  </si>
  <si>
    <t>https://www.google.com/search?newwindow=1&amp;ei=2MT0XrvGGM-vytMP1OyDgAY&amp;q=site%3Alinkedin.com+Courtney+Capano+Campus+Recruiter+Talent+&amp;+Enterprise+Services+Liberty+Mutual+Insurance</t>
  </si>
  <si>
    <t>https://www.google.com/search?newwindow=1&amp;ei=2MT0XrvGGM-vytMP1OyDgAY&amp;q=site%3Alinkedin.com+Christine+Hardy+Recruiter+Graduate+Campus+Programs+Liberty+Mutual+Insurance</t>
  </si>
  <si>
    <t>https://www.google.com/search?newwindow=1&amp;ei=2MT0XrvGGM-vytMP1OyDgAY&amp;q=site%3Alinkedin.com+Emily+Campana+Director+Global+Campus+Recruiting</t>
  </si>
  <si>
    <t>https://www.google.com/search?newwindow=1&amp;ei=2MT0XrvGGM-vytMP1OyDgAY&amp;q=site%3Alinkedin.com+Tamara+Enriquez+M.A.+(She/Her)+Campus+Recruiting+Intern+Programs+&amp;+Operations+Event+Coordinator</t>
  </si>
  <si>
    <t>https://www.google.com/search?newwindow=1&amp;ei=2MT0XrvGGM-vytMP1OyDgAY&amp;q=site%3Alinkedin.com+Bri+Casner+Senior+Manager+Global+Campus+Recruiting</t>
  </si>
  <si>
    <t>https://www.google.com/search?newwindow=1&amp;ei=2MT0XrvGGM-vytMP1OyDgAY&amp;q=site%3Alinkedin.com+Travarus+Fauntleroy+Global+Program+Manager+Campus+Recruiting</t>
  </si>
  <si>
    <t>https://www.google.com/search?newwindow=1&amp;ei=2MT0XrvGGM-vytMP1OyDgAY&amp;q=site%3Alinkedin.com+Emily+Ho+Project+Manager+II+Campus+Recruiting+Operations</t>
  </si>
  <si>
    <t>https://www.google.com/search?newwindow=1&amp;ei=2MT0XrvGGM-vytMP1OyDgAY&amp;q=site%3Alinkedin.com+Anthea+Ip+Lead+Campus+Recruiting+Data+Pod+Senior+Technical+Recruiter</t>
  </si>
  <si>
    <t>https://www.google.com/search?newwindow=1&amp;ei=2MT0XrvGGM-vytMP1OyDgAY&amp;q=site%3Alinkedin.com+Nathalie+Zamora+(She/Her)+Senior+Events+Program+Manager+Global+Programs+&amp;+Events+Campus+Recruiting+Talent+Acquisition</t>
  </si>
  <si>
    <t>https://www.google.com/search?newwindow=1&amp;ei=2MT0XrvGGM-vytMP1OyDgAY&amp;q=site%3Alinkedin.com+Bri+Casner+Senior+Manager+Global+Campus+Recruiting+LinkedIn</t>
  </si>
  <si>
    <t>https://www.google.com/search?newwindow=1&amp;ei=2MT0XrvGGM-vytMP1OyDgAY&amp;q=site%3Alinkedin.com+David+Taylor+(he/him)+Recruiting+Manager+Campus+Tech+LinkedIn</t>
  </si>
  <si>
    <t>https://www.google.com/search?newwindow=1&amp;ei=2MT0XrvGGM-vytMP1OyDgAY&amp;q=site%3Alinkedin.com+Travarus+Fauntleroy+Global+Program+Manager+Campus+Recruiting+LinkedIn</t>
  </si>
  <si>
    <t>https://www.google.com/search?newwindow=1&amp;ei=2MT0XrvGGM-vytMP1OyDgAY&amp;q=site%3Alinkedin.com+Son+Nguyen+Talent+Acquisition+Engagement+Manager+Recruiting+for+Good+LinkedIn</t>
  </si>
  <si>
    <t>https://www.google.com/search?newwindow=1&amp;ei=2MT0XrvGGM-vytMP1OyDgAY&amp;q=site%3Alinkedin.com+Emily+Ho+Project+Manager+II+Campus+Recruiting+Operations+LinkedIn</t>
  </si>
  <si>
    <t>https://www.google.com/search?newwindow=1&amp;ei=2MT0XrvGGM-vytMP1OyDgAY&amp;q=site%3Alinkedin.com+Anthea+Ip+Lead+Campus+Recruiting+Data+Pod+Senior+Technical+Recruiter+LinkedIn</t>
  </si>
  <si>
    <t>https://www.google.com/search?newwindow=1&amp;ei=2MT0XrvGGM-vytMP1OyDgAY&amp;q=site%3Alinkedin.com+Robert+Leonetti+MBA+MFC+BA+Portfolio+Team+Lead+Talent+Acquisition+University+Relations+&amp;+Recruitment+Partner</t>
  </si>
  <si>
    <t>https://www.google.com/search?newwindow=1&amp;ei=2MT0XrvGGM-vytMP1OyDgAY&amp;q=site%3Alinkedin.com+Janet+Bachtel+Campus+Manager+University+Relations+&amp;+Recruiting</t>
  </si>
  <si>
    <t>https://www.google.com/search?newwindow=1&amp;ei=2MT0XrvGGM-vytMP1OyDgAY&amp;q=site%3Alinkedin.com+Tara+Hafele+College+Recruiter+Space+Lockheed+Martin</t>
  </si>
  <si>
    <t>https://www.google.com/search?newwindow=1&amp;ei=2MT0XrvGGM-vytMP1OyDgAY&amp;q=site%3Alinkedin.com+Ashley+Kessens+University+Talent+Acquisition+Recruiter+Space+Lockheed+Martin</t>
  </si>
  <si>
    <t>https://www.google.com/search?newwindow=1&amp;ei=2MT0XrvGGM-vytMP1OyDgAY&amp;q=site%3Alinkedin.com+Nicole+Foster+M.S.+College+Recruiter+Lockheed+Martin</t>
  </si>
  <si>
    <t>https://www.google.com/search?newwindow=1&amp;ei=2MT0XrvGGM-vytMP1OyDgAY&amp;q=site%3Alinkedin.com+Janet+Bachtel+Campus+Manager+University+Relations+&amp;+Recruiting+Lockheed+Martin</t>
  </si>
  <si>
    <t>https://www.google.com/search?newwindow=1&amp;ei=2MT0XrvGGM-vytMP1OyDgAY&amp;q=site%3Alinkedin.com+Iysha+Robinson+M.A.+University+Talent+Acquisition+Recruiter+Lockheed+Martin</t>
  </si>
  <si>
    <t>https://www.google.com/search?newwindow=1&amp;ei=2MT0XrvGGM-vytMP1OyDgAY&amp;q=site%3Alinkedin.com+Aimee+Everest+EMEA+Campus+Recruiter+Graduate+Programme+&amp;+Early+Years+hiring+now!</t>
  </si>
  <si>
    <t>https://www.google.com/search?newwindow=1&amp;ei=2MT0XrvGGM-vytMP1OyDgAY&amp;q=site%3Alinkedin.com+Holly+Thompson+Recruiter+UK+Campus</t>
  </si>
  <si>
    <t>https://www.google.com/search?newwindow=1&amp;ei=2MT0XrvGGM-vytMP1OyDgAY&amp;q=site%3Alinkedin.com+Olivia+Aylett+Recruiter+UK+Campus+Team</t>
  </si>
  <si>
    <t>https://www.google.com/search?newwindow=1&amp;ei=2MT0XrvGGM-vytMP1OyDgAY&amp;q=site%3Alinkedin.com+Emily+Haseldine+Lead+Recruiter+UK+Campus</t>
  </si>
  <si>
    <t>https://www.google.com/search?newwindow=1&amp;ei=2MT0XrvGGM-vytMP1OyDgAY&amp;q=site%3Alinkedin.com+Lorraine+Little+Interim+Global+Campus+Recruiting+Lead+Global+Support+Services</t>
  </si>
  <si>
    <t>https://www.google.com/search?newwindow=1&amp;ei=2MT0XrvGGM-vytMP1OyDgAY&amp;q=site%3Alinkedin.com+Colleen+DiGiambattista+Executive+Recruiter+Campus+and+Experienced+Hire+Recruiting+McKinsey+&amp;+Company</t>
  </si>
  <si>
    <t>https://www.google.com/search?newwindow=1&amp;ei=2MT0XrvGGM-vytMP1OyDgAY&amp;q=site%3Alinkedin.com+Lauren+B.+Campus+Recruiter+Engineering+Covering+Colorado+&amp;+East+Coast+Region+Medtronic</t>
  </si>
  <si>
    <t>https://www.google.com/search?newwindow=1&amp;ei=2MT0XrvGGM-vytMP1OyDgAY&amp;q=site%3Alinkedin.com+Doris+Ng+Senior+Campus+Recruiter+Engineering+Medtronic</t>
  </si>
  <si>
    <t>https://www.google.com/search?newwindow=1&amp;ei=2MT0XrvGGM-vytMP1OyDgAY&amp;q=site%3Alinkedin.com+Alicia+Gutierrez+MA-HRIR+Campus+Recruiter+Engineering+Midwest+Region+Medtronic</t>
  </si>
  <si>
    <t>https://www.google.com/search?newwindow=1&amp;ei=2MT0XrvGGM-vytMP1OyDgAY&amp;q=site%3Alinkedin.com+Sami+Graves+Campus+Recruiter+Supply+Chain+&amp;+Undergraduate+Campus+Recruitment+Medtronic</t>
  </si>
  <si>
    <t>https://www.google.com/search?newwindow=1&amp;ei=2MT0XrvGGM-vytMP1OyDgAY&amp;q=site%3Alinkedin.com+Maggie+Bott+Technical+Recruiter+Student+Veterans+++Security+Clearance+Opportunities+for+University+Students</t>
  </si>
  <si>
    <t>https://www.google.com/search?newwindow=1&amp;ei=2MT0XrvGGM-vytMP1OyDgAY&amp;q=site%3Alinkedin.com+Amy+Siebenthaler+Technical+PhD+Recruiter+University+Recruitment</t>
  </si>
  <si>
    <t>https://www.google.com/search?newwindow=1&amp;ei=2MT0XrvGGM-vytMP1OyDgAY&amp;q=site%3Alinkedin.com+Aaron+Mickelsen+Technical+Recruiter+University+Team+Microsoft</t>
  </si>
  <si>
    <t>https://www.google.com/search?newwindow=1&amp;ei=2MT0XrvGGM-vytMP1OyDgAY&amp;q=site%3Alinkedin.com+Faviola+Zuñiga+CDR+Hispanic+Serving+Institutions+Hub+Technical+University+Recruiter+Microsoft</t>
  </si>
  <si>
    <t>https://www.google.com/search?newwindow=1&amp;ei=2MT0XrvGGM-vytMP1OyDgAY&amp;q=site%3Alinkedin.com+Maggie+Bott+Technical+Recruiter+Student+Veterans+++Security+Clearance+Opportunities+for+University+Students+Microsoft</t>
  </si>
  <si>
    <t>https://www.google.com/search?newwindow=1&amp;ei=2MT0XrvGGM-vytMP1OyDgAY&amp;q=site%3Alinkedin.com+Sarah+Gordon+Talent+Sourcer+Pivotal+Recruiting+Microsoft</t>
  </si>
  <si>
    <t>https://www.google.com/search?newwindow=1&amp;ei=2MT0XrvGGM-vytMP1OyDgAY&amp;q=site%3Alinkedin.com+Felicity+Blazevic+University+Recruiter+North+America+Microsoft</t>
  </si>
  <si>
    <t>https://www.google.com/search?newwindow=1&amp;ei=2MT0XrvGGM-vytMP1OyDgAY&amp;q=site%3Alinkedin.com+Miguel+Chucaralao+University+Recruiter+Business+Functions+Microsoft</t>
  </si>
  <si>
    <t>https://www.google.com/search?newwindow=1&amp;ei=2MT0XrvGGM-vytMP1OyDgAY&amp;q=site%3Alinkedin.com+Amy+Siebenthaler+Technical+PhD+Recruiter+University+Recruitment+Microsoft</t>
  </si>
  <si>
    <t>https://www.google.com/search?newwindow=1&amp;ei=2MT0XrvGGM-vytMP1OyDgAY&amp;q=site%3Alinkedin.com+Kadra+Sheikh+MBA+HR+and+Talent+Acquisiton-+University+Recruiter+I+Microsoft</t>
  </si>
  <si>
    <t>https://www.google.com/search?newwindow=1&amp;ei=2MT0XrvGGM-vytMP1OyDgAY&amp;q=site%3Alinkedin.com+Kelsey+Saboori+Technical+University+Recruiter+Software+Engineering+Roles+Microsoft</t>
  </si>
  <si>
    <t>https://www.google.com/search?newwindow=1&amp;ei=2MT0XrvGGM-vytMP1OyDgAY&amp;q=site%3Alinkedin.com+Brian+Cuadra+University+Recruiter+Bay+Area+Hub+Finder+Microsoft</t>
  </si>
  <si>
    <t>https://www.google.com/search?newwindow=1&amp;ei=2MT0XrvGGM-vytMP1OyDgAY&amp;q=site%3Alinkedin.com+Emily+Cardner+Manager+Campus+Recruiting+MongoDB</t>
  </si>
  <si>
    <t>https://www.google.com/search?newwindow=1&amp;ei=2MT0XrvGGM-vytMP1OyDgAY&amp;q=site%3Alinkedin.com+Brett+Hemmerling+Assistant+Vice+President-Campus+Recruiter+and+Program+Manager+(Europe+Middle+East+and+Africa)</t>
  </si>
  <si>
    <t>https://www.google.com/search?newwindow=1&amp;ei=2MT0XrvGGM-vytMP1OyDgAY&amp;q=site%3Alinkedin.com+Robin+Diglio+Vice+President+Campus+Recruiting+and+Entry+Programs</t>
  </si>
  <si>
    <t>https://www.google.com/search?newwindow=1&amp;ei=2MT0XrvGGM-vytMP1OyDgAY&amp;q=site%3Alinkedin.com+Shelley+OHare+Campus+Technology+Recruiter+at+Morgan+Stanley+(via+Alexander+Mann+Solutions)</t>
  </si>
  <si>
    <t>https://www.google.com/search?newwindow=1&amp;ei=2MT0XrvGGM-vytMP1OyDgAY&amp;q=site%3Alinkedin.com+Nicola+Thomson+Campus+Recruiter+Finance+Fund+Services+and+Apprenticeships</t>
  </si>
  <si>
    <t>https://www.google.com/search?newwindow=1&amp;ei=2MT0XrvGGM-vytMP1OyDgAY&amp;q=site%3Alinkedin.com+Melissa+Ventura+Vice+President+Human+Resources+Technology+Campus+Recruiting</t>
  </si>
  <si>
    <t>https://www.google.com/search?newwindow=1&amp;ei=2MT0XrvGGM-vytMP1OyDgAY&amp;q=site%3Alinkedin.com+Georgia+Sfantos+HR+Manager+Technology+Campus+Recruiting</t>
  </si>
  <si>
    <t>https://www.google.com/search?newwindow=1&amp;ei=2MT0XrvGGM-vytMP1OyDgAY&amp;q=site%3Alinkedin.com+Kaitlin+Fitzpatrick+(she/her)+Campus+Recruiting+and+Entry+Programs+Training+Company+Divisions</t>
  </si>
  <si>
    <t>https://www.google.com/search?newwindow=1&amp;ei=2MT0XrvGGM-vytMP1OyDgAY&amp;q=site%3Alinkedin.com+Christie+Mongiardo+Manager+Institutional+Equity+Campus+Recruiting</t>
  </si>
  <si>
    <t>https://www.google.com/search?newwindow=1&amp;ei=2MT0XrvGGM-vytMP1OyDgAY&amp;q=site%3Alinkedin.com+Chelsea+Herritt+Director+Campus+Recruiting</t>
  </si>
  <si>
    <t>https://www.google.com/search?newwindow=1&amp;ei=2MT0XrvGGM-vytMP1OyDgAY&amp;q=site%3Alinkedin.com+Emily+R.+Mejia+Campus+Recruiting+and+Entry+Programs+Training+Coordinator</t>
  </si>
  <si>
    <t>https://www.google.com/search?newwindow=1&amp;ei=2MT0XrvGGM-vytMP1OyDgAY&amp;q=site%3Alinkedin.com+Charlotte+Fadden+Director+Campus+Recruiting+Manager</t>
  </si>
  <si>
    <t>https://www.google.com/search?newwindow=1&amp;ei=2MT0XrvGGM-vytMP1OyDgAY&amp;q=site%3Alinkedin.com+Jenna+Posner+Director+Technology+Campus+Recruiting</t>
  </si>
  <si>
    <t>https://www.google.com/search?newwindow=1&amp;ei=2MT0XrvGGM-vytMP1OyDgAY&amp;q=site%3Alinkedin.com+Erin+Leonard+Manager+Investment+Banking+MBA+Campus+Recruiting</t>
  </si>
  <si>
    <t>https://www.google.com/search?newwindow=1&amp;ei=2MT0XrvGGM-vytMP1OyDgAY&amp;q=site%3Alinkedin.com+Natasha+Bhalla+Manager+Technology+Campus+Recruiting</t>
  </si>
  <si>
    <t>https://www.google.com/search?newwindow=1&amp;ei=2MT0XrvGGM-vytMP1OyDgAY&amp;q=site%3Alinkedin.com+Alyssa+Fleischman+Campus+Recruiting+Coordinator+Technology</t>
  </si>
  <si>
    <t>https://www.google.com/search?newwindow=1&amp;ei=2MT0XrvGGM-vytMP1OyDgAY&amp;q=site%3Alinkedin.com+Stephanie+Mondo+Executive+Director+Head+of+Technology+Experienced+and+Campus+Recruiting</t>
  </si>
  <si>
    <t>https://www.google.com/search?newwindow=1&amp;ei=2MT0XrvGGM-vytMP1OyDgAY&amp;q=site%3Alinkedin.com+Andrea+Diamond+Executive+Director+Head+of+Campus+Strategy+Investment+Mgmt+&amp;+Infrastructure+Campus+Recruiting</t>
  </si>
  <si>
    <t>https://www.google.com/search?newwindow=1&amp;ei=2MT0XrvGGM-vytMP1OyDgAY&amp;q=site%3Alinkedin.com+Marissa+Mellan+Manager+Quantitative+Finance+Campus+Recruiting+at+Morgan+Stanley</t>
  </si>
  <si>
    <t>https://www.google.com/search?newwindow=1&amp;ei=2MT0XrvGGM-vytMP1OyDgAY&amp;q=site%3Alinkedin.com+Kathryn+R.+Manager+Campus+Recruiting</t>
  </si>
  <si>
    <t>https://www.google.com/search?newwindow=1&amp;ei=2MT0XrvGGM-vytMP1OyDgAY&amp;q=site%3Alinkedin.com+Alison+Speedling+Manager+Campus+Recruiting</t>
  </si>
  <si>
    <t>https://www.google.com/search?newwindow=1&amp;ei=2MT0XrvGGM-vytMP1OyDgAY&amp;q=site%3Alinkedin.com+Christina+Belmonte+Manager+Fixed+Income+Analyst+Campus+Recruiting</t>
  </si>
  <si>
    <t>https://www.google.com/search?newwindow=1&amp;ei=2MT0XrvGGM-vytMP1OyDgAY&amp;q=site%3Alinkedin.com+Katie+Robinson-Duff+Manager+Campus+Recruiting</t>
  </si>
  <si>
    <t>https://www.google.com/search?newwindow=1&amp;ei=2MT0XrvGGM-vytMP1OyDgAY&amp;q=site%3Alinkedin.com+Hollan+Humphrey+Campus+Recruiting+Coordinator+Investment+Banking+Analyst+Program</t>
  </si>
  <si>
    <t>https://www.google.com/search?newwindow=1&amp;ei=2MT0XrvGGM-vytMP1OyDgAY&amp;q=site%3Alinkedin.com+Christie+Mongiardo+Manager+Institutional+Equity+Campus+Recruiting+Morgan+Stanley</t>
  </si>
  <si>
    <t>https://www.google.com/search?newwindow=1&amp;ei=2MT0XrvGGM-vytMP1OyDgAY&amp;q=site%3Alinkedin.com+Charlotte+Fadden+Director+Campus+Recruiting+Manager+Morgan+Stanley</t>
  </si>
  <si>
    <t>https://www.google.com/search?newwindow=1&amp;ei=2MT0XrvGGM-vytMP1OyDgAY&amp;q=site%3Alinkedin.com+Erin+Leonard+Manager+Investment+Banking+MBA+Campus+Recruiting+Morgan+Stanley</t>
  </si>
  <si>
    <t>https://www.google.com/search?newwindow=1&amp;ei=2MT0XrvGGM-vytMP1OyDgAY&amp;q=site%3Alinkedin.com+Marissa+Mellan+Manager+Quantitative+Finance+Campus+Recruiting+at+Morgan+Stanley+Morgan+Stanley</t>
  </si>
  <si>
    <t>https://www.google.com/search?newwindow=1&amp;ei=2MT0XrvGGM-vytMP1OyDgAY&amp;q=site%3Alinkedin.com+Kathryn+R.+Manager+Campus+Recruiting+Morgan+Stanley</t>
  </si>
  <si>
    <t>https://www.google.com/search?newwindow=1&amp;ei=2MT0XrvGGM-vytMP1OyDgAY&amp;q=site%3Alinkedin.com+Alison+Speedling+Manager+Campus+Recruiting+Morgan+Stanley</t>
  </si>
  <si>
    <t>https://www.google.com/search?newwindow=1&amp;ei=2MT0XrvGGM-vytMP1OyDgAY&amp;q=site%3Alinkedin.com+Christina+Belmonte+Manager+Fixed+Income+Analyst+Campus+Recruiting+Morgan+Stanley</t>
  </si>
  <si>
    <t>https://www.google.com/search?newwindow=1&amp;ei=2MT0XrvGGM-vytMP1OyDgAY&amp;q=site%3Alinkedin.com+Katie+Robinson-Duff+Manager+Campus+Recruiting+Morgan+Stanley</t>
  </si>
  <si>
    <t>https://www.google.com/search?newwindow=1&amp;ei=2MT0XrvGGM-vytMP1OyDgAY&amp;q=site%3Alinkedin.com+Natasha+Bhalla+Manager+Technology+Campus+Recruiting+Morgan+Stanley</t>
  </si>
  <si>
    <t>https://www.google.com/search?newwindow=1&amp;ei=2MT0XrvGGM-vytMP1OyDgAY&amp;q=site%3Alinkedin.com+Rachel+Nobbs+Senior+Campus+Recruiter+Moss+Adams+LLP+San+Diego</t>
  </si>
  <si>
    <t>https://www.google.com/search?newwindow=1&amp;ei=2MT0XrvGGM-vytMP1OyDgAY&amp;q=site%3Alinkedin.com+Pauline+Bedford+Director+of+the+Admissions+and+Recruitment+Centre+University+Partnerships+Europe</t>
  </si>
  <si>
    <t>https://www.google.com/search?newwindow=1&amp;ei=2MT0XrvGGM-vytMP1OyDgAY&amp;q=site%3Alinkedin.com+Candice+Burgess+Recruiter+Campus+Programs+NBCUniversal+Media+LLC</t>
  </si>
  <si>
    <t>https://www.google.com/search?newwindow=1&amp;ei=2MT0XrvGGM-vytMP1OyDgAY&amp;q=site%3Alinkedin.com+Carol+Christman+Recruiter+Campus+Programs+NBCUniversal+Media+LLC</t>
  </si>
  <si>
    <t>https://www.google.com/search?newwindow=1&amp;ei=2MT0XrvGGM-vytMP1OyDgAY&amp;q=site%3Alinkedin.com+Shelly+Punter+Campus+Programs+Recruiter+NBCUniversal+Media+LLC</t>
  </si>
  <si>
    <t>https://www.google.com/search?newwindow=1&amp;ei=2MT0XrvGGM-vytMP1OyDgAY&amp;q=site%3Alinkedin.com+Catherine+Salzman+Campus+Recruiter+NBCUniversal+Media+LLC</t>
  </si>
  <si>
    <t>https://www.google.com/search?newwindow=1&amp;ei=2MT0XrvGGM-vytMP1OyDgAY&amp;q=site%3Alinkedin.com+Zac+Elkins+MHRM+SHRM-CP+Campus+Recruiter+Northrop+Grumman</t>
  </si>
  <si>
    <t>https://www.google.com/search?newwindow=1&amp;ei=2MT0XrvGGM-vytMP1OyDgAY&amp;q=site%3Alinkedin.com+Lauren+Silveira+Campus+Manager+University+Recruiting</t>
  </si>
  <si>
    <t>https://www.google.com/search?newwindow=1&amp;ei=2MT0XrvGGM-vytMP1OyDgAY&amp;q=site%3Alinkedin.com+Lauren+Silveira+Campus+Manager+University+Recruiting+NVIDIA</t>
  </si>
  <si>
    <t>https://www.google.com/search?newwindow=1&amp;ei=2MT0XrvGGM-vytMP1OyDgAY&amp;q=site%3Alinkedin.com+Olga+Nikolaev+University+Recruiter+Hardware+Engineering+Deep+Learning+&amp;+Autonomous+Vehicles+NVIDIA</t>
  </si>
  <si>
    <t>https://www.google.com/search?newwindow=1&amp;ei=2MT0XrvGGM-vytMP1OyDgAY&amp;q=site%3Alinkedin.com+Ashley+Jetson+University+Recruiter+Research+and+Applied+Research+NVIDIA</t>
  </si>
  <si>
    <t>https://www.google.com/search?newwindow=1&amp;ei=2MT0XrvGGM-vytMP1OyDgAY&amp;q=site%3Alinkedin.com+Anne+Rose+Associate+Director+University+Student+Recruitment</t>
  </si>
  <si>
    <t>https://www.google.com/search?newwindow=1&amp;ei=2MT0XrvGGM-vytMP1OyDgAY&amp;q=site%3Alinkedin.com+Alexandre+Tremblay+CPA+CA+Student+Programs+Coordinator</t>
  </si>
  <si>
    <t>https://www.google.com/search?newwindow=1&amp;ei=2MT0XrvGGM-vytMP1OyDgAY&amp;q=site%3Alinkedin.com+Catherine+Corbeil+Student+Resource+Planning+and+Student+Programs</t>
  </si>
  <si>
    <t>https://www.google.com/search?newwindow=1&amp;ei=2MT0XrvGGM-vytMP1OyDgAY&amp;q=site%3Alinkedin.com+Carmelle+NGoran+Student+Resource+Planning+and+Student+Programs</t>
  </si>
  <si>
    <t>https://www.google.com/search?newwindow=1&amp;ei=2MT0XrvGGM-vytMP1OyDgAY&amp;q=site%3Alinkedin.com+Amanda+Cauchon+Student+Human+Resources+(Resource+Planning+and+Student+Programs)</t>
  </si>
  <si>
    <t>https://www.google.com/search?newwindow=1&amp;ei=2MT0XrvGGM-vytMP1OyDgAY&amp;q=site%3Alinkedin.com+Jasmine+Iyengar+Student+HR+Planning+Programs+and+Reporting</t>
  </si>
  <si>
    <t>https://www.google.com/search?newwindow=1&amp;ei=2MT0XrvGGM-vytMP1OyDgAY&amp;q=site%3Alinkedin.com+Whitney+Anderson+Senior+Recruiter+University+Programs+PayPal</t>
  </si>
  <si>
    <t>https://www.google.com/search?newwindow=1&amp;ei=2MT0XrvGGM-vytMP1OyDgAY&amp;q=site%3Alinkedin.com+Chris+Kenny+Head+of+Sales+&amp;+Recruitment+Services+University+Partnerships</t>
  </si>
  <si>
    <t>https://www.google.com/search?newwindow=1&amp;ei=2MT0XrvGGM-vytMP1OyDgAY&amp;q=site%3Alinkedin.com+Anna+Minutello+Finance+Lead+Recruiter+University+of+Texas+Phillips+66</t>
  </si>
  <si>
    <t>https://www.google.com/search?newwindow=1&amp;ei=2MT0XrvGGM-vytMP1OyDgAY&amp;q=site%3Alinkedin.com+Kris+McDonald+HR+Rotational+Program+Manager+Phillips-Medisize</t>
  </si>
  <si>
    <t>https://www.google.com/search?newwindow=1&amp;ei=2MT0XrvGGM-vytMP1OyDgAY&amp;q=site%3Alinkedin.com+Rene+Newsome+Campus+Recruiting+Manager</t>
  </si>
  <si>
    <t>https://www.google.com/search?newwindow=1&amp;ei=2MT0XrvGGM-vytMP1OyDgAY&amp;q=site%3Alinkedin.com+Kim+Winkler+Campus+Recruiting+Manager+Protiviti+Inc.</t>
  </si>
  <si>
    <t>https://www.google.com/search?newwindow=1&amp;ei=2MT0XrvGGM-vytMP1OyDgAY&amp;q=site%3Alinkedin.com+Michael+Watkins+Manager+Campus+Recruiting</t>
  </si>
  <si>
    <t>https://www.google.com/search?newwindow=1&amp;ei=2MT0XrvGGM-vytMP1OyDgAY&amp;q=site%3Alinkedin.com+Stephanie+Angellotto+Campus+Recruiting+Manager+Southwest+&amp;+Bay+Area+NW</t>
  </si>
  <si>
    <t>https://www.google.com/search?newwindow=1&amp;ei=2MT0XrvGGM-vytMP1OyDgAY&amp;q=site%3Alinkedin.com+Brad+Barry+Talent+Identification+Campus+Recruiting+Associate</t>
  </si>
  <si>
    <t>https://www.google.com/search?newwindow=1&amp;ei=2MT0XrvGGM-vytMP1OyDgAY&amp;q=site%3Alinkedin.com+Danielle+Brogan+MBA+Talent+ID+Digital+Campus+Recruiting+Associate</t>
  </si>
  <si>
    <t>https://www.google.com/search?newwindow=1&amp;ei=2MT0XrvGGM-vytMP1OyDgAY&amp;q=site%3Alinkedin.com+Katie+Doerer+MBA+Campus+Recruiting+Manager</t>
  </si>
  <si>
    <t>https://www.google.com/search?newwindow=1&amp;ei=2MT0XrvGGM-vytMP1OyDgAY&amp;q=site%3Alinkedin.com+Jay+Grothause+Talent+Acquisition+Campus+Recruiting+Associate</t>
  </si>
  <si>
    <t>https://www.google.com/search?newwindow=1&amp;ei=2MT0XrvGGM-vytMP1OyDgAY&amp;q=site%3Alinkedin.com+Kaitlin+McDermott+Hopkins+SHRM-SCP+Mid-Atlantic+Campus+Recruiting+Lead+Senior+Manager</t>
  </si>
  <si>
    <t>https://www.google.com/search?newwindow=1&amp;ei=2MT0XrvGGM-vytMP1OyDgAY&amp;q=site%3Alinkedin.com+Elizabeth+Agravante+CPA+Advisory+Campus+Business+Recruiting+Experienced+Associate</t>
  </si>
  <si>
    <t>https://www.google.com/search?newwindow=1&amp;ei=2MT0XrvGGM-vytMP1OyDgAY&amp;q=site%3Alinkedin.com+Kelly+Farrell+MBA+Tax+Business+Recruiting+Manager</t>
  </si>
  <si>
    <t>https://www.google.com/search?newwindow=1&amp;ei=2MT0XrvGGM-vytMP1OyDgAY&amp;q=site%3Alinkedin.com+Kassie+Schlegel+Plummer+CPA+Missouri+Market+Campus+Recruiting+Manager</t>
  </si>
  <si>
    <t>https://www.google.com/search?newwindow=1&amp;ei=2MT0XrvGGM-vytMP1OyDgAY&amp;q=site%3Alinkedin.com+Jim+Andrus++SPHRSHRM-SCP+Southwest+Market+Campus+Recruiting+Lead</t>
  </si>
  <si>
    <t>https://www.google.com/search?newwindow=1&amp;ei=2MT0XrvGGM-vytMP1OyDgAY&amp;q=site%3Alinkedin.com+Paulette+Sprigg+Business+Recruiter+Experienced+Hire+PricewaterhouseCoopers</t>
  </si>
  <si>
    <t>https://www.google.com/search?newwindow=1&amp;ei=2MT0XrvGGM-vytMP1OyDgAY&amp;q=site%3Alinkedin.com+Rene+Newsome+Campus+Recruiting+Manager+PricewaterhouseCoopers</t>
  </si>
  <si>
    <t>https://www.google.com/search?newwindow=1&amp;ei=2MT0XrvGGM-vytMP1OyDgAY&amp;q=site%3Alinkedin.com+Michael+Watkins+Manager+Campus+Recruiting+PwC</t>
  </si>
  <si>
    <t>https://www.google.com/search?newwindow=1&amp;ei=2MT0XrvGGM-vytMP1OyDgAY&amp;q=site%3Alinkedin.com+Anne+(Keppler)+Mayor+Talent+Acquisition+Manager+Advisory+Campus+Recruiting+PwC</t>
  </si>
  <si>
    <t>https://www.google.com/search?newwindow=1&amp;ei=2MT0XrvGGM-vytMP1OyDgAY&amp;q=site%3Alinkedin.com+Stephanie+Angellotto+Campus+Recruiting+Manager+Southwest+&amp;+Bay+Area+NW+PwC</t>
  </si>
  <si>
    <t>https://www.google.com/search?newwindow=1&amp;ei=2MT0XrvGGM-vytMP1OyDgAY&amp;q=site%3Alinkedin.com+Katie+Doerer+MBA+Campus+Recruiting+Manager+PwC</t>
  </si>
  <si>
    <t>https://www.google.com/search?newwindow=1&amp;ei=2MT0XrvGGM-vytMP1OyDgAY&amp;q=site%3Alinkedin.com+Kaitlin+McDermott+Hopkins+SHRM-SCP+Mid-Atlantic+Campus+Recruiting+Lead+Senior+Manager+PwC</t>
  </si>
  <si>
    <t>https://www.google.com/search?newwindow=1&amp;ei=2MT0XrvGGM-vytMP1OyDgAY&amp;q=site%3Alinkedin.com+Kelly+Farrell+MBA+Tax+Business+Recruiting+Manager+PwC</t>
  </si>
  <si>
    <t>https://www.google.com/search?newwindow=1&amp;ei=2MT0XrvGGM-vytMP1OyDgAY&amp;q=site%3Alinkedin.com+Kassie+Schlegel+Plummer+CPA+Missouri+Market+Campus+Recruiting+Manager+PwC</t>
  </si>
  <si>
    <t>https://www.google.com/search?newwindow=1&amp;ei=2MT0XrvGGM-vytMP1OyDgAY&amp;q=site%3Alinkedin.com+Lydiah+Njagi+(she/+her)+Campus+Recruiter+Diverse+Hires</t>
  </si>
  <si>
    <t>https://www.google.com/search?newwindow=1&amp;ei=2MT0XrvGGM-vytMP1OyDgAY&amp;q=site%3Alinkedin.com+Carolyn+Murwin+MS+Sr.+Employment+Recruiter+Raytheon+Missiles+&amp;+Defense</t>
  </si>
  <si>
    <t>https://www.google.com/search?newwindow=1&amp;ei=2MT0XrvGGM-vytMP1OyDgAY&amp;q=site%3Alinkedin.com+Erin+Pruitt+University+Programs+Recruiter+Raytheon+Intelligence+and+Space+Raytheon+Technologies</t>
  </si>
  <si>
    <t>https://www.google.com/search?newwindow=1&amp;ei=2MT0XrvGGM-vytMP1OyDgAY&amp;q=site%3Alinkedin.com+Kevin+Lohmeier+Campus+Recruiting+Manager+University+of+Arizona+Raytheon+Technologies</t>
  </si>
  <si>
    <t>https://www.google.com/search?newwindow=1&amp;ei=2MT0XrvGGM-vytMP1OyDgAY&amp;q=site%3Alinkedin.com+Jovic+Howland+Senior+Recruiter+Campus+Recruitment+Early+Talent+Acquisition+Wealth+Management</t>
  </si>
  <si>
    <t>https://www.google.com/search?newwindow=1&amp;ei=2MT0XrvGGM-vytMP1OyDgAY&amp;q=site%3Alinkedin.com+Greg+Duffy+Senior+Campus+Recruiter+Capital+Markets+and+Wealth+Management</t>
  </si>
  <si>
    <t>https://www.google.com/search?newwindow=1&amp;ei=2MT0XrvGGM-vytMP1OyDgAY&amp;q=site%3Alinkedin.com+Daniel+Booth+(pronouns+he+him)+National+Campus+Recruiting+Lead</t>
  </si>
  <si>
    <t>https://www.google.com/search?newwindow=1&amp;ei=2MT0XrvGGM-vytMP1OyDgAY&amp;q=site%3Alinkedin.com+Hayley+Johnson+Sr.+Campus+Recruiter+Audit+&amp;+Tax+RSM+US+LLP</t>
  </si>
  <si>
    <t>https://www.google.com/search?newwindow=1&amp;ei=2MT0XrvGGM-vytMP1OyDgAY&amp;q=site%3Alinkedin.com+Amber+Campbell+Talent+Acquisition+Senior+Campus+Recruiter+RSM+US+LLP</t>
  </si>
  <si>
    <t>https://www.google.com/search?newwindow=1&amp;ei=2MT0XrvGGM-vytMP1OyDgAY&amp;q=site%3Alinkedin.com+Tara+Skrla+Consulting+Campus+Recruiter+Senior+Associate+RSM+US+LLP</t>
  </si>
  <si>
    <t>https://www.google.com/search?newwindow=1&amp;ei=2MT0XrvGGM-vytMP1OyDgAY&amp;q=site%3Alinkedin.com+Cori+Moore+CPA+Senior+Campus+Recruiter+RSM+US+LLP</t>
  </si>
  <si>
    <t>https://www.google.com/search?newwindow=1&amp;ei=2MT0XrvGGM-vytMP1OyDgAY&amp;q=site%3Alinkedin.com+Maeve+OConnor+Senior+Campus+Recruiter+RSM+US+LLP</t>
  </si>
  <si>
    <t>https://www.google.com/search?newwindow=1&amp;ei=2MT0XrvGGM-vytMP1OyDgAY&amp;q=site%3Alinkedin.com+Aviva+Werde+Senior+Campus+Recruiter+Talent+Acquisition+Tax+++Audit+RSM+US+LLP</t>
  </si>
  <si>
    <t>https://www.google.com/search?newwindow=1&amp;ei=2MT0XrvGGM-vytMP1OyDgAY&amp;q=site%3Alinkedin.com+Deana+Welsch+MSEd.+Talent+Acquisition+Manager+Campus+Recruiting+RSM+US+LLP</t>
  </si>
  <si>
    <t>https://www.google.com/search?newwindow=1&amp;ei=2MT0XrvGGM-vytMP1OyDgAY&amp;q=site%3Alinkedin.com+Kasey+Noble+Campus+Recruiter+Senior+Associate+RSM+US+LLP</t>
  </si>
  <si>
    <t>https://www.google.com/search?newwindow=1&amp;ei=2MT0XrvGGM-vytMP1OyDgAY&amp;q=site%3Alinkedin.com+Vivian+Chen+Senior+Campus+Recruiter+Audit+&amp;+Tax+RSM+US+LLP</t>
  </si>
  <si>
    <t>https://www.google.com/search?newwindow=1&amp;ei=2MT0XrvGGM-vytMP1OyDgAY&amp;q=site%3Alinkedin.com+Ben+Amerault+Senior+Campus+Recruiting+Talent+Scout+Recruiter</t>
  </si>
  <si>
    <t>https://www.google.com/search?newwindow=1&amp;ei=2MT0XrvGGM-vytMP1OyDgAY&amp;q=site%3Alinkedin.com+Pippa+W.+Senior+Recruiter+Futureforce+University+Recruiting</t>
  </si>
  <si>
    <t>https://www.google.com/search?newwindow=1&amp;ei=2MT0XrvGGM-vytMP1OyDgAY&amp;q=site%3Alinkedin.com+Emma+Evans+Senior+FutureForce+University+Recruiter+EMEA</t>
  </si>
  <si>
    <t>https://www.google.com/search?newwindow=1&amp;ei=2MT0XrvGGM-vytMP1OyDgAY&amp;q=site%3Alinkedin.com+Sarah+Reid+Senior+University+Tech+Recruiter+Futureforce+Salesforce</t>
  </si>
  <si>
    <t>https://www.google.com/search?newwindow=1&amp;ei=2MT0XrvGGM-vytMP1OyDgAY&amp;q=site%3Alinkedin.com+Ben+Amerault+Senior+Campus+Recruiting+Talent+Scout+Recruiter+Salesforce</t>
  </si>
  <si>
    <t>https://www.google.com/search?newwindow=1&amp;ei=2MT0XrvGGM-vytMP1OyDgAY&amp;q=site%3Alinkedin.com+Kaitlyn+Partridge+Senior+Technical+Recruiter+Futureforce+University+Recruiting+Salesforce</t>
  </si>
  <si>
    <t>https://www.google.com/search?newwindow=1&amp;ei=2MT0XrvGGM-vytMP1OyDgAY&amp;q=site%3Alinkedin.com+Stacy+Schall+Senior+University+Recruiter+Futureforce+Salesforce</t>
  </si>
  <si>
    <t>https://www.google.com/search?newwindow=1&amp;ei=2MT0XrvGGM-vytMP1OyDgAY&amp;q=site%3Alinkedin.com+Molly+M.+Holt+University+Recruiter+(Talent+Scout)+Futureforce+Salesforce</t>
  </si>
  <si>
    <t>https://www.google.com/search?newwindow=1&amp;ei=2MT0XrvGGM-vytMP1OyDgAY&amp;q=site%3Alinkedin.com+Thomas+Ilett+Recruitment+and+University+Relations+Manager+Europe</t>
  </si>
  <si>
    <t>https://www.google.com/search?newwindow=1&amp;ei=2MT0XrvGGM-vytMP1OyDgAY&amp;q=site%3Alinkedin.com+Denise+Jackson+Project+Manager+University+Relations+&amp;+Recruitment+Communications+(6-month+contract)</t>
  </si>
  <si>
    <t>https://www.google.com/search?newwindow=1&amp;ei=2MT0XrvGGM-vytMP1OyDgAY&amp;q=site%3Alinkedin.com+Ana+Moaz+Campus+Recruiting+Manager+Commercial+&amp;+Canadian+Banking+(Secondment)</t>
  </si>
  <si>
    <t>https://www.google.com/search?newwindow=1&amp;ei=2MT0XrvGGM-vytMP1OyDgAY&amp;q=site%3Alinkedin.com+Arina+Levko+Sr.+Manager+Canadian+University+Recruitment</t>
  </si>
  <si>
    <t>https://www.google.com/search?newwindow=1&amp;ei=2MT0XrvGGM-vytMP1OyDgAY&amp;q=site%3Alinkedin.com+Jasleen+Subherwal+Campus+Recruiter+Strategic+Functions</t>
  </si>
  <si>
    <t>https://www.google.com/search?newwindow=1&amp;ei=2MT0XrvGGM-vytMP1OyDgAY&amp;q=site%3Alinkedin.com+Danielle+Soo+Campus+Recruiter+Technology+&amp;+Digital</t>
  </si>
  <si>
    <t>https://www.google.com/search?newwindow=1&amp;ei=2MT0XrvGGM-vytMP1OyDgAY&amp;q=site%3Alinkedin.com+Jahanvi+Pandit+Campus+Recruiter+Global+Banking+&amp;+Markets</t>
  </si>
  <si>
    <t>https://www.google.com/search?newwindow=1&amp;ei=2MT0XrvGGM-vytMP1OyDgAY&amp;q=site%3Alinkedin.com+Katie+Dutton+Campus+Recruiter+Wealth+Management</t>
  </si>
  <si>
    <t>https://www.google.com/search?newwindow=1&amp;ei=2MT0XrvGGM-vytMP1OyDgAY&amp;q=site%3Alinkedin.com+Leandra+Grant+MBA+Lead+Procurement+Manager+Shell</t>
  </si>
  <si>
    <t>https://www.google.com/search?newwindow=1&amp;ei=2MT0XrvGGM-vytMP1OyDgAY&amp;q=site%3Alinkedin.com+Candice+Mitchell+MBA+SHRM-CP+University+Recruiter+Shell</t>
  </si>
  <si>
    <t>https://www.google.com/search?newwindow=1&amp;ei=2MT0XrvGGM-vytMP1OyDgAY&amp;q=site%3Alinkedin.com+Mary+Slater+Business+Excellence+Manager+Shell+TechWorks+Shell</t>
  </si>
  <si>
    <t>https://www.google.com/search?newwindow=1&amp;ei=2MT0XrvGGM-vytMP1OyDgAY&amp;q=site%3Alinkedin.com+Briana+Raasio+MBA+PMP+College+Recruiter+Siemens</t>
  </si>
  <si>
    <t>https://www.google.com/search?newwindow=1&amp;ei=2MT0XrvGGM-vytMP1OyDgAY&amp;q=site%3Alinkedin.com+Claire+Wilson+Student+Recruiter+Faculty+of+Science</t>
  </si>
  <si>
    <t>https://www.google.com/search?newwindow=1&amp;ei=2MT0XrvGGM-vytMP1OyDgAY&amp;q=site%3Alinkedin.com+Tessa+Briglio+Student+Affairs+Coordinator+Faculty+of+Applied+Sciences</t>
  </si>
  <si>
    <t>https://www.google.com/search?newwindow=1&amp;ei=2MT0XrvGGM-vytMP1OyDgAY&amp;q=site%3Alinkedin.com+Hiroshi+Yasuoka+Recruitment+Academic+and+Student+Affairs+Advisor+Undergraduate+Programs+Beedie+School+of+Business</t>
  </si>
  <si>
    <t>https://www.google.com/search?newwindow=1&amp;ei=2MT0XrvGGM-vytMP1OyDgAY&amp;q=site%3Alinkedin.com+Carolyn+Hanna+Coordinator+International+Graduate+Student+Programs</t>
  </si>
  <si>
    <t>https://www.google.com/search?newwindow=1&amp;ei=2MT0XrvGGM-vytMP1OyDgAY&amp;q=site%3Alinkedin.com+Wendy+Norman+Associate+Director+Student+Engagement+Programs</t>
  </si>
  <si>
    <t>https://www.google.com/search?newwindow=1&amp;ei=2MT0XrvGGM-vytMP1OyDgAY&amp;q=site%3Alinkedin.com+Hanna+J.+L.+International+Student+Advisor+Programs+and+Settlement</t>
  </si>
  <si>
    <t>https://www.google.com/search?newwindow=1&amp;ei=2MT0XrvGGM-vytMP1OyDgAY&amp;q=site%3Alinkedin.com+Courtney+Apps+MBA+Undergraduate+Advisor+&amp;+Recruiter+Political+Science</t>
  </si>
  <si>
    <t>https://www.google.com/search?newwindow=1&amp;ei=2MT0XrvGGM-vytMP1OyDgAY&amp;q=site%3Alinkedin.com+Jessie+C.+Academic+Programs+Coordinator+School+of+Computing+Science</t>
  </si>
  <si>
    <t>https://www.google.com/search?newwindow=1&amp;ei=2MT0XrvGGM-vytMP1OyDgAY&amp;q=site%3Alinkedin.com+Alexis+Vanderveen+Special+Programs+Advisor+and+Recruiter+Faculty+of+Education</t>
  </si>
  <si>
    <t>https://www.google.com/search?newwindow=1&amp;ei=2MT0XrvGGM-vytMP1OyDgAY&amp;q=site%3Alinkedin.com+Mark+Onikoyi+Senior+Campus+Recruiter+EMEA</t>
  </si>
  <si>
    <t>https://www.google.com/search?newwindow=1&amp;ei=2MT0XrvGGM-vytMP1OyDgAY&amp;q=site%3Alinkedin.com+Cody+Walls+Information+Technology+Recruiter+University+of+Georgia+State+Farm+®</t>
  </si>
  <si>
    <t>https://www.google.com/search?newwindow=1&amp;ei=2MT0XrvGGM-vytMP1OyDgAY&amp;q=site%3Alinkedin.com+Ron+Pittman+CLU®+College+Relations+Recruiter+State+Farm+Insurance</t>
  </si>
  <si>
    <t>https://www.google.com/search?newwindow=1&amp;ei=2MT0XrvGGM-vytMP1OyDgAY&amp;q=site%3Alinkedin.com+Dawn+Cottreau+Director+Student+&amp;+Paralegal+Programs</t>
  </si>
  <si>
    <t>https://www.google.com/search?newwindow=1&amp;ei=2MT0XrvGGM-vytMP1OyDgAY&amp;q=site%3Alinkedin.com+Janet+Zed+Coordinator+Student+Programs+and+Lawyer+Development</t>
  </si>
  <si>
    <t>https://www.google.com/search?newwindow=1&amp;ei=2MT0XrvGGM-vytMP1OyDgAY&amp;q=site%3Alinkedin.com+Cara+Cornacchia+Interim+Director+Student+Programs</t>
  </si>
  <si>
    <t>https://www.google.com/search?newwindow=1&amp;ei=2MT0XrvGGM-vytMP1OyDgAY&amp;q=site%3Alinkedin.com+Claire+Fraser+Coordinator+Student+&amp;+Legal+Professional+Programs</t>
  </si>
  <si>
    <t>https://www.google.com/search?newwindow=1&amp;ei=2MT0XrvGGM-vytMP1OyDgAY&amp;q=site%3Alinkedin.com+Lisa+Sidhu+Associate+Director+Associate+and+Student+Programs</t>
  </si>
  <si>
    <t>https://www.google.com/search?newwindow=1&amp;ei=2MT0XrvGGM-vytMP1OyDgAY&amp;q=site%3Alinkedin.com+Carol+Chestnut+Director+Associate+&amp;+Student+Programs</t>
  </si>
  <si>
    <t>https://www.google.com/search?newwindow=1&amp;ei=2MT0XrvGGM-vytMP1OyDgAY&amp;q=site%3Alinkedin.com+Eilís+Kennedy+Technical+Recruiter+(University)+North+America+Stripe</t>
  </si>
  <si>
    <t>https://www.google.com/search?newwindow=1&amp;ei=2MT0XrvGGM-vytMP1OyDgAY&amp;q=site%3Alinkedin.com+Jill+Pearrow+SHRM-CP+University+Recruiter+Stryker</t>
  </si>
  <si>
    <t>https://www.google.com/search?newwindow=1&amp;ei=2MT0XrvGGM-vytMP1OyDgAY&amp;q=site%3Alinkedin.com+Sean+Lynott+MBA+CDR+Senior+Campus+Recruiter</t>
  </si>
  <si>
    <t>https://www.google.com/search?newwindow=1&amp;ei=2MT0XrvGGM-vytMP1OyDgAY&amp;q=site%3Alinkedin.com+Wendy+Moore+Teacher+Aboriginal+Health+Programs</t>
  </si>
  <si>
    <t>https://www.google.com/search?newwindow=1&amp;ei=2MT0XrvGGM-vytMP1OyDgAY&amp;q=site%3Alinkedin.com+Elaine.+McBride+Manager+International+Student+Programs+TAFE+NSW+Riverina+Institute</t>
  </si>
  <si>
    <t>https://www.google.com/search?newwindow=1&amp;ei=2MT0XrvGGM-vytMP1OyDgAY&amp;q=site%3Alinkedin.com+Ngaire+Young+Manager+Programs+&amp;+Projects+Student+Services</t>
  </si>
  <si>
    <t>https://www.google.com/search?newwindow=1&amp;ei=2MT0XrvGGM-vytMP1OyDgAY&amp;q=site%3Alinkedin.com+Sophie+(Marie)+Imbert+MBA+CCXP+FCXP+(CX-I)+SA+Programs+Manager+Student+Services+Branch</t>
  </si>
  <si>
    <t>https://www.google.com/search?newwindow=1&amp;ei=2MT0XrvGGM-vytMP1OyDgAY&amp;q=site%3Alinkedin.com+David+Wyant+Lead+Recruiter+Campus+Target</t>
  </si>
  <si>
    <t>https://www.google.com/search?newwindow=1&amp;ei=2MT0XrvGGM-vytMP1OyDgAY&amp;q=site%3Alinkedin.com+Ellen+Meeks+Lead+Executive+Campus+Recruiter+Supply+Chain+Target</t>
  </si>
  <si>
    <t>https://www.google.com/search?newwindow=1&amp;ei=2MT0XrvGGM-vytMP1OyDgAY&amp;q=site%3Alinkedin.com+Jennifer+Castrodale+Sr.+Recruiter+Campus+Supply+Chain+Target</t>
  </si>
  <si>
    <t>https://www.google.com/search?newwindow=1&amp;ei=2MT0XrvGGM-vytMP1OyDgAY&amp;q=site%3Alinkedin.com+Pamela+McClaney+Lead+Executive+Recruiter+Field+Campus+Target</t>
  </si>
  <si>
    <t>https://www.google.com/search?newwindow=1&amp;ei=2MT0XrvGGM-vytMP1OyDgAY&amp;q=site%3Alinkedin.com+Jenn.Bass+(T1400)+Pharmacy+College+Recruiter+Pharmacist+Target</t>
  </si>
  <si>
    <t>https://www.google.com/search?newwindow=1&amp;ei=2MT0XrvGGM-vytMP1OyDgAY&amp;q=site%3Alinkedin.com+Danielle+Mork+Sr+Campus+Recruiter+Supply+Chain+Target</t>
  </si>
  <si>
    <t>https://www.google.com/search?newwindow=1&amp;ei=2MT0XrvGGM-vytMP1OyDgAY&amp;q=site%3Alinkedin.com+Joe+Leos+Jr.+PHR+SHRM+CP+Campus+Recruiter+Tata+Consultancy+Services</t>
  </si>
  <si>
    <t>https://www.google.com/search?newwindow=1&amp;ei=2MT0XrvGGM-vytMP1OyDgAY&amp;q=site%3Alinkedin.com+Jon+Spence+Sr.+Recruiter+Campus+Recruitment</t>
  </si>
  <si>
    <t>https://www.google.com/search?newwindow=1&amp;ei=2MT0XrvGGM-vytMP1OyDgAY&amp;q=site%3Alinkedin.com+Tom+Cole+Graduate+Recruitment+Officer+University+of+Oxford</t>
  </si>
  <si>
    <t>https://www.google.com/search?newwindow=1&amp;ei=2MT0XrvGGM-vytMP1OyDgAY&amp;q=site%3Alinkedin.com+Margot+Johnston+Graduate+Recruitment+Officer+Oxford+University</t>
  </si>
  <si>
    <t>https://www.google.com/search?newwindow=1&amp;ei=2MT0XrvGGM-vytMP1OyDgAY&amp;q=site%3Alinkedin.com+Hannah+Smith+University+Recruiter+Northern+England+the+Midlands+&amp;+Ireland</t>
  </si>
  <si>
    <t>https://www.google.com/search?newwindow=1&amp;ei=2MT0XrvGGM-vytMP1OyDgAY&amp;q=site%3Alinkedin.com+SeRon+Leary+Intern+IT+Recruiter+TEKsystems</t>
  </si>
  <si>
    <t>Tesco</t>
  </si>
  <si>
    <t>Boston Consulting Group</t>
  </si>
  <si>
    <t>https://www.google.com/search?newwindow=1&amp;ei=2MT0XrvGGM-vytMP1OyDgAY&amp;q=site%3Alinkedin.com+Courtney+McKenzie+Area+Manager+and+Campus+Recruiter+The+Buckle+Inc.</t>
  </si>
  <si>
    <t>https://www.google.com/search?newwindow=1&amp;ei=2MT0XrvGGM-vytMP1OyDgAY&amp;q=site%3Alinkedin.com+Joel+Custer+Area+Manager+and+Regional+Campus+Recruiter+The+Buckle+Inc.</t>
  </si>
  <si>
    <t>https://www.google.com/search?newwindow=1&amp;ei=2MT0XrvGGM-vytMP1OyDgAY&amp;q=site%3Alinkedin.com+Andrea+Simmons+Area+Manager+Campus+recruiter+Buckle+select+stylist+The+Buckle+Inc.</t>
  </si>
  <si>
    <t>https://www.google.com/search?newwindow=1&amp;ei=2MT0XrvGGM-vytMP1OyDgAY&amp;q=site%3Alinkedin.com+Taylor+Scruggs+UNT+Campus+Recruiter+The+Buckle+Inc.</t>
  </si>
  <si>
    <t>https://www.google.com/search?newwindow=1&amp;ei=2MT0XrvGGM-vytMP1OyDgAY&amp;q=site%3Alinkedin.com+Tori+Taylor+Sales+Manager+and+Campus+Recruiter+Dallas+The+Buckle+Inc.</t>
  </si>
  <si>
    <t>https://www.google.com/search?newwindow=1&amp;ei=2MT0XrvGGM-vytMP1OyDgAY&amp;q=site%3Alinkedin.com+Wade+Harville+Store+Manager+++Campus+Recruiter+(Denton+Texas)+The+Buckle+Inc.</t>
  </si>
  <si>
    <t>https://www.google.com/search?newwindow=1&amp;ei=2MT0XrvGGM-vytMP1OyDgAY&amp;q=site%3Alinkedin.com+Natasha+Gutierrez+Co+Manager+The+Buckle+Inc.</t>
  </si>
  <si>
    <t>https://www.google.com/search?newwindow=1&amp;ei=2MT0XrvGGM-vytMP1OyDgAY&amp;q=site%3Alinkedin.com+Tawnya+Boelter+Campus+Recruiter+The+Buckle+Inc.</t>
  </si>
  <si>
    <t>https://www.google.com/search?newwindow=1&amp;ei=2MT0XrvGGM-vytMP1OyDgAY&amp;q=site%3Alinkedin.com+Jessica+Kaelin+Store+Manager/+Area+Manager/+Campus+Recruiter+The+Buckle+Inc.</t>
  </si>
  <si>
    <t>https://www.google.com/search?newwindow=1&amp;ei=2MT0XrvGGM-vytMP1OyDgAY&amp;q=site%3Alinkedin.com+Kristi+Fields+Interview+Partner+Campus+Recruiting</t>
  </si>
  <si>
    <t>https://www.google.com/search?newwindow=1&amp;ei=2MT0XrvGGM-vytMP1OyDgAY&amp;q=site%3Alinkedin.com+Kristi+Breen+Vice+President+Disney+International+and+Campus+Recruiting+Disney+Cruise+LIne+Recruiting</t>
  </si>
  <si>
    <t>https://www.google.com/search?newwindow=1&amp;ei=2MT0XrvGGM-vytMP1OyDgAY&amp;q=site%3Alinkedin.com+Amy+Sanchez+Sr.+Recruiter+Campus+Recruitment+The+Walt+Disney+Company</t>
  </si>
  <si>
    <t>https://www.google.com/search?newwindow=1&amp;ei=2MT0XrvGGM-vytMP1OyDgAY&amp;q=site%3Alinkedin.com+Jamie+O.+Recruiter+College+Recruiting+Manager+on+Duty+Point+of+Contact+The+Walt+Disney+Company</t>
  </si>
  <si>
    <t>https://www.google.com/search?newwindow=1&amp;ei=2MT0XrvGGM-vytMP1OyDgAY&amp;q=site%3Alinkedin.com+Stephanie+Lyon+Interview+Partner/Recruiter+College+Programs+and+Interships+The+Walt+Disney+Company</t>
  </si>
  <si>
    <t>https://www.google.com/search?newwindow=1&amp;ei=2MT0XrvGGM-vytMP1OyDgAY&amp;q=site%3Alinkedin.com+Melanie+Sebastian+Associate+Recruiter+Campus+Programs+The+Walt+Disney+Company</t>
  </si>
  <si>
    <t>https://www.google.com/search?newwindow=1&amp;ei=2MT0XrvGGM-vytMP1OyDgAY&amp;q=site%3Alinkedin.com+Dani+Michael+Sr.+Technical+Recruiter+Disney+Campus+Recruitment+The+Walt+Disney+Company</t>
  </si>
  <si>
    <t>https://www.google.com/search?newwindow=1&amp;ei=2MT0XrvGGM-vytMP1OyDgAY&amp;q=site%3Alinkedin.com+Elaine+Dillard+Senior+Recruiter+Disney+Campus+Recruitment+The+Walt+Disney+Company</t>
  </si>
  <si>
    <t>https://www.google.com/search?newwindow=1&amp;ei=2MT0XrvGGM-vytMP1OyDgAY&amp;q=site%3Alinkedin.com+Suzanna+Camacho+Recruiter+Campus+Recruitment+The+Walt+Disney+Company</t>
  </si>
  <si>
    <t>https://www.google.com/search?newwindow=1&amp;ei=2MT0XrvGGM-vytMP1OyDgAY&amp;q=site%3Alinkedin.com+Amy+Bennett+Senior+Recruiter+Campus+Recruitment+The+Walt+Disney+Company</t>
  </si>
  <si>
    <t>https://www.google.com/search?newwindow=1&amp;ei=2MT0XrvGGM-vytMP1OyDgAY&amp;q=site%3Alinkedin.com+Kate+Perrine+Recruiter+Disney+Campus+Recruitment+The+Walt+Disney+Company</t>
  </si>
  <si>
    <t>https://www.google.com/search?newwindow=1&amp;ei=2MT0XrvGGM-vytMP1OyDgAY&amp;q=site%3Alinkedin.com+Cathy+OBrien+SHRM-CP+PHR+CIR+Sr.+Recruiter+Disney+Campus+Recruitment+The+Walt+Disney+Company</t>
  </si>
  <si>
    <t>https://www.google.com/search?newwindow=1&amp;ei=2MT0XrvGGM-vytMP1OyDgAY&amp;q=site%3Alinkedin.com+Danielle+Smith+Recruiter+Disney+College+Program+The+Walt+Disney+Company</t>
  </si>
  <si>
    <t>https://www.google.com/search?newwindow=1&amp;ei=2MT0XrvGGM-vytMP1OyDgAY&amp;q=site%3Alinkedin.com+Claire+G.+Bradley+College+Recruiter+Event+Management+Professional+Community+Outreach+in+the+Recruiting+Field+The+Walt+Disney+Company</t>
  </si>
  <si>
    <t>https://www.google.com/search?newwindow=1&amp;ei=2MT0XrvGGM-vytMP1OyDgAY&amp;q=site%3Alinkedin.com+Sandra+Almond+SHRM-SCP+Campus+Recruiter+The+Walt+Disney+Company</t>
  </si>
  <si>
    <t>https://www.google.com/search?newwindow=1&amp;ei=2MT0XrvGGM-vytMP1OyDgAY&amp;q=site%3Alinkedin.com+Yoshi+Takamura+Campus+Recruitment+Recruiter+Technology+The+Walt+Disney+Company</t>
  </si>
  <si>
    <t>https://www.google.com/search?newwindow=1&amp;ei=2MT0XrvGGM-vytMP1OyDgAY&amp;q=site%3Alinkedin.com+Khalifah+Nailor+Recruiter+Disney+Campus+Recruitment+The+Walt+Disney+Company</t>
  </si>
  <si>
    <t>https://www.google.com/search?newwindow=1&amp;ei=2MT0XrvGGM-vytMP1OyDgAY&amp;q=site%3Alinkedin.com+Sarah+Blair+Associate+Recruiter+Campus+Recruitment+The+Walt+Disney+Company</t>
  </si>
  <si>
    <t>https://www.google.com/search?newwindow=1&amp;ei=2MT0XrvGGM-vytMP1OyDgAY&amp;q=site%3Alinkedin.com+Joanne+OBrien+Graduate+Recruiter</t>
  </si>
  <si>
    <t>https://www.google.com/search?newwindow=1&amp;ei=2MT0XrvGGM-vytMP1OyDgAY&amp;q=site%3Alinkedin.com+Melissa+Coggins+Sr.+Campus+Recruiter+University+Relations+Truist</t>
  </si>
  <si>
    <t>https://www.google.com/search?newwindow=1&amp;ei=2MT0XrvGGM-vytMP1OyDgAY&amp;q=site%3Alinkedin.com+Colin+McCurry+M.A.+University+Relations+Recruiter+Truist</t>
  </si>
  <si>
    <t>https://www.google.com/search?newwindow=1&amp;ei=2MT0XrvGGM-vytMP1OyDgAY&amp;q=site%3Alinkedin.com+Lauren+Zabel+University+Recruiter+Engineering+Product+Design+and+Research+Twitter</t>
  </si>
  <si>
    <t>https://www.google.com/search?newwindow=1&amp;ei=2MT0XrvGGM-vytMP1OyDgAY&amp;q=site%3Alinkedin.com+Shay+Billeci+University+Recruiter+Non-Eng+&amp;+MBA+Twitter</t>
  </si>
  <si>
    <t>https://www.google.com/search?newwindow=1&amp;ei=2MT0XrvGGM-vytMP1OyDgAY&amp;q=site%3Alinkedin.com+Thandar+Peña+Campus+Recruiting+Manager+Quantitative+Research+Two+Sigma</t>
  </si>
  <si>
    <t>https://www.google.com/search?newwindow=1&amp;ei=2MT0XrvGGM-vytMP1OyDgAY&amp;q=site%3Alinkedin.com+Vicky+Hidalgo+Senior+Manager+Campus+Recruiting+U.S.+Bank</t>
  </si>
  <si>
    <t>https://www.google.com/search?newwindow=1&amp;ei=2MT0XrvGGM-vytMP1OyDgAY&amp;q=site%3Alinkedin.com+Cindy+Kuehl+Officer+Campus+Recruiter+&amp;+Internship+Program+Manager+U.S.+Bank</t>
  </si>
  <si>
    <t>https://www.google.com/search?newwindow=1&amp;ei=2MT0XrvGGM-vytMP1OyDgAY&amp;q=site%3Alinkedin.com+Hailey+Reed+Senior+Project+Manager+Campus+Recruiting+Non+Profit+Partners+U.S.+Bank</t>
  </si>
  <si>
    <t>https://www.google.com/search?newwindow=1&amp;ei=2MT0XrvGGM-vytMP1OyDgAY&amp;q=site%3Alinkedin.com+Wendy+Blocker+CDR+AVP+Senior+Campus+Recruiting+Manager+U.S.+Bank</t>
  </si>
  <si>
    <t>https://www.google.com/search?newwindow=1&amp;ei=2MT0XrvGGM-vytMP1OyDgAY&amp;q=site%3Alinkedin.com+Angie+Luo+Senior+University+Recruiter+Uber+ATG+Uber</t>
  </si>
  <si>
    <t>https://www.google.com/search?newwindow=1&amp;ei=2MT0XrvGGM-vytMP1OyDgAY&amp;q=site%3Alinkedin.com+Anna+OKeefe+Campus+Recruiting+Coordinator/Junior+Recruiter+UBS</t>
  </si>
  <si>
    <t>https://www.google.com/search?newwindow=1&amp;ei=2MT0XrvGGM-vytMP1OyDgAY&amp;q=site%3Alinkedin.com+Jill+Westberg+Associate+Director+Early+Careers+Recruitment+&amp;+Campus+Engagement+UnitedHealth+Group</t>
  </si>
  <si>
    <t>https://www.google.com/search?newwindow=1&amp;ei=2MT0XrvGGM-vytMP1OyDgAY&amp;q=site%3Alinkedin.com+Anna+Muhovich+M.A.+College+Recruiter+UnitedHealth+Group</t>
  </si>
  <si>
    <t>https://www.google.com/search?newwindow=1&amp;ei=2MT0XrvGGM-vytMP1OyDgAY&amp;q=site%3Alinkedin.com+Stacie+Carpenter+Senior+College+Recruiter+Early+Careers+Recruitment+&amp;+Campus+Engagement+UnitedHealth+Group</t>
  </si>
  <si>
    <t>https://www.google.com/search?newwindow=1&amp;ei=2MT0XrvGGM-vytMP1OyDgAY&amp;q=site%3Alinkedin.com+Jessica+Abel+University+Recruiter+Americas</t>
  </si>
  <si>
    <t>https://www.google.com/search?newwindow=1&amp;ei=2MT0XrvGGM-vytMP1OyDgAY&amp;q=site%3Alinkedin.com+Madhav+Raman+Student+Ambassador+Health+Promotion+Unit</t>
  </si>
  <si>
    <t>https://www.google.com/search?newwindow=1&amp;ei=2MT0XrvGGM-vytMP1OyDgAY&amp;q=site%3Alinkedin.com+Michael+Ormsby+Team+Lead+Student+Development+Programs</t>
  </si>
  <si>
    <t>https://www.google.com/search?newwindow=1&amp;ei=2MT0XrvGGM-vytMP1OyDgAY&amp;q=site%3Alinkedin.com+Al+Jackson+Campus+Recruiter+Talent+Acquisition+Verizon</t>
  </si>
  <si>
    <t>https://www.google.com/search?newwindow=1&amp;ei=2MT0XrvGGM-vytMP1OyDgAY&amp;q=site%3Alinkedin.com+Marlyn+Jasso+Sr.+Analyst+Talent+Acquisition-+Campus+Recruiter+Verizon</t>
  </si>
  <si>
    <t>https://www.google.com/search?newwindow=1&amp;ei=2MT0XrvGGM-vytMP1OyDgAY&amp;q=site%3Alinkedin.com+Aliyah+Deiz+Talent+Acquisition+Senior+Analyst+University+Recruiter+Verizon+Media</t>
  </si>
  <si>
    <t>https://www.google.com/search?newwindow=1&amp;ei=2MT0XrvGGM-vytMP1OyDgAY&amp;q=site%3Alinkedin.com+Christina+D.+Talent+Acquisition+University+Recruiter+Verizon+Media</t>
  </si>
  <si>
    <t>https://www.google.com/search?newwindow=1&amp;ei=2MT0XrvGGM-vytMP1OyDgAY&amp;q=site%3Alinkedin.com+Brandon+Lobb+Talent+Acquisition+University+Recruiter+Campus+Specialist+Viasat+Inc.</t>
  </si>
  <si>
    <t>https://www.google.com/search?newwindow=1&amp;ei=2MT0XrvGGM-vytMP1OyDgAY&amp;q=site%3Alinkedin.com+Christina+Garvey+CDR+University+Relations+Recruiter+Visa</t>
  </si>
  <si>
    <t>https://www.google.com/search?newwindow=1&amp;ei=2MT0XrvGGM-vytMP1OyDgAY&amp;q=site%3Alinkedin.com+Melissa+Mickleboro+Talent+Acquisition+Manager+University+Talent+VMware</t>
  </si>
  <si>
    <t>https://www.google.com/search?newwindow=1&amp;ei=2MT0XrvGGM-vytMP1OyDgAY&amp;q=site%3Alinkedin.com+Alexandra+Foret+Recruiting+Lead+Campus+Recruiting</t>
  </si>
  <si>
    <t>https://www.google.com/search?newwindow=1&amp;ei=2MT0XrvGGM-vytMP1OyDgAY&amp;q=site%3Alinkedin.com+Diane+Cook+PMP+Project+Manager+II+Campus+Recruiting</t>
  </si>
  <si>
    <t>https://www.google.com/search?newwindow=1&amp;ei=2MT0XrvGGM-vytMP1OyDgAY&amp;q=site%3Alinkedin.com+Kevin+Rose+Senior+Manager+Campus+Recruiting</t>
  </si>
  <si>
    <t>https://www.google.com/search?newwindow=1&amp;ei=2MT0XrvGGM-vytMP1OyDgAY&amp;q=site%3Alinkedin.com+Jason+Hudson+Campus+Recruiter+Wal-Mart+Stores+Inc.</t>
  </si>
  <si>
    <t>https://www.google.com/search?newwindow=1&amp;ei=2MT0XrvGGM-vytMP1OyDgAY&amp;q=site%3Alinkedin.com+Diane+Cook+PMP+Project+Manager+II+Campus+Recruiting+Walmart</t>
  </si>
  <si>
    <t>https://www.google.com/search?newwindow=1&amp;ei=2MT0XrvGGM-vytMP1OyDgAY&amp;q=site%3Alinkedin.com+Deanne+Smith+Regional+Manager+Healthcare+Recruiting+&amp;+Campus+Relations+Walmart</t>
  </si>
  <si>
    <t>https://www.google.com/search?newwindow=1&amp;ei=2MT0XrvGGM-vytMP1OyDgAY&amp;q=site%3Alinkedin.com+Allison+Atwell+Program+Manager+Campus+Recruiting+Diversity+Initiatives+Walmart</t>
  </si>
  <si>
    <t>https://www.google.com/search?newwindow=1&amp;ei=2MT0XrvGGM-vytMP1OyDgAY&amp;q=site%3Alinkedin.com+Kevin+Rose+Senior+Manager+Campus+Recruiting+Walmart</t>
  </si>
  <si>
    <t>https://www.google.com/search?newwindow=1&amp;ei=2MT0XrvGGM-vytMP1OyDgAY&amp;q=site%3Alinkedin.com+Lauren+Graham+Campus+Diversity+and+Inclusion+Programs+Recruiter+Walmart+eCommerce</t>
  </si>
  <si>
    <t>https://www.google.com/search?newwindow=1&amp;ei=2MT0XrvGGM-vytMP1OyDgAY&amp;q=site%3Alinkedin.com+Lauren+OByrne+Campus+Program+Recruiter+WarnerMedia</t>
  </si>
  <si>
    <t>https://www.google.com/search?newwindow=1&amp;ei=2MT0XrvGGM-vytMP1OyDgAY&amp;q=site%3Alinkedin.com+Cynthia+Gomez+Recruiter+Diversity+Outreach+Talent+Acquisition+(Communications+&amp;+Marketing)+WarnerMedia</t>
  </si>
  <si>
    <t>https://www.google.com/search?newwindow=1&amp;ei=2MT0XrvGGM-vytMP1OyDgAY&amp;q=site%3Alinkedin.com+Dionna+Walker+Recruiter+University+Relations+WarnerMedia</t>
  </si>
  <si>
    <t>https://www.google.com/search?newwindow=1&amp;ei=2MT0XrvGGM-vytMP1OyDgAY&amp;q=site%3Alinkedin.com+Molly+Kemper+Recruiter+University+Relations+WarnerMedia</t>
  </si>
  <si>
    <t>https://www.google.com/search?newwindow=1&amp;ei=2MT0XrvGGM-vytMP1OyDgAY&amp;q=site%3Alinkedin.com+Elisabeth+Mox+SHRM-CP+Lead+of+Undergraduate+Campus+Recruiting+(Business+and+Tech)</t>
  </si>
  <si>
    <t>https://www.google.com/search?newwindow=1&amp;ei=2MT0XrvGGM-vytMP1OyDgAY&amp;q=site%3Alinkedin.com+Monica+Baldwin+Recruiting+Manager+Campus+&amp;+Programmatic+Hiring+(Manager-Level+Hiring)</t>
  </si>
  <si>
    <t>https://www.google.com/search?newwindow=1&amp;ei=2MT0XrvGGM-vytMP1OyDgAY&amp;q=site%3Alinkedin.com+Erin+Collins+Campus+Recruiter+Technical+Campus+Recruiting</t>
  </si>
  <si>
    <t>https://www.google.com/search?newwindow=1&amp;ei=2MT0XrvGGM-vytMP1OyDgAY&amp;q=site%3Alinkedin.com+Monica+Baldwin+Recruiting+Manager+Campus+&amp;+Programmatic+Hiring+(Manager-Level+Hiring)+Wayfair</t>
  </si>
  <si>
    <t>https://www.google.com/search?newwindow=1&amp;ei=2MT0XrvGGM-vytMP1OyDgAY&amp;q=site%3Alinkedin.com+Erin+Collins+Campus+Recruiter+Technical+Campus+Recruiting+Wayfair</t>
  </si>
  <si>
    <t>https://www.google.com/search?newwindow=1&amp;ei=2MT0XrvGGM-vytMP1OyDgAY&amp;q=site%3Alinkedin.com+Christie+Kerr+Campus+Recruiting+Project+Manager</t>
  </si>
  <si>
    <t>https://www.google.com/search?newwindow=1&amp;ei=2MT0XrvGGM-vytMP1OyDgAY&amp;q=site%3Alinkedin.com+Ryan+Ruiz+VP+Campus+Recruiting+Manager</t>
  </si>
  <si>
    <t>https://www.google.com/search?newwindow=1&amp;ei=2MT0XrvGGM-vytMP1OyDgAY&amp;q=site%3Alinkedin.com+Christie+Kerr+Campus+Recruiting+Project+Manager+Wells+Fargo</t>
  </si>
  <si>
    <t>https://www.google.com/search?newwindow=1&amp;ei=2MT0XrvGGM-vytMP1OyDgAY&amp;q=site%3Alinkedin.com+Ryan+Ruiz+VP+Campus+Recruiting+Manager+Wells+Fargo</t>
  </si>
  <si>
    <t>https://www.google.com/search?newwindow=1&amp;ei=2MT0XrvGGM-vytMP1OyDgAY&amp;q=site%3Alinkedin.com+Rachel+Bruce+Project+Manager+Campus+Recruiting+Talent+Acquisition+Wells+Fargo+Bank</t>
  </si>
  <si>
    <t>https://www.google.com/search?newwindow=1&amp;ei=2MT0XrvGGM-vytMP1OyDgAY&amp;q=site%3Alinkedin.com+Ruth+Armendariz+MBA+Campus+Relationship+Manager+Wells+Fargo+Home+Mortgage</t>
  </si>
  <si>
    <t>https://www.google.com/search?newwindow=1&amp;ei=2MT0XrvGGM-vytMP1OyDgAY&amp;q=site%3Alinkedin.com+Jordan+McAdams+Recruiter+University+Programs+Wells+Fargo+Securities</t>
  </si>
  <si>
    <t>https://www.google.com/search?newwindow=1&amp;ei=2MT0XrvGGM-vytMP1OyDgAY&amp;q=site%3Alinkedin.com+Rachel+Bruce+Project+Manager+Campus+Recruiting+Talent+Acquisition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</si>
</sst>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b/>
      <sz val="18.0"/>
      <color theme="1"/>
      <name val="Arial"/>
    </font>
    <font>
      <b/>
      <sz val="12.0"/>
      <color theme="1"/>
      <name val="Arial"/>
    </font>
    <font>
      <color theme="1"/>
      <name val="Arial"/>
    </font>
    <font>
      <u/>
      <color rgb="FF1155CC"/>
    </font>
    <font>
      <u/>
      <color rgb="FF1155CC"/>
      <name val="Arial"/>
    </font>
    <font>
      <u/>
      <color rgb="FF0000FF"/>
    </font>
    <font>
      <sz val="12.0"/>
      <color theme="1"/>
      <name val="Calibri"/>
    </font>
    <font>
      <b/>
      <color theme="1"/>
      <name val="Arial"/>
    </font>
    <font>
      <u/>
      <color rgb="FF0000FF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center" wrapText="1"/>
    </xf>
    <xf borderId="0" fillId="2" fontId="2" numFmtId="0" xfId="0" applyAlignment="1" applyFont="1">
      <alignment readingOrder="0" shrinkToFit="0" vertical="top" wrapText="1"/>
    </xf>
    <xf borderId="0" fillId="3" fontId="3" numFmtId="0" xfId="0" applyFill="1" applyFont="1"/>
    <xf borderId="0" fillId="3" fontId="3" numFmtId="0" xfId="0" applyAlignment="1" applyFont="1">
      <alignment readingOrder="0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Font="1"/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google.com/search?newwindow=1&amp;ei=2MT0XrvGGM-vytMP1OyDgAY&amp;q=site%3Alinkedin.com+Vanessa+Mauskapf+(CONT)+Campus+Recruiter+Capital+One" TargetMode="External"/><Relationship Id="rId194" Type="http://schemas.openxmlformats.org/officeDocument/2006/relationships/hyperlink" Target="https://www.google.com/search?newwindow=1&amp;ei=2MT0XrvGGM-vytMP1OyDgAY&amp;q=site%3Alinkedin.com+Mark+Measell+Campus+Recruiter+Capital+One" TargetMode="External"/><Relationship Id="rId193" Type="http://schemas.openxmlformats.org/officeDocument/2006/relationships/hyperlink" Target="https://www.google.com/search?newwindow=1&amp;ei=2MT0XrvGGM-vytMP1OyDgAY&amp;q=site%3Alinkedin.com+Jamar+Renfro+Campus+Recruiter+Capital+One" TargetMode="External"/><Relationship Id="rId192" Type="http://schemas.openxmlformats.org/officeDocument/2006/relationships/hyperlink" Target="https://www.google.com/search?newwindow=1&amp;ei=2MT0XrvGGM-vytMP1OyDgAY&amp;q=site%3Alinkedin.com+Eugene+Jacobs+Campus+Recruiter+Capital+One" TargetMode="External"/><Relationship Id="rId191" Type="http://schemas.openxmlformats.org/officeDocument/2006/relationships/hyperlink" Target="https://www.google.com/search?newwindow=1&amp;ei=2MT0XrvGGM-vytMP1OyDgAY&amp;q=site%3Alinkedin.com+Phylicia+Montaque+Campus+Recruiter+Capital+One" TargetMode="External"/><Relationship Id="rId187" Type="http://schemas.openxmlformats.org/officeDocument/2006/relationships/hyperlink" Target="https://www.google.com/search?newwindow=1&amp;ei=2MT0XrvGGM-vytMP1OyDgAY&amp;q=site%3Alinkedin.com+Ashley+Ann+Cooper+Campus+Recruiter+Capgemini+Consulting" TargetMode="External"/><Relationship Id="rId186" Type="http://schemas.openxmlformats.org/officeDocument/2006/relationships/hyperlink" Target="https://www.google.com/search?newwindow=1&amp;ei=2MT0XrvGGM-vytMP1OyDgAY&amp;q=site%3Alinkedin.com+Steve+Villa+National+Campus+Recruiter+Capgemini" TargetMode="External"/><Relationship Id="rId185" Type="http://schemas.openxmlformats.org/officeDocument/2006/relationships/hyperlink" Target="https://www.google.com/search?newwindow=1&amp;ei=2MT0XrvGGM-vytMP1OyDgAY&amp;q=site%3Alinkedin.com+Anna+Acenbrak+North+America+Campus+Recruiter+Capgemini" TargetMode="External"/><Relationship Id="rId184" Type="http://schemas.openxmlformats.org/officeDocument/2006/relationships/hyperlink" Target="https://www.google.com/search?newwindow=1&amp;ei=2MT0XrvGGM-vytMP1OyDgAY&amp;q=site%3Alinkedin.com+Jyothi+Navaneeth+Texas+Region+Campus+Recruiter+Capgemini" TargetMode="External"/><Relationship Id="rId189" Type="http://schemas.openxmlformats.org/officeDocument/2006/relationships/hyperlink" Target="https://www.google.com/search?newwindow=1&amp;ei=2MT0XrvGGM-vytMP1OyDgAY&amp;q=site%3Alinkedin.com+Lauren+Wright+Campus+Recruiter+Capital+One" TargetMode="External"/><Relationship Id="rId188" Type="http://schemas.openxmlformats.org/officeDocument/2006/relationships/hyperlink" Target="https://www.google.com/search?newwindow=1&amp;ei=2MT0XrvGGM-vytMP1OyDgAY&amp;q=site%3Alinkedin.com+Sarah+Fitch+Tech+Campus+Recruiter+-+Midwest+Region+Capital+One" TargetMode="External"/><Relationship Id="rId183" Type="http://schemas.openxmlformats.org/officeDocument/2006/relationships/hyperlink" Target="https://www.google.com/search?newwindow=1&amp;ei=2MT0XrvGGM-vytMP1OyDgAY&amp;q=site%3Alinkedin.com+Kaitlyn+White+Campus+Recruiter+Capgemini" TargetMode="External"/><Relationship Id="rId182" Type="http://schemas.openxmlformats.org/officeDocument/2006/relationships/hyperlink" Target="https://www.google.com/search?newwindow=1&amp;ei=2MT0XrvGGM-vytMP1OyDgAY&amp;q=site%3Alinkedin.com+Federica+Quattrone+Chicago+&amp;+NYC+Campus+Recruiter+Capgemini" TargetMode="External"/><Relationship Id="rId181" Type="http://schemas.openxmlformats.org/officeDocument/2006/relationships/hyperlink" Target="https://www.google.com/search?newwindow=1&amp;ei=2MT0XrvGGM-vytMP1OyDgAY&amp;q=site%3Alinkedin.com+Rylee+Simpson+Nashville+Campus+Recruiter+Capgemini" TargetMode="External"/><Relationship Id="rId180" Type="http://schemas.openxmlformats.org/officeDocument/2006/relationships/hyperlink" Target="https://www.google.com/search?newwindow=1&amp;ei=2MT0XrvGGM-vytMP1OyDgAY&amp;q=site%3Alinkedin.com+Mary+Colleen+Reuter+Campus+Recruiter+Capgemini" TargetMode="External"/><Relationship Id="rId176" Type="http://schemas.openxmlformats.org/officeDocument/2006/relationships/hyperlink" Target="https://www.google.com/search?newwindow=1&amp;ei=2MT0XrvGGM-vytMP1OyDgAY&amp;q=site%3Alinkedin.com+Gracie+Keyser+University+Recruiting+Campus+Manager+Booz+Allen+Hamilton" TargetMode="External"/><Relationship Id="rId175" Type="http://schemas.openxmlformats.org/officeDocument/2006/relationships/hyperlink" Target="https://www.google.com/search?newwindow=1&amp;ei=2MT0XrvGGM-vytMP1OyDgAY&amp;q=site%3Alinkedin.com+Brittanie+Bosselait+University+Recruiter+Booz+Allen+Hamilton" TargetMode="External"/><Relationship Id="rId174" Type="http://schemas.openxmlformats.org/officeDocument/2006/relationships/hyperlink" Target="https://www.google.com/search?newwindow=1&amp;ei=2MT0XrvGGM-vytMP1OyDgAY&amp;q=site%3Alinkedin.com+Irah+Dizon+College+Recruiter+Specialist+The+Boeing+Company" TargetMode="External"/><Relationship Id="rId173" Type="http://schemas.openxmlformats.org/officeDocument/2006/relationships/hyperlink" Target="https://www.google.com/search?newwindow=1&amp;ei=2MT0XrvGGM-vytMP1OyDgAY&amp;q=site%3Alinkedin.com+Jonell+Diaz+Hanley+College+Recruiter+The+Boeing+Company" TargetMode="External"/><Relationship Id="rId179" Type="http://schemas.openxmlformats.org/officeDocument/2006/relationships/hyperlink" Target="https://www.google.com/search?newwindow=1&amp;ei=2MT0XrvGGM-vytMP1OyDgAY&amp;q=site%3Alinkedin.com+Ashley+Ann+Cooper+Learning+Manager:+Architect+and+Engagement+Manager+Curriculums+Capgemini" TargetMode="External"/><Relationship Id="rId178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177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198" Type="http://schemas.openxmlformats.org/officeDocument/2006/relationships/hyperlink" Target="https://www.google.com/search?newwindow=1&amp;ei=2MT0XrvGGM-vytMP1OyDgAY&amp;q=site%3Alinkedin.com+Tori+Compton+Campus+Recruiter+Capital+One" TargetMode="External"/><Relationship Id="rId197" Type="http://schemas.openxmlformats.org/officeDocument/2006/relationships/hyperlink" Target="https://www.google.com/search?newwindow=1&amp;ei=2MT0XrvGGM-vytMP1OyDgAY&amp;q=site%3Alinkedin.com+Lauren+Cox+Campus+Recruiter+Capital+One" TargetMode="External"/><Relationship Id="rId196" Type="http://schemas.openxmlformats.org/officeDocument/2006/relationships/hyperlink" Target="https://www.google.com/search?newwindow=1&amp;ei=2MT0XrvGGM-vytMP1OyDgAY&amp;q=site%3Alinkedin.com+Pablo+Briones+Campus+Recruiter+Capital+One" TargetMode="External"/><Relationship Id="rId195" Type="http://schemas.openxmlformats.org/officeDocument/2006/relationships/hyperlink" Target="https://www.google.com/search?newwindow=1&amp;ei=2MT0XrvGGM-vytMP1OyDgAY&amp;q=site%3Alinkedin.com+Sahara+Marte+Campus+Recruiter+Capital+One" TargetMode="External"/><Relationship Id="rId199" Type="http://schemas.openxmlformats.org/officeDocument/2006/relationships/hyperlink" Target="https://www.google.com/search?newwindow=1&amp;ei=2MT0XrvGGM-vytMP1OyDgAY&amp;q=site%3Alinkedin.com+Peyton+Lowery+Senior+Campus+Recruiter+-+Technology+Capital+One" TargetMode="External"/><Relationship Id="rId150" Type="http://schemas.openxmlformats.org/officeDocument/2006/relationships/hyperlink" Target="https://www.google.com/search?newwindow=1&amp;ei=2MT0XrvGGM-vytMP1OyDgAY&amp;q=site%3Alinkedin.com+Claudia+Suarez+Campus+Recruiter+BlackRock" TargetMode="External"/><Relationship Id="rId392" Type="http://schemas.openxmlformats.org/officeDocument/2006/relationships/hyperlink" Target="https://www.google.com/search?newwindow=1&amp;ei=2MT0XrvGGM-vytMP1OyDgAY&amp;q=site%3Alinkedin.com+Callie+Jones+Campus+Recruiter+EY" TargetMode="External"/><Relationship Id="rId391" Type="http://schemas.openxmlformats.org/officeDocument/2006/relationships/hyperlink" Target="https://www.google.com/search?newwindow=1&amp;ei=2MT0XrvGGM-vytMP1OyDgAY&amp;q=site%3Alinkedin.com+Katie+Fiorenzo+Sharp+Campus+Recruiter+-+Transaction+Advisory+Services+EY" TargetMode="External"/><Relationship Id="rId390" Type="http://schemas.openxmlformats.org/officeDocument/2006/relationships/hyperlink" Target="https://www.google.com/search?newwindow=1&amp;ei=2MT0XrvGGM-vytMP1OyDgAY&amp;q=site%3Alinkedin.com+Ellen+Stark+Campus+Recruiter+EY" TargetMode="External"/><Relationship Id="rId1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2" Type="http://schemas.openxmlformats.org/officeDocument/2006/relationships/hyperlink" Target="https://www.google.com/search?newwindow=1&amp;ei=2MT0XrvGGM-vytMP1OyDgAY&amp;q=site%3Alinkedin.com+Melissa+Harper+Davis+MBA+Campus+Recruiter+Accenture" TargetMode="External"/><Relationship Id="rId3" Type="http://schemas.openxmlformats.org/officeDocument/2006/relationships/hyperlink" Target="https://www.eugenehayden.com/rsvp" TargetMode="External"/><Relationship Id="rId149" Type="http://schemas.openxmlformats.org/officeDocument/2006/relationships/hyperlink" Target="https://www.google.com/search?newwindow=1&amp;ei=2MT0XrvGGM-vytMP1OyDgAY&amp;q=site%3Alinkedin.com+Francesca+Dayre+Associate+Campus+Recruiter+BlackRock" TargetMode="External"/><Relationship Id="rId4" Type="http://schemas.openxmlformats.org/officeDocument/2006/relationships/hyperlink" Target="https://www.google.com/search?newwindow=1&amp;ei=2MT0XrvGGM-vytMP1OyDgAY&amp;q=site%3Alinkedin.com+Nicole+Bonilla+Owens+Campus+Recruiter+Accenture" TargetMode="External"/><Relationship Id="rId148" Type="http://schemas.openxmlformats.org/officeDocument/2006/relationships/hyperlink" Target="https://www.google.com/search?newwindow=1&amp;ei=2MT0XrvGGM-vytMP1OyDgAY&amp;q=site%3Alinkedin.com+Tulsi+Patel+Associate+Campus+Recruiter+BlackRock" TargetMode="External"/><Relationship Id="rId1090" Type="http://schemas.openxmlformats.org/officeDocument/2006/relationships/hyperlink" Target="https://www.google.com/search?newwindow=1&amp;ei=2MT0XrvGGM-vytMP1OyDgAY&amp;q=site%3Alinkedin.com+Charisse+Trotman+Campus+Recruiter+Technology+The+Walt+Disney+Company" TargetMode="External"/><Relationship Id="rId1091" Type="http://schemas.openxmlformats.org/officeDocument/2006/relationships/hyperlink" Target="https://www.google.com/search?newwindow=1&amp;ei=2MT0XrvGGM-vytMP1OyDgAY&amp;q=site%3Alinkedin.com+Stephanie+Lyon+Interview+Partner/Recruiter+-+College+Programs+and+Interships+The+Walt+Disney+Company" TargetMode="External"/><Relationship Id="rId1092" Type="http://schemas.openxmlformats.org/officeDocument/2006/relationships/hyperlink" Target="https://www.google.com/search?newwindow=1&amp;ei=2MT0XrvGGM-vytMP1OyDgAY&amp;q=site%3Alinkedin.com+Stephanie+Magana+Tech+Campus+Recruiter+The+Walt+Disney+Company" TargetMode="External"/><Relationship Id="rId1093" Type="http://schemas.openxmlformats.org/officeDocument/2006/relationships/hyperlink" Target="https://www.google.com/search?newwindow=1&amp;ei=2MT0XrvGGM-vytMP1OyDgAY&amp;q=site%3Alinkedin.com+Tricia+Cooke+Campus+Recruiter+The+Walt+Disney+Company" TargetMode="External"/><Relationship Id="rId1094" Type="http://schemas.openxmlformats.org/officeDocument/2006/relationships/hyperlink" Target="https://www.google.com/search?newwindow=1&amp;ei=2MT0XrvGGM-vytMP1OyDgAY&amp;q=site%3Alinkedin.com+Yoshi+Takamura+Campus+Recruitment+Recruiter+-+Technology+The+Walt+Disney+Company" TargetMode="External"/><Relationship Id="rId9" Type="http://schemas.openxmlformats.org/officeDocument/2006/relationships/hyperlink" Target="https://www.google.com/search?newwindow=1&amp;ei=2MT0XrvGGM-vytMP1OyDgAY&amp;q=site%3Alinkedin.com+Mai+C.+Maye+Sr.+Campus+Recruiter+Accenture" TargetMode="External"/><Relationship Id="rId143" Type="http://schemas.openxmlformats.org/officeDocument/2006/relationships/hyperlink" Target="https://www.google.com/search?newwindow=1&amp;ei=2MT0XrvGGM-vytMP1OyDgAY&amp;q=site%3Alinkedin.com+Olivia+Forte+Campus+Recruiter+BDO" TargetMode="External"/><Relationship Id="rId385" Type="http://schemas.openxmlformats.org/officeDocument/2006/relationships/hyperlink" Target="https://www.google.com/search?newwindow=1&amp;ei=2MT0XrvGGM-vytMP1OyDgAY&amp;q=site%3Alinkedin.com+Danielle+M.+Campus+Recruiter+Ernst+&amp;+Young" TargetMode="External"/><Relationship Id="rId1095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142" Type="http://schemas.openxmlformats.org/officeDocument/2006/relationships/hyperlink" Target="https://www.google.com/search?newwindow=1&amp;ei=2MT0XrvGGM-vytMP1OyDgAY&amp;q=site%3Alinkedin.com+Renee+Savino+Banking+Analyst+Campus+Recruiter+Barclays+Investment+Bank" TargetMode="External"/><Relationship Id="rId384" Type="http://schemas.openxmlformats.org/officeDocument/2006/relationships/hyperlink" Target="https://www.google.com/search?newwindow=1&amp;ei=2MT0XrvGGM-vytMP1OyDgAY&amp;q=site%3Alinkedin.com+Katy+Elliott+Steinbach+Campus+Recruiter+Ernst+&amp;+Young" TargetMode="External"/><Relationship Id="rId1096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141" Type="http://schemas.openxmlformats.org/officeDocument/2006/relationships/hyperlink" Target="https://www.google.com/search?newwindow=1&amp;ei=2MT0XrvGGM-vytMP1OyDgAY&amp;q=site%3Alinkedin.com+Kelly+Doyle+Campus+Recruiter+Barclays+Capital" TargetMode="External"/><Relationship Id="rId383" Type="http://schemas.openxmlformats.org/officeDocument/2006/relationships/hyperlink" Target="https://www.google.com/search?newwindow=1&amp;ei=2MT0XrvGGM-vytMP1OyDgAY&amp;q=site%3Alinkedin.com+Grethel+Gaitan+Campus+Recruiter+Ernst+&amp;+Young" TargetMode="External"/><Relationship Id="rId1097" Type="http://schemas.openxmlformats.org/officeDocument/2006/relationships/hyperlink" Target="https://www.google.com/search?newwindow=1&amp;ei=2MT0XrvGGM-vytMP1OyDgAY&amp;q=site%3Alinkedin.com+Sheria+Richardson+(She/Her)+University+Relations+Recruiter+Truist" TargetMode="External"/><Relationship Id="rId140" Type="http://schemas.openxmlformats.org/officeDocument/2006/relationships/hyperlink" Target="https://www.google.com/search?newwindow=1&amp;ei=2MT0XrvGGM-vytMP1OyDgAY&amp;q=site%3Alinkedin.com+Courtney+Goldsmith+Associate+Campus+Recruiter+Barclays+Capital" TargetMode="External"/><Relationship Id="rId382" Type="http://schemas.openxmlformats.org/officeDocument/2006/relationships/hyperlink" Target="https://www.google.com/search?newwindow=1&amp;ei=2MT0XrvGGM-vytMP1OyDgAY&amp;q=site%3Alinkedin.com+Eleni+Athanasiou+Campus+Recruiter+Ernst+&amp;+Young" TargetMode="External"/><Relationship Id="rId1098" Type="http://schemas.openxmlformats.org/officeDocument/2006/relationships/hyperlink" Target="https://www.google.com/search?newwindow=1&amp;ei=2MT0XrvGGM-vytMP1OyDgAY&amp;q=site%3Alinkedin.com+Lindsay+Joyner+University+Relations+Recruiting+Manager+at+Truist+Truist" TargetMode="External"/><Relationship Id="rId5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147" Type="http://schemas.openxmlformats.org/officeDocument/2006/relationships/hyperlink" Target="https://www.google.com/search?newwindow=1&amp;ei=2MT0XrvGGM-vytMP1OyDgAY&amp;q=site%3Alinkedin.com+Danielle+Kronenfeld+Campus+Recruiter+BlackRock" TargetMode="External"/><Relationship Id="rId389" Type="http://schemas.openxmlformats.org/officeDocument/2006/relationships/hyperlink" Target="https://www.google.com/search?newwindow=1&amp;ei=2MT0XrvGGM-vytMP1OyDgAY&amp;q=site%3Alinkedin.com+Jessica+Robson+Campus+Recruiter+EY" TargetMode="External"/><Relationship Id="rId1099" Type="http://schemas.openxmlformats.org/officeDocument/2006/relationships/hyperlink" Target="https://www.google.com/search?newwindow=1&amp;ei=2MT0XrvGGM-vytMP1OyDgAY&amp;q=site%3Alinkedin.com+Letitia+Bethel-White+University+Relations+Recruiter+Truist" TargetMode="External"/><Relationship Id="rId6" Type="http://schemas.openxmlformats.org/officeDocument/2006/relationships/hyperlink" Target="https://www.google.com/search?newwindow=1&amp;ei=2MT0XrvGGM-vytMP1OyDgAY&amp;q=site%3Alinkedin.com+Betsy+Davis+Senior+Campus+Recruiter+Accenture" TargetMode="External"/><Relationship Id="rId146" Type="http://schemas.openxmlformats.org/officeDocument/2006/relationships/hyperlink" Target="https://www.google.com/search?newwindow=1&amp;ei=2MT0XrvGGM-vytMP1OyDgAY&amp;q=site%3Alinkedin.com+Femi+Fagbure+Campus+Recruiter+BlackRock" TargetMode="External"/><Relationship Id="rId388" Type="http://schemas.openxmlformats.org/officeDocument/2006/relationships/hyperlink" Target="https://www.google.com/search?newwindow=1&amp;ei=2MT0XrvGGM-vytMP1OyDgAY&amp;q=site%3Alinkedin.com+Kelsey+Rock+Campus+Recruiter+EY" TargetMode="External"/><Relationship Id="rId7" Type="http://schemas.openxmlformats.org/officeDocument/2006/relationships/hyperlink" Target="https://www.google.com/search?newwindow=1&amp;ei=2MT0XrvGGM-vytMP1OyDgAY&amp;q=site%3Alinkedin.com+Amy+Romero+Campus+Recruiter+Accenture" TargetMode="External"/><Relationship Id="rId145" Type="http://schemas.openxmlformats.org/officeDocument/2006/relationships/hyperlink" Target="https://www.google.com/search?newwindow=1&amp;ei=2MT0XrvGGM-vytMP1OyDgAY&amp;q=site%3Alinkedin.com+Celisse+Coppel+Campus+Recruiter+BDO" TargetMode="External"/><Relationship Id="rId387" Type="http://schemas.openxmlformats.org/officeDocument/2006/relationships/hyperlink" Target="https://www.google.com/search?newwindow=1&amp;ei=2MT0XrvGGM-vytMP1OyDgAY&amp;q=site%3Alinkedin.com+Angie+Menendez+Area+Campus+Recruiter+Ernst+and+Young" TargetMode="External"/><Relationship Id="rId8" Type="http://schemas.openxmlformats.org/officeDocument/2006/relationships/hyperlink" Target="https://www.google.com/search?newwindow=1&amp;ei=2MT0XrvGGM-vytMP1OyDgAY&amp;q=site%3Alinkedin.com+Sara+Buxton+NorCal+Campus+Recruiting+Manager+Accenture" TargetMode="External"/><Relationship Id="rId144" Type="http://schemas.openxmlformats.org/officeDocument/2006/relationships/hyperlink" Target="https://www.google.com/search?newwindow=1&amp;ei=2MT0XrvGGM-vytMP1OyDgAY&amp;q=site%3Alinkedin.com+Annie+Allred+Campus+Recruiting+Manager+BDO" TargetMode="External"/><Relationship Id="rId386" Type="http://schemas.openxmlformats.org/officeDocument/2006/relationships/hyperlink" Target="https://www.google.com/search?newwindow=1&amp;ei=2MT0XrvGGM-vytMP1OyDgAY&amp;q=site%3Alinkedin.com+Debbie+Dillon+Campus+Recruiter+Ernst+&amp;+Young" TargetMode="External"/><Relationship Id="rId381" Type="http://schemas.openxmlformats.org/officeDocument/2006/relationships/hyperlink" Target="https://www.google.com/search?newwindow=1&amp;ei=2MT0XrvGGM-vytMP1OyDgAY&amp;q=site%3Alinkedin.com+Rachel+Bresnick+Lipson+Campus+Recruiter+Ernst+&amp;+Young" TargetMode="External"/><Relationship Id="rId380" Type="http://schemas.openxmlformats.org/officeDocument/2006/relationships/hyperlink" Target="https://www.google.com/search?newwindow=1&amp;ei=2MT0XrvGGM-vytMP1OyDgAY&amp;q=site%3Alinkedin.com+Jennifer+Sell+Campus+Recruiter+Ernst+&amp;+Young" TargetMode="External"/><Relationship Id="rId139" Type="http://schemas.openxmlformats.org/officeDocument/2006/relationships/hyperlink" Target="https://www.google.com/search?newwindow=1&amp;ei=2MT0XrvGGM-vytMP1OyDgAY&amp;q=site%3Alinkedin.com+Andrea+Parsley+Diversity+Campus+Recruiter+Barclays+Capital" TargetMode="External"/><Relationship Id="rId138" Type="http://schemas.openxmlformats.org/officeDocument/2006/relationships/hyperlink" Target="https://www.google.com/search?newwindow=1&amp;ei=2MT0XrvGGM-vytMP1OyDgAY&amp;q=site%3Alinkedin.com+Christie+Neuhaus+Campus+Recruiter+Bank+of+America+Merrill+Lynch" TargetMode="External"/><Relationship Id="rId137" Type="http://schemas.openxmlformats.org/officeDocument/2006/relationships/hyperlink" Target="https://www.google.com/search?newwindow=1&amp;ei=2MT0XrvGGM-vytMP1OyDgAY&amp;q=site%3Alinkedin.com+Paula+Rose+Campus+Recruiter+Bank+of+America+Merrill+Lynch" TargetMode="External"/><Relationship Id="rId379" Type="http://schemas.openxmlformats.org/officeDocument/2006/relationships/hyperlink" Target="https://www.google.com/search?newwindow=1&amp;ei=2MT0XrvGGM-vytMP1OyDgAY&amp;q=site%3Alinkedin.com+Kaami+Moore+Florida+Campus+Recruiter+Ernst+&amp;+Young" TargetMode="External"/><Relationship Id="rId1080" Type="http://schemas.openxmlformats.org/officeDocument/2006/relationships/hyperlink" Target="https://www.google.com/search?newwindow=1&amp;ei=2MT0XrvGGM-vytMP1OyDgAY&amp;q=site%3Alinkedin.com+Maggie+Loya+University+Relations+Recruiter+TEKsystems" TargetMode="External"/><Relationship Id="rId1081" Type="http://schemas.openxmlformats.org/officeDocument/2006/relationships/hyperlink" Target="https://www.google.com/search?newwindow=1&amp;ei=2MT0XrvGGM-vytMP1OyDgAY&amp;q=site%3Alinkedin.com+Taylor+Petersen+University+Relations+Recruiter+TEKsystems" TargetMode="External"/><Relationship Id="rId1082" Type="http://schemas.openxmlformats.org/officeDocument/2006/relationships/hyperlink" Target="https://www.google.com/search?newwindow=1&amp;ei=2MT0XrvGGM-vytMP1OyDgAY&amp;q=site%3Alinkedin.com+Kaitlin+Garcia+University+Relations+Recruiter+TEKsystems" TargetMode="External"/><Relationship Id="rId1083" Type="http://schemas.openxmlformats.org/officeDocument/2006/relationships/hyperlink" Target="https://www.google.com/search?newwindow=1&amp;ei=2MT0XrvGGM-vytMP1OyDgAY&amp;q=site%3Alinkedin.com+Don+Dapkus+Applications+Engineering+Manager+Texas+Instruments" TargetMode="External"/><Relationship Id="rId132" Type="http://schemas.openxmlformats.org/officeDocument/2006/relationships/hyperlink" Target="https://www.google.com/search?newwindow=1&amp;ei=2MT0XrvGGM-vytMP1OyDgAY&amp;q=site%3Alinkedin.com+Alexa+Migton+Campus+Recruiter+Bank+of+America" TargetMode="External"/><Relationship Id="rId374" Type="http://schemas.openxmlformats.org/officeDocument/2006/relationships/hyperlink" Target="https://www.google.com/search?newwindow=1&amp;ei=2MT0XrvGGM-vytMP1OyDgAY&amp;q=site%3Alinkedin.com+Amy+Mait+Campus+Recruiter+Ernst+&amp;+Young" TargetMode="External"/><Relationship Id="rId1084" Type="http://schemas.openxmlformats.org/officeDocument/2006/relationships/hyperlink" Target="https://www.google.com/search?newwindow=1&amp;ei=2MT0XrvGGM-vytMP1OyDgAY&amp;q=site%3Alinkedin.com+Brian+Park+Strategic+Account+Manager+Texas+Instruments" TargetMode="External"/><Relationship Id="rId131" Type="http://schemas.openxmlformats.org/officeDocument/2006/relationships/hyperlink" Target="https://www.google.com/search?newwindow=1&amp;ei=2MT0XrvGGM-vytMP1OyDgAY&amp;q=site%3Alinkedin.com+Jessica+Sheldon+Campus+Recruiter+Bank+of+America" TargetMode="External"/><Relationship Id="rId373" Type="http://schemas.openxmlformats.org/officeDocument/2006/relationships/hyperlink" Target="https://www.google.com/search?newwindow=1&amp;ei=2MT0XrvGGM-vytMP1OyDgAY&amp;q=site%3Alinkedin.com+Stephanie+Lopez+Campus+Recruiter+Ernst+&amp;+Young" TargetMode="External"/><Relationship Id="rId1085" Type="http://schemas.openxmlformats.org/officeDocument/2006/relationships/hyperlink" Target="https://www.google.com/search?newwindow=1&amp;ei=2MT0XrvGGM-vytMP1OyDgAY&amp;q=site%3Alinkedin.com+Terry+La+Fleur+University+of+Michigan+Recruiter+Texas+Instruments" TargetMode="External"/><Relationship Id="rId130" Type="http://schemas.openxmlformats.org/officeDocument/2006/relationships/hyperlink" Target="https://www.google.com/search?newwindow=1&amp;ei=2MT0XrvGGM-vytMP1OyDgAY&amp;q=site%3Alinkedin.com+Noelle+Mattessich+Campus+Recruiter+-+Global+Banking+and+Markets+Bank+of+America" TargetMode="External"/><Relationship Id="rId372" Type="http://schemas.openxmlformats.org/officeDocument/2006/relationships/hyperlink" Target="https://www.google.com/search?newwindow=1&amp;ei=2MT0XrvGGM-vytMP1OyDgAY&amp;q=site%3Alinkedin.com+Roxanne+Jackson+Campus+Recruiter-+Diversity+Ernst+&amp;+Young" TargetMode="External"/><Relationship Id="rId1086" Type="http://schemas.openxmlformats.org/officeDocument/2006/relationships/hyperlink" Target="https://www.google.com/search?newwindow=1&amp;ei=2MT0XrvGGM-vytMP1OyDgAY&amp;q=site%3Alinkedin.com+Kalie+Dyer+Area+Manager+and+Campus+Recruiter+The+Buckle" TargetMode="External"/><Relationship Id="rId371" Type="http://schemas.openxmlformats.org/officeDocument/2006/relationships/hyperlink" Target="https://www.google.com/search?newwindow=1&amp;ei=2MT0XrvGGM-vytMP1OyDgAY&amp;q=site%3Alinkedin.com+Michelle+J.+Maynor+Campus+Recruiter+Coordinator+Ernst+&amp;+Young" TargetMode="External"/><Relationship Id="rId1087" Type="http://schemas.openxmlformats.org/officeDocument/2006/relationships/hyperlink" Target="https://www.google.com/search?newwindow=1&amp;ei=2MT0XrvGGM-vytMP1OyDgAY&amp;q=site%3Alinkedin.com+Abby+Anderson+Store+Manager/Campus+Recruiter+The+Buckle" TargetMode="External"/><Relationship Id="rId136" Type="http://schemas.openxmlformats.org/officeDocument/2006/relationships/hyperlink" Target="https://www.google.com/search?newwindow=1&amp;ei=2MT0XrvGGM-vytMP1OyDgAY&amp;q=site%3Alinkedin.com+Jennie+Montoya+Campus+Recruiter+Bank+of+America" TargetMode="External"/><Relationship Id="rId378" Type="http://schemas.openxmlformats.org/officeDocument/2006/relationships/hyperlink" Target="https://www.google.com/search?newwindow=1&amp;ei=2MT0XrvGGM-vytMP1OyDgAY&amp;q=site%3Alinkedin.com+Julie+Benner+Campus+Recruiting+Manager+Ernst+&amp;+Young" TargetMode="External"/><Relationship Id="rId1088" Type="http://schemas.openxmlformats.org/officeDocument/2006/relationships/hyperlink" Target="https://www.google.com/search?newwindow=1&amp;ei=2MT0XrvGGM-vytMP1OyDgAY&amp;q=site%3Alinkedin.com+Brooke+Fair+Manager+and+Campus+Recruiter+The+Buckle" TargetMode="External"/><Relationship Id="rId135" Type="http://schemas.openxmlformats.org/officeDocument/2006/relationships/hyperlink" Target="https://www.google.com/search?newwindow=1&amp;ei=2MT0XrvGGM-vytMP1OyDgAY&amp;q=site%3Alinkedin.com+Gail+Diaz+Campus+Recruiter+Bank+of+America" TargetMode="External"/><Relationship Id="rId377" Type="http://schemas.openxmlformats.org/officeDocument/2006/relationships/hyperlink" Target="https://www.google.com/search?newwindow=1&amp;ei=2MT0XrvGGM-vytMP1OyDgAY&amp;q=site%3Alinkedin.com+Christyn+Benzle+Campus+Recruiter+Ernst+&amp;+Young" TargetMode="External"/><Relationship Id="rId1089" Type="http://schemas.openxmlformats.org/officeDocument/2006/relationships/hyperlink" Target="https://www.google.com/search?newwindow=1&amp;ei=2MT0XrvGGM-vytMP1OyDgAY&amp;q=site%3Alinkedin.com+Brittany+Barnes+Manager/Campus+Recruiter+The+Buckle" TargetMode="External"/><Relationship Id="rId134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376" Type="http://schemas.openxmlformats.org/officeDocument/2006/relationships/hyperlink" Target="https://www.google.com/search?newwindow=1&amp;ei=2MT0XrvGGM-vytMP1OyDgAY&amp;q=site%3Alinkedin.com+Maggie+Lemmel+Campus+Recruiter+Ernst+&amp;+Young" TargetMode="External"/><Relationship Id="rId133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375" Type="http://schemas.openxmlformats.org/officeDocument/2006/relationships/hyperlink" Target="https://www.google.com/search?newwindow=1&amp;ei=2MT0XrvGGM-vytMP1OyDgAY&amp;q=site%3Alinkedin.com+Kaitlin+Kunsman+Campus+Recruiter+Ernst+&amp;+Young" TargetMode="External"/><Relationship Id="rId172" Type="http://schemas.openxmlformats.org/officeDocument/2006/relationships/hyperlink" Target="https://www.google.com/search?newwindow=1&amp;ei=2MT0XrvGGM-vytMP1OyDgAY&amp;q=site%3Alinkedin.com+Leslie+Benson+Enterprise+Finance+and+Strategy+Advisor+&amp;+Learning+Program+Manager+(Dual+Role)+Boeing" TargetMode="External"/><Relationship Id="rId171" Type="http://schemas.openxmlformats.org/officeDocument/2006/relationships/hyperlink" Target="https://www.google.com/search?newwindow=1&amp;ei=2MT0XrvGGM-vytMP1OyDgAY&amp;q=site%3Alinkedin.com+Brady+Pahukoa+College+Recruiter+II+Boeing" TargetMode="External"/><Relationship Id="rId170" Type="http://schemas.openxmlformats.org/officeDocument/2006/relationships/hyperlink" Target="https://www.google.com/search?newwindow=1&amp;ei=2MT0XrvGGM-vytMP1OyDgAY&amp;q=site%3Alinkedin.com+Daniel+Aikens+Senior+University+Recruiter+Boeing" TargetMode="External"/><Relationship Id="rId165" Type="http://schemas.openxmlformats.org/officeDocument/2006/relationships/hyperlink" Target="https://www.google.com/search?newwindow=1&amp;ei=2MT0XrvGGM-vytMP1OyDgAY&amp;q=site%3Alinkedin.com+Kristi+Newton+Interim+Global+Head+of+Campus+Recruiting+&amp;+Emerging+Talent+Programs+BNY+Mellon" TargetMode="External"/><Relationship Id="rId164" Type="http://schemas.openxmlformats.org/officeDocument/2006/relationships/hyperlink" Target="https://www.google.com/search?newwindow=1&amp;ei=2MT0XrvGGM-vytMP1OyDgAY&amp;q=site%3Alinkedin.com+Ashley+Wodarek+Lead+Technology+Campus+Recruiter+BNY+Mellon" TargetMode="External"/><Relationship Id="rId163" Type="http://schemas.openxmlformats.org/officeDocument/2006/relationships/hyperlink" Target="https://www.google.com/search?newwindow=1&amp;ei=2MT0XrvGGM-vytMP1OyDgAY&amp;q=site%3Alinkedin.com+Jeena+Park+Engineering+Campus+Recruiter+Bloomberg+LP" TargetMode="External"/><Relationship Id="rId162" Type="http://schemas.openxmlformats.org/officeDocument/2006/relationships/hyperlink" Target="https://www.google.com/search?newwindow=1&amp;ei=2MT0XrvGGM-vytMP1OyDgAY&amp;q=site%3Alinkedin.com+Jordan+Allison+Campus+Recruiter+Bloomberg+LP" TargetMode="External"/><Relationship Id="rId169" Type="http://schemas.openxmlformats.org/officeDocument/2006/relationships/hyperlink" Target="https://www.google.com/search?newwindow=1&amp;ei=2MT0XrvGGM-vytMP1OyDgAY&amp;q=site%3Alinkedin.com+Tamara+Shilipetar+College+Recruiter+Boeing" TargetMode="External"/><Relationship Id="rId168" Type="http://schemas.openxmlformats.org/officeDocument/2006/relationships/hyperlink" Target="https://www.google.com/search?newwindow=1&amp;ei=2MT0XrvGGM-vytMP1OyDgAY&amp;q=site%3Alinkedin.com+Mark+Lyden+College+Recruiter+Boeing" TargetMode="External"/><Relationship Id="rId167" Type="http://schemas.openxmlformats.org/officeDocument/2006/relationships/hyperlink" Target="https://www.google.com/search?newwindow=1&amp;ei=2MT0XrvGGM-vytMP1OyDgAY&amp;q=site%3Alinkedin.com+Olivia+Waldron+Global+Program+Manager-+Operations+Campus+Analyst+Program+BNY+Mellon" TargetMode="External"/><Relationship Id="rId166" Type="http://schemas.openxmlformats.org/officeDocument/2006/relationships/hyperlink" Target="https://www.google.com/search?newwindow=1&amp;ei=2MT0XrvGGM-vytMP1OyDgAY&amp;q=site%3Alinkedin.com+Matthew+Veseleny+Lead+Campus+Recruiter+BNY+Mellon" TargetMode="External"/><Relationship Id="rId161" Type="http://schemas.openxmlformats.org/officeDocument/2006/relationships/hyperlink" Target="https://www.google.com/search?newwindow=1&amp;ei=2MT0XrvGGM-vytMP1OyDgAY&amp;q=site%3Alinkedin.com+Brittany+Rodriguez+Campus+Recruiter+Bloomberg+LP" TargetMode="External"/><Relationship Id="rId160" Type="http://schemas.openxmlformats.org/officeDocument/2006/relationships/hyperlink" Target="https://www.google.com/search?newwindow=1&amp;ei=2MT0XrvGGM-vytMP1OyDgAY&amp;q=site%3Alinkedin.com+Alexa+Perrelli+Engineering+Campus+Recruiter+Bloomberg+LP" TargetMode="External"/><Relationship Id="rId159" Type="http://schemas.openxmlformats.org/officeDocument/2006/relationships/hyperlink" Target="https://www.google.com/search?newwindow=1&amp;ei=2MT0XrvGGM-vytMP1OyDgAY&amp;q=site%3Alinkedin.com+Annie+Kadets+Campus+Recruiter+Bloomberg+LP" TargetMode="External"/><Relationship Id="rId154" Type="http://schemas.openxmlformats.org/officeDocument/2006/relationships/hyperlink" Target="https://www.google.com/search?newwindow=1&amp;ei=2MT0XrvGGM-vytMP1OyDgAY&amp;q=site%3Alinkedin.com+Justine+Bellew+Campus+Recruiter+Bloomberg+LP" TargetMode="External"/><Relationship Id="rId396" Type="http://schemas.openxmlformats.org/officeDocument/2006/relationships/hyperlink" Target="https://www.google.com/search?newwindow=1&amp;ei=2MT0XrvGGM-vytMP1OyDgAY&amp;q=site%3Alinkedin.com+Lauren+Thornton+Campus+Recruiter+EY" TargetMode="External"/><Relationship Id="rId153" Type="http://schemas.openxmlformats.org/officeDocument/2006/relationships/hyperlink" Target="https://www.google.com/search?newwindow=1&amp;ei=2MT0XrvGGM-vytMP1OyDgAY&amp;q=site%3Alinkedin.com+Monica+D.+Engineering+Campus+&amp;+Diversity+Recruiter+Bloomberg+LP" TargetMode="External"/><Relationship Id="rId395" Type="http://schemas.openxmlformats.org/officeDocument/2006/relationships/hyperlink" Target="https://www.google.com/search?newwindow=1&amp;ei=2MT0XrvGGM-vytMP1OyDgAY&amp;q=site%3Alinkedin.com+Katie+Mullaney+Campus+Recruiter+EY" TargetMode="External"/><Relationship Id="rId152" Type="http://schemas.openxmlformats.org/officeDocument/2006/relationships/hyperlink" Target="https://www.google.com/search?newwindow=1&amp;ei=2MT0XrvGGM-vytMP1OyDgAY&amp;q=site%3Alinkedin.com+Stephanie+Santora+Campus+Recruiter+Bloomberg+LP" TargetMode="External"/><Relationship Id="rId394" Type="http://schemas.openxmlformats.org/officeDocument/2006/relationships/hyperlink" Target="https://www.google.com/search?newwindow=1&amp;ei=2MT0XrvGGM-vytMP1OyDgAY&amp;q=site%3Alinkedin.com+Jennifer+Nienberg+Campus+Recruiter+EY" TargetMode="External"/><Relationship Id="rId151" Type="http://schemas.openxmlformats.org/officeDocument/2006/relationships/hyperlink" Target="https://www.google.com/search?newwindow=1&amp;ei=2MT0XrvGGM-vytMP1OyDgAY&amp;q=site%3Alinkedin.com+JAMILLA+SMITH+Sr.+Campus+Recruiter+Bloomberg+LP" TargetMode="External"/><Relationship Id="rId393" Type="http://schemas.openxmlformats.org/officeDocument/2006/relationships/hyperlink" Target="https://www.google.com/search?newwindow=1&amp;ei=2MT0XrvGGM-vytMP1OyDgAY&amp;q=site%3Alinkedin.com+Ally+Yawman+Campus+Recruiter+EY" TargetMode="External"/><Relationship Id="rId158" Type="http://schemas.openxmlformats.org/officeDocument/2006/relationships/hyperlink" Target="https://www.google.com/search?newwindow=1&amp;ei=2MT0XrvGGM-vytMP1OyDgAY&amp;q=site%3Alinkedin.com+Bianca+Martinez+Engineering+Campus+Recruiter+Bloomberg+LP" TargetMode="External"/><Relationship Id="rId157" Type="http://schemas.openxmlformats.org/officeDocument/2006/relationships/hyperlink" Target="https://www.google.com/search?newwindow=1&amp;ei=2MT0XrvGGM-vytMP1OyDgAY&amp;q=site%3Alinkedin.com+Ashley+Redus+Engineering+Campus+Recruiter+Bloomberg+LP" TargetMode="External"/><Relationship Id="rId399" Type="http://schemas.openxmlformats.org/officeDocument/2006/relationships/hyperlink" Target="https://www.google.com/search?newwindow=1&amp;ei=2MT0XrvGGM-vytMP1OyDgAY&amp;q=site%3Alinkedin.com+Erin+Green+Campus+Recruiting+Manager+EY" TargetMode="External"/><Relationship Id="rId156" Type="http://schemas.openxmlformats.org/officeDocument/2006/relationships/hyperlink" Target="https://www.google.com/search?newwindow=1&amp;ei=2MT0XrvGGM-vytMP1OyDgAY&amp;q=site%3Alinkedin.com+Jinny+Rhieu+Engineering+Campus+Recruiter+Bloomberg+LP" TargetMode="External"/><Relationship Id="rId398" Type="http://schemas.openxmlformats.org/officeDocument/2006/relationships/hyperlink" Target="https://www.google.com/search?newwindow=1&amp;ei=2MT0XrvGGM-vytMP1OyDgAY&amp;q=site%3Alinkedin.com+Lorene+Santos+Rabelo+Campus+Recruiter+EY" TargetMode="External"/><Relationship Id="rId155" Type="http://schemas.openxmlformats.org/officeDocument/2006/relationships/hyperlink" Target="https://www.google.com/search?newwindow=1&amp;ei=2MT0XrvGGM-vytMP1OyDgAY&amp;q=site%3Alinkedin.com+Amy+Petcoff+Engineering+Campus+Recruiter+Bloomberg+LP" TargetMode="External"/><Relationship Id="rId397" Type="http://schemas.openxmlformats.org/officeDocument/2006/relationships/hyperlink" Target="https://www.google.com/search?newwindow=1&amp;ei=2MT0XrvGGM-vytMP1OyDgAY&amp;q=site%3Alinkedin.com+Yasmin+Xavier+Campus+Recruiter+EY" TargetMode="External"/><Relationship Id="rId808" Type="http://schemas.openxmlformats.org/officeDocument/2006/relationships/hyperlink" Target="https://www.google.com/search?newwindow=1&amp;ei=2MT0XrvGGM-vytMP1OyDgAY&amp;q=site%3Alinkedin.com+Samne+Reyna+University+Recruiter+Microsoft" TargetMode="External"/><Relationship Id="rId807" Type="http://schemas.openxmlformats.org/officeDocument/2006/relationships/hyperlink" Target="https://www.google.com/search?newwindow=1&amp;ei=2MT0XrvGGM-vytMP1OyDgAY&amp;q=site%3Alinkedin.com+Alison+Anthony+University+Recruiter+Microsoft" TargetMode="External"/><Relationship Id="rId806" Type="http://schemas.openxmlformats.org/officeDocument/2006/relationships/hyperlink" Target="https://www.google.com/search?newwindow=1&amp;ei=2MT0XrvGGM-vytMP1OyDgAY&amp;q=site%3Alinkedin.com+Jeffrey+G.+University+Recruiter+Microsoft" TargetMode="External"/><Relationship Id="rId805" Type="http://schemas.openxmlformats.org/officeDocument/2006/relationships/hyperlink" Target="https://www.google.com/search?newwindow=1&amp;ei=2MT0XrvGGM-vytMP1OyDgAY&amp;q=site%3Alinkedin.com+Lauren+Araujo+University+UX+++PM+Recruiter+Microsoft" TargetMode="External"/><Relationship Id="rId809" Type="http://schemas.openxmlformats.org/officeDocument/2006/relationships/hyperlink" Target="https://www.google.com/search?newwindow=1&amp;ei=2MT0XrvGGM-vytMP1OyDgAY&amp;q=site%3Alinkedin.com+Tony+Martinez+Technical+University+Recruiter+Microsoft" TargetMode="External"/><Relationship Id="rId800" Type="http://schemas.openxmlformats.org/officeDocument/2006/relationships/hyperlink" Target="https://www.google.com/search?newwindow=1&amp;ei=2MT0XrvGGM-vytMP1OyDgAY&amp;q=site%3Alinkedin.com+Ellen+Thorley+University+Technical+Recruiter+Microsoft" TargetMode="External"/><Relationship Id="rId804" Type="http://schemas.openxmlformats.org/officeDocument/2006/relationships/hyperlink" Target="https://www.google.com/search?newwindow=1&amp;ei=2MT0XrvGGM-vytMP1OyDgAY&amp;q=site%3Alinkedin.com+Connor+Ingerowski+Technical+University+Recruiter+Microsoft" TargetMode="External"/><Relationship Id="rId803" Type="http://schemas.openxmlformats.org/officeDocument/2006/relationships/hyperlink" Target="https://www.google.com/search?newwindow=1&amp;ei=2MT0XrvGGM-vytMP1OyDgAY&amp;q=site%3Alinkedin.com+Stanford+Savant+Stanford+University+Recruiter+Microsoft" TargetMode="External"/><Relationship Id="rId802" Type="http://schemas.openxmlformats.org/officeDocument/2006/relationships/hyperlink" Target="https://www.google.com/search?newwindow=1&amp;ei=2MT0XrvGGM-vytMP1OyDgAY&amp;q=site%3Alinkedin.com+Debarati+Nag+University+Recruiter+Microsoft" TargetMode="External"/><Relationship Id="rId801" Type="http://schemas.openxmlformats.org/officeDocument/2006/relationships/hyperlink" Target="https://www.google.com/search?newwindow=1&amp;ei=2MT0XrvGGM-vytMP1OyDgAY&amp;q=site%3Alinkedin.com+Jordan+Greene+University+Recruiter+(Closer)+Microsoft" TargetMode="External"/><Relationship Id="rId40" Type="http://schemas.openxmlformats.org/officeDocument/2006/relationships/hyperlink" Target="https://www.google.com/search?newwindow=1&amp;ei=2MT0XrvGGM-vytMP1OyDgAY&amp;q=site%3Alinkedin.com+Rory+Merrill+Campus+Recruiter+Accenture" TargetMode="External"/><Relationship Id="rId42" Type="http://schemas.openxmlformats.org/officeDocument/2006/relationships/hyperlink" Target="https://www.google.com/search?newwindow=1&amp;ei=2MT0XrvGGM-vytMP1OyDgAY&amp;q=site%3Alinkedin.com+Mark+Acquaye+Diversity+Campus+Recruiter+Accenture" TargetMode="External"/><Relationship Id="rId41" Type="http://schemas.openxmlformats.org/officeDocument/2006/relationships/hyperlink" Target="https://www.google.com/search?newwindow=1&amp;ei=2MT0XrvGGM-vytMP1OyDgAY&amp;q=site%3Alinkedin.com+Caroline+Shook+Campus+Recruiter+Accenture" TargetMode="External"/><Relationship Id="rId44" Type="http://schemas.openxmlformats.org/officeDocument/2006/relationships/hyperlink" Target="https://www.google.com/search?newwindow=1&amp;ei=2MT0XrvGGM-vytMP1OyDgAY&amp;q=site%3Alinkedin.com+Lexi+Lubin+Campus+Recruiter+Accenture+Federal+Services" TargetMode="External"/><Relationship Id="rId43" Type="http://schemas.openxmlformats.org/officeDocument/2006/relationships/hyperlink" Target="https://www.google.com/search?newwindow=1&amp;ei=2MT0XrvGGM-vytMP1OyDgAY&amp;q=site%3Alinkedin.com+Samantha+Meason+Campus+Recruiter+Accenture+Federal+Services" TargetMode="External"/><Relationship Id="rId46" Type="http://schemas.openxmlformats.org/officeDocument/2006/relationships/hyperlink" Target="https://www.google.com/search?newwindow=1&amp;ei=2MT0XrvGGM-vytMP1OyDgAY&amp;q=site%3Alinkedin.com+JoAnne+Jean-Noel+Campus+Recruiter+Allstate" TargetMode="External"/><Relationship Id="rId45" Type="http://schemas.openxmlformats.org/officeDocument/2006/relationships/hyperlink" Target="https://www.google.com/search?newwindow=1&amp;ei=2MT0XrvGGM-vytMP1OyDgAY&amp;q=site%3Alinkedin.com+Brandon+Moore+Senior+Campus+Recruiter+Accenture+Strategy" TargetMode="External"/><Relationship Id="rId509" Type="http://schemas.openxmlformats.org/officeDocument/2006/relationships/hyperlink" Target="https://www.google.com/search?newwindow=1&amp;ei=2MT0XrvGGM-vytMP1OyDgAY&amp;q=site%3Alinkedin.com+Jessica+Ritter+LTU+Campus+Recruiter+Ford+Motor+Company" TargetMode="External"/><Relationship Id="rId508" Type="http://schemas.openxmlformats.org/officeDocument/2006/relationships/hyperlink" Target="https://www.google.com/search?newwindow=1&amp;ei=2MT0XrvGGM-vytMP1OyDgAY&amp;q=site%3Alinkedin.com+Shae+Lorenc+Campus+Recruiter+Ford+Motor+Company" TargetMode="External"/><Relationship Id="rId503" Type="http://schemas.openxmlformats.org/officeDocument/2006/relationships/hyperlink" Target="https://www.google.com/search?newwindow=1&amp;ei=2MT0XrvGGM-vytMP1OyDgAY&amp;q=site%3Alinkedin.com+Christina+Koike+University+Recruiter+Facebook" TargetMode="External"/><Relationship Id="rId745" Type="http://schemas.openxmlformats.org/officeDocument/2006/relationships/hyperlink" Target="https://www.google.com/search?newwindow=1&amp;ei=2MT0XrvGGM-vytMP1OyDgAY&amp;q=site%3Alinkedin.com+Christian+De+Luna+Campus+Business+Recruiter+LinkedIn" TargetMode="External"/><Relationship Id="rId987" Type="http://schemas.openxmlformats.org/officeDocument/2006/relationships/hyperlink" Target="https://www.google.com/search?newwindow=1&amp;ei=2MT0XrvGGM-vytMP1OyDgAY&amp;q=site%3Alinkedin.com+Aimee+Williams+Sr.+Campus+Recruiter+RSM+US+LLP" TargetMode="External"/><Relationship Id="rId502" Type="http://schemas.openxmlformats.org/officeDocument/2006/relationships/hyperlink" Target="https://www.google.com/search?newwindow=1&amp;ei=2MT0XrvGGM-vytMP1OyDgAY&amp;q=site%3Alinkedin.com+Hayley+Mesojednik+University+Recruiter+-+Early+Career+Facebook" TargetMode="External"/><Relationship Id="rId744" Type="http://schemas.openxmlformats.org/officeDocument/2006/relationships/hyperlink" Target="https://www.google.com/search?newwindow=1&amp;ei=2MT0XrvGGM-vytMP1OyDgAY&amp;q=site%3Alinkedin.com+Andie+Summers+Campus+Recruiter+LinkedIn" TargetMode="External"/><Relationship Id="rId986" Type="http://schemas.openxmlformats.org/officeDocument/2006/relationships/hyperlink" Target="https://www.google.com/search?newwindow=1&amp;ei=2MT0XrvGGM-vytMP1OyDgAY&amp;q=site%3Alinkedin.com+Amber+Campbell+Talent+Acquisition+-+Senior+Campus+Recruiter+RSM+US+LLP" TargetMode="External"/><Relationship Id="rId501" Type="http://schemas.openxmlformats.org/officeDocument/2006/relationships/hyperlink" Target="https://www.google.com/search?newwindow=1&amp;ei=2MT0XrvGGM-vytMP1OyDgAY&amp;q=site%3Alinkedin.com+Bill+Haughney+University+Recruiter+Facebook" TargetMode="External"/><Relationship Id="rId743" Type="http://schemas.openxmlformats.org/officeDocument/2006/relationships/hyperlink" Target="https://www.google.com/search?newwindow=1&amp;ei=2MT0XrvGGM-vytMP1OyDgAY&amp;q=site%3Alinkedin.com+Son+Nguyen+Senior+Lead+Campus+Recruiter+LinkedIn" TargetMode="External"/><Relationship Id="rId985" Type="http://schemas.openxmlformats.org/officeDocument/2006/relationships/hyperlink" Target="https://www.google.com/search?newwindow=1&amp;ei=2MT0XrvGGM-vytMP1OyDgAY&amp;q=site%3Alinkedin.com+Hayley+Johnson+Sr.+Campus+Recruiter+-+Audit+&amp;+Tax+RSM+US+LLP" TargetMode="External"/><Relationship Id="rId500" Type="http://schemas.openxmlformats.org/officeDocument/2006/relationships/hyperlink" Target="https://www.google.com/search?newwindow=1&amp;ei=2MT0XrvGGM-vytMP1OyDgAY&amp;q=site%3Alinkedin.com+Stefanie+Chorianopoulos+Full+Cycle+University+Recruiter+Facebook" TargetMode="External"/><Relationship Id="rId742" Type="http://schemas.openxmlformats.org/officeDocument/2006/relationships/hyperlink" Target="https://www.google.com/search?newwindow=1&amp;ei=2MT0XrvGGM-vytMP1OyDgAY&amp;q=site%3Alinkedin.com+Ivy+Hopkins+Campus+Recruiter+LinkedIn" TargetMode="External"/><Relationship Id="rId984" Type="http://schemas.openxmlformats.org/officeDocument/2006/relationships/hyperlink" Target="https://www.google.com/search?newwindow=1&amp;ei=2MT0XrvGGM-vytMP1OyDgAY&amp;q=site%3Alinkedin.com+Shanna+Naeole+Senior+Campus+Recruiter+RSM+US+LLP" TargetMode="External"/><Relationship Id="rId507" Type="http://schemas.openxmlformats.org/officeDocument/2006/relationships/hyperlink" Target="https://www.google.com/search?newwindow=1&amp;ei=2MT0XrvGGM-vytMP1OyDgAY&amp;q=site%3Alinkedin.com+Rodney+Aziz+Senior+Product+Manager+-+Loyalty+Platforms+Ford+Motor+Company" TargetMode="External"/><Relationship Id="rId749" Type="http://schemas.openxmlformats.org/officeDocument/2006/relationships/hyperlink" Target="https://www.google.com/search?newwindow=1&amp;ei=2MT0XrvGGM-vytMP1OyDgAY&amp;q=site%3Alinkedin.com+Kyle+Stai+University+Recruiter+Lockheed+Martin" TargetMode="External"/><Relationship Id="rId506" Type="http://schemas.openxmlformats.org/officeDocument/2006/relationships/hyperlink" Target="https://www.google.com/search?newwindow=1&amp;ei=2MT0XrvGGM-vytMP1OyDgAY&amp;q=site%3Alinkedin.com+Konnie+H.+University+Recruiter+Facebook" TargetMode="External"/><Relationship Id="rId748" Type="http://schemas.openxmlformats.org/officeDocument/2006/relationships/hyperlink" Target="https://www.google.com/search?newwindow=1&amp;ei=2MT0XrvGGM-vytMP1OyDgAY&amp;q=site%3Alinkedin.com+Patrick+Dinsmoor+Campus+Recruiter+Lockheed+Martin" TargetMode="External"/><Relationship Id="rId505" Type="http://schemas.openxmlformats.org/officeDocument/2006/relationships/hyperlink" Target="https://www.google.com/search?newwindow=1&amp;ei=2MT0XrvGGM-vytMP1OyDgAY&amp;q=site%3Alinkedin.com+Carmen+Ng+University+Recruiter+Facebook" TargetMode="External"/><Relationship Id="rId747" Type="http://schemas.openxmlformats.org/officeDocument/2006/relationships/hyperlink" Target="https://www.google.com/search?newwindow=1&amp;ei=2MT0XrvGGM-vytMP1OyDgAY&amp;q=site%3Alinkedin.com+Harmoni+Johnson+College+Recruiter+Lockheed+Martin" TargetMode="External"/><Relationship Id="rId989" Type="http://schemas.openxmlformats.org/officeDocument/2006/relationships/hyperlink" Target="https://www.google.com/search?newwindow=1&amp;ei=2MT0XrvGGM-vytMP1OyDgAY&amp;q=site%3Alinkedin.com+Tara+Skrla+Consulting+Campus+Recruiter+-+Senior+Associate+RSM+US+LLP" TargetMode="External"/><Relationship Id="rId504" Type="http://schemas.openxmlformats.org/officeDocument/2006/relationships/hyperlink" Target="https://www.google.com/search?newwindow=1&amp;ei=2MT0XrvGGM-vytMP1OyDgAY&amp;q=site%3Alinkedin.com+Krystle+Sanchez+University+Recruiter+Facebook" TargetMode="External"/><Relationship Id="rId746" Type="http://schemas.openxmlformats.org/officeDocument/2006/relationships/hyperlink" Target="https://www.google.com/search?newwindow=1&amp;ei=2MT0XrvGGM-vytMP1OyDgAY&amp;q=site%3Alinkedin.com+Tamara+Evans+College+Recruiter+Lockheed+Martin" TargetMode="External"/><Relationship Id="rId988" Type="http://schemas.openxmlformats.org/officeDocument/2006/relationships/hyperlink" Target="https://www.google.com/search?newwindow=1&amp;ei=2MT0XrvGGM-vytMP1OyDgAY&amp;q=site%3Alinkedin.com+Leah+Gordon+Sr.+Campus+Recruiter+RSM+US+LLP" TargetMode="External"/><Relationship Id="rId48" Type="http://schemas.openxmlformats.org/officeDocument/2006/relationships/hyperlink" Target="https://www.google.com/search?newwindow=1&amp;ei=2MT0XrvGGM-vytMP1OyDgAY&amp;q=site%3Alinkedin.com+Madison+Bruchsaler+Campus+Recruiter+Allstate" TargetMode="External"/><Relationship Id="rId47" Type="http://schemas.openxmlformats.org/officeDocument/2006/relationships/hyperlink" Target="https://www.google.com/search?newwindow=1&amp;ei=2MT0XrvGGM-vytMP1OyDgAY&amp;q=site%3Alinkedin.com+Jillian+Farrell+Campus+Recruiting+Lead+Allstate" TargetMode="External"/><Relationship Id="rId49" Type="http://schemas.openxmlformats.org/officeDocument/2006/relationships/hyperlink" Target="https://www.google.com/search?newwindow=1&amp;ei=2MT0XrvGGM-vytMP1OyDgAY&amp;q=site%3Alinkedin.com+Candace+Gerads+Campus+Recruiter+Allstate" TargetMode="External"/><Relationship Id="rId741" Type="http://schemas.openxmlformats.org/officeDocument/2006/relationships/hyperlink" Target="https://www.google.com/search?newwindow=1&amp;ei=2MT0XrvGGM-vytMP1OyDgAY&amp;q=site%3Alinkedin.com+Trixie+Cordova+(she/her)+Campus+Recruiting+Global+Program+Manager+LinkedIn" TargetMode="External"/><Relationship Id="rId983" Type="http://schemas.openxmlformats.org/officeDocument/2006/relationships/hyperlink" Target="https://www.google.com/search?newwindow=1&amp;ei=2MT0XrvGGM-vytMP1OyDgAY&amp;q=site%3Alinkedin.com+Tiffany+Siu+University+Recruiter+Robinhood" TargetMode="External"/><Relationship Id="rId740" Type="http://schemas.openxmlformats.org/officeDocument/2006/relationships/hyperlink" Target="https://www.google.com/search?newwindow=1&amp;ei=2MT0XrvGGM-vytMP1OyDgAY&amp;q=site%3Alinkedin.com+Annie+McDonough+Campus+Recruiter+LinkedIn" TargetMode="External"/><Relationship Id="rId982" Type="http://schemas.openxmlformats.org/officeDocument/2006/relationships/hyperlink" Target="https://www.google.com/search?newwindow=1&amp;ei=2MT0XrvGGM-vytMP1OyDgAY&amp;q=site%3Alinkedin.com+Sam+Lee+University+Recruiter+Robinhood" TargetMode="External"/><Relationship Id="rId981" Type="http://schemas.openxmlformats.org/officeDocument/2006/relationships/hyperlink" Target="https://www.google.com/search?newwindow=1&amp;ei=2MT0XrvGGM-vytMP1OyDgAY&amp;q=site%3Alinkedin.com+Andrew+Yeung+Senior+University+Recruiter+Robinhood" TargetMode="External"/><Relationship Id="rId980" Type="http://schemas.openxmlformats.org/officeDocument/2006/relationships/hyperlink" Target="https://www.google.com/search?newwindow=1&amp;ei=2MT0XrvGGM-vytMP1OyDgAY&amp;q=site%3Alinkedin.com+Alvin+Hui+University+Recruiter+&amp;+Program+Manager+Robinhood" TargetMode="External"/><Relationship Id="rId31" Type="http://schemas.openxmlformats.org/officeDocument/2006/relationships/hyperlink" Target="https://www.google.com/search?newwindow=1&amp;ei=2MT0XrvGGM-vytMP1OyDgAY&amp;q=site%3Alinkedin.com+Courtney+Schroeder+Associate+Recruiter+-+Campus+Recruiting+Accenture" TargetMode="External"/><Relationship Id="rId30" Type="http://schemas.openxmlformats.org/officeDocument/2006/relationships/hyperlink" Target="https://www.google.com/search?newwindow=1&amp;ei=2MT0XrvGGM-vytMP1OyDgAY&amp;q=site%3Alinkedin.com+Rachel+McGrath+Sr.+Campus+Recruiter-+Strategy+Accenture" TargetMode="External"/><Relationship Id="rId33" Type="http://schemas.openxmlformats.org/officeDocument/2006/relationships/hyperlink" Target="https://www.google.com/search?newwindow=1&amp;ei=2MT0XrvGGM-vytMP1OyDgAY&amp;q=site%3Alinkedin.com+Suzie+Cochran+Campus+Recruiter+Accenture" TargetMode="External"/><Relationship Id="rId32" Type="http://schemas.openxmlformats.org/officeDocument/2006/relationships/hyperlink" Target="https://www.google.com/search?newwindow=1&amp;ei=2MT0XrvGGM-vytMP1OyDgAY&amp;q=site%3Alinkedin.com+Elsa+Wilcox+Campus+Recruiter+Accenture" TargetMode="External"/><Relationship Id="rId35" Type="http://schemas.openxmlformats.org/officeDocument/2006/relationships/hyperlink" Target="https://www.google.com/search?newwindow=1&amp;ei=2MT0XrvGGM-vytMP1OyDgAY&amp;q=site%3Alinkedin.com+Porsha+Alexander+Strategy+Campus+Recruiting+Associate+Manager+Accenture" TargetMode="External"/><Relationship Id="rId34" Type="http://schemas.openxmlformats.org/officeDocument/2006/relationships/hyperlink" Target="https://www.google.com/search?newwindow=1&amp;ei=2MT0XrvGGM-vytMP1OyDgAY&amp;q=site%3Alinkedin.com+Jessica+Steciw+Campus+Recruiter+Accenture" TargetMode="External"/><Relationship Id="rId739" Type="http://schemas.openxmlformats.org/officeDocument/2006/relationships/hyperlink" Target="https://www.google.com/search?newwindow=1&amp;ei=2MT0XrvGGM-vytMP1OyDgAY&amp;q=site%3Alinkedin.com+Cam+Pezet+Senior+Campus+Recruiter+LinkedIn" TargetMode="External"/><Relationship Id="rId734" Type="http://schemas.openxmlformats.org/officeDocument/2006/relationships/hyperlink" Target="https://www.google.com/search?newwindow=1&amp;ei=2MT0XrvGGM-vytMP1OyDgAY&amp;q=site%3Alinkedin.com+Kayla+Wheaton+Tech+Campus+Recruiter+Liberty+Mutual+Insurance" TargetMode="External"/><Relationship Id="rId976" Type="http://schemas.openxmlformats.org/officeDocument/2006/relationships/hyperlink" Target="https://www.google.com/search?newwindow=1&amp;ei=2MT0XrvGGM-vytMP1OyDgAY&amp;q=site%3Alinkedin.com+Erin+Pruitt+University+Programs+Recruiter+-+Raytheon+Intelligence+and+Space+Raytheon+Technologies" TargetMode="External"/><Relationship Id="rId733" Type="http://schemas.openxmlformats.org/officeDocument/2006/relationships/hyperlink" Target="https://www.google.com/search?newwindow=1&amp;ei=2MT0XrvGGM-vytMP1OyDgAY&amp;q=site%3Alinkedin.com+Amy+Ferreira+Campus+Recruiting+Manager+Liberty+Mutual+Insurance" TargetMode="External"/><Relationship Id="rId975" Type="http://schemas.openxmlformats.org/officeDocument/2006/relationships/hyperlink" Target="https://www.google.com/search?newwindow=1&amp;ei=2MT0XrvGGM-vytMP1OyDgAY&amp;q=site%3Alinkedin.com+Hazel+Y.+Lopez+University+Programs+Recruiter+Raytheon+Technologies" TargetMode="External"/><Relationship Id="rId732" Type="http://schemas.openxmlformats.org/officeDocument/2006/relationships/hyperlink" Target="https://www.google.com/search?newwindow=1&amp;ei=2MT0XrvGGM-vytMP1OyDgAY&amp;q=site%3Alinkedin.com+Alina+Vela+Campus+Recruiter+Liberty+Mutual+Insurance" TargetMode="External"/><Relationship Id="rId974" Type="http://schemas.openxmlformats.org/officeDocument/2006/relationships/hyperlink" Target="https://www.google.com/search?newwindow=1&amp;ei=2MT0XrvGGM-vytMP1OyDgAY&amp;q=site%3Alinkedin.com+Lexi+Casarez+University+Programs+Recruiter+at+Raytheon+Missiles+&amp;+Defense+Raytheon+Missiles+&amp;+Defense" TargetMode="External"/><Relationship Id="rId731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973" Type="http://schemas.openxmlformats.org/officeDocument/2006/relationships/hyperlink" Target="https://www.google.com/search?newwindow=1&amp;ei=2MT0XrvGGM-vytMP1OyDgAY&amp;q=site%3Alinkedin.com+Jennifer+Rhodes+University+Programs+Recruiter+Raytheon" TargetMode="External"/><Relationship Id="rId738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737" Type="http://schemas.openxmlformats.org/officeDocument/2006/relationships/hyperlink" Target="https://www.google.com/search?newwindow=1&amp;ei=2MT0XrvGGM-vytMP1OyDgAY&amp;q=site%3Alinkedin.com+Alyssa+Nogueira+Campus+Recruiter+Liberty+Mutual+Insurance" TargetMode="External"/><Relationship Id="rId979" Type="http://schemas.openxmlformats.org/officeDocument/2006/relationships/hyperlink" Target="https://www.google.com/search?newwindow=1&amp;ei=2MT0XrvGGM-vytMP1OyDgAY&amp;q=site%3Alinkedin.com+Amy+Rosenblum+University+Programs+Recruiter+Raytheon+Technologies" TargetMode="External"/><Relationship Id="rId736" Type="http://schemas.openxmlformats.org/officeDocument/2006/relationships/hyperlink" Target="https://www.google.com/search?newwindow=1&amp;ei=2MT0XrvGGM-vytMP1OyDgAY&amp;q=site%3Alinkedin.com+Steven+Carnevale+Campus+Recruiter+Liberty+Mutual+Insurance" TargetMode="External"/><Relationship Id="rId978" Type="http://schemas.openxmlformats.org/officeDocument/2006/relationships/hyperlink" Target="https://www.google.com/search?newwindow=1&amp;ei=2MT0XrvGGM-vytMP1OyDgAY&amp;q=site%3Alinkedin.com+Kevin+Lohmeier+Campus+Recruiting+Manager+-+University+of+Arizona+Raytheon+Technologies" TargetMode="External"/><Relationship Id="rId735" Type="http://schemas.openxmlformats.org/officeDocument/2006/relationships/hyperlink" Target="https://www.google.com/search?newwindow=1&amp;ei=2MT0XrvGGM-vytMP1OyDgAY&amp;q=site%3Alinkedin.com+Natalie+Landry+Senior+Campus+Recruiter+Liberty+Mutual+Insurance" TargetMode="External"/><Relationship Id="rId977" Type="http://schemas.openxmlformats.org/officeDocument/2006/relationships/hyperlink" Target="https://www.google.com/search?newwindow=1&amp;ei=2MT0XrvGGM-vytMP1OyDgAY&amp;q=site%3Alinkedin.com+LaToya+Johnson+University+Programs+Recruiter+Raytheon+Technologies" TargetMode="External"/><Relationship Id="rId37" Type="http://schemas.openxmlformats.org/officeDocument/2006/relationships/hyperlink" Target="https://www.google.com/search?newwindow=1&amp;ei=2MT0XrvGGM-vytMP1OyDgAY&amp;q=site%3Alinkedin.com+Keyanea+Marrow+Campus+Recruiter+Accenture" TargetMode="External"/><Relationship Id="rId36" Type="http://schemas.openxmlformats.org/officeDocument/2006/relationships/hyperlink" Target="https://www.google.com/search?newwindow=1&amp;ei=2MT0XrvGGM-vytMP1OyDgAY&amp;q=site%3Alinkedin.com+Taylor+Spikes+Strategy+Campus+Recruiter+Accenture" TargetMode="External"/><Relationship Id="rId39" Type="http://schemas.openxmlformats.org/officeDocument/2006/relationships/hyperlink" Target="https://www.google.com/search?newwindow=1&amp;ei=2MT0XrvGGM-vytMP1OyDgAY&amp;q=site%3Alinkedin.com+Alejandra+Mora+Campus+Recruiter+Accenture" TargetMode="External"/><Relationship Id="rId38" Type="http://schemas.openxmlformats.org/officeDocument/2006/relationships/hyperlink" Target="https://www.google.com/search?newwindow=1&amp;ei=2MT0XrvGGM-vytMP1OyDgAY&amp;q=site%3Alinkedin.com+Catherine+Halcewicz+Pleskaczewski+Campus+Recruiter+Accenture" TargetMode="External"/><Relationship Id="rId730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972" Type="http://schemas.openxmlformats.org/officeDocument/2006/relationships/hyperlink" Target="https://www.google.com/search?newwindow=1&amp;ei=2MT0XrvGGM-vytMP1OyDgAY&amp;q=site%3Alinkedin.com+Curtis+Sargent+University+Programs+Recruiter+Raytheon" TargetMode="External"/><Relationship Id="rId971" Type="http://schemas.openxmlformats.org/officeDocument/2006/relationships/hyperlink" Target="https://www.google.com/search?newwindow=1&amp;ei=2MT0XrvGGM-vytMP1OyDgAY&amp;q=site%3Alinkedin.com+Celine+Dye+University+Programs+Recruiter+Raytheon" TargetMode="External"/><Relationship Id="rId970" Type="http://schemas.openxmlformats.org/officeDocument/2006/relationships/hyperlink" Target="https://www.google.com/search?newwindow=1&amp;ei=2MT0XrvGGM-vytMP1OyDgAY&amp;q=site%3Alinkedin.com+Richard+DeStefano+University+Programs+Manager+Raytheon" TargetMode="External"/><Relationship Id="rId1114" Type="http://schemas.openxmlformats.org/officeDocument/2006/relationships/hyperlink" Target="https://www.google.com/search?newwindow=1&amp;ei=2MT0XrvGGM-vytMP1OyDgAY&amp;q=site%3Alinkedin.com+Tiffany+Tan+Senior+University+Recruiter+Uber" TargetMode="External"/><Relationship Id="rId1115" Type="http://schemas.openxmlformats.org/officeDocument/2006/relationships/hyperlink" Target="https://www.google.com/search?newwindow=1&amp;ei=2MT0XrvGGM-vytMP1OyDgAY&amp;q=site%3Alinkedin.com+Heather+Henderson+Sr.+University+Recruiter+Uber" TargetMode="External"/><Relationship Id="rId20" Type="http://schemas.openxmlformats.org/officeDocument/2006/relationships/hyperlink" Target="https://www.google.com/search?newwindow=1&amp;ei=2MT0XrvGGM-vytMP1OyDgAY&amp;q=site%3Alinkedin.com+Robin+Ribeiro+Campus+Recruiter+Accenture" TargetMode="External"/><Relationship Id="rId1116" Type="http://schemas.openxmlformats.org/officeDocument/2006/relationships/hyperlink" Target="https://www.google.com/search?newwindow=1&amp;ei=2MT0XrvGGM-vytMP1OyDgAY&amp;q=site%3Alinkedin.com+Emily+Sawyer+Senior+University+PhD+Recruiter+Uber" TargetMode="External"/><Relationship Id="rId1117" Type="http://schemas.openxmlformats.org/officeDocument/2006/relationships/hyperlink" Target="https://www.google.com/search?newwindow=1&amp;ei=2MT0XrvGGM-vytMP1OyDgAY&amp;q=site%3Alinkedin.com+Ali+R.+Senior+Technical+University+Recruiter+Uber" TargetMode="External"/><Relationship Id="rId22" Type="http://schemas.openxmlformats.org/officeDocument/2006/relationships/hyperlink" Target="https://www.google.com/search?newwindow=1&amp;ei=2MT0XrvGGM-vytMP1OyDgAY&amp;q=site%3Alinkedin.com+Melissa+Olson+Recruiting+Associate+Manager+Accenture" TargetMode="External"/><Relationship Id="rId1118" Type="http://schemas.openxmlformats.org/officeDocument/2006/relationships/hyperlink" Target="https://www.google.com/search?newwindow=1&amp;ei=2MT0XrvGGM-vytMP1OyDgAY&amp;q=site%3Alinkedin.com+Meryssa+Riley+Uber+University+Recruiter+Uber" TargetMode="External"/><Relationship Id="rId21" Type="http://schemas.openxmlformats.org/officeDocument/2006/relationships/hyperlink" Target="https://www.google.com/search?newwindow=1&amp;ei=2MT0XrvGGM-vytMP1OyDgAY&amp;q=site%3Alinkedin.com+Stephanie+Nevin+Campus+and+Entry+Level+Recruiter+Accenture" TargetMode="External"/><Relationship Id="rId1119" Type="http://schemas.openxmlformats.org/officeDocument/2006/relationships/hyperlink" Target="https://www.google.com/search?newwindow=1&amp;ei=2MT0XrvGGM-vytMP1OyDgAY&amp;q=site%3Alinkedin.com+Alexandra+Muller+University+Recruiter+Uber" TargetMode="External"/><Relationship Id="rId24" Type="http://schemas.openxmlformats.org/officeDocument/2006/relationships/hyperlink" Target="https://www.google.com/search?newwindow=1&amp;ei=2MT0XrvGGM-vytMP1OyDgAY&amp;q=site%3Alinkedin.com+Chris+Selbitschka+Recruiter+Accenture" TargetMode="External"/><Relationship Id="rId23" Type="http://schemas.openxmlformats.org/officeDocument/2006/relationships/hyperlink" Target="https://www.google.com/search?newwindow=1&amp;ei=2MT0XrvGGM-vytMP1OyDgAY&amp;q=site%3Alinkedin.com+Kendrick+Harris+University+Recruiter+Accenture" TargetMode="External"/><Relationship Id="rId525" Type="http://schemas.openxmlformats.org/officeDocument/2006/relationships/hyperlink" Target="https://www.google.com/search?newwindow=1&amp;ei=2MT0XrvGGM-vytMP1OyDgAY&amp;q=site%3Alinkedin.com+Matthew+Duarte+University+Recruiter+Gartner" TargetMode="External"/><Relationship Id="rId767" Type="http://schemas.openxmlformats.org/officeDocument/2006/relationships/hyperlink" Target="https://www.google.com/search?newwindow=1&amp;ei=2MT0XrvGGM-vytMP1OyDgAY&amp;q=site%3Alinkedin.com+Brigette+Biagas+Campus+Recruiter+Lockheed+Martin" TargetMode="External"/><Relationship Id="rId524" Type="http://schemas.openxmlformats.org/officeDocument/2006/relationships/hyperlink" Target="https://www.google.com/search?newwindow=1&amp;ei=2MT0XrvGGM-vytMP1OyDgAY&amp;q=site%3Alinkedin.com+Kiersten+Post+University+Recruiter+Gartner" TargetMode="External"/><Relationship Id="rId766" Type="http://schemas.openxmlformats.org/officeDocument/2006/relationships/hyperlink" Target="https://www.google.com/search?newwindow=1&amp;ei=2MT0XrvGGM-vytMP1OyDgAY&amp;q=site%3Alinkedin.com+Karina+Stronciu+Campus+Recruiter+Lockheed+Martin" TargetMode="External"/><Relationship Id="rId523" Type="http://schemas.openxmlformats.org/officeDocument/2006/relationships/hyperlink" Target="https://www.google.com/search?newwindow=1&amp;ei=2MT0XrvGGM-vytMP1OyDgAY&amp;q=site%3Alinkedin.com+Jeff+Stencel+Senior+Campus+Recruiter+Gartner" TargetMode="External"/><Relationship Id="rId765" Type="http://schemas.openxmlformats.org/officeDocument/2006/relationships/hyperlink" Target="https://www.google.com/search?newwindow=1&amp;ei=2MT0XrvGGM-vytMP1OyDgAY&amp;q=site%3Alinkedin.com+Margaret+Ila+Christian+Campus+Recruiter+Lockheed+Martin" TargetMode="External"/><Relationship Id="rId522" Type="http://schemas.openxmlformats.org/officeDocument/2006/relationships/hyperlink" Target="https://www.google.com/search?newwindow=1&amp;ei=2MT0XrvGGM-vytMP1OyDgAY&amp;q=site%3Alinkedin.com+Presley+Pender+University+Recruiter+Gartner" TargetMode="External"/><Relationship Id="rId764" Type="http://schemas.openxmlformats.org/officeDocument/2006/relationships/hyperlink" Target="https://www.google.com/search?newwindow=1&amp;ei=2MT0XrvGGM-vytMP1OyDgAY&amp;q=site%3Alinkedin.com+Janet+Bachtel+Campus+Manager+-+University+Relations+&amp;+Recruiting+Lockheed+Martin" TargetMode="External"/><Relationship Id="rId529" Type="http://schemas.openxmlformats.org/officeDocument/2006/relationships/hyperlink" Target="https://www.google.com/search?newwindow=1&amp;ei=2MT0XrvGGM-vytMP1OyDgAY&amp;q=site%3Alinkedin.com+April+Doktor+Senior+University+Recruiter+Gartner" TargetMode="External"/><Relationship Id="rId528" Type="http://schemas.openxmlformats.org/officeDocument/2006/relationships/hyperlink" Target="https://www.google.com/search?newwindow=1&amp;ei=2MT0XrvGGM-vytMP1OyDgAY&amp;q=site%3Alinkedin.com+Olivia+Lageman+University+Recruiter+Gartner" TargetMode="External"/><Relationship Id="rId527" Type="http://schemas.openxmlformats.org/officeDocument/2006/relationships/hyperlink" Target="https://www.google.com/search?newwindow=1&amp;ei=2MT0XrvGGM-vytMP1OyDgAY&amp;q=site%3Alinkedin.com+Katie+Deisler+Associate+University+Recruiter+Gartner" TargetMode="External"/><Relationship Id="rId769" Type="http://schemas.openxmlformats.org/officeDocument/2006/relationships/hyperlink" Target="https://www.google.com/search?newwindow=1&amp;ei=2MT0XrvGGM-vytMP1OyDgAY&amp;q=site%3Alinkedin.com+Vivian+Chen+Technical+University+Recruiter+Lyft" TargetMode="External"/><Relationship Id="rId526" Type="http://schemas.openxmlformats.org/officeDocument/2006/relationships/hyperlink" Target="https://www.google.com/search?newwindow=1&amp;ei=2MT0XrvGGM-vytMP1OyDgAY&amp;q=site%3Alinkedin.com+CJ+Giles+Senior+Recruiting+-+Global+and+Large+Enterprise+Sales+Gartner" TargetMode="External"/><Relationship Id="rId768" Type="http://schemas.openxmlformats.org/officeDocument/2006/relationships/hyperlink" Target="https://www.google.com/search?newwindow=1&amp;ei=2MT0XrvGGM-vytMP1OyDgAY&amp;q=site%3Alinkedin.com+Jessie+Jordan+College+Recruiter+Lockheed+Martin" TargetMode="External"/><Relationship Id="rId26" Type="http://schemas.openxmlformats.org/officeDocument/2006/relationships/hyperlink" Target="https://www.google.com/search?newwindow=1&amp;ei=2MT0XrvGGM-vytMP1OyDgAY&amp;q=site%3Alinkedin.com+Nancy+Pham+Campus+Recruiter+Accenture" TargetMode="External"/><Relationship Id="rId25" Type="http://schemas.openxmlformats.org/officeDocument/2006/relationships/hyperlink" Target="https://www.google.com/search?newwindow=1&amp;ei=2MT0XrvGGM-vytMP1OyDgAY&amp;q=site%3Alinkedin.com+Madeline+McCooe+Campus+Recruiter+and+Location+Lead+(Southern+California)+Accenture" TargetMode="External"/><Relationship Id="rId28" Type="http://schemas.openxmlformats.org/officeDocument/2006/relationships/hyperlink" Target="https://www.google.com/search?newwindow=1&amp;ei=2MT0XrvGGM-vytMP1OyDgAY&amp;q=site%3Alinkedin.com+Alexandrea+Bittle+Campus+Recruiter+Accenture" TargetMode="External"/><Relationship Id="rId27" Type="http://schemas.openxmlformats.org/officeDocument/2006/relationships/hyperlink" Target="https://www.google.com/search?newwindow=1&amp;ei=2MT0XrvGGM-vytMP1OyDgAY&amp;q=site%3Alinkedin.com+Ashley.+Vonderahe+Campus+Recruiter+Accenture" TargetMode="External"/><Relationship Id="rId521" Type="http://schemas.openxmlformats.org/officeDocument/2006/relationships/hyperlink" Target="https://www.google.com/search?newwindow=1&amp;ei=2MT0XrvGGM-vytMP1OyDgAY&amp;q=site%3Alinkedin.com+Kimberly+Embick+Campus+Recruiter+Gartner" TargetMode="External"/><Relationship Id="rId763" Type="http://schemas.openxmlformats.org/officeDocument/2006/relationships/hyperlink" Target="https://www.google.com/search?newwindow=1&amp;ei=2MT0XrvGGM-vytMP1OyDgAY&amp;q=site%3Alinkedin.com+Yeneneh+Ketema+Campus+Relations+Manager+Lockheed+Martin" TargetMode="External"/><Relationship Id="rId1110" Type="http://schemas.openxmlformats.org/officeDocument/2006/relationships/hyperlink" Target="https://www.google.com/search?newwindow=1&amp;ei=2MT0XrvGGM-vytMP1OyDgAY&amp;q=site%3Alinkedin.com+Hailey+Reed+Senior+Project+Manager+-+Campus+Recruiting+-+Non+Profit+Partners+U.S.+Bank" TargetMode="External"/><Relationship Id="rId29" Type="http://schemas.openxmlformats.org/officeDocument/2006/relationships/hyperlink" Target="https://www.google.com/search?newwindow=1&amp;ei=2MT0XrvGGM-vytMP1OyDgAY&amp;q=site%3Alinkedin.com+Christina+Coy+Campus+Recruiter+Accenture" TargetMode="External"/><Relationship Id="rId520" Type="http://schemas.openxmlformats.org/officeDocument/2006/relationships/hyperlink" Target="https://www.google.com/search?newwindow=1&amp;ei=2MT0XrvGGM-vytMP1OyDgAY&amp;q=site%3Alinkedin.com+Danielle+Goldberg+Graduate+(MBA)+University+Recruiter+Gartner" TargetMode="External"/><Relationship Id="rId762" Type="http://schemas.openxmlformats.org/officeDocument/2006/relationships/hyperlink" Target="https://www.google.com/search?newwindow=1&amp;ei=2MT0XrvGGM-vytMP1OyDgAY&amp;q=site%3Alinkedin.com+Leo+Faneuf+College+Talent+Acquisition+and+Diversity+Engagement+Manager+Lockheed+Martin" TargetMode="External"/><Relationship Id="rId1111" Type="http://schemas.openxmlformats.org/officeDocument/2006/relationships/hyperlink" Target="https://www.google.com/search?newwindow=1&amp;ei=2MT0XrvGGM-vytMP1OyDgAY&amp;q=site%3Alinkedin.com+Jessica+Chisholm+Sr.+Campus+Recruiter/Internship+Program+Manager+U.S.+Bank" TargetMode="External"/><Relationship Id="rId761" Type="http://schemas.openxmlformats.org/officeDocument/2006/relationships/hyperlink" Target="https://www.google.com/search?newwindow=1&amp;ei=2MT0XrvGGM-vytMP1OyDgAY&amp;q=site%3Alinkedin.com+Sierra+Kehrer+College+Recruiter:+Global+Talent+Acquisitions+Lockheed+Martin" TargetMode="External"/><Relationship Id="rId1112" Type="http://schemas.openxmlformats.org/officeDocument/2006/relationships/hyperlink" Target="https://www.google.com/search?newwindow=1&amp;ei=2MT0XrvGGM-vytMP1OyDgAY&amp;q=site%3Alinkedin.com+Rachel+Schroeder+Campus+Recruiter/Internship+Program+Specialist+U.S.+Bank" TargetMode="External"/><Relationship Id="rId760" Type="http://schemas.openxmlformats.org/officeDocument/2006/relationships/hyperlink" Target="https://www.google.com/search?newwindow=1&amp;ei=2MT0XrvGGM-vytMP1OyDgAY&amp;q=site%3Alinkedin.com+Bria+Rathway+Campus+Recruiter+Lockheed+Martin" TargetMode="External"/><Relationship Id="rId1113" Type="http://schemas.openxmlformats.org/officeDocument/2006/relationships/hyperlink" Target="https://www.google.com/search?newwindow=1&amp;ei=2MT0XrvGGM-vytMP1OyDgAY&amp;q=site%3Alinkedin.com+Julie+Filonuk+Sr.+University+Recruiter+Uber" TargetMode="External"/><Relationship Id="rId1103" Type="http://schemas.openxmlformats.org/officeDocument/2006/relationships/hyperlink" Target="https://www.google.com/search?newwindow=1&amp;ei=2MT0XrvGGM-vytMP1OyDgAY&amp;q=site%3Alinkedin.com+Lisa+Vance+Campus+Recruiter+&amp;+Program+Manager+Two+Sigma" TargetMode="External"/><Relationship Id="rId1104" Type="http://schemas.openxmlformats.org/officeDocument/2006/relationships/hyperlink" Target="https://www.google.com/search?newwindow=1&amp;ei=2MT0XrvGGM-vytMP1OyDgAY&amp;q=site%3Alinkedin.com+Haley+(Baxter)+Mandell+Software+Engineering+Campus+Recruiter+&amp;+Program+Manager+Two+Sigma" TargetMode="External"/><Relationship Id="rId1105" Type="http://schemas.openxmlformats.org/officeDocument/2006/relationships/hyperlink" Target="https://www.google.com/search?newwindow=1&amp;ei=2MT0XrvGGM-vytMP1OyDgAY&amp;q=site%3Alinkedin.com+Bradley+Goodloe+Sr.+Campus+Recruiter/Internship+Program+Manager+U.S.+Bank" TargetMode="External"/><Relationship Id="rId1106" Type="http://schemas.openxmlformats.org/officeDocument/2006/relationships/hyperlink" Target="https://www.google.com/search?newwindow=1&amp;ei=2MT0XrvGGM-vytMP1OyDgAY&amp;q=site%3Alinkedin.com+Julian+Jordan+Campus+Recruiter+/+Internship+Program+Manager+U.S.+Bank" TargetMode="External"/><Relationship Id="rId11" Type="http://schemas.openxmlformats.org/officeDocument/2006/relationships/hyperlink" Target="https://www.google.com/search?newwindow=1&amp;ei=2MT0XrvGGM-vytMP1OyDgAY&amp;q=site%3Alinkedin.com+Krystin+Crane+Campus+Recruiter+Accenture" TargetMode="External"/><Relationship Id="rId1107" Type="http://schemas.openxmlformats.org/officeDocument/2006/relationships/hyperlink" Target="https://www.google.com/search?newwindow=1&amp;ei=2MT0XrvGGM-vytMP1OyDgAY&amp;q=site%3Alinkedin.com+Kelly+Verstat+AVP-+Senior+Campus+Recruiter+/+Internship+Program+Manager+U.S.+Bank" TargetMode="External"/><Relationship Id="rId10" Type="http://schemas.openxmlformats.org/officeDocument/2006/relationships/hyperlink" Target="https://www.google.com/search?newwindow=1&amp;ei=2MT0XrvGGM-vytMP1OyDgAY&amp;q=site%3Alinkedin.com+Brooke+Steele+Campus+Recruiter+Accenture" TargetMode="External"/><Relationship Id="rId1108" Type="http://schemas.openxmlformats.org/officeDocument/2006/relationships/hyperlink" Target="https://www.google.com/search?newwindow=1&amp;ei=2MT0XrvGGM-vytMP1OyDgAY&amp;q=site%3Alinkedin.com+Vicky+Hidalgo+Senior+Manager+-+Campus+Recruiting+U.S.+Bank" TargetMode="External"/><Relationship Id="rId13" Type="http://schemas.openxmlformats.org/officeDocument/2006/relationships/hyperlink" Target="https://www.google.com/search?newwindow=1&amp;ei=2MT0XrvGGM-vytMP1OyDgAY&amp;q=site%3Alinkedin.com+Linnea+Levy+Sr.+Campus+Recruiter+Accenture" TargetMode="External"/><Relationship Id="rId1109" Type="http://schemas.openxmlformats.org/officeDocument/2006/relationships/hyperlink" Target="https://www.google.com/search?newwindow=1&amp;ei=2MT0XrvGGM-vytMP1OyDgAY&amp;q=site%3Alinkedin.com+Evan+Wise+Project+Manager+&amp;+Campus+Recruiter+U.S.+Bank" TargetMode="External"/><Relationship Id="rId12" Type="http://schemas.openxmlformats.org/officeDocument/2006/relationships/hyperlink" Target="https://www.google.com/search?newwindow=1&amp;ei=2MT0XrvGGM-vytMP1OyDgAY&amp;q=site%3Alinkedin.com+Ashlei+Scott+Charlotte+Location+Lead+&amp;+Campus+Recruiter+Accenture" TargetMode="External"/><Relationship Id="rId519" Type="http://schemas.openxmlformats.org/officeDocument/2006/relationships/hyperlink" Target="https://www.google.com/search?newwindow=1&amp;ei=2MT0XrvGGM-vytMP1OyDgAY&amp;q=site%3Alinkedin.com+Nikki+McTernan+Associate+University+Recruiter+Gartner" TargetMode="External"/><Relationship Id="rId514" Type="http://schemas.openxmlformats.org/officeDocument/2006/relationships/hyperlink" Target="https://www.google.com/search?newwindow=1&amp;ei=2MT0XrvGGM-vytMP1OyDgAY&amp;q=site%3Alinkedin.com+Elizabeth+Baldridge+University+Relations+Recruiter+Garmin+International" TargetMode="External"/><Relationship Id="rId756" Type="http://schemas.openxmlformats.org/officeDocument/2006/relationships/hyperlink" Target="https://www.google.com/search?newwindow=1&amp;ei=2MT0XrvGGM-vytMP1OyDgAY&amp;q=site%3Alinkedin.com+Pitchaporn+Vorapipatana+College+Recruiter+Lockheed+Martin" TargetMode="External"/><Relationship Id="rId998" Type="http://schemas.openxmlformats.org/officeDocument/2006/relationships/hyperlink" Target="https://www.google.com/search?newwindow=1&amp;ei=2MT0XrvGGM-vytMP1OyDgAY&amp;q=site%3Alinkedin.com+Jenny+Wild+Senior+Campus+Recruiter+RSM+US+LLP" TargetMode="External"/><Relationship Id="rId513" Type="http://schemas.openxmlformats.org/officeDocument/2006/relationships/hyperlink" Target="https://www.google.com/search?newwindow=1&amp;ei=2MT0XrvGGM-vytMP1OyDgAY&amp;q=site%3Alinkedin.com+Kourtney+Welch+University+Relations+Recruiter+Garmin+International" TargetMode="External"/><Relationship Id="rId755" Type="http://schemas.openxmlformats.org/officeDocument/2006/relationships/hyperlink" Target="https://www.google.com/search?newwindow=1&amp;ei=2MT0XrvGGM-vytMP1OyDgAY&amp;q=site%3Alinkedin.com+Gregory+Caguimbal+Campus+Recruiter+Lockheed+Martin" TargetMode="External"/><Relationship Id="rId997" Type="http://schemas.openxmlformats.org/officeDocument/2006/relationships/hyperlink" Target="https://www.google.com/search?newwindow=1&amp;ei=2MT0XrvGGM-vytMP1OyDgAY&amp;q=site%3Alinkedin.com+Selam+Solomon+Senior+Campus+Recruiter+RSM+US+LLP" TargetMode="External"/><Relationship Id="rId512" Type="http://schemas.openxmlformats.org/officeDocument/2006/relationships/hyperlink" Target="https://www.google.com/search?newwindow=1&amp;ei=2MT0XrvGGM-vytMP1OyDgAY&amp;q=site%3Alinkedin.com+Caroline+Hamera-Menges+University+Relations+Recruiter+Garmin+International" TargetMode="External"/><Relationship Id="rId754" Type="http://schemas.openxmlformats.org/officeDocument/2006/relationships/hyperlink" Target="https://www.google.com/search?newwindow=1&amp;ei=2MT0XrvGGM-vytMP1OyDgAY&amp;q=site%3Alinkedin.com+Christina+Ponzi+College+Recruiter+Lockheed+Martin" TargetMode="External"/><Relationship Id="rId996" Type="http://schemas.openxmlformats.org/officeDocument/2006/relationships/hyperlink" Target="https://www.google.com/search?newwindow=1&amp;ei=2MT0XrvGGM-vytMP1OyDgAY&amp;q=site%3Alinkedin.com+Shalyce+Adamson+Senior+Campus+Recruiter+RSM+US+LLP" TargetMode="External"/><Relationship Id="rId511" Type="http://schemas.openxmlformats.org/officeDocument/2006/relationships/hyperlink" Target="https://www.google.com/search?newwindow=1&amp;ei=2MT0XrvGGM-vytMP1OyDgAY&amp;q=site%3Alinkedin.com+Jen+Larson+University+Relations+Recruiter+Garmin" TargetMode="External"/><Relationship Id="rId753" Type="http://schemas.openxmlformats.org/officeDocument/2006/relationships/hyperlink" Target="https://www.google.com/search?newwindow=1&amp;ei=2MT0XrvGGM-vytMP1OyDgAY&amp;q=site%3Alinkedin.com+Alexandra+Halas+Campus+Recruiter+Lockheed+Martin" TargetMode="External"/><Relationship Id="rId995" Type="http://schemas.openxmlformats.org/officeDocument/2006/relationships/hyperlink" Target="https://www.google.com/search?newwindow=1&amp;ei=2MT0XrvGGM-vytMP1OyDgAY&amp;q=site%3Alinkedin.com+Erika+DiGuilio+Senior+Campus+Recruiter+RSM+US+LLP" TargetMode="External"/><Relationship Id="rId518" Type="http://schemas.openxmlformats.org/officeDocument/2006/relationships/hyperlink" Target="https://www.google.com/search?newwindow=1&amp;ei=2MT0XrvGGM-vytMP1OyDgAY&amp;q=site%3Alinkedin.com+Caitlin+Deltgen+University+Recruiter+Gartner" TargetMode="External"/><Relationship Id="rId517" Type="http://schemas.openxmlformats.org/officeDocument/2006/relationships/hyperlink" Target="https://www.google.com/search?newwindow=1&amp;ei=2MT0XrvGGM-vytMP1OyDgAY&amp;q=site%3Alinkedin.com+Austin+Closs+Senior+University+Recruiter+Gartner" TargetMode="External"/><Relationship Id="rId759" Type="http://schemas.openxmlformats.org/officeDocument/2006/relationships/hyperlink" Target="https://www.google.com/search?newwindow=1&amp;ei=2MT0XrvGGM-vytMP1OyDgAY&amp;q=site%3Alinkedin.com+Nicole+Horan+College+Recruiter+Lockheed+Martin" TargetMode="External"/><Relationship Id="rId516" Type="http://schemas.openxmlformats.org/officeDocument/2006/relationships/hyperlink" Target="https://www.google.com/search?newwindow=1&amp;ei=2MT0XrvGGM-vytMP1OyDgAY&amp;q=site%3Alinkedin.com+Stephanie+Scott+Campus+Recruiter+Gartner" TargetMode="External"/><Relationship Id="rId758" Type="http://schemas.openxmlformats.org/officeDocument/2006/relationships/hyperlink" Target="https://www.google.com/search?newwindow=1&amp;ei=2MT0XrvGGM-vytMP1OyDgAY&amp;q=site%3Alinkedin.com+Chelcey+Little+Leadership+Development+Program+Lead/+College+Recruiter+Lockheed+Martin" TargetMode="External"/><Relationship Id="rId515" Type="http://schemas.openxmlformats.org/officeDocument/2006/relationships/hyperlink" Target="https://www.google.com/search?newwindow=1&amp;ei=2MT0XrvGGM-vytMP1OyDgAY&amp;q=site%3Alinkedin.com+Jessie+King+University+Recruiter+-+Southeast+Territory+Gartner" TargetMode="External"/><Relationship Id="rId757" Type="http://schemas.openxmlformats.org/officeDocument/2006/relationships/hyperlink" Target="https://www.google.com/search?newwindow=1&amp;ei=2MT0XrvGGM-vytMP1OyDgAY&amp;q=site%3Alinkedin.com+Brian+Kroll+%F0%9F%94%B9+Campus+Recruiter+with+University+Relations+&amp;+Recruiting+Lockheed+Martin" TargetMode="External"/><Relationship Id="rId999" Type="http://schemas.openxmlformats.org/officeDocument/2006/relationships/hyperlink" Target="https://www.google.com/search?newwindow=1&amp;ei=2MT0XrvGGM-vytMP1OyDgAY&amp;q=site%3Alinkedin.com+Kelly+Briody+Talent+Acquisition-+Senior+Campus+Recruiter+RSM+US+LLP" TargetMode="External"/><Relationship Id="rId15" Type="http://schemas.openxmlformats.org/officeDocument/2006/relationships/hyperlink" Target="https://www.google.com/search?newwindow=1&amp;ei=2MT0XrvGGM-vytMP1OyDgAY&amp;q=site%3Alinkedin.com+Caroline+Stropes+Campus+Recruiter+Accenture" TargetMode="External"/><Relationship Id="rId990" Type="http://schemas.openxmlformats.org/officeDocument/2006/relationships/hyperlink" Target="https://www.google.com/search?newwindow=1&amp;ei=2MT0XrvGGM-vytMP1OyDgAY&amp;q=site%3Alinkedin.com+Tricia+Raper+Senior+Campus+Recruiter+RSM+US+LLP" TargetMode="External"/><Relationship Id="rId14" Type="http://schemas.openxmlformats.org/officeDocument/2006/relationships/hyperlink" Target="https://www.google.com/search?newwindow=1&amp;ei=2MT0XrvGGM-vytMP1OyDgAY&amp;q=site%3Alinkedin.com+Amy+LaPortre+Campus+Recruiter+Accenture" TargetMode="External"/><Relationship Id="rId17" Type="http://schemas.openxmlformats.org/officeDocument/2006/relationships/hyperlink" Target="https://www.google.com/search?newwindow=1&amp;ei=2MT0XrvGGM-vytMP1OyDgAY&amp;q=site%3Alinkedin.com+Ilva+Fejzulla+Campus+Recruiter+Accenture" TargetMode="External"/><Relationship Id="rId16" Type="http://schemas.openxmlformats.org/officeDocument/2006/relationships/hyperlink" Target="https://www.google.com/search?newwindow=1&amp;ei=2MT0XrvGGM-vytMP1OyDgAY&amp;q=site%3Alinkedin.com+Krysta+Lewis+Associate+Manager+Accenture" TargetMode="External"/><Relationship Id="rId19" Type="http://schemas.openxmlformats.org/officeDocument/2006/relationships/hyperlink" Target="https://www.google.com/search?newwindow=1&amp;ei=2MT0XrvGGM-vytMP1OyDgAY&amp;q=site%3Alinkedin.com+Terrell+Johnson+Detroit+Co-Location+Lead+/+Campus+Recruiter+Accenture" TargetMode="External"/><Relationship Id="rId510" Type="http://schemas.openxmlformats.org/officeDocument/2006/relationships/hyperlink" Target="https://www.google.com/search?newwindow=1&amp;ei=2MT0XrvGGM-vytMP1OyDgAY&amp;q=site%3Alinkedin.com+Jack+Thomas+MSU+Campus+Recruiter+Ford+Motor+Company" TargetMode="External"/><Relationship Id="rId752" Type="http://schemas.openxmlformats.org/officeDocument/2006/relationships/hyperlink" Target="https://www.google.com/search?newwindow=1&amp;ei=2MT0XrvGGM-vytMP1OyDgAY&amp;q=site%3Alinkedin.com+Matthew+Castro+Campus+Recruiter+Lockheed+Martin" TargetMode="External"/><Relationship Id="rId994" Type="http://schemas.openxmlformats.org/officeDocument/2006/relationships/hyperlink" Target="https://www.google.com/search?newwindow=1&amp;ei=2MT0XrvGGM-vytMP1OyDgAY&amp;q=site%3Alinkedin.com+Makenzie+Kate+Kocurek+Campus+Recruiter+RSM+US+LLP" TargetMode="External"/><Relationship Id="rId18" Type="http://schemas.openxmlformats.org/officeDocument/2006/relationships/hyperlink" Target="https://www.google.com/search?newwindow=1&amp;ei=2MT0XrvGGM-vytMP1OyDgAY&amp;q=site%3Alinkedin.com+Joey+Adams+Project+Manager+-+Business+Process+Optimization+for+Financial+Reporting+(Resources)+Accenture" TargetMode="External"/><Relationship Id="rId751" Type="http://schemas.openxmlformats.org/officeDocument/2006/relationships/hyperlink" Target="https://www.google.com/search?newwindow=1&amp;ei=2MT0XrvGGM-vytMP1OyDgAY&amp;q=site%3Alinkedin.com+Andrew+Pearlman+College+Recruiter+Lockheed+Martin" TargetMode="External"/><Relationship Id="rId993" Type="http://schemas.openxmlformats.org/officeDocument/2006/relationships/hyperlink" Target="https://www.google.com/search?newwindow=1&amp;ei=2MT0XrvGGM-vytMP1OyDgAY&amp;q=site%3Alinkedin.com+Allison+Cenci+Campus+Recruiter+RSM+US+LLP" TargetMode="External"/><Relationship Id="rId1100" Type="http://schemas.openxmlformats.org/officeDocument/2006/relationships/hyperlink" Target="https://www.google.com/search?newwindow=1&amp;ei=2MT0XrvGGM-vytMP1OyDgAY&amp;q=site%3Alinkedin.com+Luana+Hill+University+Recruiter+Truist" TargetMode="External"/><Relationship Id="rId750" Type="http://schemas.openxmlformats.org/officeDocument/2006/relationships/hyperlink" Target="https://www.google.com/search?newwindow=1&amp;ei=2MT0XrvGGM-vytMP1OyDgAY&amp;q=site%3Alinkedin.com+Jennina+Arcuri+Lead+University+Talent+Aquisition+Recruiter+Lockheed+Martin" TargetMode="External"/><Relationship Id="rId992" Type="http://schemas.openxmlformats.org/officeDocument/2006/relationships/hyperlink" Target="https://www.google.com/search?newwindow=1&amp;ei=2MT0XrvGGM-vytMP1OyDgAY&amp;q=site%3Alinkedin.com+Raymond+Reyes+Sr.+Campus+Recruiter+RSM+US+LLP" TargetMode="External"/><Relationship Id="rId1101" Type="http://schemas.openxmlformats.org/officeDocument/2006/relationships/hyperlink" Target="https://www.google.com/search?newwindow=1&amp;ei=2MT0XrvGGM-vytMP1OyDgAY&amp;q=site%3Alinkedin.com+Julie+R.+University+Recruiter+Twitter" TargetMode="External"/><Relationship Id="rId991" Type="http://schemas.openxmlformats.org/officeDocument/2006/relationships/hyperlink" Target="https://www.google.com/search?newwindow=1&amp;ei=2MT0XrvGGM-vytMP1OyDgAY&amp;q=site%3Alinkedin.com+Ina+Abraham+Senior+Campus+Recruiter+RSM+US+LLP" TargetMode="External"/><Relationship Id="rId1102" Type="http://schemas.openxmlformats.org/officeDocument/2006/relationships/hyperlink" Target="https://www.google.com/search?newwindow=1&amp;ei=2MT0XrvGGM-vytMP1OyDgAY&amp;q=site%3Alinkedin.com+Rheana+De+La+Cruz+University+Recruiter+Twitter" TargetMode="External"/><Relationship Id="rId84" Type="http://schemas.openxmlformats.org/officeDocument/2006/relationships/hyperlink" Target="https://www.google.com/search?newwindow=1&amp;ei=2MT0XrvGGM-vytMP1OyDgAY&amp;q=site%3Alinkedin.com+Jessica+Mantel+University+Recruiter+Amazon" TargetMode="External"/><Relationship Id="rId83" Type="http://schemas.openxmlformats.org/officeDocument/2006/relationships/hyperlink" Target="https://www.google.com/search?newwindow=1&amp;ei=2MT0XrvGGM-vytMP1OyDgAY&amp;q=site%3Alinkedin.com+Tony+Liu+Tech+Campus+Recruiter+Amazon" TargetMode="External"/><Relationship Id="rId86" Type="http://schemas.openxmlformats.org/officeDocument/2006/relationships/hyperlink" Target="https://www.google.com/search?newwindow=1&amp;ei=2MT0XrvGGM-vytMP1OyDgAY&amp;q=site%3Alinkedin.com+Carrie+Perretta-Murphy+Sr.+Technical+Recruiter+and+Campus+Lead+Amazon+Robotics" TargetMode="External"/><Relationship Id="rId85" Type="http://schemas.openxmlformats.org/officeDocument/2006/relationships/hyperlink" Target="https://www.google.com/search?newwindow=1&amp;ei=2MT0XrvGGM-vytMP1OyDgAY&amp;q=site%3Alinkedin.com+Gabby+Ellis+Campus+Recruiting+Manager+Amazon+Prime+Student" TargetMode="External"/><Relationship Id="rId88" Type="http://schemas.openxmlformats.org/officeDocument/2006/relationships/hyperlink" Target="https://www.google.com/search?newwindow=1&amp;ei=2MT0XrvGGM-vytMP1OyDgAY&amp;q=site%3Alinkedin.com+Anne-Marie+Corrales+US+Campus+Recruiter+American+Express" TargetMode="External"/><Relationship Id="rId87" Type="http://schemas.openxmlformats.org/officeDocument/2006/relationships/hyperlink" Target="https://www.google.com/search?newwindow=1&amp;ei=2MT0XrvGGM-vytMP1OyDgAY&amp;q=site%3Alinkedin.com+Betty+Quach+Program+Manager+Amazon+Web+Services" TargetMode="External"/><Relationship Id="rId89" Type="http://schemas.openxmlformats.org/officeDocument/2006/relationships/hyperlink" Target="https://www.google.com/search?newwindow=1&amp;ei=2MT0XrvGGM-vytMP1OyDgAY&amp;q=site%3Alinkedin.com+Matthew+Bommarito+Campus+Recruiting+Manager+American+Express" TargetMode="External"/><Relationship Id="rId709" Type="http://schemas.openxmlformats.org/officeDocument/2006/relationships/hyperlink" Target="https://www.google.com/search?newwindow=1&amp;ei=2MT0XrvGGM-vytMP1OyDgAY&amp;q=site%3Alinkedin.com+Lindsay+Herring+Campus+Recruiter+KPMG+US" TargetMode="External"/><Relationship Id="rId708" Type="http://schemas.openxmlformats.org/officeDocument/2006/relationships/hyperlink" Target="https://www.google.com/search?newwindow=1&amp;ei=2MT0XrvGGM-vytMP1OyDgAY&amp;q=site%3Alinkedin.com+Taylor+McKamy+Campus+Recruiting+Manager+KPMG+US" TargetMode="External"/><Relationship Id="rId707" Type="http://schemas.openxmlformats.org/officeDocument/2006/relationships/hyperlink" Target="https://www.google.com/search?newwindow=1&amp;ei=2MT0XrvGGM-vytMP1OyDgAY&amp;q=site%3Alinkedin.com+Mary+Nolan+Campus+Recruiting+Manager+KPMG+US" TargetMode="External"/><Relationship Id="rId949" Type="http://schemas.openxmlformats.org/officeDocument/2006/relationships/hyperlink" Target="https://www.google.com/search?newwindow=1&amp;ei=2MT0XrvGGM-vytMP1OyDgAY&amp;q=site%3Alinkedin.com+Mandi+Folks+Campus+Recruiter+PwC" TargetMode="External"/><Relationship Id="rId706" Type="http://schemas.openxmlformats.org/officeDocument/2006/relationships/hyperlink" Target="https://www.google.com/search?newwindow=1&amp;ei=2MT0XrvGGM-vytMP1OyDgAY&amp;q=site%3Alinkedin.com+Melissa+Miller+Campus+Recruiter+KPMG+US" TargetMode="External"/><Relationship Id="rId948" Type="http://schemas.openxmlformats.org/officeDocument/2006/relationships/hyperlink" Target="https://www.google.com/search?newwindow=1&amp;ei=2MT0XrvGGM-vytMP1OyDgAY&amp;q=site%3Alinkedin.com+Kristina+Scutari+Campus+Recruiting+Manager+PwC" TargetMode="External"/><Relationship Id="rId80" Type="http://schemas.openxmlformats.org/officeDocument/2006/relationships/hyperlink" Target="https://www.google.com/search?newwindow=1&amp;ei=2MT0XrvGGM-vytMP1OyDgAY&amp;q=site%3Alinkedin.com+Shavonne+Mehaffey+University+Recruiter+Amazon" TargetMode="External"/><Relationship Id="rId82" Type="http://schemas.openxmlformats.org/officeDocument/2006/relationships/hyperlink" Target="https://www.google.com/search?newwindow=1&amp;ei=2MT0XrvGGM-vytMP1OyDgAY&amp;q=site%3Alinkedin.com+Jessica+Bates+University+Recruiter+Amazon" TargetMode="External"/><Relationship Id="rId81" Type="http://schemas.openxmlformats.org/officeDocument/2006/relationships/hyperlink" Target="https://www.google.com/search?newwindow=1&amp;ei=2MT0XrvGGM-vytMP1OyDgAY&amp;q=site%3Alinkedin.com+ShanShan+Tan+University+Recruiter+Amazon" TargetMode="External"/><Relationship Id="rId701" Type="http://schemas.openxmlformats.org/officeDocument/2006/relationships/hyperlink" Target="https://www.google.com/search?newwindow=1&amp;ei=2MT0XrvGGM-vytMP1OyDgAY&amp;q=site%3Alinkedin.com+Katie+Howland+Training+Manager+KPMG" TargetMode="External"/><Relationship Id="rId943" Type="http://schemas.openxmlformats.org/officeDocument/2006/relationships/hyperlink" Target="https://www.google.com/search?newwindow=1&amp;ei=2MT0XrvGGM-vytMP1OyDgAY&amp;q=site%3Alinkedin.com+Sarah+Wagner+Campus+Recruiter+PwC" TargetMode="External"/><Relationship Id="rId700" Type="http://schemas.openxmlformats.org/officeDocument/2006/relationships/hyperlink" Target="https://www.google.com/search?newwindow=1&amp;ei=2MT0XrvGGM-vytMP1OyDgAY&amp;q=site%3Alinkedin.com+Samantha+Daly+Associate+Campus+Recruiter+KPMG" TargetMode="External"/><Relationship Id="rId942" Type="http://schemas.openxmlformats.org/officeDocument/2006/relationships/hyperlink" Target="https://www.google.com/search?newwindow=1&amp;ei=2MT0XrvGGM-vytMP1OyDgAY&amp;q=site%3Alinkedin.com+Lydia+Ghattas+Campus+Recruiter+PwC" TargetMode="External"/><Relationship Id="rId941" Type="http://schemas.openxmlformats.org/officeDocument/2006/relationships/hyperlink" Target="https://www.google.com/search?newwindow=1&amp;ei=2MT0XrvGGM-vytMP1OyDgAY&amp;q=site%3Alinkedin.com+Jen+Marshall+Campus+Recruiting+Manager+PwC" TargetMode="External"/><Relationship Id="rId940" Type="http://schemas.openxmlformats.org/officeDocument/2006/relationships/hyperlink" Target="https://www.google.com/search?newwindow=1&amp;ei=2MT0XrvGGM-vytMP1OyDgAY&amp;q=site%3Alinkedin.com+Leanne+Vail+Campus+Recruiter+PwC" TargetMode="External"/><Relationship Id="rId705" Type="http://schemas.openxmlformats.org/officeDocument/2006/relationships/hyperlink" Target="https://www.google.com/search?newwindow=1&amp;ei=2MT0XrvGGM-vytMP1OyDgAY&amp;q=site%3Alinkedin.com+Peter+Bartok+Campus+Recruiting+Manager+KPMG+LLP" TargetMode="External"/><Relationship Id="rId947" Type="http://schemas.openxmlformats.org/officeDocument/2006/relationships/hyperlink" Target="https://www.google.com/search?newwindow=1&amp;ei=2MT0XrvGGM-vytMP1OyDgAY&amp;q=site%3Alinkedin.com+Stephanie+Angellotto+Campus+Recruiting+Manager+-+Southwest+&amp;+Bay+Area+NW+PwC" TargetMode="External"/><Relationship Id="rId704" Type="http://schemas.openxmlformats.org/officeDocument/2006/relationships/hyperlink" Target="https://www.google.com/search?newwindow=1&amp;ei=2MT0XrvGGM-vytMP1OyDgAY&amp;q=site%3Alinkedin.com+Renee+Blonde+Campus+Recruiting+Manager+KPMG+global" TargetMode="External"/><Relationship Id="rId946" Type="http://schemas.openxmlformats.org/officeDocument/2006/relationships/hyperlink" Target="https://www.google.com/search?newwindow=1&amp;ei=2MT0XrvGGM-vytMP1OyDgAY&amp;q=site%3Alinkedin.com+Stephanie+Angellotto+Campus+Recruiting+Manager+-+Southwest+&amp;+Bay+Area+NW+PwC" TargetMode="External"/><Relationship Id="rId703" Type="http://schemas.openxmlformats.org/officeDocument/2006/relationships/hyperlink" Target="https://www.google.com/search?newwindow=1&amp;ei=2MT0XrvGGM-vytMP1OyDgAY&amp;q=site%3Alinkedin.com+Caitlin+Pershe+Manager+KPMG" TargetMode="External"/><Relationship Id="rId945" Type="http://schemas.openxmlformats.org/officeDocument/2006/relationships/hyperlink" Target="https://www.google.com/search?newwindow=1&amp;ei=2MT0XrvGGM-vytMP1OyDgAY&amp;q=site%3Alinkedin.com+Ferrin+Decker+Senior+Manager+Advisory+Campus+Recruiting+PwC" TargetMode="External"/><Relationship Id="rId702" Type="http://schemas.openxmlformats.org/officeDocument/2006/relationships/hyperlink" Target="https://www.google.com/search?newwindow=1&amp;ei=2MT0XrvGGM-vytMP1OyDgAY&amp;q=site%3Alinkedin.com+Regina+Manansala+Campus+Recruiting+Manager+KPMG" TargetMode="External"/><Relationship Id="rId944" Type="http://schemas.openxmlformats.org/officeDocument/2006/relationships/hyperlink" Target="https://www.google.com/search?newwindow=1&amp;ei=2MT0XrvGGM-vytMP1OyDgAY&amp;q=site%3Alinkedin.com+Lauren+Thomas+Campus+Talent+ID+Recruiter+PwC" TargetMode="External"/><Relationship Id="rId73" Type="http://schemas.openxmlformats.org/officeDocument/2006/relationships/hyperlink" Target="https://www.google.com/search?newwindow=1&amp;ei=2MT0XrvGGM-vytMP1OyDgAY&amp;q=site%3Alinkedin.com+Stephanie+Kang+University+Recruiter+Amazon" TargetMode="External"/><Relationship Id="rId72" Type="http://schemas.openxmlformats.org/officeDocument/2006/relationships/hyperlink" Target="https://www.google.com/search?newwindow=1&amp;ei=2MT0XrvGGM-vytMP1OyDgAY&amp;q=site%3Alinkedin.com+David+Magnotta+Lead+University+Recruiter+(Recruiter+II)+Amazon" TargetMode="External"/><Relationship Id="rId75" Type="http://schemas.openxmlformats.org/officeDocument/2006/relationships/hyperlink" Target="https://www.google.com/search?newwindow=1&amp;ei=2MT0XrvGGM-vytMP1OyDgAY&amp;q=site%3Alinkedin.com+Jessica+Shellan+University+Recruiter+Amazon" TargetMode="External"/><Relationship Id="rId74" Type="http://schemas.openxmlformats.org/officeDocument/2006/relationships/hyperlink" Target="https://www.google.com/search?newwindow=1&amp;ei=2MT0XrvGGM-vytMP1OyDgAY&amp;q=site%3Alinkedin.com+Andreea+Patruta+University+Tech+Recruiter+Amazon" TargetMode="External"/><Relationship Id="rId77" Type="http://schemas.openxmlformats.org/officeDocument/2006/relationships/hyperlink" Target="https://www.google.com/search?newwindow=1&amp;ei=2MT0XrvGGM-vytMP1OyDgAY&amp;q=site%3Alinkedin.com+Sharon+Kim+University+Recruiter+Amazon" TargetMode="External"/><Relationship Id="rId76" Type="http://schemas.openxmlformats.org/officeDocument/2006/relationships/hyperlink" Target="https://www.google.com/search?newwindow=1&amp;ei=2MT0XrvGGM-vytMP1OyDgAY&amp;q=site%3Alinkedin.com+Joshua+Ng+University+Operations+Recruiter+Amazon" TargetMode="External"/><Relationship Id="rId79" Type="http://schemas.openxmlformats.org/officeDocument/2006/relationships/hyperlink" Target="https://www.google.com/search?newwindow=1&amp;ei=2MT0XrvGGM-vytMP1OyDgAY&amp;q=site%3Alinkedin.com+Shreya+Shah+University+Operations+Recruiter+(Non-Tech)+Amazon" TargetMode="External"/><Relationship Id="rId78" Type="http://schemas.openxmlformats.org/officeDocument/2006/relationships/hyperlink" Target="https://www.google.com/search?newwindow=1&amp;ei=2MT0XrvGGM-vytMP1OyDgAY&amp;q=site%3Alinkedin.com+Jennifer+Lindquist+University+Recruiter+-+Operations+Amazon" TargetMode="External"/><Relationship Id="rId939" Type="http://schemas.openxmlformats.org/officeDocument/2006/relationships/hyperlink" Target="https://www.google.com/search?newwindow=1&amp;ei=2MT0XrvGGM-vytMP1OyDgAY&amp;q=site%3Alinkedin.com+Lauren+Suttner+Campus+Recruiting+Manager+PwC" TargetMode="External"/><Relationship Id="rId938" Type="http://schemas.openxmlformats.org/officeDocument/2006/relationships/hyperlink" Target="https://www.google.com/search?newwindow=1&amp;ei=2MT0XrvGGM-vytMP1OyDgAY&amp;q=site%3Alinkedin.com+Julie+Mims+Campus+Talent+Acquisition+Manager+PwC" TargetMode="External"/><Relationship Id="rId937" Type="http://schemas.openxmlformats.org/officeDocument/2006/relationships/hyperlink" Target="https://www.google.com/search?newwindow=1&amp;ei=2MT0XrvGGM-vytMP1OyDgAY&amp;q=site%3Alinkedin.com+Teryl+Booth+Campus+Recruiting+Manager+PwC" TargetMode="External"/><Relationship Id="rId71" Type="http://schemas.openxmlformats.org/officeDocument/2006/relationships/hyperlink" Target="https://www.google.com/search?newwindow=1&amp;ei=2MT0XrvGGM-vytMP1OyDgAY&amp;q=site%3Alinkedin.com+J.J.+Wilford+University+Operations+Recruiter+Amazon" TargetMode="External"/><Relationship Id="rId70" Type="http://schemas.openxmlformats.org/officeDocument/2006/relationships/hyperlink" Target="https://www.google.com/search?newwindow=1&amp;ei=2MT0XrvGGM-vytMP1OyDgAY&amp;q=site%3Alinkedin.com+Zack+Summers+University+Recruiter+Amazon" TargetMode="External"/><Relationship Id="rId932" Type="http://schemas.openxmlformats.org/officeDocument/2006/relationships/hyperlink" Target="https://www.google.com/search?newwindow=1&amp;ei=2MT0XrvGGM-vytMP1OyDgAY&amp;q=site%3Alinkedin.com+Jennifer+Kaniewski+HR+&amp;+Campus+Recruiting+Manager+PricewaterhouseCoopers" TargetMode="External"/><Relationship Id="rId931" Type="http://schemas.openxmlformats.org/officeDocument/2006/relationships/hyperlink" Target="https://www.google.com/search?newwindow=1&amp;ei=2MT0XrvGGM-vytMP1OyDgAY&amp;q=site%3Alinkedin.com+Karen+Putnam+Campus+Recruiting+Manager+PricewaterhouseCoopers" TargetMode="External"/><Relationship Id="rId930" Type="http://schemas.openxmlformats.org/officeDocument/2006/relationships/hyperlink" Target="https://www.google.com/search?newwindow=1&amp;ei=2MT0XrvGGM-vytMP1OyDgAY&amp;q=site%3Alinkedin.com+Corinne+Santos+Campus+Recruiter+PricewaterhouseCoopers" TargetMode="External"/><Relationship Id="rId936" Type="http://schemas.openxmlformats.org/officeDocument/2006/relationships/hyperlink" Target="https://www.google.com/search?newwindow=1&amp;ei=2MT0XrvGGM-vytMP1OyDgAY&amp;q=site%3Alinkedin.com+Allyson+Cowden+Campus+Recruiting+Manager+PwC" TargetMode="External"/><Relationship Id="rId935" Type="http://schemas.openxmlformats.org/officeDocument/2006/relationships/hyperlink" Target="https://www.google.com/search?newwindow=1&amp;ei=2MT0XrvGGM-vytMP1OyDgAY&amp;q=site%3Alinkedin.com+Kim+Kueper+Campus+Recruiter+PricewaterhouseCoopers" TargetMode="External"/><Relationship Id="rId934" Type="http://schemas.openxmlformats.org/officeDocument/2006/relationships/hyperlink" Target="https://www.google.com/search?newwindow=1&amp;ei=2MT0XrvGGM-vytMP1OyDgAY&amp;q=site%3Alinkedin.com+Angela+Helbing+Manager+of+Campus+Recruiting+PricewaterhouseCoopers" TargetMode="External"/><Relationship Id="rId933" Type="http://schemas.openxmlformats.org/officeDocument/2006/relationships/hyperlink" Target="https://www.google.com/search?newwindow=1&amp;ei=2MT0XrvGGM-vytMP1OyDgAY&amp;q=site%3Alinkedin.com+Kurt+Peterson+Campus+Recruiting+Manager+PricewaterhouseCoopers" TargetMode="External"/><Relationship Id="rId62" Type="http://schemas.openxmlformats.org/officeDocument/2006/relationships/hyperlink" Target="https://www.google.com/search?newwindow=1&amp;ei=2MT0XrvGGM-vytMP1OyDgAY&amp;q=site%3Alinkedin.com+Henal+Majethia+Operations+University+Recruiter+Amazon" TargetMode="External"/><Relationship Id="rId61" Type="http://schemas.openxmlformats.org/officeDocument/2006/relationships/hyperlink" Target="https://www.google.com/search?newwindow=1&amp;ei=2MT0XrvGGM-vytMP1OyDgAY&amp;q=site%3Alinkedin.com+Nimon+Macid+University+Recruiter+Amazon" TargetMode="External"/><Relationship Id="rId64" Type="http://schemas.openxmlformats.org/officeDocument/2006/relationships/hyperlink" Target="https://www.google.com/search?newwindow=1&amp;ei=2MT0XrvGGM-vytMP1OyDgAY&amp;q=site%3Alinkedin.com+Teresa+Landry+University+Recruiter+(Contract)+Amazon" TargetMode="External"/><Relationship Id="rId63" Type="http://schemas.openxmlformats.org/officeDocument/2006/relationships/hyperlink" Target="https://www.google.com/search?newwindow=1&amp;ei=2MT0XrvGGM-vytMP1OyDgAY&amp;q=site%3Alinkedin.com+Luann+A.+University+Recruiter-+HR+Operations+Amazon" TargetMode="External"/><Relationship Id="rId66" Type="http://schemas.openxmlformats.org/officeDocument/2006/relationships/hyperlink" Target="https://www.google.com/search?newwindow=1&amp;ei=2MT0XrvGGM-vytMP1OyDgAY&amp;q=site%3Alinkedin.com+Macarena+Arceo+University+Recruiter+-+Ops+Amazon" TargetMode="External"/><Relationship Id="rId65" Type="http://schemas.openxmlformats.org/officeDocument/2006/relationships/hyperlink" Target="https://www.google.com/search?newwindow=1&amp;ei=2MT0XrvGGM-vytMP1OyDgAY&amp;q=site%3Alinkedin.com+Lucas+Burton+Recruiter+-+University+Operations+Amazon" TargetMode="External"/><Relationship Id="rId68" Type="http://schemas.openxmlformats.org/officeDocument/2006/relationships/hyperlink" Target="https://www.google.com/search?newwindow=1&amp;ei=2MT0XrvGGM-vytMP1OyDgAY&amp;q=site%3Alinkedin.com+Jessie+Flores+University+Recruiter/Sourcer+l+and+ll+Amazon" TargetMode="External"/><Relationship Id="rId67" Type="http://schemas.openxmlformats.org/officeDocument/2006/relationships/hyperlink" Target="https://www.google.com/search?newwindow=1&amp;ei=2MT0XrvGGM-vytMP1OyDgAY&amp;q=site%3Alinkedin.com+Debora+P.+University+Recruiter-+Worldwide+Operations+Team+Amazon" TargetMode="External"/><Relationship Id="rId729" Type="http://schemas.openxmlformats.org/officeDocument/2006/relationships/hyperlink" Target="https://www.google.com/search?newwindow=1&amp;ei=2MT0XrvGGM-vytMP1OyDgAY&amp;q=site%3Alinkedin.com+Tiffany+Taylor+Campus+Recruiter+Liberty+Mutual+Insurance" TargetMode="External"/><Relationship Id="rId728" Type="http://schemas.openxmlformats.org/officeDocument/2006/relationships/hyperlink" Target="https://www.google.com/search?newwindow=1&amp;ei=2MT0XrvGGM-vytMP1OyDgAY&amp;q=site%3Alinkedin.com+Mindy+Holt+Senior+Campus+Recruiter+I+Tech+Liberty+Mutual+Insurance" TargetMode="External"/><Relationship Id="rId60" Type="http://schemas.openxmlformats.org/officeDocument/2006/relationships/hyperlink" Target="https://www.google.com/search?newwindow=1&amp;ei=2MT0XrvGGM-vytMP1OyDgAY&amp;q=site%3Alinkedin.com+Symone+Black+University+Recruiter+II+Amazon" TargetMode="External"/><Relationship Id="rId723" Type="http://schemas.openxmlformats.org/officeDocument/2006/relationships/hyperlink" Target="https://www.google.com/search?newwindow=1&amp;ei=2MT0XrvGGM-vytMP1OyDgAY&amp;q=site%3Alinkedin.com+Kimberly+Myers+Campus+Recruiter+Liberty+Mutual+Insurance" TargetMode="External"/><Relationship Id="rId965" Type="http://schemas.openxmlformats.org/officeDocument/2006/relationships/hyperlink" Target="https://www.google.com/search?newwindow=1&amp;ei=2MT0XrvGGM-vytMP1OyDgAY&amp;q=site%3Alinkedin.com+Sara+Cho+Technical+University+Recruiter+Qualtrics" TargetMode="External"/><Relationship Id="rId722" Type="http://schemas.openxmlformats.org/officeDocument/2006/relationships/hyperlink" Target="https://www.google.com/search?newwindow=1&amp;ei=2MT0XrvGGM-vytMP1OyDgAY&amp;q=site%3Alinkedin.com+Renee+T.+Campus+Recruiting+Manager+-+Advisory+&amp;+Tax+Primary+Recruiter+KPMG+US" TargetMode="External"/><Relationship Id="rId964" Type="http://schemas.openxmlformats.org/officeDocument/2006/relationships/hyperlink" Target="https://www.google.com/search?newwindow=1&amp;ei=2MT0XrvGGM-vytMP1OyDgAY&amp;q=site%3Alinkedin.com+Tatiana+Messersmith+University+Recruiter+Qualtrics" TargetMode="External"/><Relationship Id="rId721" Type="http://schemas.openxmlformats.org/officeDocument/2006/relationships/hyperlink" Target="https://www.google.com/search?newwindow=1&amp;ei=2MT0XrvGGM-vytMP1OyDgAY&amp;q=site%3Alinkedin.com+Renee+T.+Campus+Recruiting+Manager+-+Advisory+&amp;+Tax+Primary+Recruiter+KPMG+US" TargetMode="External"/><Relationship Id="rId963" Type="http://schemas.openxmlformats.org/officeDocument/2006/relationships/hyperlink" Target="https://www.google.com/search?newwindow=1&amp;ei=2MT0XrvGGM-vytMP1OyDgAY&amp;q=site%3Alinkedin.com+Sarah+Brewster+Technical+University+Recruiter+Qualtrics" TargetMode="External"/><Relationship Id="rId720" Type="http://schemas.openxmlformats.org/officeDocument/2006/relationships/hyperlink" Target="https://www.google.com/search?newwindow=1&amp;ei=2MT0XrvGGM-vytMP1OyDgAY&amp;q=site%3Alinkedin.com+Brianna+Peipert+Associate+Campus+Recruiter+KPMG+US" TargetMode="External"/><Relationship Id="rId962" Type="http://schemas.openxmlformats.org/officeDocument/2006/relationships/hyperlink" Target="https://www.google.com/search?newwindow=1&amp;ei=2MT0XrvGGM-vytMP1OyDgAY&amp;q=site%3Alinkedin.com+Harmony+Rose+Morkve+University+Recruiter+Qualtrics" TargetMode="External"/><Relationship Id="rId727" Type="http://schemas.openxmlformats.org/officeDocument/2006/relationships/hyperlink" Target="https://www.google.com/search?newwindow=1&amp;ei=2MT0XrvGGM-vytMP1OyDgAY&amp;q=site%3Alinkedin.com+Allison+Campbell+Campus+Recruiter+Intern+Liberty+Mutual+Insurance" TargetMode="External"/><Relationship Id="rId969" Type="http://schemas.openxmlformats.org/officeDocument/2006/relationships/hyperlink" Target="https://www.google.com/search?newwindow=1&amp;ei=2MT0XrvGGM-vytMP1OyDgAY&amp;q=site%3Alinkedin.com+Katie+Tuthill+University+Programs+Recruiter+Raytheon" TargetMode="External"/><Relationship Id="rId726" Type="http://schemas.openxmlformats.org/officeDocument/2006/relationships/hyperlink" Target="https://www.google.com/search?newwindow=1&amp;ei=2MT0XrvGGM-vytMP1OyDgAY&amp;q=site%3Alinkedin.com+Daniel+McCarthy+Campus+Recruiter+Liberty+Mutual+Insurance" TargetMode="External"/><Relationship Id="rId968" Type="http://schemas.openxmlformats.org/officeDocument/2006/relationships/hyperlink" Target="https://www.google.com/search?newwindow=1&amp;ei=2MT0XrvGGM-vytMP1OyDgAY&amp;q=site%3Alinkedin.com+Jennifer+Smyth+Recruiter+Raytheon" TargetMode="External"/><Relationship Id="rId725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967" Type="http://schemas.openxmlformats.org/officeDocument/2006/relationships/hyperlink" Target="https://www.google.com/search?newwindow=1&amp;ei=2MT0XrvGGM-vytMP1OyDgAY&amp;q=site%3Alinkedin.com+Michelle+Ciak+University+Programs+Recruiter+Raytheon" TargetMode="External"/><Relationship Id="rId724" Type="http://schemas.openxmlformats.org/officeDocument/2006/relationships/hyperlink" Target="https://www.google.com/search?newwindow=1&amp;ei=2MT0XrvGGM-vytMP1OyDgAY&amp;q=site%3Alinkedin.com+Lauren+Fitzgibbon+Senior+Campus+Recruiter+Liberty+Mutual+Insurance" TargetMode="External"/><Relationship Id="rId966" Type="http://schemas.openxmlformats.org/officeDocument/2006/relationships/hyperlink" Target="https://www.google.com/search?newwindow=1&amp;ei=2MT0XrvGGM-vytMP1OyDgAY&amp;q=site%3Alinkedin.com+Brigid+Sullivan+University+Programs+Recruiter+Raytheon" TargetMode="External"/><Relationship Id="rId69" Type="http://schemas.openxmlformats.org/officeDocument/2006/relationships/hyperlink" Target="https://www.google.com/search?newwindow=1&amp;ei=2MT0XrvGGM-vytMP1OyDgAY&amp;q=site%3Alinkedin.com+Jewel+Rose+University+Recruiter+Amazon" TargetMode="External"/><Relationship Id="rId961" Type="http://schemas.openxmlformats.org/officeDocument/2006/relationships/hyperlink" Target="https://www.google.com/search?newwindow=1&amp;ei=2MT0XrvGGM-vytMP1OyDgAY&amp;q=site%3Alinkedin.com+Meredith+TenHoeve+Campus+Recruiting+Manager+PwC" TargetMode="External"/><Relationship Id="rId960" Type="http://schemas.openxmlformats.org/officeDocument/2006/relationships/hyperlink" Target="https://www.google.com/search?newwindow=1&amp;ei=2MT0XrvGGM-vytMP1OyDgAY&amp;q=site%3Alinkedin.com+Emily+Jones+Campus+Recruiter+PwC" TargetMode="External"/><Relationship Id="rId51" Type="http://schemas.openxmlformats.org/officeDocument/2006/relationships/hyperlink" Target="https://www.google.com/search?newwindow=1&amp;ei=2MT0XrvGGM-vytMP1OyDgAY&amp;q=site%3Alinkedin.com+Anna+McQuaid+Recruiter+-+University+Ops+Amazon" TargetMode="External"/><Relationship Id="rId50" Type="http://schemas.openxmlformats.org/officeDocument/2006/relationships/hyperlink" Target="https://www.google.com/search?newwindow=1&amp;ei=2MT0XrvGGM-vytMP1OyDgAY&amp;q=site%3Alinkedin.com+Nina+Pantich+University+Recruiter+Amazon" TargetMode="External"/><Relationship Id="rId53" Type="http://schemas.openxmlformats.org/officeDocument/2006/relationships/hyperlink" Target="https://www.google.com/search?newwindow=1&amp;ei=2MT0XrvGGM-vytMP1OyDgAY&amp;q=site%3Alinkedin.com+Vannessa+Trahan+Client+Lead+University+Recruiter+Amazon" TargetMode="External"/><Relationship Id="rId52" Type="http://schemas.openxmlformats.org/officeDocument/2006/relationships/hyperlink" Target="https://www.google.com/search?newwindow=1&amp;ei=2MT0XrvGGM-vytMP1OyDgAY&amp;q=site%3Alinkedin.com+Olivia+Hopkins+University+Recruiter+-+Corporate+Operations+Amazon" TargetMode="External"/><Relationship Id="rId55" Type="http://schemas.openxmlformats.org/officeDocument/2006/relationships/hyperlink" Target="https://www.google.com/search?newwindow=1&amp;ei=2MT0XrvGGM-vytMP1OyDgAY&amp;q=site%3Alinkedin.com+Kristen+Stygar+University+Recruiter+Amazon" TargetMode="External"/><Relationship Id="rId54" Type="http://schemas.openxmlformats.org/officeDocument/2006/relationships/hyperlink" Target="https://www.google.com/search?newwindow=1&amp;ei=2MT0XrvGGM-vytMP1OyDgAY&amp;q=site%3Alinkedin.com+Jennifer+Sula+University+Recruiter+Amazon" TargetMode="External"/><Relationship Id="rId57" Type="http://schemas.openxmlformats.org/officeDocument/2006/relationships/hyperlink" Target="https://www.google.com/search?newwindow=1&amp;ei=2MT0XrvGGM-vytMP1OyDgAY&amp;q=site%3Alinkedin.com+Dillon+Draper+University+Operations+Recruiter+Amazon" TargetMode="External"/><Relationship Id="rId56" Type="http://schemas.openxmlformats.org/officeDocument/2006/relationships/hyperlink" Target="https://www.google.com/search?newwindow=1&amp;ei=2MT0XrvGGM-vytMP1OyDgAY&amp;q=site%3Alinkedin.com+Angelica+Loya+University+Recruiter+-+Amazon+Amazon" TargetMode="External"/><Relationship Id="rId719" Type="http://schemas.openxmlformats.org/officeDocument/2006/relationships/hyperlink" Target="https://www.google.com/search?newwindow=1&amp;ei=2MT0XrvGGM-vytMP1OyDgAY&amp;q=site%3Alinkedin.com+Torie+Prothro+Campus+Recruiter+KPMG+US" TargetMode="External"/><Relationship Id="rId718" Type="http://schemas.openxmlformats.org/officeDocument/2006/relationships/hyperlink" Target="https://www.google.com/search?newwindow=1&amp;ei=2MT0XrvGGM-vytMP1OyDgAY&amp;q=site%3Alinkedin.com+Solveig+Haugen+Campus+Recruiter+KPMG+US" TargetMode="External"/><Relationship Id="rId717" Type="http://schemas.openxmlformats.org/officeDocument/2006/relationships/hyperlink" Target="https://www.google.com/search?newwindow=1&amp;ei=2MT0XrvGGM-vytMP1OyDgAY&amp;q=site%3Alinkedin.com+Naomi+Kim+Campus+Recruiting+Manager+KPMG+US" TargetMode="External"/><Relationship Id="rId959" Type="http://schemas.openxmlformats.org/officeDocument/2006/relationships/hyperlink" Target="https://www.google.com/search?newwindow=1&amp;ei=2MT0XrvGGM-vytMP1OyDgAY&amp;q=site%3Alinkedin.com+Kim+Kueper+Campus+Recruiter+PwC" TargetMode="External"/><Relationship Id="rId712" Type="http://schemas.openxmlformats.org/officeDocument/2006/relationships/hyperlink" Target="https://www.google.com/search?newwindow=1&amp;ei=2MT0XrvGGM-vytMP1OyDgAY&amp;q=site%3Alinkedin.com+Jenna+R.+Campus+Recruiting+Manager+KPMG+US" TargetMode="External"/><Relationship Id="rId954" Type="http://schemas.openxmlformats.org/officeDocument/2006/relationships/hyperlink" Target="https://www.google.com/search?newwindow=1&amp;ei=2MT0XrvGGM-vytMP1OyDgAY&amp;q=site%3Alinkedin.com+Danielle+(.+Talent+Acquisition+Manager+PwC" TargetMode="External"/><Relationship Id="rId711" Type="http://schemas.openxmlformats.org/officeDocument/2006/relationships/hyperlink" Target="https://www.google.com/search?newwindow=1&amp;ei=2MT0XrvGGM-vytMP1OyDgAY&amp;q=site%3Alinkedin.com+Liz+Trevor+Primary+Recruiting+Manager+for+LA/OC+Advisory:+Campus+Recruiting+KPMG+US" TargetMode="External"/><Relationship Id="rId953" Type="http://schemas.openxmlformats.org/officeDocument/2006/relationships/hyperlink" Target="https://www.google.com/search?newwindow=1&amp;ei=2MT0XrvGGM-vytMP1OyDgAY&amp;q=site%3Alinkedin.com+Aileen+Meade+Assurance+Business+Recruiting+Manager+PwC" TargetMode="External"/><Relationship Id="rId710" Type="http://schemas.openxmlformats.org/officeDocument/2006/relationships/hyperlink" Target="https://www.google.com/search?newwindow=1&amp;ei=2MT0XrvGGM-vytMP1OyDgAY&amp;q=site%3Alinkedin.com+Haley+Barton+Associate+Campus+Recruiter+KPMG+US" TargetMode="External"/><Relationship Id="rId952" Type="http://schemas.openxmlformats.org/officeDocument/2006/relationships/hyperlink" Target="https://www.google.com/search?newwindow=1&amp;ei=2MT0XrvGGM-vytMP1OyDgAY&amp;q=site%3Alinkedin.com+Federico+E.+Campus+Recruiting+Manager+PwC" TargetMode="External"/><Relationship Id="rId951" Type="http://schemas.openxmlformats.org/officeDocument/2006/relationships/hyperlink" Target="https://www.google.com/search?newwindow=1&amp;ei=2MT0XrvGGM-vytMP1OyDgAY&amp;q=site%3Alinkedin.com+Anny+Liang+Early+Talent+Campus+Recruiter+PwC" TargetMode="External"/><Relationship Id="rId716" Type="http://schemas.openxmlformats.org/officeDocument/2006/relationships/hyperlink" Target="https://www.google.com/search?newwindow=1&amp;ei=2MT0XrvGGM-vytMP1OyDgAY&amp;q=site%3Alinkedin.com+Avery+Ching+Senior+Associate+-+Campus+Recruiter+KPMG+US" TargetMode="External"/><Relationship Id="rId958" Type="http://schemas.openxmlformats.org/officeDocument/2006/relationships/hyperlink" Target="https://www.google.com/search?newwindow=1&amp;ei=2MT0XrvGGM-vytMP1OyDgAY&amp;q=site%3Alinkedin.com+Jess+Bailey+Campus+Recruiting+Manager+PwC" TargetMode="External"/><Relationship Id="rId715" Type="http://schemas.openxmlformats.org/officeDocument/2006/relationships/hyperlink" Target="https://www.google.com/search?newwindow=1&amp;ei=2MT0XrvGGM-vytMP1OyDgAY&amp;q=site%3Alinkedin.com+Jennifer+Stoch+Associate+Campus+Recruiter+KPMG+US" TargetMode="External"/><Relationship Id="rId957" Type="http://schemas.openxmlformats.org/officeDocument/2006/relationships/hyperlink" Target="https://www.google.com/search?newwindow=1&amp;ei=2MT0XrvGGM-vytMP1OyDgAY&amp;q=site%3Alinkedin.com+Laura+Chapman+Campus+Recruiting+Senior+Manager+PwC" TargetMode="External"/><Relationship Id="rId714" Type="http://schemas.openxmlformats.org/officeDocument/2006/relationships/hyperlink" Target="https://www.google.com/search?newwindow=1&amp;ei=2MT0XrvGGM-vytMP1OyDgAY&amp;q=site%3Alinkedin.com+Alsa+Le+Bailly+Campus+Recruiter+KPMG+US" TargetMode="External"/><Relationship Id="rId956" Type="http://schemas.openxmlformats.org/officeDocument/2006/relationships/hyperlink" Target="https://www.google.com/search?newwindow=1&amp;ei=2MT0XrvGGM-vytMP1OyDgAY&amp;q=site%3Alinkedin.com+Shanike+Young+Campus+Recruiter+PwC" TargetMode="External"/><Relationship Id="rId713" Type="http://schemas.openxmlformats.org/officeDocument/2006/relationships/hyperlink" Target="https://www.google.com/search?newwindow=1&amp;ei=2MT0XrvGGM-vytMP1OyDgAY&amp;q=site%3Alinkedin.com+Kate+McClain+Campus+Recruiting+Manager+KPMG+US" TargetMode="External"/><Relationship Id="rId955" Type="http://schemas.openxmlformats.org/officeDocument/2006/relationships/hyperlink" Target="https://www.google.com/search?newwindow=1&amp;ei=2MT0XrvGGM-vytMP1OyDgAY&amp;q=site%3Alinkedin.com+Jia+C.+Campus+Recruiting+Manager+PwC" TargetMode="External"/><Relationship Id="rId59" Type="http://schemas.openxmlformats.org/officeDocument/2006/relationships/hyperlink" Target="https://www.google.com/search?newwindow=1&amp;ei=2MT0XrvGGM-vytMP1OyDgAY&amp;q=site%3Alinkedin.com+Kinnera+Kokulla+University+Ops+recruiter+Amazon" TargetMode="External"/><Relationship Id="rId58" Type="http://schemas.openxmlformats.org/officeDocument/2006/relationships/hyperlink" Target="https://www.google.com/search?newwindow=1&amp;ei=2MT0XrvGGM-vytMP1OyDgAY&amp;q=site%3Alinkedin.com+Jessica+Campbell+University+Recruiter-Ops+TA+Amazon" TargetMode="External"/><Relationship Id="rId950" Type="http://schemas.openxmlformats.org/officeDocument/2006/relationships/hyperlink" Target="https://www.google.com/search?newwindow=1&amp;ei=2MT0XrvGGM-vytMP1OyDgAY&amp;q=site%3Alinkedin.com+Amanda+Garcia+Southwest+Tax+Campus+Recruiting+Manager+PwC" TargetMode="External"/><Relationship Id="rId590" Type="http://schemas.openxmlformats.org/officeDocument/2006/relationships/hyperlink" Target="https://www.google.com/search?newwindow=1&amp;ei=2MT0XrvGGM-vytMP1OyDgAY&amp;q=site%3Alinkedin.com+Padraic+Smith+Technical+University+Recruiter+Google" TargetMode="External"/><Relationship Id="rId107" Type="http://schemas.openxmlformats.org/officeDocument/2006/relationships/hyperlink" Target="https://www.google.com/search?newwindow=1&amp;ei=2MT0XrvGGM-vytMP1OyDgAY&amp;q=site%3Alinkedin.com+Stephanie+Parks+University+Relations+Recruiter+Apple" TargetMode="External"/><Relationship Id="rId349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106" Type="http://schemas.openxmlformats.org/officeDocument/2006/relationships/hyperlink" Target="https://www.google.com/search?newwindow=1&amp;ei=2MT0XrvGGM-vytMP1OyDgAY&amp;q=site%3Alinkedin.com+Chanelle+Yee+University+Relations+Recruiter+Apple" TargetMode="External"/><Relationship Id="rId348" Type="http://schemas.openxmlformats.org/officeDocument/2006/relationships/hyperlink" Target="https://www.google.com/search?newwindow=1&amp;ei=2MT0XrvGGM-vytMP1OyDgAY&amp;q=site%3Alinkedin.com+Janessa+Harkley+Campus+Recruiter+Dixon+Hughes+Goodman+LLP" TargetMode="External"/><Relationship Id="rId105" Type="http://schemas.openxmlformats.org/officeDocument/2006/relationships/hyperlink" Target="https://www.google.com/search?newwindow=1&amp;ei=2MT0XrvGGM-vytMP1OyDgAY&amp;q=site%3Alinkedin.com+Gretchen+Farr+Senior+Technical+Recruiter+-++University+Relations+-+Operations+&amp;+Software+Engineering+Apple" TargetMode="External"/><Relationship Id="rId347" Type="http://schemas.openxmlformats.org/officeDocument/2006/relationships/hyperlink" Target="https://www.google.com/search?newwindow=1&amp;ei=2MT0XrvGGM-vytMP1OyDgAY&amp;q=site%3Alinkedin.com+Demi+Evans+University+Relations+Recruiter+Dish+Network" TargetMode="External"/><Relationship Id="rId589" Type="http://schemas.openxmlformats.org/officeDocument/2006/relationships/hyperlink" Target="https://www.google.com/search?newwindow=1&amp;ei=2MT0XrvGGM-vytMP1OyDgAY&amp;q=site%3Alinkedin.com+Andrew+Purtle+Cloud+Recruiter+Google" TargetMode="External"/><Relationship Id="rId104" Type="http://schemas.openxmlformats.org/officeDocument/2006/relationships/hyperlink" Target="https://www.google.com/search?newwindow=1&amp;ei=2MT0XrvGGM-vytMP1OyDgAY&amp;q=site%3Alinkedin.com+Woanhwa+(Winnie)+Feng+University+Relations+Recruiter+Apple" TargetMode="External"/><Relationship Id="rId346" Type="http://schemas.openxmlformats.org/officeDocument/2006/relationships/hyperlink" Target="https://www.google.com/search?newwindow=1&amp;ei=2MT0XrvGGM-vytMP1OyDgAY&amp;q=site%3Alinkedin.com+Chloe+Mercado+University+Relations+Recruiter+Dish+Network" TargetMode="External"/><Relationship Id="rId588" Type="http://schemas.openxmlformats.org/officeDocument/2006/relationships/hyperlink" Target="https://www.google.com/search?newwindow=1&amp;ei=2MT0XrvGGM-vytMP1OyDgAY&amp;q=site%3Alinkedin.com+Jessica+Wickers+Program+Manager+Google" TargetMode="External"/><Relationship Id="rId109" Type="http://schemas.openxmlformats.org/officeDocument/2006/relationships/hyperlink" Target="https://www.google.com/search?newwindow=1&amp;ei=2MT0XrvGGM-vytMP1OyDgAY&amp;q=site%3Alinkedin.com+Rich+Heffernan+Sr.+College+Recruiter+AT+&amp;T" TargetMode="External"/><Relationship Id="rId1170" Type="http://schemas.openxmlformats.org/officeDocument/2006/relationships/hyperlink" Target="https://www.google.com/search?newwindow=1&amp;ei=2MT0XrvGGM-vytMP1OyDgAY&amp;q=site%3Alinkedin.com+Brandon+Kayhes+Campus+Recruiter+Wells+Fargo" TargetMode="External"/><Relationship Id="rId108" Type="http://schemas.openxmlformats.org/officeDocument/2006/relationships/hyperlink" Target="https://www.google.com/search?newwindow=1&amp;ei=2MT0XrvGGM-vytMP1OyDgAY&amp;q=site%3Alinkedin.com+Mary+Rose+Moynihan+University+Relations+Recruiter+-+R&amp;D+Apple" TargetMode="External"/><Relationship Id="rId1171" Type="http://schemas.openxmlformats.org/officeDocument/2006/relationships/hyperlink" Target="https://www.google.com/search?newwindow=1&amp;ei=2MT0XrvGGM-vytMP1OyDgAY&amp;q=site%3Alinkedin.com+Cathy+Amezcua+Nikrooz+Senior+Wholesale+Campus+Recruiter+Wells+Fargo" TargetMode="External"/><Relationship Id="rId341" Type="http://schemas.openxmlformats.org/officeDocument/2006/relationships/hyperlink" Target="https://www.google.com/search?newwindow=1&amp;ei=2MT0XrvGGM-vytMP1OyDgAY&amp;q=site%3Alinkedin.com+Catherine+Casey+Senior+MBA+Campus+Recruiter+Deloitte+Consulting" TargetMode="External"/><Relationship Id="rId583" Type="http://schemas.openxmlformats.org/officeDocument/2006/relationships/hyperlink" Target="https://www.google.com/search?newwindow=1&amp;ei=2MT0XrvGGM-vytMP1OyDgAY&amp;q=site%3Alinkedin.com+Rachel+Dickson+Campus+Technical+Recruiter+(Tech+)+Google" TargetMode="External"/><Relationship Id="rId1172" Type="http://schemas.openxmlformats.org/officeDocument/2006/relationships/hyperlink" Target="https://www.google.com/search?newwindow=1&amp;ei=2MT0XrvGGM-vytMP1OyDgAY&amp;q=site%3Alinkedin.com+Allison+Hill+Campus+Recruiter+Wells+Fargo" TargetMode="External"/><Relationship Id="rId340" Type="http://schemas.openxmlformats.org/officeDocument/2006/relationships/hyperlink" Target="https://www.google.com/search?newwindow=1&amp;ei=2MT0XrvGGM-vytMP1OyDgAY&amp;q=site%3Alinkedin.com+Tracey+King+Campus+Recruiter+Coordinator+Deloitte+Consulting" TargetMode="External"/><Relationship Id="rId582" Type="http://schemas.openxmlformats.org/officeDocument/2006/relationships/hyperlink" Target="https://www.google.com/search?newwindow=1&amp;ei=2MT0XrvGGM-vytMP1OyDgAY&amp;q=site%3Alinkedin.com+Eleni+Martinez+Campus+Recruiter+Google" TargetMode="External"/><Relationship Id="rId1173" Type="http://schemas.openxmlformats.org/officeDocument/2006/relationships/hyperlink" Target="https://www.google.com/search?newwindow=1&amp;ei=2MT0XrvGGM-vytMP1OyDgAY&amp;q=site%3Alinkedin.com+Jane+Johnstone+Campus+Recruiter+Wells+Fargo" TargetMode="External"/><Relationship Id="rId581" Type="http://schemas.openxmlformats.org/officeDocument/2006/relationships/hyperlink" Target="https://www.google.com/search?newwindow=1&amp;ei=2MT0XrvGGM-vytMP1OyDgAY&amp;q=site%3Alinkedin.com+Daryan+Rahimzadeh+Campus+Technical+Recruiter+Google" TargetMode="External"/><Relationship Id="rId1174" Type="http://schemas.openxmlformats.org/officeDocument/2006/relationships/hyperlink" Target="https://www.google.com/search?newwindow=1&amp;ei=2MT0XrvGGM-vytMP1OyDgAY&amp;q=site%3Alinkedin.com+Leah+Stewart+Head+of+Campus+Recruiting+Wells+Fargo" TargetMode="External"/><Relationship Id="rId580" Type="http://schemas.openxmlformats.org/officeDocument/2006/relationships/hyperlink" Target="https://www.google.com/search?newwindow=1&amp;ei=2MT0XrvGGM-vytMP1OyDgAY&amp;q=site%3Alinkedin.com+Crystal+Jenkins+University+Graduate+Recruiter+Google" TargetMode="External"/><Relationship Id="rId1175" Type="http://schemas.openxmlformats.org/officeDocument/2006/relationships/hyperlink" Target="https://www.google.com/search?newwindow=1&amp;ei=2MT0XrvGGM-vytMP1OyDgAY&amp;q=site%3Alinkedin.com+Dianah+May+Campus+Recruiter+Wells+Fargo" TargetMode="External"/><Relationship Id="rId103" Type="http://schemas.openxmlformats.org/officeDocument/2006/relationships/hyperlink" Target="https://www.google.com/search?newwindow=1&amp;ei=2MT0XrvGGM-vytMP1OyDgAY&amp;q=site%3Alinkedin.com+Joanna+Mackow+University+Relations+-+R&amp;D+Recruiter+Apple" TargetMode="External"/><Relationship Id="rId345" Type="http://schemas.openxmlformats.org/officeDocument/2006/relationships/hyperlink" Target="https://www.google.com/search?newwindow=1&amp;ei=2MT0XrvGGM-vytMP1OyDgAY&amp;q=site%3Alinkedin.com+Katy+Franklin+Associate+-+Human+Resources+-+Talent+Sourcing+-+Campus+Recruiter+Deutsche+Bank" TargetMode="External"/><Relationship Id="rId587" Type="http://schemas.openxmlformats.org/officeDocument/2006/relationships/hyperlink" Target="https://www.google.com/search?newwindow=1&amp;ei=2MT0XrvGGM-vytMP1OyDgAY&amp;q=site%3Alinkedin.com+Shea+Bastedo+Tech+University+Recruiter+Google" TargetMode="External"/><Relationship Id="rId1176" Type="http://schemas.openxmlformats.org/officeDocument/2006/relationships/hyperlink" Target="https://www.google.com/search?newwindow=1&amp;ei=2MT0XrvGGM-vytMP1OyDgAY&amp;q=site%3Alinkedin.com+Marissa+Shimada+Campus+Recruiting+Consultant+Wells+Fargo" TargetMode="External"/><Relationship Id="rId102" Type="http://schemas.openxmlformats.org/officeDocument/2006/relationships/hyperlink" Target="https://www.google.com/search?newwindow=1&amp;ei=2MT0XrvGGM-vytMP1OyDgAY&amp;q=site%3Alinkedin.com+Nadya+Shapiro+University+Relations+Recruiter+Apple" TargetMode="External"/><Relationship Id="rId344" Type="http://schemas.openxmlformats.org/officeDocument/2006/relationships/hyperlink" Target="https://www.google.com/search?newwindow=1&amp;ei=2MT0XrvGGM-vytMP1OyDgAY&amp;q=site%3Alinkedin.com+Jennifer+Hadden+Campus+Recruiter+Deutsche+Bank" TargetMode="External"/><Relationship Id="rId586" Type="http://schemas.openxmlformats.org/officeDocument/2006/relationships/hyperlink" Target="https://www.google.com/search?newwindow=1&amp;ei=2MT0XrvGGM-vytMP1OyDgAY&amp;q=site%3Alinkedin.com+Amir+Muhammad+University+Recruiter+Google" TargetMode="External"/><Relationship Id="rId1177" Type="http://schemas.openxmlformats.org/officeDocument/2006/relationships/hyperlink" Target="https://www.google.com/search?newwindow=1&amp;ei=2MT0XrvGGM-vytMP1OyDgAY&amp;q=site%3Alinkedin.com+Jordan+McAdams+Recruiter+-+University+Programs+Wells+Fargo+Securities" TargetMode="External"/><Relationship Id="rId101" Type="http://schemas.openxmlformats.org/officeDocument/2006/relationships/hyperlink" Target="https://www.google.com/search?newwindow=1&amp;ei=2MT0XrvGGM-vytMP1OyDgAY&amp;q=site%3Alinkedin.com+Brooke+Mannelly+University+Relations+Recruiter+Apple" TargetMode="External"/><Relationship Id="rId343" Type="http://schemas.openxmlformats.org/officeDocument/2006/relationships/hyperlink" Target="https://www.google.com/search?newwindow=1&amp;ei=2MT0XrvGGM-vytMP1OyDgAY&amp;q=site%3Alinkedin.com+Mark+McKenzie+Sr.+Campus+Recruiter+Deloitte+Consulting" TargetMode="External"/><Relationship Id="rId585" Type="http://schemas.openxmlformats.org/officeDocument/2006/relationships/hyperlink" Target="https://www.google.com/search?newwindow=1&amp;ei=2MT0XrvGGM-vytMP1OyDgAY&amp;q=site%3Alinkedin.com+Shaina+Conrad+Tech+University+Recruiter+Google" TargetMode="External"/><Relationship Id="rId1178" Type="http://schemas.openxmlformats.org/officeDocument/2006/relationships/hyperlink" Target="https://www.google.com/search?newwindow=1&amp;ei=2MT0XrvGGM-vytMP1OyDgAY&amp;q=site%3Alinkedin.com+Rob+Shanks+Undergraduate+Campus+Recruiter+Wells+Fargo+Securities" TargetMode="External"/><Relationship Id="rId100" Type="http://schemas.openxmlformats.org/officeDocument/2006/relationships/hyperlink" Target="https://www.google.com/search?newwindow=1&amp;ei=2MT0XrvGGM-vytMP1OyDgAY&amp;q=site%3Alinkedin.com+Kayleigh+Bottini+University+Relations+R&amp;D+Recruiter+Apple" TargetMode="External"/><Relationship Id="rId342" Type="http://schemas.openxmlformats.org/officeDocument/2006/relationships/hyperlink" Target="https://www.google.com/search?newwindow=1&amp;ei=2MT0XrvGGM-vytMP1OyDgAY&amp;q=site%3Alinkedin.com+Maria+Kichler+Campus+Recruiter+Deloitte+Consulting" TargetMode="External"/><Relationship Id="rId584" Type="http://schemas.openxmlformats.org/officeDocument/2006/relationships/hyperlink" Target="https://www.google.com/search?newwindow=1&amp;ei=2MT0XrvGGM-vytMP1OyDgAY&amp;q=site%3Alinkedin.com+Monica+Lavin+Campus+Recruiter+Google" TargetMode="External"/><Relationship Id="rId1179" Type="http://schemas.openxmlformats.org/officeDocument/2006/relationships/hyperlink" Target="https://www.google.com/search?newwindow=1&amp;ei=2MT0XrvGGM-vytMP1OyDgAY&amp;q=site%3Alinkedin.com+Virginia+Edahl+Molan+Undergraduate+Campus+Recruiter+at+Wells+Fargo+Securities+Wells+Fargo+Securities" TargetMode="External"/><Relationship Id="rId1169" Type="http://schemas.openxmlformats.org/officeDocument/2006/relationships/hyperlink" Target="https://www.google.com/search?newwindow=1&amp;ei=2MT0XrvGGM-vytMP1OyDgAY&amp;q=site%3Alinkedin.com+Linda+Ma+University+Recruiter/+Intern+Program+Specialist+Waymo" TargetMode="External"/><Relationship Id="rId338" Type="http://schemas.openxmlformats.org/officeDocument/2006/relationships/hyperlink" Target="https://www.google.com/search?newwindow=1&amp;ei=2MT0XrvGGM-vytMP1OyDgAY&amp;q=site%3Alinkedin.com+Allyssa+Tivis+Resource+Manager+Deloitte+Consulting" TargetMode="External"/><Relationship Id="rId337" Type="http://schemas.openxmlformats.org/officeDocument/2006/relationships/hyperlink" Target="https://www.google.com/search?newwindow=1&amp;ei=2MT0XrvGGM-vytMP1OyDgAY&amp;q=site%3Alinkedin.com+Bob+Warmkessel+Campus+Recruiter+Deloitte+Consulting" TargetMode="External"/><Relationship Id="rId579" Type="http://schemas.openxmlformats.org/officeDocument/2006/relationships/hyperlink" Target="https://www.google.com/search?newwindow=1&amp;ei=2MT0XrvGGM-vytMP1OyDgAY&amp;q=site%3Alinkedin.com+Michelle+Figi+UX+Intern+Recruiter+Google" TargetMode="External"/><Relationship Id="rId336" Type="http://schemas.openxmlformats.org/officeDocument/2006/relationships/hyperlink" Target="https://www.google.com/search?newwindow=1&amp;ei=2MT0XrvGGM-vytMP1OyDgAY&amp;q=site%3Alinkedin.com+Leslie+Van+Sant+Campus+Recruiter+Deloitte+Services+LP" TargetMode="External"/><Relationship Id="rId578" Type="http://schemas.openxmlformats.org/officeDocument/2006/relationships/hyperlink" Target="https://www.google.com/search?newwindow=1&amp;ei=2MT0XrvGGM-vytMP1OyDgAY&amp;q=site%3Alinkedin.com+Hayley+Roe+University+Recruiter+Google" TargetMode="External"/><Relationship Id="rId335" Type="http://schemas.openxmlformats.org/officeDocument/2006/relationships/hyperlink" Target="https://www.google.com/search?newwindow=1&amp;ei=2MT0XrvGGM-vytMP1OyDgAY&amp;q=site%3Alinkedin.com+Suzanne+Hansler+Campus+Recruiter+Deloitte+Services+LLP" TargetMode="External"/><Relationship Id="rId577" Type="http://schemas.openxmlformats.org/officeDocument/2006/relationships/hyperlink" Target="https://www.google.com/search?newwindow=1&amp;ei=2MT0XrvGGM-vytMP1OyDgAY&amp;q=site%3Alinkedin.com+Lauren+Urbanski+University+Recruiter+Google" TargetMode="External"/><Relationship Id="rId339" Type="http://schemas.openxmlformats.org/officeDocument/2006/relationships/hyperlink" Target="https://www.google.com/search?newwindow=1&amp;ei=2MT0XrvGGM-vytMP1OyDgAY&amp;q=site%3Alinkedin.com+Carli+Hyatt+Campus+Recruiter+Deloitte+Consulting" TargetMode="External"/><Relationship Id="rId1160" Type="http://schemas.openxmlformats.org/officeDocument/2006/relationships/hyperlink" Target="https://www.google.com/search?newwindow=1&amp;ei=2MT0XrvGGM-vytMP1OyDgAY&amp;q=site%3Alinkedin.com+Carrie+Palmer+Campus+Recruiting+Program+Manager+Wayfair" TargetMode="External"/><Relationship Id="rId330" Type="http://schemas.openxmlformats.org/officeDocument/2006/relationships/hyperlink" Target="https://www.google.com/search?newwindow=1&amp;ei=2MT0XrvGGM-vytMP1OyDgAY&amp;q=site%3Alinkedin.com+Christa+Sublett+Campus+Recruiting+Manager+Deloitte" TargetMode="External"/><Relationship Id="rId572" Type="http://schemas.openxmlformats.org/officeDocument/2006/relationships/hyperlink" Target="https://www.google.com/search?newwindow=1&amp;ei=2MT0XrvGGM-vytMP1OyDgAY&amp;q=site%3Alinkedin.com+Maribel+Velazquez+Engineering+University+Relations+Recruiter+Goldman+Sachs" TargetMode="External"/><Relationship Id="rId1161" Type="http://schemas.openxmlformats.org/officeDocument/2006/relationships/hyperlink" Target="https://www.google.com/search?newwindow=1&amp;ei=2MT0XrvGGM-vytMP1OyDgAY&amp;q=site%3Alinkedin.com+Fallon+Stewart+Campus+Recruiter+Wayfair" TargetMode="External"/><Relationship Id="rId571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+Goldman+Sachs" TargetMode="External"/><Relationship Id="rId1162" Type="http://schemas.openxmlformats.org/officeDocument/2006/relationships/hyperlink" Target="https://www.google.com/search?newwindow=1&amp;ei=2MT0XrvGGM-vytMP1OyDgAY&amp;q=site%3Alinkedin.com+Ryan+Cantwell+Campus+Recruiter+Wayfair" TargetMode="External"/><Relationship Id="rId570" Type="http://schemas.openxmlformats.org/officeDocument/2006/relationships/hyperlink" Target="https://www.google.com/search?newwindow=1&amp;ei=2MT0XrvGGM-vytMP1OyDgAY&amp;q=site%3Alinkedin.com+Nancy+Angelica+Campus+Recruiter+Goldman+Sachs" TargetMode="External"/><Relationship Id="rId1163" Type="http://schemas.openxmlformats.org/officeDocument/2006/relationships/hyperlink" Target="https://www.google.com/search?newwindow=1&amp;ei=2MT0XrvGGM-vytMP1OyDgAY&amp;q=site%3Alinkedin.com+Erica+Matos+Campus+Recruiter+Wayfair" TargetMode="External"/><Relationship Id="rId1164" Type="http://schemas.openxmlformats.org/officeDocument/2006/relationships/hyperlink" Target="https://www.google.com/search?newwindow=1&amp;ei=2MT0XrvGGM-vytMP1OyDgAY&amp;q=site%3Alinkedin.com+Katie+Jones+Campus+Recruiter+II+Wayfair" TargetMode="External"/><Relationship Id="rId334" Type="http://schemas.openxmlformats.org/officeDocument/2006/relationships/hyperlink" Target="https://www.google.com/search?newwindow=1&amp;ei=2MT0XrvGGM-vytMP1OyDgAY&amp;q=site%3Alinkedin.com+Erica+Johnson+Campus+Recruiting+Manager+Deloitte+LP" TargetMode="External"/><Relationship Id="rId576" Type="http://schemas.openxmlformats.org/officeDocument/2006/relationships/hyperlink" Target="https://www.google.com/search?newwindow=1&amp;ei=2MT0XrvGGM-vytMP1OyDgAY&amp;q=site%3Alinkedin.com+Carmen+Cornelius+Cloud+Sales+Recruiter+Google" TargetMode="External"/><Relationship Id="rId1165" Type="http://schemas.openxmlformats.org/officeDocument/2006/relationships/hyperlink" Target="https://www.google.com/search?newwindow=1&amp;ei=2MT0XrvGGM-vytMP1OyDgAY&amp;q=site%3Alinkedin.com+Megan+Williams+Campus+Recruiter+II+Wayfair" TargetMode="External"/><Relationship Id="rId333" Type="http://schemas.openxmlformats.org/officeDocument/2006/relationships/hyperlink" Target="https://www.google.com/search?newwindow=1&amp;ei=2MT0XrvGGM-vytMP1OyDgAY&amp;q=site%3Alinkedin.com+Dawn+John+Northeast+Campus+Recruiting+Leader+Deloitte+&amp;+Touche" TargetMode="External"/><Relationship Id="rId575" Type="http://schemas.openxmlformats.org/officeDocument/2006/relationships/hyperlink" Target="https://www.google.com/search?newwindow=1&amp;ei=2MT0XrvGGM-vytMP1OyDgAY&amp;q=site%3Alinkedin.com+Matt+Breidenbach+University+Programs+Recruiter+Google" TargetMode="External"/><Relationship Id="rId1166" Type="http://schemas.openxmlformats.org/officeDocument/2006/relationships/hyperlink" Target="https://www.google.com/search?newwindow=1&amp;ei=2MT0XrvGGM-vytMP1OyDgAY&amp;q=site%3Alinkedin.com+Chelsea+D.+Campus+Recruiter+Wayfair" TargetMode="External"/><Relationship Id="rId332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574" Type="http://schemas.openxmlformats.org/officeDocument/2006/relationships/hyperlink" Target="https://www.google.com/search?newwindow=1&amp;ei=2MT0XrvGGM-vytMP1OyDgAY&amp;q=site%3Alinkedin.com+Keanna+Carter+University+Tech+Recruiter+Google" TargetMode="External"/><Relationship Id="rId1167" Type="http://schemas.openxmlformats.org/officeDocument/2006/relationships/hyperlink" Target="https://www.google.com/search?newwindow=1&amp;ei=2MT0XrvGGM-vytMP1OyDgAY&amp;q=site%3Alinkedin.com+Milena+Restrepo+MBA+Campus+Recruiter+Co-op+Wayfair" TargetMode="External"/><Relationship Id="rId331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573" Type="http://schemas.openxmlformats.org/officeDocument/2006/relationships/hyperlink" Target="https://www.google.com/search?newwindow=1&amp;ei=2MT0XrvGGM-vytMP1OyDgAY&amp;q=site%3Alinkedin.com+Christine+Ganevsky+Campus+Recruiter+Goldman+Sachs" TargetMode="External"/><Relationship Id="rId1168" Type="http://schemas.openxmlformats.org/officeDocument/2006/relationships/hyperlink" Target="https://www.google.com/search?newwindow=1&amp;ei=2MT0XrvGGM-vytMP1OyDgAY&amp;q=site%3Alinkedin.com+Jennifer+Clerici+University+Recruiter-+Intern+Program+Specialists+Waymo" TargetMode="External"/><Relationship Id="rId370" Type="http://schemas.openxmlformats.org/officeDocument/2006/relationships/hyperlink" Target="https://www.google.com/search?newwindow=1&amp;ei=2MT0XrvGGM-vytMP1OyDgAY&amp;q=site%3Alinkedin.com+Molly+Leighton+National+Assurance+Campus+Recruiting+Lead+Ernst+&amp;+Young" TargetMode="External"/><Relationship Id="rId129" Type="http://schemas.openxmlformats.org/officeDocument/2006/relationships/hyperlink" Target="https://www.google.com/search?newwindow=1&amp;ei=2MT0XrvGGM-vytMP1OyDgAY&amp;q=site%3Alinkedin.com+Lindsey+Everidge+AVP-+College+Recruiter+Bank+of+America" TargetMode="External"/><Relationship Id="rId128" Type="http://schemas.openxmlformats.org/officeDocument/2006/relationships/hyperlink" Target="https://www.google.com/search?newwindow=1&amp;ei=2MT0XrvGGM-vytMP1OyDgAY&amp;q=site%3Alinkedin.com+Conita+Neal+AVP+Campus+Recruiter+Bank+of+America" TargetMode="External"/><Relationship Id="rId127" Type="http://schemas.openxmlformats.org/officeDocument/2006/relationships/hyperlink" Target="https://www.google.com/search?newwindow=1&amp;ei=2MT0XrvGGM-vytMP1OyDgAY&amp;q=site%3Alinkedin.com+Abbie+Zollinger+Campus+Recruiter+Bank+of+America" TargetMode="External"/><Relationship Id="rId369" Type="http://schemas.openxmlformats.org/officeDocument/2006/relationships/hyperlink" Target="https://www.google.com/search?newwindow=1&amp;ei=2MT0XrvGGM-vytMP1OyDgAY&amp;q=site%3Alinkedin.com+Kristin+Schmidt+Campus+Recruiter+Ernst+&amp;+Young" TargetMode="External"/><Relationship Id="rId126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368" Type="http://schemas.openxmlformats.org/officeDocument/2006/relationships/hyperlink" Target="https://www.google.com/search?newwindow=1&amp;ei=2MT0XrvGGM-vytMP1OyDgAY&amp;q=site%3Alinkedin.com+Paige+Sacks+Campus+recruiter+Ernst+&amp;+Young" TargetMode="External"/><Relationship Id="rId121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363" Type="http://schemas.openxmlformats.org/officeDocument/2006/relationships/hyperlink" Target="https://www.google.com/search?newwindow=1&amp;ei=2MT0XrvGGM-vytMP1OyDgAY&amp;q=site%3Alinkedin.com+Alexis+Cohen+Campus+Recruiter+Eli+Lilly+and+Company" TargetMode="External"/><Relationship Id="rId120" Type="http://schemas.openxmlformats.org/officeDocument/2006/relationships/hyperlink" Target="https://www.google.com/search?newwindow=1&amp;ei=2MT0XrvGGM-vytMP1OyDgAY&amp;q=site%3Alinkedin.com+Susan+Elworthy+Program+Manager+&amp;+Campus+Recruiter+Bank+of+America" TargetMode="External"/><Relationship Id="rId362" Type="http://schemas.openxmlformats.org/officeDocument/2006/relationships/hyperlink" Target="https://www.google.com/search?newwindow=1&amp;ei=2MT0XrvGGM-vytMP1OyDgAY&amp;q=site%3Alinkedin.com+Melissa+Wafful+Recruiter+-+University+Relations+&amp;+Next-Gen+Talent+Electronic+Arts+(EA)" TargetMode="External"/><Relationship Id="rId361" Type="http://schemas.openxmlformats.org/officeDocument/2006/relationships/hyperlink" Target="https://www.google.com/search?newwindow=1&amp;ei=2MT0XrvGGM-vytMP1OyDgAY&amp;q=site%3Alinkedin.com+Karen+Stinnett+Recruiter+-+University+Relations+&amp;+Next-Gen+Talent+Electronic+Arts" TargetMode="External"/><Relationship Id="rId360" Type="http://schemas.openxmlformats.org/officeDocument/2006/relationships/hyperlink" Target="https://www.google.com/search?newwindow=1&amp;ei=2MT0XrvGGM-vytMP1OyDgAY&amp;q=site%3Alinkedin.com+Christy+A.+University+Recruiter+eBay" TargetMode="External"/><Relationship Id="rId125" Type="http://schemas.openxmlformats.org/officeDocument/2006/relationships/hyperlink" Target="https://www.google.com/search?newwindow=1&amp;ei=2MT0XrvGGM-vytMP1OyDgAY&amp;q=site%3Alinkedin.com+Aubrey+D.+Campus+Recruiter+-+Global+Risk+Development+Program+Bank+of+America" TargetMode="External"/><Relationship Id="rId367" Type="http://schemas.openxmlformats.org/officeDocument/2006/relationships/hyperlink" Target="https://www.google.com/search?newwindow=1&amp;ei=2MT0XrvGGM-vytMP1OyDgAY&amp;q=site%3Alinkedin.com+LaVenta+Atwater+Campus+Recruiter+Eli+Lilly+and+Company" TargetMode="External"/><Relationship Id="rId124" Type="http://schemas.openxmlformats.org/officeDocument/2006/relationships/hyperlink" Target="https://www.google.com/search?newwindow=1&amp;ei=2MT0XrvGGM-vytMP1OyDgAY&amp;q=site%3Alinkedin.com+Richard+Long+Campus+Strategy+Recruiter+Bank+of+America" TargetMode="External"/><Relationship Id="rId366" Type="http://schemas.openxmlformats.org/officeDocument/2006/relationships/hyperlink" Target="https://www.google.com/search?newwindow=1&amp;ei=2MT0XrvGGM-vytMP1OyDgAY&amp;q=site%3Alinkedin.com+Katie+Price+Associate+Consultant-Campus+Recruiter+Eli+Lilly+and+Company" TargetMode="External"/><Relationship Id="rId123" Type="http://schemas.openxmlformats.org/officeDocument/2006/relationships/hyperlink" Target="https://www.google.com/search?newwindow=1&amp;ei=2MT0XrvGGM-vytMP1OyDgAY&amp;q=site%3Alinkedin.com+Deetra+Hill+MBA+Campus+Recruiter+and+Program+Manager+Bank+of+America" TargetMode="External"/><Relationship Id="rId365" Type="http://schemas.openxmlformats.org/officeDocument/2006/relationships/hyperlink" Target="https://www.google.com/search?newwindow=1&amp;ei=2MT0XrvGGM-vytMP1OyDgAY&amp;q=site%3Alinkedin.com+Hira+Majid+Campus+Recruiter+-+Diversity+Lead+Eli+Lilly+and+Company" TargetMode="External"/><Relationship Id="rId122" Type="http://schemas.openxmlformats.org/officeDocument/2006/relationships/hyperlink" Target="https://www.google.com/search?newwindow=1&amp;ei=2MT0XrvGGM-vytMP1OyDgAY&amp;q=site%3Alinkedin.com+Courtney+Dickens+Campus+Recruiter+&amp;+Program+Manager+Bank+of+America" TargetMode="External"/><Relationship Id="rId364" Type="http://schemas.openxmlformats.org/officeDocument/2006/relationships/hyperlink" Target="https://www.google.com/search?newwindow=1&amp;ei=2MT0XrvGGM-vytMP1OyDgAY&amp;q=site%3Alinkedin.com+Shawn+Liller+HR+Campus+Recruiter+Eli+Lilly+and+Company" TargetMode="External"/><Relationship Id="rId95" Type="http://schemas.openxmlformats.org/officeDocument/2006/relationships/hyperlink" Target="https://www.google.com/search?newwindow=1&amp;ei=2MT0XrvGGM-vytMP1OyDgAY&amp;q=site%3Alinkedin.com+Heather+French+Senior+University+Recruiter+-+MBA+Recruiting+Lead+Apple" TargetMode="External"/><Relationship Id="rId94" Type="http://schemas.openxmlformats.org/officeDocument/2006/relationships/hyperlink" Target="https://www.google.com/search?newwindow=1&amp;ei=2MT0XrvGGM-vytMP1OyDgAY&amp;q=site%3Alinkedin.com+Tabitha+James+AppleCare+College+Career+Experience+Recruiter+Apple" TargetMode="External"/><Relationship Id="rId97" Type="http://schemas.openxmlformats.org/officeDocument/2006/relationships/hyperlink" Target="https://www.google.com/search?newwindow=1&amp;ei=2MT0XrvGGM-vytMP1OyDgAY&amp;q=site%3Alinkedin.com+Greg+Emory+Tier+2+At+Home+Technical+Advisor+and+Mentor.++LSU+on+campus+recruiter+Apple" TargetMode="External"/><Relationship Id="rId96" Type="http://schemas.openxmlformats.org/officeDocument/2006/relationships/hyperlink" Target="https://www.google.com/search?newwindow=1&amp;ei=2MT0XrvGGM-vytMP1OyDgAY&amp;q=site%3Alinkedin.com+Dianna+Chourarath+University+Relations+Recruiter+Apple" TargetMode="External"/><Relationship Id="rId99" Type="http://schemas.openxmlformats.org/officeDocument/2006/relationships/hyperlink" Target="https://www.google.com/search?newwindow=1&amp;ei=2MT0XrvGGM-vytMP1OyDgAY&amp;q=site%3Alinkedin.com+Ina+Williams+-+ACIR+Tech+Recruiter+/+Sourcer+Apple" TargetMode="External"/><Relationship Id="rId98" Type="http://schemas.openxmlformats.org/officeDocument/2006/relationships/hyperlink" Target="https://www.google.com/search?newwindow=1&amp;ei=2MT0XrvGGM-vytMP1OyDgAY&amp;q=site%3Alinkedin.com+Antonio+Salinas+University+Relations+Recruiter+Apple" TargetMode="External"/><Relationship Id="rId91" Type="http://schemas.openxmlformats.org/officeDocument/2006/relationships/hyperlink" Target="https://www.google.com/search?newwindow=1&amp;ei=2MT0XrvGGM-vytMP1OyDgAY&amp;q=site%3Alinkedin.com+Caroline+Croy+Campus+Recruiter+American+Express" TargetMode="External"/><Relationship Id="rId90" Type="http://schemas.openxmlformats.org/officeDocument/2006/relationships/hyperlink" Target="https://www.google.com/search?newwindow=1&amp;ei=2MT0XrvGGM-vytMP1OyDgAY&amp;q=site%3Alinkedin.com+Mary+Curtis+U.S.+Campus+Recruiter+American+Express" TargetMode="External"/><Relationship Id="rId93" Type="http://schemas.openxmlformats.org/officeDocument/2006/relationships/hyperlink" Target="https://www.google.com/search?newwindow=1&amp;ei=2MT0XrvGGM-vytMP1OyDgAY&amp;q=site%3Alinkedin.com+Gina+Willett+University+Relations+Recruiter+Apple" TargetMode="External"/><Relationship Id="rId92" Type="http://schemas.openxmlformats.org/officeDocument/2006/relationships/hyperlink" Target="https://www.google.com/search?newwindow=1&amp;ei=2MT0XrvGGM-vytMP1OyDgAY&amp;q=site%3Alinkedin.com+Naomi+Hillsman+Campus+Recruiter+American+Express" TargetMode="External"/><Relationship Id="rId118" Type="http://schemas.openxmlformats.org/officeDocument/2006/relationships/hyperlink" Target="https://www.google.com/search?newwindow=1&amp;ei=2MT0XrvGGM-vytMP1OyDgAY&amp;q=site%3Alinkedin.com+Dwayne+Brown+Diversity+Campus+Recruiter+Bank+of+America" TargetMode="External"/><Relationship Id="rId117" Type="http://schemas.openxmlformats.org/officeDocument/2006/relationships/hyperlink" Target="https://www.google.com/search?newwindow=1&amp;ei=2MT0XrvGGM-vytMP1OyDgAY&amp;q=site%3Alinkedin.com+Amelie+Speer+Campus+Recruiter+&amp;+Intern+Program+Manager+Bank+of+America" TargetMode="External"/><Relationship Id="rId359" Type="http://schemas.openxmlformats.org/officeDocument/2006/relationships/hyperlink" Target="https://www.google.com/search?newwindow=1&amp;ei=2MT0XrvGGM-vytMP1OyDgAY&amp;q=site%3Alinkedin.com+Vanessa+McQueen+University+Recruiter+&amp;+Programs+eBay" TargetMode="External"/><Relationship Id="rId116" Type="http://schemas.openxmlformats.org/officeDocument/2006/relationships/hyperlink" Target="https://www.google.com/search?newwindow=1&amp;ei=2MT0XrvGGM-vytMP1OyDgAY&amp;q=site%3Alinkedin.com+Jessie+Fredrickson+Campus+Recruiter+&amp;+Program+Manager+Bank+of+America" TargetMode="External"/><Relationship Id="rId358" Type="http://schemas.openxmlformats.org/officeDocument/2006/relationships/hyperlink" Target="https://www.google.com/search?newwindow=1&amp;ei=2MT0XrvGGM-vytMP1OyDgAY&amp;q=site%3Alinkedin.com+DuPont+Campus+Team+Campus+Recruiter+DuPont" TargetMode="External"/><Relationship Id="rId115" Type="http://schemas.openxmlformats.org/officeDocument/2006/relationships/hyperlink" Target="https://www.google.com/search?newwindow=1&amp;ei=2MT0XrvGGM-vytMP1OyDgAY&amp;q=site%3Alinkedin.com+Jamie+Wright+Campus+Recruiter+-+CFO+Group+Bank+of+America" TargetMode="External"/><Relationship Id="rId357" Type="http://schemas.openxmlformats.org/officeDocument/2006/relationships/hyperlink" Target="https://www.google.com/search?newwindow=1&amp;ei=2MT0XrvGGM-vytMP1OyDgAY&amp;q=site%3Alinkedin.com+Chalsea+Clark+University+Relations+Recruiter+DuPont" TargetMode="External"/><Relationship Id="rId599" Type="http://schemas.openxmlformats.org/officeDocument/2006/relationships/hyperlink" Target="https://www.google.com/search?newwindow=1&amp;ei=2MT0XrvGGM-vytMP1OyDgAY&amp;q=site%3Alinkedin.com+Chantal+Penton+University+Technical+Recruiter+Google" TargetMode="External"/><Relationship Id="rId1180" Type="http://schemas.openxmlformats.org/officeDocument/2006/relationships/hyperlink" Target="https://www.google.com/search?newwindow=1&amp;ei=2MT0XrvGGM-vytMP1OyDgAY&amp;q=site%3Alinkedin.com+Katy+Grant+MBA+Recruiter+Wells+Fargo+Securities" TargetMode="External"/><Relationship Id="rId1181" Type="http://schemas.openxmlformats.org/officeDocument/2006/relationships/hyperlink" Target="https://www.google.com/search?newwindow=1&amp;ei=2MT0XrvGGM-vytMP1OyDgAY&amp;q=site%3Alinkedin.com+David+Salgado+University+Business+Recruiter+Western+Digital" TargetMode="External"/><Relationship Id="rId119" Type="http://schemas.openxmlformats.org/officeDocument/2006/relationships/hyperlink" Target="https://www.google.com/search?newwindow=1&amp;ei=2MT0XrvGGM-vytMP1OyDgAY&amp;q=site%3Alinkedin.com+Danielle+Smith+Campus+Recruiter+Bank+of+America" TargetMode="External"/><Relationship Id="rId1182" Type="http://schemas.openxmlformats.org/officeDocument/2006/relationships/hyperlink" Target="https://www.google.com/search?newwindow=1&amp;ei=2MT0XrvGGM-vytMP1OyDgAY&amp;q=site%3Alinkedin.com+Vicky+Ho+University+Recruiter+Western+Digital" TargetMode="External"/><Relationship Id="rId110" Type="http://schemas.openxmlformats.org/officeDocument/2006/relationships/hyperlink" Target="https://www.google.com/search?newwindow=1&amp;ei=2MT0XrvGGM-vytMP1OyDgAY&amp;q=site%3Alinkedin.com+Ashley+Rich+College+Recruiter+AT&amp;T" TargetMode="External"/><Relationship Id="rId352" Type="http://schemas.openxmlformats.org/officeDocument/2006/relationships/hyperlink" Target="https://www.google.com/search?newwindow=1&amp;ei=2MT0XrvGGM-vytMP1OyDgAY&amp;q=site%3Alinkedin.com+Monica+Kim+University+Recruiter+DocuSign" TargetMode="External"/><Relationship Id="rId594" Type="http://schemas.openxmlformats.org/officeDocument/2006/relationships/hyperlink" Target="https://www.google.com/search?newwindow=1&amp;ei=2MT0XrvGGM-vytMP1OyDgAY&amp;q=site%3Alinkedin.com+Amanda+Nowak+Technical+Recruiter+(University)+&amp;+Program+Manager+Google" TargetMode="External"/><Relationship Id="rId1183" Type="http://schemas.openxmlformats.org/officeDocument/2006/relationships/hyperlink" Target="https://www.google.com/search?newwindow=1&amp;ei=2MT0XrvGGM-vytMP1OyDgAY&amp;q=site%3Alinkedin.com+Kristin+Parker+Lead+University+Recruiter+Western+Digital" TargetMode="External"/><Relationship Id="rId351" Type="http://schemas.openxmlformats.org/officeDocument/2006/relationships/hyperlink" Target="https://www.google.com/search?newwindow=1&amp;ei=2MT0XrvGGM-vytMP1OyDgAY&amp;q=site%3Alinkedin.com+Taylor+Cocherell+Campus+Recruiter+Dixon+Hughes+Goodman+LLP" TargetMode="External"/><Relationship Id="rId593" Type="http://schemas.openxmlformats.org/officeDocument/2006/relationships/hyperlink" Target="https://www.google.com/search?newwindow=1&amp;ei=2MT0XrvGGM-vytMP1OyDgAY&amp;q=site%3Alinkedin.com+Sidnie+Davis+Program+Manager+Google" TargetMode="External"/><Relationship Id="rId1184" Type="http://schemas.openxmlformats.org/officeDocument/2006/relationships/hyperlink" Target="https://www.google.com/search?newwindow=1&amp;ei=2MT0XrvGGM-vytMP1OyDgAY&amp;q=site%3Alinkedin.com+Matthew+Kim+University+Recruiter+Western+Digital" TargetMode="External"/><Relationship Id="rId350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592" Type="http://schemas.openxmlformats.org/officeDocument/2006/relationships/hyperlink" Target="https://www.google.com/search?newwindow=1&amp;ei=2MT0XrvGGM-vytMP1OyDgAY&amp;q=site%3Alinkedin.com+Karan+Bhargava+University+Program+Recruiting+Manager+Google" TargetMode="External"/><Relationship Id="rId1185" Type="http://schemas.openxmlformats.org/officeDocument/2006/relationships/drawing" Target="../drawings/drawing1.xml"/><Relationship Id="rId591" Type="http://schemas.openxmlformats.org/officeDocument/2006/relationships/hyperlink" Target="https://www.google.com/search?newwindow=1&amp;ei=2MT0XrvGGM-vytMP1OyDgAY&amp;q=site%3Alinkedin.com+Jillian+Palmer+College+Recruiter+Google" TargetMode="External"/><Relationship Id="rId114" Type="http://schemas.openxmlformats.org/officeDocument/2006/relationships/hyperlink" Target="https://www.google.com/search?newwindow=1&amp;ei=2MT0XrvGGM-vytMP1OyDgAY&amp;q=site%3Alinkedin.com+Vanessa+Sterling+Campus+Recruiter+Bank+of+America" TargetMode="External"/><Relationship Id="rId356" Type="http://schemas.openxmlformats.org/officeDocument/2006/relationships/hyperlink" Target="https://www.google.com/search?newwindow=1&amp;ei=2MT0XrvGGM-vytMP1OyDgAY&amp;q=site%3Alinkedin.com+Ke+Yang+Campus+Recruiter+DuPont" TargetMode="External"/><Relationship Id="rId598" Type="http://schemas.openxmlformats.org/officeDocument/2006/relationships/hyperlink" Target="https://www.google.com/search?newwindow=1&amp;ei=2MT0XrvGGM-vytMP1OyDgAY&amp;q=site%3Alinkedin.com+Brittany+Perry+College+Recruiter+Google" TargetMode="External"/><Relationship Id="rId113" Type="http://schemas.openxmlformats.org/officeDocument/2006/relationships/hyperlink" Target="https://www.google.com/search?newwindow=1&amp;ei=2MT0XrvGGM-vytMP1OyDgAY&amp;q=site%3Alinkedin.com+Brian+Poznanski+Officer-+Campus+Recruiter+Bank+of+America" TargetMode="External"/><Relationship Id="rId355" Type="http://schemas.openxmlformats.org/officeDocument/2006/relationships/hyperlink" Target="https://www.google.com/search?newwindow=1&amp;ei=2MT0XrvGGM-vytMP1OyDgAY&amp;q=site%3Alinkedin.com+Daniel+Simpson+Senior+University+Recruiter+Dropbox" TargetMode="External"/><Relationship Id="rId597" Type="http://schemas.openxmlformats.org/officeDocument/2006/relationships/hyperlink" Target="https://www.google.com/search?newwindow=1&amp;ei=2MT0XrvGGM-vytMP1OyDgAY&amp;q=site%3Alinkedin.com+Jenn+R.+Talent+Acquisition+Manager+(College+recruiter)+Google" TargetMode="External"/><Relationship Id="rId112" Type="http://schemas.openxmlformats.org/officeDocument/2006/relationships/hyperlink" Target="https://www.google.com/search?newwindow=1&amp;ei=2MT0XrvGGM-vytMP1OyDgAY&amp;q=site%3Alinkedin.com+Keiyana+Arnold+Lead+College+Recruiter+AT&amp;T" TargetMode="External"/><Relationship Id="rId354" Type="http://schemas.openxmlformats.org/officeDocument/2006/relationships/hyperlink" Target="https://www.google.com/search?newwindow=1&amp;ei=2MT0XrvGGM-vytMP1OyDgAY&amp;q=site%3Alinkedin.com+Alexis+Pickett+University+Recruiter+Dropbox" TargetMode="External"/><Relationship Id="rId596" Type="http://schemas.openxmlformats.org/officeDocument/2006/relationships/hyperlink" Target="https://www.google.com/search?newwindow=1&amp;ei=2MT0XrvGGM-vytMP1OyDgAY&amp;q=site%3Alinkedin.com+Alexandra+Sarosy+University+Recruiter+Google" TargetMode="External"/><Relationship Id="rId111" Type="http://schemas.openxmlformats.org/officeDocument/2006/relationships/hyperlink" Target="https://www.google.com/search?newwindow=1&amp;ei=2MT0XrvGGM-vytMP1OyDgAY&amp;q=site%3Alinkedin.com+Claudia+Willis+Lead+College+Recruiter+AT&amp;T" TargetMode="External"/><Relationship Id="rId353" Type="http://schemas.openxmlformats.org/officeDocument/2006/relationships/hyperlink" Target="https://www.google.com/search?newwindow=1&amp;ei=2MT0XrvGGM-vytMP1OyDgAY&amp;q=site%3Alinkedin.com+Molly+Holmes+Jacobs+University+Recruiter+DocuSign" TargetMode="External"/><Relationship Id="rId595" Type="http://schemas.openxmlformats.org/officeDocument/2006/relationships/hyperlink" Target="https://www.google.com/search?newwindow=1&amp;ei=2MT0XrvGGM-vytMP1OyDgAY&amp;q=site%3Alinkedin.com+Isaac+Winkler+College+Recruiter+Google" TargetMode="External"/><Relationship Id="rId1136" Type="http://schemas.openxmlformats.org/officeDocument/2006/relationships/hyperlink" Target="https://www.google.com/search?newwindow=1&amp;ei=2MT0XrvGGM-vytMP1OyDgAY&amp;q=site%3Alinkedin.com+Emily+Busse+University+Recruiter+Visa" TargetMode="External"/><Relationship Id="rId1137" Type="http://schemas.openxmlformats.org/officeDocument/2006/relationships/hyperlink" Target="https://www.google.com/search?newwindow=1&amp;ei=2MT0XrvGGM-vytMP1OyDgAY&amp;q=site%3Alinkedin.com+Menelik+Bekele+Technical+University+Recruiter+Visa" TargetMode="External"/><Relationship Id="rId1138" Type="http://schemas.openxmlformats.org/officeDocument/2006/relationships/hyperlink" Target="https://www.google.com/search?newwindow=1&amp;ei=2MT0XrvGGM-vytMP1OyDgAY&amp;q=site%3Alinkedin.com+Grace+Wu+Technical+University+Recruiter+Visa" TargetMode="External"/><Relationship Id="rId1139" Type="http://schemas.openxmlformats.org/officeDocument/2006/relationships/hyperlink" Target="https://www.google.com/search?newwindow=1&amp;ei=2MT0XrvGGM-vytMP1OyDgAY&amp;q=site%3Alinkedin.com+Mackenzie+Fuller+Straume+University+Recruiter+Visa" TargetMode="External"/><Relationship Id="rId305" Type="http://schemas.openxmlformats.org/officeDocument/2006/relationships/hyperlink" Target="https://www.google.com/search?newwindow=1&amp;ei=2MT0XrvGGM-vytMP1OyDgAY&amp;q=site%3Alinkedin.com+Amanda+Runnalls+Campus+Recruiter+Deloitte" TargetMode="External"/><Relationship Id="rId547" Type="http://schemas.openxmlformats.org/officeDocument/2006/relationships/hyperlink" Target="https://www.google.com/search?newwindow=1&amp;ei=2MT0XrvGGM-vytMP1OyDgAY&amp;q=site%3Alinkedin.com+Megan+Eckart+College+Recruiter+GEICO" TargetMode="External"/><Relationship Id="rId789" Type="http://schemas.openxmlformats.org/officeDocument/2006/relationships/hyperlink" Target="https://www.google.com/search?newwindow=1&amp;ei=2MT0XrvGGM-vytMP1OyDgAY&amp;q=site%3Alinkedin.com+Franco+Bulaon+University+Recruiter+Microsoft" TargetMode="External"/><Relationship Id="rId304" Type="http://schemas.openxmlformats.org/officeDocument/2006/relationships/hyperlink" Target="https://www.google.com/search?newwindow=1&amp;ei=2MT0XrvGGM-vytMP1OyDgAY&amp;q=site%3Alinkedin.com+Rebecca+Maddox+Senior+Campus+Recruiter+Deloitte" TargetMode="External"/><Relationship Id="rId546" Type="http://schemas.openxmlformats.org/officeDocument/2006/relationships/hyperlink" Target="https://www.google.com/search?newwindow=1&amp;ei=2MT0XrvGGM-vytMP1OyDgAY&amp;q=site%3Alinkedin.com+Chelsey+Parsons+Regional+College+Recruiter+GEICO" TargetMode="External"/><Relationship Id="rId788" Type="http://schemas.openxmlformats.org/officeDocument/2006/relationships/hyperlink" Target="https://www.google.com/search?newwindow=1&amp;ei=2MT0XrvGGM-vytMP1OyDgAY&amp;q=site%3Alinkedin.com+Andrea+Maurer+University+Recruiter+Microsoft" TargetMode="External"/><Relationship Id="rId303" Type="http://schemas.openxmlformats.org/officeDocument/2006/relationships/hyperlink" Target="https://www.google.com/search?newwindow=1&amp;ei=2MT0XrvGGM-vytMP1OyDgAY&amp;q=site%3Alinkedin.com+Kelly+Swartzfager+Campus+Recruiter+Deloitte" TargetMode="External"/><Relationship Id="rId545" Type="http://schemas.openxmlformats.org/officeDocument/2006/relationships/hyperlink" Target="https://www.google.com/search?newwindow=1&amp;ei=2MT0XrvGGM-vytMP1OyDgAY&amp;q=site%3Alinkedin.com+Chelsea+Rush+Regional+College+Recruiter+GEICO" TargetMode="External"/><Relationship Id="rId787" Type="http://schemas.openxmlformats.org/officeDocument/2006/relationships/hyperlink" Target="https://www.google.com/search?newwindow=1&amp;ei=2MT0XrvGGM-vytMP1OyDgAY&amp;q=site%3Alinkedin.com+Andrea+Adams+University+Recruiter+Microsoft" TargetMode="External"/><Relationship Id="rId302" Type="http://schemas.openxmlformats.org/officeDocument/2006/relationships/hyperlink" Target="https://www.google.com/search?newwindow=1&amp;ei=2MT0XrvGGM-vytMP1OyDgAY&amp;q=site%3Alinkedin.com+Marie+Hoyt+Senior+Campus+Recruiter+Deloitte" TargetMode="External"/><Relationship Id="rId544" Type="http://schemas.openxmlformats.org/officeDocument/2006/relationships/hyperlink" Target="https://www.google.com/search?newwindow=1&amp;ei=2MT0XrvGGM-vytMP1OyDgAY&amp;q=site%3Alinkedin.com+William+Heartsill+College+Recruiter+GEICO" TargetMode="External"/><Relationship Id="rId786" Type="http://schemas.openxmlformats.org/officeDocument/2006/relationships/hyperlink" Target="https://www.google.com/search?newwindow=1&amp;ei=2MT0XrvGGM-vytMP1OyDgAY&amp;q=site%3Alinkedin.com+Jessica+Nguyen+University+Recruiter+Microsoft" TargetMode="External"/><Relationship Id="rId309" Type="http://schemas.openxmlformats.org/officeDocument/2006/relationships/hyperlink" Target="https://www.google.com/search?newwindow=1&amp;ei=2MT0XrvGGM-vytMP1OyDgAY&amp;q=site%3Alinkedin.com+Kelli+Bakopanos+(Speidel)+Federal+Campus+Recruiting+Senior+Manager+Deloitte" TargetMode="External"/><Relationship Id="rId308" Type="http://schemas.openxmlformats.org/officeDocument/2006/relationships/hyperlink" Target="https://www.google.com/search?newwindow=1&amp;ei=2MT0XrvGGM-vytMP1OyDgAY&amp;q=site%3Alinkedin.com+Kerri+Oliveira+Campus+Recruiter+Deloitte" TargetMode="External"/><Relationship Id="rId307" Type="http://schemas.openxmlformats.org/officeDocument/2006/relationships/hyperlink" Target="https://www.google.com/search?newwindow=1&amp;ei=2MT0XrvGGM-vytMP1OyDgAY&amp;q=site%3Alinkedin.com+Divya+Shenoy+Campus+Recruiting+Manager+Deloitte" TargetMode="External"/><Relationship Id="rId549" Type="http://schemas.openxmlformats.org/officeDocument/2006/relationships/hyperlink" Target="https://www.google.com/search?newwindow=1&amp;ei=2MT0XrvGGM-vytMP1OyDgAY&amp;q=site%3Alinkedin.com+Marlena+Banks+Regional+College+Recruiter+GEICO" TargetMode="External"/><Relationship Id="rId306" Type="http://schemas.openxmlformats.org/officeDocument/2006/relationships/hyperlink" Target="https://www.google.com/search?newwindow=1&amp;ei=2MT0XrvGGM-vytMP1OyDgAY&amp;q=site%3Alinkedin.com+Dolorez+Dumas-Aris+Campus+Recruiting+Manager+Deloitte" TargetMode="External"/><Relationship Id="rId548" Type="http://schemas.openxmlformats.org/officeDocument/2006/relationships/hyperlink" Target="https://www.google.com/search?newwindow=1&amp;ei=2MT0XrvGGM-vytMP1OyDgAY&amp;q=site%3Alinkedin.com+James+++A.+Robinson+Regional+College+Recruiter+GEICO" TargetMode="External"/><Relationship Id="rId781" Type="http://schemas.openxmlformats.org/officeDocument/2006/relationships/hyperlink" Target="https://www.google.com/search?newwindow=1&amp;ei=2MT0XrvGGM-vytMP1OyDgAY&amp;q=site%3Alinkedin.com+Julie+Moskalenko+University+Recruiter+Microsoft" TargetMode="External"/><Relationship Id="rId780" Type="http://schemas.openxmlformats.org/officeDocument/2006/relationships/hyperlink" Target="https://www.google.com/search?newwindow=1&amp;ei=2MT0XrvGGM-vytMP1OyDgAY&amp;q=site%3Alinkedin.com+Leyla+N.+University+Recruiter+(Closer)+Microsoft" TargetMode="External"/><Relationship Id="rId1130" Type="http://schemas.openxmlformats.org/officeDocument/2006/relationships/hyperlink" Target="https://www.google.com/search?newwindow=1&amp;ei=2MT0XrvGGM-vytMP1OyDgAY&amp;q=site%3Alinkedin.com+Kaitlynn+Moctezuma+Campus+Recruiter+Verizon" TargetMode="External"/><Relationship Id="rId1131" Type="http://schemas.openxmlformats.org/officeDocument/2006/relationships/hyperlink" Target="https://www.google.com/search?newwindow=1&amp;ei=2MT0XrvGGM-vytMP1OyDgAY&amp;q=site%3Alinkedin.com+Sonya+Harris+Talent+Acquisition+Campus+Recruiter+Verizon+Telematics+Inc." TargetMode="External"/><Relationship Id="rId301" Type="http://schemas.openxmlformats.org/officeDocument/2006/relationships/hyperlink" Target="https://www.google.com/search?newwindow=1&amp;ei=2MT0XrvGGM-vytMP1OyDgAY&amp;q=site%3Alinkedin.com+Amy+Curtin+Human+Capital+Recruiting+Manager+Deloitte" TargetMode="External"/><Relationship Id="rId543" Type="http://schemas.openxmlformats.org/officeDocument/2006/relationships/hyperlink" Target="https://www.google.com/search?newwindow=1&amp;ei=2MT0XrvGGM-vytMP1OyDgAY&amp;q=site%3Alinkedin.com+Sam+Tekl%C3%A9+Regional+College+Recruiter+GEICO" TargetMode="External"/><Relationship Id="rId785" Type="http://schemas.openxmlformats.org/officeDocument/2006/relationships/hyperlink" Target="https://www.google.com/search?newwindow=1&amp;ei=2MT0XrvGGM-vytMP1OyDgAY&amp;q=site%3Alinkedin.com+Erin+Odell+University+Recruiter+Microsoft" TargetMode="External"/><Relationship Id="rId1132" Type="http://schemas.openxmlformats.org/officeDocument/2006/relationships/hyperlink" Target="https://www.google.com/search?newwindow=1&amp;ei=2MT0XrvGGM-vytMP1OyDgAY&amp;q=site%3Alinkedin.com+Layne+P.+Campus+Recruiter+Verizon+Wireless" TargetMode="External"/><Relationship Id="rId300" Type="http://schemas.openxmlformats.org/officeDocument/2006/relationships/hyperlink" Target="https://www.google.com/search?newwindow=1&amp;ei=2MT0XrvGGM-vytMP1OyDgAY&amp;q=site%3Alinkedin.com+Danica+DeVito+Experienced+Hire+Recruiter+Deloitte" TargetMode="External"/><Relationship Id="rId542" Type="http://schemas.openxmlformats.org/officeDocument/2006/relationships/hyperlink" Target="https://www.google.com/search?newwindow=1&amp;ei=2MT0XrvGGM-vytMP1OyDgAY&amp;q=site%3Alinkedin.com+Tyra+H.+College+Recruiter+GEICO" TargetMode="External"/><Relationship Id="rId784" Type="http://schemas.openxmlformats.org/officeDocument/2006/relationships/hyperlink" Target="https://www.google.com/search?newwindow=1&amp;ei=2MT0XrvGGM-vytMP1OyDgAY&amp;q=site%3Alinkedin.com+Abby+Newton+Technical+Recruiter+Microsoft" TargetMode="External"/><Relationship Id="rId1133" Type="http://schemas.openxmlformats.org/officeDocument/2006/relationships/hyperlink" Target="https://www.google.com/search?newwindow=1&amp;ei=2MT0XrvGGM-vytMP1OyDgAY&amp;q=site%3Alinkedin.com+Rachel+Gardinier+University+Relations+Specialist+Viasat+Inc." TargetMode="External"/><Relationship Id="rId541" Type="http://schemas.openxmlformats.org/officeDocument/2006/relationships/hyperlink" Target="https://www.google.com/search?newwindow=1&amp;ei=2MT0XrvGGM-vytMP1OyDgAY&amp;q=site%3Alinkedin.com+Kendra+Eakles+Regional+College+Recruiter+GEICO" TargetMode="External"/><Relationship Id="rId783" Type="http://schemas.openxmlformats.org/officeDocument/2006/relationships/hyperlink" Target="https://www.google.com/search?newwindow=1&amp;ei=2MT0XrvGGM-vytMP1OyDgAY&amp;q=site%3Alinkedin.com+Kelsey+Grunigen+University+Recruiter+Microsoft" TargetMode="External"/><Relationship Id="rId1134" Type="http://schemas.openxmlformats.org/officeDocument/2006/relationships/hyperlink" Target="https://www.google.com/search?newwindow=1&amp;ei=2MT0XrvGGM-vytMP1OyDgAY&amp;q=site%3Alinkedin.com+Emily+Allen+University+Relations+Recruiter+Viasat+Inc." TargetMode="External"/><Relationship Id="rId540" Type="http://schemas.openxmlformats.org/officeDocument/2006/relationships/hyperlink" Target="https://www.google.com/search?newwindow=1&amp;ei=2MT0XrvGGM-vytMP1OyDgAY&amp;q=site%3Alinkedin.com+Toni+Kontos+Campus+Recruiter+GEICO" TargetMode="External"/><Relationship Id="rId782" Type="http://schemas.openxmlformats.org/officeDocument/2006/relationships/hyperlink" Target="https://www.google.com/search?newwindow=1&amp;ei=2MT0XrvGGM-vytMP1OyDgAY&amp;q=site%3Alinkedin.com+Elizabeth+Alhondra+Arredon+Mier+University+Recruiter+Microsoft" TargetMode="External"/><Relationship Id="rId1135" Type="http://schemas.openxmlformats.org/officeDocument/2006/relationships/hyperlink" Target="https://www.google.com/search?newwindow=1&amp;ei=2MT0XrvGGM-vytMP1OyDgAY&amp;q=site%3Alinkedin.com+Casey+Medina+University+Recruiter+Visa" TargetMode="External"/><Relationship Id="rId1125" Type="http://schemas.openxmlformats.org/officeDocument/2006/relationships/hyperlink" Target="https://www.google.com/search?newwindow=1&amp;ei=2MT0XrvGGM-vytMP1OyDgAY&amp;q=site%3Alinkedin.com+Jennifer+Coleman+University+Recruiter+Unity+Technologies" TargetMode="External"/><Relationship Id="rId1126" Type="http://schemas.openxmlformats.org/officeDocument/2006/relationships/hyperlink" Target="https://www.google.com/search?newwindow=1&amp;ei=2MT0XrvGGM-vytMP1OyDgAY&amp;q=site%3Alinkedin.com+Claire+Skelly+University+Recruiter+Unity+Technologies" TargetMode="External"/><Relationship Id="rId1127" Type="http://schemas.openxmlformats.org/officeDocument/2006/relationships/hyperlink" Target="https://www.google.com/search?newwindow=1&amp;ei=2MT0XrvGGM-vytMP1OyDgAY&amp;q=site%3Alinkedin.com+Christopher+Mellis+Campus+Recruiter+Verizon" TargetMode="External"/><Relationship Id="rId1128" Type="http://schemas.openxmlformats.org/officeDocument/2006/relationships/hyperlink" Target="https://www.google.com/search?newwindow=1&amp;ei=2MT0XrvGGM-vytMP1OyDgAY&amp;q=site%3Alinkedin.com+Derek+Penzort+Campus+Recruiter+Verizon" TargetMode="External"/><Relationship Id="rId1129" Type="http://schemas.openxmlformats.org/officeDocument/2006/relationships/hyperlink" Target="https://www.google.com/search?newwindow=1&amp;ei=2MT0XrvGGM-vytMP1OyDgAY&amp;q=site%3Alinkedin.com+Al+Jackson+Campus+Recruiter+-+Talent+Acquisition+Verizon" TargetMode="External"/><Relationship Id="rId536" Type="http://schemas.openxmlformats.org/officeDocument/2006/relationships/hyperlink" Target="https://www.google.com/search?newwindow=1&amp;ei=2MT0XrvGGM-vytMP1OyDgAY&amp;q=site%3Alinkedin.com+Argyle+Sects+Recruiter+GE+Oil+&amp;+Gas" TargetMode="External"/><Relationship Id="rId778" Type="http://schemas.openxmlformats.org/officeDocument/2006/relationships/hyperlink" Target="https://www.google.com/search?newwindow=1&amp;ei=2MT0XrvGGM-vytMP1OyDgAY&amp;q=site%3Alinkedin.com+Becca+Bullard+Campus+Recruiting+Manager+memoryBlue" TargetMode="External"/><Relationship Id="rId535" Type="http://schemas.openxmlformats.org/officeDocument/2006/relationships/hyperlink" Target="https://www.google.com/search?newwindow=1&amp;ei=2MT0XrvGGM-vytMP1OyDgAY&amp;q=site%3Alinkedin.com+Greg+Herman+Global+Logistics+Finance+Manager+GE+Healthcare" TargetMode="External"/><Relationship Id="rId777" Type="http://schemas.openxmlformats.org/officeDocument/2006/relationships/hyperlink" Target="https://www.google.com/search?newwindow=1&amp;ei=2MT0XrvGGM-vytMP1OyDgAY&amp;q=site%3Alinkedin.com+Madisson+DeLisle+%F0%9F%90%98+Campus+Recruiting+Manager+memoryBlue" TargetMode="External"/><Relationship Id="rId534" Type="http://schemas.openxmlformats.org/officeDocument/2006/relationships/hyperlink" Target="https://www.google.com/search?newwindow=1&amp;ei=2MT0XrvGGM-vytMP1OyDgAY&amp;q=site%3Alinkedin.com+Gillian+Fecht+Healthcare+Digital+FP&amp;A+Reporting+&amp;+Ops+Manager+GE" TargetMode="External"/><Relationship Id="rId776" Type="http://schemas.openxmlformats.org/officeDocument/2006/relationships/hyperlink" Target="https://www.google.com/search?newwindow=1&amp;ei=2MT0XrvGGM-vytMP1OyDgAY&amp;q=site%3Alinkedin.com+Sami+Graves+Campus+Recruiter+-+Supply+Chain+&amp;+Undergraduate+Campus+Recruitment+Medtronic" TargetMode="External"/><Relationship Id="rId533" Type="http://schemas.openxmlformats.org/officeDocument/2006/relationships/hyperlink" Target="https://www.google.com/search?newwindow=1&amp;ei=2MT0XrvGGM-vytMP1OyDgAY&amp;q=site%3Alinkedin.com+Jackie+Potter+Sr.+University+Recruiter+Gartner" TargetMode="External"/><Relationship Id="rId775" Type="http://schemas.openxmlformats.org/officeDocument/2006/relationships/hyperlink" Target="https://www.google.com/search?newwindow=1&amp;ei=2MT0XrvGGM-vytMP1OyDgAY&amp;q=site%3Alinkedin.com+Melissa+Kloubec+Engineering+Campus+Recruiting+Manager+Medtronic" TargetMode="External"/><Relationship Id="rId539" Type="http://schemas.openxmlformats.org/officeDocument/2006/relationships/hyperlink" Target="https://www.google.com/search?newwindow=1&amp;ei=2MT0XrvGGM-vytMP1OyDgAY&amp;q=site%3Alinkedin.com+Taylor+Beatty+Regional+Campus+Recruiter+GEICO" TargetMode="External"/><Relationship Id="rId538" Type="http://schemas.openxmlformats.org/officeDocument/2006/relationships/hyperlink" Target="https://www.google.com/search?newwindow=1&amp;ei=2MT0XrvGGM-vytMP1OyDgAY&amp;q=site%3Alinkedin.com+Latrell+Tyson+College+Recruiter+GEICO" TargetMode="External"/><Relationship Id="rId537" Type="http://schemas.openxmlformats.org/officeDocument/2006/relationships/hyperlink" Target="https://www.google.com/search?newwindow=1&amp;ei=2MT0XrvGGM-vytMP1OyDgAY&amp;q=site%3Alinkedin.com+Justin+Norris+Transport+Intelligence+-+Senior+Engineering+Manager+-+Integration+Engineering+GE+Transportation" TargetMode="External"/><Relationship Id="rId779" Type="http://schemas.openxmlformats.org/officeDocument/2006/relationships/hyperlink" Target="https://www.google.com/search?newwindow=1&amp;ei=2MT0XrvGGM-vytMP1OyDgAY&amp;q=site%3Alinkedin.com+Libby+Galatis+Campus+Recruiting+Manager+memoryBlue" TargetMode="External"/><Relationship Id="rId770" Type="http://schemas.openxmlformats.org/officeDocument/2006/relationships/hyperlink" Target="https://www.google.com/search?newwindow=1&amp;ei=2MT0XrvGGM-vytMP1OyDgAY&amp;q=site%3Alinkedin.com+Courtney+Chacon+University+Recruiter+Lyft" TargetMode="External"/><Relationship Id="rId1120" Type="http://schemas.openxmlformats.org/officeDocument/2006/relationships/hyperlink" Target="https://www.google.com/search?newwindow=1&amp;ei=2MT0XrvGGM-vytMP1OyDgAY&amp;q=site%3Alinkedin.com+Annie+Clay+Campus+Recruiter+UBS" TargetMode="External"/><Relationship Id="rId532" Type="http://schemas.openxmlformats.org/officeDocument/2006/relationships/hyperlink" Target="https://www.google.com/search?newwindow=1&amp;ei=2MT0XrvGGM-vytMP1OyDgAY&amp;q=site%3Alinkedin.com+Sarah+Dennis+Senior+University+Field+MBA+Recruiter+Gartner" TargetMode="External"/><Relationship Id="rId774" Type="http://schemas.openxmlformats.org/officeDocument/2006/relationships/hyperlink" Target="https://www.google.com/search?newwindow=1&amp;ei=2MT0XrvGGM-vytMP1OyDgAY&amp;q=site%3Alinkedin.com+Lauren+B.+Campus+Recruiter+-+Engineering+Covering+Colorado+&amp;+East+Coast+Region+Medtronic" TargetMode="External"/><Relationship Id="rId1121" Type="http://schemas.openxmlformats.org/officeDocument/2006/relationships/hyperlink" Target="https://www.google.com/search?newwindow=1&amp;ei=2MT0XrvGGM-vytMP1OyDgAY&amp;q=site%3Alinkedin.com+Gabrielle+Kaufman+Campus+Recruiter+UBS+Financial+Services" TargetMode="External"/><Relationship Id="rId531" Type="http://schemas.openxmlformats.org/officeDocument/2006/relationships/hyperlink" Target="https://www.google.com/search?newwindow=1&amp;ei=2MT0XrvGGM-vytMP1OyDgAY&amp;q=site%3Alinkedin.com+Claire+McCaskey+University+Recruiter+Gartner" TargetMode="External"/><Relationship Id="rId773" Type="http://schemas.openxmlformats.org/officeDocument/2006/relationships/hyperlink" Target="https://www.google.com/search?newwindow=1&amp;ei=2MT0XrvGGM-vytMP1OyDgAY&amp;q=site%3Alinkedin.com+Kyle+Scobee+Campus+Sourcing+Recruiter+McKinsey+&amp;+Company" TargetMode="External"/><Relationship Id="rId1122" Type="http://schemas.openxmlformats.org/officeDocument/2006/relationships/hyperlink" Target="https://www.google.com/search?newwindow=1&amp;ei=2MT0XrvGGM-vytMP1OyDgAY&amp;q=site%3Alinkedin.com+Lauren+DeBowes+Assistant+Campus+Recruiter+UBS+Investment+Bank" TargetMode="External"/><Relationship Id="rId530" Type="http://schemas.openxmlformats.org/officeDocument/2006/relationships/hyperlink" Target="https://www.google.com/search?newwindow=1&amp;ei=2MT0XrvGGM-vytMP1OyDgAY&amp;q=site%3Alinkedin.com+Kristin+LaRosa+Rotational+Campus+Recruiter+Gartner" TargetMode="External"/><Relationship Id="rId772" Type="http://schemas.openxmlformats.org/officeDocument/2006/relationships/hyperlink" Target="https://www.google.com/search?newwindow=1&amp;ei=2MT0XrvGGM-vytMP1OyDgAY&amp;q=site%3Alinkedin.com+Colleen+DiGiambattista+Executive+Recruiter+-+Campus+and+Experienced+Hire+Recruiting+McKinsey+&amp;+Company" TargetMode="External"/><Relationship Id="rId1123" Type="http://schemas.openxmlformats.org/officeDocument/2006/relationships/hyperlink" Target="https://www.google.com/search?newwindow=1&amp;ei=2MT0XrvGGM-vytMP1OyDgAY&amp;q=site%3Alinkedin.com+Gao+Lee+College+Recruiter+UnitedHealth+Group" TargetMode="External"/><Relationship Id="rId771" Type="http://schemas.openxmlformats.org/officeDocument/2006/relationships/hyperlink" Target="https://www.google.com/search?newwindow=1&amp;ei=2MT0XrvGGM-vytMP1OyDgAY&amp;q=site%3Alinkedin.com+Tim+Romanoff+Lyft+University+Recruiter+Lyft" TargetMode="External"/><Relationship Id="rId1124" Type="http://schemas.openxmlformats.org/officeDocument/2006/relationships/hyperlink" Target="https://www.google.com/search?newwindow=1&amp;ei=2MT0XrvGGM-vytMP1OyDgAY&amp;q=site%3Alinkedin.com+Annie+Kennedy+Senior+College+Recruiter+UnitedHealth+Group" TargetMode="External"/><Relationship Id="rId1158" Type="http://schemas.openxmlformats.org/officeDocument/2006/relationships/hyperlink" Target="https://www.google.com/search?newwindow=1&amp;ei=2MT0XrvGGM-vytMP1OyDgAY&amp;q=site%3Alinkedin.com+Ali+Bradley+Campus+Recruiter+Wayfair" TargetMode="External"/><Relationship Id="rId1159" Type="http://schemas.openxmlformats.org/officeDocument/2006/relationships/hyperlink" Target="https://www.google.com/search?newwindow=1&amp;ei=2MT0XrvGGM-vytMP1OyDgAY&amp;q=site%3Alinkedin.com+Lila+Haffey+MBA+Campus+Recruiter+Wayfair" TargetMode="External"/><Relationship Id="rId327" Type="http://schemas.openxmlformats.org/officeDocument/2006/relationships/hyperlink" Target="https://www.google.com/search?newwindow=1&amp;ei=2MT0XrvGGM-vytMP1OyDgAY&amp;q=site%3Alinkedin.com+Melissa+Varkoly+Senior+Manager+-+Audit+Talent+Business+Advisor+Deloitte" TargetMode="External"/><Relationship Id="rId569" Type="http://schemas.openxmlformats.org/officeDocument/2006/relationships/hyperlink" Target="https://www.google.com/search?newwindow=1&amp;ei=2MT0XrvGGM-vytMP1OyDgAY&amp;q=site%3Alinkedin.com+Taylor+Mac+Kenzie+Campus+Recruiter+-+Vice+President+Goldman+Sachs" TargetMode="External"/><Relationship Id="rId326" Type="http://schemas.openxmlformats.org/officeDocument/2006/relationships/hyperlink" Target="https://www.google.com/search?newwindow=1&amp;ei=2MT0XrvGGM-vytMP1OyDgAY&amp;q=site%3Alinkedin.com+Jenni+Graham+Lead+Experienced+Recruiter+Deloitte" TargetMode="External"/><Relationship Id="rId568" Type="http://schemas.openxmlformats.org/officeDocument/2006/relationships/hyperlink" Target="https://www.google.com/search?newwindow=1&amp;ei=2MT0XrvGGM-vytMP1OyDgAY&amp;q=site%3Alinkedin.com+Rechelle+Lambert+University+Relations+Recruiter+Goldman+Sachs" TargetMode="External"/><Relationship Id="rId325" Type="http://schemas.openxmlformats.org/officeDocument/2006/relationships/hyperlink" Target="https://www.google.com/search?newwindow=1&amp;ei=2MT0XrvGGM-vytMP1OyDgAY&amp;q=site%3Alinkedin.com+Stephanie+Ryder+Campus+Recruiter+Deloitte" TargetMode="External"/><Relationship Id="rId567" Type="http://schemas.openxmlformats.org/officeDocument/2006/relationships/hyperlink" Target="https://www.google.com/search?newwindow=1&amp;ei=2MT0XrvGGM-vytMP1OyDgAY&amp;q=site%3Alinkedin.com+Abigal+Winters+Engineering+Campus+Recruiter+Goldman+Sachs" TargetMode="External"/><Relationship Id="rId324" Type="http://schemas.openxmlformats.org/officeDocument/2006/relationships/hyperlink" Target="https://www.google.com/search?newwindow=1&amp;ei=2MT0XrvGGM-vytMP1OyDgAY&amp;q=site%3Alinkedin.com+Jade+Gingras+Campus+Recruiting+Specialist+Deloitte" TargetMode="External"/><Relationship Id="rId566" Type="http://schemas.openxmlformats.org/officeDocument/2006/relationships/hyperlink" Target="https://www.google.com/search?newwindow=1&amp;ei=2MT0XrvGGM-vytMP1OyDgAY&amp;q=site%3Alinkedin.com+Ashley+Mahone+Engineering+Campus+Recruiter+Goldman+Sachs" TargetMode="External"/><Relationship Id="rId329" Type="http://schemas.openxmlformats.org/officeDocument/2006/relationships/hyperlink" Target="https://www.google.com/search?newwindow=1&amp;ei=2MT0XrvGGM-vytMP1OyDgAY&amp;q=site%3Alinkedin.com+Angela+Cottrell+Campus+Recruiter+Deloitte" TargetMode="External"/><Relationship Id="rId328" Type="http://schemas.openxmlformats.org/officeDocument/2006/relationships/hyperlink" Target="https://www.google.com/search?newwindow=1&amp;ei=2MT0XrvGGM-vytMP1OyDgAY&amp;q=site%3Alinkedin.com+Ashley+Josephson+Campus+Recruiting+Manager+-+Consulting+Deloitte" TargetMode="External"/><Relationship Id="rId561" Type="http://schemas.openxmlformats.org/officeDocument/2006/relationships/hyperlink" Target="https://www.google.com/search?newwindow=1&amp;ei=2MT0XrvGGM-vytMP1OyDgAY&amp;q=site%3Alinkedin.com+Tyrus+Sanders+Regional+College+Recruiter+GEICO" TargetMode="External"/><Relationship Id="rId1150" Type="http://schemas.openxmlformats.org/officeDocument/2006/relationships/hyperlink" Target="https://www.google.com/search?newwindow=1&amp;ei=2MT0XrvGGM-vytMP1OyDgAY&amp;q=site%3Alinkedin.com+Jessica+Lockard+Campus+Recruiting+Manager+Walmart" TargetMode="External"/><Relationship Id="rId560" Type="http://schemas.openxmlformats.org/officeDocument/2006/relationships/hyperlink" Target="https://www.google.com/search?newwindow=1&amp;ei=2MT0XrvGGM-vytMP1OyDgAY&amp;q=site%3Alinkedin.com+Allison+Hansen+Corporate+Campus+Recruiter+GEICO" TargetMode="External"/><Relationship Id="rId1151" Type="http://schemas.openxmlformats.org/officeDocument/2006/relationships/hyperlink" Target="https://www.google.com/search?newwindow=1&amp;ei=2MT0XrvGGM-vytMP1OyDgAY&amp;q=site%3Alinkedin.com+Hayley+Biason+Campus+Recruiter+Walmart+eCommerce" TargetMode="External"/><Relationship Id="rId1152" Type="http://schemas.openxmlformats.org/officeDocument/2006/relationships/hyperlink" Target="https://www.google.com/search?newwindow=1&amp;ei=2MT0XrvGGM-vytMP1OyDgAY&amp;q=site%3Alinkedin.com+Nicole+Nunno+Campus+Recruiter+Walmart+eCommerce" TargetMode="External"/><Relationship Id="rId1153" Type="http://schemas.openxmlformats.org/officeDocument/2006/relationships/hyperlink" Target="https://www.google.com/search?newwindow=1&amp;ei=2MT0XrvGGM-vytMP1OyDgAY&amp;q=site%3Alinkedin.com+Bipasa+Singh+University+Recruiter+Walmart+eCommerce" TargetMode="External"/><Relationship Id="rId323" Type="http://schemas.openxmlformats.org/officeDocument/2006/relationships/hyperlink" Target="https://www.google.com/search?newwindow=1&amp;ei=2MT0XrvGGM-vytMP1OyDgAY&amp;q=site%3Alinkedin.com+Catherine+Chavez+University+Recruiter+Deloitte" TargetMode="External"/><Relationship Id="rId565" Type="http://schemas.openxmlformats.org/officeDocument/2006/relationships/hyperlink" Target="https://www.google.com/search?newwindow=1&amp;ei=2MT0XrvGGM-vytMP1OyDgAY&amp;q=site%3Alinkedin.com+Amy+Mercedes+Pineda+Engineering+University+Relations+Recruiter+Coordinator+Goldman+Sachs" TargetMode="External"/><Relationship Id="rId1154" Type="http://schemas.openxmlformats.org/officeDocument/2006/relationships/hyperlink" Target="https://www.google.com/search?newwindow=1&amp;ei=2MT0XrvGGM-vytMP1OyDgAY&amp;q=site%3Alinkedin.com+Allison+D.+Williams+University+Relations+Recruiter+WarnerMedia" TargetMode="External"/><Relationship Id="rId322" Type="http://schemas.openxmlformats.org/officeDocument/2006/relationships/hyperlink" Target="https://www.google.com/search?newwindow=1&amp;ei=2MT0XrvGGM-vytMP1OyDgAY&amp;q=site%3Alinkedin.com+Casey+Comings+Senior+Campus+Recruiter+Deloitte" TargetMode="External"/><Relationship Id="rId564" Type="http://schemas.openxmlformats.org/officeDocument/2006/relationships/hyperlink" Target="https://www.google.com/search?newwindow=1&amp;ei=2MT0XrvGGM-vytMP1OyDgAY&amp;q=site%3Alinkedin.com+Ashley+A.+Campus+Recruiter-+Global+Investment+Research+&amp;+Merchant+Banking+Divisions+Goldman+Sachs" TargetMode="External"/><Relationship Id="rId1155" Type="http://schemas.openxmlformats.org/officeDocument/2006/relationships/hyperlink" Target="https://www.google.com/search?newwindow=1&amp;ei=2MT0XrvGGM-vytMP1OyDgAY&amp;q=site%3Alinkedin.com+Kameren+Waln+Campus+Recruiter+WarnerMedia" TargetMode="External"/><Relationship Id="rId321" Type="http://schemas.openxmlformats.org/officeDocument/2006/relationships/hyperlink" Target="https://www.google.com/search?newwindow=1&amp;ei=2MT0XrvGGM-vytMP1OyDgAY&amp;q=site%3Alinkedin.com+Caroline+Grosso+Campus+Recruiter+Deloitte" TargetMode="External"/><Relationship Id="rId563" Type="http://schemas.openxmlformats.org/officeDocument/2006/relationships/hyperlink" Target="https://www.google.com/search?newwindow=1&amp;ei=2MT0XrvGGM-vytMP1OyDgAY&amp;q=site%3Alinkedin.com+Jeannie+Toscano+Regional+College+Recruiter+GEICO" TargetMode="External"/><Relationship Id="rId1156" Type="http://schemas.openxmlformats.org/officeDocument/2006/relationships/hyperlink" Target="https://www.google.com/search?newwindow=1&amp;ei=2MT0XrvGGM-vytMP1OyDgAY&amp;q=site%3Alinkedin.com+Maureen+Gilroy+Campus+Recruiting+Manager+Wayfair" TargetMode="External"/><Relationship Id="rId320" Type="http://schemas.openxmlformats.org/officeDocument/2006/relationships/hyperlink" Target="https://www.google.com/search?newwindow=1&amp;ei=2MT0XrvGGM-vytMP1OyDgAY&amp;q=site%3Alinkedin.com+KC+Meehan+Campus+Recruiter+Deloitte" TargetMode="External"/><Relationship Id="rId562" Type="http://schemas.openxmlformats.org/officeDocument/2006/relationships/hyperlink" Target="https://www.google.com/search?newwindow=1&amp;ei=2MT0XrvGGM-vytMP1OyDgAY&amp;q=site%3Alinkedin.com+Mary+Alexander+College+Recruiter+GEICO" TargetMode="External"/><Relationship Id="rId1157" Type="http://schemas.openxmlformats.org/officeDocument/2006/relationships/hyperlink" Target="https://www.google.com/search?newwindow=1&amp;ei=2MT0XrvGGM-vytMP1OyDgAY&amp;q=site%3Alinkedin.com+Catherine+Martin+Senior+Campus+Recruiter+Wayfair" TargetMode="External"/><Relationship Id="rId1147" Type="http://schemas.openxmlformats.org/officeDocument/2006/relationships/hyperlink" Target="https://www.google.com/search?newwindow=1&amp;ei=2MT0XrvGGM-vytMP1OyDgAY&amp;q=site%3Alinkedin.com+Renee+MacCabe+Campus+Relations+Recruiter+Wal-Mart" TargetMode="External"/><Relationship Id="rId1148" Type="http://schemas.openxmlformats.org/officeDocument/2006/relationships/hyperlink" Target="https://www.google.com/search?newwindow=1&amp;ei=2MT0XrvGGM-vytMP1OyDgAY&amp;q=site%3Alinkedin.com+Monica+Hutchinson+Campus+Recruiter+Walmart" TargetMode="External"/><Relationship Id="rId1149" Type="http://schemas.openxmlformats.org/officeDocument/2006/relationships/hyperlink" Target="https://www.google.com/search?newwindow=1&amp;ei=2MT0XrvGGM-vytMP1OyDgAY&amp;q=site%3Alinkedin.com+Kristin+McCarter+Campus+Recruiter+Walmart" TargetMode="External"/><Relationship Id="rId316" Type="http://schemas.openxmlformats.org/officeDocument/2006/relationships/hyperlink" Target="https://www.google.com/search?newwindow=1&amp;ei=2MT0XrvGGM-vytMP1OyDgAY&amp;q=site%3Alinkedin.com+Emily+Kaplan+Campus+Recruiter+Deloitte" TargetMode="External"/><Relationship Id="rId558" Type="http://schemas.openxmlformats.org/officeDocument/2006/relationships/hyperlink" Target="https://www.google.com/search?newwindow=1&amp;ei=2MT0XrvGGM-vytMP1OyDgAY&amp;q=site%3Alinkedin.com+Jared+McMillan+Northeast+College+Recruiter+GEICO" TargetMode="External"/><Relationship Id="rId315" Type="http://schemas.openxmlformats.org/officeDocument/2006/relationships/hyperlink" Target="https://www.google.com/search?newwindow=1&amp;ei=2MT0XrvGGM-vytMP1OyDgAY&amp;q=site%3Alinkedin.com+Amanda+Willott+Campus+Recruiter+Deloitte" TargetMode="External"/><Relationship Id="rId557" Type="http://schemas.openxmlformats.org/officeDocument/2006/relationships/hyperlink" Target="https://www.google.com/search?newwindow=1&amp;ei=2MT0XrvGGM-vytMP1OyDgAY&amp;q=site%3Alinkedin.com+Lesley+Evans+Seattle+Regional+College+Recruiter+GEICO" TargetMode="External"/><Relationship Id="rId799" Type="http://schemas.openxmlformats.org/officeDocument/2006/relationships/hyperlink" Target="https://www.google.com/search?newwindow=1&amp;ei=2MT0XrvGGM-vytMP1OyDgAY&amp;q=site%3Alinkedin.com+Catrina+Chen+University+Recruiter+Microsoft" TargetMode="External"/><Relationship Id="rId314" Type="http://schemas.openxmlformats.org/officeDocument/2006/relationships/hyperlink" Target="https://www.google.com/search?newwindow=1&amp;ei=2MT0XrvGGM-vytMP1OyDgAY&amp;q=site%3Alinkedin.com+Alyse+Aven+Lead+Experienced+Hire+Recruiter+Deloitte" TargetMode="External"/><Relationship Id="rId556" Type="http://schemas.openxmlformats.org/officeDocument/2006/relationships/hyperlink" Target="https://www.google.com/search?newwindow=1&amp;ei=2MT0XrvGGM-vytMP1OyDgAY&amp;q=site%3Alinkedin.com+Kathleen+Cruz+College+Recruiter+GEICO" TargetMode="External"/><Relationship Id="rId798" Type="http://schemas.openxmlformats.org/officeDocument/2006/relationships/hyperlink" Target="https://www.google.com/search?newwindow=1&amp;ei=2MT0XrvGGM-vytMP1OyDgAY&amp;q=site%3Alinkedin.com+Sarah+Gordon+Talent+Sourcer+-+Pivotal+Recruiting+Microsoft" TargetMode="External"/><Relationship Id="rId313" Type="http://schemas.openxmlformats.org/officeDocument/2006/relationships/hyperlink" Target="https://www.google.com/search?newwindow=1&amp;ei=2MT0XrvGGM-vytMP1OyDgAY&amp;q=site%3Alinkedin.com+Deanna+Washington+Campus+Recruiter+Deloitte" TargetMode="External"/><Relationship Id="rId555" Type="http://schemas.openxmlformats.org/officeDocument/2006/relationships/hyperlink" Target="https://www.google.com/search?newwindow=1&amp;ei=2MT0XrvGGM-vytMP1OyDgAY&amp;q=site%3Alinkedin.com+Jill+Burner+Regional+College+Recruiter+GEICO" TargetMode="External"/><Relationship Id="rId797" Type="http://schemas.openxmlformats.org/officeDocument/2006/relationships/hyperlink" Target="https://www.google.com/search?newwindow=1&amp;ei=2MT0XrvGGM-vytMP1OyDgAY&amp;q=site%3Alinkedin.com+Kamara+Swaby+University+Recruiter+Microsoft" TargetMode="External"/><Relationship Id="rId319" Type="http://schemas.openxmlformats.org/officeDocument/2006/relationships/hyperlink" Target="https://www.google.com/search?newwindow=1&amp;ei=2MT0XrvGGM-vytMP1OyDgAY&amp;q=site%3Alinkedin.com+Britney+(Us+Campus+Recruiting+Manager+Deloitte" TargetMode="External"/><Relationship Id="rId318" Type="http://schemas.openxmlformats.org/officeDocument/2006/relationships/hyperlink" Target="https://www.google.com/search?newwindow=1&amp;ei=2MT0XrvGGM-vytMP1OyDgAY&amp;q=site%3Alinkedin.com+Vicky+Chang+Campus+Recruiting+Manager+Deloitte" TargetMode="External"/><Relationship Id="rId317" Type="http://schemas.openxmlformats.org/officeDocument/2006/relationships/hyperlink" Target="https://www.google.com/search?newwindow=1&amp;ei=2MT0XrvGGM-vytMP1OyDgAY&amp;q=site%3Alinkedin.com+Dana+Catania+Campus+Recruiting+Manager+Deloitte" TargetMode="External"/><Relationship Id="rId559" Type="http://schemas.openxmlformats.org/officeDocument/2006/relationships/hyperlink" Target="https://www.google.com/search?newwindow=1&amp;ei=2MT0XrvGGM-vytMP1OyDgAY&amp;q=site%3Alinkedin.com+Sarah+Bergeron+Regional+Campus+Recruiter+GEICO" TargetMode="External"/><Relationship Id="rId550" Type="http://schemas.openxmlformats.org/officeDocument/2006/relationships/hyperlink" Target="https://www.google.com/search?newwindow=1&amp;ei=2MT0XrvGGM-vytMP1OyDgAY&amp;q=site%3Alinkedin.com+Michelle+Berg+College+Recruiter+GEICO" TargetMode="External"/><Relationship Id="rId792" Type="http://schemas.openxmlformats.org/officeDocument/2006/relationships/hyperlink" Target="https://www.google.com/search?newwindow=1&amp;ei=2MT0XrvGGM-vytMP1OyDgAY&amp;q=site%3Alinkedin.com+Gretchen+Tristan+University+Recruiter+Microsoft" TargetMode="External"/><Relationship Id="rId791" Type="http://schemas.openxmlformats.org/officeDocument/2006/relationships/hyperlink" Target="https://www.google.com/search?newwindow=1&amp;ei=2MT0XrvGGM-vytMP1OyDgAY&amp;q=site%3Alinkedin.com+Meredith+Bogguess+University+Recruiter+Microsoft" TargetMode="External"/><Relationship Id="rId1140" Type="http://schemas.openxmlformats.org/officeDocument/2006/relationships/hyperlink" Target="https://www.google.com/search?newwindow=1&amp;ei=2MT0XrvGGM-vytMP1OyDgAY&amp;q=site%3Alinkedin.com+Kristen+Taylor+University+Recruiter+VMware" TargetMode="External"/><Relationship Id="rId790" Type="http://schemas.openxmlformats.org/officeDocument/2006/relationships/hyperlink" Target="https://www.google.com/search?newwindow=1&amp;ei=2MT0XrvGGM-vytMP1OyDgAY&amp;q=site%3Alinkedin.com+Damon+Coupe+University+Recruiter+Microsoft" TargetMode="External"/><Relationship Id="rId1141" Type="http://schemas.openxmlformats.org/officeDocument/2006/relationships/hyperlink" Target="https://www.google.com/search?newwindow=1&amp;ei=2MT0XrvGGM-vytMP1OyDgAY&amp;q=site%3Alinkedin.com+Jessica+Hoyt+University+Recruiter+VMware" TargetMode="External"/><Relationship Id="rId1142" Type="http://schemas.openxmlformats.org/officeDocument/2006/relationships/hyperlink" Target="https://www.google.com/search?newwindow=1&amp;ei=2MT0XrvGGM-vytMP1OyDgAY&amp;q=site%3Alinkedin.com+Daniel+Kim+Sr.+Technical+University+Recruiter+VMware" TargetMode="External"/><Relationship Id="rId312" Type="http://schemas.openxmlformats.org/officeDocument/2006/relationships/hyperlink" Target="https://www.google.com/search?newwindow=1&amp;ei=2MT0XrvGGM-vytMP1OyDgAY&amp;q=site%3Alinkedin.com+Callie+McCarthy+Campus+Recruiter+Deloitte" TargetMode="External"/><Relationship Id="rId554" Type="http://schemas.openxmlformats.org/officeDocument/2006/relationships/hyperlink" Target="https://www.google.com/search?newwindow=1&amp;ei=2MT0XrvGGM-vytMP1OyDgAY&amp;q=site%3Alinkedin.com+Cory+Wood+Regional+College+Recruiter+GEICO" TargetMode="External"/><Relationship Id="rId796" Type="http://schemas.openxmlformats.org/officeDocument/2006/relationships/hyperlink" Target="https://www.google.com/search?newwindow=1&amp;ei=2MT0XrvGGM-vytMP1OyDgAY&amp;q=site%3Alinkedin.com+Caitlin+Gonzales+University+Recruiter+Microsoft" TargetMode="External"/><Relationship Id="rId1143" Type="http://schemas.openxmlformats.org/officeDocument/2006/relationships/hyperlink" Target="https://www.google.com/search?newwindow=1&amp;ei=2MT0XrvGGM-vytMP1OyDgAY&amp;q=site%3Alinkedin.com+Cam+Bowman+Campus+Recruiter+VMware" TargetMode="External"/><Relationship Id="rId311" Type="http://schemas.openxmlformats.org/officeDocument/2006/relationships/hyperlink" Target="https://www.google.com/search?newwindow=1&amp;ei=2MT0XrvGGM-vytMP1OyDgAY&amp;q=site%3Alinkedin.com+Elizabeth+Potter+Senior+University+Recruiter+Deloitte" TargetMode="External"/><Relationship Id="rId553" Type="http://schemas.openxmlformats.org/officeDocument/2006/relationships/hyperlink" Target="https://www.google.com/search?newwindow=1&amp;ei=2MT0XrvGGM-vytMP1OyDgAY&amp;q=site%3Alinkedin.com+Danielle+Gallagher+Regional+College+Recruiter+GEICO" TargetMode="External"/><Relationship Id="rId795" Type="http://schemas.openxmlformats.org/officeDocument/2006/relationships/hyperlink" Target="https://www.google.com/search?newwindow=1&amp;ei=2MT0XrvGGM-vytMP1OyDgAY&amp;q=site%3Alinkedin.com+Maggie+Bott+Technical+Recruiter+-+Student+Veterans+++Security+Clearance+Opportunities+for+University+Students+Microsoft" TargetMode="External"/><Relationship Id="rId1144" Type="http://schemas.openxmlformats.org/officeDocument/2006/relationships/hyperlink" Target="https://www.google.com/search?newwindow=1&amp;ei=2MT0XrvGGM-vytMP1OyDgAY&amp;q=site%3Alinkedin.com+Andrew+Kim+University+Recruiter+VMware" TargetMode="External"/><Relationship Id="rId310" Type="http://schemas.openxmlformats.org/officeDocument/2006/relationships/hyperlink" Target="https://www.google.com/search?newwindow=1&amp;ei=2MT0XrvGGM-vytMP1OyDgAY&amp;q=site%3Alinkedin.com+Anadelia+Garcia+Campus+Recruiting+Manager+-+Central+Region+Deloitte" TargetMode="External"/><Relationship Id="rId552" Type="http://schemas.openxmlformats.org/officeDocument/2006/relationships/hyperlink" Target="https://www.google.com/search?newwindow=1&amp;ei=2MT0XrvGGM-vytMP1OyDgAY&amp;q=site%3Alinkedin.com+Darrius+Baker+GEICO+Diversity+and+Inclusion+Recruiter+GEICO" TargetMode="External"/><Relationship Id="rId794" Type="http://schemas.openxmlformats.org/officeDocument/2006/relationships/hyperlink" Target="https://www.google.com/search?newwindow=1&amp;ei=2MT0XrvGGM-vytMP1OyDgAY&amp;q=site%3Alinkedin.com+Shelly+Forsberg+University+Recruiter+Microsoft" TargetMode="External"/><Relationship Id="rId1145" Type="http://schemas.openxmlformats.org/officeDocument/2006/relationships/hyperlink" Target="https://www.google.com/search?newwindow=1&amp;ei=2MT0XrvGGM-vytMP1OyDgAY&amp;q=site%3Alinkedin.com+Stephanie+Ruiz-Schlesinger+Senior+Recruiter+VMware" TargetMode="External"/><Relationship Id="rId551" Type="http://schemas.openxmlformats.org/officeDocument/2006/relationships/hyperlink" Target="https://www.google.com/search?newwindow=1&amp;ei=2MT0XrvGGM-vytMP1OyDgAY&amp;q=site%3Alinkedin.com+Tricia+Barrios+Regional+College+Recruiter+GEICO" TargetMode="External"/><Relationship Id="rId793" Type="http://schemas.openxmlformats.org/officeDocument/2006/relationships/hyperlink" Target="https://www.google.com/search?newwindow=1&amp;ei=2MT0XrvGGM-vytMP1OyDgAY&amp;q=site%3Alinkedin.com+rose+jay+Campus+Recruiter+Microsoft" TargetMode="External"/><Relationship Id="rId1146" Type="http://schemas.openxmlformats.org/officeDocument/2006/relationships/hyperlink" Target="https://www.google.com/search?newwindow=1&amp;ei=2MT0XrvGGM-vytMP1OyDgAY&amp;q=site%3Alinkedin.com+Brooke+Bricker+University+Talent+Senior+Recruiter+VMware" TargetMode="External"/><Relationship Id="rId297" Type="http://schemas.openxmlformats.org/officeDocument/2006/relationships/hyperlink" Target="https://www.google.com/search?newwindow=1&amp;ei=2MT0XrvGGM-vytMP1OyDgAY&amp;q=site%3Alinkedin.com+Shawn+Lamb+Senior+Campus+Recruiter+Deloitte" TargetMode="External"/><Relationship Id="rId296" Type="http://schemas.openxmlformats.org/officeDocument/2006/relationships/hyperlink" Target="https://www.google.com/search?newwindow=1&amp;ei=2MT0XrvGGM-vytMP1OyDgAY&amp;q=site%3Alinkedin.com+Carly+Wenyon+Campus+Recruiter+Deloitte" TargetMode="External"/><Relationship Id="rId295" Type="http://schemas.openxmlformats.org/officeDocument/2006/relationships/hyperlink" Target="https://www.google.com/search?newwindow=1&amp;ei=2MT0XrvGGM-vytMP1OyDgAY&amp;q=site%3Alinkedin.com+Sarah+Jensen+Hasenauer+Regional+Campus+Recruiting+Manager+Deloitte" TargetMode="External"/><Relationship Id="rId294" Type="http://schemas.openxmlformats.org/officeDocument/2006/relationships/hyperlink" Target="https://www.google.com/search?newwindow=1&amp;ei=2MT0XrvGGM-vytMP1OyDgAY&amp;q=site%3Alinkedin.com+Betty+Chan+Lead+Consulting+Campus+Recruiter+Deloitte" TargetMode="External"/><Relationship Id="rId299" Type="http://schemas.openxmlformats.org/officeDocument/2006/relationships/hyperlink" Target="https://www.google.com/search?newwindow=1&amp;ei=2MT0XrvGGM-vytMP1OyDgAY&amp;q=site%3Alinkedin.com+Gail+Lewis-Kelley+Campus+Recruiting+Manager+Deloitte" TargetMode="External"/><Relationship Id="rId298" Type="http://schemas.openxmlformats.org/officeDocument/2006/relationships/hyperlink" Target="https://www.google.com/search?newwindow=1&amp;ei=2MT0XrvGGM-vytMP1OyDgAY&amp;q=site%3Alinkedin.com+Fleming+Longino+Campus+Recruiter+Deloitte" TargetMode="External"/><Relationship Id="rId271" Type="http://schemas.openxmlformats.org/officeDocument/2006/relationships/hyperlink" Target="https://www.google.com/search?newwindow=1&amp;ei=2MT0XrvGGM-vytMP1OyDgAY&amp;q=site%3Alinkedin.com+Ann.+Scarp+Campus+Recruiter+Credit+Suisse" TargetMode="External"/><Relationship Id="rId270" Type="http://schemas.openxmlformats.org/officeDocument/2006/relationships/hyperlink" Target="https://www.google.com/search?newwindow=1&amp;ei=2MT0XrvGGM-vytMP1OyDgAY&amp;q=site%3Alinkedin.com+Kyle+Pagan+Talent+Brand+Marketing+Specialist/Campus+Recruiter+Comcast" TargetMode="External"/><Relationship Id="rId269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264" Type="http://schemas.openxmlformats.org/officeDocument/2006/relationships/hyperlink" Target="https://www.google.com/search?newwindow=1&amp;ei=2MT0XrvGGM-vytMP1OyDgAY&amp;q=site%3Alinkedin.com+Christine+Kane+Employee+Engagement+Program+Manager+Comcast" TargetMode="External"/><Relationship Id="rId263" Type="http://schemas.openxmlformats.org/officeDocument/2006/relationships/hyperlink" Target="https://www.google.com/search?newwindow=1&amp;ei=2MT0XrvGGM-vytMP1OyDgAY&amp;q=site%3Alinkedin.com+Alexandra+Riley+Zullo+Senior+University+Relations+Recruiter+Comcast" TargetMode="External"/><Relationship Id="rId262" Type="http://schemas.openxmlformats.org/officeDocument/2006/relationships/hyperlink" Target="https://www.google.com/search?newwindow=1&amp;ei=2MT0XrvGGM-vytMP1OyDgAY&amp;q=site%3Alinkedin.com+Rick+Dreger+University+Relations+Recruiter+Comcast" TargetMode="External"/><Relationship Id="rId261" Type="http://schemas.openxmlformats.org/officeDocument/2006/relationships/hyperlink" Target="https://www.google.com/search?newwindow=1&amp;ei=2MT0XrvGGM-vytMP1OyDgAY&amp;q=site%3Alinkedin.com+Jacqueline+Kelley+University+Recruiter+Cognizant" TargetMode="External"/><Relationship Id="rId268" Type="http://schemas.openxmlformats.org/officeDocument/2006/relationships/hyperlink" Target="https://www.google.com/search?newwindow=1&amp;ei=2MT0XrvGGM-vytMP1OyDgAY&amp;q=site%3Alinkedin.com+Erin+Kantner+MBA+Campus+Recruiter+&amp;+Program+Manager+Comcast" TargetMode="External"/><Relationship Id="rId267" Type="http://schemas.openxmlformats.org/officeDocument/2006/relationships/hyperlink" Target="https://www.google.com/search?newwindow=1&amp;ei=2MT0XrvGGM-vytMP1OyDgAY&amp;q=site%3Alinkedin.com+Melanie+Hunter+University+Relations+Recruiter+Comcast" TargetMode="External"/><Relationship Id="rId266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265" Type="http://schemas.openxmlformats.org/officeDocument/2006/relationships/hyperlink" Target="https://www.google.com/search?newwindow=1&amp;ei=2MT0XrvGGM-vytMP1OyDgAY&amp;q=site%3Alinkedin.com+Christine+Kane+University+Relations+Campus+Recruiter+Comcast" TargetMode="External"/><Relationship Id="rId260" Type="http://schemas.openxmlformats.org/officeDocument/2006/relationships/hyperlink" Target="https://www.google.com/search?newwindow=1&amp;ei=2MT0XrvGGM-vytMP1OyDgAY&amp;q=site%3Alinkedin.com+Stacey+Kubler+Lead+University+Recruiter+Citrix" TargetMode="External"/><Relationship Id="rId259" Type="http://schemas.openxmlformats.org/officeDocument/2006/relationships/hyperlink" Target="https://www.google.com/search?newwindow=1&amp;ei=2MT0XrvGGM-vytMP1OyDgAY&amp;q=site%3Alinkedin.com+Kamor+Brown+University+Recruiter+Citrix" TargetMode="External"/><Relationship Id="rId258" Type="http://schemas.openxmlformats.org/officeDocument/2006/relationships/hyperlink" Target="https://www.google.com/search?newwindow=1&amp;ei=2MT0XrvGGM-vytMP1OyDgAY&amp;q=site%3Alinkedin.com+Kalli+Brooks+University+Sourcing+Recruiter+Citrix" TargetMode="External"/><Relationship Id="rId253" Type="http://schemas.openxmlformats.org/officeDocument/2006/relationships/hyperlink" Target="https://www.google.com/search?newwindow=1&amp;ei=2MT0XrvGGM-vytMP1OyDgAY&amp;q=site%3Alinkedin.com+Erica+Strunkey+Assistant+Vice+President+-+Senior+Campus+Recruiter+Citi" TargetMode="External"/><Relationship Id="rId495" Type="http://schemas.openxmlformats.org/officeDocument/2006/relationships/hyperlink" Target="https://www.google.com/search?newwindow=1&amp;ei=2MT0XrvGGM-vytMP1OyDgAY&amp;q=site%3Alinkedin.com+Theresa+Kaufman+University+Recruiter+Facebook" TargetMode="External"/><Relationship Id="rId252" Type="http://schemas.openxmlformats.org/officeDocument/2006/relationships/hyperlink" Target="https://www.google.com/search?newwindow=1&amp;ei=2MT0XrvGGM-vytMP1OyDgAY&amp;q=site%3Alinkedin.com+Jacqueline+Waugh+Campus+Recruiter+Citi" TargetMode="External"/><Relationship Id="rId494" Type="http://schemas.openxmlformats.org/officeDocument/2006/relationships/hyperlink" Target="https://www.google.com/search?newwindow=1&amp;ei=2MT0XrvGGM-vytMP1OyDgAY&amp;q=site%3Alinkedin.com+Emily+Caceres+University+Recruiter+Facebook" TargetMode="External"/><Relationship Id="rId251" Type="http://schemas.openxmlformats.org/officeDocument/2006/relationships/hyperlink" Target="https://www.google.com/search?newwindow=1&amp;ei=2MT0XrvGGM-vytMP1OyDgAY&amp;q=site%3Alinkedin.com+Sivona+Blake+Assistant+Vice+President+-+Senior+Diversity+Campus+Recruiter+Citi" TargetMode="External"/><Relationship Id="rId493" Type="http://schemas.openxmlformats.org/officeDocument/2006/relationships/hyperlink" Target="https://www.google.com/search?newwindow=1&amp;ei=2MT0XrvGGM-vytMP1OyDgAY&amp;q=site%3Alinkedin.com+Gwen+Mahurin+University+Recruiter+Facebook" TargetMode="External"/><Relationship Id="rId250" Type="http://schemas.openxmlformats.org/officeDocument/2006/relationships/hyperlink" Target="https://www.google.com/search?newwindow=1&amp;ei=2MT0XrvGGM-vytMP1OyDgAY&amp;q=site%3Alinkedin.com+Abigail+Nelson+Campus+Recruiter+Citi" TargetMode="External"/><Relationship Id="rId492" Type="http://schemas.openxmlformats.org/officeDocument/2006/relationships/hyperlink" Target="https://www.google.com/search?newwindow=1&amp;ei=2MT0XrvGGM-vytMP1OyDgAY&amp;q=site%3Alinkedin.com+Marina+Moreno+University+Recruiter+Facebook" TargetMode="External"/><Relationship Id="rId257" Type="http://schemas.openxmlformats.org/officeDocument/2006/relationships/hyperlink" Target="https://www.google.com/search?newwindow=1&amp;ei=2MT0XrvGGM-vytMP1OyDgAY&amp;q=site%3Alinkedin.com+Kate+Myers+Campus+Recruiter+Citigroup" TargetMode="External"/><Relationship Id="rId499" Type="http://schemas.openxmlformats.org/officeDocument/2006/relationships/hyperlink" Target="https://www.google.com/search?newwindow=1&amp;ei=2MT0XrvGGM-vytMP1OyDgAY&amp;q=site%3Alinkedin.com+Lawrence+A.+Lucas+III+University+Recruiter+Facebook" TargetMode="External"/><Relationship Id="rId256" Type="http://schemas.openxmlformats.org/officeDocument/2006/relationships/hyperlink" Target="https://www.google.com/search?newwindow=1&amp;ei=2MT0XrvGGM-vytMP1OyDgAY&amp;q=site%3Alinkedin.com+Xavien+Jackson+Campus+Recruiter+Citi" TargetMode="External"/><Relationship Id="rId498" Type="http://schemas.openxmlformats.org/officeDocument/2006/relationships/hyperlink" Target="https://www.google.com/search?newwindow=1&amp;ei=2MT0XrvGGM-vytMP1OyDgAY&amp;q=site%3Alinkedin.com+Emilio+Arias+(He/Him)+University+Recruiter+-+Production+Engineering+Facebook" TargetMode="External"/><Relationship Id="rId255" Type="http://schemas.openxmlformats.org/officeDocument/2006/relationships/hyperlink" Target="https://www.google.com/search?newwindow=1&amp;ei=2MT0XrvGGM-vytMP1OyDgAY&amp;q=site%3Alinkedin.com+Rhiannon+(Anna)+C.+Campus+Recruiter+Coordinator+Citi" TargetMode="External"/><Relationship Id="rId497" Type="http://schemas.openxmlformats.org/officeDocument/2006/relationships/hyperlink" Target="https://www.google.com/search?newwindow=1&amp;ei=2MT0XrvGGM-vytMP1OyDgAY&amp;q=site%3Alinkedin.com+Urooj+S.+University+Recruiter+Facebook" TargetMode="External"/><Relationship Id="rId254" Type="http://schemas.openxmlformats.org/officeDocument/2006/relationships/hyperlink" Target="https://www.google.com/search?newwindow=1&amp;ei=2MT0XrvGGM-vytMP1OyDgAY&amp;q=site%3Alinkedin.com+Devika+Seeraj+Assistant+Vice+President+-+Campus+Recruiter+Citi" TargetMode="External"/><Relationship Id="rId496" Type="http://schemas.openxmlformats.org/officeDocument/2006/relationships/hyperlink" Target="https://www.google.com/search?newwindow=1&amp;ei=2MT0XrvGGM-vytMP1OyDgAY&amp;q=site%3Alinkedin.com+Kel+Lau+University+Recruiter+Facebook" TargetMode="External"/><Relationship Id="rId293" Type="http://schemas.openxmlformats.org/officeDocument/2006/relationships/hyperlink" Target="https://www.google.com/search?newwindow=1&amp;ei=2MT0XrvGGM-vytMP1OyDgAY&amp;q=site%3Alinkedin.com+Megan+Candee+Senior+Campus+Recruiter+Deloitte" TargetMode="External"/><Relationship Id="rId292" Type="http://schemas.openxmlformats.org/officeDocument/2006/relationships/hyperlink" Target="https://www.google.com/search?newwindow=1&amp;ei=2MT0XrvGGM-vytMP1OyDgAY&amp;q=site%3Alinkedin.com+Suzanne+Joyce+Senior+Campus+Recruiter+Deloitte" TargetMode="External"/><Relationship Id="rId291" Type="http://schemas.openxmlformats.org/officeDocument/2006/relationships/hyperlink" Target="https://www.google.com/search?newwindow=1&amp;ei=2MT0XrvGGM-vytMP1OyDgAY&amp;q=site%3Alinkedin.com+Kristin+Mikelson+Campus+Recruiting+Manager+Deloitte" TargetMode="External"/><Relationship Id="rId290" Type="http://schemas.openxmlformats.org/officeDocument/2006/relationships/hyperlink" Target="https://www.google.com/search?newwindow=1&amp;ei=2MT0XrvGGM-vytMP1OyDgAY&amp;q=site%3Alinkedin.com+Cristina+Tomasko+Campus+Recruiting+Manager+Deloitte" TargetMode="External"/><Relationship Id="rId286" Type="http://schemas.openxmlformats.org/officeDocument/2006/relationships/hyperlink" Target="https://www.google.com/search?newwindow=1&amp;ei=2MT0XrvGGM-vytMP1OyDgAY&amp;q=site%3Alinkedin.com+Andrea+Gonso+Campus+Recruiter+Deloitte" TargetMode="External"/><Relationship Id="rId285" Type="http://schemas.openxmlformats.org/officeDocument/2006/relationships/hyperlink" Target="https://www.google.com/search?newwindow=1&amp;ei=2MT0XrvGGM-vytMP1OyDgAY&amp;q=site%3Alinkedin.com+Milan+Sands+Campus+Recruiter+Deloitte" TargetMode="External"/><Relationship Id="rId284" Type="http://schemas.openxmlformats.org/officeDocument/2006/relationships/hyperlink" Target="https://www.google.com/search?newwindow=1&amp;ei=2MT0XrvGGM-vytMP1OyDgAY&amp;q=site%3Alinkedin.com+Ariel+Bailey+Campus+Recruiter+Deloitte" TargetMode="External"/><Relationship Id="rId283" Type="http://schemas.openxmlformats.org/officeDocument/2006/relationships/hyperlink" Target="https://www.google.com/search?newwindow=1&amp;ei=2MT0XrvGGM-vytMP1OyDgAY&amp;q=site%3Alinkedin.com+Jessy+Jager+Senior+Campus+Recruiter+Deloitte" TargetMode="External"/><Relationship Id="rId289" Type="http://schemas.openxmlformats.org/officeDocument/2006/relationships/hyperlink" Target="https://www.google.com/search?newwindow=1&amp;ei=2MT0XrvGGM-vytMP1OyDgAY&amp;q=site%3Alinkedin.com+Carter+McCormack+Hartung+Campus+Recruiting+Manager+Deloitte" TargetMode="External"/><Relationship Id="rId288" Type="http://schemas.openxmlformats.org/officeDocument/2006/relationships/hyperlink" Target="https://www.google.com/search?newwindow=1&amp;ei=2MT0XrvGGM-vytMP1OyDgAY&amp;q=site%3Alinkedin.com+Kori+Kelly+Campus+Recruiting+Manager+Deloitte" TargetMode="External"/><Relationship Id="rId287" Type="http://schemas.openxmlformats.org/officeDocument/2006/relationships/hyperlink" Target="https://www.google.com/search?newwindow=1&amp;ei=2MT0XrvGGM-vytMP1OyDgAY&amp;q=site%3Alinkedin.com+Haley+Kuyk+Campus+Recruiter+Deloitte" TargetMode="External"/><Relationship Id="rId282" Type="http://schemas.openxmlformats.org/officeDocument/2006/relationships/hyperlink" Target="https://www.google.com/search?newwindow=1&amp;ei=2MT0XrvGGM-vytMP1OyDgAY&amp;q=site%3Alinkedin.com+Caroline+Fletcher+Campus+Recruiter+Deloitte" TargetMode="External"/><Relationship Id="rId281" Type="http://schemas.openxmlformats.org/officeDocument/2006/relationships/hyperlink" Target="https://www.google.com/search?newwindow=1&amp;ei=2MT0XrvGGM-vytMP1OyDgAY&amp;q=site%3Alinkedin.com+Wandie+Toledo+Bethune+Lead+Diversity+&amp;+Inclusion+Program+Manager+Deloitte" TargetMode="External"/><Relationship Id="rId280" Type="http://schemas.openxmlformats.org/officeDocument/2006/relationships/hyperlink" Target="https://www.google.com/search?newwindow=1&amp;ei=2MT0XrvGGM-vytMP1OyDgAY&amp;q=site%3Alinkedin.com+Kaitlin+Duberstein+Campus+Recruiting+Manager+Deloitte" TargetMode="External"/><Relationship Id="rId275" Type="http://schemas.openxmlformats.org/officeDocument/2006/relationships/hyperlink" Target="https://www.google.com/search?newwindow=1&amp;ei=2MT0XrvGGM-vytMP1OyDgAY&amp;q=site%3Alinkedin.com+Carly+Villa+Campus+Recruiter+Credit+Suisse" TargetMode="External"/><Relationship Id="rId274" Type="http://schemas.openxmlformats.org/officeDocument/2006/relationships/hyperlink" Target="https://www.google.com/search?newwindow=1&amp;ei=2MT0XrvGGM-vytMP1OyDgAY&amp;q=site%3Alinkedin.com+Kezia+Gibbs+Campus+Recruiter+Credit+Suisse" TargetMode="External"/><Relationship Id="rId273" Type="http://schemas.openxmlformats.org/officeDocument/2006/relationships/hyperlink" Target="https://www.google.com/search?newwindow=1&amp;ei=2MT0XrvGGM-vytMP1OyDgAY&amp;q=site%3Alinkedin.com+Jennifer+Wilson+Campus+Recruiter+-+Investment+Banking+&amp;+Capital+Markets+Credit+Suisse" TargetMode="External"/><Relationship Id="rId272" Type="http://schemas.openxmlformats.org/officeDocument/2006/relationships/hyperlink" Target="https://www.google.com/search?newwindow=1&amp;ei=2MT0XrvGGM-vytMP1OyDgAY&amp;q=site%3Alinkedin.com+Allison+Group+Investment+Banking+Campus+Recruiter+Credit+Suisse" TargetMode="External"/><Relationship Id="rId279" Type="http://schemas.openxmlformats.org/officeDocument/2006/relationships/hyperlink" Target="https://www.google.com/search?newwindow=1&amp;ei=2MT0XrvGGM-vytMP1OyDgAY&amp;q=site%3Alinkedin.com+Meredith+Sutter+Campus+Recruiting+Manager+Deloitte" TargetMode="External"/><Relationship Id="rId278" Type="http://schemas.openxmlformats.org/officeDocument/2006/relationships/hyperlink" Target="https://www.google.com/search?newwindow=1&amp;ei=2MT0XrvGGM-vytMP1OyDgAY&amp;q=site%3Alinkedin.com+Tiffany+Taylor+University+Relations+Diversity+Program+Manager+Dell" TargetMode="External"/><Relationship Id="rId277" Type="http://schemas.openxmlformats.org/officeDocument/2006/relationships/hyperlink" Target="https://www.google.com/search?newwindow=1&amp;ei=2MT0XrvGGM-vytMP1OyDgAY&amp;q=site%3Alinkedin.com+Katie+Flaschar+Campus+Recruiter+Cushman+&amp;+Wakefield" TargetMode="External"/><Relationship Id="rId276" Type="http://schemas.openxmlformats.org/officeDocument/2006/relationships/hyperlink" Target="https://www.google.com/search?newwindow=1&amp;ei=2MT0XrvGGM-vytMP1OyDgAY&amp;q=site%3Alinkedin.com+Jill+Wormser+Campus+Recruiter+Cushman+&amp;+Wakefield" TargetMode="External"/><Relationship Id="rId907" Type="http://schemas.openxmlformats.org/officeDocument/2006/relationships/hyperlink" Target="https://www.google.com/search?newwindow=1&amp;ei=2MT0XrvGGM-vytMP1OyDgAY&amp;q=site%3Alinkedin.com+Kirsten+Cole+University+Recruiter+Oracle" TargetMode="External"/><Relationship Id="rId906" Type="http://schemas.openxmlformats.org/officeDocument/2006/relationships/hyperlink" Target="https://www.google.com/search?newwindow=1&amp;ei=2MT0XrvGGM-vytMP1OyDgAY&amp;q=site%3Alinkedin.com+Allyson+Dubois+Oracle+College+Recruiter+Oracle" TargetMode="External"/><Relationship Id="rId905" Type="http://schemas.openxmlformats.org/officeDocument/2006/relationships/hyperlink" Target="https://www.google.com/search?newwindow=1&amp;ei=2MT0XrvGGM-vytMP1OyDgAY&amp;q=site%3Alinkedin.com+A.J.+Perez+College+Recruiter+Oracle" TargetMode="External"/><Relationship Id="rId904" Type="http://schemas.openxmlformats.org/officeDocument/2006/relationships/hyperlink" Target="https://www.google.com/search?newwindow=1&amp;ei=2MT0XrvGGM-vytMP1OyDgAY&amp;q=site%3Alinkedin.com+Sophie+Jenkins+College+Recruiter+Oracle" TargetMode="External"/><Relationship Id="rId909" Type="http://schemas.openxmlformats.org/officeDocument/2006/relationships/hyperlink" Target="https://www.google.com/search?newwindow=1&amp;ei=2MT0XrvGGM-vytMP1OyDgAY&amp;q=site%3Alinkedin.com+Kellyn+Creese+University+Recruiter+PayPal" TargetMode="External"/><Relationship Id="rId908" Type="http://schemas.openxmlformats.org/officeDocument/2006/relationships/hyperlink" Target="https://www.google.com/search?newwindow=1&amp;ei=2MT0XrvGGM-vytMP1OyDgAY&amp;q=site%3Alinkedin.com+Iris+Lin+University+Recruiter+PayPal" TargetMode="External"/><Relationship Id="rId903" Type="http://schemas.openxmlformats.org/officeDocument/2006/relationships/hyperlink" Target="https://www.google.com/search?newwindow=1&amp;ei=2MT0XrvGGM-vytMP1OyDgAY&amp;q=site%3Alinkedin.com+Lauren+Martinez+College+Recruiter+Oracle" TargetMode="External"/><Relationship Id="rId902" Type="http://schemas.openxmlformats.org/officeDocument/2006/relationships/hyperlink" Target="https://www.google.com/search?newwindow=1&amp;ei=2MT0XrvGGM-vytMP1OyDgAY&amp;q=site%3Alinkedin.com+Nicole+Holliman+College+Recruiter+Oracle" TargetMode="External"/><Relationship Id="rId901" Type="http://schemas.openxmlformats.org/officeDocument/2006/relationships/hyperlink" Target="https://www.google.com/search?newwindow=1&amp;ei=2MT0XrvGGM-vytMP1OyDgAY&amp;q=site%3Alinkedin.com+Ralfiel+Wright+University+Recruiter+Oracle" TargetMode="External"/><Relationship Id="rId900" Type="http://schemas.openxmlformats.org/officeDocument/2006/relationships/hyperlink" Target="https://www.google.com/search?newwindow=1&amp;ei=2MT0XrvGGM-vytMP1OyDgAY&amp;q=site%3Alinkedin.com+Sherice+Lane+College+Recruiter+Oracle" TargetMode="External"/><Relationship Id="rId929" Type="http://schemas.openxmlformats.org/officeDocument/2006/relationships/hyperlink" Target="https://www.google.com/search?newwindow=1&amp;ei=2MT0XrvGGM-vytMP1OyDgAY&amp;q=site%3Alinkedin.com+Melissa+Miller+Campus+Recruiter+Protiviti" TargetMode="External"/><Relationship Id="rId928" Type="http://schemas.openxmlformats.org/officeDocument/2006/relationships/hyperlink" Target="https://www.google.com/search?newwindow=1&amp;ei=2MT0XrvGGM-vytMP1OyDgAY&amp;q=site%3Alinkedin.com+Katelyn+Sypher+Campus+Recruiting+Manager+Protiviti" TargetMode="External"/><Relationship Id="rId927" Type="http://schemas.openxmlformats.org/officeDocument/2006/relationships/hyperlink" Target="https://www.google.com/search?newwindow=1&amp;ei=2MT0XrvGGM-vytMP1OyDgAY&amp;q=site%3Alinkedin.com+Mariah+Wills+Campus+Recruiter+Protiviti" TargetMode="External"/><Relationship Id="rId926" Type="http://schemas.openxmlformats.org/officeDocument/2006/relationships/hyperlink" Target="https://www.google.com/search?newwindow=1&amp;ei=2MT0XrvGGM-vytMP1OyDgAY&amp;q=site%3Alinkedin.com+Sarah+Williams+Campus+Recruiting+Manager+Protiviti" TargetMode="External"/><Relationship Id="rId921" Type="http://schemas.openxmlformats.org/officeDocument/2006/relationships/hyperlink" Target="https://www.google.com/search?newwindow=1&amp;ei=2MT0XrvGGM-vytMP1OyDgAY&amp;q=site%3Alinkedin.com+Ekta+Bathija+University+Recruiter+(PhD+Lead)+Pinterest" TargetMode="External"/><Relationship Id="rId920" Type="http://schemas.openxmlformats.org/officeDocument/2006/relationships/hyperlink" Target="https://www.google.com/search?newwindow=1&amp;ei=2MT0XrvGGM-vytMP1OyDgAY&amp;q=site%3Alinkedin.com+Tricia+Tran+University+Recruiter+Pinterest" TargetMode="External"/><Relationship Id="rId925" Type="http://schemas.openxmlformats.org/officeDocument/2006/relationships/hyperlink" Target="https://www.google.com/search?newwindow=1&amp;ei=2MT0XrvGGM-vytMP1OyDgAY&amp;q=site%3Alinkedin.com+Aimee+Carcioppolo+IT+College+Recruiter+Progressive+Insurance" TargetMode="External"/><Relationship Id="rId924" Type="http://schemas.openxmlformats.org/officeDocument/2006/relationships/hyperlink" Target="https://www.google.com/search?newwindow=1&amp;ei=2MT0XrvGGM-vytMP1OyDgAY&amp;q=site%3Alinkedin.com+Samantha+Salway+College+Recruiter+Progressive+Insurance" TargetMode="External"/><Relationship Id="rId923" Type="http://schemas.openxmlformats.org/officeDocument/2006/relationships/hyperlink" Target="https://www.google.com/search?newwindow=1&amp;ei=2MT0XrvGGM-vytMP1OyDgAY&amp;q=site%3Alinkedin.com+Lindsey+Hojnowski+IT+College+Recruiter+Progressive+Insurance" TargetMode="External"/><Relationship Id="rId922" Type="http://schemas.openxmlformats.org/officeDocument/2006/relationships/hyperlink" Target="https://www.google.com/search?newwindow=1&amp;ei=2MT0XrvGGM-vytMP1OyDgAY&amp;q=site%3Alinkedin.com+Dani+Beale+College+Recruiter-+IT+Progressive+Insurance" TargetMode="External"/><Relationship Id="rId918" Type="http://schemas.openxmlformats.org/officeDocument/2006/relationships/hyperlink" Target="https://www.google.com/search?newwindow=1&amp;ei=2MT0XrvGGM-vytMP1OyDgAY&amp;q=site%3Alinkedin.com+Deanna+Okuno+University+Recruiter+Pinterest" TargetMode="External"/><Relationship Id="rId917" Type="http://schemas.openxmlformats.org/officeDocument/2006/relationships/hyperlink" Target="https://www.google.com/search?newwindow=1&amp;ei=2MT0XrvGGM-vytMP1OyDgAY&amp;q=site%3Alinkedin.com+Ashley+Nair+University+Recruiter+Pinterest" TargetMode="External"/><Relationship Id="rId916" Type="http://schemas.openxmlformats.org/officeDocument/2006/relationships/hyperlink" Target="https://www.google.com/search?newwindow=1&amp;ei=2MT0XrvGGM-vytMP1OyDgAY&amp;q=site%3Alinkedin.com+Kris+McDonald+HR+-+Rotational+Program+Manager+Phillips-Medisize" TargetMode="External"/><Relationship Id="rId915" Type="http://schemas.openxmlformats.org/officeDocument/2006/relationships/hyperlink" Target="https://www.google.com/search?newwindow=1&amp;ei=2MT0XrvGGM-vytMP1OyDgAY&amp;q=site%3Alinkedin.com+Anna+Minutello+Finance+Lead+Recruiter+-+University+of+Texas+Phillips+66" TargetMode="External"/><Relationship Id="rId919" Type="http://schemas.openxmlformats.org/officeDocument/2006/relationships/hyperlink" Target="https://www.google.com/search?newwindow=1&amp;ei=2MT0XrvGGM-vytMP1OyDgAY&amp;q=site%3Alinkedin.com+Adriana+I.+Garcia+University+Recruiter+Pinterest" TargetMode="External"/><Relationship Id="rId910" Type="http://schemas.openxmlformats.org/officeDocument/2006/relationships/hyperlink" Target="https://www.google.com/search?newwindow=1&amp;ei=2MT0XrvGGM-vytMP1OyDgAY&amp;q=site%3Alinkedin.com+Carleen+Haydon+University+Recruiter+PayPal" TargetMode="External"/><Relationship Id="rId914" Type="http://schemas.openxmlformats.org/officeDocument/2006/relationships/hyperlink" Target="https://www.google.com/search?newwindow=1&amp;ei=2MT0XrvGGM-vytMP1OyDgAY&amp;q=site%3Alinkedin.com+Tim+G.+Downstream+Engineering+Lead+Recruiter+for+Purdue+University+Phillips+66" TargetMode="External"/><Relationship Id="rId913" Type="http://schemas.openxmlformats.org/officeDocument/2006/relationships/hyperlink" Target="https://www.google.com/search?newwindow=1&amp;ei=2MT0XrvGGM-vytMP1OyDgAY&amp;q=site%3Alinkedin.com+Melanie+Kollmai+Campus+Recruiter+Philips" TargetMode="External"/><Relationship Id="rId912" Type="http://schemas.openxmlformats.org/officeDocument/2006/relationships/hyperlink" Target="https://www.google.com/search?newwindow=1&amp;ei=2MT0XrvGGM-vytMP1OyDgAY&amp;q=site%3Alinkedin.com+Theresa+Mangan+Lang+Campus+Recruiter+Philips" TargetMode="External"/><Relationship Id="rId911" Type="http://schemas.openxmlformats.org/officeDocument/2006/relationships/hyperlink" Target="https://www.google.com/search?newwindow=1&amp;ei=2MT0XrvGGM-vytMP1OyDgAY&amp;q=site%3Alinkedin.com+Deana+V.+Talent+Acquistion/Campus+Recruiter+Philips" TargetMode="External"/><Relationship Id="rId629" Type="http://schemas.openxmlformats.org/officeDocument/2006/relationships/hyperlink" Target="https://www.google.com/search?newwindow=1&amp;ei=2MT0XrvGGM-vytMP1OyDgAY&amp;q=site%3Alinkedin.com+Jessica+Rivera+University+Recruiter+Hulu" TargetMode="External"/><Relationship Id="rId624" Type="http://schemas.openxmlformats.org/officeDocument/2006/relationships/hyperlink" Target="https://www.google.com/search?newwindow=1&amp;ei=2MT0XrvGGM-vytMP1OyDgAY&amp;q=site%3Alinkedin.com+Tiffany+Kirby+University+Relations+Recruiter+Honeywell" TargetMode="External"/><Relationship Id="rId866" Type="http://schemas.openxmlformats.org/officeDocument/2006/relationships/hyperlink" Target="https://www.google.com/search?newwindow=1&amp;ei=2MT0XrvGGM-vytMP1OyDgAY&amp;q=site%3Alinkedin.com+Ellen+Price+Campus+Recruiter+Moss+Adams" TargetMode="External"/><Relationship Id="rId623" Type="http://schemas.openxmlformats.org/officeDocument/2006/relationships/hyperlink" Target="https://www.google.com/search?newwindow=1&amp;ei=2MT0XrvGGM-vytMP1OyDgAY&amp;q=site%3Alinkedin.com+Chelsea+Jensen+Damm+Virginia+Tech+Recruiting+Campus+Manager+Honeywell" TargetMode="External"/><Relationship Id="rId865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622" Type="http://schemas.openxmlformats.org/officeDocument/2006/relationships/hyperlink" Target="https://www.google.com/search?newwindow=1&amp;ei=2MT0XrvGGM-vytMP1OyDgAY&amp;q=site%3Alinkedin.com+Brian+L.+Thai+University+Recruiter+Honeywell" TargetMode="External"/><Relationship Id="rId864" Type="http://schemas.openxmlformats.org/officeDocument/2006/relationships/hyperlink" Target="https://www.google.com/search?newwindow=1&amp;ei=2MT0XrvGGM-vytMP1OyDgAY&amp;q=site%3Alinkedin.com+Isabella+Nguyen+Senior+Campus+Recruiter+Moss+Adams" TargetMode="External"/><Relationship Id="rId621" Type="http://schemas.openxmlformats.org/officeDocument/2006/relationships/hyperlink" Target="https://www.google.com/search?newwindow=1&amp;ei=2MT0XrvGGM-vytMP1OyDgAY&amp;q=site%3Alinkedin.com+Sarah+Reynolds+University+Relations+Manager+Honeywell" TargetMode="External"/><Relationship Id="rId863" Type="http://schemas.openxmlformats.org/officeDocument/2006/relationships/hyperlink" Target="https://www.google.com/search?newwindow=1&amp;ei=2MT0XrvGGM-vytMP1OyDgAY&amp;q=site%3Alinkedin.com+Meryll+Locquiao+Senior+Campus+Recruiter+Moss+Adams" TargetMode="External"/><Relationship Id="rId628" Type="http://schemas.openxmlformats.org/officeDocument/2006/relationships/hyperlink" Target="https://www.google.com/search?newwindow=1&amp;ei=2MT0XrvGGM-vytMP1OyDgAY&amp;q=site%3Alinkedin.com+Viennie+Chanthachack+(he/him)+Associate+Campus+Recruiter+-+North+America+&amp;+EMEA+Sales+HubSpot" TargetMode="External"/><Relationship Id="rId627" Type="http://schemas.openxmlformats.org/officeDocument/2006/relationships/hyperlink" Target="https://www.google.com/search?newwindow=1&amp;ei=2MT0XrvGGM-vytMP1OyDgAY&amp;q=site%3Alinkedin.com+Katelyn+Kearns+Campus+Recruiter+HubSpot" TargetMode="External"/><Relationship Id="rId869" Type="http://schemas.openxmlformats.org/officeDocument/2006/relationships/hyperlink" Target="https://www.google.com/search?newwindow=1&amp;ei=2MT0XrvGGM-vytMP1OyDgAY&amp;q=site%3Alinkedin.com+Camellia+Sarmadi+Campus+Recruiting+Manager+Moss+Adams+LLP" TargetMode="External"/><Relationship Id="rId626" Type="http://schemas.openxmlformats.org/officeDocument/2006/relationships/hyperlink" Target="https://www.google.com/search?newwindow=1&amp;ei=2MT0XrvGGM-vytMP1OyDgAY&amp;q=site%3Alinkedin.com+Glory+Montes+Associate+Campus+Tech+Recruiter+HubSpot" TargetMode="External"/><Relationship Id="rId868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625" Type="http://schemas.openxmlformats.org/officeDocument/2006/relationships/hyperlink" Target="https://www.google.com/search?newwindow=1&amp;ei=2MT0XrvGGM-vytMP1OyDgAY&amp;q=site%3Alinkedin.com+Gillian+McLarty+Associate+Campus+Recruiter+HubSpot" TargetMode="External"/><Relationship Id="rId867" Type="http://schemas.openxmlformats.org/officeDocument/2006/relationships/hyperlink" Target="https://www.google.com/search?newwindow=1&amp;ei=2MT0XrvGGM-vytMP1OyDgAY&amp;q=site%3Alinkedin.com+Kelsey+Hicks+Senior+Campus+Recruiter+Moss+Adams" TargetMode="External"/><Relationship Id="rId620" Type="http://schemas.openxmlformats.org/officeDocument/2006/relationships/hyperlink" Target="https://www.google.com/search?newwindow=1&amp;ei=2MT0XrvGGM-vytMP1OyDgAY&amp;q=site%3Alinkedin.com+Victoria+Mack+University+Recruiter+Grant+Thornton+LLP" TargetMode="External"/><Relationship Id="rId862" Type="http://schemas.openxmlformats.org/officeDocument/2006/relationships/hyperlink" Target="https://www.google.com/search?newwindow=1&amp;ei=2MT0XrvGGM-vytMP1OyDgAY&amp;q=site%3Alinkedin.com+Rose+Azadan+Martinez+Regional+Campus+Recruiting+Senior+Manager+Moss+Adams" TargetMode="External"/><Relationship Id="rId861" Type="http://schemas.openxmlformats.org/officeDocument/2006/relationships/hyperlink" Target="https://www.google.com/search?newwindow=1&amp;ei=2MT0XrvGGM-vytMP1OyDgAY&amp;q=site%3Alinkedin.com+Patricia+Hewitt+Campus+Recruiting+Manager+Moss+Adams" TargetMode="External"/><Relationship Id="rId860" Type="http://schemas.openxmlformats.org/officeDocument/2006/relationships/hyperlink" Target="https://www.google.com/search?newwindow=1&amp;ei=2MT0XrvGGM-vytMP1OyDgAY&amp;q=site%3Alinkedin.com+Angela+Sparks+Campus+Recruiter+Moss+Adams" TargetMode="External"/><Relationship Id="rId619" Type="http://schemas.openxmlformats.org/officeDocument/2006/relationships/hyperlink" Target="https://www.google.com/search?newwindow=1&amp;ei=2MT0XrvGGM-vytMP1OyDgAY&amp;q=site%3Alinkedin.com+Kelley+I.+Senior+University+Recruiter+Grant+Thornton+LLP" TargetMode="External"/><Relationship Id="rId618" Type="http://schemas.openxmlformats.org/officeDocument/2006/relationships/hyperlink" Target="https://www.google.com/search?newwindow=1&amp;ei=2MT0XrvGGM-vytMP1OyDgAY&amp;q=site%3Alinkedin.com+Raven+Fournier+Janssen+Senior+University+Recruiter+Grant+Thornton+LLP" TargetMode="External"/><Relationship Id="rId613" Type="http://schemas.openxmlformats.org/officeDocument/2006/relationships/hyperlink" Target="https://www.google.com/search?newwindow=1&amp;ei=2MT0XrvGGM-vytMP1OyDgAY&amp;q=site%3Alinkedin.com+Katie+Collins+Senior+University+Recruiter+Grant+Thornton+LLP" TargetMode="External"/><Relationship Id="rId855" Type="http://schemas.openxmlformats.org/officeDocument/2006/relationships/hyperlink" Target="https://www.google.com/search?newwindow=1&amp;ei=2MT0XrvGGM-vytMP1OyDgAY&amp;q=site%3Alinkedin.com+Ashleigh+Hussey+Drobnis+Campus+Recruiter+Morgan+Stanley" TargetMode="External"/><Relationship Id="rId612" Type="http://schemas.openxmlformats.org/officeDocument/2006/relationships/hyperlink" Target="https://www.google.com/search?newwindow=1&amp;ei=2MT0XrvGGM-vytMP1OyDgAY&amp;q=site%3Alinkedin.com+Olivia+W.+University+Recruiter+Grant+Thornton+LLP" TargetMode="External"/><Relationship Id="rId854" Type="http://schemas.openxmlformats.org/officeDocument/2006/relationships/hyperlink" Target="https://www.google.com/search?newwindow=1&amp;ei=2MT0XrvGGM-vytMP1OyDgAY&amp;q=site%3Alinkedin.com+Jordan+Fuqua+Technology+Campus+Recruiter+Morgan+Stanley" TargetMode="External"/><Relationship Id="rId611" Type="http://schemas.openxmlformats.org/officeDocument/2006/relationships/hyperlink" Target="https://www.google.com/search?newwindow=1&amp;ei=2MT0XrvGGM-vytMP1OyDgAY&amp;q=site%3Alinkedin.com+Erin+Lamport+Campus+Recruiter+Grant+Thornton" TargetMode="External"/><Relationship Id="rId853" Type="http://schemas.openxmlformats.org/officeDocument/2006/relationships/hyperlink" Target="https://www.google.com/search?newwindow=1&amp;ei=2MT0XrvGGM-vytMP1OyDgAY&amp;q=site%3Alinkedin.com+Taylor+Swanson+Campus+Recruiter+Morgan+Stanley" TargetMode="External"/><Relationship Id="rId610" Type="http://schemas.openxmlformats.org/officeDocument/2006/relationships/hyperlink" Target="https://www.google.com/search?newwindow=1&amp;ei=2MT0XrvGGM-vytMP1OyDgAY&amp;q=site%3Alinkedin.com+Ashley+Carmichael+University+Recruiter+Google+via+Artech+Information+Systems" TargetMode="External"/><Relationship Id="rId852" Type="http://schemas.openxmlformats.org/officeDocument/2006/relationships/hyperlink" Target="https://www.google.com/search?newwindow=1&amp;ei=2MT0XrvGGM-vytMP1OyDgAY&amp;q=site%3Alinkedin.com+Sarah+Roberts+Junior+Campus+Recruiter+Morgan+Stanley" TargetMode="External"/><Relationship Id="rId617" Type="http://schemas.openxmlformats.org/officeDocument/2006/relationships/hyperlink" Target="https://www.google.com/search?newwindow=1&amp;ei=2MT0XrvGGM-vytMP1OyDgAY&amp;q=site%3Alinkedin.com+Nichole+R.+Justus+University+Recruiter+Grant+Thornton+LLP" TargetMode="External"/><Relationship Id="rId859" Type="http://schemas.openxmlformats.org/officeDocument/2006/relationships/hyperlink" Target="https://www.google.com/search?newwindow=1&amp;ei=2MT0XrvGGM-vytMP1OyDgAY&amp;q=site%3Alinkedin.com+Leanne+Lutkus+Regional+Campus+Recruiting+Manager+Moss+Adams" TargetMode="External"/><Relationship Id="rId616" Type="http://schemas.openxmlformats.org/officeDocument/2006/relationships/hyperlink" Target="https://www.google.com/search?newwindow=1&amp;ei=2MT0XrvGGM-vytMP1OyDgAY&amp;q=site%3Alinkedin.com+Megan+Williamson+University+Recruiter+Grant+Thornton+LLP" TargetMode="External"/><Relationship Id="rId858" Type="http://schemas.openxmlformats.org/officeDocument/2006/relationships/hyperlink" Target="https://www.google.com/search?newwindow=1&amp;ei=2MT0XrvGGM-vytMP1OyDgAY&amp;q=site%3Alinkedin.com+Adam+Schwab+Campus+Recruiter+Moss+Adams" TargetMode="External"/><Relationship Id="rId615" Type="http://schemas.openxmlformats.org/officeDocument/2006/relationships/hyperlink" Target="https://www.google.com/search?newwindow=1&amp;ei=2MT0XrvGGM-vytMP1OyDgAY&amp;q=site%3Alinkedin.com+Grace+King+University+Recruiter+Grant+Thornton+LLP" TargetMode="External"/><Relationship Id="rId857" Type="http://schemas.openxmlformats.org/officeDocument/2006/relationships/hyperlink" Target="https://www.google.com/search?newwindow=1&amp;ei=2MT0XrvGGM-vytMP1OyDgAY&amp;q=site%3Alinkedin.com+Lea+Bylina+Campus+Recruiter+Moss+Adams" TargetMode="External"/><Relationship Id="rId614" Type="http://schemas.openxmlformats.org/officeDocument/2006/relationships/hyperlink" Target="https://www.google.com/search?newwindow=1&amp;ei=2MT0XrvGGM-vytMP1OyDgAY&amp;q=site%3Alinkedin.com+Molly+Curran+University+Recruiter+Grant+Thornton+LLP" TargetMode="External"/><Relationship Id="rId856" Type="http://schemas.openxmlformats.org/officeDocument/2006/relationships/hyperlink" Target="https://www.google.com/search?newwindow=1&amp;ei=2MT0XrvGGM-vytMP1OyDgAY&amp;q=site%3Alinkedin.com+Janie+Johnstone+Campus+Recruiter+Morgan+Stanley" TargetMode="External"/><Relationship Id="rId851" Type="http://schemas.openxmlformats.org/officeDocument/2006/relationships/hyperlink" Target="https://www.google.com/search?newwindow=1&amp;ei=2MT0XrvGGM-vytMP1OyDgAY&amp;q=site%3Alinkedin.com+Catherine+Eicher+Campus+Recruiter+Morgan+Stanley" TargetMode="External"/><Relationship Id="rId850" Type="http://schemas.openxmlformats.org/officeDocument/2006/relationships/hyperlink" Target="https://www.google.com/search?newwindow=1&amp;ei=2MT0XrvGGM-vytMP1OyDgAY&amp;q=site%3Alinkedin.com+Ragland+Mackin+Director+of+Campus+Recruiting+Morgan+Stanley" TargetMode="External"/><Relationship Id="rId409" Type="http://schemas.openxmlformats.org/officeDocument/2006/relationships/hyperlink" Target="https://www.google.com/search?newwindow=1&amp;ei=2MT0XrvGGM-vytMP1OyDgAY&amp;q=site%3Alinkedin.com+Megan+Miniello+Driscoll+Financial+Services+Campus+Recruiter+EY" TargetMode="External"/><Relationship Id="rId404" Type="http://schemas.openxmlformats.org/officeDocument/2006/relationships/hyperlink" Target="https://www.google.com/search?newwindow=1&amp;ei=2MT0XrvGGM-vytMP1OyDgAY&amp;q=site%3Alinkedin.com+Alyssa+Curl+Campus+Recruiter+EY" TargetMode="External"/><Relationship Id="rId646" Type="http://schemas.openxmlformats.org/officeDocument/2006/relationships/hyperlink" Target="https://www.google.com/search?newwindow=1&amp;ei=2MT0XrvGGM-vytMP1OyDgAY&amp;q=site%3Alinkedin.com+Lagacia+Sims+Customer+Graphics+Software+Program+Manager+Intel+Corporation" TargetMode="External"/><Relationship Id="rId888" Type="http://schemas.openxmlformats.org/officeDocument/2006/relationships/hyperlink" Target="https://www.google.com/search?newwindow=1&amp;ei=2MT0XrvGGM-vytMP1OyDgAY&amp;q=site%3Alinkedin.com+Crystal+Aggarwal+University+Recruiter+NVIDIA" TargetMode="External"/><Relationship Id="rId403" Type="http://schemas.openxmlformats.org/officeDocument/2006/relationships/hyperlink" Target="https://www.google.com/search?newwindow=1&amp;ei=2MT0XrvGGM-vytMP1OyDgAY&amp;q=site%3Alinkedin.com+Anuj+Patel+Campus+Recruiter+EY" TargetMode="External"/><Relationship Id="rId645" Type="http://schemas.openxmlformats.org/officeDocument/2006/relationships/hyperlink" Target="https://www.google.com/search?newwindow=1&amp;ei=2MT0XrvGGM-vytMP1OyDgAY&amp;q=site%3Alinkedin.com+Deanna+Ingram+College+Recruiter+/+Talent+Advisor+Intel+Corporation" TargetMode="External"/><Relationship Id="rId887" Type="http://schemas.openxmlformats.org/officeDocument/2006/relationships/hyperlink" Target="https://www.google.com/search?newwindow=1&amp;ei=2MT0XrvGGM-vytMP1OyDgAY&amp;q=site%3Alinkedin.com+Eric+Vargas+University+Recruiter+NVIDIA" TargetMode="External"/><Relationship Id="rId402" Type="http://schemas.openxmlformats.org/officeDocument/2006/relationships/hyperlink" Target="https://www.google.com/search?newwindow=1&amp;ei=2MT0XrvGGM-vytMP1OyDgAY&amp;q=site%3Alinkedin.com+Merissa+Medlin+Campus+Recruiter+EY" TargetMode="External"/><Relationship Id="rId644" Type="http://schemas.openxmlformats.org/officeDocument/2006/relationships/hyperlink" Target="https://www.google.com/search?newwindow=1&amp;ei=2MT0XrvGGM-vytMP1OyDgAY&amp;q=site%3Alinkedin.com+Amber+G.+Campus+Recruiter+/+Talent+Acquisition+Infosys" TargetMode="External"/><Relationship Id="rId886" Type="http://schemas.openxmlformats.org/officeDocument/2006/relationships/hyperlink" Target="https://www.google.com/search?newwindow=1&amp;ei=2MT0XrvGGM-vytMP1OyDgAY&amp;q=site%3Alinkedin.com+Ray+Rufino+University+Recruiter+NVIDIA" TargetMode="External"/><Relationship Id="rId401" Type="http://schemas.openxmlformats.org/officeDocument/2006/relationships/hyperlink" Target="https://www.google.com/search?newwindow=1&amp;ei=2MT0XrvGGM-vytMP1OyDgAY&amp;q=site%3Alinkedin.com+Catherine+Nolff+Campus+Recruiter+EY" TargetMode="External"/><Relationship Id="rId643" Type="http://schemas.openxmlformats.org/officeDocument/2006/relationships/hyperlink" Target="https://www.google.com/search?newwindow=1&amp;ei=2MT0XrvGGM-vytMP1OyDgAY&amp;q=site%3Alinkedin.com+Darren+Khong+Campus+Recruiter+Infosys" TargetMode="External"/><Relationship Id="rId885" Type="http://schemas.openxmlformats.org/officeDocument/2006/relationships/hyperlink" Target="https://www.google.com/search?newwindow=1&amp;ei=2MT0XrvGGM-vytMP1OyDgAY&amp;q=site%3Alinkedin.com+Cynthia+Le+University+Recruiting+Campus+Manager+NVIDIA" TargetMode="External"/><Relationship Id="rId408" Type="http://schemas.openxmlformats.org/officeDocument/2006/relationships/hyperlink" Target="https://www.google.com/search?newwindow=1&amp;ei=2MT0XrvGGM-vytMP1OyDgAY&amp;q=site%3Alinkedin.com+Amy+Keighley+Campus+Recruiter+EY" TargetMode="External"/><Relationship Id="rId407" Type="http://schemas.openxmlformats.org/officeDocument/2006/relationships/hyperlink" Target="https://www.google.com/search?newwindow=1&amp;ei=2MT0XrvGGM-vytMP1OyDgAY&amp;q=site%3Alinkedin.com+Megan+Bruce+Campus+Recruiter+EY" TargetMode="External"/><Relationship Id="rId649" Type="http://schemas.openxmlformats.org/officeDocument/2006/relationships/hyperlink" Target="https://www.google.com/search?newwindow=1&amp;ei=2MT0XrvGGM-vytMP1OyDgAY&amp;q=site%3Alinkedin.com+Michael+Cvelbar+Campus+Recruiting+Manager+Intel+Corporation" TargetMode="External"/><Relationship Id="rId406" Type="http://schemas.openxmlformats.org/officeDocument/2006/relationships/hyperlink" Target="https://www.google.com/search?newwindow=1&amp;ei=2MT0XrvGGM-vytMP1OyDgAY&amp;q=site%3Alinkedin.com+Erin+Kelly+Campus+Recruiter+EY" TargetMode="External"/><Relationship Id="rId648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405" Type="http://schemas.openxmlformats.org/officeDocument/2006/relationships/hyperlink" Target="https://www.google.com/search?newwindow=1&amp;ei=2MT0XrvGGM-vytMP1OyDgAY&amp;q=site%3Alinkedin.com+Leia+Gertos+Campus+Recruiter+EY" TargetMode="External"/><Relationship Id="rId647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889" Type="http://schemas.openxmlformats.org/officeDocument/2006/relationships/hyperlink" Target="https://www.google.com/search?newwindow=1&amp;ei=2MT0XrvGGM-vytMP1OyDgAY&amp;q=site%3Alinkedin.com+Ashley+Jetson+University+Recruiter+-+Research+and+Applied+Research+NVIDIA" TargetMode="External"/><Relationship Id="rId880" Type="http://schemas.openxmlformats.org/officeDocument/2006/relationships/hyperlink" Target="https://www.google.com/search?newwindow=1&amp;ei=2MT0XrvGGM-vytMP1OyDgAY&amp;q=site%3Alinkedin.com+Jessica+J.+University+Recruiting+Campus+Manager+NVIDIA" TargetMode="External"/><Relationship Id="rId400" Type="http://schemas.openxmlformats.org/officeDocument/2006/relationships/hyperlink" Target="https://www.google.com/search?newwindow=1&amp;ei=2MT0XrvGGM-vytMP1OyDgAY&amp;q=site%3Alinkedin.com+Ella+Ryan+Campus+Recruiter+EY" TargetMode="External"/><Relationship Id="rId642" Type="http://schemas.openxmlformats.org/officeDocument/2006/relationships/hyperlink" Target="https://www.google.com/search?newwindow=1&amp;ei=2MT0XrvGGM-vytMP1OyDgAY&amp;q=site%3Alinkedin.com+Nanci+Ferrari+Practice+Lead+-+Campus+Recruiting+/+Diversity+Recruting+Infosys" TargetMode="External"/><Relationship Id="rId884" Type="http://schemas.openxmlformats.org/officeDocument/2006/relationships/hyperlink" Target="https://www.google.com/search?newwindow=1&amp;ei=2MT0XrvGGM-vytMP1OyDgAY&amp;q=site%3Alinkedin.com+Jennifer+R.+University+Recruiter+NVIDIA" TargetMode="External"/><Relationship Id="rId641" Type="http://schemas.openxmlformats.org/officeDocument/2006/relationships/hyperlink" Target="https://www.google.com/search?newwindow=1&amp;ei=2MT0XrvGGM-vytMP1OyDgAY&amp;q=site%3Alinkedin.com+Christopher+Ha+Campus+Recruiter+Infosys" TargetMode="External"/><Relationship Id="rId883" Type="http://schemas.openxmlformats.org/officeDocument/2006/relationships/hyperlink" Target="https://www.google.com/search?newwindow=1&amp;ei=2MT0XrvGGM-vytMP1OyDgAY&amp;q=site%3Alinkedin.com+Nancy+Huynh+University+Recruiter+NVIDIA" TargetMode="External"/><Relationship Id="rId640" Type="http://schemas.openxmlformats.org/officeDocument/2006/relationships/hyperlink" Target="https://www.google.com/search?newwindow=1&amp;ei=2MT0XrvGGM-vytMP1OyDgAY&amp;q=site%3Alinkedin.com+Alexandria+Perry+IT+Campus+Recruiter+Infosys" TargetMode="External"/><Relationship Id="rId882" Type="http://schemas.openxmlformats.org/officeDocument/2006/relationships/hyperlink" Target="https://www.google.com/search?newwindow=1&amp;ei=2MT0XrvGGM-vytMP1OyDgAY&amp;q=site%3Alinkedin.com+Wendell+Tull+Campus+Recruiting+Manager+NVIDIA" TargetMode="External"/><Relationship Id="rId881" Type="http://schemas.openxmlformats.org/officeDocument/2006/relationships/hyperlink" Target="https://www.google.com/search?newwindow=1&amp;ei=2MT0XrvGGM-vytMP1OyDgAY&amp;q=site%3Alinkedin.com+Jessica+Verley+University+Recruiter+NVIDIA" TargetMode="External"/><Relationship Id="rId635" Type="http://schemas.openxmlformats.org/officeDocument/2006/relationships/hyperlink" Target="https://www.google.com/search?newwindow=1&amp;ei=2MT0XrvGGM-vytMP1OyDgAY&amp;q=site%3Alinkedin.com+Emma+Brady+University+Recruiter+Indeed.com" TargetMode="External"/><Relationship Id="rId877" Type="http://schemas.openxmlformats.org/officeDocument/2006/relationships/hyperlink" Target="https://www.google.com/search?newwindow=1&amp;ei=2MT0XrvGGM-vytMP1OyDgAY&amp;q=site%3Alinkedin.com+Rhonda+Mabry+Hester+University+Relations+Recruiter+Northrop+Grumman+Corporation" TargetMode="External"/><Relationship Id="rId634" Type="http://schemas.openxmlformats.org/officeDocument/2006/relationships/hyperlink" Target="https://www.google.com/search?newwindow=1&amp;ei=2MT0XrvGGM-vytMP1OyDgAY&amp;q=site%3Alinkedin.com+Jill+Sears+University+Recruiter+-+Talent+Attraction+Indeed.com" TargetMode="External"/><Relationship Id="rId876" Type="http://schemas.openxmlformats.org/officeDocument/2006/relationships/hyperlink" Target="https://www.google.com/search?newwindow=1&amp;ei=2MT0XrvGGM-vytMP1OyDgAY&amp;q=site%3Alinkedin.com+Haleigh+Alcala+University+Relations+&amp;+Recruiting+Recruiter+Northrop+Grumman" TargetMode="External"/><Relationship Id="rId633" Type="http://schemas.openxmlformats.org/officeDocument/2006/relationships/hyperlink" Target="https://www.google.com/search?newwindow=1&amp;ei=2MT0XrvGGM-vytMP1OyDgAY&amp;q=site%3Alinkedin.com+Amy+Bergman+University+Recruiter+Coordinator+Indeed.com" TargetMode="External"/><Relationship Id="rId875" Type="http://schemas.openxmlformats.org/officeDocument/2006/relationships/hyperlink" Target="https://www.google.com/search?newwindow=1&amp;ei=2MT0XrvGGM-vytMP1OyDgAY&amp;q=site%3Alinkedin.com+Chris+Heckman+Campus+Recruiter+Nestl%C3%A9+Waters" TargetMode="External"/><Relationship Id="rId632" Type="http://schemas.openxmlformats.org/officeDocument/2006/relationships/hyperlink" Target="https://www.google.com/search?newwindow=1&amp;ei=2MT0XrvGGM-vytMP1OyDgAY&amp;q=site%3Alinkedin.com+Leslie+Ott+University+Recruiting+Program+Manager+-+Diversity+Lead+(MBA+&amp;+University)+IBM" TargetMode="External"/><Relationship Id="rId874" Type="http://schemas.openxmlformats.org/officeDocument/2006/relationships/hyperlink" Target="https://www.google.com/search?newwindow=1&amp;ei=2MT0XrvGGM-vytMP1OyDgAY&amp;q=site%3Alinkedin.com+Jennifer+Davis+Campus+Recruiter+Nestl%C3%A9" TargetMode="External"/><Relationship Id="rId639" Type="http://schemas.openxmlformats.org/officeDocument/2006/relationships/hyperlink" Target="https://www.google.com/search?newwindow=1&amp;ei=2MT0XrvGGM-vytMP1OyDgAY&amp;q=site%3Alinkedin.com+Rebecca+Hou+Campus+Recruiter+Infosys" TargetMode="External"/><Relationship Id="rId638" Type="http://schemas.openxmlformats.org/officeDocument/2006/relationships/hyperlink" Target="https://www.google.com/search?newwindow=1&amp;ei=2MT0XrvGGM-vytMP1OyDgAY&amp;q=site%3Alinkedin.com+Rachel+Kucharik+Technical+Recruiter+-+Campus+Infosys" TargetMode="External"/><Relationship Id="rId637" Type="http://schemas.openxmlformats.org/officeDocument/2006/relationships/hyperlink" Target="https://www.google.com/search?newwindow=1&amp;ei=2MT0XrvGGM-vytMP1OyDgAY&amp;q=site%3Alinkedin.com+Steve+Marks+University+Recruiter+Indeed.com" TargetMode="External"/><Relationship Id="rId879" Type="http://schemas.openxmlformats.org/officeDocument/2006/relationships/hyperlink" Target="https://www.google.com/search?newwindow=1&amp;ei=2MT0XrvGGM-vytMP1OyDgAY&amp;q=site%3Alinkedin.com+Stephanie+Dratler+College+Recruiter+Northrop+Grumman+Corporation" TargetMode="External"/><Relationship Id="rId636" Type="http://schemas.openxmlformats.org/officeDocument/2006/relationships/hyperlink" Target="https://www.google.com/search?newwindow=1&amp;ei=2MT0XrvGGM-vytMP1OyDgAY&amp;q=site%3Alinkedin.com+Christina+Rippo+University+Recruiter+I+Talent+Attraction+Indeed.com+Indeed.com" TargetMode="External"/><Relationship Id="rId878" Type="http://schemas.openxmlformats.org/officeDocument/2006/relationships/hyperlink" Target="https://www.google.com/search?newwindow=1&amp;ei=2MT0XrvGGM-vytMP1OyDgAY&amp;q=site%3Alinkedin.com+Robin+DeAngelis+University+Relations+Recruiter+Northrop+Grumman+Corporation" TargetMode="External"/><Relationship Id="rId631" Type="http://schemas.openxmlformats.org/officeDocument/2006/relationships/hyperlink" Target="https://www.google.com/search?newwindow=1&amp;ei=2MT0XrvGGM-vytMP1OyDgAY&amp;q=site%3Alinkedin.com+Ashley+Fritts+North+America+Early+Professional+Talent+Acquisition+Manager+-+Systems+IBM" TargetMode="External"/><Relationship Id="rId873" Type="http://schemas.openxmlformats.org/officeDocument/2006/relationships/hyperlink" Target="https://www.google.com/search?newwindow=1&amp;ei=2MT0XrvGGM-vytMP1OyDgAY&amp;q=site%3Alinkedin.com+Gabrielle+Zuccaro+Campus+Recruiter+Nestl%C3%A9" TargetMode="External"/><Relationship Id="rId630" Type="http://schemas.openxmlformats.org/officeDocument/2006/relationships/hyperlink" Target="https://www.google.com/search?newwindow=1&amp;ei=2MT0XrvGGM-vytMP1OyDgAY&amp;q=site%3Alinkedin.com+Jennifer+Weiser+University+Recruiter+Hulu" TargetMode="External"/><Relationship Id="rId872" Type="http://schemas.openxmlformats.org/officeDocument/2006/relationships/hyperlink" Target="https://www.google.com/search?newwindow=1&amp;ei=2MT0XrvGGM-vytMP1OyDgAY&amp;q=site%3Alinkedin.com+Jessica+Billings+Campus+Recruiter+Moss+Adams+LLP" TargetMode="External"/><Relationship Id="rId871" Type="http://schemas.openxmlformats.org/officeDocument/2006/relationships/hyperlink" Target="https://www.google.com/search?newwindow=1&amp;ei=2MT0XrvGGM-vytMP1OyDgAY&amp;q=site%3Alinkedin.com+Alicia+Markey+Hahn+Campus+Recruiting+Manager+Moss+Adams+LLP" TargetMode="External"/><Relationship Id="rId870" Type="http://schemas.openxmlformats.org/officeDocument/2006/relationships/hyperlink" Target="https://www.google.com/search?newwindow=1&amp;ei=2MT0XrvGGM-vytMP1OyDgAY&amp;q=site%3Alinkedin.com+Lauren+Knoche+Campus+Recruiter+and+HR+Senior+Associate+Moss+Adams+LLP" TargetMode="External"/><Relationship Id="rId829" Type="http://schemas.openxmlformats.org/officeDocument/2006/relationships/hyperlink" Target="https://www.google.com/search?newwindow=1&amp;ei=2MT0XrvGGM-vytMP1OyDgAY&amp;q=site%3Alinkedin.com+Miguel+Chucaralao+University+Recruiter+-+Business+Functions+Microsoft" TargetMode="External"/><Relationship Id="rId828" Type="http://schemas.openxmlformats.org/officeDocument/2006/relationships/hyperlink" Target="https://www.google.com/search?newwindow=1&amp;ei=2MT0XrvGGM-vytMP1OyDgAY&amp;q=site%3Alinkedin.com+Toni+Brown-Bell+University+Recruiter+Microsoft" TargetMode="External"/><Relationship Id="rId827" Type="http://schemas.openxmlformats.org/officeDocument/2006/relationships/hyperlink" Target="https://www.google.com/search?newwindow=1&amp;ei=2MT0XrvGGM-vytMP1OyDgAY&amp;q=site%3Alinkedin.com+Alex+Blomster-Horning+University+Recruiter+Microsoft" TargetMode="External"/><Relationship Id="rId822" Type="http://schemas.openxmlformats.org/officeDocument/2006/relationships/hyperlink" Target="https://www.google.com/search?newwindow=1&amp;ei=2MT0XrvGGM-vytMP1OyDgAY&amp;q=site%3Alinkedin.com+Alexis+Solis+University+Recruiter+(contractor+through+Aerotek)+Microsoft" TargetMode="External"/><Relationship Id="rId821" Type="http://schemas.openxmlformats.org/officeDocument/2006/relationships/hyperlink" Target="https://www.google.com/search?newwindow=1&amp;ei=2MT0XrvGGM-vytMP1OyDgAY&amp;q=site%3Alinkedin.com+Beckylin+Orooji+University+Recruiter+Microsoft" TargetMode="External"/><Relationship Id="rId820" Type="http://schemas.openxmlformats.org/officeDocument/2006/relationships/hyperlink" Target="https://www.google.com/search?newwindow=1&amp;ei=2MT0XrvGGM-vytMP1OyDgAY&amp;q=site%3Alinkedin.com+Charity+Woods+University+Recruiter+Microsoft" TargetMode="External"/><Relationship Id="rId826" Type="http://schemas.openxmlformats.org/officeDocument/2006/relationships/hyperlink" Target="https://www.google.com/search?newwindow=1&amp;ei=2MT0XrvGGM-vytMP1OyDgAY&amp;q=site%3Alinkedin.com+Briana+A.+Technical+University+Recruiter+Microsoft" TargetMode="External"/><Relationship Id="rId825" Type="http://schemas.openxmlformats.org/officeDocument/2006/relationships/hyperlink" Target="https://www.google.com/search?newwindow=1&amp;ei=2MT0XrvGGM-vytMP1OyDgAY&amp;q=site%3Alinkedin.com+Loren+Perkins-Johnson+University+Recruiter+Microsoft" TargetMode="External"/><Relationship Id="rId824" Type="http://schemas.openxmlformats.org/officeDocument/2006/relationships/hyperlink" Target="https://www.google.com/search?newwindow=1&amp;ei=2MT0XrvGGM-vytMP1OyDgAY&amp;q=site%3Alinkedin.com+Ellie+Hemenway+University+Recruiter+Microsoft" TargetMode="External"/><Relationship Id="rId823" Type="http://schemas.openxmlformats.org/officeDocument/2006/relationships/hyperlink" Target="https://www.google.com/search?newwindow=1&amp;ei=2MT0XrvGGM-vytMP1OyDgAY&amp;q=site%3Alinkedin.com+Kristin+Straube+University+Technical+Recruiter+Microsoft" TargetMode="External"/><Relationship Id="rId819" Type="http://schemas.openxmlformats.org/officeDocument/2006/relationships/hyperlink" Target="https://www.google.com/search?newwindow=1&amp;ei=2MT0XrvGGM-vytMP1OyDgAY&amp;q=site%3Alinkedin.com+Lola+Aliu+Technical+MBA+University+Recruiter+Microsoft" TargetMode="External"/><Relationship Id="rId818" Type="http://schemas.openxmlformats.org/officeDocument/2006/relationships/hyperlink" Target="https://www.google.com/search?newwindow=1&amp;ei=2MT0XrvGGM-vytMP1OyDgAY&amp;q=site%3Alinkedin.com+Eddie+Garcilazo+Technical+Recruiter+l+University+Recruitment+Microsoft" TargetMode="External"/><Relationship Id="rId817" Type="http://schemas.openxmlformats.org/officeDocument/2006/relationships/hyperlink" Target="https://www.google.com/search?newwindow=1&amp;ei=2MT0XrvGGM-vytMP1OyDgAY&amp;q=site%3Alinkedin.com+Gabriel+Garcia+Marquez+University+Recruiter+Microsoft" TargetMode="External"/><Relationship Id="rId816" Type="http://schemas.openxmlformats.org/officeDocument/2006/relationships/hyperlink" Target="https://www.google.com/search?newwindow=1&amp;ei=2MT0XrvGGM-vytMP1OyDgAY&amp;q=site%3Alinkedin.com+Isabella+do+Couto+Reis+University+Recruiter+Microsoft" TargetMode="External"/><Relationship Id="rId811" Type="http://schemas.openxmlformats.org/officeDocument/2006/relationships/hyperlink" Target="https://www.google.com/search?newwindow=1&amp;ei=2MT0XrvGGM-vytMP1OyDgAY&amp;q=site%3Alinkedin.com+Michael+Toole+University+Recruiter+and+Video+Producer+Microsoft" TargetMode="External"/><Relationship Id="rId810" Type="http://schemas.openxmlformats.org/officeDocument/2006/relationships/hyperlink" Target="https://www.google.com/search?newwindow=1&amp;ei=2MT0XrvGGM-vytMP1OyDgAY&amp;q=site%3Alinkedin.com+Paola+Riveros+Alvarez+LATAM+University+Recruiter+Microsoft" TargetMode="External"/><Relationship Id="rId815" Type="http://schemas.openxmlformats.org/officeDocument/2006/relationships/hyperlink" Target="https://www.google.com/search?newwindow=1&amp;ei=2MT0XrvGGM-vytMP1OyDgAY&amp;q=site%3Alinkedin.com+Anna+Katrina+Robancho+University+Recruiter+Microsoft" TargetMode="External"/><Relationship Id="rId814" Type="http://schemas.openxmlformats.org/officeDocument/2006/relationships/hyperlink" Target="https://www.google.com/search?newwindow=1&amp;ei=2MT0XrvGGM-vytMP1OyDgAY&amp;q=site%3Alinkedin.com+Manasa+Pochampally+University+Recruiter+Microsoft" TargetMode="External"/><Relationship Id="rId813" Type="http://schemas.openxmlformats.org/officeDocument/2006/relationships/hyperlink" Target="https://www.google.com/search?newwindow=1&amp;ei=2MT0XrvGGM-vytMP1OyDgAY&amp;q=site%3Alinkedin.com+Stephanie+Treichel+University+Recruiter+Microsoft" TargetMode="External"/><Relationship Id="rId812" Type="http://schemas.openxmlformats.org/officeDocument/2006/relationships/hyperlink" Target="https://www.google.com/search?newwindow=1&amp;ei=2MT0XrvGGM-vytMP1OyDgAY&amp;q=site%3Alinkedin.com+Karla+Paredes+University+Recruiter+Microsoft" TargetMode="External"/><Relationship Id="rId609" Type="http://schemas.openxmlformats.org/officeDocument/2006/relationships/hyperlink" Target="https://www.google.com/search?newwindow=1&amp;ei=2MT0XrvGGM-vytMP1OyDgAY&amp;q=site%3Alinkedin.com+Brittany+Matta+University+Recruiter+-+Research+(AI+Residency+Program+and+PhD)+-+Via+Nelson+Staffing+Google" TargetMode="External"/><Relationship Id="rId608" Type="http://schemas.openxmlformats.org/officeDocument/2006/relationships/hyperlink" Target="https://www.google.com/search?newwindow=1&amp;ei=2MT0XrvGGM-vytMP1OyDgAY&amp;q=site%3Alinkedin.com+Aiminh+Phan+University+Recruiter+Google" TargetMode="External"/><Relationship Id="rId607" Type="http://schemas.openxmlformats.org/officeDocument/2006/relationships/hyperlink" Target="https://www.google.com/search?newwindow=1&amp;ei=2MT0XrvGGM-vytMP1OyDgAY&amp;q=site%3Alinkedin.com+Lauran+Woodward+University+Recruiter+Google" TargetMode="External"/><Relationship Id="rId849" Type="http://schemas.openxmlformats.org/officeDocument/2006/relationships/hyperlink" Target="https://www.google.com/search?newwindow=1&amp;ei=2MT0XrvGGM-vytMP1OyDgAY&amp;q=site%3Alinkedin.com+Jenny+Rosen+Human+Resources+Campus+Recruiter+Morgan+Stanley" TargetMode="External"/><Relationship Id="rId602" Type="http://schemas.openxmlformats.org/officeDocument/2006/relationships/hyperlink" Target="https://www.google.com/search?newwindow=1&amp;ei=2MT0XrvGGM-vytMP1OyDgAY&amp;q=site%3Alinkedin.com+Alison+Johnston+College+Intern+Recruiter+Google" TargetMode="External"/><Relationship Id="rId844" Type="http://schemas.openxmlformats.org/officeDocument/2006/relationships/hyperlink" Target="https://www.google.com/search?newwindow=1&amp;ei=2MT0XrvGGM-vytMP1OyDgAY&amp;q=site%3Alinkedin.com+Kate+Wright+Senior+Campus+Recruiter+MongoDB" TargetMode="External"/><Relationship Id="rId601" Type="http://schemas.openxmlformats.org/officeDocument/2006/relationships/hyperlink" Target="https://www.google.com/search?newwindow=1&amp;ei=2MT0XrvGGM-vytMP1OyDgAY&amp;q=site%3Alinkedin.com+Lindsey+Stewart+Americas+Recruiting+Manager+(Campus+and+Entry-level)+Google" TargetMode="External"/><Relationship Id="rId843" Type="http://schemas.openxmlformats.org/officeDocument/2006/relationships/hyperlink" Target="https://www.google.com/search?newwindow=1&amp;ei=2MT0XrvGGM-vytMP1OyDgAY&amp;q=site%3Alinkedin.com+Ellie+Purdy+Campus+Recruiter+MongoDB" TargetMode="External"/><Relationship Id="rId600" Type="http://schemas.openxmlformats.org/officeDocument/2006/relationships/hyperlink" Target="https://www.google.com/search?newwindow=1&amp;ei=2MT0XrvGGM-vytMP1OyDgAY&amp;q=site%3Alinkedin.com+Gabe+Espinosa+Technical+University+Recruiter+&amp;+Project+Manager+-+NA+Google" TargetMode="External"/><Relationship Id="rId842" Type="http://schemas.openxmlformats.org/officeDocument/2006/relationships/hyperlink" Target="https://www.google.com/search?newwindow=1&amp;ei=2MT0XrvGGM-vytMP1OyDgAY&amp;q=site%3Alinkedin.com+Bryan+Spence+Diversity+University+Recruiter+Microsoft" TargetMode="External"/><Relationship Id="rId841" Type="http://schemas.openxmlformats.org/officeDocument/2006/relationships/hyperlink" Target="https://www.google.com/search?newwindow=1&amp;ei=2MT0XrvGGM-vytMP1OyDgAY&amp;q=site%3Alinkedin.com+Rachel+Wightman+Contract+University+Recruiter+Microsoft" TargetMode="External"/><Relationship Id="rId606" Type="http://schemas.openxmlformats.org/officeDocument/2006/relationships/hyperlink" Target="https://www.google.com/search?newwindow=1&amp;ei=2MT0XrvGGM-vytMP1OyDgAY&amp;q=site%3Alinkedin.com+Carol+Tsuchiya+College+Recruiter+-+Engineering/Product+Area+Liaison+Google" TargetMode="External"/><Relationship Id="rId848" Type="http://schemas.openxmlformats.org/officeDocument/2006/relationships/hyperlink" Target="https://www.google.com/search?newwindow=1&amp;ei=2MT0XrvGGM-vytMP1OyDgAY&amp;q=site%3Alinkedin.com+Michelle+Kinnally+Campus+Recruiter+Morgan+Stanley" TargetMode="External"/><Relationship Id="rId605" Type="http://schemas.openxmlformats.org/officeDocument/2006/relationships/hyperlink" Target="https://www.google.com/search?newwindow=1&amp;ei=2MT0XrvGGM-vytMP1OyDgAY&amp;q=site%3Alinkedin.com+No%C3%ABl+Elgamal+University+Recruiter+Google" TargetMode="External"/><Relationship Id="rId847" Type="http://schemas.openxmlformats.org/officeDocument/2006/relationships/hyperlink" Target="https://www.google.com/search?newwindow=1&amp;ei=2MT0XrvGGM-vytMP1OyDgAY&amp;q=site%3Alinkedin.com+Kaitlyn+Hays+Campus+Recruiter+Morgan+Stanley" TargetMode="External"/><Relationship Id="rId604" Type="http://schemas.openxmlformats.org/officeDocument/2006/relationships/hyperlink" Target="https://www.google.com/search?newwindow=1&amp;ei=2MT0XrvGGM-vytMP1OyDgAY&amp;q=site%3Alinkedin.com+Ashley+Leonard+University+Tech+Recruiter+Google" TargetMode="External"/><Relationship Id="rId846" Type="http://schemas.openxmlformats.org/officeDocument/2006/relationships/hyperlink" Target="https://www.google.com/search?newwindow=1&amp;ei=2MT0XrvGGM-vytMP1OyDgAY&amp;q=site%3Alinkedin.com+Joshua+Avila+Campus+Recruiter+MongoDB" TargetMode="External"/><Relationship Id="rId603" Type="http://schemas.openxmlformats.org/officeDocument/2006/relationships/hyperlink" Target="https://www.google.com/search?newwindow=1&amp;ei=2MT0XrvGGM-vytMP1OyDgAY&amp;q=site%3Alinkedin.com+Amber+Howe-McCarty+Campus+Recruiter+Google" TargetMode="External"/><Relationship Id="rId845" Type="http://schemas.openxmlformats.org/officeDocument/2006/relationships/hyperlink" Target="https://www.google.com/search?newwindow=1&amp;ei=2MT0XrvGGM-vytMP1OyDgAY&amp;q=site%3Alinkedin.com+Natalie+Chwalk+Campus+Recruiter+MongoDB" TargetMode="External"/><Relationship Id="rId840" Type="http://schemas.openxmlformats.org/officeDocument/2006/relationships/hyperlink" Target="https://www.google.com/search?newwindow=1&amp;ei=2MT0XrvGGM-vytMP1OyDgAY&amp;q=site%3Alinkedin.com+Tristan+Boone+University+Recruiter+Microsoft" TargetMode="External"/><Relationship Id="rId839" Type="http://schemas.openxmlformats.org/officeDocument/2006/relationships/hyperlink" Target="https://www.google.com/search?newwindow=1&amp;ei=2MT0XrvGGM-vytMP1OyDgAY&amp;q=site%3Alinkedin.com+Brett+Chase+PhD+University+Recruiter+Microsoft" TargetMode="External"/><Relationship Id="rId838" Type="http://schemas.openxmlformats.org/officeDocument/2006/relationships/hyperlink" Target="https://www.google.com/search?newwindow=1&amp;ei=2MT0XrvGGM-vytMP1OyDgAY&amp;q=site%3Alinkedin.com+Sarah+Kaiser+University+Recruiter+Microsoft" TargetMode="External"/><Relationship Id="rId833" Type="http://schemas.openxmlformats.org/officeDocument/2006/relationships/hyperlink" Target="https://www.google.com/search?newwindow=1&amp;ei=2MT0XrvGGM-vytMP1OyDgAY&amp;q=site%3Alinkedin.com+Erin+Creighton+Technical+University+Recruiter+Microsoft" TargetMode="External"/><Relationship Id="rId832" Type="http://schemas.openxmlformats.org/officeDocument/2006/relationships/hyperlink" Target="https://www.google.com/search?newwindow=1&amp;ei=2MT0XrvGGM-vytMP1OyDgAY&amp;q=site%3Alinkedin.com+Mintesinot+Misgano+University+Recruiter+Microsoft" TargetMode="External"/><Relationship Id="rId831" Type="http://schemas.openxmlformats.org/officeDocument/2006/relationships/hyperlink" Target="https://www.google.com/search?newwindow=1&amp;ei=2MT0XrvGGM-vytMP1OyDgAY&amp;q=site%3Alinkedin.com+Devan+Moore+University+Recruiter+Microsoft" TargetMode="External"/><Relationship Id="rId830" Type="http://schemas.openxmlformats.org/officeDocument/2006/relationships/hyperlink" Target="https://www.google.com/search?newwindow=1&amp;ei=2MT0XrvGGM-vytMP1OyDgAY&amp;q=site%3Alinkedin.com+Summer+Al+Mashhadani+University+Recruiter+Microsoft" TargetMode="External"/><Relationship Id="rId837" Type="http://schemas.openxmlformats.org/officeDocument/2006/relationships/hyperlink" Target="https://www.google.com/search?newwindow=1&amp;ei=2MT0XrvGGM-vytMP1OyDgAY&amp;q=site%3Alinkedin.com+Kelsey+Saboori+Technical+University+Recruiter+-+Software+Engineering+Roles+Microsoft" TargetMode="External"/><Relationship Id="rId836" Type="http://schemas.openxmlformats.org/officeDocument/2006/relationships/hyperlink" Target="https://www.google.com/search?newwindow=1&amp;ei=2MT0XrvGGM-vytMP1OyDgAY&amp;q=site%3Alinkedin.com+Leandra+King+University+Recruiter+Microsoft" TargetMode="External"/><Relationship Id="rId835" Type="http://schemas.openxmlformats.org/officeDocument/2006/relationships/hyperlink" Target="https://www.google.com/search?newwindow=1&amp;ei=2MT0XrvGGM-vytMP1OyDgAY&amp;q=site%3Alinkedin.com+Joseph+Velez+University+Recruiter+(Contractor)+Microsoft" TargetMode="External"/><Relationship Id="rId834" Type="http://schemas.openxmlformats.org/officeDocument/2006/relationships/hyperlink" Target="https://www.google.com/search?newwindow=1&amp;ei=2MT0XrvGGM-vytMP1OyDgAY&amp;q=site%3Alinkedin.com+Mary+Woodruff+(she/her)+University+Recruiter+Microsoft" TargetMode="External"/><Relationship Id="rId1059" Type="http://schemas.openxmlformats.org/officeDocument/2006/relationships/hyperlink" Target="https://www.google.com/search?newwindow=1&amp;ei=2MT0XrvGGM-vytMP1OyDgAY&amp;q=site%3Alinkedin.com+Amanda+Luu+Senior+Campus+Recruiter+Target" TargetMode="External"/><Relationship Id="rId228" Type="http://schemas.openxmlformats.org/officeDocument/2006/relationships/hyperlink" Target="https://www.google.com/search?newwindow=1&amp;ei=2MT0XrvGGM-vytMP1OyDgAY&amp;q=site%3Alinkedin.com+Jennifer+C.+Campus+Recruiter+Chewy" TargetMode="External"/><Relationship Id="rId227" Type="http://schemas.openxmlformats.org/officeDocument/2006/relationships/hyperlink" Target="https://www.google.com/search?newwindow=1&amp;ei=2MT0XrvGGM-vytMP1OyDgAY&amp;q=site%3Alinkedin.com+Erika+Howe+Carter+Sr.+Campus+Recruiter+Chewy" TargetMode="External"/><Relationship Id="rId469" Type="http://schemas.openxmlformats.org/officeDocument/2006/relationships/hyperlink" Target="https://www.google.com/search?newwindow=1&amp;ei=2MT0XrvGGM-vytMP1OyDgAY&amp;q=site%3Alinkedin.com+Sarah+Johnson+University+Recruiter+at+Facebook+Facebook" TargetMode="External"/><Relationship Id="rId226" Type="http://schemas.openxmlformats.org/officeDocument/2006/relationships/hyperlink" Target="https://www.google.com/search?newwindow=1&amp;ei=2MT0XrvGGM-vytMP1OyDgAY&amp;q=site%3Alinkedin.com+Erin+Casey+Campus+Recruiter+Chewy" TargetMode="External"/><Relationship Id="rId468" Type="http://schemas.openxmlformats.org/officeDocument/2006/relationships/hyperlink" Target="https://www.google.com/search?newwindow=1&amp;ei=2MT0XrvGGM-vytMP1OyDgAY&amp;q=site%3Alinkedin.com+Jenna+Satterfield+University+Programs+Manager+Facebook" TargetMode="External"/><Relationship Id="rId225" Type="http://schemas.openxmlformats.org/officeDocument/2006/relationships/hyperlink" Target="https://www.google.com/search?newwindow=1&amp;ei=2MT0XrvGGM-vytMP1OyDgAY&amp;q=site%3Alinkedin.com+Elizabeth+DiTroia+Campus+Recruiter+Chewy" TargetMode="External"/><Relationship Id="rId467" Type="http://schemas.openxmlformats.org/officeDocument/2006/relationships/hyperlink" Target="https://www.google.com/search?newwindow=1&amp;ei=2MT0XrvGGM-vytMP1OyDgAY&amp;q=site%3Alinkedin.com+Donnell+Jackson+University+Recruiter+Facebook" TargetMode="External"/><Relationship Id="rId229" Type="http://schemas.openxmlformats.org/officeDocument/2006/relationships/hyperlink" Target="https://www.google.com/search?newwindow=1&amp;ei=2MT0XrvGGM-vytMP1OyDgAY&amp;q=site%3Alinkedin.com+Lauren+Araujo+University+Recruiter+Cisco" TargetMode="External"/><Relationship Id="rId1050" Type="http://schemas.openxmlformats.org/officeDocument/2006/relationships/hyperlink" Target="https://www.google.com/search?newwindow=1&amp;ei=2MT0XrvGGM-vytMP1OyDgAY&amp;q=site%3Alinkedin.com+Beth+Bonarrigo+Sr.+Field+Campus+Recruiter+I+Trainer+I+HR+Business+Partner+Target" TargetMode="External"/><Relationship Id="rId220" Type="http://schemas.openxmlformats.org/officeDocument/2006/relationships/hyperlink" Target="https://www.google.com/search?newwindow=1&amp;ei=2MT0XrvGGM-vytMP1OyDgAY&amp;q=site%3Alinkedin.com+Carrie+Eggleston+College+Recruiter+CGI" TargetMode="External"/><Relationship Id="rId462" Type="http://schemas.openxmlformats.org/officeDocument/2006/relationships/hyperlink" Target="https://www.google.com/search?newwindow=1&amp;ei=2MT0XrvGGM-vytMP1OyDgAY&amp;q=site%3Alinkedin.com+Ali+Reiff+University+Recruiter+Facebook" TargetMode="External"/><Relationship Id="rId1051" Type="http://schemas.openxmlformats.org/officeDocument/2006/relationships/hyperlink" Target="https://www.google.com/search?newwindow=1&amp;ei=2MT0XrvGGM-vytMP1OyDgAY&amp;q=site%3Alinkedin.com+Vanessa+Kramer+Campus+Recruiter+Target" TargetMode="External"/><Relationship Id="rId461" Type="http://schemas.openxmlformats.org/officeDocument/2006/relationships/hyperlink" Target="https://www.google.com/search?newwindow=1&amp;ei=2MT0XrvGGM-vytMP1OyDgAY&amp;q=site%3Alinkedin.com+Kelly+Kasenetz+Campus+Recruiting+EY" TargetMode="External"/><Relationship Id="rId1052" Type="http://schemas.openxmlformats.org/officeDocument/2006/relationships/hyperlink" Target="https://www.google.com/search?newwindow=1&amp;ei=2MT0XrvGGM-vytMP1OyDgAY&amp;q=site%3Alinkedin.com+Andrea+Herrald+Lead+Executive+Campus+Recruiter-Supply+Chain+Target" TargetMode="External"/><Relationship Id="rId460" Type="http://schemas.openxmlformats.org/officeDocument/2006/relationships/hyperlink" Target="https://www.google.com/search?newwindow=1&amp;ei=2MT0XrvGGM-vytMP1OyDgAY&amp;q=site%3Alinkedin.com+Jessica+Gruber+Supervising+Associate+-+Campus+Recruiter+EY" TargetMode="External"/><Relationship Id="rId1053" Type="http://schemas.openxmlformats.org/officeDocument/2006/relationships/hyperlink" Target="https://www.google.com/search?newwindow=1&amp;ei=2MT0XrvGGM-vytMP1OyDgAY&amp;q=site%3Alinkedin.com+John+Walsh+Campus+Recruiter+Target" TargetMode="External"/><Relationship Id="rId1054" Type="http://schemas.openxmlformats.org/officeDocument/2006/relationships/hyperlink" Target="https://www.google.com/search?newwindow=1&amp;ei=2MT0XrvGGM-vytMP1OyDgAY&amp;q=site%3Alinkedin.com+sara+moghadam+Group+Campus+Recruiter+Target" TargetMode="External"/><Relationship Id="rId224" Type="http://schemas.openxmlformats.org/officeDocument/2006/relationships/hyperlink" Target="https://www.google.com/search?newwindow=1&amp;ei=2MT0XrvGGM-vytMP1OyDgAY&amp;q=site%3Alinkedin.com+Ashley+Beamish+Senior+College+Recruiter+CGI" TargetMode="External"/><Relationship Id="rId466" Type="http://schemas.openxmlformats.org/officeDocument/2006/relationships/hyperlink" Target="https://www.google.com/search?newwindow=1&amp;ei=2MT0XrvGGM-vytMP1OyDgAY&amp;q=site%3Alinkedin.com+Candice+Simpson+Infrastructure+University+Recruiter+Facebook" TargetMode="External"/><Relationship Id="rId1055" Type="http://schemas.openxmlformats.org/officeDocument/2006/relationships/hyperlink" Target="https://www.google.com/search?newwindow=1&amp;ei=2MT0XrvGGM-vytMP1OyDgAY&amp;q=site%3Alinkedin.com+Amy+Hayes+Executive+Team+Leader-+Logistics/Campus+Recruiter+D446+Target" TargetMode="External"/><Relationship Id="rId223" Type="http://schemas.openxmlformats.org/officeDocument/2006/relationships/hyperlink" Target="https://www.google.com/search?newwindow=1&amp;ei=2MT0XrvGGM-vytMP1OyDgAY&amp;q=site%3Alinkedin.com+Heather+Fusko+College+Recruiter+CGI" TargetMode="External"/><Relationship Id="rId465" Type="http://schemas.openxmlformats.org/officeDocument/2006/relationships/hyperlink" Target="https://www.google.com/search?newwindow=1&amp;ei=2MT0XrvGGM-vytMP1OyDgAY&amp;q=site%3Alinkedin.com+Sarai+Dennison+University+Recruiter+Facebook" TargetMode="External"/><Relationship Id="rId1056" Type="http://schemas.openxmlformats.org/officeDocument/2006/relationships/hyperlink" Target="https://www.google.com/search?newwindow=1&amp;ei=2MT0XrvGGM-vytMP1OyDgAY&amp;q=site%3Alinkedin.com+April+Voigt+Campus+and+Experienced+Recruiter+Target" TargetMode="External"/><Relationship Id="rId222" Type="http://schemas.openxmlformats.org/officeDocument/2006/relationships/hyperlink" Target="https://www.google.com/search?newwindow=1&amp;ei=2MT0XrvGGM-vytMP1OyDgAY&amp;q=site%3Alinkedin.com+Kristin+Rymaruk+College+Recruiting+Manager+CGI" TargetMode="External"/><Relationship Id="rId464" Type="http://schemas.openxmlformats.org/officeDocument/2006/relationships/hyperlink" Target="https://www.google.com/search?newwindow=1&amp;ei=2MT0XrvGGM-vytMP1OyDgAY&amp;q=site%3Alinkedin.com+Benjamin+Pastor+University+Recruiter+-+Software+Engineering:+MIT+&amp;+Harvard+Facebook" TargetMode="External"/><Relationship Id="rId1057" Type="http://schemas.openxmlformats.org/officeDocument/2006/relationships/hyperlink" Target="https://www.google.com/search?newwindow=1&amp;ei=2MT0XrvGGM-vytMP1OyDgAY&amp;q=site%3Alinkedin.com+Zavier+Lewis+Executive+Recruiter+Target" TargetMode="External"/><Relationship Id="rId221" Type="http://schemas.openxmlformats.org/officeDocument/2006/relationships/hyperlink" Target="https://www.google.com/search?newwindow=1&amp;ei=2MT0XrvGGM-vytMP1OyDgAY&amp;q=site%3Alinkedin.com+Luke+Lawson+Campus+Recruiter+CGI" TargetMode="External"/><Relationship Id="rId463" Type="http://schemas.openxmlformats.org/officeDocument/2006/relationships/hyperlink" Target="https://www.google.com/search?newwindow=1&amp;ei=2MT0XrvGGM-vytMP1OyDgAY&amp;q=site%3Alinkedin.com+Crystal+Wood+University+Recruiter+Facebook" TargetMode="External"/><Relationship Id="rId1058" Type="http://schemas.openxmlformats.org/officeDocument/2006/relationships/hyperlink" Target="https://www.google.com/search?newwindow=1&amp;ei=2MT0XrvGGM-vytMP1OyDgAY&amp;q=site%3Alinkedin.com+Andi+Christenson+Lead+Executive+Recruiter+Target" TargetMode="External"/><Relationship Id="rId1048" Type="http://schemas.openxmlformats.org/officeDocument/2006/relationships/hyperlink" Target="https://www.google.com/search?newwindow=1&amp;ei=2MT0XrvGGM-vytMP1OyDgAY&amp;q=site%3Alinkedin.com+Ashley+Miller+Lead+Executive+Campus+Recruiter+Target" TargetMode="External"/><Relationship Id="rId1049" Type="http://schemas.openxmlformats.org/officeDocument/2006/relationships/hyperlink" Target="https://www.google.com/search?newwindow=1&amp;ei=2MT0XrvGGM-vytMP1OyDgAY&amp;q=site%3Alinkedin.com+Kathryn+Kusa+Campus+Recruiter+Target" TargetMode="External"/><Relationship Id="rId217" Type="http://schemas.openxmlformats.org/officeDocument/2006/relationships/hyperlink" Target="https://www.google.com/search?newwindow=1&amp;ei=2MT0XrvGGM-vytMP1OyDgAY&amp;q=site%3Alinkedin.com+Rebecca+Teti+College+Recruiter+CGI" TargetMode="External"/><Relationship Id="rId459" Type="http://schemas.openxmlformats.org/officeDocument/2006/relationships/hyperlink" Target="https://www.google.com/search?newwindow=1&amp;ei=2MT0XrvGGM-vytMP1OyDgAY&amp;q=site%3Alinkedin.com+Jennifer+Weeks+Campus+Recruiter+EY" TargetMode="External"/><Relationship Id="rId216" Type="http://schemas.openxmlformats.org/officeDocument/2006/relationships/hyperlink" Target="https://www.google.com/search?newwindow=1&amp;ei=2MT0XrvGGM-vytMP1OyDgAY&amp;q=site%3Alinkedin.com+Whitney+Ragan+College+Recruiter+CGI" TargetMode="External"/><Relationship Id="rId458" Type="http://schemas.openxmlformats.org/officeDocument/2006/relationships/hyperlink" Target="https://www.google.com/search?newwindow=1&amp;ei=2MT0XrvGGM-vytMP1OyDgAY&amp;q=site%3Alinkedin.com+Jessi+Dale+Seattle+&amp;+Portland+Campus+Recruiter+-+West+Region+Diversity+and+Inclusion+Internship+(Launch)+Lead+EY" TargetMode="External"/><Relationship Id="rId215" Type="http://schemas.openxmlformats.org/officeDocument/2006/relationships/hyperlink" Target="https://www.google.com/search?newwindow=1&amp;ei=2MT0XrvGGM-vytMP1OyDgAY&amp;q=site%3Alinkedin.com+Katie+Johnson+Campus+Recruiter+Cargill" TargetMode="External"/><Relationship Id="rId457" Type="http://schemas.openxmlformats.org/officeDocument/2006/relationships/hyperlink" Target="https://www.google.com/search?newwindow=1&amp;ei=2MT0XrvGGM-vytMP1OyDgAY&amp;q=site%3Alinkedin.com+Darci+Curtin+Campus+Recruiter+EY" TargetMode="External"/><Relationship Id="rId699" Type="http://schemas.openxmlformats.org/officeDocument/2006/relationships/hyperlink" Target="https://www.google.com/search?newwindow=1&amp;ei=2MT0XrvGGM-vytMP1OyDgAY&amp;q=site%3Alinkedin.com+Misty+Abston+Campus+Recruiter+KPMG" TargetMode="External"/><Relationship Id="rId214" Type="http://schemas.openxmlformats.org/officeDocument/2006/relationships/hyperlink" Target="https://www.google.com/search?newwindow=1&amp;ei=2MT0XrvGGM-vytMP1OyDgAY&amp;q=site%3Alinkedin.com+Megan+Thomas+Associate+University+Recruiter+Cargill" TargetMode="External"/><Relationship Id="rId456" Type="http://schemas.openxmlformats.org/officeDocument/2006/relationships/hyperlink" Target="https://www.google.com/search?newwindow=1&amp;ei=2MT0XrvGGM-vytMP1OyDgAY&amp;q=site%3Alinkedin.com+Julia+Silvestre+West+Campus+Lead+Recruiting+Coordinator+EY" TargetMode="External"/><Relationship Id="rId698" Type="http://schemas.openxmlformats.org/officeDocument/2006/relationships/hyperlink" Target="https://www.google.com/search?newwindow=1&amp;ei=2MT0XrvGGM-vytMP1OyDgAY&amp;q=site%3Alinkedin.com+Doreen+Nakigudde+Campus+Recruiter+KPMG" TargetMode="External"/><Relationship Id="rId219" Type="http://schemas.openxmlformats.org/officeDocument/2006/relationships/hyperlink" Target="https://www.google.com/search?newwindow=1&amp;ei=2MT0XrvGGM-vytMP1OyDgAY&amp;q=site%3Alinkedin.com+Katherine+Zehnder+College+Recruiter+CGI" TargetMode="External"/><Relationship Id="rId218" Type="http://schemas.openxmlformats.org/officeDocument/2006/relationships/hyperlink" Target="https://www.google.com/search?newwindow=1&amp;ei=2MT0XrvGGM-vytMP1OyDgAY&amp;q=site%3Alinkedin.com+Madeline+Sills+College+Recruiter+-+US+West+CGI" TargetMode="External"/><Relationship Id="rId451" Type="http://schemas.openxmlformats.org/officeDocument/2006/relationships/hyperlink" Target="https://www.google.com/search?newwindow=1&amp;ei=2MT0XrvGGM-vytMP1OyDgAY&amp;q=site%3Alinkedin.com+Kendra+Stanfill+Graduate+Campus+Recruiter+EY" TargetMode="External"/><Relationship Id="rId693" Type="http://schemas.openxmlformats.org/officeDocument/2006/relationships/hyperlink" Target="https://www.google.com/search?newwindow=1&amp;ei=2MT0XrvGGM-vytMP1OyDgAY&amp;q=site%3Alinkedin.com+Li+Steinberg+Campus+Recruiting+Manager+KPMG" TargetMode="External"/><Relationship Id="rId1040" Type="http://schemas.openxmlformats.org/officeDocument/2006/relationships/hyperlink" Target="https://www.google.com/search?newwindow=1&amp;ei=2MT0XrvGGM-vytMP1OyDgAY&amp;q=site%3Alinkedin.com+Sarah+Deiter+Senior+University+Recruiter+T-Mobile" TargetMode="External"/><Relationship Id="rId450" Type="http://schemas.openxmlformats.org/officeDocument/2006/relationships/hyperlink" Target="https://www.google.com/search?newwindow=1&amp;ei=2MT0XrvGGM-vytMP1OyDgAY&amp;q=site%3Alinkedin.com+Max+Hyland+Campus+Recruiter+EY" TargetMode="External"/><Relationship Id="rId692" Type="http://schemas.openxmlformats.org/officeDocument/2006/relationships/hyperlink" Target="https://www.google.com/search?newwindow=1&amp;ei=2MT0XrvGGM-vytMP1OyDgAY&amp;q=site%3Alinkedin.com+Andy+Salzwedel+College+Recruiter+Kimberly-Clark" TargetMode="External"/><Relationship Id="rId1041" Type="http://schemas.openxmlformats.org/officeDocument/2006/relationships/hyperlink" Target="https://www.google.com/search?newwindow=1&amp;ei=2MT0XrvGGM-vytMP1OyDgAY&amp;q=site%3Alinkedin.com+Brandee+Waddell+College+and+Military+Recruiter+T-Mobile" TargetMode="External"/><Relationship Id="rId691" Type="http://schemas.openxmlformats.org/officeDocument/2006/relationships/hyperlink" Target="https://www.google.com/search?newwindow=1&amp;ei=2MT0XrvGGM-vytMP1OyDgAY&amp;q=site%3Alinkedin.com+Joann+Milhaupt+College+Recruiter+-+Co-ops+and+Interns+Kimberly-Clark" TargetMode="External"/><Relationship Id="rId1042" Type="http://schemas.openxmlformats.org/officeDocument/2006/relationships/hyperlink" Target="https://www.google.com/search?newwindow=1&amp;ei=2MT0XrvGGM-vytMP1OyDgAY&amp;q=site%3Alinkedin.com+Remy+Crespo+Viewed+T-Mobile" TargetMode="External"/><Relationship Id="rId690" Type="http://schemas.openxmlformats.org/officeDocument/2006/relationships/hyperlink" Target="https://www.google.com/search?newwindow=1&amp;ei=2MT0XrvGGM-vytMP1OyDgAY&amp;q=site%3Alinkedin.com+Lauren+Sell+College+Recruiter+Kimberly-Clark" TargetMode="External"/><Relationship Id="rId1043" Type="http://schemas.openxmlformats.org/officeDocument/2006/relationships/hyperlink" Target="https://www.google.com/search?newwindow=1&amp;ei=2MT0XrvGGM-vytMP1OyDgAY&amp;q=site%3Alinkedin.com+Greg+Pare+Lead+Campus+Recruiter+Target" TargetMode="External"/><Relationship Id="rId213" Type="http://schemas.openxmlformats.org/officeDocument/2006/relationships/hyperlink" Target="https://www.google.com/search?newwindow=1&amp;ei=2MT0XrvGGM-vytMP1OyDgAY&amp;q=site%3Alinkedin.com+Anais+Diaz+University+Recruiter+Specialist+Cargill" TargetMode="External"/><Relationship Id="rId455" Type="http://schemas.openxmlformats.org/officeDocument/2006/relationships/hyperlink" Target="https://www.google.com/search?newwindow=1&amp;ei=2MT0XrvGGM-vytMP1OyDgAY&amp;q=site%3Alinkedin.com+Lauren+Vujovich+Campus+Recruiter+EY" TargetMode="External"/><Relationship Id="rId697" Type="http://schemas.openxmlformats.org/officeDocument/2006/relationships/hyperlink" Target="https://www.google.com/search?newwindow=1&amp;ei=2MT0XrvGGM-vytMP1OyDgAY&amp;q=site%3Alinkedin.com+Shannon+Kaiser+Campus+Recruiting+Manager+KPMG" TargetMode="External"/><Relationship Id="rId1044" Type="http://schemas.openxmlformats.org/officeDocument/2006/relationships/hyperlink" Target="https://www.google.com/search?newwindow=1&amp;ei=2MT0XrvGGM-vytMP1OyDgAY&amp;q=site%3Alinkedin.com+Amy+Blake+Group+Campus+Recruiter+Target" TargetMode="External"/><Relationship Id="rId212" Type="http://schemas.openxmlformats.org/officeDocument/2006/relationships/hyperlink" Target="https://www.google.com/search?newwindow=1&amp;ei=2MT0XrvGGM-vytMP1OyDgAY&amp;q=site%3Alinkedin.com+Lexus+Kennedy+Operations+Manager+Cargill" TargetMode="External"/><Relationship Id="rId454" Type="http://schemas.openxmlformats.org/officeDocument/2006/relationships/hyperlink" Target="https://www.google.com/search?newwindow=1&amp;ei=2MT0XrvGGM-vytMP1OyDgAY&amp;q=site%3Alinkedin.com+Jennifer+Voss+Campus+Recruiting+Manager+EY" TargetMode="External"/><Relationship Id="rId696" Type="http://schemas.openxmlformats.org/officeDocument/2006/relationships/hyperlink" Target="https://www.google.com/search?newwindow=1&amp;ei=2MT0XrvGGM-vytMP1OyDgAY&amp;q=site%3Alinkedin.com+Sara+Condino+Campus+Recruiting+Manager+KPMG" TargetMode="External"/><Relationship Id="rId1045" Type="http://schemas.openxmlformats.org/officeDocument/2006/relationships/hyperlink" Target="https://www.google.com/search?newwindow=1&amp;ei=2MT0XrvGGM-vytMP1OyDgAY&amp;q=site%3Alinkedin.com+Craig+Sedoris+Campus+Recruiter+Target" TargetMode="External"/><Relationship Id="rId211" Type="http://schemas.openxmlformats.org/officeDocument/2006/relationships/hyperlink" Target="https://www.google.com/search?newwindow=1&amp;ei=2MT0XrvGGM-vytMP1OyDgAY&amp;q=site%3Alinkedin.com+Stephanie+Wharton+Campus+Recruiter+Capital+One" TargetMode="External"/><Relationship Id="rId453" Type="http://schemas.openxmlformats.org/officeDocument/2006/relationships/hyperlink" Target="https://www.google.com/search?newwindow=1&amp;ei=2MT0XrvGGM-vytMP1OyDgAY&amp;q=site%3Alinkedin.com+Jordan+W.+Campus+Recruiter+EY" TargetMode="External"/><Relationship Id="rId695" Type="http://schemas.openxmlformats.org/officeDocument/2006/relationships/hyperlink" Target="https://www.google.com/search?newwindow=1&amp;ei=2MT0XrvGGM-vytMP1OyDgAY&amp;q=site%3Alinkedin.com+Kelsey+Meza+Campus+Recruiter+KPMG" TargetMode="External"/><Relationship Id="rId1046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210" Type="http://schemas.openxmlformats.org/officeDocument/2006/relationships/hyperlink" Target="https://www.google.com/search?newwindow=1&amp;ei=2MT0XrvGGM-vytMP1OyDgAY&amp;q=site%3Alinkedin.com+Rachel+Turner+Campus+Recruiter+Capital+One" TargetMode="External"/><Relationship Id="rId452" Type="http://schemas.openxmlformats.org/officeDocument/2006/relationships/hyperlink" Target="https://www.google.com/search?newwindow=1&amp;ei=2MT0XrvGGM-vytMP1OyDgAY&amp;q=site%3Alinkedin.com+Jennifer+Garrard+Campus+Recruiter+EY" TargetMode="External"/><Relationship Id="rId694" Type="http://schemas.openxmlformats.org/officeDocument/2006/relationships/hyperlink" Target="https://www.google.com/search?newwindow=1&amp;ei=2MT0XrvGGM-vytMP1OyDgAY&amp;q=site%3Alinkedin.com+Carly+Merrell+Campus+Recruiter+KPMG" TargetMode="External"/><Relationship Id="rId1047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491" Type="http://schemas.openxmlformats.org/officeDocument/2006/relationships/hyperlink" Target="https://www.google.com/search?newwindow=1&amp;ei=2MT0XrvGGM-vytMP1OyDgAY&amp;q=site%3Alinkedin.com+Kathleen+Roberts+University+Recruiter+-+Closer+Facebook" TargetMode="External"/><Relationship Id="rId490" Type="http://schemas.openxmlformats.org/officeDocument/2006/relationships/hyperlink" Target="https://www.google.com/search?newwindow=1&amp;ei=2MT0XrvGGM-vytMP1OyDgAY&amp;q=site%3Alinkedin.com+Kaitlin+Wilson+University+Recruiter+Facebook" TargetMode="External"/><Relationship Id="rId249" Type="http://schemas.openxmlformats.org/officeDocument/2006/relationships/hyperlink" Target="https://www.google.com/search?newwindow=1&amp;ei=2MT0XrvGGM-vytMP1OyDgAY&amp;q=site%3Alinkedin.com+Lauren+Harrison+Campus+Recruiter+-+Global+Consumer+Technology+Citi" TargetMode="External"/><Relationship Id="rId248" Type="http://schemas.openxmlformats.org/officeDocument/2006/relationships/hyperlink" Target="https://www.google.com/search?newwindow=1&amp;ei=2MT0XrvGGM-vytMP1OyDgAY&amp;q=site%3Alinkedin.com+Camille+Pasquier+Campus+Recruiter+Citi" TargetMode="External"/><Relationship Id="rId247" Type="http://schemas.openxmlformats.org/officeDocument/2006/relationships/hyperlink" Target="https://www.google.com/search?newwindow=1&amp;ei=2MT0XrvGGM-vytMP1OyDgAY&amp;q=site%3Alinkedin.com+Katherine+David+Campus+Recruiter+Citi" TargetMode="External"/><Relationship Id="rId489" Type="http://schemas.openxmlformats.org/officeDocument/2006/relationships/hyperlink" Target="https://www.google.com/search?newwindow=1&amp;ei=2MT0XrvGGM-vytMP1OyDgAY&amp;q=site%3Alinkedin.com+Cheriece+Williams+University+Recruiter+Facebook" TargetMode="External"/><Relationship Id="rId1070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1071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1072" Type="http://schemas.openxmlformats.org/officeDocument/2006/relationships/hyperlink" Target="https://www.google.com/search?newwindow=1&amp;ei=2MT0XrvGGM-vytMP1OyDgAY&amp;q=site%3Alinkedin.com+Victorya+Curcuro+Senior+Campus+Recruiter+Target" TargetMode="External"/><Relationship Id="rId242" Type="http://schemas.openxmlformats.org/officeDocument/2006/relationships/hyperlink" Target="https://www.google.com/search?newwindow=1&amp;ei=2MT0XrvGGM-vytMP1OyDgAY&amp;q=site%3Alinkedin.com+Brett+Parker+Campus+Recruiter+Citadel" TargetMode="External"/><Relationship Id="rId484" Type="http://schemas.openxmlformats.org/officeDocument/2006/relationships/hyperlink" Target="https://www.google.com/search?newwindow=1&amp;ei=2MT0XrvGGM-vytMP1OyDgAY&amp;q=site%3Alinkedin.com+Molly+Seale+University+Recruiter+Facebook" TargetMode="External"/><Relationship Id="rId1073" Type="http://schemas.openxmlformats.org/officeDocument/2006/relationships/hyperlink" Target="https://www.google.com/search?newwindow=1&amp;ei=2MT0XrvGGM-vytMP1OyDgAY&amp;q=site%3Alinkedin.com+Danielle+Mork+Sr+Campus+Recruiter+-+Supply+Chain+Target" TargetMode="External"/><Relationship Id="rId241" Type="http://schemas.openxmlformats.org/officeDocument/2006/relationships/hyperlink" Target="https://www.google.com/search?newwindow=1&amp;ei=2MT0XrvGGM-vytMP1OyDgAY&amp;q=site%3Alinkedin.com+Avianna+Goldman+Campus+Recruiter+Citadel" TargetMode="External"/><Relationship Id="rId483" Type="http://schemas.openxmlformats.org/officeDocument/2006/relationships/hyperlink" Target="https://www.google.com/search?newwindow=1&amp;ei=2MT0XrvGGM-vytMP1OyDgAY&amp;q=site%3Alinkedin.com+Jarrod+F.+University+Recruiter+Facebook" TargetMode="External"/><Relationship Id="rId1074" Type="http://schemas.openxmlformats.org/officeDocument/2006/relationships/hyperlink" Target="https://www.google.com/search?newwindow=1&amp;ei=2MT0XrvGGM-vytMP1OyDgAY&amp;q=site%3Alinkedin.com+Sarah+Fairchild+Human+Resources+Representative/Executive+and+Campus+Recruiter+Target+Corporation" TargetMode="External"/><Relationship Id="rId240" Type="http://schemas.openxmlformats.org/officeDocument/2006/relationships/hyperlink" Target="https://www.google.com/search?newwindow=1&amp;ei=2MT0XrvGGM-vytMP1OyDgAY&amp;q=site%3Alinkedin.com+Cody+Patrina+Campus+Recruiter+Citadel" TargetMode="External"/><Relationship Id="rId482" Type="http://schemas.openxmlformats.org/officeDocument/2006/relationships/hyperlink" Target="https://www.google.com/search?newwindow=1&amp;ei=2MT0XrvGGM-vytMP1OyDgAY&amp;q=site%3Alinkedin.com+Joyce+M.+C.+University+Recruiter+Facebook" TargetMode="External"/><Relationship Id="rId1075" Type="http://schemas.openxmlformats.org/officeDocument/2006/relationships/hyperlink" Target="https://www.google.com/search?newwindow=1&amp;ei=2MT0XrvGGM-vytMP1OyDgAY&amp;q=site%3Alinkedin.com+Sara+Lopez+Campus+Recruiter+Target+Headquarters" TargetMode="External"/><Relationship Id="rId481" Type="http://schemas.openxmlformats.org/officeDocument/2006/relationships/hyperlink" Target="https://www.google.com/search?newwindow=1&amp;ei=2MT0XrvGGM-vytMP1OyDgAY&amp;q=site%3Alinkedin.com+Nicci+Moscuzza+University+Recruiter+Facebook" TargetMode="External"/><Relationship Id="rId1076" Type="http://schemas.openxmlformats.org/officeDocument/2006/relationships/hyperlink" Target="https://www.google.com/search?newwindow=1&amp;ei=2MT0XrvGGM-vytMP1OyDgAY&amp;q=site%3Alinkedin.com+Madhuri+Gadkari+Campus+Recruiter+Tata+Consultancy+Services" TargetMode="External"/><Relationship Id="rId246" Type="http://schemas.openxmlformats.org/officeDocument/2006/relationships/hyperlink" Target="https://www.google.com/search?newwindow=1&amp;ei=2MT0XrvGGM-vytMP1OyDgAY&amp;q=site%3Alinkedin.com+Jacqueline+Waugh+Campus+Recruiting+Manager+Citi" TargetMode="External"/><Relationship Id="rId488" Type="http://schemas.openxmlformats.org/officeDocument/2006/relationships/hyperlink" Target="https://www.google.com/search?newwindow=1&amp;ei=2MT0XrvGGM-vytMP1OyDgAY&amp;q=site%3Alinkedin.com+Rima+Itani+University+Recruiter+Facebook" TargetMode="External"/><Relationship Id="rId1077" Type="http://schemas.openxmlformats.org/officeDocument/2006/relationships/hyperlink" Target="https://www.google.com/search?newwindow=1&amp;ei=2MT0XrvGGM-vytMP1OyDgAY&amp;q=site%3Alinkedin.com+Tyler+George+Mathurin+Campus+Recruiter+Tata+Consultancy+Services" TargetMode="External"/><Relationship Id="rId245" Type="http://schemas.openxmlformats.org/officeDocument/2006/relationships/hyperlink" Target="https://www.google.com/search?newwindow=1&amp;ei=2MT0XrvGGM-vytMP1OyDgAY&amp;q=site%3Alinkedin.com+Margaret+Norman+Campus+Recruiter+Citi" TargetMode="External"/><Relationship Id="rId487" Type="http://schemas.openxmlformats.org/officeDocument/2006/relationships/hyperlink" Target="https://www.google.com/search?newwindow=1&amp;ei=2MT0XrvGGM-vytMP1OyDgAY&amp;q=site%3Alinkedin.com+Cynthia+Leu+University+Recruiter+(Infrastructure)+Facebook" TargetMode="External"/><Relationship Id="rId1078" Type="http://schemas.openxmlformats.org/officeDocument/2006/relationships/hyperlink" Target="https://www.google.com/search?newwindow=1&amp;ei=2MT0XrvGGM-vytMP1OyDgAY&amp;q=site%3Alinkedin.com+Lauren+Peters+Senior+University+Relations+Recruiter+TEKsystems" TargetMode="External"/><Relationship Id="rId244" Type="http://schemas.openxmlformats.org/officeDocument/2006/relationships/hyperlink" Target="https://www.google.com/search?newwindow=1&amp;ei=2MT0XrvGGM-vytMP1OyDgAY&amp;q=site%3Alinkedin.com+Gwendolyn+Hickey+Campus+Recruiter+-+Quantitative+Research+Citadel+LLC" TargetMode="External"/><Relationship Id="rId486" Type="http://schemas.openxmlformats.org/officeDocument/2006/relationships/hyperlink" Target="https://www.google.com/search?newwindow=1&amp;ei=2MT0XrvGGM-vytMP1OyDgAY&amp;q=site%3Alinkedin.com+Kelly+Simon+University+Design+Recruiter+Facebook" TargetMode="External"/><Relationship Id="rId1079" Type="http://schemas.openxmlformats.org/officeDocument/2006/relationships/hyperlink" Target="https://www.google.com/search?newwindow=1&amp;ei=2MT0XrvGGM-vytMP1OyDgAY&amp;q=site%3Alinkedin.com+Teron+Foster+University+Relations+Recruiter+TEKsystems" TargetMode="External"/><Relationship Id="rId243" Type="http://schemas.openxmlformats.org/officeDocument/2006/relationships/hyperlink" Target="https://www.google.com/search?newwindow=1&amp;ei=2MT0XrvGGM-vytMP1OyDgAY&amp;q=site%3Alinkedin.com+Colleen+Mullin+Campus+Recruiter+Citadel+LLC" TargetMode="External"/><Relationship Id="rId485" Type="http://schemas.openxmlformats.org/officeDocument/2006/relationships/hyperlink" Target="https://www.google.com/search?newwindow=1&amp;ei=2MT0XrvGGM-vytMP1OyDgAY&amp;q=site%3Alinkedin.com+Alyssa+Salindong+University+Recruiter+Facebook" TargetMode="External"/><Relationship Id="rId480" Type="http://schemas.openxmlformats.org/officeDocument/2006/relationships/hyperlink" Target="https://www.google.com/search?newwindow=1&amp;ei=2MT0XrvGGM-vytMP1OyDgAY&amp;q=site%3Alinkedin.com+Eleanor+Johnson+Software+Engineer+University+Recruiter+Facebook" TargetMode="External"/><Relationship Id="rId239" Type="http://schemas.openxmlformats.org/officeDocument/2006/relationships/hyperlink" Target="https://www.google.com/search?newwindow=1&amp;ei=2MT0XrvGGM-vytMP1OyDgAY&amp;q=site%3Alinkedin.com+Grace+Martin+Campus+Recruiter+-+Quantitative+Research+Citadel" TargetMode="External"/><Relationship Id="rId238" Type="http://schemas.openxmlformats.org/officeDocument/2006/relationships/hyperlink" Target="https://www.google.com/search?newwindow=1&amp;ei=2MT0XrvGGM-vytMP1OyDgAY&amp;q=site%3Alinkedin.com+Allie+McMahon+Campus+Recruiting+Manager+Citadel" TargetMode="External"/><Relationship Id="rId237" Type="http://schemas.openxmlformats.org/officeDocument/2006/relationships/hyperlink" Target="https://www.google.com/search?newwindow=1&amp;ei=2MT0XrvGGM-vytMP1OyDgAY&amp;q=site%3Alinkedin.com+Andrew+L.+Saenz+Campus+Recruiter+Citadel" TargetMode="External"/><Relationship Id="rId479" Type="http://schemas.openxmlformats.org/officeDocument/2006/relationships/hyperlink" Target="https://www.google.com/search?newwindow=1&amp;ei=2MT0XrvGGM-vytMP1OyDgAY&amp;q=site%3Alinkedin.com+Seth+Radin+University+Recruiter+-+AR/VR+Facebook" TargetMode="External"/><Relationship Id="rId236" Type="http://schemas.openxmlformats.org/officeDocument/2006/relationships/hyperlink" Target="https://www.google.com/search?newwindow=1&amp;ei=2MT0XrvGGM-vytMP1OyDgAY&amp;q=site%3Alinkedin.com+Dawn+Harvey+Cisco+Systems++Recruiter-University+Recruiting+Cisco+Systems" TargetMode="External"/><Relationship Id="rId478" Type="http://schemas.openxmlformats.org/officeDocument/2006/relationships/hyperlink" Target="https://www.google.com/search?newwindow=1&amp;ei=2MT0XrvGGM-vytMP1OyDgAY&amp;q=site%3Alinkedin.com+Ernesto+F.+University+Recruiter+Facebook" TargetMode="External"/><Relationship Id="rId1060" Type="http://schemas.openxmlformats.org/officeDocument/2006/relationships/hyperlink" Target="https://www.google.com/search?newwindow=1&amp;ei=2MT0XrvGGM-vytMP1OyDgAY&amp;q=site%3Alinkedin.com+David+Wyant+Lead+Recruiter+-+Campus+Target" TargetMode="External"/><Relationship Id="rId1061" Type="http://schemas.openxmlformats.org/officeDocument/2006/relationships/hyperlink" Target="https://www.google.com/search?newwindow=1&amp;ei=2MT0XrvGGM-vytMP1OyDgAY&amp;q=site%3Alinkedin.com+Darielle+Gengler-Hanson+Lead+Executive+Recruiter+Target" TargetMode="External"/><Relationship Id="rId231" Type="http://schemas.openxmlformats.org/officeDocument/2006/relationships/hyperlink" Target="https://www.google.com/search?newwindow=1&amp;ei=2MT0XrvGGM-vytMP1OyDgAY&amp;q=site%3Alinkedin.com+Nathaniel+L.+University+Recruiter+Cisco" TargetMode="External"/><Relationship Id="rId473" Type="http://schemas.openxmlformats.org/officeDocument/2006/relationships/hyperlink" Target="https://www.google.com/search?newwindow=1&amp;ei=2MT0XrvGGM-vytMP1OyDgAY&amp;q=site%3Alinkedin.com+Emily+Nagele+University+Recruiter+-+SWE+Facebook" TargetMode="External"/><Relationship Id="rId1062" Type="http://schemas.openxmlformats.org/officeDocument/2006/relationships/hyperlink" Target="https://www.google.com/search?newwindow=1&amp;ei=2MT0XrvGGM-vytMP1OyDgAY&amp;q=site%3Alinkedin.com+Ellen+Meeks+Lead+Executive+Campus+Recruiter+-+Supply+Chain+Target" TargetMode="External"/><Relationship Id="rId230" Type="http://schemas.openxmlformats.org/officeDocument/2006/relationships/hyperlink" Target="https://www.google.com/search?newwindow=1&amp;ei=2MT0XrvGGM-vytMP1OyDgAY&amp;q=site%3Alinkedin.com+Brianna+(Bri)+Birkeness+University+Recruiter+-+Engineering+Cisco" TargetMode="External"/><Relationship Id="rId472" Type="http://schemas.openxmlformats.org/officeDocument/2006/relationships/hyperlink" Target="https://www.google.com/search?newwindow=1&amp;ei=2MT0XrvGGM-vytMP1OyDgAY&amp;q=site%3Alinkedin.com+Rima+Akras+University+Recruiter+Facebook" TargetMode="External"/><Relationship Id="rId1063" Type="http://schemas.openxmlformats.org/officeDocument/2006/relationships/hyperlink" Target="https://www.google.com/search?newwindow=1&amp;ei=2MT0XrvGGM-vytMP1OyDgAY&amp;q=site%3Alinkedin.com+Miranda+Wolfe+Sr.+Campus+Recruiter+Target" TargetMode="External"/><Relationship Id="rId471" Type="http://schemas.openxmlformats.org/officeDocument/2006/relationships/hyperlink" Target="https://www.google.com/search?newwindow=1&amp;ei=2MT0XrvGGM-vytMP1OyDgAY&amp;q=site%3Alinkedin.com+Jessica+Y.+University+Recruiter+Facebook" TargetMode="External"/><Relationship Id="rId1064" Type="http://schemas.openxmlformats.org/officeDocument/2006/relationships/hyperlink" Target="https://www.google.com/search?newwindow=1&amp;ei=2MT0XrvGGM-vytMP1OyDgAY&amp;q=site%3Alinkedin.com+Maya+Moss+Senior+Campus+Recruiter+Target" TargetMode="External"/><Relationship Id="rId470" Type="http://schemas.openxmlformats.org/officeDocument/2006/relationships/hyperlink" Target="https://www.google.com/search?newwindow=1&amp;ei=2MT0XrvGGM-vytMP1OyDgAY&amp;q=site%3Alinkedin.com+Jessica+Kornstein+University+Recruiter+Facebook" TargetMode="External"/><Relationship Id="rId1065" Type="http://schemas.openxmlformats.org/officeDocument/2006/relationships/hyperlink" Target="https://www.google.com/search?newwindow=1&amp;ei=2MT0XrvGGM-vytMP1OyDgAY&amp;q=site%3Alinkedin.com+Pamela+McClaney+Lead+Executive+Recruiter+-+Field+Campus+Target" TargetMode="External"/><Relationship Id="rId235" Type="http://schemas.openxmlformats.org/officeDocument/2006/relationships/hyperlink" Target="https://www.google.com/search?newwindow=1&amp;ei=2MT0XrvGGM-vytMP1OyDgAY&amp;q=site%3Alinkedin.com+Erica+Cox+College+Recruiter+Cisco+Systems" TargetMode="External"/><Relationship Id="rId477" Type="http://schemas.openxmlformats.org/officeDocument/2006/relationships/hyperlink" Target="https://www.google.com/search?newwindow=1&amp;ei=2MT0XrvGGM-vytMP1OyDgAY&amp;q=site%3Alinkedin.com+Alfonso+Avila+University+Recruiter-Software+Engineering+West+Facebook" TargetMode="External"/><Relationship Id="rId1066" Type="http://schemas.openxmlformats.org/officeDocument/2006/relationships/hyperlink" Target="https://www.google.com/search?newwindow=1&amp;ei=2MT0XrvGGM-vytMP1OyDgAY&amp;q=site%3Alinkedin.com+Anna+Davis+Sr.+Field+Campus+Recruiter+Target" TargetMode="External"/><Relationship Id="rId234" Type="http://schemas.openxmlformats.org/officeDocument/2006/relationships/hyperlink" Target="https://www.google.com/search?newwindow=1&amp;ei=2MT0XrvGGM-vytMP1OyDgAY&amp;q=site%3Alinkedin.com+Kayla+Stueland-Imo+Technical+University+Recruiter+Cisco+Meraki" TargetMode="External"/><Relationship Id="rId476" Type="http://schemas.openxmlformats.org/officeDocument/2006/relationships/hyperlink" Target="https://www.google.com/search?newwindow=1&amp;ei=2MT0XrvGGM-vytMP1OyDgAY&amp;q=site%3Alinkedin.com+Hillary+S.+University+Recruiter+(Software+Engineering)+Facebook" TargetMode="External"/><Relationship Id="rId1067" Type="http://schemas.openxmlformats.org/officeDocument/2006/relationships/hyperlink" Target="https://www.google.com/search?newwindow=1&amp;ei=2MT0XrvGGM-vytMP1OyDgAY&amp;q=site%3Alinkedin.com+Kyle+Bender+Lead+Executive+Campus+Recruiter+Target" TargetMode="External"/><Relationship Id="rId233" Type="http://schemas.openxmlformats.org/officeDocument/2006/relationships/hyperlink" Target="https://www.google.com/search?newwindow=1&amp;ei=2MT0XrvGGM-vytMP1OyDgAY&amp;q=site%3Alinkedin.com+Dawn+McLaughlin+Senior+Technical+Recruiter+Cisco" TargetMode="External"/><Relationship Id="rId475" Type="http://schemas.openxmlformats.org/officeDocument/2006/relationships/hyperlink" Target="https://www.google.com/search?newwindow=1&amp;ei=2MT0XrvGGM-vytMP1OyDgAY&amp;q=site%3Alinkedin.com+Elizabeth+W.+Campus+Recruiter+Facebook" TargetMode="External"/><Relationship Id="rId1068" Type="http://schemas.openxmlformats.org/officeDocument/2006/relationships/hyperlink" Target="https://www.google.com/search?newwindow=1&amp;ei=2MT0XrvGGM-vytMP1OyDgAY&amp;q=site%3Alinkedin.com+Iryonna+Scruggs+Field+Campus+recruiter+Target" TargetMode="External"/><Relationship Id="rId232" Type="http://schemas.openxmlformats.org/officeDocument/2006/relationships/hyperlink" Target="https://www.google.com/search?newwindow=1&amp;ei=2MT0XrvGGM-vytMP1OyDgAY&amp;q=site%3Alinkedin.com+Stephanie+Phillips+University+Recruiter+Cisco" TargetMode="External"/><Relationship Id="rId474" Type="http://schemas.openxmlformats.org/officeDocument/2006/relationships/hyperlink" Target="https://www.google.com/search?newwindow=1&amp;ei=2MT0XrvGGM-vytMP1OyDgAY&amp;q=site%3Alinkedin.com+Danielle+Buchenot+University+Recruiter+Facebook" TargetMode="External"/><Relationship Id="rId1069" Type="http://schemas.openxmlformats.org/officeDocument/2006/relationships/hyperlink" Target="https://www.google.com/search?newwindow=1&amp;ei=2MT0XrvGGM-vytMP1OyDgAY&amp;q=site%3Alinkedin.com+James+P.+Muldoon+Campus+Recruiter+Target" TargetMode="External"/><Relationship Id="rId1015" Type="http://schemas.openxmlformats.org/officeDocument/2006/relationships/hyperlink" Target="https://www.google.com/search?newwindow=1&amp;ei=2MT0XrvGGM-vytMP1OyDgAY&amp;q=site%3Alinkedin.com+Juliana+Oliver+SAP+University+Recruiter+&amp;+iXp+Program+Partner+SAP+Concur" TargetMode="External"/><Relationship Id="rId1016" Type="http://schemas.openxmlformats.org/officeDocument/2006/relationships/hyperlink" Target="https://www.google.com/search?newwindow=1&amp;ei=2MT0XrvGGM-vytMP1OyDgAY&amp;q=site%3Alinkedin.com+Madison+Cooley+SAP+iXp+University+Recruiter+SAP+Concur" TargetMode="External"/><Relationship Id="rId1017" Type="http://schemas.openxmlformats.org/officeDocument/2006/relationships/hyperlink" Target="https://www.google.com/search?newwindow=1&amp;ei=2MT0XrvGGM-vytMP1OyDgAY&amp;q=site%3Alinkedin.com+Lindsay+Whitfield+University+Recruiter+SAS" TargetMode="External"/><Relationship Id="rId1018" Type="http://schemas.openxmlformats.org/officeDocument/2006/relationships/hyperlink" Target="https://www.google.com/search?newwindow=1&amp;ei=2MT0XrvGGM-vytMP1OyDgAY&amp;q=site%3Alinkedin.com+Travis+Knapp+Sr.+Associate+University+Recruiter+SAS" TargetMode="External"/><Relationship Id="rId1019" Type="http://schemas.openxmlformats.org/officeDocument/2006/relationships/hyperlink" Target="https://www.google.com/search?newwindow=1&amp;ei=2MT0XrvGGM-vytMP1OyDgAY&amp;q=site%3Alinkedin.com+Jennifer+Bufalini+Senior+Recruiter+Shell" TargetMode="External"/><Relationship Id="rId426" Type="http://schemas.openxmlformats.org/officeDocument/2006/relationships/hyperlink" Target="https://www.google.com/search?newwindow=1&amp;ei=2MT0XrvGGM-vytMP1OyDgAY&amp;q=site%3Alinkedin.com+Monica+Zeno+Campus+Recruiter+-+Senior+Associate+-+FSO+EY" TargetMode="External"/><Relationship Id="rId668" Type="http://schemas.openxmlformats.org/officeDocument/2006/relationships/hyperlink" Target="https://www.google.com/search?newwindow=1&amp;ei=2MT0XrvGGM-vytMP1OyDgAY&amp;q=site%3Alinkedin.com+Kate+Cooper+University+Relations+-+Recruiter+JPMorgan+Chase" TargetMode="External"/><Relationship Id="rId425" Type="http://schemas.openxmlformats.org/officeDocument/2006/relationships/hyperlink" Target="https://www.google.com/search?newwindow=1&amp;ei=2MT0XrvGGM-vytMP1OyDgAY&amp;q=site%3Alinkedin.com+Maricarolyn+Stith+Campus+Recruiter+EY" TargetMode="External"/><Relationship Id="rId667" Type="http://schemas.openxmlformats.org/officeDocument/2006/relationships/hyperlink" Target="https://www.google.com/search?newwindow=1&amp;ei=2MT0XrvGGM-vytMP1OyDgAY&amp;q=site%3Alinkedin.com+Michelle+Hall+Senior+Wealth+Management+Campus+Recruiter+J.P.+Morgan" TargetMode="External"/><Relationship Id="rId424" Type="http://schemas.openxmlformats.org/officeDocument/2006/relationships/hyperlink" Target="https://www.google.com/search?newwindow=1&amp;ei=2MT0XrvGGM-vytMP1OyDgAY&amp;q=site%3Alinkedin.com+Caroline+Hudnall+Campus+Recruiter+EY" TargetMode="External"/><Relationship Id="rId666" Type="http://schemas.openxmlformats.org/officeDocument/2006/relationships/hyperlink" Target="https://www.google.com/search?newwindow=1&amp;ei=2MT0XrvGGM-vytMP1OyDgAY&amp;q=site%3Alinkedin.com+Ana+Sofia+Silva+Asset+&amp;+Wealth+Management+Campus+Recruiter+J.P.+Morgan" TargetMode="External"/><Relationship Id="rId423" Type="http://schemas.openxmlformats.org/officeDocument/2006/relationships/hyperlink" Target="https://www.google.com/search?newwindow=1&amp;ei=2MT0XrvGGM-vytMP1OyDgAY&amp;q=site%3Alinkedin.com+Stephanie+Eckland+Campus+Recruiter+EY" TargetMode="External"/><Relationship Id="rId665" Type="http://schemas.openxmlformats.org/officeDocument/2006/relationships/hyperlink" Target="https://www.google.com/search?newwindow=1&amp;ei=2MT0XrvGGM-vytMP1OyDgAY&amp;q=site%3Alinkedin.com+Wanda+Mendez+Campus+Recruiter+J.P.+Morgan" TargetMode="External"/><Relationship Id="rId429" Type="http://schemas.openxmlformats.org/officeDocument/2006/relationships/hyperlink" Target="https://www.google.com/search?newwindow=1&amp;ei=2MT0XrvGGM-vytMP1OyDgAY&amp;q=site%3Alinkedin.com+Britt+Stacy+Campus+Recruiter+EY" TargetMode="External"/><Relationship Id="rId428" Type="http://schemas.openxmlformats.org/officeDocument/2006/relationships/hyperlink" Target="https://www.google.com/search?newwindow=1&amp;ei=2MT0XrvGGM-vytMP1OyDgAY&amp;q=site%3Alinkedin.com+Crystal+Hill+Campus+Recruiter+EY" TargetMode="External"/><Relationship Id="rId427" Type="http://schemas.openxmlformats.org/officeDocument/2006/relationships/hyperlink" Target="https://www.google.com/search?newwindow=1&amp;ei=2MT0XrvGGM-vytMP1OyDgAY&amp;q=site%3Alinkedin.com+Hannah+Daluga+Campus+Recruiter+EY" TargetMode="External"/><Relationship Id="rId669" Type="http://schemas.openxmlformats.org/officeDocument/2006/relationships/hyperlink" Target="https://www.google.com/search?newwindow=1&amp;ei=2MT0XrvGGM-vytMP1OyDgAY&amp;q=site%3Alinkedin.com+Giselle+Abreu+Associate+Campus+Recruiter+JPMorgan+Chase+&amp;+Co." TargetMode="External"/><Relationship Id="rId660" Type="http://schemas.openxmlformats.org/officeDocument/2006/relationships/hyperlink" Target="https://www.google.com/search?newwindow=1&amp;ei=2MT0XrvGGM-vytMP1OyDgAY&amp;q=site%3Alinkedin.com+Megan+Osterberg+University+Relations+Recruiter+John+Deere" TargetMode="External"/><Relationship Id="rId1010" Type="http://schemas.openxmlformats.org/officeDocument/2006/relationships/hyperlink" Target="https://www.google.com/search?newwindow=1&amp;ei=2MT0XrvGGM-vytMP1OyDgAY&amp;q=site%3Alinkedin.com+Eric+Mata+University+Recruiter+Sanofi" TargetMode="External"/><Relationship Id="rId422" Type="http://schemas.openxmlformats.org/officeDocument/2006/relationships/hyperlink" Target="https://www.google.com/search?newwindow=1&amp;ei=2MT0XrvGGM-vytMP1OyDgAY&amp;q=site%3Alinkedin.com+Lindsay+Sadler+West+Region+Campus+Recruiter+EY" TargetMode="External"/><Relationship Id="rId664" Type="http://schemas.openxmlformats.org/officeDocument/2006/relationships/hyperlink" Target="https://www.google.com/search?newwindow=1&amp;ei=2MT0XrvGGM-vytMP1OyDgAY&amp;q=site%3Alinkedin.com+Elizabeth+Naylor+Campus+Recruiting+&amp;+Analyst+Program+Manager+J.P.+Morgan" TargetMode="External"/><Relationship Id="rId1011" Type="http://schemas.openxmlformats.org/officeDocument/2006/relationships/hyperlink" Target="https://www.google.com/search?newwindow=1&amp;ei=2MT0XrvGGM-vytMP1OyDgAY&amp;q=site%3Alinkedin.com+Jennifer+Bassett-Abel+University+Recruiter+Sanofi" TargetMode="External"/><Relationship Id="rId421" Type="http://schemas.openxmlformats.org/officeDocument/2006/relationships/hyperlink" Target="https://www.google.com/search?newwindow=1&amp;ei=2MT0XrvGGM-vytMP1OyDgAY&amp;q=site%3Alinkedin.com+Valerie+King+Campus+Recruiter+EY" TargetMode="External"/><Relationship Id="rId663" Type="http://schemas.openxmlformats.org/officeDocument/2006/relationships/hyperlink" Target="https://www.google.com/search?newwindow=1&amp;ei=2MT0XrvGGM-vytMP1OyDgAY&amp;q=site%3Alinkedin.com+Chelsea+Manowczak+Campus+Recruiter+J.P.+Morgan" TargetMode="External"/><Relationship Id="rId1012" Type="http://schemas.openxmlformats.org/officeDocument/2006/relationships/hyperlink" Target="https://www.google.com/search?newwindow=1&amp;ei=2MT0XrvGGM-vytMP1OyDgAY&amp;q=site%3Alinkedin.com+Jermel+Green+University+Recruiter+SAP" TargetMode="External"/><Relationship Id="rId420" Type="http://schemas.openxmlformats.org/officeDocument/2006/relationships/hyperlink" Target="https://www.google.com/search?newwindow=1&amp;ei=2MT0XrvGGM-vytMP1OyDgAY&amp;q=site%3Alinkedin.com+Morgan+Liss+FSO+Assurance+Campus+Recruiter+EY" TargetMode="External"/><Relationship Id="rId662" Type="http://schemas.openxmlformats.org/officeDocument/2006/relationships/hyperlink" Target="https://www.google.com/search?newwindow=1&amp;ei=2MT0XrvGGM-vytMP1OyDgAY&amp;q=site%3Alinkedin.com+Danielle+Sims+University+Recruiter+via+Kelly+OCG+Johnson+&amp;+Johnson" TargetMode="External"/><Relationship Id="rId1013" Type="http://schemas.openxmlformats.org/officeDocument/2006/relationships/hyperlink" Target="https://www.google.com/search?newwindow=1&amp;ei=2MT0XrvGGM-vytMP1OyDgAY&amp;q=site%3Alinkedin.com+Brianne+Sullivan+University+&amp;+Diversity+Recruiter+SAP" TargetMode="External"/><Relationship Id="rId661" Type="http://schemas.openxmlformats.org/officeDocument/2006/relationships/hyperlink" Target="https://www.google.com/search?newwindow=1&amp;ei=2MT0XrvGGM-vytMP1OyDgAY&amp;q=site%3Alinkedin.com+Theresa+Edwards+University+Recruiter+Johnson+&amp;+Johnson" TargetMode="External"/><Relationship Id="rId1014" Type="http://schemas.openxmlformats.org/officeDocument/2006/relationships/hyperlink" Target="https://www.google.com/search?newwindow=1&amp;ei=2MT0XrvGGM-vytMP1OyDgAY&amp;q=site%3Alinkedin.com+Leigh+Desai+University+Recruiter+SAP+Concur" TargetMode="External"/><Relationship Id="rId1004" Type="http://schemas.openxmlformats.org/officeDocument/2006/relationships/hyperlink" Target="https://www.google.com/search?newwindow=1&amp;ei=2MT0XrvGGM-vytMP1OyDgAY&amp;q=site%3Alinkedin.com+Sean+Callahan-Dinish+Senior+University+Recruiter+Salesforce" TargetMode="External"/><Relationship Id="rId1005" Type="http://schemas.openxmlformats.org/officeDocument/2006/relationships/hyperlink" Target="https://www.google.com/search?newwindow=1&amp;ei=2MT0XrvGGM-vytMP1OyDgAY&amp;q=site%3Alinkedin.com+Bobby+Nerbonne+University+Recruiter+(Futureforce)+Salesforce" TargetMode="External"/><Relationship Id="rId1006" Type="http://schemas.openxmlformats.org/officeDocument/2006/relationships/hyperlink" Target="https://www.google.com/search?newwindow=1&amp;ei=2MT0XrvGGM-vytMP1OyDgAY&amp;q=site%3Alinkedin.com+Katherine+Schwartz+Farah+Senior+Recruiter+Salesforce" TargetMode="External"/><Relationship Id="rId1007" Type="http://schemas.openxmlformats.org/officeDocument/2006/relationships/hyperlink" Target="https://www.google.com/search?newwindow=1&amp;ei=2MT0XrvGGM-vytMP1OyDgAY&amp;q=site%3Alinkedin.com+Emily+Shockley+Senior+University+Recruiter+Salesforce" TargetMode="External"/><Relationship Id="rId1008" Type="http://schemas.openxmlformats.org/officeDocument/2006/relationships/hyperlink" Target="https://www.google.com/search?newwindow=1&amp;ei=2MT0XrvGGM-vytMP1OyDgAY&amp;q=site%3Alinkedin.com+Stacy+Schall+Senior+University+Recruiter+-+Futureforce+Salesforce" TargetMode="External"/><Relationship Id="rId1009" Type="http://schemas.openxmlformats.org/officeDocument/2006/relationships/hyperlink" Target="https://www.google.com/search?newwindow=1&amp;ei=2MT0XrvGGM-vytMP1OyDgAY&amp;q=site%3Alinkedin.com+Molly+M.+Holt+University+Recruiter+(Talent+Scout)+-+Futureforce+Salesforce" TargetMode="External"/><Relationship Id="rId415" Type="http://schemas.openxmlformats.org/officeDocument/2006/relationships/hyperlink" Target="https://www.google.com/search?newwindow=1&amp;ei=2MT0XrvGGM-vytMP1OyDgAY&amp;q=site%3Alinkedin.com+Kati+Lavarias+Campus+Recruiter+EY" TargetMode="External"/><Relationship Id="rId657" Type="http://schemas.openxmlformats.org/officeDocument/2006/relationships/hyperlink" Target="https://www.google.com/search?newwindow=1&amp;ei=2MT0XrvGGM-vytMP1OyDgAY&amp;q=site%3Alinkedin.com+Krista+Corsentino+Talent+Solutions+-+Intuit+University+Talent+Acquisition+Manager+Intuit" TargetMode="External"/><Relationship Id="rId899" Type="http://schemas.openxmlformats.org/officeDocument/2006/relationships/hyperlink" Target="https://www.google.com/search?newwindow=1&amp;ei=2MT0XrvGGM-vytMP1OyDgAY&amp;q=site%3Alinkedin.com+Samantha+Birkel+College+Recruiter+Oracle" TargetMode="External"/><Relationship Id="rId414" Type="http://schemas.openxmlformats.org/officeDocument/2006/relationships/hyperlink" Target="https://www.google.com/search?newwindow=1&amp;ei=2MT0XrvGGM-vytMP1OyDgAY&amp;q=site%3Alinkedin.com+Hannah+Bergoon+Campus+Recruiter+EY" TargetMode="External"/><Relationship Id="rId656" Type="http://schemas.openxmlformats.org/officeDocument/2006/relationships/hyperlink" Target="https://www.google.com/search?newwindow=1&amp;ei=2MT0XrvGGM-vytMP1OyDgAY&amp;q=site%3Alinkedin.com+Kacie+Kaneyuki+University+Recruiter:+Technology+Intuit" TargetMode="External"/><Relationship Id="rId898" Type="http://schemas.openxmlformats.org/officeDocument/2006/relationships/hyperlink" Target="https://www.google.com/search?newwindow=1&amp;ei=2MT0XrvGGM-vytMP1OyDgAY&amp;q=site%3Alinkedin.com+Christian+Golofaro+Campus+Recruiter+Oracle" TargetMode="External"/><Relationship Id="rId413" Type="http://schemas.openxmlformats.org/officeDocument/2006/relationships/hyperlink" Target="https://www.google.com/search?newwindow=1&amp;ei=2MT0XrvGGM-vytMP1OyDgAY&amp;q=site%3Alinkedin.com+Maddie+Castro+Campus+Recruiter+EY" TargetMode="External"/><Relationship Id="rId655" Type="http://schemas.openxmlformats.org/officeDocument/2006/relationships/hyperlink" Target="https://www.google.com/search?newwindow=1&amp;ei=2MT0XrvGGM-vytMP1OyDgAY&amp;q=site%3Alinkedin.com+Lindsay+Birtcil+University+Recruiter+Intuit" TargetMode="External"/><Relationship Id="rId897" Type="http://schemas.openxmlformats.org/officeDocument/2006/relationships/hyperlink" Target="https://www.google.com/search?newwindow=1&amp;ei=2MT0XrvGGM-vytMP1OyDgAY&amp;q=site%3Alinkedin.com+Michelle+Bilodeau+College+Recruiter+Oracle" TargetMode="External"/><Relationship Id="rId412" Type="http://schemas.openxmlformats.org/officeDocument/2006/relationships/hyperlink" Target="https://www.google.com/search?newwindow=1&amp;ei=2MT0XrvGGM-vytMP1OyDgAY&amp;q=site%3Alinkedin.com+Katie+Caraboa+Campus+Recruiter+EY" TargetMode="External"/><Relationship Id="rId654" Type="http://schemas.openxmlformats.org/officeDocument/2006/relationships/hyperlink" Target="https://www.google.com/search?newwindow=1&amp;ei=2MT0XrvGGM-vytMP1OyDgAY&amp;q=site%3Alinkedin.com+Ailina+Heim+Senior+University+Recruiter+Intuit" TargetMode="External"/><Relationship Id="rId896" Type="http://schemas.openxmlformats.org/officeDocument/2006/relationships/hyperlink" Target="https://www.google.com/search?newwindow=1&amp;ei=2MT0XrvGGM-vytMP1OyDgAY&amp;q=site%3Alinkedin.com+Ali+Brooks+Senior+College+Recruiter+Oracle" TargetMode="External"/><Relationship Id="rId419" Type="http://schemas.openxmlformats.org/officeDocument/2006/relationships/hyperlink" Target="https://www.google.com/search?newwindow=1&amp;ei=2MT0XrvGGM-vytMP1OyDgAY&amp;q=site%3Alinkedin.com+Paige+Leininger+Campus+Recruiter+EY" TargetMode="External"/><Relationship Id="rId418" Type="http://schemas.openxmlformats.org/officeDocument/2006/relationships/hyperlink" Target="https://www.google.com/search?newwindow=1&amp;ei=2MT0XrvGGM-vytMP1OyDgAY&amp;q=site%3Alinkedin.com+Jennifer+Bidlingmaier+Campus+Recruiter+EY" TargetMode="External"/><Relationship Id="rId417" Type="http://schemas.openxmlformats.org/officeDocument/2006/relationships/hyperlink" Target="https://www.google.com/search?newwindow=1&amp;ei=2MT0XrvGGM-vytMP1OyDgAY&amp;q=site%3Alinkedin.com+Lauren+Lilly+Campus+Recruiter+EY" TargetMode="External"/><Relationship Id="rId659" Type="http://schemas.openxmlformats.org/officeDocument/2006/relationships/hyperlink" Target="https://www.google.com/search?newwindow=1&amp;ei=2MT0XrvGGM-vytMP1OyDgAY&amp;q=site%3Alinkedin.com+Mary+Ann+Lindsay+Retired+University+Relations+Recruiter+John+Deere" TargetMode="External"/><Relationship Id="rId416" Type="http://schemas.openxmlformats.org/officeDocument/2006/relationships/hyperlink" Target="https://www.google.com/search?newwindow=1&amp;ei=2MT0XrvGGM-vytMP1OyDgAY&amp;q=site%3Alinkedin.com+Rachel+Kessler+Campus+Recruiter+EY" TargetMode="External"/><Relationship Id="rId658" Type="http://schemas.openxmlformats.org/officeDocument/2006/relationships/hyperlink" Target="https://www.google.com/search?newwindow=1&amp;ei=2MT0XrvGGM-vytMP1OyDgAY&amp;q=site%3Alinkedin.com+Liz+Kutzman+University+Relations+Recruiter+John+Deere" TargetMode="External"/><Relationship Id="rId891" Type="http://schemas.openxmlformats.org/officeDocument/2006/relationships/hyperlink" Target="https://www.google.com/search?newwindow=1&amp;ei=2MT0XrvGGM-vytMP1OyDgAY&amp;q=site%3Alinkedin.com+Johanna+Lambert+Senior+Campus+Recruiter+Oliver+Wyman" TargetMode="External"/><Relationship Id="rId890" Type="http://schemas.openxmlformats.org/officeDocument/2006/relationships/hyperlink" Target="https://www.google.com/search?newwindow=1&amp;ei=2MT0XrvGGM-vytMP1OyDgAY&amp;q=site%3Alinkedin.com+Jamie+Lockwood+University+Recruiter+NVIDIA" TargetMode="External"/><Relationship Id="rId411" Type="http://schemas.openxmlformats.org/officeDocument/2006/relationships/hyperlink" Target="https://www.google.com/search?newwindow=1&amp;ei=2MT0XrvGGM-vytMP1OyDgAY&amp;q=site%3Alinkedin.com+Addison+(Goodwin)+Wilkie+Consulting+Campus+Recruiter+EY" TargetMode="External"/><Relationship Id="rId653" Type="http://schemas.openxmlformats.org/officeDocument/2006/relationships/hyperlink" Target="https://www.google.com/search?newwindow=1&amp;ei=2MT0XrvGGM-vytMP1OyDgAY&amp;q=site%3Alinkedin.com+Cindy+Ng+University+Recruiter+Intuit" TargetMode="External"/><Relationship Id="rId895" Type="http://schemas.openxmlformats.org/officeDocument/2006/relationships/hyperlink" Target="https://www.google.com/search?newwindow=1&amp;ei=2MT0XrvGGM-vytMP1OyDgAY&amp;q=site%3Alinkedin.com+Andrea+Kelley+Campus+Recruiter+Oracle" TargetMode="External"/><Relationship Id="rId1000" Type="http://schemas.openxmlformats.org/officeDocument/2006/relationships/hyperlink" Target="https://www.google.com/search?newwindow=1&amp;ei=2MT0XrvGGM-vytMP1OyDgAY&amp;q=site%3Alinkedin.com+Meera+Desai+Senior+Campus+Recruiter+RSM+US+LLP" TargetMode="External"/><Relationship Id="rId410" Type="http://schemas.openxmlformats.org/officeDocument/2006/relationships/hyperlink" Target="https://www.google.com/search?newwindow=1&amp;ei=2MT0XrvGGM-vytMP1OyDgAY&amp;q=site%3Alinkedin.com+Ashley+Redmond+Campus+Referral+Recruiter+EY" TargetMode="External"/><Relationship Id="rId652" Type="http://schemas.openxmlformats.org/officeDocument/2006/relationships/hyperlink" Target="https://www.google.com/search?newwindow=1&amp;ei=2MT0XrvGGM-vytMP1OyDgAY&amp;q=site%3Alinkedin.com+Elizabeth+Klak+University+Recruiter+Intuit" TargetMode="External"/><Relationship Id="rId894" Type="http://schemas.openxmlformats.org/officeDocument/2006/relationships/hyperlink" Target="https://www.google.com/search?newwindow=1&amp;ei=2MT0XrvGGM-vytMP1OyDgAY&amp;q=site%3Alinkedin.com+Roxy+Wolfe+Campus+Recruiter+Oracle" TargetMode="External"/><Relationship Id="rId1001" Type="http://schemas.openxmlformats.org/officeDocument/2006/relationships/hyperlink" Target="https://www.google.com/search?newwindow=1&amp;ei=2MT0XrvGGM-vytMP1OyDgAY&amp;q=site%3Alinkedin.com+Vivian+Chen+Senior+Campus+Recruiter+-+Audit+&amp;+Tax+RSM+US+LLP" TargetMode="External"/><Relationship Id="rId651" Type="http://schemas.openxmlformats.org/officeDocument/2006/relationships/hyperlink" Target="https://www.google.com/search?newwindow=1&amp;ei=2MT0XrvGGM-vytMP1OyDgAY&amp;q=site%3Alinkedin.com+Eric+Pfeiffer+University+Recruiter+Intuit" TargetMode="External"/><Relationship Id="rId893" Type="http://schemas.openxmlformats.org/officeDocument/2006/relationships/hyperlink" Target="https://www.google.com/search?newwindow=1&amp;ei=2MT0XrvGGM-vytMP1OyDgAY&amp;q=site%3Alinkedin.com+Lia+Pizoli+College+Recruiter+Oracle" TargetMode="External"/><Relationship Id="rId1002" Type="http://schemas.openxmlformats.org/officeDocument/2006/relationships/hyperlink" Target="https://www.google.com/search?newwindow=1&amp;ei=2MT0XrvGGM-vytMP1OyDgAY&amp;q=site%3Alinkedin.com+Nicolo+Enriquez+Campus+Recruiter+RSM+US+LLP" TargetMode="External"/><Relationship Id="rId650" Type="http://schemas.openxmlformats.org/officeDocument/2006/relationships/hyperlink" Target="https://www.google.com/search?newwindow=1&amp;ei=2MT0XrvGGM-vytMP1OyDgAY&amp;q=site%3Alinkedin.com+Mac+Carpenter+University+Recruiter+Intuit" TargetMode="External"/><Relationship Id="rId892" Type="http://schemas.openxmlformats.org/officeDocument/2006/relationships/hyperlink" Target="https://www.google.com/search?newwindow=1&amp;ei=2MT0XrvGGM-vytMP1OyDgAY&amp;q=site%3Alinkedin.com+Tori+Tanner+Campus+Recruiter+Oliver+Wyman" TargetMode="External"/><Relationship Id="rId1003" Type="http://schemas.openxmlformats.org/officeDocument/2006/relationships/hyperlink" Target="https://www.google.com/search?newwindow=1&amp;ei=2MT0XrvGGM-vytMP1OyDgAY&amp;q=site%3Alinkedin.com+Alexandra+Shillinglaw+Senior+Campus+Recruiter+RSM+US+LLP" TargetMode="External"/><Relationship Id="rId1037" Type="http://schemas.openxmlformats.org/officeDocument/2006/relationships/hyperlink" Target="https://www.google.com/search?newwindow=1&amp;ei=2MT0XrvGGM-vytMP1OyDgAY&amp;q=site%3Alinkedin.com+Chris+Cook+University+Recruiter+Stryker" TargetMode="External"/><Relationship Id="rId1038" Type="http://schemas.openxmlformats.org/officeDocument/2006/relationships/hyperlink" Target="https://www.google.com/search?newwindow=1&amp;ei=2MT0XrvGGM-vytMP1OyDgAY&amp;q=site%3Alinkedin.com+Ashley+Bothman+Sr.+University+Recruiter+Stryker" TargetMode="External"/><Relationship Id="rId1039" Type="http://schemas.openxmlformats.org/officeDocument/2006/relationships/hyperlink" Target="https://www.google.com/search?newwindow=1&amp;ei=2MT0XrvGGM-vytMP1OyDgAY&amp;q=site%3Alinkedin.com+Calli+Conti+Senior+Recruiter+Stryker+Corporation" TargetMode="External"/><Relationship Id="rId206" Type="http://schemas.openxmlformats.org/officeDocument/2006/relationships/hyperlink" Target="https://www.google.com/search?newwindow=1&amp;ei=2MT0XrvGGM-vytMP1OyDgAY&amp;q=site%3Alinkedin.com+Anthony+Jimenez+Tech+Recruiter+-+Campus+Recruiting+Capital+One" TargetMode="External"/><Relationship Id="rId448" Type="http://schemas.openxmlformats.org/officeDocument/2006/relationships/hyperlink" Target="https://www.google.com/search?newwindow=1&amp;ei=2MT0XrvGGM-vytMP1OyDgAY&amp;q=site%3Alinkedin.com+MaryBeth+Allen+Campus+Recruiter+EY" TargetMode="External"/><Relationship Id="rId205" Type="http://schemas.openxmlformats.org/officeDocument/2006/relationships/hyperlink" Target="https://www.google.com/search?newwindow=1&amp;ei=2MT0XrvGGM-vytMP1OyDgAY&amp;q=site%3Alinkedin.com+Hayley+(Ford)+Nainani+Campus+Recruiting+Manager+Capital+One" TargetMode="External"/><Relationship Id="rId447" Type="http://schemas.openxmlformats.org/officeDocument/2006/relationships/hyperlink" Target="https://www.google.com/search?newwindow=1&amp;ei=2MT0XrvGGM-vytMP1OyDgAY&amp;q=site%3Alinkedin.com+Alex+Swit+Campus+Recruiter+EY" TargetMode="External"/><Relationship Id="rId689" Type="http://schemas.openxmlformats.org/officeDocument/2006/relationships/hyperlink" Target="https://www.google.com/search?newwindow=1&amp;ei=2MT0XrvGGM-vytMP1OyDgAY&amp;q=site%3Alinkedin.com+Brooke+Weber+Campus+Recruiter+KeyBank" TargetMode="External"/><Relationship Id="rId204" Type="http://schemas.openxmlformats.org/officeDocument/2006/relationships/hyperlink" Target="https://www.google.com/search?newwindow=1&amp;ei=2MT0XrvGGM-vytMP1OyDgAY&amp;q=site%3Alinkedin.com+Kelsey+Indorf+Campus+Recruiting+Senior+Manager+Capital+One" TargetMode="External"/><Relationship Id="rId446" Type="http://schemas.openxmlformats.org/officeDocument/2006/relationships/hyperlink" Target="https://www.google.com/search?newwindow=1&amp;ei=2MT0XrvGGM-vytMP1OyDgAY&amp;q=site%3Alinkedin.com+Bryan+Ferretti+Campus+Recruiter+EY" TargetMode="External"/><Relationship Id="rId688" Type="http://schemas.openxmlformats.org/officeDocument/2006/relationships/hyperlink" Target="https://www.google.com/search?newwindow=1&amp;ei=2MT0XrvGGM-vytMP1OyDgAY&amp;q=site%3Alinkedin.com+Sheila+Byrne+Campus+Recruiter+KeyBank" TargetMode="External"/><Relationship Id="rId203" Type="http://schemas.openxmlformats.org/officeDocument/2006/relationships/hyperlink" Target="https://www.google.com/search?newwindow=1&amp;ei=2MT0XrvGGM-vytMP1OyDgAY&amp;q=site%3Alinkedin.com+Monica+Diocades+Campus+Recruiter+Capital+One" TargetMode="External"/><Relationship Id="rId445" Type="http://schemas.openxmlformats.org/officeDocument/2006/relationships/hyperlink" Target="https://www.google.com/search?newwindow=1&amp;ei=2MT0XrvGGM-vytMP1OyDgAY&amp;q=site%3Alinkedin.com+Mary+Bongart+Campus+Recruiter+EY" TargetMode="External"/><Relationship Id="rId687" Type="http://schemas.openxmlformats.org/officeDocument/2006/relationships/hyperlink" Target="https://www.google.com/search?newwindow=1&amp;ei=2MT0XrvGGM-vytMP1OyDgAY&amp;q=site%3Alinkedin.com+Andrea+Cole+Campus+Recruiter+KeyBank" TargetMode="External"/><Relationship Id="rId209" Type="http://schemas.openxmlformats.org/officeDocument/2006/relationships/hyperlink" Target="https://www.google.com/search?newwindow=1&amp;ei=2MT0XrvGGM-vytMP1OyDgAY&amp;q=site%3Alinkedin.com+Arielle+Singleton+Campus+Recruiter+Capital+One" TargetMode="External"/><Relationship Id="rId208" Type="http://schemas.openxmlformats.org/officeDocument/2006/relationships/hyperlink" Target="https://www.google.com/search?newwindow=1&amp;ei=2MT0XrvGGM-vytMP1OyDgAY&amp;q=site%3Alinkedin.com+Nyla+Walker+Senior+Diversity+&amp;+Inclusion+Campus+Recruiter+Capital+One" TargetMode="External"/><Relationship Id="rId207" Type="http://schemas.openxmlformats.org/officeDocument/2006/relationships/hyperlink" Target="https://www.google.com/search?newwindow=1&amp;ei=2MT0XrvGGM-vytMP1OyDgAY&amp;q=site%3Alinkedin.com+Alan+Ward+(he/him)+Campus+Recruiter+-+Enterprise+Programs+Capital+One" TargetMode="External"/><Relationship Id="rId449" Type="http://schemas.openxmlformats.org/officeDocument/2006/relationships/hyperlink" Target="https://www.google.com/search?newwindow=1&amp;ei=2MT0XrvGGM-vytMP1OyDgAY&amp;q=site%3Alinkedin.com+Jordan+Gaunt+Campus+Recruiter+Senior+Associate+EY" TargetMode="External"/><Relationship Id="rId440" Type="http://schemas.openxmlformats.org/officeDocument/2006/relationships/hyperlink" Target="https://www.google.com/search?newwindow=1&amp;ei=2MT0XrvGGM-vytMP1OyDgAY&amp;q=site%3Alinkedin.com+Ashley+Lee+Campus+Recruiter+EY" TargetMode="External"/><Relationship Id="rId682" Type="http://schemas.openxmlformats.org/officeDocument/2006/relationships/hyperlink" Target="https://www.google.com/search?newwindow=1&amp;ei=2MT0XrvGGM-vytMP1OyDgAY&amp;q=site%3Alinkedin.com+Talehia+Traverso+Campus+Recruiter+for+Global+Finance+&amp;+Business+Management+Internship+Program+JPMorgan+Chase+&amp;+Co." TargetMode="External"/><Relationship Id="rId681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1030" Type="http://schemas.openxmlformats.org/officeDocument/2006/relationships/hyperlink" Target="https://www.google.com/search?newwindow=1&amp;ei=2MT0XrvGGM-vytMP1OyDgAY&amp;q=site%3Alinkedin.com+Amy+L.+Talent+Acquisition-+Lead+Campus+Recruiter+Steelcase" TargetMode="External"/><Relationship Id="rId680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1031" Type="http://schemas.openxmlformats.org/officeDocument/2006/relationships/hyperlink" Target="https://www.google.com/search?newwindow=1&amp;ei=2MT0XrvGGM-vytMP1OyDgAY&amp;q=site%3Alinkedin.com+Malissa+Moore+Campus+Recruiter+Steelcase" TargetMode="External"/><Relationship Id="rId1032" Type="http://schemas.openxmlformats.org/officeDocument/2006/relationships/hyperlink" Target="https://www.google.com/search?newwindow=1&amp;ei=2MT0XrvGGM-vytMP1OyDgAY&amp;q=site%3Alinkedin.com+Lauren+Williams+University+Recruiter+Stripe" TargetMode="External"/><Relationship Id="rId202" Type="http://schemas.openxmlformats.org/officeDocument/2006/relationships/hyperlink" Target="https://www.google.com/search?newwindow=1&amp;ei=2MT0XrvGGM-vytMP1OyDgAY&amp;q=site%3Alinkedin.com+Addison+Leftwich+Campus+Recruiter+Capital+One" TargetMode="External"/><Relationship Id="rId444" Type="http://schemas.openxmlformats.org/officeDocument/2006/relationships/hyperlink" Target="https://www.google.com/search?newwindow=1&amp;ei=2MT0XrvGGM-vytMP1OyDgAY&amp;q=site%3Alinkedin.com+Katie+F.+Consulting+Campus+Recruiter+EY" TargetMode="External"/><Relationship Id="rId686" Type="http://schemas.openxmlformats.org/officeDocument/2006/relationships/hyperlink" Target="https://www.google.com/search?newwindow=1&amp;ei=2MT0XrvGGM-vytMP1OyDgAY&amp;q=site%3Alinkedin.com+Megan+Lallo+Campus+&amp;+Diversity+Recruiting+Manager+KeyBank" TargetMode="External"/><Relationship Id="rId1033" Type="http://schemas.openxmlformats.org/officeDocument/2006/relationships/hyperlink" Target="https://www.google.com/search?newwindow=1&amp;ei=2MT0XrvGGM-vytMP1OyDgAY&amp;q=site%3Alinkedin.com+Amy+Hassan+University+Recruiter+Stripe" TargetMode="External"/><Relationship Id="rId201" Type="http://schemas.openxmlformats.org/officeDocument/2006/relationships/hyperlink" Target="https://www.google.com/search?newwindow=1&amp;ei=2MT0XrvGGM-vytMP1OyDgAY&amp;q=site%3Alinkedin.com+Sarah+Bigelow+Campus+Recruiter+Capital+One" TargetMode="External"/><Relationship Id="rId443" Type="http://schemas.openxmlformats.org/officeDocument/2006/relationships/hyperlink" Target="https://www.google.com/search?newwindow=1&amp;ei=2MT0XrvGGM-vytMP1OyDgAY&amp;q=site%3Alinkedin.com+Joseph+Wehle+Campus+Recruiter+EY" TargetMode="External"/><Relationship Id="rId685" Type="http://schemas.openxmlformats.org/officeDocument/2006/relationships/hyperlink" Target="https://www.google.com/search?newwindow=1&amp;ei=2MT0XrvGGM-vytMP1OyDgAY&amp;q=site%3Alinkedin.com+Michael+Pedroza+Senior+Associate+-+Campus+Recruiter+-+HR+and+Internal+Audit+JPMorgan+Chase+&amp;+Co." TargetMode="External"/><Relationship Id="rId1034" Type="http://schemas.openxmlformats.org/officeDocument/2006/relationships/hyperlink" Target="https://www.google.com/search?newwindow=1&amp;ei=2MT0XrvGGM-vytMP1OyDgAY&amp;q=site%3Alinkedin.com+Eil%C3%ADs+Kennedy+Technical+Recruiter+(University)+-+North+America+Stripe" TargetMode="External"/><Relationship Id="rId200" Type="http://schemas.openxmlformats.org/officeDocument/2006/relationships/hyperlink" Target="https://www.google.com/search?newwindow=1&amp;ei=2MT0XrvGGM-vytMP1OyDgAY&amp;q=site%3Alinkedin.com+Mary+Kate+Duncan+Campus+Recruiter+Capital+One" TargetMode="External"/><Relationship Id="rId442" Type="http://schemas.openxmlformats.org/officeDocument/2006/relationships/hyperlink" Target="https://www.google.com/search?newwindow=1&amp;ei=2MT0XrvGGM-vytMP1OyDgAY&amp;q=site%3Alinkedin.com+Chelsea+Vena+MBA+Campus+Recruiter+-+Senior+Associate+EY" TargetMode="External"/><Relationship Id="rId684" Type="http://schemas.openxmlformats.org/officeDocument/2006/relationships/hyperlink" Target="https://www.google.com/search?newwindow=1&amp;ei=2MT0XrvGGM-vytMP1OyDgAY&amp;q=site%3Alinkedin.com+Luisa+Alona+Campus+Recruiter+JPMorgan+Chase+&amp;+Co." TargetMode="External"/><Relationship Id="rId1035" Type="http://schemas.openxmlformats.org/officeDocument/2006/relationships/hyperlink" Target="https://www.google.com/search?newwindow=1&amp;ei=2MT0XrvGGM-vytMP1OyDgAY&amp;q=site%3Alinkedin.com+Amy+Meckes+University+Sales+Recruiter+Stryker" TargetMode="External"/><Relationship Id="rId441" Type="http://schemas.openxmlformats.org/officeDocument/2006/relationships/hyperlink" Target="https://www.google.com/search?newwindow=1&amp;ei=2MT0XrvGGM-vytMP1OyDgAY&amp;q=site%3Alinkedin.com+Abigail+Morgan+Campus+Recruiter+-+Talent+Attraction+&amp;+Acquisition+-+Senior+Associate+EY" TargetMode="External"/><Relationship Id="rId683" Type="http://schemas.openxmlformats.org/officeDocument/2006/relationships/hyperlink" Target="https://www.google.com/search?newwindow=1&amp;ei=2MT0XrvGGM-vytMP1OyDgAY&amp;q=site%3Alinkedin.com+Charlie+Matthews+Campus+Recruiter+JPMorgan+Chase+&amp;+Co." TargetMode="External"/><Relationship Id="rId1036" Type="http://schemas.openxmlformats.org/officeDocument/2006/relationships/hyperlink" Target="https://www.google.com/search?newwindow=1&amp;ei=2MT0XrvGGM-vytMP1OyDgAY&amp;q=site%3Alinkedin.com+Danielle+Iacobelli+Senior+University+Recruiter+Stryker" TargetMode="External"/><Relationship Id="rId1026" Type="http://schemas.openxmlformats.org/officeDocument/2006/relationships/hyperlink" Target="https://www.google.com/search?newwindow=1&amp;ei=2MT0XrvGGM-vytMP1OyDgAY&amp;q=site%3Alinkedin.com+Cooper+Kennard+College+Recruiter+State+Farm" TargetMode="External"/><Relationship Id="rId1027" Type="http://schemas.openxmlformats.org/officeDocument/2006/relationships/hyperlink" Target="https://www.google.com/search?newwindow=1&amp;ei=2MT0XrvGGM-vytMP1OyDgAY&amp;q=site%3Alinkedin.com+Cody+Walls+Information+Technology+Recruiter+-+University+of+Georgia+State+Farm+%C2%AE" TargetMode="External"/><Relationship Id="rId1028" Type="http://schemas.openxmlformats.org/officeDocument/2006/relationships/hyperlink" Target="https://www.google.com/search?newwindow=1&amp;ei=2MT0XrvGGM-vytMP1OyDgAY&amp;q=site%3Alinkedin.com+Alexander+Kahn+NAU+College+Recruiter+State+Farm+%C2%AE" TargetMode="External"/><Relationship Id="rId1029" Type="http://schemas.openxmlformats.org/officeDocument/2006/relationships/hyperlink" Target="https://www.google.com/search?newwindow=1&amp;ei=2MT0XrvGGM-vytMP1OyDgAY&amp;q=site%3Alinkedin.com+Sydney+Gayton+Campus+Recruiter+&amp;+HR+Coordinator+Steelcase" TargetMode="External"/><Relationship Id="rId437" Type="http://schemas.openxmlformats.org/officeDocument/2006/relationships/hyperlink" Target="https://www.google.com/search?newwindow=1&amp;ei=2MT0XrvGGM-vytMP1OyDgAY&amp;q=site%3Alinkedin.com+Ami+Takahashi+Campus+Recruiter+EY" TargetMode="External"/><Relationship Id="rId679" Type="http://schemas.openxmlformats.org/officeDocument/2006/relationships/hyperlink" Target="https://www.google.com/search?newwindow=1&amp;ei=2MT0XrvGGM-vytMP1OyDgAY&amp;q=site%3Alinkedin.com+Sarah+Abt+Campus+Recruiting+Manager+JPMorgan+Chase+&amp;+Co." TargetMode="External"/><Relationship Id="rId436" Type="http://schemas.openxmlformats.org/officeDocument/2006/relationships/hyperlink" Target="https://www.google.com/search?newwindow=1&amp;ei=2MT0XrvGGM-vytMP1OyDgAY&amp;q=site%3Alinkedin.com+Drew+Ford+Campus+Recruiter+EY" TargetMode="External"/><Relationship Id="rId678" Type="http://schemas.openxmlformats.org/officeDocument/2006/relationships/hyperlink" Target="https://www.google.com/search?newwindow=1&amp;ei=2MT0XrvGGM-vytMP1OyDgAY&amp;q=site%3Alinkedin.com+Dana+Deats+Campus+Recruiter+JPMorgan+Chase+&amp;+Co." TargetMode="External"/><Relationship Id="rId435" Type="http://schemas.openxmlformats.org/officeDocument/2006/relationships/hyperlink" Target="https://www.google.com/search?newwindow=1&amp;ei=2MT0XrvGGM-vytMP1OyDgAY&amp;q=site%3Alinkedin.com+Thomas+S.+Campus+Recruiter+EY" TargetMode="External"/><Relationship Id="rId677" Type="http://schemas.openxmlformats.org/officeDocument/2006/relationships/hyperlink" Target="https://www.google.com/search?newwindow=1&amp;ei=2MT0XrvGGM-vytMP1OyDgAY&amp;q=site%3Alinkedin.com+Jessica+Westlund+Senior+Associate-+Campus+Recruiter-+Software+Engineer+Program+JPMorgan+Chase+&amp;+Co." TargetMode="External"/><Relationship Id="rId434" Type="http://schemas.openxmlformats.org/officeDocument/2006/relationships/hyperlink" Target="https://www.google.com/search?newwindow=1&amp;ei=2MT0XrvGGM-vytMP1OyDgAY&amp;q=site%3Alinkedin.com+Jazsmin+Watson+-+Booth+Campus+Recruiter+Senior+Associate+EY" TargetMode="External"/><Relationship Id="rId676" Type="http://schemas.openxmlformats.org/officeDocument/2006/relationships/hyperlink" Target="https://www.google.com/search?newwindow=1&amp;ei=2MT0XrvGGM-vytMP1OyDgAY&amp;q=site%3Alinkedin.com+Lindsey+Sepich+Campus+Recruiter+JPMorgan+Chase+&amp;+Co." TargetMode="External"/><Relationship Id="rId439" Type="http://schemas.openxmlformats.org/officeDocument/2006/relationships/hyperlink" Target="https://www.google.com/search?newwindow=1&amp;ei=2MT0XrvGGM-vytMP1OyDgAY&amp;q=site%3Alinkedin.com+Bryan+Doyle+Campus+Recruiter+EY" TargetMode="External"/><Relationship Id="rId438" Type="http://schemas.openxmlformats.org/officeDocument/2006/relationships/hyperlink" Target="https://www.google.com/search?newwindow=1&amp;ei=2MT0XrvGGM-vytMP1OyDgAY&amp;q=site%3Alinkedin.com+Ritu+M.+Campus+Recruiter+EY" TargetMode="External"/><Relationship Id="rId671" Type="http://schemas.openxmlformats.org/officeDocument/2006/relationships/hyperlink" Target="https://www.google.com/search?newwindow=1&amp;ei=2MT0XrvGGM-vytMP1OyDgAY&amp;q=site%3Alinkedin.com+Samantha+Mastellone+Associate+Campus+Recruiter+JPMorgan+Chase+&amp;+Co." TargetMode="External"/><Relationship Id="rId670" Type="http://schemas.openxmlformats.org/officeDocument/2006/relationships/hyperlink" Target="https://www.google.com/search?newwindow=1&amp;ei=2MT0XrvGGM-vytMP1OyDgAY&amp;q=site%3Alinkedin.com+Blake+Johnson+Firmwide+Diversity+Campus+Recruiting+JPMorgan+Chase+&amp;+Co." TargetMode="External"/><Relationship Id="rId1020" Type="http://schemas.openxmlformats.org/officeDocument/2006/relationships/hyperlink" Target="https://www.google.com/search?newwindow=1&amp;ei=2MT0XrvGGM-vytMP1OyDgAY&amp;q=site%3Alinkedin.com+Andrea+McDade+University+Recruiter+Shell" TargetMode="External"/><Relationship Id="rId1021" Type="http://schemas.openxmlformats.org/officeDocument/2006/relationships/hyperlink" Target="https://www.google.com/search?newwindow=1&amp;ei=2MT0XrvGGM-vytMP1OyDgAY&amp;q=site%3Alinkedin.com+Ralph+Faxel+Texas+A&amp;M+CHEN+Campus+Recruiter+Shell" TargetMode="External"/><Relationship Id="rId433" Type="http://schemas.openxmlformats.org/officeDocument/2006/relationships/hyperlink" Target="https://www.google.com/search?newwindow=1&amp;ei=2MT0XrvGGM-vytMP1OyDgAY&amp;q=site%3Alinkedin.com+Ricardo+Contreras+Campus+Recruiter+EY" TargetMode="External"/><Relationship Id="rId675" Type="http://schemas.openxmlformats.org/officeDocument/2006/relationships/hyperlink" Target="https://www.google.com/search?newwindow=1&amp;ei=2MT0XrvGGM-vytMP1OyDgAY&amp;q=site%3Alinkedin.com+Allie+McMahon+Commercial+Bank+Campus+Recruiter+JPMorgan+Chase+&amp;+Co." TargetMode="External"/><Relationship Id="rId1022" Type="http://schemas.openxmlformats.org/officeDocument/2006/relationships/hyperlink" Target="https://www.google.com/search?newwindow=1&amp;ei=2MT0XrvGGM-vytMP1OyDgAY&amp;q=site%3Alinkedin.com+Jillian+Rozek+University+Recruiting+Manager+Siemens" TargetMode="External"/><Relationship Id="rId432" Type="http://schemas.openxmlformats.org/officeDocument/2006/relationships/hyperlink" Target="https://www.google.com/search?newwindow=1&amp;ei=2MT0XrvGGM-vytMP1OyDgAY&amp;q=site%3Alinkedin.com+Kreddow+Savetsaranee+Campus+Recruiter+EY" TargetMode="External"/><Relationship Id="rId674" Type="http://schemas.openxmlformats.org/officeDocument/2006/relationships/hyperlink" Target="https://www.google.com/search?newwindow=1&amp;ei=2MT0XrvGGM-vytMP1OyDgAY&amp;q=site%3Alinkedin.com+Samantha+J.+Associate+Campus+Recruiter+JPMorgan+Chase+&amp;+Co." TargetMode="External"/><Relationship Id="rId1023" Type="http://schemas.openxmlformats.org/officeDocument/2006/relationships/hyperlink" Target="https://www.google.com/search?newwindow=1&amp;ei=2MT0XrvGGM-vytMP1OyDgAY&amp;q=site%3Alinkedin.com+Jessica+Buchberger+University+Relations+Recruiter+Siemens+Digital+Industries+Software" TargetMode="External"/><Relationship Id="rId431" Type="http://schemas.openxmlformats.org/officeDocument/2006/relationships/hyperlink" Target="https://www.google.com/search?newwindow=1&amp;ei=2MT0XrvGGM-vytMP1OyDgAY&amp;q=site%3Alinkedin.com+Javan+Cross+Campus+Recruiter+-+Assurance+EY" TargetMode="External"/><Relationship Id="rId673" Type="http://schemas.openxmlformats.org/officeDocument/2006/relationships/hyperlink" Target="https://www.google.com/search?newwindow=1&amp;ei=2MT0XrvGGM-vytMP1OyDgAY&amp;q=site%3Alinkedin.com+Emily+R.+Bishop+Campus+Recruiter+JPMorgan+Chase+&amp;+Co." TargetMode="External"/><Relationship Id="rId1024" Type="http://schemas.openxmlformats.org/officeDocument/2006/relationships/hyperlink" Target="https://www.google.com/search?newwindow=1&amp;ei=2MT0XrvGGM-vytMP1OyDgAY&amp;q=site%3Alinkedin.com+Rina+Kotak+University+Relations+Recruiter+Siemens+Digital+Industries+Software" TargetMode="External"/><Relationship Id="rId430" Type="http://schemas.openxmlformats.org/officeDocument/2006/relationships/hyperlink" Target="https://www.google.com/search?newwindow=1&amp;ei=2MT0XrvGGM-vytMP1OyDgAY&amp;q=site%3Alinkedin.com+Francesca+Jones+Campus+Recruiting+Leader+-+Financial+Services+Organization+EY" TargetMode="External"/><Relationship Id="rId672" Type="http://schemas.openxmlformats.org/officeDocument/2006/relationships/hyperlink" Target="https://www.google.com/search?newwindow=1&amp;ei=2MT0XrvGGM-vytMP1OyDgAY&amp;q=site%3Alinkedin.com+Alexia+Sharell+Winfield+Culture+Solutions+Program+Manager+JPMorgan+Chase+&amp;+Co." TargetMode="External"/><Relationship Id="rId1025" Type="http://schemas.openxmlformats.org/officeDocument/2006/relationships/hyperlink" Target="https://www.google.com/search?newwindow=1&amp;ei=2MT0XrvGGM-vytMP1OyDgAY&amp;q=site%3Alinkedin.com+Claudia+Guzman+University+Recruiter+Siemens+Healthineers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google.com/search?newwindow=1&amp;ei=2MT0XrvGGM-vytMP1OyDgAY&amp;q=site%3Alinkedin.com+Lorna+Bytheway+Director+of+Unitemps+Recruitment+Service" TargetMode="External"/><Relationship Id="rId391" Type="http://schemas.openxmlformats.org/officeDocument/2006/relationships/hyperlink" Target="https://www.google.com/search?newwindow=1&amp;ei=2MT0XrvGGM-vytMP1OyDgAY&amp;q=site%3Alinkedin.com+Neelam+Thapar+Student+Experience+Officer+at+Coventry+University+Online" TargetMode="External"/><Relationship Id="rId390" Type="http://schemas.openxmlformats.org/officeDocument/2006/relationships/hyperlink" Target="https://www.google.com/search?newwindow=1&amp;ei=2MT0XrvGGM-vytMP1OyDgAY&amp;q=site%3Alinkedin.com+Steph+Walton+Head+of+Student+Recruitment++-+Coventry+University+Recruitment+&amp;+Admissions" TargetMode="External"/><Relationship Id="rId2180" Type="http://schemas.openxmlformats.org/officeDocument/2006/relationships/hyperlink" Target="https://www.google.com/search?newwindow=1&amp;ei=2MT0XrvGGM-vytMP1OyDgAY&amp;q=site%3Alinkedin.com+Kristin+Rymaruk+College+Recruiting+Manager+CGI" TargetMode="External"/><Relationship Id="rId2181" Type="http://schemas.openxmlformats.org/officeDocument/2006/relationships/hyperlink" Target="https://www.google.com/search?newwindow=1&amp;ei=2MT0XrvGGM-vytMP1OyDgAY&amp;q=site%3Alinkedin.com+Heather+Fusko+College+Recruiter+CGI" TargetMode="External"/><Relationship Id="rId2182" Type="http://schemas.openxmlformats.org/officeDocument/2006/relationships/hyperlink" Target="https://www.google.com/search?newwindow=1&amp;ei=2MT0XrvGGM-vytMP1OyDgAY&amp;q=site%3Alinkedin.com+Ashley+Beamish+Senior+College+Recruiter+CGI" TargetMode="External"/><Relationship Id="rId2183" Type="http://schemas.openxmlformats.org/officeDocument/2006/relationships/hyperlink" Target="https://www.google.com/search?newwindow=1&amp;ei=2MT0XrvGGM-vytMP1OyDgAY&amp;q=site%3Alinkedin.com+Elizabeth+DiTroia+Campus+Recruiter+Chewy" TargetMode="External"/><Relationship Id="rId385" Type="http://schemas.openxmlformats.org/officeDocument/2006/relationships/hyperlink" Target="https://www.google.com/search?newwindow=1&amp;ei=2MT0XrvGGM-vytMP1OyDgAY&amp;q=site%3Alinkedin.com+Kristen+Dorsey+Campus+Recruiting+Coordinator" TargetMode="External"/><Relationship Id="rId2184" Type="http://schemas.openxmlformats.org/officeDocument/2006/relationships/hyperlink" Target="https://www.google.com/search?newwindow=1&amp;ei=2MT0XrvGGM-vytMP1OyDgAY&amp;q=site%3Alinkedin.com+Erin+Casey+Campus+Recruiter+Chewy" TargetMode="External"/><Relationship Id="rId384" Type="http://schemas.openxmlformats.org/officeDocument/2006/relationships/hyperlink" Target="https://www.google.com/search?newwindow=1&amp;ei=2MT0XrvGGM-vytMP1OyDgAY&amp;q=site%3Alinkedin.com+Alexia+Sharell+Winfield+Culture+Solutions+Program+Manager" TargetMode="External"/><Relationship Id="rId2185" Type="http://schemas.openxmlformats.org/officeDocument/2006/relationships/hyperlink" Target="https://www.google.com/search?newwindow=1&amp;ei=2MT0XrvGGM-vytMP1OyDgAY&amp;q=site%3Alinkedin.com+Erika+Howe+Carter+Sr.+Campus+Recruiter+Chewy" TargetMode="External"/><Relationship Id="rId383" Type="http://schemas.openxmlformats.org/officeDocument/2006/relationships/hyperlink" Target="https://www.google.com/search?newwindow=1&amp;ei=2MT0XrvGGM-vytMP1OyDgAY&amp;q=site%3Alinkedin.com+Krysta+Lewis+Associate+Manager" TargetMode="External"/><Relationship Id="rId2186" Type="http://schemas.openxmlformats.org/officeDocument/2006/relationships/hyperlink" Target="https://www.google.com/search?newwindow=1&amp;ei=2MT0XrvGGM-vytMP1OyDgAY&amp;q=site%3Alinkedin.com+Jennifer+C.+Campus+Recruiter+Chewy" TargetMode="External"/><Relationship Id="rId382" Type="http://schemas.openxmlformats.org/officeDocument/2006/relationships/hyperlink" Target="https://www.google.com/search?newwindow=1&amp;ei=2MT0XrvGGM-vytMP1OyDgAY&amp;q=site%3Alinkedin.com+Erika+Utt,+MBA+Campus+Recruiting+Operations+Specialist" TargetMode="External"/><Relationship Id="rId2187" Type="http://schemas.openxmlformats.org/officeDocument/2006/relationships/hyperlink" Target="https://www.google.com/search?newwindow=1&amp;ei=2MT0XrvGGM-vytMP1OyDgAY&amp;q=site%3Alinkedin.com+Dante+Cunningham+Recruiting+Manager,+Campus+Recruiting+-+Diversity,+Equity,+&amp;+Inclusion+Chewy" TargetMode="External"/><Relationship Id="rId389" Type="http://schemas.openxmlformats.org/officeDocument/2006/relationships/hyperlink" Target="https://www.google.com/search?newwindow=1&amp;ei=2MT0XrvGGM-vytMP1OyDgAY&amp;q=site%3Alinkedin.com+Melissa+Lynne,+CPCU+Recruiting+Systems+Analyst" TargetMode="External"/><Relationship Id="rId2188" Type="http://schemas.openxmlformats.org/officeDocument/2006/relationships/hyperlink" Target="https://www.google.com/search?newwindow=1&amp;ei=2MT0XrvGGM-vytMP1OyDgAY&amp;q=site%3Alinkedin.com+Lauren+Araujo+University+Recruiter+Cisco" TargetMode="External"/><Relationship Id="rId388" Type="http://schemas.openxmlformats.org/officeDocument/2006/relationships/hyperlink" Target="https://www.google.com/search?newwindow=1&amp;ei=2MT0XrvGGM-vytMP1OyDgAY&amp;q=site%3Alinkedin.com+Josephine+Gunawan+Recruiter,+Advisor+&amp;+Student+Affairs+Coordinator" TargetMode="External"/><Relationship Id="rId2189" Type="http://schemas.openxmlformats.org/officeDocument/2006/relationships/hyperlink" Target="https://www.google.com/search?newwindow=1&amp;ei=2MT0XrvGGM-vytMP1OyDgAY&amp;q=site%3Alinkedin.com+Brianna+(Bri)+Birkeness+University+Recruiter+-+Engineering+Cisco" TargetMode="External"/><Relationship Id="rId387" Type="http://schemas.openxmlformats.org/officeDocument/2006/relationships/hyperlink" Target="https://www.google.com/search?newwindow=1&amp;ei=2MT0XrvGGM-vytMP1OyDgAY&amp;q=site%3Alinkedin.com+Sholon+Rucker+Associate+Director+-+Program+Management,+Audit" TargetMode="External"/><Relationship Id="rId386" Type="http://schemas.openxmlformats.org/officeDocument/2006/relationships/hyperlink" Target="https://www.google.com/search?newwindow=1&amp;ei=2MT0XrvGGM-vytMP1OyDgAY&amp;q=site%3Alinkedin.com+Heather+Goldman+Campus+Recruiting+Associate" TargetMode="External"/><Relationship Id="rId381" Type="http://schemas.openxmlformats.org/officeDocument/2006/relationships/hyperlink" Target="https://www.google.com/search?newwindow=1&amp;ei=2MT0XrvGGM-vytMP1OyDgAY&amp;q=site%3Alinkedin.com+Katie+Caraboa+Campus+Recruiter" TargetMode="External"/><Relationship Id="rId380" Type="http://schemas.openxmlformats.org/officeDocument/2006/relationships/hyperlink" Target="https://www.google.com/search?newwindow=1&amp;ei=2MT0XrvGGM-vytMP1OyDgAY&amp;q=site%3Alinkedin.com+Aaron+Smith+University+Ambassador" TargetMode="External"/><Relationship Id="rId379" Type="http://schemas.openxmlformats.org/officeDocument/2006/relationships/hyperlink" Target="https://www.google.com/search?newwindow=1&amp;ei=2MT0XrvGGM-vytMP1OyDgAY&amp;q=site%3Alinkedin.com+Leah+Young+Employer+Brand+&amp;+Marketing" TargetMode="External"/><Relationship Id="rId2170" Type="http://schemas.openxmlformats.org/officeDocument/2006/relationships/hyperlink" Target="https://www.google.com/search?newwindow=1&amp;ei=2MT0XrvGGM-vytMP1OyDgAY&amp;q=site%3Alinkedin.com+Megan+Thomas+Associate+University+Recruiter+Cargill" TargetMode="External"/><Relationship Id="rId2171" Type="http://schemas.openxmlformats.org/officeDocument/2006/relationships/hyperlink" Target="https://www.google.com/search?newwindow=1&amp;ei=2MT0XrvGGM-vytMP1OyDgAY&amp;q=site%3Alinkedin.com+Jill+Spohn,+M.A.,+H.R.M.+University+Recruiting+Specialist+Cargill" TargetMode="External"/><Relationship Id="rId2172" Type="http://schemas.openxmlformats.org/officeDocument/2006/relationships/hyperlink" Target="https://www.google.com/search?newwindow=1&amp;ei=2MT0XrvGGM-vytMP1OyDgAY&amp;q=site%3Alinkedin.com+Katie+Johnson+Campus+Recruiter+Cargill" TargetMode="External"/><Relationship Id="rId374" Type="http://schemas.openxmlformats.org/officeDocument/2006/relationships/hyperlink" Target="https://www.google.com/search?newwindow=1&amp;ei=2MT0XrvGGM-vytMP1OyDgAY&amp;q=site%3Alinkedin.com+David+Goodchild+Head+Volleyball+Coach+Durham+University+/+athlete+recruitment+co-ordinator" TargetMode="External"/><Relationship Id="rId2173" Type="http://schemas.openxmlformats.org/officeDocument/2006/relationships/hyperlink" Target="https://www.google.com/search?newwindow=1&amp;ei=2MT0XrvGGM-vytMP1OyDgAY&amp;q=site%3Alinkedin.com+Whitney+Ragan+College+Recruiter+CGI" TargetMode="External"/><Relationship Id="rId373" Type="http://schemas.openxmlformats.org/officeDocument/2006/relationships/hyperlink" Target="https://www.google.com/search?newwindow=1&amp;ei=2MT0XrvGGM-vytMP1OyDgAY&amp;q=site%3Alinkedin.com+Laura+Warren+Campus+recruiting+assistant" TargetMode="External"/><Relationship Id="rId2174" Type="http://schemas.openxmlformats.org/officeDocument/2006/relationships/hyperlink" Target="https://www.google.com/search?newwindow=1&amp;ei=2MT0XrvGGM-vytMP1OyDgAY&amp;q=site%3Alinkedin.com+Rebecca+Teti+College+Recruiter+CGI" TargetMode="External"/><Relationship Id="rId372" Type="http://schemas.openxmlformats.org/officeDocument/2006/relationships/hyperlink" Target="https://www.google.com/search?newwindow=1&amp;ei=2MT0XrvGGM-vytMP1OyDgAY&amp;q=site%3Alinkedin.com+Lisa+Severino+Campus+Recruiting+Coordinator" TargetMode="External"/><Relationship Id="rId2175" Type="http://schemas.openxmlformats.org/officeDocument/2006/relationships/hyperlink" Target="https://www.google.com/search?newwindow=1&amp;ei=2MT0XrvGGM-vytMP1OyDgAY&amp;q=site%3Alinkedin.com+Madeline+Sills+College+Recruiter+-+US+West+CGI" TargetMode="External"/><Relationship Id="rId371" Type="http://schemas.openxmlformats.org/officeDocument/2006/relationships/hyperlink" Target="https://www.google.com/search?newwindow=1&amp;ei=2MT0XrvGGM-vytMP1OyDgAY&amp;q=site%3Alinkedin.com+Diana+Vanucci+Assistant+Director,+Brand,+Marketing+and+Communications+Leader+-+US+Campus+Recruiting" TargetMode="External"/><Relationship Id="rId2176" Type="http://schemas.openxmlformats.org/officeDocument/2006/relationships/hyperlink" Target="https://www.google.com/search?newwindow=1&amp;ei=2MT0XrvGGM-vytMP1OyDgAY&amp;q=site%3Alinkedin.com+Anne+Marie+Swanson+(she/her/hers),+PMP+U.S.+STEM@CGI,+Manager+CGI" TargetMode="External"/><Relationship Id="rId378" Type="http://schemas.openxmlformats.org/officeDocument/2006/relationships/hyperlink" Target="https://www.google.com/search?newwindow=1&amp;ei=2MT0XrvGGM-vytMP1OyDgAY&amp;q=site%3Alinkedin.com+Kati+Hood+Associate+Director,+University+Talent+Acquisition" TargetMode="External"/><Relationship Id="rId2177" Type="http://schemas.openxmlformats.org/officeDocument/2006/relationships/hyperlink" Target="https://www.google.com/search?newwindow=1&amp;ei=2MT0XrvGGM-vytMP1OyDgAY&amp;q=site%3Alinkedin.com+Katherine+Zehnder+College+Recruiter+CGI" TargetMode="External"/><Relationship Id="rId377" Type="http://schemas.openxmlformats.org/officeDocument/2006/relationships/hyperlink" Target="https://www.google.com/search?newwindow=1&amp;ei=2MT0XrvGGM-vytMP1OyDgAY&amp;q=site%3Alinkedin.com+David+Lyle+Campus+Recruiting" TargetMode="External"/><Relationship Id="rId2178" Type="http://schemas.openxmlformats.org/officeDocument/2006/relationships/hyperlink" Target="https://www.google.com/search?newwindow=1&amp;ei=2MT0XrvGGM-vytMP1OyDgAY&amp;q=site%3Alinkedin.com+Carrie+Eggleston+College+Recruiter+CGI" TargetMode="External"/><Relationship Id="rId376" Type="http://schemas.openxmlformats.org/officeDocument/2006/relationships/hyperlink" Target="https://www.google.com/search?newwindow=1&amp;ei=2MT0XrvGGM-vytMP1OyDgAY&amp;q=site%3Alinkedin.com+Caroline+Chao,+MA,+PHR+Campus+Recruiting+Specialist" TargetMode="External"/><Relationship Id="rId2179" Type="http://schemas.openxmlformats.org/officeDocument/2006/relationships/hyperlink" Target="https://www.google.com/search?newwindow=1&amp;ei=2MT0XrvGGM-vytMP1OyDgAY&amp;q=site%3Alinkedin.com+Luke+Lawson+Campus+Recruiter+CGI" TargetMode="External"/><Relationship Id="rId375" Type="http://schemas.openxmlformats.org/officeDocument/2006/relationships/hyperlink" Target="https://www.google.com/search?newwindow=1&amp;ei=2MT0XrvGGM-vytMP1OyDgAY&amp;q=site%3Alinkedin.com+Kaelen+O'Rahilly+Human+Resources+Assistant-Recruiter" TargetMode="External"/><Relationship Id="rId2190" Type="http://schemas.openxmlformats.org/officeDocument/2006/relationships/hyperlink" Target="https://www.google.com/search?newwindow=1&amp;ei=2MT0XrvGGM-vytMP1OyDgAY&amp;q=site%3Alinkedin.com+Michelle+O'Connell+University+Recruiter+Cisco" TargetMode="External"/><Relationship Id="rId2191" Type="http://schemas.openxmlformats.org/officeDocument/2006/relationships/hyperlink" Target="https://www.google.com/search?newwindow=1&amp;ei=2MT0XrvGGM-vytMP1OyDgAY&amp;q=site%3Alinkedin.com+Nathaniel+L.+University+Recruiter+Cisco" TargetMode="External"/><Relationship Id="rId2192" Type="http://schemas.openxmlformats.org/officeDocument/2006/relationships/hyperlink" Target="https://www.google.com/search?newwindow=1&amp;ei=2MT0XrvGGM-vytMP1OyDgAY&amp;q=site%3Alinkedin.com+Stephanie+Phillips+University+Recruiter+Cisco" TargetMode="External"/><Relationship Id="rId2193" Type="http://schemas.openxmlformats.org/officeDocument/2006/relationships/hyperlink" Target="https://www.google.com/search?newwindow=1&amp;ei=2MT0XrvGGM-vytMP1OyDgAY&amp;q=site%3Alinkedin.com+Dawn+McLaughlin+University+Recruiting+Lead,+Engineering+Cisco" TargetMode="External"/><Relationship Id="rId2194" Type="http://schemas.openxmlformats.org/officeDocument/2006/relationships/hyperlink" Target="https://www.google.com/search?newwindow=1&amp;ei=2MT0XrvGGM-vytMP1OyDgAY&amp;q=site%3Alinkedin.com+Dawn+McLaughlin+Senior+Technical+Recruiter+Cisco" TargetMode="External"/><Relationship Id="rId396" Type="http://schemas.openxmlformats.org/officeDocument/2006/relationships/hyperlink" Target="https://www.google.com/search?newwindow=1&amp;ei=2MT0XrvGGM-vytMP1OyDgAY&amp;q=site%3Alinkedin.com+Steven+Hoskins+Ambulance+Technician/+Student+Paramedic" TargetMode="External"/><Relationship Id="rId2195" Type="http://schemas.openxmlformats.org/officeDocument/2006/relationships/hyperlink" Target="https://www.google.com/search?newwindow=1&amp;ei=2MT0XrvGGM-vytMP1OyDgAY&amp;q=site%3Alinkedin.com+Kayla+Stueland-Imo+Technical+University+Recruiter+Cisco+Meraki" TargetMode="External"/><Relationship Id="rId395" Type="http://schemas.openxmlformats.org/officeDocument/2006/relationships/hyperlink" Target="https://www.google.com/search?newwindow=1&amp;ei=2MT0XrvGGM-vytMP1OyDgAY&amp;q=site%3Alinkedin.com+Leyli+Aliyeva+Product+Officer,+UK+Programs" TargetMode="External"/><Relationship Id="rId2196" Type="http://schemas.openxmlformats.org/officeDocument/2006/relationships/hyperlink" Target="https://www.google.com/search?newwindow=1&amp;ei=2MT0XrvGGM-vytMP1OyDgAY&amp;q=site%3Alinkedin.com+Erica+Cox+College+Recruiter+Cisco+Systems" TargetMode="External"/><Relationship Id="rId394" Type="http://schemas.openxmlformats.org/officeDocument/2006/relationships/hyperlink" Target="https://www.google.com/search?newwindow=1&amp;ei=2MT0XrvGGM-vytMP1OyDgAY&amp;q=site%3Alinkedin.com+Jack+Coles+Academy+Recruitment+Analyst" TargetMode="External"/><Relationship Id="rId2197" Type="http://schemas.openxmlformats.org/officeDocument/2006/relationships/hyperlink" Target="https://www.google.com/search?newwindow=1&amp;ei=2MT0XrvGGM-vytMP1OyDgAY&amp;q=site%3Alinkedin.com+Dawn+Harvey+Cisco+Systems++Recruiter-University+Recruiting+Cisco+Systems" TargetMode="External"/><Relationship Id="rId393" Type="http://schemas.openxmlformats.org/officeDocument/2006/relationships/hyperlink" Target="https://www.google.com/search?newwindow=1&amp;ei=2MT0XrvGGM-vytMP1OyDgAY&amp;q=site%3Alinkedin.com+Elliott+Campbell+Graduate+Talent+Recruiter" TargetMode="External"/><Relationship Id="rId2198" Type="http://schemas.openxmlformats.org/officeDocument/2006/relationships/hyperlink" Target="https://www.google.com/search?newwindow=1&amp;ei=2MT0XrvGGM-vytMP1OyDgAY&amp;q=site%3Alinkedin.com+Jill+Decker+University+Recruiter+Cisco+Systems,+Inc." TargetMode="External"/><Relationship Id="rId2199" Type="http://schemas.openxmlformats.org/officeDocument/2006/relationships/hyperlink" Target="https://www.google.com/search?newwindow=1&amp;ei=2MT0XrvGGM-vytMP1OyDgAY&amp;q=site%3Alinkedin.com+Dawn+Johnson+College+Recruiter+Cisco+Systems,+Inc." TargetMode="External"/><Relationship Id="rId399" Type="http://schemas.openxmlformats.org/officeDocument/2006/relationships/hyperlink" Target="https://www.google.com/search?newwindow=1&amp;ei=2MT0XrvGGM-vytMP1OyDgAY&amp;q=site%3Alinkedin.com+Brittany+Barker+Campus+Recruiting+Coordinator" TargetMode="External"/><Relationship Id="rId398" Type="http://schemas.openxmlformats.org/officeDocument/2006/relationships/hyperlink" Target="https://www.google.com/search?newwindow=1&amp;ei=2MT0XrvGGM-vytMP1OyDgAY&amp;q=site%3Alinkedin.com+Manasi+Nagaokar,+MHRM+Campus+Recruiting+Coordinator" TargetMode="External"/><Relationship Id="rId397" Type="http://schemas.openxmlformats.org/officeDocument/2006/relationships/hyperlink" Target="https://www.google.com/search?newwindow=1&amp;ei=2MT0XrvGGM-vytMP1OyDgAY&amp;q=site%3Alinkedin.com+Dennis+Chavarria+Campus+Recruiting+Coordinator" TargetMode="External"/><Relationship Id="rId1730" Type="http://schemas.openxmlformats.org/officeDocument/2006/relationships/hyperlink" Target="https://www.google.com/search?newwindow=1&amp;ei=2MT0XrvGGM-vytMP1OyDgAY&amp;q=site%3Alinkedin.com+Miriam+Lennon+%5BLION%5D+Graduate+Recruiter" TargetMode="External"/><Relationship Id="rId1731" Type="http://schemas.openxmlformats.org/officeDocument/2006/relationships/hyperlink" Target="https://www.google.com/search?newwindow=1&amp;ei=2MT0XrvGGM-vytMP1OyDgAY&amp;q=site%3Alinkedin.com+Sonia+Mathur+Graduate+Recruiter" TargetMode="External"/><Relationship Id="rId1732" Type="http://schemas.openxmlformats.org/officeDocument/2006/relationships/hyperlink" Target="https://www.google.com/search?newwindow=1&amp;ei=2MT0XrvGGM-vytMP1OyDgAY&amp;q=site%3Alinkedin.com+Meltem+Izzet+Student+Recruiter/+Finance" TargetMode="External"/><Relationship Id="rId1733" Type="http://schemas.openxmlformats.org/officeDocument/2006/relationships/hyperlink" Target="https://www.google.com/search?newwindow=1&amp;ei=2MT0XrvGGM-vytMP1OyDgAY&amp;q=site%3Alinkedin.com+Ben+Cross+Graduate+Recruiter" TargetMode="External"/><Relationship Id="rId1734" Type="http://schemas.openxmlformats.org/officeDocument/2006/relationships/hyperlink" Target="https://www.google.com/search?newwindow=1&amp;ei=2MT0XrvGGM-vytMP1OyDgAY&amp;q=site%3Alinkedin.com+rawdie+lawler+Graduate+Recruiter" TargetMode="External"/><Relationship Id="rId1735" Type="http://schemas.openxmlformats.org/officeDocument/2006/relationships/hyperlink" Target="https://www.google.com/search?newwindow=1&amp;ei=2MT0XrvGGM-vytMP1OyDgAY&amp;q=site%3Alinkedin.com+Melanie+Dunkley+Team+Leader,+Global+Learning+(Outbound+Programs),+Student+Success" TargetMode="External"/><Relationship Id="rId1736" Type="http://schemas.openxmlformats.org/officeDocument/2006/relationships/hyperlink" Target="https://www.google.com/search?newwindow=1&amp;ei=2MT0XrvGGM-vytMP1OyDgAY&amp;q=site%3Alinkedin.com+Sophie+Peiyu+Ji+Student+Recruiter+Advisor" TargetMode="External"/><Relationship Id="rId1737" Type="http://schemas.openxmlformats.org/officeDocument/2006/relationships/hyperlink" Target="https://www.google.com/search?newwindow=1&amp;ei=2MT0XrvGGM-vytMP1OyDgAY&amp;q=site%3Alinkedin.com+Gurpreet+Dhillon+Campus+Recruiting+Lead-Western+Canada" TargetMode="External"/><Relationship Id="rId1738" Type="http://schemas.openxmlformats.org/officeDocument/2006/relationships/hyperlink" Target="https://www.google.com/search?newwindow=1&amp;ei=2MT0XrvGGM-vytMP1OyDgAY&amp;q=site%3Alinkedin.com+Ankur+Sinha+Senior+Recruiter+-+Student+Programs+and+University+Hiring" TargetMode="External"/><Relationship Id="rId1739" Type="http://schemas.openxmlformats.org/officeDocument/2006/relationships/hyperlink" Target="https://www.google.com/search?newwindow=1&amp;ei=2MT0XrvGGM-vytMP1OyDgAY&amp;q=site%3Alinkedin.com+Danika+Coulbourn+Associate+International+Student+Recruiter+and+Advisor,+Events" TargetMode="External"/><Relationship Id="rId1720" Type="http://schemas.openxmlformats.org/officeDocument/2006/relationships/hyperlink" Target="https://www.google.com/search?newwindow=1&amp;ei=2MT0XrvGGM-vytMP1OyDgAY&amp;q=site%3Alinkedin.com+Roma+Dispirito+Graduate+Teaching+Assistant" TargetMode="External"/><Relationship Id="rId1721" Type="http://schemas.openxmlformats.org/officeDocument/2006/relationships/hyperlink" Target="https://www.google.com/search?newwindow=1&amp;ei=2MT0XrvGGM-vytMP1OyDgAY&amp;q=site%3Alinkedin.com+Sophie+Bond+University+Recruiter" TargetMode="External"/><Relationship Id="rId1722" Type="http://schemas.openxmlformats.org/officeDocument/2006/relationships/hyperlink" Target="https://www.google.com/search?newwindow=1&amp;ei=2MT0XrvGGM-vytMP1OyDgAY&amp;q=site%3Alinkedin.com+maxi+opondo-mbai+Head+of+Football+Brunel+University" TargetMode="External"/><Relationship Id="rId1723" Type="http://schemas.openxmlformats.org/officeDocument/2006/relationships/hyperlink" Target="https://www.google.com/search?newwindow=1&amp;ei=2MT0XrvGGM-vytMP1OyDgAY&amp;q=site%3Alinkedin.com+Julie+Pritchard+Graduate+and+Apprentice+Recruiter" TargetMode="External"/><Relationship Id="rId1724" Type="http://schemas.openxmlformats.org/officeDocument/2006/relationships/hyperlink" Target="https://www.google.com/search?newwindow=1&amp;ei=2MT0XrvGGM-vytMP1OyDgAY&amp;q=site%3Alinkedin.com+Paula+Brennan+Student+Recruiter" TargetMode="External"/><Relationship Id="rId1725" Type="http://schemas.openxmlformats.org/officeDocument/2006/relationships/hyperlink" Target="https://www.google.com/search?newwindow=1&amp;ei=2MT0XrvGGM-vytMP1OyDgAY&amp;q=site%3Alinkedin.com+Sarah+Murphy+Campus+Recruiting+Team+Lead,+Investment+Banking+EMEA" TargetMode="External"/><Relationship Id="rId1726" Type="http://schemas.openxmlformats.org/officeDocument/2006/relationships/hyperlink" Target="https://www.google.com/search?newwindow=1&amp;ei=2MT0XrvGGM-vytMP1OyDgAY&amp;q=site%3Alinkedin.com+Angela+Cole+Part-time+Graduate+Recruiter" TargetMode="External"/><Relationship Id="rId1727" Type="http://schemas.openxmlformats.org/officeDocument/2006/relationships/hyperlink" Target="https://www.google.com/search?newwindow=1&amp;ei=2MT0XrvGGM-vytMP1OyDgAY&amp;q=site%3Alinkedin.com+Danish+Ali+Student+Recruiter" TargetMode="External"/><Relationship Id="rId1728" Type="http://schemas.openxmlformats.org/officeDocument/2006/relationships/hyperlink" Target="https://www.google.com/search?newwindow=1&amp;ei=2MT0XrvGGM-vytMP1OyDgAY&amp;q=site%3Alinkedin.com+Katharine+Reed+Student+Recruitment+Coordinator/Sunderland+Children's+University+Manager" TargetMode="External"/><Relationship Id="rId1729" Type="http://schemas.openxmlformats.org/officeDocument/2006/relationships/hyperlink" Target="https://www.google.com/search?newwindow=1&amp;ei=2MT0XrvGGM-vytMP1OyDgAY&amp;q=site%3Alinkedin.com+Pal+Trivedi+University+Recruitment" TargetMode="External"/><Relationship Id="rId1752" Type="http://schemas.openxmlformats.org/officeDocument/2006/relationships/hyperlink" Target="https://www.google.com/search?newwindow=1&amp;ei=2MT0XrvGGM-vytMP1OyDgAY&amp;q=site%3Alinkedin.com+Laura+Manyari+Associate+International+Student+Recruiter+&amp;+Advisor" TargetMode="External"/><Relationship Id="rId1753" Type="http://schemas.openxmlformats.org/officeDocument/2006/relationships/hyperlink" Target="https://www.google.com/search?newwindow=1&amp;ei=2MT0XrvGGM-vytMP1OyDgAY&amp;q=site%3Alinkedin.com+Janna+Rumary-Kellett+Senior+Student+Advisor/Recruiter,+Faculty+of+Forestry" TargetMode="External"/><Relationship Id="rId1754" Type="http://schemas.openxmlformats.org/officeDocument/2006/relationships/hyperlink" Target="https://www.google.com/search?newwindow=1&amp;ei=2MT0XrvGGM-vytMP1OyDgAY&amp;q=site%3Alinkedin.com+Jin+Qin+Student+Manager+and+Recruiter" TargetMode="External"/><Relationship Id="rId1755" Type="http://schemas.openxmlformats.org/officeDocument/2006/relationships/hyperlink" Target="https://www.google.com/search?newwindow=1&amp;ei=2MT0XrvGGM-vytMP1OyDgAY&amp;q=site%3Alinkedin.com+Demet+Kitis+Student+Recruiter" TargetMode="External"/><Relationship Id="rId1756" Type="http://schemas.openxmlformats.org/officeDocument/2006/relationships/hyperlink" Target="https://www.google.com/search?newwindow=1&amp;ei=2MT0XrvGGM-vytMP1OyDgAY&amp;q=site%3Alinkedin.com+Jacquie+Sinclair+Marketing+Coordinator+&amp;+International+Student+Recruiter" TargetMode="External"/><Relationship Id="rId1757" Type="http://schemas.openxmlformats.org/officeDocument/2006/relationships/hyperlink" Target="https://www.google.com/search?newwindow=1&amp;ei=2MT0XrvGGM-vytMP1OyDgAY&amp;q=site%3Alinkedin.com+Ghoncheh+Doroudi+Recruiter+Intern" TargetMode="External"/><Relationship Id="rId1758" Type="http://schemas.openxmlformats.org/officeDocument/2006/relationships/hyperlink" Target="https://www.google.com/search?newwindow=1&amp;ei=2MT0XrvGGM-vytMP1OyDgAY&amp;q=site%3Alinkedin.com+Ashley+Wan+Student+Recruiter-Advisor" TargetMode="External"/><Relationship Id="rId1759" Type="http://schemas.openxmlformats.org/officeDocument/2006/relationships/hyperlink" Target="https://www.google.com/search?newwindow=1&amp;ei=2MT0XrvGGM-vytMP1OyDgAY&amp;q=site%3Alinkedin.com+Andrea+Kirby+Student+Recruiter,+Graduate+Business+Programs" TargetMode="External"/><Relationship Id="rId1750" Type="http://schemas.openxmlformats.org/officeDocument/2006/relationships/hyperlink" Target="https://www.google.com/search?newwindow=1&amp;ei=2MT0XrvGGM-vytMP1OyDgAY&amp;q=site%3Alinkedin.com+Jeremy+Chen+Student+Recruiter" TargetMode="External"/><Relationship Id="rId1751" Type="http://schemas.openxmlformats.org/officeDocument/2006/relationships/hyperlink" Target="https://www.google.com/search?newwindow=1&amp;ei=2MT0XrvGGM-vytMP1OyDgAY&amp;q=site%3Alinkedin.com+Luc%C3%ADa+Mart%C3%ADn+Huerta+Student+Services+Coordinator+/+Homestay+Recruiter" TargetMode="External"/><Relationship Id="rId1741" Type="http://schemas.openxmlformats.org/officeDocument/2006/relationships/hyperlink" Target="https://www.google.com/search?newwindow=1&amp;ei=2MT0XrvGGM-vytMP1OyDgAY&amp;q=site%3Alinkedin.com+Serge+Mather+Recruiter+-+Talent+Acquisition+-+Campus+Programs" TargetMode="External"/><Relationship Id="rId1742" Type="http://schemas.openxmlformats.org/officeDocument/2006/relationships/hyperlink" Target="https://www.google.com/search?newwindow=1&amp;ei=2MT0XrvGGM-vytMP1OyDgAY&amp;q=site%3Alinkedin.com+Britt+Fernandes+Associate+International+Student+Recruiter+and+Advisor" TargetMode="External"/><Relationship Id="rId1743" Type="http://schemas.openxmlformats.org/officeDocument/2006/relationships/hyperlink" Target="https://www.google.com/search?newwindow=1&amp;ei=2MT0XrvGGM-vytMP1OyDgAY&amp;q=site%3Alinkedin.com+Nicolette+Richardson+Associate+Student+Recruiter" TargetMode="External"/><Relationship Id="rId1744" Type="http://schemas.openxmlformats.org/officeDocument/2006/relationships/hyperlink" Target="https://www.google.com/search?newwindow=1&amp;ei=2MT0XrvGGM-vytMP1OyDgAY&amp;q=site%3Alinkedin.com+Derek+Weeres+Recruiter,+University+Relations+&amp;+Next-Gen+Talent" TargetMode="External"/><Relationship Id="rId1745" Type="http://schemas.openxmlformats.org/officeDocument/2006/relationships/hyperlink" Target="https://www.google.com/search?newwindow=1&amp;ei=2MT0XrvGGM-vytMP1OyDgAY&amp;q=site%3Alinkedin.com+Badre+Hassani+Internationa+Student+Recruiter/Advisor" TargetMode="External"/><Relationship Id="rId1746" Type="http://schemas.openxmlformats.org/officeDocument/2006/relationships/hyperlink" Target="https://www.google.com/search?newwindow=1&amp;ei=2MT0XrvGGM-vytMP1OyDgAY&amp;q=site%3Alinkedin.com+Nadia+Syskova+Internationla+Student+Recruiter/Advisor,+Asia+and+Europe" TargetMode="External"/><Relationship Id="rId1747" Type="http://schemas.openxmlformats.org/officeDocument/2006/relationships/hyperlink" Target="https://www.google.com/search?newwindow=1&amp;ei=2MT0XrvGGM-vytMP1OyDgAY&amp;q=site%3Alinkedin.com+Laura+Mayer+University+Relations+Business+Partner+and+Campus+Recruiter+(maternity+leave)" TargetMode="External"/><Relationship Id="rId1748" Type="http://schemas.openxmlformats.org/officeDocument/2006/relationships/hyperlink" Target="https://www.google.com/search?newwindow=1&amp;ei=2MT0XrvGGM-vytMP1OyDgAY&amp;q=site%3Alinkedin.com+Deepika+Deepika+Recruiter" TargetMode="External"/><Relationship Id="rId1749" Type="http://schemas.openxmlformats.org/officeDocument/2006/relationships/hyperlink" Target="https://www.google.com/search?newwindow=1&amp;ei=2MT0XrvGGM-vytMP1OyDgAY&amp;q=site%3Alinkedin.com+Vivian+Wang+Student+Counselor+&amp;+recruiter" TargetMode="External"/><Relationship Id="rId1740" Type="http://schemas.openxmlformats.org/officeDocument/2006/relationships/hyperlink" Target="https://www.google.com/search?newwindow=1&amp;ei=2MT0XrvGGM-vytMP1OyDgAY&amp;q=site%3Alinkedin.com+Laura+Thompson+International+Student+Recruiter+Advisor" TargetMode="External"/><Relationship Id="rId1710" Type="http://schemas.openxmlformats.org/officeDocument/2006/relationships/hyperlink" Target="https://www.google.com/search?newwindow=1&amp;ei=2MT0XrvGGM-vytMP1OyDgAY&amp;q=site%3Alinkedin.com+Abi+Fields+University+Recruiter" TargetMode="External"/><Relationship Id="rId1711" Type="http://schemas.openxmlformats.org/officeDocument/2006/relationships/hyperlink" Target="https://www.google.com/search?newwindow=1&amp;ei=2MT0XrvGGM-vytMP1OyDgAY&amp;q=site%3Alinkedin.com+Klaudia+Slawinska+RAID+Recruitment+and+Admission+International+Student+Ambassador" TargetMode="External"/><Relationship Id="rId1712" Type="http://schemas.openxmlformats.org/officeDocument/2006/relationships/hyperlink" Target="https://www.google.com/search?newwindow=1&amp;ei=2MT0XrvGGM-vytMP1OyDgAY&amp;q=site%3Alinkedin.com+Nicola+Groves+Early+Talent+/+University+Relations+Leader+EMEA" TargetMode="External"/><Relationship Id="rId1713" Type="http://schemas.openxmlformats.org/officeDocument/2006/relationships/hyperlink" Target="https://www.google.com/search?newwindow=1&amp;ei=2MT0XrvGGM-vytMP1OyDgAY&amp;q=site%3Alinkedin.com+Lily+Marcou+Graduate+&amp;+Apprentice+Recruiter" TargetMode="External"/><Relationship Id="rId1714" Type="http://schemas.openxmlformats.org/officeDocument/2006/relationships/hyperlink" Target="https://www.google.com/search?newwindow=1&amp;ei=2MT0XrvGGM-vytMP1OyDgAY&amp;q=site%3Alinkedin.com+Kirsty+Smith+Graduate+Recruiter" TargetMode="External"/><Relationship Id="rId1715" Type="http://schemas.openxmlformats.org/officeDocument/2006/relationships/hyperlink" Target="https://www.google.com/search?newwindow=1&amp;ei=2MT0XrvGGM-vytMP1OyDgAY&amp;q=site%3Alinkedin.com+Michelle+Mills+University+&amp;+Overseas+Resourcing+Manager" TargetMode="External"/><Relationship Id="rId1716" Type="http://schemas.openxmlformats.org/officeDocument/2006/relationships/hyperlink" Target="https://www.google.com/search?newwindow=1&amp;ei=2MT0XrvGGM-vytMP1OyDgAY&amp;q=site%3Alinkedin.com+Rachael+Pardini+Vice+President,+EME+Head+of+Banking+Campus+Recruiting" TargetMode="External"/><Relationship Id="rId1717" Type="http://schemas.openxmlformats.org/officeDocument/2006/relationships/hyperlink" Target="https://www.google.com/search?newwindow=1&amp;ei=2MT0XrvGGM-vytMP1OyDgAY&amp;q=site%3Alinkedin.com+Shing+Him+M.+Regional+Lead+of+Graduate+Recruitment+Research+and+Campus+Brand+Promotions" TargetMode="External"/><Relationship Id="rId1718" Type="http://schemas.openxmlformats.org/officeDocument/2006/relationships/hyperlink" Target="https://www.google.com/search?newwindow=1&amp;ei=2MT0XrvGGM-vytMP1OyDgAY&amp;q=site%3Alinkedin.com+XINCHI+ZHANG+Student+Engagement+Assistant+-+University+Career+Service" TargetMode="External"/><Relationship Id="rId1719" Type="http://schemas.openxmlformats.org/officeDocument/2006/relationships/hyperlink" Target="https://www.google.com/search?newwindow=1&amp;ei=2MT0XrvGGM-vytMP1OyDgAY&amp;q=site%3Alinkedin.com+Olivia+Hopp%C3%A9+Student+Programs+Recruiter,+EMEA" TargetMode="External"/><Relationship Id="rId1700" Type="http://schemas.openxmlformats.org/officeDocument/2006/relationships/hyperlink" Target="https://www.google.com/search?newwindow=1&amp;ei=2MT0XrvGGM-vytMP1OyDgAY&amp;q=site%3Alinkedin.com+Emily+Collins+EMEA+Sales+&amp;+Marketing+Campus+Recruiter" TargetMode="External"/><Relationship Id="rId1701" Type="http://schemas.openxmlformats.org/officeDocument/2006/relationships/hyperlink" Target="https://www.google.com/search?newwindow=1&amp;ei=2MT0XrvGGM-vytMP1OyDgAY&amp;q=site%3Alinkedin.com+Michelle+Kiersey+University+Recruitment" TargetMode="External"/><Relationship Id="rId1702" Type="http://schemas.openxmlformats.org/officeDocument/2006/relationships/hyperlink" Target="https://www.google.com/search?newwindow=1&amp;ei=2MT0XrvGGM-vytMP1OyDgAY&amp;q=site%3Alinkedin.com+Sophie+Robinson+EMEA+Campus+Recruiter+and+Programme+Manager" TargetMode="External"/><Relationship Id="rId1703" Type="http://schemas.openxmlformats.org/officeDocument/2006/relationships/hyperlink" Target="https://www.google.com/search?newwindow=1&amp;ei=2MT0XrvGGM-vytMP1OyDgAY&amp;q=site%3Alinkedin.com+Karolina+Skrzat+PL+Campus+Recruiter+-+Secondment" TargetMode="External"/><Relationship Id="rId1704" Type="http://schemas.openxmlformats.org/officeDocument/2006/relationships/hyperlink" Target="https://www.google.com/search?newwindow=1&amp;ei=2MT0XrvGGM-vytMP1OyDgAY&amp;q=site%3Alinkedin.com+Victoria+Stack+Graduate+Recruiter" TargetMode="External"/><Relationship Id="rId1705" Type="http://schemas.openxmlformats.org/officeDocument/2006/relationships/hyperlink" Target="https://www.google.com/search?newwindow=1&amp;ei=2MT0XrvGGM-vytMP1OyDgAY&amp;q=site%3Alinkedin.com+Sally+Preston+Graduate+Recruiter" TargetMode="External"/><Relationship Id="rId1706" Type="http://schemas.openxmlformats.org/officeDocument/2006/relationships/hyperlink" Target="https://www.google.com/search?newwindow=1&amp;ei=2MT0XrvGGM-vytMP1OyDgAY&amp;q=site%3Alinkedin.com+Akansha+Lal+Vice+President+-+Lead+Campus+&amp;+MBA+Recruiter+-+GCIB" TargetMode="External"/><Relationship Id="rId1707" Type="http://schemas.openxmlformats.org/officeDocument/2006/relationships/hyperlink" Target="https://www.google.com/search?newwindow=1&amp;ei=2MT0XrvGGM-vytMP1OyDgAY&amp;q=site%3Alinkedin.com+Hannah+Deakin+EMEA+Campus+Lead+Recruiter" TargetMode="External"/><Relationship Id="rId1708" Type="http://schemas.openxmlformats.org/officeDocument/2006/relationships/hyperlink" Target="https://www.google.com/search?newwindow=1&amp;ei=2MT0XrvGGM-vytMP1OyDgAY&amp;q=site%3Alinkedin.com+Meenakshi+Jhala+Student+Champion+University+Lead" TargetMode="External"/><Relationship Id="rId1709" Type="http://schemas.openxmlformats.org/officeDocument/2006/relationships/hyperlink" Target="https://www.google.com/search?newwindow=1&amp;ei=2MT0XrvGGM-vytMP1OyDgAY&amp;q=site%3Alinkedin.com+Lorraine+Little+Interim+Global+Campus+Recruiting+Lead,+Global+Support+Services" TargetMode="External"/><Relationship Id="rId40" Type="http://schemas.openxmlformats.org/officeDocument/2006/relationships/hyperlink" Target="https://www.google.com/search?newwindow=1&amp;ei=2MT0XrvGGM-vytMP1OyDgAY&amp;q=site%3Alinkedin.com+Laura+Gallagher+EY+US-Central+Region+Campus+Recruiting+Leader" TargetMode="External"/><Relationship Id="rId3513" Type="http://schemas.openxmlformats.org/officeDocument/2006/relationships/hyperlink" Target="https://www.google.com/search?newwindow=1&amp;ei=2MT0XrvGGM-vytMP1OyDgAY&amp;q=site%3Alinkedin.com+Jared+McMillan+Northeast+College+Recruiter+GEICO" TargetMode="External"/><Relationship Id="rId3512" Type="http://schemas.openxmlformats.org/officeDocument/2006/relationships/hyperlink" Target="https://www.google.com/search?newwindow=1&amp;ei=2MT0XrvGGM-vytMP1OyDgAY&amp;q=site%3Alinkedin.com+Doris+Ng+Senior+Campus+Recruiter,+Engineering+Medtronic" TargetMode="External"/><Relationship Id="rId42" Type="http://schemas.openxmlformats.org/officeDocument/2006/relationships/hyperlink" Target="https://www.google.com/search?newwindow=1&amp;ei=2MT0XrvGGM-vytMP1OyDgAY&amp;q=site%3Alinkedin.com+Kathryn+Slaton+Associate+Director,+SE+Campus+Recruiting" TargetMode="External"/><Relationship Id="rId3515" Type="http://schemas.openxmlformats.org/officeDocument/2006/relationships/hyperlink" Target="https://www.google.com/search?newwindow=1&amp;ei=2MT0XrvGGM-vytMP1OyDgAY&amp;q=site%3Alinkedin.com+Sarah+Bergeron+Regional+Campus+Recruiter+GEICO" TargetMode="External"/><Relationship Id="rId41" Type="http://schemas.openxmlformats.org/officeDocument/2006/relationships/hyperlink" Target="https://www.google.com/search?newwindow=1&amp;ei=2MT0XrvGGM-vytMP1OyDgAY&amp;q=site%3Alinkedin.com+Jessica+Hardeman+National+Associate+Director+-+Campus+Recruiting+Operations" TargetMode="External"/><Relationship Id="rId3514" Type="http://schemas.openxmlformats.org/officeDocument/2006/relationships/hyperlink" Target="https://www.google.com/search?newwindow=1&amp;ei=2MT0XrvGGM-vytMP1OyDgAY&amp;q=site%3Alinkedin.com+Melissa+Kloubec+Engineering+Campus+Recruiting+Manager+Medtronic" TargetMode="External"/><Relationship Id="rId44" Type="http://schemas.openxmlformats.org/officeDocument/2006/relationships/hyperlink" Target="https://www.google.com/search?newwindow=1&amp;ei=2MT0XrvGGM-vytMP1OyDgAY&amp;q=site%3Alinkedin.com+Holly+Thomas+National+Director,+Tax+Campus+Recruiting+Strategy+and+East+Region+Director+for+Audit+and+Tax" TargetMode="External"/><Relationship Id="rId3517" Type="http://schemas.openxmlformats.org/officeDocument/2006/relationships/hyperlink" Target="https://www.google.com/search?newwindow=1&amp;ei=2MT0XrvGGM-vytMP1OyDgAY&amp;q=site%3Alinkedin.com+Allison+Hansen+Corporate+Campus+Recruiter+GEICO" TargetMode="External"/><Relationship Id="rId43" Type="http://schemas.openxmlformats.org/officeDocument/2006/relationships/hyperlink" Target="https://www.google.com/search?newwindow=1&amp;ei=2MT0XrvGGM-vytMP1OyDgAY&amp;q=site%3Alinkedin.com+Jessy+Jager+Senior+Campus+Recruiter" TargetMode="External"/><Relationship Id="rId3516" Type="http://schemas.openxmlformats.org/officeDocument/2006/relationships/hyperlink" Target="https://www.google.com/search?newwindow=1&amp;ei=2MT0XrvGGM-vytMP1OyDgAY&amp;q=site%3Alinkedin.com+Alicia+Gutierrez,+MA-HRIR+Campus+Recruiter+-+Engineering,+Midwest+Region+Medtronic" TargetMode="External"/><Relationship Id="rId46" Type="http://schemas.openxmlformats.org/officeDocument/2006/relationships/hyperlink" Target="https://www.google.com/search?newwindow=1&amp;ei=2MT0XrvGGM-vytMP1OyDgAY&amp;q=site%3Alinkedin.com+Carly+Williams+National+Campus+Recruiting+Leader" TargetMode="External"/><Relationship Id="rId3519" Type="http://schemas.openxmlformats.org/officeDocument/2006/relationships/hyperlink" Target="https://www.google.com/search?newwindow=1&amp;ei=2MT0XrvGGM-vytMP1OyDgAY&amp;q=site%3Alinkedin.com+Tyrus+Sanders+Regional+College+Recruiter+GEICO" TargetMode="External"/><Relationship Id="rId45" Type="http://schemas.openxmlformats.org/officeDocument/2006/relationships/hyperlink" Target="https://www.google.com/search?newwindow=1&amp;ei=2MT0XrvGGM-vytMP1OyDgAY&amp;q=site%3Alinkedin.com+Sarah+Hodges+Associate,+Campus+Recruiting" TargetMode="External"/><Relationship Id="rId3518" Type="http://schemas.openxmlformats.org/officeDocument/2006/relationships/hyperlink" Target="https://www.google.com/search?newwindow=1&amp;ei=2MT0XrvGGM-vytMP1OyDgAY&amp;q=site%3Alinkedin.com+Sami+Graves+Campus+Recruiter+-+Supply+Chain+&amp;+Undergraduate+Campus+Recruitment+Medtronic" TargetMode="External"/><Relationship Id="rId48" Type="http://schemas.openxmlformats.org/officeDocument/2006/relationships/hyperlink" Target="https://www.google.com/search?newwindow=1&amp;ei=2MT0XrvGGM-vytMP1OyDgAY&amp;q=site%3Alinkedin.com+Madison+Ford+Campus+Recruiting+Coordinator" TargetMode="External"/><Relationship Id="rId47" Type="http://schemas.openxmlformats.org/officeDocument/2006/relationships/hyperlink" Target="https://www.google.com/search?newwindow=1&amp;ei=2MT0XrvGGM-vytMP1OyDgAY&amp;q=site%3Alinkedin.com+Betsy+Davis+Senior+Campus+Recruiter" TargetMode="External"/><Relationship Id="rId49" Type="http://schemas.openxmlformats.org/officeDocument/2006/relationships/hyperlink" Target="https://www.google.com/search?newwindow=1&amp;ei=2MT0XrvGGM-vytMP1OyDgAY&amp;q=site%3Alinkedin.com+Kimberley+Gibson+Campus+Recruiting+Coordinator" TargetMode="External"/><Relationship Id="rId3511" Type="http://schemas.openxmlformats.org/officeDocument/2006/relationships/hyperlink" Target="https://www.google.com/search?newwindow=1&amp;ei=2MT0XrvGGM-vytMP1OyDgAY&amp;q=site%3Alinkedin.com+Lesley+Evans+Seattle+Regional+College+Recruiter+GEICO" TargetMode="External"/><Relationship Id="rId3510" Type="http://schemas.openxmlformats.org/officeDocument/2006/relationships/hyperlink" Target="https://www.google.com/search?newwindow=1&amp;ei=2MT0XrvGGM-vytMP1OyDgAY&amp;q=site%3Alinkedin.com+Lauren+B.+Campus+Recruiter+-+Engineering+Covering+Colorado+&amp;+East+Coast+Region+Medtronic" TargetMode="External"/><Relationship Id="rId3502" Type="http://schemas.openxmlformats.org/officeDocument/2006/relationships/hyperlink" Target="https://www.google.com/search?newwindow=1&amp;ei=2MT0XrvGGM-vytMP1OyDgAY&amp;q=site%3Alinkedin.com+Danielle+Gallagher+Regional+College+Recruiter+GEICO" TargetMode="External"/><Relationship Id="rId3501" Type="http://schemas.openxmlformats.org/officeDocument/2006/relationships/hyperlink" Target="https://www.google.com/search?newwindow=1&amp;ei=2MT0XrvGGM-vytMP1OyDgAY&amp;q=site%3Alinkedin.com+Vivian+Chen+Technical+University+Recruiter+Lyft" TargetMode="External"/><Relationship Id="rId31" Type="http://schemas.openxmlformats.org/officeDocument/2006/relationships/hyperlink" Target="https://www.google.com/search?newwindow=1&amp;ei=2MT0XrvGGM-vytMP1OyDgAY&amp;q=site%3Alinkedin.com+Rachel+Leonard+Lead+Campus+Recruiting+Specialist" TargetMode="External"/><Relationship Id="rId3504" Type="http://schemas.openxmlformats.org/officeDocument/2006/relationships/hyperlink" Target="https://www.google.com/search?newwindow=1&amp;ei=2MT0XrvGGM-vytMP1OyDgAY&amp;q=site%3Alinkedin.com+Cory+Wood+Regional+College+Recruiter+GEICO" TargetMode="External"/><Relationship Id="rId30" Type="http://schemas.openxmlformats.org/officeDocument/2006/relationships/hyperlink" Target="https://www.google.com/search?newwindow=1&amp;ei=2MT0XrvGGM-vytMP1OyDgAY&amp;q=site%3Alinkedin.com+Ben+Raynor+Senior+Recruiter,+Student+Programs" TargetMode="External"/><Relationship Id="rId3503" Type="http://schemas.openxmlformats.org/officeDocument/2006/relationships/hyperlink" Target="https://www.google.com/search?newwindow=1&amp;ei=2MT0XrvGGM-vytMP1OyDgAY&amp;q=site%3Alinkedin.com+Courtney+Chacon+University+Recruiter+Lyft" TargetMode="External"/><Relationship Id="rId33" Type="http://schemas.openxmlformats.org/officeDocument/2006/relationships/hyperlink" Target="https://www.google.com/search?newwindow=1&amp;ei=2MT0XrvGGM-vytMP1OyDgAY&amp;q=site%3Alinkedin.com+Jennifer+Rice+Manager,+Campus+Recruiting" TargetMode="External"/><Relationship Id="rId3506" Type="http://schemas.openxmlformats.org/officeDocument/2006/relationships/hyperlink" Target="https://www.google.com/search?newwindow=1&amp;ei=2MT0XrvGGM-vytMP1OyDgAY&amp;q=site%3Alinkedin.com+Colleen+DiGiambattista+Executive+Recruiter+-+Campus+and+Experienced+Hire+Recruiting+McKinsey+&amp;+Company" TargetMode="External"/><Relationship Id="rId32" Type="http://schemas.openxmlformats.org/officeDocument/2006/relationships/hyperlink" Target="https://www.google.com/search?newwindow=1&amp;ei=2MT0XrvGGM-vytMP1OyDgAY&amp;q=site%3Alinkedin.com+Jessica+Winkles+Lead+Campus+Recruiting+Specialist" TargetMode="External"/><Relationship Id="rId3505" Type="http://schemas.openxmlformats.org/officeDocument/2006/relationships/hyperlink" Target="https://www.google.com/search?newwindow=1&amp;ei=2MT0XrvGGM-vytMP1OyDgAY&amp;q=site%3Alinkedin.com+Tim+Romanoff+Lyft+University+Recruiter+Lyft" TargetMode="External"/><Relationship Id="rId35" Type="http://schemas.openxmlformats.org/officeDocument/2006/relationships/hyperlink" Target="https://www.google.com/search?newwindow=1&amp;ei=2MT0XrvGGM-vytMP1OyDgAY&amp;q=site%3Alinkedin.com+Elise+Scott+Assistant+Director,+Campus+Recruiting" TargetMode="External"/><Relationship Id="rId3508" Type="http://schemas.openxmlformats.org/officeDocument/2006/relationships/hyperlink" Target="https://www.google.com/search?newwindow=1&amp;ei=2MT0XrvGGM-vytMP1OyDgAY&amp;q=site%3Alinkedin.com+Kyle+Scobee+Campus+Sourcing+Recruiter+McKinsey+&amp;+Company" TargetMode="External"/><Relationship Id="rId34" Type="http://schemas.openxmlformats.org/officeDocument/2006/relationships/hyperlink" Target="https://www.google.com/search?newwindow=1&amp;ei=2MT0XrvGGM-vytMP1OyDgAY&amp;q=site%3Alinkedin.com+Haley+Scudder+Talent+ID+Campus+Recruiting+Associate" TargetMode="External"/><Relationship Id="rId3507" Type="http://schemas.openxmlformats.org/officeDocument/2006/relationships/hyperlink" Target="https://www.google.com/search?newwindow=1&amp;ei=2MT0XrvGGM-vytMP1OyDgAY&amp;q=site%3Alinkedin.com+Jill+Burner+Regional+College+Recruiter+GEICO" TargetMode="External"/><Relationship Id="rId3509" Type="http://schemas.openxmlformats.org/officeDocument/2006/relationships/hyperlink" Target="https://www.google.com/search?newwindow=1&amp;ei=2MT0XrvGGM-vytMP1OyDgAY&amp;q=site%3Alinkedin.com+Kathleen+Cruz+College+Recruiter+GEICO" TargetMode="External"/><Relationship Id="rId37" Type="http://schemas.openxmlformats.org/officeDocument/2006/relationships/hyperlink" Target="https://www.google.com/search?newwindow=1&amp;ei=2MT0XrvGGM-vytMP1OyDgAY&amp;q=site%3Alinkedin.com+Kilsis+%22Saint%22+Saint-Hilaire+Student+Veteran+Recruiter" TargetMode="External"/><Relationship Id="rId36" Type="http://schemas.openxmlformats.org/officeDocument/2006/relationships/hyperlink" Target="https://www.google.com/search?newwindow=1&amp;ei=2MT0XrvGGM-vytMP1OyDgAY&amp;q=site%3Alinkedin.com+Lauren+Nelson+Assistant+Director,+Campus+Recruiting" TargetMode="External"/><Relationship Id="rId39" Type="http://schemas.openxmlformats.org/officeDocument/2006/relationships/hyperlink" Target="https://www.google.com/search?newwindow=1&amp;ei=2MT0XrvGGM-vytMP1OyDgAY&amp;q=site%3Alinkedin.com+Brittany+Roth+Healy+Campus+Recruiting+Associate+Manager" TargetMode="External"/><Relationship Id="rId38" Type="http://schemas.openxmlformats.org/officeDocument/2006/relationships/hyperlink" Target="https://www.google.com/search?newwindow=1&amp;ei=2MT0XrvGGM-vytMP1OyDgAY&amp;q=site%3Alinkedin.com+Kristin+Spivey+Associate+Director,+Campus+Recruiting" TargetMode="External"/><Relationship Id="rId3500" Type="http://schemas.openxmlformats.org/officeDocument/2006/relationships/hyperlink" Target="https://www.google.com/search?newwindow=1&amp;ei=2MT0XrvGGM-vytMP1OyDgAY&amp;q=site%3Alinkedin.com+Darrius+Baker+GEICO+Diversity+and+Inclusion+Recruiter+GEICO" TargetMode="External"/><Relationship Id="rId2203" Type="http://schemas.openxmlformats.org/officeDocument/2006/relationships/hyperlink" Target="https://www.google.com/search?newwindow=1&amp;ei=2MT0XrvGGM-vytMP1OyDgAY&amp;q=site%3Alinkedin.com+Melissa+Harper+Davis+MBA+Campus+Recruiter+Accenture" TargetMode="External"/><Relationship Id="rId3535" Type="http://schemas.openxmlformats.org/officeDocument/2006/relationships/hyperlink" Target="https://www.google.com/search?newwindow=1&amp;ei=2MT0XrvGGM-vytMP1OyDgAY&amp;q=site%3Alinkedin.com+Rechelle+Lambert+University+Relations+Recruiter+Goldman+Sachs" TargetMode="External"/><Relationship Id="rId2204" Type="http://schemas.openxmlformats.org/officeDocument/2006/relationships/hyperlink" Target="https://www.google.com/search?newwindow=1&amp;ei=2MT0XrvGGM-vytMP1OyDgAY&amp;q=site%3Alinkedin.com+Grace+Martin+Campus+Recruiter+-+Quantitative+Research+Citadel" TargetMode="External"/><Relationship Id="rId3534" Type="http://schemas.openxmlformats.org/officeDocument/2006/relationships/hyperlink" Target="https://www.google.com/search?newwindow=1&amp;ei=2MT0XrvGGM-vytMP1OyDgAY&amp;q=site%3Alinkedin.com+Erin+Odell+University+Recruiter+Microsoft" TargetMode="External"/><Relationship Id="rId20" Type="http://schemas.openxmlformats.org/officeDocument/2006/relationships/hyperlink" Target="https://www.google.com/search?newwindow=1&amp;ei=2MT0XrvGGM-vytMP1OyDgAY&amp;q=site%3Alinkedin.com+Liz+Verrecchia+Campus+Recruiting+Specialist" TargetMode="External"/><Relationship Id="rId2205" Type="http://schemas.openxmlformats.org/officeDocument/2006/relationships/hyperlink" Target="https://www.eugenehayden.com/rsvp" TargetMode="External"/><Relationship Id="rId3537" Type="http://schemas.openxmlformats.org/officeDocument/2006/relationships/hyperlink" Target="https://www.google.com/search?newwindow=1&amp;ei=2MT0XrvGGM-vytMP1OyDgAY&amp;q=site%3Alinkedin.com+Andrea+Adams+University+Recruiter+Microsoft" TargetMode="External"/><Relationship Id="rId2206" Type="http://schemas.openxmlformats.org/officeDocument/2006/relationships/hyperlink" Target="https://www.google.com/search?newwindow=1&amp;ei=2MT0XrvGGM-vytMP1OyDgAY&amp;q=site%3Alinkedin.com+Erin+Bergano+Manager,+Trading+Campus+Recruiting+Citadel" TargetMode="External"/><Relationship Id="rId3536" Type="http://schemas.openxmlformats.org/officeDocument/2006/relationships/hyperlink" Target="https://www.google.com/search?newwindow=1&amp;ei=2MT0XrvGGM-vytMP1OyDgAY&amp;q=site%3Alinkedin.com+Jessica+Nguyen+University+Recruiter+Microsoft" TargetMode="External"/><Relationship Id="rId22" Type="http://schemas.openxmlformats.org/officeDocument/2006/relationships/hyperlink" Target="https://www.google.com/search?newwindow=1&amp;ei=2MT0XrvGGM-vytMP1OyDgAY&amp;q=site%3Alinkedin.com+Kaitlin+Duberstein+Campus+Recruiting+Manager" TargetMode="External"/><Relationship Id="rId2207" Type="http://schemas.openxmlformats.org/officeDocument/2006/relationships/hyperlink" Target="https://www.google.com/search?newwindow=1&amp;ei=2MT0XrvGGM-vytMP1OyDgAY&amp;q=site%3Alinkedin.com+Nicole+Bonilla+Owens+Campus+Recruiter+Accenture" TargetMode="External"/><Relationship Id="rId3539" Type="http://schemas.openxmlformats.org/officeDocument/2006/relationships/hyperlink" Target="https://www.google.com/search?newwindow=1&amp;ei=2MT0XrvGGM-vytMP1OyDgAY&amp;q=site%3Alinkedin.com+Taylor+Mac+Kenzie+Campus+Recruiter+-+Vice+President+Goldman+Sachs" TargetMode="External"/><Relationship Id="rId21" Type="http://schemas.openxmlformats.org/officeDocument/2006/relationships/hyperlink" Target="https://www.google.com/search?newwindow=1&amp;ei=2MT0XrvGGM-vytMP1OyDgAY&amp;q=site%3Alinkedin.com+Meredith+Sutter+Campus+Recruiting+Manager" TargetMode="External"/><Relationship Id="rId2208" Type="http://schemas.openxmlformats.org/officeDocument/2006/relationships/hyperlink" Target="https://www.google.com/search?newwindow=1&amp;ei=2MT0XrvGGM-vytMP1OyDgAY&amp;q=site%3Alinkedin.com+Cody+Patrina+Campus+Recruiter+Citadel" TargetMode="External"/><Relationship Id="rId3538" Type="http://schemas.openxmlformats.org/officeDocument/2006/relationships/hyperlink" Target="https://www.google.com/search?newwindow=1&amp;ei=2MT0XrvGGM-vytMP1OyDgAY&amp;q=site%3Alinkedin.com+Aaron+Mickelsen+Technical+Recruiter+%7C+University+Team+Microsoft" TargetMode="External"/><Relationship Id="rId24" Type="http://schemas.openxmlformats.org/officeDocument/2006/relationships/hyperlink" Target="https://www.google.com/search?newwindow=1&amp;ei=2MT0XrvGGM-vytMP1OyDgAY&amp;q=site%3Alinkedin.com+Kristen+Bolt+Senior+Campus+Recruiting+Specialist" TargetMode="External"/><Relationship Id="rId2209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23" Type="http://schemas.openxmlformats.org/officeDocument/2006/relationships/hyperlink" Target="https://www.google.com/search?newwindow=1&amp;ei=2MT0XrvGGM-vytMP1OyDgAY&amp;q=site%3Alinkedin.com+Wandie+Toledo+Bethune+Lead+Diversity+&amp;+Inclusion+Program+Manager" TargetMode="External"/><Relationship Id="rId26" Type="http://schemas.openxmlformats.org/officeDocument/2006/relationships/hyperlink" Target="https://www.google.com/search?newwindow=1&amp;ei=2MT0XrvGGM-vytMP1OyDgAY&amp;q=site%3Alinkedin.com+Crystal+Brockington+Consulting+Campus+Recruiting+Specialist" TargetMode="External"/><Relationship Id="rId25" Type="http://schemas.openxmlformats.org/officeDocument/2006/relationships/hyperlink" Target="https://www.google.com/search?newwindow=1&amp;ei=2MT0XrvGGM-vytMP1OyDgAY&amp;q=site%3Alinkedin.com+Kelly+(Wise)+D%E2%80%99Amato+Campus+Recruiting+Specialist" TargetMode="External"/><Relationship Id="rId28" Type="http://schemas.openxmlformats.org/officeDocument/2006/relationships/hyperlink" Target="https://www.google.com/search?newwindow=1&amp;ei=2MT0XrvGGM-vytMP1OyDgAY&amp;q=site%3Alinkedin.com+Shahista+Bhimani+Campus+Recruiting+Coordinator-+US+East" TargetMode="External"/><Relationship Id="rId27" Type="http://schemas.openxmlformats.org/officeDocument/2006/relationships/hyperlink" Target="https://www.google.com/search?newwindow=1&amp;ei=2MT0XrvGGM-vytMP1OyDgAY&amp;q=site%3Alinkedin.com+Chase+Simpson+Senior+Campus+Recruiting+Specialist" TargetMode="External"/><Relationship Id="rId3531" Type="http://schemas.openxmlformats.org/officeDocument/2006/relationships/hyperlink" Target="https://www.google.com/search?newwindow=1&amp;ei=2MT0XrvGGM-vytMP1OyDgAY&amp;q=site%3Alinkedin.com+Kelsey+Grunigen+University+Recruiter+Microsoft" TargetMode="External"/><Relationship Id="rId29" Type="http://schemas.openxmlformats.org/officeDocument/2006/relationships/hyperlink" Target="https://www.google.com/search?newwindow=1&amp;ei=2MT0XrvGGM-vytMP1OyDgAY&amp;q=site%3Alinkedin.com+Alexis+Hardman+Campus+Recruiting+Specialist" TargetMode="External"/><Relationship Id="rId2200" Type="http://schemas.openxmlformats.org/officeDocument/2006/relationships/hyperlink" Target="https://www.google.com/search?newwindow=1&amp;ei=2MT0XrvGGM-vytMP1OyDgAY&amp;q=site%3Alinkedin.com+Andrew+L.+Saenz+Campus+Recruiter+Citadel" TargetMode="External"/><Relationship Id="rId3530" Type="http://schemas.openxmlformats.org/officeDocument/2006/relationships/hyperlink" Target="https://www.google.com/search?newwindow=1&amp;ei=2MT0XrvGGM-vytMP1OyDgAY&amp;q=site%3Alinkedin.com+Ashley+Mahone+Engineering+Campus+Recruiter+Goldman+Sachs" TargetMode="External"/><Relationship Id="rId2201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3533" Type="http://schemas.openxmlformats.org/officeDocument/2006/relationships/hyperlink" Target="https://www.google.com/search?newwindow=1&amp;ei=2MT0XrvGGM-vytMP1OyDgAY&amp;q=site%3Alinkedin.com+Abigal+Winters+Engineering+Campus+Recruiter+Goldman+Sachs" TargetMode="External"/><Relationship Id="rId2202" Type="http://schemas.openxmlformats.org/officeDocument/2006/relationships/hyperlink" Target="https://www.google.com/search?newwindow=1&amp;ei=2MT0XrvGGM-vytMP1OyDgAY&amp;q=site%3Alinkedin.com+Allie+McMahon+Campus+Recruiting+Manager+Citadel" TargetMode="External"/><Relationship Id="rId3532" Type="http://schemas.openxmlformats.org/officeDocument/2006/relationships/hyperlink" Target="https://www.google.com/search?newwindow=1&amp;ei=2MT0XrvGGM-vytMP1OyDgAY&amp;q=site%3Alinkedin.com+Abby+Newton+Technical+Recruiter+Microsoft" TargetMode="External"/><Relationship Id="rId3524" Type="http://schemas.openxmlformats.org/officeDocument/2006/relationships/hyperlink" Target="https://www.google.com/search?newwindow=1&amp;ei=2MT0XrvGGM-vytMP1OyDgAY&amp;q=site%3Alinkedin.com+Libby+Galatis+Campus+Recruiting+Manager+memoryBlue" TargetMode="External"/><Relationship Id="rId3523" Type="http://schemas.openxmlformats.org/officeDocument/2006/relationships/hyperlink" Target="https://www.google.com/search?newwindow=1&amp;ei=2MT0XrvGGM-vytMP1OyDgAY&amp;q=site%3Alinkedin.com+Jeannie+Toscano+Regional+College+Recruiter+GEICO" TargetMode="External"/><Relationship Id="rId3526" Type="http://schemas.openxmlformats.org/officeDocument/2006/relationships/hyperlink" Target="https://www.google.com/search?newwindow=1&amp;ei=2MT0XrvGGM-vytMP1OyDgAY&amp;q=site%3Alinkedin.com+Ashley+A.+Campus+Recruiter-+Global+Investment+Research+&amp;+Merchant+Banking+Divisions+Goldman+Sachs" TargetMode="External"/><Relationship Id="rId3525" Type="http://schemas.openxmlformats.org/officeDocument/2006/relationships/hyperlink" Target="https://www.google.com/search?newwindow=1&amp;ei=2MT0XrvGGM-vytMP1OyDgAY&amp;q=site%3Alinkedin.com+Leyla+N.+University+Recruiter+(Closer)+Microsoft" TargetMode="External"/><Relationship Id="rId11" Type="http://schemas.openxmlformats.org/officeDocument/2006/relationships/hyperlink" Target="https://www.google.com/search?newwindow=1&amp;ei=2MT0XrvGGM-vytMP1OyDgAY&amp;q=site%3Alinkedin.com+Rebecca+Hennessy+Administrative+Assistant-+Campus+Recruiting+Coordinator" TargetMode="External"/><Relationship Id="rId3528" Type="http://schemas.openxmlformats.org/officeDocument/2006/relationships/hyperlink" Target="https://www.google.com/search?newwindow=1&amp;ei=2MT0XrvGGM-vytMP1OyDgAY&amp;q=site%3Alinkedin.com+Amy+Mercedes+Pineda+Engineering+University+Relations+Recruiter+Coordinator+Goldman+Sachs" TargetMode="External"/><Relationship Id="rId10" Type="http://schemas.openxmlformats.org/officeDocument/2006/relationships/hyperlink" Target="https://www.google.com/search?newwindow=1&amp;ei=2MT0XrvGGM-vytMP1OyDgAY&amp;q=site%3Alinkedin.com+Alison+Pfeifer+Student+Recruiter" TargetMode="External"/><Relationship Id="rId3527" Type="http://schemas.openxmlformats.org/officeDocument/2006/relationships/hyperlink" Target="https://www.google.com/search?newwindow=1&amp;ei=2MT0XrvGGM-vytMP1OyDgAY&amp;q=site%3Alinkedin.com+Julie+Moskalenko+University+Recruiter+Microsoft" TargetMode="External"/><Relationship Id="rId13" Type="http://schemas.openxmlformats.org/officeDocument/2006/relationships/hyperlink" Target="https://www.google.com/search?newwindow=1&amp;ei=2MT0XrvGGM-vytMP1OyDgAY&amp;q=site%3Alinkedin.com+MJ+MacLellan+Associate+Registrar+-+Recruitment,+St.+Francis+Xavier+University" TargetMode="External"/><Relationship Id="rId12" Type="http://schemas.openxmlformats.org/officeDocument/2006/relationships/hyperlink" Target="https://www.google.com/search?newwindow=1&amp;ei=2MT0XrvGGM-vytMP1OyDgAY&amp;q=site%3Alinkedin.com+Gwendolyn+Reddy+Director,+National+Campus+Recruiting" TargetMode="External"/><Relationship Id="rId3529" Type="http://schemas.openxmlformats.org/officeDocument/2006/relationships/hyperlink" Target="https://www.google.com/search?newwindow=1&amp;ei=2MT0XrvGGM-vytMP1OyDgAY&amp;q=site%3Alinkedin.com+Elizabeth+Alhondra+Arredon+Mier+University+Recruiter+Microsoft" TargetMode="External"/><Relationship Id="rId15" Type="http://schemas.openxmlformats.org/officeDocument/2006/relationships/hyperlink" Target="https://www.google.com/search?newwindow=1&amp;ei=2MT0XrvGGM-vytMP1OyDgAY&amp;q=site%3Alinkedin.com+Allyson+Cowden+Campus+Recruiting+Manager" TargetMode="External"/><Relationship Id="rId14" Type="http://schemas.openxmlformats.org/officeDocument/2006/relationships/hyperlink" Target="https://www.google.com/search?newwindow=1&amp;ei=2MT0XrvGGM-vytMP1OyDgAY&amp;q=site%3Alinkedin.com+Monica+Williams+Director+of+Programs+and+Student+Services" TargetMode="External"/><Relationship Id="rId17" Type="http://schemas.openxmlformats.org/officeDocument/2006/relationships/hyperlink" Target="https://www.google.com/search?newwindow=1&amp;ei=2MT0XrvGGM-vytMP1OyDgAY&amp;q=site%3Alinkedin.com+Victoria+Clement+Senior+Campus+Recruiting+Coordinator" TargetMode="External"/><Relationship Id="rId16" Type="http://schemas.openxmlformats.org/officeDocument/2006/relationships/hyperlink" Target="https://www.google.com/search?newwindow=1&amp;ei=2MT0XrvGGM-vytMP1OyDgAY&amp;q=site%3Alinkedin.com+Lauren+Seijido+Senior+Campus+Recruiting+Specialist" TargetMode="External"/><Relationship Id="rId19" Type="http://schemas.openxmlformats.org/officeDocument/2006/relationships/hyperlink" Target="https://www.google.com/search?newwindow=1&amp;ei=2MT0XrvGGM-vytMP1OyDgAY&amp;q=site%3Alinkedin.com+Zoe+Nagel+Campus+Recruiting+Specialist" TargetMode="External"/><Relationship Id="rId3520" Type="http://schemas.openxmlformats.org/officeDocument/2006/relationships/hyperlink" Target="https://www.google.com/search?newwindow=1&amp;ei=2MT0XrvGGM-vytMP1OyDgAY&amp;q=site%3Alinkedin.com+Madisson+DeLisle+%F0%9F%90%98+Campus+Recruiting+Manager+memoryBlue" TargetMode="External"/><Relationship Id="rId18" Type="http://schemas.openxmlformats.org/officeDocument/2006/relationships/hyperlink" Target="https://www.google.com/search?newwindow=1&amp;ei=2MT0XrvGGM-vytMP1OyDgAY&amp;q=site%3Alinkedin.com+Danielle+Pawliw+Assistant+Director+of+Development+-+College+of+Business+at+the+University+of+Nevada+Reno" TargetMode="External"/><Relationship Id="rId3522" Type="http://schemas.openxmlformats.org/officeDocument/2006/relationships/hyperlink" Target="https://www.google.com/search?newwindow=1&amp;ei=2MT0XrvGGM-vytMP1OyDgAY&amp;q=site%3Alinkedin.com+Becca+Bullard+Campus+Recruiting+Manager+memoryBlue" TargetMode="External"/><Relationship Id="rId3521" Type="http://schemas.openxmlformats.org/officeDocument/2006/relationships/hyperlink" Target="https://www.google.com/search?newwindow=1&amp;ei=2MT0XrvGGM-vytMP1OyDgAY&amp;q=site%3Alinkedin.com+Mary+Alexander+College+Recruiter+GEICO" TargetMode="External"/><Relationship Id="rId84" Type="http://schemas.openxmlformats.org/officeDocument/2006/relationships/hyperlink" Target="https://www.google.com/search?newwindow=1&amp;ei=2MT0XrvGGM-vytMP1OyDgAY&amp;q=site%3Alinkedin.com+Li+Steinberg+Campus+Recruiting+Manager" TargetMode="External"/><Relationship Id="rId1774" Type="http://schemas.openxmlformats.org/officeDocument/2006/relationships/hyperlink" Target="https://www.google.com/search?newwindow=1&amp;ei=2MT0XrvGGM-vytMP1OyDgAY&amp;q=site%3Alinkedin.com+Gabriel+Sauro+Undergraduate+Advisor+&amp;+Recruiter+(School+of+Criminology)" TargetMode="External"/><Relationship Id="rId83" Type="http://schemas.openxmlformats.org/officeDocument/2006/relationships/hyperlink" Target="https://www.google.com/search?newwindow=1&amp;ei=2MT0XrvGGM-vytMP1OyDgAY&amp;q=site%3Alinkedin.com+Ryan+O'Neil+Campus+Recruiting+Coordinator" TargetMode="External"/><Relationship Id="rId1775" Type="http://schemas.openxmlformats.org/officeDocument/2006/relationships/hyperlink" Target="https://www.google.com/search?newwindow=1&amp;ei=2MT0XrvGGM-vytMP1OyDgAY&amp;q=site%3Alinkedin.com+Andrea+Walterhouse+Senior+Programs+Assistant,+Operations+&amp;+Administration" TargetMode="External"/><Relationship Id="rId86" Type="http://schemas.openxmlformats.org/officeDocument/2006/relationships/hyperlink" Target="https://www.google.com/search?newwindow=1&amp;ei=2MT0XrvGGM-vytMP1OyDgAY&amp;q=site%3Alinkedin.com+Christopher+Mann+Senior+Associate,+Campus+Recruiting" TargetMode="External"/><Relationship Id="rId1776" Type="http://schemas.openxmlformats.org/officeDocument/2006/relationships/hyperlink" Target="https://www.google.com/search?newwindow=1&amp;ei=2MT0XrvGGM-vytMP1OyDgAY&amp;q=site%3Alinkedin.com+Emily+Naing+Student+Intern:+Student+Programs+Coordinator" TargetMode="External"/><Relationship Id="rId85" Type="http://schemas.openxmlformats.org/officeDocument/2006/relationships/hyperlink" Target="https://www.google.com/search?newwindow=1&amp;ei=2MT0XrvGGM-vytMP1OyDgAY&amp;q=site%3Alinkedin.com+Krysta+DiGregorio+Senior+Campus+Recruiting+Specialist" TargetMode="External"/><Relationship Id="rId1777" Type="http://schemas.openxmlformats.org/officeDocument/2006/relationships/hyperlink" Target="https://www.google.com/search?newwindow=1&amp;ei=2MT0XrvGGM-vytMP1OyDgAY&amp;q=site%3Alinkedin.com+Alisha+Samnani+Officer,+Student+Engagement+Programs" TargetMode="External"/><Relationship Id="rId88" Type="http://schemas.openxmlformats.org/officeDocument/2006/relationships/hyperlink" Target="https://www.google.com/search?newwindow=1&amp;ei=2MT0XrvGGM-vytMP1OyDgAY&amp;q=site%3Alinkedin.com+Monica+Baldwin+Recruiting+Manager,+Campus+&amp;+Programmatic+Hiring+(Manager-Level+Hiring)" TargetMode="External"/><Relationship Id="rId1778" Type="http://schemas.openxmlformats.org/officeDocument/2006/relationships/hyperlink" Target="https://www.google.com/search?newwindow=1&amp;ei=2MT0XrvGGM-vytMP1OyDgAY&amp;q=site%3Alinkedin.com+Stephanie+Paige+Coordinator,+Professional+Development+and+Student+Programs+(BC)" TargetMode="External"/><Relationship Id="rId87" Type="http://schemas.openxmlformats.org/officeDocument/2006/relationships/hyperlink" Target="https://www.google.com/search?newwindow=1&amp;ei=2MT0XrvGGM-vytMP1OyDgAY&amp;q=site%3Alinkedin.com+Carrie+Palmer+Campus+Recruiting+Program+Manager" TargetMode="External"/><Relationship Id="rId1779" Type="http://schemas.openxmlformats.org/officeDocument/2006/relationships/hyperlink" Target="https://www.google.com/search?newwindow=1&amp;ei=2MT0XrvGGM-vytMP1OyDgAY&amp;q=site%3Alinkedin.com+Jessie+C.+Academic+Programs+Coordinator+-+School+of+Computing+Science" TargetMode="External"/><Relationship Id="rId89" Type="http://schemas.openxmlformats.org/officeDocument/2006/relationships/hyperlink" Target="https://www.google.com/search?newwindow=1&amp;ei=2MT0XrvGGM-vytMP1OyDgAY&amp;q=site%3Alinkedin.com+Isabelle+Mellon+Senior+Campus+Recruiting+Coordinator" TargetMode="External"/><Relationship Id="rId80" Type="http://schemas.openxmlformats.org/officeDocument/2006/relationships/hyperlink" Target="https://www.google.com/search?newwindow=1&amp;ei=2MT0XrvGGM-vytMP1OyDgAY&amp;q=site%3Alinkedin.com+Danielle+D'Elia+Associate,+Campus+Recruiting" TargetMode="External"/><Relationship Id="rId82" Type="http://schemas.openxmlformats.org/officeDocument/2006/relationships/hyperlink" Target="https://www.google.com/search?newwindow=1&amp;ei=2MT0XrvGGM-vytMP1OyDgAY&amp;q=site%3Alinkedin.com+Brittany+Cuevas+Senior+Associate,+Campus+Recruiting" TargetMode="External"/><Relationship Id="rId81" Type="http://schemas.openxmlformats.org/officeDocument/2006/relationships/hyperlink" Target="https://www.google.com/search?newwindow=1&amp;ei=2MT0XrvGGM-vytMP1OyDgAY&amp;q=site%3Alinkedin.com+Maureen+Gilroy+Campus+Recruiting+Manager" TargetMode="External"/><Relationship Id="rId1770" Type="http://schemas.openxmlformats.org/officeDocument/2006/relationships/hyperlink" Target="https://www.google.com/search?newwindow=1&amp;ei=2MT0XrvGGM-vytMP1OyDgAY&amp;q=site%3Alinkedin.com+Joseph+Topornycky+Manager,+Graduate+Student+Programs" TargetMode="External"/><Relationship Id="rId1771" Type="http://schemas.openxmlformats.org/officeDocument/2006/relationships/hyperlink" Target="https://www.google.com/search?newwindow=1&amp;ei=2MT0XrvGGM-vytMP1OyDgAY&amp;q=site%3Alinkedin.com+Kathleen+Coupland+Coordinator+for+the+Professional+Masters+Programs" TargetMode="External"/><Relationship Id="rId1772" Type="http://schemas.openxmlformats.org/officeDocument/2006/relationships/hyperlink" Target="https://www.google.com/search?newwindow=1&amp;ei=2MT0XrvGGM-vytMP1OyDgAY&amp;q=site%3Alinkedin.com+Kelsey+Dyck+Practicum+Student" TargetMode="External"/><Relationship Id="rId1773" Type="http://schemas.openxmlformats.org/officeDocument/2006/relationships/hyperlink" Target="https://www.google.com/search?newwindow=1&amp;ei=2MT0XrvGGM-vytMP1OyDgAY&amp;q=site%3Alinkedin.com+Carol+Chestnut+Director,+Associate+&amp;+Student+Programs" TargetMode="External"/><Relationship Id="rId73" Type="http://schemas.openxmlformats.org/officeDocument/2006/relationships/hyperlink" Target="https://www.google.com/search?newwindow=1&amp;ei=2MT0XrvGGM-vytMP1OyDgAY&amp;q=site%3Alinkedin.com+Millie+Charnley+Recruiter+Support+Coordinator" TargetMode="External"/><Relationship Id="rId1763" Type="http://schemas.openxmlformats.org/officeDocument/2006/relationships/hyperlink" Target="https://www.google.com/search?newwindow=1&amp;ei=2MT0XrvGGM-vytMP1OyDgAY&amp;q=site%3Alinkedin.com+Lisa+Midgley+Talent+Specialist,+Associate+&amp;+Student+Programs" TargetMode="External"/><Relationship Id="rId72" Type="http://schemas.openxmlformats.org/officeDocument/2006/relationships/hyperlink" Target="https://www.google.com/search?newwindow=1&amp;ei=2MT0XrvGGM-vytMP1OyDgAY&amp;q=site%3Alinkedin.com+Megan+Carter,+CPA+Senior+Associate,+EY+Talent+Acquisition+and+Attraction,+Campus+Recruiting" TargetMode="External"/><Relationship Id="rId1764" Type="http://schemas.openxmlformats.org/officeDocument/2006/relationships/hyperlink" Target="https://www.google.com/search?newwindow=1&amp;ei=2MT0XrvGGM-vytMP1OyDgAY&amp;q=site%3Alinkedin.com+William+C.+Student+Programs+Assistant+(Faculty+of+Medicine)" TargetMode="External"/><Relationship Id="rId75" Type="http://schemas.openxmlformats.org/officeDocument/2006/relationships/hyperlink" Target="https://www.google.com/search?newwindow=1&amp;ei=2MT0XrvGGM-vytMP1OyDgAY&amp;q=site%3Alinkedin.com+Carrie-Ellen+Mitchell+University+Recruiter" TargetMode="External"/><Relationship Id="rId1765" Type="http://schemas.openxmlformats.org/officeDocument/2006/relationships/hyperlink" Target="https://www.google.com/search?newwindow=1&amp;ei=2MT0XrvGGM-vytMP1OyDgAY&amp;q=site%3Alinkedin.com+Hanna+J.+L.+International+Student+Advisor,+Programs+and+Settlement" TargetMode="External"/><Relationship Id="rId74" Type="http://schemas.openxmlformats.org/officeDocument/2006/relationships/hyperlink" Target="https://www.google.com/search?newwindow=1&amp;ei=2MT0XrvGGM-vytMP1OyDgAY&amp;q=site%3Alinkedin.com+Rhonda+Winstead+Campus+Recruiting" TargetMode="External"/><Relationship Id="rId1766" Type="http://schemas.openxmlformats.org/officeDocument/2006/relationships/hyperlink" Target="https://www.google.com/search?newwindow=1&amp;ei=2MT0XrvGGM-vytMP1OyDgAY&amp;q=site%3Alinkedin.com+Courtney+Apps,+MBA+Undergraduate+Advisor+&amp;+Recruiter+-+Political+Science" TargetMode="External"/><Relationship Id="rId77" Type="http://schemas.openxmlformats.org/officeDocument/2006/relationships/hyperlink" Target="https://www.google.com/search?newwindow=1&amp;ei=2MT0XrvGGM-vytMP1OyDgAY&amp;q=site%3Alinkedin.com+Ben+Amerault+Senior+Campus+Recruiting+Talent+Scout+%5BRecruiter%5D" TargetMode="External"/><Relationship Id="rId1767" Type="http://schemas.openxmlformats.org/officeDocument/2006/relationships/hyperlink" Target="https://www.google.com/search?newwindow=1&amp;ei=2MT0XrvGGM-vytMP1OyDgAY&amp;q=site%3Alinkedin.com+Elisa+C.+Coordinator,+Student+and+Associate+Programs+(West)" TargetMode="External"/><Relationship Id="rId76" Type="http://schemas.openxmlformats.org/officeDocument/2006/relationships/hyperlink" Target="https://www.google.com/search?newwindow=1&amp;ei=2MT0XrvGGM-vytMP1OyDgAY&amp;q=site%3Alinkedin.com+Thienan+Dang+Senior+Associate,+Campus+Recruiting" TargetMode="External"/><Relationship Id="rId1768" Type="http://schemas.openxmlformats.org/officeDocument/2006/relationships/hyperlink" Target="https://www.google.com/search?newwindow=1&amp;ei=2MT0XrvGGM-vytMP1OyDgAY&amp;q=site%3Alinkedin.com+Lisa+Sidhu+Associate+Director,+Associate+and+Student+Programs" TargetMode="External"/><Relationship Id="rId79" Type="http://schemas.openxmlformats.org/officeDocument/2006/relationships/hyperlink" Target="https://www.google.com/search?newwindow=1&amp;ei=2MT0XrvGGM-vytMP1OyDgAY&amp;q=site%3Alinkedin.com+Elisabeth+Mox,+SHRM-CP+Lead+of+Undergraduate+Campus+Recruiting+(Business+and+Tech)" TargetMode="External"/><Relationship Id="rId1769" Type="http://schemas.openxmlformats.org/officeDocument/2006/relationships/hyperlink" Target="https://www.google.com/search?newwindow=1&amp;ei=2MT0XrvGGM-vytMP1OyDgAY&amp;q=site%3Alinkedin.com+Christine+York+Director+of+Associate+and+Student+Programs" TargetMode="External"/><Relationship Id="rId78" Type="http://schemas.openxmlformats.org/officeDocument/2006/relationships/hyperlink" Target="https://www.google.com/search?newwindow=1&amp;ei=2MT0XrvGGM-vytMP1OyDgAY&amp;q=site%3Alinkedin.com+Charlotte+Barszewski+Campus+Recruiting+Specialist" TargetMode="External"/><Relationship Id="rId71" Type="http://schemas.openxmlformats.org/officeDocument/2006/relationships/hyperlink" Target="https://www.google.com/search?newwindow=1&amp;ei=2MT0XrvGGM-vytMP1OyDgAY&amp;q=site%3Alinkedin.com+Brooke+Katz+Campus+Recruiting+Coordinator" TargetMode="External"/><Relationship Id="rId70" Type="http://schemas.openxmlformats.org/officeDocument/2006/relationships/hyperlink" Target="https://www.google.com/search?newwindow=1&amp;ei=2MT0XrvGGM-vytMP1OyDgAY&amp;q=site%3Alinkedin.com+Diane+Cook,+PMP+Project+Manager+II,+Campus+Recruiting" TargetMode="External"/><Relationship Id="rId1760" Type="http://schemas.openxmlformats.org/officeDocument/2006/relationships/hyperlink" Target="https://www.google.com/search?newwindow=1&amp;ei=2MT0XrvGGM-vytMP1OyDgAY&amp;q=site%3Alinkedin.com+Meike+Schieb+International+Student+Advisor,+Scholarship+Programs" TargetMode="External"/><Relationship Id="rId1761" Type="http://schemas.openxmlformats.org/officeDocument/2006/relationships/hyperlink" Target="https://www.google.com/search?newwindow=1&amp;ei=2MT0XrvGGM-vytMP1OyDgAY&amp;q=site%3Alinkedin.com+Tina+Borcanin+HR+Consulting+Services+Student" TargetMode="External"/><Relationship Id="rId1762" Type="http://schemas.openxmlformats.org/officeDocument/2006/relationships/hyperlink" Target="https://www.google.com/search?newwindow=1&amp;ei=2MT0XrvGGM-vytMP1OyDgAY&amp;q=site%3Alinkedin.com+Ben+Lee+Undergraduate+Advisor+&amp;+Recruiter" TargetMode="External"/><Relationship Id="rId62" Type="http://schemas.openxmlformats.org/officeDocument/2006/relationships/hyperlink" Target="https://www.google.com/search?newwindow=1&amp;ei=2MT0XrvGGM-vytMP1OyDgAY&amp;q=site%3Alinkedin.com+Alexia+Stocker+Clearing+And+Recruitment+Ambassador" TargetMode="External"/><Relationship Id="rId1796" Type="http://schemas.openxmlformats.org/officeDocument/2006/relationships/hyperlink" Target="https://www.google.com/search?newwindow=1&amp;ei=2MT0XrvGGM-vytMP1OyDgAY&amp;q=site%3Alinkedin.com+Christine+Savery+Campus+Recruiter" TargetMode="External"/><Relationship Id="rId61" Type="http://schemas.openxmlformats.org/officeDocument/2006/relationships/hyperlink" Target="https://www.google.com/search?newwindow=1&amp;ei=2MT0XrvGGM-vytMP1OyDgAY&amp;q=site%3Alinkedin.com+Stephanie+Spencer+Interim+Adminstrative+Assistant+in+Caridiovascular+&amp;+Renal+Progrmas+&amp;+Patient+Flow+Programs" TargetMode="External"/><Relationship Id="rId1797" Type="http://schemas.openxmlformats.org/officeDocument/2006/relationships/hyperlink" Target="https://www.google.com/search?newwindow=1&amp;ei=2MT0XrvGGM-vytMP1OyDgAY&amp;q=site%3Alinkedin.com+Olivia+Storer+Student+Ambassador" TargetMode="External"/><Relationship Id="rId64" Type="http://schemas.openxmlformats.org/officeDocument/2006/relationships/hyperlink" Target="https://www.google.com/search?newwindow=1&amp;ei=2MT0XrvGGM-vytMP1OyDgAY&amp;q=site%3Alinkedin.com+Amy+Benton+Human+Resources,+Firmwide+Campus+Recruiting+Operations+Manager" TargetMode="External"/><Relationship Id="rId1798" Type="http://schemas.openxmlformats.org/officeDocument/2006/relationships/hyperlink" Target="https://www.google.com/search?newwindow=1&amp;ei=2MT0XrvGGM-vytMP1OyDgAY&amp;q=site%3Alinkedin.com+Nicole+Floyd+Associate,+Campus+Recruiting" TargetMode="External"/><Relationship Id="rId63" Type="http://schemas.openxmlformats.org/officeDocument/2006/relationships/hyperlink" Target="https://www.google.com/search?newwindow=1&amp;ei=2MT0XrvGGM-vytMP1OyDgAY&amp;q=site%3Alinkedin.com+Anthony+Dean+Policy+and+Technical+Assistant+Manager+-+Energy+Efficiency+and+Social+Programs" TargetMode="External"/><Relationship Id="rId1799" Type="http://schemas.openxmlformats.org/officeDocument/2006/relationships/hyperlink" Target="https://www.google.com/search?newwindow=1&amp;ei=2MT0XrvGGM-vytMP1OyDgAY&amp;q=site%3Alinkedin.com+Lucy+Woodrow+Graduate+Recruiter" TargetMode="External"/><Relationship Id="rId66" Type="http://schemas.openxmlformats.org/officeDocument/2006/relationships/hyperlink" Target="https://www.google.com/search?newwindow=1&amp;ei=2MT0XrvGGM-vytMP1OyDgAY&amp;q=site%3Alinkedin.com+Virginia+Canning+Adult+Educator+Correctional+Programs" TargetMode="External"/><Relationship Id="rId65" Type="http://schemas.openxmlformats.org/officeDocument/2006/relationships/hyperlink" Target="https://www.google.com/search?newwindow=1&amp;ei=2MT0XrvGGM-vytMP1OyDgAY&amp;q=site%3Alinkedin.com+Dominika+Kalinowska+Educational+Adviser/+Student+Ambassador/+Student+Recruiter" TargetMode="External"/><Relationship Id="rId68" Type="http://schemas.openxmlformats.org/officeDocument/2006/relationships/hyperlink" Target="https://www.google.com/search?newwindow=1&amp;ei=2MT0XrvGGM-vytMP1OyDgAY&amp;q=site%3Alinkedin.com+Stephen+Scott+Operations+Programs+and+Standards+Co-op+Student" TargetMode="External"/><Relationship Id="rId67" Type="http://schemas.openxmlformats.org/officeDocument/2006/relationships/hyperlink" Target="https://www.google.com/search?newwindow=1&amp;ei=2MT0XrvGGM-vytMP1OyDgAY&amp;q=site%3Alinkedin.com+Catherine+Irvine+Campus+Recruiter+%7C+Operations+EMEA" TargetMode="External"/><Relationship Id="rId60" Type="http://schemas.openxmlformats.org/officeDocument/2006/relationships/hyperlink" Target="https://www.google.com/search?newwindow=1&amp;ei=2MT0XrvGGM-vytMP1OyDgAY&amp;q=site%3Alinkedin.com+Sheona+Morrison+Manager,+Student+Leadership+and+Transition+Programs" TargetMode="External"/><Relationship Id="rId69" Type="http://schemas.openxmlformats.org/officeDocument/2006/relationships/hyperlink" Target="https://www.google.com/search?newwindow=1&amp;ei=2MT0XrvGGM-vytMP1OyDgAY&amp;q=site%3Alinkedin.com+Alexandra+Foret+Recruiting+Lead,+Campus+Recruiting" TargetMode="External"/><Relationship Id="rId1790" Type="http://schemas.openxmlformats.org/officeDocument/2006/relationships/hyperlink" Target="https://www.google.com/search?newwindow=1&amp;ei=2MT0XrvGGM-vytMP1OyDgAY&amp;q=site%3Alinkedin.com+Sabrina+Williams+Student" TargetMode="External"/><Relationship Id="rId1791" Type="http://schemas.openxmlformats.org/officeDocument/2006/relationships/hyperlink" Target="https://www.google.com/search?newwindow=1&amp;ei=2MT0XrvGGM-vytMP1OyDgAY&amp;q=site%3Alinkedin.com+Radhika+Nair+Exchange+Student+Advisor,+International+Programs" TargetMode="External"/><Relationship Id="rId1792" Type="http://schemas.openxmlformats.org/officeDocument/2006/relationships/hyperlink" Target="https://www.google.com/search?newwindow=1&amp;ei=2MT0XrvGGM-vytMP1OyDgAY&amp;q=site%3Alinkedin.com+Ellen+Podbury+Student+and+Staff+Programs+Leading+Teacher" TargetMode="External"/><Relationship Id="rId1793" Type="http://schemas.openxmlformats.org/officeDocument/2006/relationships/hyperlink" Target="https://www.google.com/search?newwindow=1&amp;ei=2MT0XrvGGM-vytMP1OyDgAY&amp;q=site%3Alinkedin.com+Mark+Johnston+District+Vice-Principal;+International+Student+Programs" TargetMode="External"/><Relationship Id="rId1794" Type="http://schemas.openxmlformats.org/officeDocument/2006/relationships/hyperlink" Target="https://www.google.com/search?newwindow=1&amp;ei=2MT0XrvGGM-vytMP1OyDgAY&amp;q=site%3Alinkedin.com+Pauline+Bedford+Director+of+the+Admissions+and+Recruitment+Centre,+University+Partnerships+Europe" TargetMode="External"/><Relationship Id="rId1795" Type="http://schemas.openxmlformats.org/officeDocument/2006/relationships/hyperlink" Target="https://www.google.com/search?newwindow=1&amp;ei=2MT0XrvGGM-vytMP1OyDgAY&amp;q=site%3Alinkedin.com+Tara+Parandak+Campus+Recruiting+Ambassador" TargetMode="External"/><Relationship Id="rId51" Type="http://schemas.openxmlformats.org/officeDocument/2006/relationships/hyperlink" Target="https://www.google.com/search?newwindow=1&amp;ei=2MT0XrvGGM-vytMP1OyDgAY&amp;q=site%3Alinkedin.com+Maryam+Goharinejad+Campus+Recruiting+Consultant" TargetMode="External"/><Relationship Id="rId1785" Type="http://schemas.openxmlformats.org/officeDocument/2006/relationships/hyperlink" Target="https://www.google.com/search?newwindow=1&amp;ei=2MT0XrvGGM-vytMP1OyDgAY&amp;q=site%3Alinkedin.com+Kyoungsook(Kim)+Sjoblom+Student+Recruiter" TargetMode="External"/><Relationship Id="rId50" Type="http://schemas.openxmlformats.org/officeDocument/2006/relationships/hyperlink" Target="https://www.google.com/search?newwindow=1&amp;ei=2MT0XrvGGM-vytMP1OyDgAY&amp;q=site%3Alinkedin.com+Beth+Bunn+Recruitment+Manager" TargetMode="External"/><Relationship Id="rId1786" Type="http://schemas.openxmlformats.org/officeDocument/2006/relationships/hyperlink" Target="https://www.google.com/search?newwindow=1&amp;ei=2MT0XrvGGM-vytMP1OyDgAY&amp;q=site%3Alinkedin.com+Gabrielle+Costin+Deputy+Principal+-+Student+Programs+and+Staffing" TargetMode="External"/><Relationship Id="rId53" Type="http://schemas.openxmlformats.org/officeDocument/2006/relationships/hyperlink" Target="https://www.google.com/search?newwindow=1&amp;ei=2MT0XrvGGM-vytMP1OyDgAY&amp;q=site%3Alinkedin.com+Hailey+Pyle+Campus+Recruiting+Specialist" TargetMode="External"/><Relationship Id="rId1787" Type="http://schemas.openxmlformats.org/officeDocument/2006/relationships/hyperlink" Target="https://www.google.com/search?newwindow=1&amp;ei=2MT0XrvGGM-vytMP1OyDgAY&amp;q=site%3Alinkedin.com+Jeff+Davis+Director+-+International+Student+Programs" TargetMode="External"/><Relationship Id="rId52" Type="http://schemas.openxmlformats.org/officeDocument/2006/relationships/hyperlink" Target="https://www.google.com/search?newwindow=1&amp;ei=2MT0XrvGGM-vytMP1OyDgAY&amp;q=site%3Alinkedin.com+Jessica+J.+University+Recruiting+Campus+Manager" TargetMode="External"/><Relationship Id="rId1788" Type="http://schemas.openxmlformats.org/officeDocument/2006/relationships/hyperlink" Target="https://www.google.com/search?newwindow=1&amp;ei=2MT0XrvGGM-vytMP1OyDgAY&amp;q=site%3Alinkedin.com+Jennifer+Lei+K.+INTERNATIONAL+STUDENT+FACILITATOR.+INTERNATIONAL+STUDENT+PROGRAMS" TargetMode="External"/><Relationship Id="rId55" Type="http://schemas.openxmlformats.org/officeDocument/2006/relationships/hyperlink" Target="https://www.google.com/search?newwindow=1&amp;ei=2MT0XrvGGM-vytMP1OyDgAY&amp;q=site%3Alinkedin.com+Trisha+Maberly+Lead+Campus+Recruiting+Specialist" TargetMode="External"/><Relationship Id="rId1789" Type="http://schemas.openxmlformats.org/officeDocument/2006/relationships/hyperlink" Target="https://www.google.com/search?newwindow=1&amp;ei=2MT0XrvGGM-vytMP1OyDgAY&amp;q=site%3Alinkedin.com+Linda+Nicoll+Manager,+Student+and+Alumni+Programs" TargetMode="External"/><Relationship Id="rId54" Type="http://schemas.openxmlformats.org/officeDocument/2006/relationships/hyperlink" Target="https://www.google.com/search?newwindow=1&amp;ei=2MT0XrvGGM-vytMP1OyDgAY&amp;q=site%3Alinkedin.com+Fabian+Figi+Head+of+Campus+Channels" TargetMode="External"/><Relationship Id="rId57" Type="http://schemas.openxmlformats.org/officeDocument/2006/relationships/hyperlink" Target="https://www.google.com/search?newwindow=1&amp;ei=2MT0XrvGGM-vytMP1OyDgAY&amp;q=site%3Alinkedin.com+Teryl+Booth+Campus+Recruiting+Manager" TargetMode="External"/><Relationship Id="rId56" Type="http://schemas.openxmlformats.org/officeDocument/2006/relationships/hyperlink" Target="https://www.google.com/search?newwindow=1&amp;ei=2MT0XrvGGM-vytMP1OyDgAY&amp;q=site%3Alinkedin.com+Molly+Haas+Recruiter,+Student+Programs" TargetMode="External"/><Relationship Id="rId59" Type="http://schemas.openxmlformats.org/officeDocument/2006/relationships/hyperlink" Target="https://www.google.com/search?newwindow=1&amp;ei=2MT0XrvGGM-vytMP1OyDgAY&amp;q=site%3Alinkedin.com+Sarah+Harari+Manager,+Campus+Recruiting" TargetMode="External"/><Relationship Id="rId58" Type="http://schemas.openxmlformats.org/officeDocument/2006/relationships/hyperlink" Target="https://www.google.com/search?newwindow=1&amp;ei=2MT0XrvGGM-vytMP1OyDgAY&amp;q=site%3Alinkedin.com+Jane+Adeosun+Associate,+Campus+Recruiting" TargetMode="External"/><Relationship Id="rId1780" Type="http://schemas.openxmlformats.org/officeDocument/2006/relationships/hyperlink" Target="https://www.google.com/search?newwindow=1&amp;ei=2MT0XrvGGM-vytMP1OyDgAY&amp;q=site%3Alinkedin.com+Alexis+Vanderveen+Special+Programs+Advisor+and+Recruiter,+Faculty+of+Education" TargetMode="External"/><Relationship Id="rId1781" Type="http://schemas.openxmlformats.org/officeDocument/2006/relationships/hyperlink" Target="https://www.google.com/search?newwindow=1&amp;ei=2MT0XrvGGM-vytMP1OyDgAY&amp;q=site%3Alinkedin.com+Syskova+Nadia+Associate+International+Student+Recruiter+and+Advisor" TargetMode="External"/><Relationship Id="rId1782" Type="http://schemas.openxmlformats.org/officeDocument/2006/relationships/hyperlink" Target="https://www.google.com/search?newwindow=1&amp;ei=2MT0XrvGGM-vytMP1OyDgAY&amp;q=site%3Alinkedin.com+Dr.+Mishy+Elmpak,+C.+Psych.+Professor,+Faculty+of+Psychology,+Director+of+International+Student+Programs" TargetMode="External"/><Relationship Id="rId1783" Type="http://schemas.openxmlformats.org/officeDocument/2006/relationships/hyperlink" Target="https://www.google.com/search?newwindow=1&amp;ei=2MT0XrvGGM-vytMP1OyDgAY&amp;q=site%3Alinkedin.com+Karen+Waugh+Senior+International+Recruiter/Advisor+Awards+and+On-Campus" TargetMode="External"/><Relationship Id="rId1784" Type="http://schemas.openxmlformats.org/officeDocument/2006/relationships/hyperlink" Target="https://www.google.com/search?newwindow=1&amp;ei=2MT0XrvGGM-vytMP1OyDgAY&amp;q=site%3Alinkedin.com+Clare+Walton+Engineering+and+Computer+Science+Student+Recruiter" TargetMode="External"/><Relationship Id="rId2269" Type="http://schemas.openxmlformats.org/officeDocument/2006/relationships/hyperlink" Target="https://www.google.com/search?newwindow=1&amp;ei=2MT0XrvGGM-vytMP1OyDgAY&amp;q=site%3Alinkedin.com+Porsha+Alexander+Strategy+Campus+Recruiting+Associate+Manager+Accenture" TargetMode="External"/><Relationship Id="rId349" Type="http://schemas.openxmlformats.org/officeDocument/2006/relationships/hyperlink" Target="https://www.google.com/search?newwindow=1&amp;ei=2MT0XrvGGM-vytMP1OyDgAY&amp;q=site%3Alinkedin.com+Kristin+Mikelson+Campus+Recruiting+Manager" TargetMode="External"/><Relationship Id="rId348" Type="http://schemas.openxmlformats.org/officeDocument/2006/relationships/hyperlink" Target="https://www.google.com/search?newwindow=1&amp;ei=2MT0XrvGGM-vytMP1OyDgAY&amp;q=site%3Alinkedin.com+Jill+Wilson+Campus+Recruiting+Market+Segment+Lead" TargetMode="External"/><Relationship Id="rId347" Type="http://schemas.openxmlformats.org/officeDocument/2006/relationships/hyperlink" Target="https://www.google.com/search?newwindow=1&amp;ei=2MT0XrvGGM-vytMP1OyDgAY&amp;q=site%3Alinkedin.com+Jen+Marshall+Central+Market+Talent+Identification+Lead" TargetMode="External"/><Relationship Id="rId346" Type="http://schemas.openxmlformats.org/officeDocument/2006/relationships/hyperlink" Target="https://www.google.com/search?newwindow=1&amp;ei=2MT0XrvGGM-vytMP1OyDgAY&amp;q=site%3Alinkedin.com+William+Hilbrich+Campus+Recruiting+Specialist+-+Consulting" TargetMode="External"/><Relationship Id="rId3591" Type="http://schemas.openxmlformats.org/officeDocument/2006/relationships/hyperlink" Target="https://www.google.com/search?newwindow=1&amp;ei=2MT0XrvGGM-vytMP1OyDgAY&amp;q=site%3Alinkedin.com+Anna+Katrina+Robancho+University+Recruiter+Microsoft" TargetMode="External"/><Relationship Id="rId2260" Type="http://schemas.openxmlformats.org/officeDocument/2006/relationships/hyperlink" Target="https://www.google.com/search?newwindow=1&amp;ei=2MT0XrvGGM-vytMP1OyDgAY&amp;q=site%3Alinkedin.com+Michelle+D'Erario+Assistant+Vice+President,+Campus+Recruiter+Citi" TargetMode="External"/><Relationship Id="rId3590" Type="http://schemas.openxmlformats.org/officeDocument/2006/relationships/hyperlink" Target="https://www.google.com/search?newwindow=1&amp;ei=2MT0XrvGGM-vytMP1OyDgAY&amp;q=site%3Alinkedin.com+Karan+Bhargava+University+Program+Recruiting+Manager+Google" TargetMode="External"/><Relationship Id="rId341" Type="http://schemas.openxmlformats.org/officeDocument/2006/relationships/hyperlink" Target="https://www.google.com/search?newwindow=1&amp;ei=2MT0XrvGGM-vytMP1OyDgAY&amp;q=site%3Alinkedin.com+Elizabeth+Zimmermann+Campus+Recruiting+Coordinator" TargetMode="External"/><Relationship Id="rId2261" Type="http://schemas.openxmlformats.org/officeDocument/2006/relationships/hyperlink" Target="https://www.google.com/search?newwindow=1&amp;ei=2MT0XrvGGM-vytMP1OyDgAY&amp;q=site%3Alinkedin.com+Courtney+Schroeder+Associate+Recruiter+-+Campus+Recruiting+Accenture" TargetMode="External"/><Relationship Id="rId3593" Type="http://schemas.openxmlformats.org/officeDocument/2006/relationships/hyperlink" Target="https://www.google.com/search?newwindow=1&amp;ei=2MT0XrvGGM-vytMP1OyDgAY&amp;q=site%3Alinkedin.com+Isabella+do+Couto+Reis+University+Recruiter+Microsoft" TargetMode="External"/><Relationship Id="rId340" Type="http://schemas.openxmlformats.org/officeDocument/2006/relationships/hyperlink" Target="https://www.google.com/search?newwindow=1&amp;ei=2MT0XrvGGM-vytMP1OyDgAY&amp;q=site%3Alinkedin.com+Rabia+Baig+Vice+President,+Diversity+Sourcing+for+Campus+Recruiting" TargetMode="External"/><Relationship Id="rId2262" Type="http://schemas.openxmlformats.org/officeDocument/2006/relationships/hyperlink" Target="https://www.google.com/search?newwindow=1&amp;ei=2MT0XrvGGM-vytMP1OyDgAY&amp;q=site%3Alinkedin.com+Rhiannon+(Anna)+C.+Campus+Recruiter+Coordinator+Citi" TargetMode="External"/><Relationship Id="rId3592" Type="http://schemas.openxmlformats.org/officeDocument/2006/relationships/hyperlink" Target="https://www.google.com/search?newwindow=1&amp;ei=2MT0XrvGGM-vytMP1OyDgAY&amp;q=site%3Alinkedin.com+Sidnie+Davis+Program+Manager+Google" TargetMode="External"/><Relationship Id="rId2263" Type="http://schemas.openxmlformats.org/officeDocument/2006/relationships/hyperlink" Target="https://www.google.com/search?newwindow=1&amp;ei=2MT0XrvGGM-vytMP1OyDgAY&amp;q=site%3Alinkedin.com+Elsa+Wilcox+Campus+Recruiter+Accenture" TargetMode="External"/><Relationship Id="rId3595" Type="http://schemas.openxmlformats.org/officeDocument/2006/relationships/hyperlink" Target="https://www.google.com/search?newwindow=1&amp;ei=2MT0XrvGGM-vytMP1OyDgAY&amp;q=site%3Alinkedin.com+Gabriel+Garcia+Marquez+University+Recruiter+Microsoft" TargetMode="External"/><Relationship Id="rId2264" Type="http://schemas.openxmlformats.org/officeDocument/2006/relationships/hyperlink" Target="https://www.google.com/search?newwindow=1&amp;ei=2MT0XrvGGM-vytMP1OyDgAY&amp;q=site%3Alinkedin.com+Xavien+Jackson+Campus+Recruiter+Citi" TargetMode="External"/><Relationship Id="rId3594" Type="http://schemas.openxmlformats.org/officeDocument/2006/relationships/hyperlink" Target="https://www.google.com/search?newwindow=1&amp;ei=2MT0XrvGGM-vytMP1OyDgAY&amp;q=site%3Alinkedin.com+Amanda+Nowak+Technical+Recruiter+(University)+&amp;+Program+Manager+Google" TargetMode="External"/><Relationship Id="rId345" Type="http://schemas.openxmlformats.org/officeDocument/2006/relationships/hyperlink" Target="https://www.google.com/search?newwindow=1&amp;ei=2MT0XrvGGM-vytMP1OyDgAY&amp;q=site%3Alinkedin.com+Charlotte+Rivard+Senior+Campus+Recruiting+Coordinator" TargetMode="External"/><Relationship Id="rId2265" Type="http://schemas.openxmlformats.org/officeDocument/2006/relationships/hyperlink" Target="https://www.google.com/search?newwindow=1&amp;ei=2MT0XrvGGM-vytMP1OyDgAY&amp;q=site%3Alinkedin.com+Suzie+Cochran+Campus+Recruiter+Accenture" TargetMode="External"/><Relationship Id="rId3597" Type="http://schemas.openxmlformats.org/officeDocument/2006/relationships/hyperlink" Target="https://www.google.com/search?newwindow=1&amp;ei=2MT0XrvGGM-vytMP1OyDgAY&amp;q=site%3Alinkedin.com+Eddie+Garcilazo+Technical+Recruiter+l+University+Recruitment+Microsoft" TargetMode="External"/><Relationship Id="rId344" Type="http://schemas.openxmlformats.org/officeDocument/2006/relationships/hyperlink" Target="https://www.google.com/search?newwindow=1&amp;ei=2MT0XrvGGM-vytMP1OyDgAY&amp;q=site%3Alinkedin.com+Bridgett+Turro+Campus+Recruiting+Coordinator" TargetMode="External"/><Relationship Id="rId2266" Type="http://schemas.openxmlformats.org/officeDocument/2006/relationships/hyperlink" Target="https://www.google.com/search?newwindow=1&amp;ei=2MT0XrvGGM-vytMP1OyDgAY&amp;q=site%3Alinkedin.com+Kate+Myers+Campus+Recruiter+Citigroup" TargetMode="External"/><Relationship Id="rId3596" Type="http://schemas.openxmlformats.org/officeDocument/2006/relationships/hyperlink" Target="https://www.google.com/search?newwindow=1&amp;ei=2MT0XrvGGM-vytMP1OyDgAY&amp;q=site%3Alinkedin.com+Isaac+Winkler+College+Recruiter+Google" TargetMode="External"/><Relationship Id="rId343" Type="http://schemas.openxmlformats.org/officeDocument/2006/relationships/hyperlink" Target="https://www.google.com/search?newwindow=1&amp;ei=2MT0XrvGGM-vytMP1OyDgAY&amp;q=site%3Alinkedin.com+Amy+Fondell+Campus+Recruiting+Field+Leader,+Talent+Attraction+&amp;+Acquisition+at+EY" TargetMode="External"/><Relationship Id="rId2267" Type="http://schemas.openxmlformats.org/officeDocument/2006/relationships/hyperlink" Target="https://www.google.com/search?newwindow=1&amp;ei=2MT0XrvGGM-vytMP1OyDgAY&amp;q=site%3Alinkedin.com+Jessica+Steciw+Campus+Recruiter+Accenture" TargetMode="External"/><Relationship Id="rId3599" Type="http://schemas.openxmlformats.org/officeDocument/2006/relationships/hyperlink" Target="https://www.google.com/search?newwindow=1&amp;ei=2MT0XrvGGM-vytMP1OyDgAY&amp;q=site%3Alinkedin.com+Lola+Aliu+Technical+MBA+University+Recruiter+Microsoft" TargetMode="External"/><Relationship Id="rId342" Type="http://schemas.openxmlformats.org/officeDocument/2006/relationships/hyperlink" Target="https://www.google.com/search?newwindow=1&amp;ei=2MT0XrvGGM-vytMP1OyDgAY&amp;q=site%3Alinkedin.com+Danielle+Watson+Associate+Director+of+Campus+Recruiting,+Advisory+Services" TargetMode="External"/><Relationship Id="rId2268" Type="http://schemas.openxmlformats.org/officeDocument/2006/relationships/hyperlink" Target="https://www.google.com/search?newwindow=1&amp;ei=2MT0XrvGGM-vytMP1OyDgAY&amp;q=site%3Alinkedin.com+Kalli+Brooks+University+Sourcing+Recruiter+Citrix" TargetMode="External"/><Relationship Id="rId3598" Type="http://schemas.openxmlformats.org/officeDocument/2006/relationships/hyperlink" Target="https://www.google.com/search?newwindow=1&amp;ei=2MT0XrvGGM-vytMP1OyDgAY&amp;q=site%3Alinkedin.com+Alexandra+Sarosy+University+Recruiter+Google" TargetMode="External"/><Relationship Id="rId2258" Type="http://schemas.openxmlformats.org/officeDocument/2006/relationships/hyperlink" Target="https://www.google.com/search?newwindow=1&amp;ei=2MT0XrvGGM-vytMP1OyDgAY&amp;q=site%3Alinkedin.com+Danielle+Sirubi+Assistant+Vice+President,+Campus+Recruiter+-+Banking,+Capital+Markets+&amp;+Advisory+Citi" TargetMode="External"/><Relationship Id="rId2259" Type="http://schemas.openxmlformats.org/officeDocument/2006/relationships/hyperlink" Target="https://www.google.com/search?newwindow=1&amp;ei=2MT0XrvGGM-vytMP1OyDgAY&amp;q=site%3Alinkedin.com+Rachel+McGrath+Sr.+Campus+Recruiter-+Strategy+Accenture" TargetMode="External"/><Relationship Id="rId3589" Type="http://schemas.openxmlformats.org/officeDocument/2006/relationships/hyperlink" Target="https://www.google.com/search?newwindow=1&amp;ei=2MT0XrvGGM-vytMP1OyDgAY&amp;q=site%3Alinkedin.com+Manasa+Pochampally+University+Recruiter+Microsoft" TargetMode="External"/><Relationship Id="rId338" Type="http://schemas.openxmlformats.org/officeDocument/2006/relationships/hyperlink" Target="https://www.google.com/search?newwindow=1&amp;ei=2MT0XrvGGM-vytMP1OyDgAY&amp;q=site%3Alinkedin.com+Kelly+Rath+Senior+Manager,+National+Campus+Recruiting" TargetMode="External"/><Relationship Id="rId337" Type="http://schemas.openxmlformats.org/officeDocument/2006/relationships/hyperlink" Target="https://www.google.com/search?newwindow=1&amp;ei=2MT0XrvGGM-vytMP1OyDgAY&amp;q=site%3Alinkedin.com+Mary+Nolan+Campus+Recruiting+Manager" TargetMode="External"/><Relationship Id="rId336" Type="http://schemas.openxmlformats.org/officeDocument/2006/relationships/hyperlink" Target="https://www.google.com/search?newwindow=1&amp;ei=2MT0XrvGGM-vytMP1OyDgAY&amp;q=site%3Alinkedin.com+Lauren+Smith+Campus+Recruiting+Specialist" TargetMode="External"/><Relationship Id="rId335" Type="http://schemas.openxmlformats.org/officeDocument/2006/relationships/hyperlink" Target="https://www.google.com/search?newwindow=1&amp;ei=2MT0XrvGGM-vytMP1OyDgAY&amp;q=site%3Alinkedin.com+Helen+Luz+Campus+Recruiting+Specialist" TargetMode="External"/><Relationship Id="rId3580" Type="http://schemas.openxmlformats.org/officeDocument/2006/relationships/hyperlink" Target="https://www.google.com/search?newwindow=1&amp;ei=2MT0XrvGGM-vytMP1OyDgAY&amp;q=site%3Alinkedin.com+Shea+Bastedo+Tech+University+Recruiter+Google" TargetMode="External"/><Relationship Id="rId339" Type="http://schemas.openxmlformats.org/officeDocument/2006/relationships/hyperlink" Target="https://www.google.com/search?newwindow=1&amp;ei=2MT0XrvGGM-vytMP1OyDgAY&amp;q=site%3Alinkedin.com+Cristina+Tomasko+Campus+Recruiting+Manager" TargetMode="External"/><Relationship Id="rId330" Type="http://schemas.openxmlformats.org/officeDocument/2006/relationships/hyperlink" Target="https://www.google.com/search?newwindow=1&amp;ei=2MT0XrvGGM-vytMP1OyDgAY&amp;q=site%3Alinkedin.com+Celeste+Benton+Rotational+Talent+Advisor,+Supervising+Associate,+Campus+Recruiting" TargetMode="External"/><Relationship Id="rId2250" Type="http://schemas.openxmlformats.org/officeDocument/2006/relationships/hyperlink" Target="https://www.google.com/search?newwindow=1&amp;ei=2MT0XrvGGM-vytMP1OyDgAY&amp;q=site%3Alinkedin.com+Samantha+Robins+Vice+President,+Technology+Campus+Recruiting+Manager+at+Citi+Citi" TargetMode="External"/><Relationship Id="rId3582" Type="http://schemas.openxmlformats.org/officeDocument/2006/relationships/hyperlink" Target="https://www.google.com/search?newwindow=1&amp;ei=2MT0XrvGGM-vytMP1OyDgAY&amp;q=site%3Alinkedin.com+Jessica+Wickers+Program+Manager+Google" TargetMode="External"/><Relationship Id="rId2251" Type="http://schemas.openxmlformats.org/officeDocument/2006/relationships/hyperlink" Target="https://www.google.com/search?newwindow=1&amp;ei=2MT0XrvGGM-vytMP1OyDgAY&amp;q=site%3Alinkedin.com+Nancy+Pham+Campus+Recruiter+Accenture" TargetMode="External"/><Relationship Id="rId3581" Type="http://schemas.openxmlformats.org/officeDocument/2006/relationships/hyperlink" Target="https://www.google.com/search?newwindow=1&amp;ei=2MT0XrvGGM-vytMP1OyDgAY&amp;q=site%3Alinkedin.com+Paola+Riveros+Alvarez+LATAM+University+Recruiter+Microsoft" TargetMode="External"/><Relationship Id="rId2252" Type="http://schemas.openxmlformats.org/officeDocument/2006/relationships/hyperlink" Target="https://www.google.com/search?newwindow=1&amp;ei=2MT0XrvGGM-vytMP1OyDgAY&amp;q=site%3Alinkedin.com+Erica+Strunkey+Assistant+Vice+President+-+Senior+Campus+Recruiter+Citi" TargetMode="External"/><Relationship Id="rId3584" Type="http://schemas.openxmlformats.org/officeDocument/2006/relationships/hyperlink" Target="https://www.google.com/search?newwindow=1&amp;ei=2MT0XrvGGM-vytMP1OyDgAY&amp;q=site%3Alinkedin.com+Andrew+Purtle+Cloud+Recruiter+Google" TargetMode="External"/><Relationship Id="rId2253" Type="http://schemas.openxmlformats.org/officeDocument/2006/relationships/hyperlink" Target="https://www.google.com/search?newwindow=1&amp;ei=2MT0XrvGGM-vytMP1OyDgAY&amp;q=site%3Alinkedin.com+Ashley.+Vonderahe+Campus+Recruiter+Accenture" TargetMode="External"/><Relationship Id="rId3583" Type="http://schemas.openxmlformats.org/officeDocument/2006/relationships/hyperlink" Target="https://www.google.com/search?newwindow=1&amp;ei=2MT0XrvGGM-vytMP1OyDgAY&amp;q=site%3Alinkedin.com+Michael+Toole+University+Recruiter+and+Video+Producer+Microsoft" TargetMode="External"/><Relationship Id="rId334" Type="http://schemas.openxmlformats.org/officeDocument/2006/relationships/hyperlink" Target="https://www.google.com/search?newwindow=1&amp;ei=2MT0XrvGGM-vytMP1OyDgAY&amp;q=site%3Alinkedin.com+Ariana+Tomasula+FSO+Campus+Recruiting+Coordinator" TargetMode="External"/><Relationship Id="rId2254" Type="http://schemas.openxmlformats.org/officeDocument/2006/relationships/hyperlink" Target="https://www.google.com/search?newwindow=1&amp;ei=2MT0XrvGGM-vytMP1OyDgAY&amp;q=site%3Alinkedin.com+Devika+Seeraj+Assistant+Vice+President+-+Campus+Recruiter+Citi" TargetMode="External"/><Relationship Id="rId3586" Type="http://schemas.openxmlformats.org/officeDocument/2006/relationships/hyperlink" Target="https://www.google.com/search?newwindow=1&amp;ei=2MT0XrvGGM-vytMP1OyDgAY&amp;q=site%3Alinkedin.com+Padraic+Smith+Technical+University+Recruiter+Google" TargetMode="External"/><Relationship Id="rId333" Type="http://schemas.openxmlformats.org/officeDocument/2006/relationships/hyperlink" Target="https://www.google.com/search?newwindow=1&amp;ei=2MT0XrvGGM-vytMP1OyDgAY&amp;q=site%3Alinkedin.com+Ashleigh+Butler+Senior+Campus+Recruiting+Analyst" TargetMode="External"/><Relationship Id="rId2255" Type="http://schemas.openxmlformats.org/officeDocument/2006/relationships/hyperlink" Target="https://www.google.com/search?newwindow=1&amp;ei=2MT0XrvGGM-vytMP1OyDgAY&amp;q=site%3Alinkedin.com+Alexandrea+Bittle+Campus+Recruiter+Accenture" TargetMode="External"/><Relationship Id="rId3585" Type="http://schemas.openxmlformats.org/officeDocument/2006/relationships/hyperlink" Target="https://www.google.com/search?newwindow=1&amp;ei=2MT0XrvGGM-vytMP1OyDgAY&amp;q=site%3Alinkedin.com+Karla+Paredes+University+Recruiter+Microsoft" TargetMode="External"/><Relationship Id="rId332" Type="http://schemas.openxmlformats.org/officeDocument/2006/relationships/hyperlink" Target="https://www.google.com/search?newwindow=1&amp;ei=2MT0XrvGGM-vytMP1OyDgAY&amp;q=site%3Alinkedin.com+Elizabeth+Abboreno+Senior+Associate+Campus+Recruiting" TargetMode="External"/><Relationship Id="rId2256" Type="http://schemas.openxmlformats.org/officeDocument/2006/relationships/hyperlink" Target="https://www.google.com/search?newwindow=1&amp;ei=2MT0XrvGGM-vytMP1OyDgAY&amp;q=site%3Alinkedin.com+Jennifer+Lynch+Assistant+Vice+President,+Senior+Recruiter+Campus+Recruiting+-+Sales+&amp;+Trading+Citi" TargetMode="External"/><Relationship Id="rId3588" Type="http://schemas.openxmlformats.org/officeDocument/2006/relationships/hyperlink" Target="https://www.google.com/search?newwindow=1&amp;ei=2MT0XrvGGM-vytMP1OyDgAY&amp;q=site%3Alinkedin.com+Jillian+Palmer+College+Recruiter+Google" TargetMode="External"/><Relationship Id="rId331" Type="http://schemas.openxmlformats.org/officeDocument/2006/relationships/hyperlink" Target="https://www.google.com/search?newwindow=1&amp;ei=2MT0XrvGGM-vytMP1OyDgAY&amp;q=site%3Alinkedin.com+Samara+R.+Campus+Recruiting+Coordinator" TargetMode="External"/><Relationship Id="rId2257" Type="http://schemas.openxmlformats.org/officeDocument/2006/relationships/hyperlink" Target="https://www.google.com/search?newwindow=1&amp;ei=2MT0XrvGGM-vytMP1OyDgAY&amp;q=site%3Alinkedin.com+Christina+Coy+Campus+Recruiter+Accenture" TargetMode="External"/><Relationship Id="rId3587" Type="http://schemas.openxmlformats.org/officeDocument/2006/relationships/hyperlink" Target="https://www.google.com/search?newwindow=1&amp;ei=2MT0XrvGGM-vytMP1OyDgAY&amp;q=site%3Alinkedin.com+Stephanie+Treichel+University+Recruiter+Microsoft" TargetMode="External"/><Relationship Id="rId370" Type="http://schemas.openxmlformats.org/officeDocument/2006/relationships/hyperlink" Target="https://www.google.com/search?newwindow=1&amp;ei=2MT0XrvGGM-vytMP1OyDgAY&amp;q=site%3Alinkedin.com+Erika+DiCresce+Campus+Recruiting+Operations+Specialist" TargetMode="External"/><Relationship Id="rId369" Type="http://schemas.openxmlformats.org/officeDocument/2006/relationships/hyperlink" Target="https://www.google.com/search?newwindow=1&amp;ei=2MT0XrvGGM-vytMP1OyDgAY&amp;q=site%3Alinkedin.com+Danielle+Porter+Campus+Recruiting+Coordinator" TargetMode="External"/><Relationship Id="rId368" Type="http://schemas.openxmlformats.org/officeDocument/2006/relationships/hyperlink" Target="https://www.google.com/search?newwindow=1&amp;ei=2MT0XrvGGM-vytMP1OyDgAY&amp;q=site%3Alinkedin.com+Danielle+Schneck+Associate,+Campus+Recruiting" TargetMode="External"/><Relationship Id="rId2280" Type="http://schemas.openxmlformats.org/officeDocument/2006/relationships/hyperlink" Target="https://www.google.com/search?newwindow=1&amp;ei=2MT0XrvGGM-vytMP1OyDgAY&amp;q=site%3Alinkedin.com+Melina+Barona+(she/her),+M.Ed,+PHR+Senior+Manager+-+US+Campus+Recruiting+Cognizant+Technology+Solutions" TargetMode="External"/><Relationship Id="rId2281" Type="http://schemas.openxmlformats.org/officeDocument/2006/relationships/hyperlink" Target="https://www.google.com/search?newwindow=1&amp;ei=2MT0XrvGGM-vytMP1OyDgAY&amp;q=site%3Alinkedin.com+Caroline+Shook+Campus+Recruiter+Accenture" TargetMode="External"/><Relationship Id="rId2282" Type="http://schemas.openxmlformats.org/officeDocument/2006/relationships/hyperlink" Target="https://www.google.com/search?newwindow=1&amp;ei=2MT0XrvGGM-vytMP1OyDgAY&amp;q=site%3Alinkedin.com+Rick+Dreger+University+Relations+Recruiter+Comcast" TargetMode="External"/><Relationship Id="rId363" Type="http://schemas.openxmlformats.org/officeDocument/2006/relationships/hyperlink" Target="https://www.google.com/search?newwindow=1&amp;ei=2MT0XrvGGM-vytMP1OyDgAY&amp;q=site%3Alinkedin.com+Lynn+Steele+Janson+Administrative+Assistant+&amp;+Campus+Recruiting+Coordinator" TargetMode="External"/><Relationship Id="rId2283" Type="http://schemas.openxmlformats.org/officeDocument/2006/relationships/hyperlink" Target="https://www.google.com/search?newwindow=1&amp;ei=2MT0XrvGGM-vytMP1OyDgAY&amp;q=site%3Alinkedin.com+Mark+Acquaye+Diversity+Campus+Recruiter+Accenture" TargetMode="External"/><Relationship Id="rId362" Type="http://schemas.openxmlformats.org/officeDocument/2006/relationships/hyperlink" Target="https://www.google.com/search?newwindow=1&amp;ei=2MT0XrvGGM-vytMP1OyDgAY&amp;q=site%3Alinkedin.com+Ali+Strohm+Assistant+Director+-+Campus+Recruiting,+CPA,+PHR" TargetMode="External"/><Relationship Id="rId2284" Type="http://schemas.openxmlformats.org/officeDocument/2006/relationships/hyperlink" Target="https://www.google.com/search?newwindow=1&amp;ei=2MT0XrvGGM-vytMP1OyDgAY&amp;q=site%3Alinkedin.com+Alexandra+Riley+Zullo+Senior+University+Relations+Recruiter+Comcast" TargetMode="External"/><Relationship Id="rId361" Type="http://schemas.openxmlformats.org/officeDocument/2006/relationships/hyperlink" Target="https://www.google.com/search?newwindow=1&amp;ei=2MT0XrvGGM-vytMP1OyDgAY&amp;q=site%3Alinkedin.com+Emma+Laura+Campus+Recruiting+Coordinator" TargetMode="External"/><Relationship Id="rId2285" Type="http://schemas.openxmlformats.org/officeDocument/2006/relationships/hyperlink" Target="https://www.google.com/search?newwindow=1&amp;ei=2MT0XrvGGM-vytMP1OyDgAY&amp;q=site%3Alinkedin.com+Samantha+Meason+Campus+Recruiter+Accenture+Federal+Services" TargetMode="External"/><Relationship Id="rId360" Type="http://schemas.openxmlformats.org/officeDocument/2006/relationships/hyperlink" Target="https://www.google.com/search?newwindow=1&amp;ei=2MT0XrvGGM-vytMP1OyDgAY&amp;q=site%3Alinkedin.com+Megan+Schulte+Senior+Campus+Recruiting+Specialist" TargetMode="External"/><Relationship Id="rId2286" Type="http://schemas.openxmlformats.org/officeDocument/2006/relationships/hyperlink" Target="https://www.google.com/search?newwindow=1&amp;ei=2MT0XrvGGM-vytMP1OyDgAY&amp;q=site%3Alinkedin.com+Christine+Kane+Employee+Engagement+Program+Manager+Comcast" TargetMode="External"/><Relationship Id="rId367" Type="http://schemas.openxmlformats.org/officeDocument/2006/relationships/hyperlink" Target="https://www.google.com/search?newwindow=1&amp;ei=2MT0XrvGGM-vytMP1OyDgAY&amp;q=site%3Alinkedin.com+Dan+Hawkinson+Campus+Recruiting+Specialist" TargetMode="External"/><Relationship Id="rId2287" Type="http://schemas.openxmlformats.org/officeDocument/2006/relationships/hyperlink" Target="https://www.google.com/search?newwindow=1&amp;ei=2MT0XrvGGM-vytMP1OyDgAY&amp;q=site%3Alinkedin.com+James+Wallace+Campus+Recruiter,+Cooperative+Education+Program+Comcast" TargetMode="External"/><Relationship Id="rId366" Type="http://schemas.openxmlformats.org/officeDocument/2006/relationships/hyperlink" Target="https://www.google.com/search?newwindow=1&amp;ei=2MT0XrvGGM-vytMP1OyDgAY&amp;q=site%3Alinkedin.com+Sian+Rowlands-Mackenzie+Graduate+Recruiter+&amp;+Professional+Development+Specialist" TargetMode="External"/><Relationship Id="rId2288" Type="http://schemas.openxmlformats.org/officeDocument/2006/relationships/hyperlink" Target="https://www.google.com/search?newwindow=1&amp;ei=2MT0XrvGGM-vytMP1OyDgAY&amp;q=site%3Alinkedin.com+Lexi+Lubin+Campus+Recruiter+Accenture+Federal+Services" TargetMode="External"/><Relationship Id="rId365" Type="http://schemas.openxmlformats.org/officeDocument/2006/relationships/hyperlink" Target="https://www.google.com/search?newwindow=1&amp;ei=2MT0XrvGGM-vytMP1OyDgAY&amp;q=site%3Alinkedin.com+Mylena+Sigalou+Campus+Recruiter" TargetMode="External"/><Relationship Id="rId2289" Type="http://schemas.openxmlformats.org/officeDocument/2006/relationships/hyperlink" Target="https://www.google.com/search?newwindow=1&amp;ei=2MT0XrvGGM-vytMP1OyDgAY&amp;q=site%3Alinkedin.com+Christine+Kane+University+Relations+Campus+Recruiter+Comcast" TargetMode="External"/><Relationship Id="rId364" Type="http://schemas.openxmlformats.org/officeDocument/2006/relationships/hyperlink" Target="https://www.google.com/search?newwindow=1&amp;ei=2MT0XrvGGM-vytMP1OyDgAY&amp;q=site%3Alinkedin.com+Takao+Tanaka+Student+Lifecycle+Services+Officer,+Students+&amp;+Programs,+College+of+Business+&amp;+Law" TargetMode="External"/><Relationship Id="rId95" Type="http://schemas.openxmlformats.org/officeDocument/2006/relationships/hyperlink" Target="https://www.google.com/search?newwindow=1&amp;ei=2MT0XrvGGM-vytMP1OyDgAY&amp;q=site%3Alinkedin.com+Kylie+Mendonca+Campus+Recruiting+Coordinator" TargetMode="External"/><Relationship Id="rId94" Type="http://schemas.openxmlformats.org/officeDocument/2006/relationships/hyperlink" Target="https://www.google.com/search?newwindow=1&amp;ei=2MT0XrvGGM-vytMP1OyDgAY&amp;q=site%3Alinkedin.com+Claire+Tully+Campus+Recruiting+Specialist" TargetMode="External"/><Relationship Id="rId97" Type="http://schemas.openxmlformats.org/officeDocument/2006/relationships/hyperlink" Target="https://www.google.com/search?newwindow=1&amp;ei=2MT0XrvGGM-vytMP1OyDgAY&amp;q=site%3Alinkedin.com+Erin+Collins+Campus+Recruiter,+Technical+Campus+Recruiting" TargetMode="External"/><Relationship Id="rId96" Type="http://schemas.openxmlformats.org/officeDocument/2006/relationships/hyperlink" Target="https://www.google.com/search?newwindow=1&amp;ei=2MT0XrvGGM-vytMP1OyDgAY&amp;q=site%3Alinkedin.com+Julie+Mims+Campus+Talent+Acquisition+Manager" TargetMode="External"/><Relationship Id="rId99" Type="http://schemas.openxmlformats.org/officeDocument/2006/relationships/hyperlink" Target="https://www.google.com/search?newwindow=1&amp;ei=2MT0XrvGGM-vytMP1OyDgAY&amp;q=site%3Alinkedin.com+Brianne+Campbell+Financial+Services+Campus+Recruiting,+Associate+Director" TargetMode="External"/><Relationship Id="rId98" Type="http://schemas.openxmlformats.org/officeDocument/2006/relationships/hyperlink" Target="https://www.google.com/search?newwindow=1&amp;ei=2MT0XrvGGM-vytMP1OyDgAY&amp;q=site%3Alinkedin.com+Michelle+Lombardo+Campus+Recruiting+Senior+Associate" TargetMode="External"/><Relationship Id="rId91" Type="http://schemas.openxmlformats.org/officeDocument/2006/relationships/hyperlink" Target="https://www.google.com/search?newwindow=1&amp;ei=2MT0XrvGGM-vytMP1OyDgAY&amp;q=site%3Alinkedin.com+Lisa+Twomey,+PHR+Manager,+Consulting+Campus+Recruiting" TargetMode="External"/><Relationship Id="rId90" Type="http://schemas.openxmlformats.org/officeDocument/2006/relationships/hyperlink" Target="https://www.google.com/search?newwindow=1&amp;ei=2MT0XrvGGM-vytMP1OyDgAY&amp;q=site%3Alinkedin.com+Molly+Leighton+National+Assurance+Campus+Recruiting+Lead" TargetMode="External"/><Relationship Id="rId93" Type="http://schemas.openxmlformats.org/officeDocument/2006/relationships/hyperlink" Target="https://www.google.com/search?newwindow=1&amp;ei=2MT0XrvGGM-vytMP1OyDgAY&amp;q=site%3Alinkedin.com+Barbara+Nee+Center+of+Excellence+-+Campus+Recruiting+Field+Strategy+Leader" TargetMode="External"/><Relationship Id="rId92" Type="http://schemas.openxmlformats.org/officeDocument/2006/relationships/hyperlink" Target="https://www.google.com/search?newwindow=1&amp;ei=2MT0XrvGGM-vytMP1OyDgAY&amp;q=site%3Alinkedin.com+Jessica+Hart+Campus+Recruiting+Coordinator+Co-Op" TargetMode="External"/><Relationship Id="rId359" Type="http://schemas.openxmlformats.org/officeDocument/2006/relationships/hyperlink" Target="https://www.google.com/search?newwindow=1&amp;ei=2MT0XrvGGM-vytMP1OyDgAY&amp;q=site%3Alinkedin.com+Lucy+Lim+Student+Recruiter" TargetMode="External"/><Relationship Id="rId358" Type="http://schemas.openxmlformats.org/officeDocument/2006/relationships/hyperlink" Target="https://www.google.com/search?newwindow=1&amp;ei=2MT0XrvGGM-vytMP1OyDgAY&amp;q=site%3Alinkedin.com+Christal+Shillingford+Assistant+Director,+US-West+Diversity+&amp;+Inclusiveness+Campus+Recruiting+Lead" TargetMode="External"/><Relationship Id="rId357" Type="http://schemas.openxmlformats.org/officeDocument/2006/relationships/hyperlink" Target="https://www.google.com/search?newwindow=1&amp;ei=2MT0XrvGGM-vytMP1OyDgAY&amp;q=site%3Alinkedin.com+Carol+Mammel+UFV+International+Student+Support+and+Programs" TargetMode="External"/><Relationship Id="rId2270" Type="http://schemas.openxmlformats.org/officeDocument/2006/relationships/hyperlink" Target="https://www.google.com/search?newwindow=1&amp;ei=2MT0XrvGGM-vytMP1OyDgAY&amp;q=site%3Alinkedin.com+Kamor+Brown+University+Recruiter+Citrix" TargetMode="External"/><Relationship Id="rId2271" Type="http://schemas.openxmlformats.org/officeDocument/2006/relationships/hyperlink" Target="https://www.google.com/search?newwindow=1&amp;ei=2MT0XrvGGM-vytMP1OyDgAY&amp;q=site%3Alinkedin.com+Taylor+Spikes+Strategy+Campus+Recruiter+Accenture" TargetMode="External"/><Relationship Id="rId352" Type="http://schemas.openxmlformats.org/officeDocument/2006/relationships/hyperlink" Target="https://www.google.com/search?newwindow=1&amp;ei=2MT0XrvGGM-vytMP1OyDgAY&amp;q=site%3Alinkedin.com+Natalie+Schoonover+Campus+Recruiting+Leader" TargetMode="External"/><Relationship Id="rId2272" Type="http://schemas.openxmlformats.org/officeDocument/2006/relationships/hyperlink" Target="https://www.google.com/search?newwindow=1&amp;ei=2MT0XrvGGM-vytMP1OyDgAY&amp;q=site%3Alinkedin.com+Amy+Grant+University+Recruiter,+Americas+Engineering+Citrix" TargetMode="External"/><Relationship Id="rId351" Type="http://schemas.openxmlformats.org/officeDocument/2006/relationships/hyperlink" Target="https://www.google.com/search?newwindow=1&amp;ei=2MT0XrvGGM-vytMP1OyDgAY&amp;q=site%3Alinkedin.com+Laura+Hamilton+Campus+Recruiting+Specialist" TargetMode="External"/><Relationship Id="rId2273" Type="http://schemas.openxmlformats.org/officeDocument/2006/relationships/hyperlink" Target="https://www.google.com/search?newwindow=1&amp;ei=2MT0XrvGGM-vytMP1OyDgAY&amp;q=site%3Alinkedin.com+Keyanea+Marrow+Campus+Recruiter+Accenture" TargetMode="External"/><Relationship Id="rId350" Type="http://schemas.openxmlformats.org/officeDocument/2006/relationships/hyperlink" Target="https://www.google.com/search?newwindow=1&amp;ei=2MT0XrvGGM-vytMP1OyDgAY&amp;q=site%3Alinkedin.com+Natasha+Stough+Campus+Recruiting+Leader" TargetMode="External"/><Relationship Id="rId2274" Type="http://schemas.openxmlformats.org/officeDocument/2006/relationships/hyperlink" Target="https://www.google.com/search?newwindow=1&amp;ei=2MT0XrvGGM-vytMP1OyDgAY&amp;q=site%3Alinkedin.com+Stacey+Kubler+Lead+University+Recruiter+Citrix" TargetMode="External"/><Relationship Id="rId2275" Type="http://schemas.openxmlformats.org/officeDocument/2006/relationships/hyperlink" Target="https://www.google.com/search?newwindow=1&amp;ei=2MT0XrvGGM-vytMP1OyDgAY&amp;q=site%3Alinkedin.com+Catherine+Halcewicz+Pleskaczewski+Campus+Recruiter+Accenture" TargetMode="External"/><Relationship Id="rId356" Type="http://schemas.openxmlformats.org/officeDocument/2006/relationships/hyperlink" Target="https://www.google.com/search?newwindow=1&amp;ei=2MT0XrvGGM-vytMP1OyDgAY&amp;q=site%3Alinkedin.com+Brianne+Petricone+Campus+Recruiting+Coordinator" TargetMode="External"/><Relationship Id="rId2276" Type="http://schemas.openxmlformats.org/officeDocument/2006/relationships/hyperlink" Target="https://www.google.com/search?newwindow=1&amp;ei=2MT0XrvGGM-vytMP1OyDgAY&amp;q=site%3Alinkedin.com+Jacqueline+Kelley+University+Recruiter+Cognizant" TargetMode="External"/><Relationship Id="rId355" Type="http://schemas.openxmlformats.org/officeDocument/2006/relationships/hyperlink" Target="https://www.google.com/search?newwindow=1&amp;ei=2MT0XrvGGM-vytMP1OyDgAY&amp;q=site%3Alinkedin.com+Anne+(Keppler)+Mayor+Advisory+Consumer+Markets+Talent+Consultant" TargetMode="External"/><Relationship Id="rId2277" Type="http://schemas.openxmlformats.org/officeDocument/2006/relationships/hyperlink" Target="https://www.google.com/search?newwindow=1&amp;ei=2MT0XrvGGM-vytMP1OyDgAY&amp;q=site%3Alinkedin.com+Alejandra+Mora+Campus+Recruiter+Accenture" TargetMode="External"/><Relationship Id="rId354" Type="http://schemas.openxmlformats.org/officeDocument/2006/relationships/hyperlink" Target="https://www.google.com/search?newwindow=1&amp;ei=2MT0XrvGGM-vytMP1OyDgAY&amp;q=site%3Alinkedin.com+Elise+E+Grover+Campus+Recruiting+Coordinator" TargetMode="External"/><Relationship Id="rId2278" Type="http://schemas.openxmlformats.org/officeDocument/2006/relationships/hyperlink" Target="https://www.google.com/search?newwindow=1&amp;ei=2MT0XrvGGM-vytMP1OyDgAY&amp;q=site%3Alinkedin.com+Gwen+Anderson+Senior+Recruiter,+North+America+Campus+Recruitment+at+Cognizant+Cognizant" TargetMode="External"/><Relationship Id="rId353" Type="http://schemas.openxmlformats.org/officeDocument/2006/relationships/hyperlink" Target="https://www.google.com/search?newwindow=1&amp;ei=2MT0XrvGGM-vytMP1OyDgAY&amp;q=site%3Alinkedin.com+Jessica+Yaeger+Campus+Recruiting+Coordinator" TargetMode="External"/><Relationship Id="rId2279" Type="http://schemas.openxmlformats.org/officeDocument/2006/relationships/hyperlink" Target="https://www.google.com/search?newwindow=1&amp;ei=2MT0XrvGGM-vytMP1OyDgAY&amp;q=site%3Alinkedin.com+Rory+Merrill+Campus+Recruiter+Accenture" TargetMode="External"/><Relationship Id="rId2225" Type="http://schemas.openxmlformats.org/officeDocument/2006/relationships/hyperlink" Target="https://www.google.com/search?newwindow=1&amp;ei=2MT0XrvGGM-vytMP1OyDgAY&amp;q=site%3Alinkedin.com+Linnea+Levy+Sr.+Campus+Recruiter+Accenture" TargetMode="External"/><Relationship Id="rId3557" Type="http://schemas.openxmlformats.org/officeDocument/2006/relationships/hyperlink" Target="https://www.google.com/search?newwindow=1&amp;ei=2MT0XrvGGM-vytMP1OyDgAY&amp;q=site%3Alinkedin.com+Sarah+Gordon+Talent+Sourcer+-+Pivotal+Recruiting+Microsoft" TargetMode="External"/><Relationship Id="rId2226" Type="http://schemas.openxmlformats.org/officeDocument/2006/relationships/hyperlink" Target="https://www.google.com/search?newwindow=1&amp;ei=2MT0XrvGGM-vytMP1OyDgAY&amp;q=site%3Alinkedin.com+Lauren+Harrison+Campus+Recruiter+-+Global+Consumer+Technology+Citi" TargetMode="External"/><Relationship Id="rId3556" Type="http://schemas.openxmlformats.org/officeDocument/2006/relationships/hyperlink" Target="https://www.google.com/search?newwindow=1&amp;ei=2MT0XrvGGM-vytMP1OyDgAY&amp;q=site%3Alinkedin.com+Matt+Breidenbach+University+Programs+Recruiter+Google" TargetMode="External"/><Relationship Id="rId2227" Type="http://schemas.openxmlformats.org/officeDocument/2006/relationships/hyperlink" Target="https://www.google.com/search?newwindow=1&amp;ei=2MT0XrvGGM-vytMP1OyDgAY&amp;q=site%3Alinkedin.com+Amy+LaPortre+Campus+Recruiter+Accenture" TargetMode="External"/><Relationship Id="rId3559" Type="http://schemas.openxmlformats.org/officeDocument/2006/relationships/hyperlink" Target="https://www.google.com/search?newwindow=1&amp;ei=2MT0XrvGGM-vytMP1OyDgAY&amp;q=site%3Alinkedin.com+Catrina+Chen+University+Recruiter+Microsoft" TargetMode="External"/><Relationship Id="rId2228" Type="http://schemas.openxmlformats.org/officeDocument/2006/relationships/hyperlink" Target="https://www.google.com/search?newwindow=1&amp;ei=2MT0XrvGGM-vytMP1OyDgAY&amp;q=site%3Alinkedin.com+Abigail+Nelson+Campus+Recruiter+Citi" TargetMode="External"/><Relationship Id="rId3558" Type="http://schemas.openxmlformats.org/officeDocument/2006/relationships/hyperlink" Target="https://www.google.com/search?newwindow=1&amp;ei=2MT0XrvGGM-vytMP1OyDgAY&amp;q=site%3Alinkedin.com+Carmen+Cornelius+Cloud+Sales+Recruiter+Google" TargetMode="External"/><Relationship Id="rId2229" Type="http://schemas.openxmlformats.org/officeDocument/2006/relationships/hyperlink" Target="https://www.google.com/search?newwindow=1&amp;ei=2MT0XrvGGM-vytMP1OyDgAY&amp;q=site%3Alinkedin.com+Caroline+Stropes+Campus+Recruiter+Accenture" TargetMode="External"/><Relationship Id="rId305" Type="http://schemas.openxmlformats.org/officeDocument/2006/relationships/hyperlink" Target="https://www.google.com/search?newwindow=1&amp;ei=2MT0XrvGGM-vytMP1OyDgAY&amp;q=site%3Alinkedin.com+Kendra+Murphy+Project+Manager+for+National+Campus+Recruiting" TargetMode="External"/><Relationship Id="rId304" Type="http://schemas.openxmlformats.org/officeDocument/2006/relationships/hyperlink" Target="https://www.google.com/search?newwindow=1&amp;ei=2MT0XrvGGM-vytMP1OyDgAY&amp;q=site%3Alinkedin.com+Danielle+Smith+Campus+Recruiter" TargetMode="External"/><Relationship Id="rId303" Type="http://schemas.openxmlformats.org/officeDocument/2006/relationships/hyperlink" Target="https://www.google.com/search?newwindow=1&amp;ei=2MT0XrvGGM-vytMP1OyDgAY&amp;q=site%3Alinkedin.com+Patricia+Moretz+MBA+Campus+Recruiting+Consultant" TargetMode="External"/><Relationship Id="rId302" Type="http://schemas.openxmlformats.org/officeDocument/2006/relationships/hyperlink" Target="https://www.google.com/search?newwindow=1&amp;ei=2MT0XrvGGM-vytMP1OyDgAY&amp;q=site%3Alinkedin.com+Katy+Grant+MBA+Recruiter" TargetMode="External"/><Relationship Id="rId309" Type="http://schemas.openxmlformats.org/officeDocument/2006/relationships/hyperlink" Target="https://www.google.com/search?newwindow=1&amp;ei=2MT0XrvGGM-vytMP1OyDgAY&amp;q=site%3Alinkedin.com+Meagan+Scheffler+Head+of+Commercial+Banking+Campus+Recruiting" TargetMode="External"/><Relationship Id="rId308" Type="http://schemas.openxmlformats.org/officeDocument/2006/relationships/hyperlink" Target="https://www.google.com/search?newwindow=1&amp;ei=2MT0XrvGGM-vytMP1OyDgAY&amp;q=site%3Alinkedin.com+Madeline+Korol+Senior+Campus+Recruiting+Coordinator" TargetMode="External"/><Relationship Id="rId307" Type="http://schemas.openxmlformats.org/officeDocument/2006/relationships/hyperlink" Target="https://www.google.com/search?newwindow=1&amp;ei=2MT0XrvGGM-vytMP1OyDgAY&amp;q=site%3Alinkedin.com+Pamela+Benavente+Campus+Recruiting+Coordinator" TargetMode="External"/><Relationship Id="rId306" Type="http://schemas.openxmlformats.org/officeDocument/2006/relationships/hyperlink" Target="https://www.google.com/search?newwindow=1&amp;ei=2MT0XrvGGM-vytMP1OyDgAY&amp;q=site%3Alinkedin.com+Tiara+Birtha+Campus+Recruiting+Consultant" TargetMode="External"/><Relationship Id="rId3551" Type="http://schemas.openxmlformats.org/officeDocument/2006/relationships/hyperlink" Target="https://www.google.com/search?newwindow=1&amp;ei=2MT0XrvGGM-vytMP1OyDgAY&amp;q=site%3Alinkedin.com+Christine+Ganevsky+Campus+Recruiter+Goldman+Sachs" TargetMode="External"/><Relationship Id="rId2220" Type="http://schemas.openxmlformats.org/officeDocument/2006/relationships/hyperlink" Target="https://www.google.com/search?newwindow=1&amp;ei=2MT0XrvGGM-vytMP1OyDgAY&amp;q=site%3Alinkedin.com+Jacqueline+Waugh+Campus+Recruiting+Manager+Citi" TargetMode="External"/><Relationship Id="rId3550" Type="http://schemas.openxmlformats.org/officeDocument/2006/relationships/hyperlink" Target="https://www.google.com/search?newwindow=1&amp;ei=2MT0XrvGGM-vytMP1OyDgAY&amp;q=site%3Alinkedin.com+Shelly+Forsberg+University+Recruiter+Microsoft" TargetMode="External"/><Relationship Id="rId301" Type="http://schemas.openxmlformats.org/officeDocument/2006/relationships/hyperlink" Target="https://www.google.com/search?newwindow=1&amp;ei=2MT0XrvGGM-vytMP1OyDgAY&amp;q=site%3Alinkedin.com+Ryan+Kist+Recruiting" TargetMode="External"/><Relationship Id="rId2221" Type="http://schemas.openxmlformats.org/officeDocument/2006/relationships/hyperlink" Target="https://www.google.com/search?newwindow=1&amp;ei=2MT0XrvGGM-vytMP1OyDgAY&amp;q=site%3Alinkedin.com+Krystin+Crane+Campus+Recruiter+Accenture" TargetMode="External"/><Relationship Id="rId3553" Type="http://schemas.openxmlformats.org/officeDocument/2006/relationships/hyperlink" Target="https://www.google.com/search?newwindow=1&amp;ei=2MT0XrvGGM-vytMP1OyDgAY&amp;q=site%3Alinkedin.com+Caitlin+Gonzales+University+Recruiter+Microsoft" TargetMode="External"/><Relationship Id="rId300" Type="http://schemas.openxmlformats.org/officeDocument/2006/relationships/hyperlink" Target="https://www.google.com/search?newwindow=1&amp;ei=2MT0XrvGGM-vytMP1OyDgAY&amp;q=site%3Alinkedin.com+Molly+Leonard+Campus+Recruiting+Coordinator" TargetMode="External"/><Relationship Id="rId2222" Type="http://schemas.openxmlformats.org/officeDocument/2006/relationships/hyperlink" Target="https://www.google.com/search?newwindow=1&amp;ei=2MT0XrvGGM-vytMP1OyDgAY&amp;q=site%3Alinkedin.com+Katherine+David+Campus+Recruiter+Citi" TargetMode="External"/><Relationship Id="rId3552" Type="http://schemas.openxmlformats.org/officeDocument/2006/relationships/hyperlink" Target="https://www.google.com/search?newwindow=1&amp;ei=2MT0XrvGGM-vytMP1OyDgAY&amp;q=site%3Alinkedin.com+Maggie+Bott+Technical+Recruiter+-+Student+Veterans+++Security+Clearance+Opportunities+for+University+Students+Microsoft" TargetMode="External"/><Relationship Id="rId2223" Type="http://schemas.openxmlformats.org/officeDocument/2006/relationships/hyperlink" Target="https://www.google.com/search?newwindow=1&amp;ei=2MT0XrvGGM-vytMP1OyDgAY&amp;q=site%3Alinkedin.com+Ashlei+Scott+Charlotte+Location+Lead+&amp;+Campus+Recruiter+Accenture" TargetMode="External"/><Relationship Id="rId3555" Type="http://schemas.openxmlformats.org/officeDocument/2006/relationships/hyperlink" Target="https://www.google.com/search?newwindow=1&amp;ei=2MT0XrvGGM-vytMP1OyDgAY&amp;q=site%3Alinkedin.com+Kamara+Swaby+University+Recruiter+Microsoft" TargetMode="External"/><Relationship Id="rId2224" Type="http://schemas.openxmlformats.org/officeDocument/2006/relationships/hyperlink" Target="https://www.google.com/search?newwindow=1&amp;ei=2MT0XrvGGM-vytMP1OyDgAY&amp;q=site%3Alinkedin.com+Camille+Pasquier+Campus+Recruiter+Citi" TargetMode="External"/><Relationship Id="rId3554" Type="http://schemas.openxmlformats.org/officeDocument/2006/relationships/hyperlink" Target="https://www.google.com/search?newwindow=1&amp;ei=2MT0XrvGGM-vytMP1OyDgAY&amp;q=site%3Alinkedin.com+Keanna+Carter+University+Tech+Recruiter+Google" TargetMode="External"/><Relationship Id="rId2214" Type="http://schemas.openxmlformats.org/officeDocument/2006/relationships/hyperlink" Target="https://www.google.com/search?newwindow=1&amp;ei=2MT0XrvGGM-vytMP1OyDgAY&amp;q=site%3Alinkedin.com+Colleen+Mullin+Campus+Recruiter+Citadel+LLC" TargetMode="External"/><Relationship Id="rId3546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+Goldman+Sachs" TargetMode="External"/><Relationship Id="rId2215" Type="http://schemas.openxmlformats.org/officeDocument/2006/relationships/hyperlink" Target="https://www.google.com/search?newwindow=1&amp;ei=2MT0XrvGGM-vytMP1OyDgAY&amp;q=site%3Alinkedin.com+Sara+Buxton+NorCal+Campus+Recruiting+Manager+Accenture" TargetMode="External"/><Relationship Id="rId3545" Type="http://schemas.openxmlformats.org/officeDocument/2006/relationships/hyperlink" Target="https://www.google.com/search?newwindow=1&amp;ei=2MT0XrvGGM-vytMP1OyDgAY&amp;q=site%3Alinkedin.com+Faviola+Zu%C3%B1iga,+CDR+Hispanic+Serving+Institutions+Hub+%7C+Technical+University+Recruiter+Microsoft" TargetMode="External"/><Relationship Id="rId2216" Type="http://schemas.openxmlformats.org/officeDocument/2006/relationships/hyperlink" Target="https://www.google.com/search?newwindow=1&amp;ei=2MT0XrvGGM-vytMP1OyDgAY&amp;q=site%3Alinkedin.com+Gwendolyn+Hickey+Campus+Recruiter+-+Quantitative+Research+Citadel+LLC" TargetMode="External"/><Relationship Id="rId3548" Type="http://schemas.openxmlformats.org/officeDocument/2006/relationships/hyperlink" Target="https://www.google.com/search?newwindow=1&amp;ei=2MT0XrvGGM-vytMP1OyDgAY&amp;q=site%3Alinkedin.com+rose+jay+Campus+Recruiter+Microsoft" TargetMode="External"/><Relationship Id="rId2217" Type="http://schemas.openxmlformats.org/officeDocument/2006/relationships/hyperlink" Target="https://www.google.com/search?newwindow=1&amp;ei=2MT0XrvGGM-vytMP1OyDgAY&amp;q=site%3Alinkedin.com+Mai+C.+Maye+Sr.+Campus+Recruiter+Accenture" TargetMode="External"/><Relationship Id="rId3547" Type="http://schemas.openxmlformats.org/officeDocument/2006/relationships/hyperlink" Target="https://www.google.com/search?newwindow=1&amp;ei=2MT0XrvGGM-vytMP1OyDgAY&amp;q=site%3Alinkedin.com+Gretchen+Tristan+University+Recruiter+Microsoft" TargetMode="External"/><Relationship Id="rId2218" Type="http://schemas.openxmlformats.org/officeDocument/2006/relationships/hyperlink" Target="https://www.google.com/search?newwindow=1&amp;ei=2MT0XrvGGM-vytMP1OyDgAY&amp;q=site%3Alinkedin.com+Margaret+Norman+Campus+Recruiter+Citi" TargetMode="External"/><Relationship Id="rId2219" Type="http://schemas.openxmlformats.org/officeDocument/2006/relationships/hyperlink" Target="https://www.google.com/search?newwindow=1&amp;ei=2MT0XrvGGM-vytMP1OyDgAY&amp;q=site%3Alinkedin.com+Brooke+Steele+Campus+Recruiter+Accenture" TargetMode="External"/><Relationship Id="rId3549" Type="http://schemas.openxmlformats.org/officeDocument/2006/relationships/hyperlink" Target="https://www.google.com/search?newwindow=1&amp;ei=2MT0XrvGGM-vytMP1OyDgAY&amp;q=site%3Alinkedin.com+Maribel+Velazquez+Engineering+University+Relations+Recruiter+Goldman+Sachs" TargetMode="External"/><Relationship Id="rId3540" Type="http://schemas.openxmlformats.org/officeDocument/2006/relationships/hyperlink" Target="https://www.google.com/search?newwindow=1&amp;ei=2MT0XrvGGM-vytMP1OyDgAY&amp;q=site%3Alinkedin.com+Andrea+Maurer+University+Recruiter+Microsoft" TargetMode="External"/><Relationship Id="rId2210" Type="http://schemas.openxmlformats.org/officeDocument/2006/relationships/hyperlink" Target="https://www.google.com/search?newwindow=1&amp;ei=2MT0XrvGGM-vytMP1OyDgAY&amp;q=site%3Alinkedin.com+Avianna+Goldman+Campus+Recruiter+Citadel" TargetMode="External"/><Relationship Id="rId3542" Type="http://schemas.openxmlformats.org/officeDocument/2006/relationships/hyperlink" Target="https://www.google.com/search?newwindow=1&amp;ei=2MT0XrvGGM-vytMP1OyDgAY&amp;q=site%3Alinkedin.com+Nancy+Angelica+Campus+Recruiter+Goldman+Sachs" TargetMode="External"/><Relationship Id="rId2211" Type="http://schemas.openxmlformats.org/officeDocument/2006/relationships/hyperlink" Target="https://www.google.com/search?newwindow=1&amp;ei=2MT0XrvGGM-vytMP1OyDgAY&amp;q=site%3Alinkedin.com+Betsy+Davis+Senior+Campus+Recruiter+Accenture" TargetMode="External"/><Relationship Id="rId3541" Type="http://schemas.openxmlformats.org/officeDocument/2006/relationships/hyperlink" Target="https://www.google.com/search?newwindow=1&amp;ei=2MT0XrvGGM-vytMP1OyDgAY&amp;q=site%3Alinkedin.com+Franco+Bulaon+University+Recruiter+Microsoft" TargetMode="External"/><Relationship Id="rId2212" Type="http://schemas.openxmlformats.org/officeDocument/2006/relationships/hyperlink" Target="https://www.google.com/search?newwindow=1&amp;ei=2MT0XrvGGM-vytMP1OyDgAY&amp;q=site%3Alinkedin.com+Brett+Parker+Campus+Recruiter+Citadel" TargetMode="External"/><Relationship Id="rId3544" Type="http://schemas.openxmlformats.org/officeDocument/2006/relationships/hyperlink" Target="https://www.google.com/search?newwindow=1&amp;ei=2MT0XrvGGM-vytMP1OyDgAY&amp;q=site%3Alinkedin.com+Meredith+Bogguess+University+Recruiter+Microsoft" TargetMode="External"/><Relationship Id="rId2213" Type="http://schemas.openxmlformats.org/officeDocument/2006/relationships/hyperlink" Target="https://www.google.com/search?newwindow=1&amp;ei=2MT0XrvGGM-vytMP1OyDgAY&amp;q=site%3Alinkedin.com+Amy+Romero+Campus+Recruiter+Accenture" TargetMode="External"/><Relationship Id="rId3543" Type="http://schemas.openxmlformats.org/officeDocument/2006/relationships/hyperlink" Target="https://www.google.com/search?newwindow=1&amp;ei=2MT0XrvGGM-vytMP1OyDgAY&amp;q=site%3Alinkedin.com+Damon+Coupe+University+Recruiter+Microsoft" TargetMode="External"/><Relationship Id="rId2247" Type="http://schemas.openxmlformats.org/officeDocument/2006/relationships/hyperlink" Target="https://www.google.com/search?newwindow=1&amp;ei=2MT0XrvGGM-vytMP1OyDgAY&amp;q=site%3Alinkedin.com+Chris+Selbitschka+Recruiter+Accenture" TargetMode="External"/><Relationship Id="rId3579" Type="http://schemas.openxmlformats.org/officeDocument/2006/relationships/hyperlink" Target="https://www.google.com/search?newwindow=1&amp;ei=2MT0XrvGGM-vytMP1OyDgAY&amp;q=site%3Alinkedin.com+Tony+Martinez+Technical+University+Recruiter+Microsoft" TargetMode="External"/><Relationship Id="rId2248" Type="http://schemas.openxmlformats.org/officeDocument/2006/relationships/hyperlink" Target="https://www.google.com/search?newwindow=1&amp;ei=2MT0XrvGGM-vytMP1OyDgAY&amp;q=site%3Alinkedin.com+Yesenia+Gomez+Vice+President,+Campus+Diversity+Recruiting+Manager+Citi" TargetMode="External"/><Relationship Id="rId3578" Type="http://schemas.openxmlformats.org/officeDocument/2006/relationships/hyperlink" Target="https://www.google.com/search?newwindow=1&amp;ei=2MT0XrvGGM-vytMP1OyDgAY&amp;q=site%3Alinkedin.com+Amir+Muhammad+University+Recruiter+Google" TargetMode="External"/><Relationship Id="rId2249" Type="http://schemas.openxmlformats.org/officeDocument/2006/relationships/hyperlink" Target="https://www.google.com/search?newwindow=1&amp;ei=2MT0XrvGGM-vytMP1OyDgAY&amp;q=site%3Alinkedin.com+Madeline+McCooe+Campus+Recruiter+and+Location+Lead+(Southern+California)+Accenture" TargetMode="External"/><Relationship Id="rId327" Type="http://schemas.openxmlformats.org/officeDocument/2006/relationships/hyperlink" Target="https://www.google.com/search?newwindow=1&amp;ei=2MT0XrvGGM-vytMP1OyDgAY&amp;q=site%3Alinkedin.com+Katelin+Penaranda+Campus+Recruiting+Specialist" TargetMode="External"/><Relationship Id="rId326" Type="http://schemas.openxmlformats.org/officeDocument/2006/relationships/hyperlink" Target="https://www.google.com/search?newwindow=1&amp;ei=2MT0XrvGGM-vytMP1OyDgAY&amp;q=site%3Alinkedin.com+Carter+McCormack+Hartung+Campus+Recruiting+Manager" TargetMode="External"/><Relationship Id="rId325" Type="http://schemas.openxmlformats.org/officeDocument/2006/relationships/hyperlink" Target="https://www.google.com/search?newwindow=1&amp;ei=2MT0XrvGGM-vytMP1OyDgAY&amp;q=site%3Alinkedin.com+Kathleen+McMillan+Campus+Recruiting+Specialist" TargetMode="External"/><Relationship Id="rId324" Type="http://schemas.openxmlformats.org/officeDocument/2006/relationships/hyperlink" Target="https://www.google.com/search?newwindow=1&amp;ei=2MT0XrvGGM-vytMP1OyDgAY&amp;q=site%3Alinkedin.com+Stephanie+Loftus,+aPHR+Campus+Recruiting+Coordinator" TargetMode="External"/><Relationship Id="rId329" Type="http://schemas.openxmlformats.org/officeDocument/2006/relationships/hyperlink" Target="https://www.google.com/search?newwindow=1&amp;ei=2MT0XrvGGM-vytMP1OyDgAY&amp;q=site%3Alinkedin.com+Andrea+Schott+Senior+Campus+Recruiting+Specialist" TargetMode="External"/><Relationship Id="rId328" Type="http://schemas.openxmlformats.org/officeDocument/2006/relationships/hyperlink" Target="https://www.google.com/search?newwindow=1&amp;ei=2MT0XrvGGM-vytMP1OyDgAY&amp;q=site%3Alinkedin.com+Eddie+Covarrubias+Senior+Campus+Recruiting+Specialist" TargetMode="External"/><Relationship Id="rId3571" Type="http://schemas.openxmlformats.org/officeDocument/2006/relationships/hyperlink" Target="https://www.google.com/search?newwindow=1&amp;ei=2MT0XrvGGM-vytMP1OyDgAY&amp;q=site%3Alinkedin.com+Lauren+Araujo+University+UX+++PM+Recruiter+Microsoft" TargetMode="External"/><Relationship Id="rId2240" Type="http://schemas.openxmlformats.org/officeDocument/2006/relationships/hyperlink" Target="https://www.google.com/search?newwindow=1&amp;ei=2MT0XrvGGM-vytMP1OyDgAY&amp;q=site%3Alinkedin.com+Megan+Franklin+AVP,+Campus+Program+Manager+and+Recruiter+Citi" TargetMode="External"/><Relationship Id="rId3570" Type="http://schemas.openxmlformats.org/officeDocument/2006/relationships/hyperlink" Target="https://www.google.com/search?newwindow=1&amp;ei=2MT0XrvGGM-vytMP1OyDgAY&amp;q=site%3Alinkedin.com+Eleni+Martinez+Campus+Recruiter+Google" TargetMode="External"/><Relationship Id="rId2241" Type="http://schemas.openxmlformats.org/officeDocument/2006/relationships/hyperlink" Target="https://www.google.com/search?newwindow=1&amp;ei=2MT0XrvGGM-vytMP1OyDgAY&amp;q=site%3Alinkedin.com+Stephanie+Nevin+Campus+and+Entry+Level+Recruiter+Accenture" TargetMode="External"/><Relationship Id="rId3573" Type="http://schemas.openxmlformats.org/officeDocument/2006/relationships/hyperlink" Target="https://www.google.com/search?newwindow=1&amp;ei=2MT0XrvGGM-vytMP1OyDgAY&amp;q=site%3Alinkedin.com+Jeffrey+G.+University+Recruiter+Microsoft" TargetMode="External"/><Relationship Id="rId2242" Type="http://schemas.openxmlformats.org/officeDocument/2006/relationships/hyperlink" Target="https://www.google.com/search?newwindow=1&amp;ei=2MT0XrvGGM-vytMP1OyDgAY&amp;q=site%3Alinkedin.com+Emily+White+(Rodgers)+Assistant+Vice+President,+Campus+Recruiter+-+Banking,+Capital+Markets+&amp;+Advisory+Citi" TargetMode="External"/><Relationship Id="rId3572" Type="http://schemas.openxmlformats.org/officeDocument/2006/relationships/hyperlink" Target="https://www.google.com/search?newwindow=1&amp;ei=2MT0XrvGGM-vytMP1OyDgAY&amp;q=site%3Alinkedin.com+Rachel+Dickson+Campus+Technical+Recruiter+(Tech+)+Google" TargetMode="External"/><Relationship Id="rId323" Type="http://schemas.openxmlformats.org/officeDocument/2006/relationships/hyperlink" Target="https://www.google.com/search?newwindow=1&amp;ei=2MT0XrvGGM-vytMP1OyDgAY&amp;q=site%3Alinkedin.com+Kaitlyn+Tallarico+Associate+CTS+Campus+Recruiting+Specialist" TargetMode="External"/><Relationship Id="rId2243" Type="http://schemas.openxmlformats.org/officeDocument/2006/relationships/hyperlink" Target="https://www.google.com/search?newwindow=1&amp;ei=2MT0XrvGGM-vytMP1OyDgAY&amp;q=site%3Alinkedin.com+Melissa+Olson+Recruiting+Associate+Manager+Accenture" TargetMode="External"/><Relationship Id="rId3575" Type="http://schemas.openxmlformats.org/officeDocument/2006/relationships/hyperlink" Target="https://www.google.com/search?newwindow=1&amp;ei=2MT0XrvGGM-vytMP1OyDgAY&amp;q=site%3Alinkedin.com+Alison+Anthony+University+Recruiter+Microsoft" TargetMode="External"/><Relationship Id="rId322" Type="http://schemas.openxmlformats.org/officeDocument/2006/relationships/hyperlink" Target="https://www.google.com/search?newwindow=1&amp;ei=2MT0XrvGGM-vytMP1OyDgAY&amp;q=site%3Alinkedin.com+Kori+Kelly+Campus+Recruiting+Manager" TargetMode="External"/><Relationship Id="rId2244" Type="http://schemas.openxmlformats.org/officeDocument/2006/relationships/hyperlink" Target="https://www.google.com/search?newwindow=1&amp;ei=2MT0XrvGGM-vytMP1OyDgAY&amp;q=site%3Alinkedin.com+Emily+Bilotta+Assistant+Vice+President,+Campus+Recruiter+&amp;+Program+Manager+Citi" TargetMode="External"/><Relationship Id="rId3574" Type="http://schemas.openxmlformats.org/officeDocument/2006/relationships/hyperlink" Target="https://www.google.com/search?newwindow=1&amp;ei=2MT0XrvGGM-vytMP1OyDgAY&amp;q=site%3Alinkedin.com+Monica+Lavin+Campus+Recruiter+Google" TargetMode="External"/><Relationship Id="rId321" Type="http://schemas.openxmlformats.org/officeDocument/2006/relationships/hyperlink" Target="https://www.google.com/search?newwindow=1&amp;ei=2MT0XrvGGM-vytMP1OyDgAY&amp;q=site%3Alinkedin.com+Katherine+Roy+Campus+Recruiting+Specialist" TargetMode="External"/><Relationship Id="rId2245" Type="http://schemas.openxmlformats.org/officeDocument/2006/relationships/hyperlink" Target="https://www.google.com/search?newwindow=1&amp;ei=2MT0XrvGGM-vytMP1OyDgAY&amp;q=site%3Alinkedin.com+Kendrick+Harris+University+Recruiter+Accenture" TargetMode="External"/><Relationship Id="rId3577" Type="http://schemas.openxmlformats.org/officeDocument/2006/relationships/hyperlink" Target="https://www.google.com/search?newwindow=1&amp;ei=2MT0XrvGGM-vytMP1OyDgAY&amp;q=site%3Alinkedin.com+Samne+Reyna+University+Recruiter+Microsoft" TargetMode="External"/><Relationship Id="rId320" Type="http://schemas.openxmlformats.org/officeDocument/2006/relationships/hyperlink" Target="https://www.google.com/search?newwindow=1&amp;ei=2MT0XrvGGM-vytMP1OyDgAY&amp;q=site%3Alinkedin.com+Blake+Johnson+Firmwide+Diversity+Campus+Recruiting" TargetMode="External"/><Relationship Id="rId2246" Type="http://schemas.openxmlformats.org/officeDocument/2006/relationships/hyperlink" Target="https://www.google.com/search?newwindow=1&amp;ei=2MT0XrvGGM-vytMP1OyDgAY&amp;q=site%3Alinkedin.com+Jacqueline+Waugh+Campus+Recruiter+Citi" TargetMode="External"/><Relationship Id="rId3576" Type="http://schemas.openxmlformats.org/officeDocument/2006/relationships/hyperlink" Target="https://www.google.com/search?newwindow=1&amp;ei=2MT0XrvGGM-vytMP1OyDgAY&amp;q=site%3Alinkedin.com+Shaina+Conrad+Tech+University+Recruiter+Google" TargetMode="External"/><Relationship Id="rId2236" Type="http://schemas.openxmlformats.org/officeDocument/2006/relationships/hyperlink" Target="https://www.google.com/search?newwindow=1&amp;ei=2MT0XrvGGM-vytMP1OyDgAY&amp;q=site%3Alinkedin.com+Sarah+Glaser+Assistant+Vice+President,+Campus+Recruiter+Citi" TargetMode="External"/><Relationship Id="rId3568" Type="http://schemas.openxmlformats.org/officeDocument/2006/relationships/hyperlink" Target="https://www.google.com/search?newwindow=1&amp;ei=2MT0XrvGGM-vytMP1OyDgAY&amp;q=site%3Alinkedin.com+Daryan+Rahimzadeh+Campus+Technical+Recruiter+Google" TargetMode="External"/><Relationship Id="rId2237" Type="http://schemas.openxmlformats.org/officeDocument/2006/relationships/hyperlink" Target="https://www.google.com/search?newwindow=1&amp;ei=2MT0XrvGGM-vytMP1OyDgAY&amp;q=site%3Alinkedin.com+Terrell+Johnson+Detroit+Co-Location+Lead+/+Campus+Recruiter+Accenture" TargetMode="External"/><Relationship Id="rId3567" Type="http://schemas.openxmlformats.org/officeDocument/2006/relationships/hyperlink" Target="https://www.google.com/search?newwindow=1&amp;ei=2MT0XrvGGM-vytMP1OyDgAY&amp;q=site%3Alinkedin.com+Stanford+Savant+Stanford+University+Recruiter+Microsoft" TargetMode="External"/><Relationship Id="rId2238" Type="http://schemas.openxmlformats.org/officeDocument/2006/relationships/hyperlink" Target="https://www.google.com/search?newwindow=1&amp;ei=2MT0XrvGGM-vytMP1OyDgAY&amp;q=site%3Alinkedin.com+Lauren+Cooley+Assistant+Vice+President,+MBA+Campus+Recruiter+and+HR+Program+Manager+for+Investment+Banking+Citi" TargetMode="External"/><Relationship Id="rId2239" Type="http://schemas.openxmlformats.org/officeDocument/2006/relationships/hyperlink" Target="https://www.google.com/search?newwindow=1&amp;ei=2MT0XrvGGM-vytMP1OyDgAY&amp;q=site%3Alinkedin.com+Robin+Ribeiro+Campus+Recruiter+Accenture" TargetMode="External"/><Relationship Id="rId3569" Type="http://schemas.openxmlformats.org/officeDocument/2006/relationships/hyperlink" Target="https://www.google.com/search?newwindow=1&amp;ei=2MT0XrvGGM-vytMP1OyDgAY&amp;q=site%3Alinkedin.com+Connor+Ingerowski+Technical+University+Recruiter+Microsoft" TargetMode="External"/><Relationship Id="rId316" Type="http://schemas.openxmlformats.org/officeDocument/2006/relationships/hyperlink" Target="https://www.google.com/search?newwindow=1&amp;ei=2MT0XrvGGM-vytMP1OyDgAY&amp;q=site%3Alinkedin.com+Michael+Watkins+Manager,+Campus+Recruiting" TargetMode="External"/><Relationship Id="rId315" Type="http://schemas.openxmlformats.org/officeDocument/2006/relationships/hyperlink" Target="https://www.google.com/search?newwindow=1&amp;ei=2MT0XrvGGM-vytMP1OyDgAY&amp;q=site%3Alinkedin.com+john+R.+student" TargetMode="External"/><Relationship Id="rId314" Type="http://schemas.openxmlformats.org/officeDocument/2006/relationships/hyperlink" Target="https://www.google.com/search?newwindow=1&amp;ei=2MT0XrvGGM-vytMP1OyDgAY&amp;q=site%3Alinkedin.com+John+Sarsfield+International+University+Recruiter" TargetMode="External"/><Relationship Id="rId313" Type="http://schemas.openxmlformats.org/officeDocument/2006/relationships/hyperlink" Target="https://www.google.com/search?newwindow=1&amp;ei=2MT0XrvGGM-vytMP1OyDgAY&amp;q=site%3Alinkedin.com+Emma+Bailey+Graduate+Recruiter" TargetMode="External"/><Relationship Id="rId319" Type="http://schemas.openxmlformats.org/officeDocument/2006/relationships/hyperlink" Target="https://www.google.com/search?newwindow=1&amp;ei=2MT0XrvGGM-vytMP1OyDgAY&amp;q=site%3Alinkedin.com+Jessica+C.+Campus+Recruiting+Specialist" TargetMode="External"/><Relationship Id="rId318" Type="http://schemas.openxmlformats.org/officeDocument/2006/relationships/hyperlink" Target="https://www.google.com/search?newwindow=1&amp;ei=2MT0XrvGGM-vytMP1OyDgAY&amp;q=site%3Alinkedin.com+Taylor+Bjerke+Firmwide+Diversity+Programs,+Campus+Recruiting" TargetMode="External"/><Relationship Id="rId317" Type="http://schemas.openxmlformats.org/officeDocument/2006/relationships/hyperlink" Target="https://www.google.com/search?newwindow=1&amp;ei=2MT0XrvGGM-vytMP1OyDgAY&amp;q=site%3Alinkedin.com+Gretchen+Thom+Campus+Recruiting+Specialist+-+Consulting" TargetMode="External"/><Relationship Id="rId3560" Type="http://schemas.openxmlformats.org/officeDocument/2006/relationships/hyperlink" Target="https://www.google.com/search?newwindow=1&amp;ei=2MT0XrvGGM-vytMP1OyDgAY&amp;q=site%3Alinkedin.com+Lauren+Urbanski+University+Recruiter+Google" TargetMode="External"/><Relationship Id="rId2230" Type="http://schemas.openxmlformats.org/officeDocument/2006/relationships/hyperlink" Target="https://www.google.com/search?newwindow=1&amp;ei=2MT0XrvGGM-vytMP1OyDgAY&amp;q=site%3Alinkedin.com+Tiffany+Palacios+Hawkins+Campus+Recruiting+Manager,+Global+Functions+Citi" TargetMode="External"/><Relationship Id="rId3562" Type="http://schemas.openxmlformats.org/officeDocument/2006/relationships/hyperlink" Target="https://www.google.com/search?newwindow=1&amp;ei=2MT0XrvGGM-vytMP1OyDgAY&amp;q=site%3Alinkedin.com+Hayley+Roe+University+Recruiter+Google" TargetMode="External"/><Relationship Id="rId2231" Type="http://schemas.openxmlformats.org/officeDocument/2006/relationships/hyperlink" Target="https://www.google.com/search?newwindow=1&amp;ei=2MT0XrvGGM-vytMP1OyDgAY&amp;q=site%3Alinkedin.com+Krysta+Lewis+Associate+Manager+Accenture" TargetMode="External"/><Relationship Id="rId3561" Type="http://schemas.openxmlformats.org/officeDocument/2006/relationships/hyperlink" Target="https://www.google.com/search?newwindow=1&amp;ei=2MT0XrvGGM-vytMP1OyDgAY&amp;q=site%3Alinkedin.com+Ellen+Thorley+University+Technical+Recruiter+Microsoft" TargetMode="External"/><Relationship Id="rId312" Type="http://schemas.openxmlformats.org/officeDocument/2006/relationships/hyperlink" Target="https://www.google.com/search?newwindow=1&amp;ei=2MT0XrvGGM-vytMP1OyDgAY&amp;q=site%3Alinkedin.com+Lisa+Ulker+Engineering+Campus+Recruiting+Coordinator" TargetMode="External"/><Relationship Id="rId2232" Type="http://schemas.openxmlformats.org/officeDocument/2006/relationships/hyperlink" Target="https://www.google.com/search?newwindow=1&amp;ei=2MT0XrvGGM-vytMP1OyDgAY&amp;q=site%3Alinkedin.com+Emily+Bilotta+Vice+President,+Head+of+University+Relations+Citi" TargetMode="External"/><Relationship Id="rId3564" Type="http://schemas.openxmlformats.org/officeDocument/2006/relationships/hyperlink" Target="https://www.google.com/search?newwindow=1&amp;ei=2MT0XrvGGM-vytMP1OyDgAY&amp;q=site%3Alinkedin.com+Michelle+Figi+UX+Intern+Recruiter+Google" TargetMode="External"/><Relationship Id="rId311" Type="http://schemas.openxmlformats.org/officeDocument/2006/relationships/hyperlink" Target="https://www.google.com/search?newwindow=1&amp;ei=2MT0XrvGGM-vytMP1OyDgAY&amp;q=site%3Alinkedin.com+David+Busshart+College+Recruiter" TargetMode="External"/><Relationship Id="rId2233" Type="http://schemas.openxmlformats.org/officeDocument/2006/relationships/hyperlink" Target="https://www.google.com/search?newwindow=1&amp;ei=2MT0XrvGGM-vytMP1OyDgAY&amp;q=site%3Alinkedin.com+Ilva+Fejzulla+Campus+Recruiter+Accenture" TargetMode="External"/><Relationship Id="rId3563" Type="http://schemas.openxmlformats.org/officeDocument/2006/relationships/hyperlink" Target="https://www.google.com/search?newwindow=1&amp;ei=2MT0XrvGGM-vytMP1OyDgAY&amp;q=site%3Alinkedin.com+Jordan+Greene+University+Recruiter+(Closer)+Microsoft" TargetMode="External"/><Relationship Id="rId310" Type="http://schemas.openxmlformats.org/officeDocument/2006/relationships/hyperlink" Target="https://www.google.com/search?newwindow=1&amp;ei=2MT0XrvGGM-vytMP1OyDgAY&amp;q=site%3Alinkedin.com+Emily+Scott+Early+Talent+Program+Coordinator" TargetMode="External"/><Relationship Id="rId2234" Type="http://schemas.openxmlformats.org/officeDocument/2006/relationships/hyperlink" Target="https://www.google.com/search?newwindow=1&amp;ei=2MT0XrvGGM-vytMP1OyDgAY&amp;q=site%3Alinkedin.com+Sivona+Blake+Assistant+Vice+President+-+Senior+Diversity+Campus+Recruiter+Citi" TargetMode="External"/><Relationship Id="rId3566" Type="http://schemas.openxmlformats.org/officeDocument/2006/relationships/hyperlink" Target="https://www.google.com/search?newwindow=1&amp;ei=2MT0XrvGGM-vytMP1OyDgAY&amp;q=site%3Alinkedin.com+Crystal+Jenkins+University+Graduate+Recruiter+Google" TargetMode="External"/><Relationship Id="rId2235" Type="http://schemas.openxmlformats.org/officeDocument/2006/relationships/hyperlink" Target="https://www.google.com/search?newwindow=1&amp;ei=2MT0XrvGGM-vytMP1OyDgAY&amp;q=site%3Alinkedin.com+Joey+Adams+Project+Manager+-+Business+Process+Optimization+for+Financial+Reporting+(Resources)+Accenture" TargetMode="External"/><Relationship Id="rId3565" Type="http://schemas.openxmlformats.org/officeDocument/2006/relationships/hyperlink" Target="https://www.google.com/search?newwindow=1&amp;ei=2MT0XrvGGM-vytMP1OyDgAY&amp;q=site%3Alinkedin.com+Debarati+Nag+University+Recruiter+Microsoft" TargetMode="External"/><Relationship Id="rId4040" Type="http://schemas.openxmlformats.org/officeDocument/2006/relationships/hyperlink" Target="https://www.google.com/search?newwindow=1&amp;ei=2MT0XrvGGM-vytMP1OyDgAY&amp;q=site%3Alinkedin.com+Jessie+Jordan+College+Recruiter+Lockheed+Martin" TargetMode="External"/><Relationship Id="rId4042" Type="http://schemas.openxmlformats.org/officeDocument/2006/relationships/hyperlink" Target="https://www.google.com/search?newwindow=1&amp;ei=2MT0XrvGGM-vytMP1OyDgAY&amp;q=site%3Alinkedin.com+Vivian+Chen+Technical+University+Recruiter+Lyft" TargetMode="External"/><Relationship Id="rId4041" Type="http://schemas.openxmlformats.org/officeDocument/2006/relationships/hyperlink" Target="https://www.google.com/search?newwindow=1&amp;ei=2MT0XrvGGM-vytMP1OyDgAY&amp;q=site%3Alinkedin.com+Amy+Blake+Group+Campus+Recruiter+Target" TargetMode="External"/><Relationship Id="rId4044" Type="http://schemas.openxmlformats.org/officeDocument/2006/relationships/hyperlink" Target="https://www.google.com/search?newwindow=1&amp;ei=2MT0XrvGGM-vytMP1OyDgAY&amp;q=site%3Alinkedin.com+Courtney+Chacon+University+Recruiter+Lyft" TargetMode="External"/><Relationship Id="rId4043" Type="http://schemas.openxmlformats.org/officeDocument/2006/relationships/hyperlink" Target="https://www.google.com/search?newwindow=1&amp;ei=2MT0XrvGGM-vytMP1OyDgAY&amp;q=site%3Alinkedin.com+Craig+Sedoris+Campus+Recruiter+Target" TargetMode="External"/><Relationship Id="rId4046" Type="http://schemas.openxmlformats.org/officeDocument/2006/relationships/hyperlink" Target="https://www.google.com/search?newwindow=1&amp;ei=2MT0XrvGGM-vytMP1OyDgAY&amp;q=site%3Alinkedin.com+Tim+Romanoff+Lyft+University+Recruiter+Lyft" TargetMode="External"/><Relationship Id="rId4045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4048" Type="http://schemas.openxmlformats.org/officeDocument/2006/relationships/hyperlink" Target="https://www.google.com/search?newwindow=1&amp;ei=2MT0XrvGGM-vytMP1OyDgAY&amp;q=site%3Alinkedin.com+Colleen+DiGiambattista+Executive+Recruiter+-+Campus+and+Experienced+Hire+Recruiting+McKinsey+&amp;+Company" TargetMode="External"/><Relationship Id="rId4047" Type="http://schemas.openxmlformats.org/officeDocument/2006/relationships/hyperlink" Target="https://www.google.com/search?newwindow=1&amp;ei=2MT0XrvGGM-vytMP1OyDgAY&amp;q=site%3Alinkedin.com+Ashley+Miller+Lead+Executive+Campus+Recruiter+Target" TargetMode="External"/><Relationship Id="rId4049" Type="http://schemas.openxmlformats.org/officeDocument/2006/relationships/hyperlink" Target="https://www.google.com/search?newwindow=1&amp;ei=2MT0XrvGGM-vytMP1OyDgAY&amp;q=site%3Alinkedin.com+Kathryn+Kusa+Campus+Recruiter+Target" TargetMode="External"/><Relationship Id="rId4031" Type="http://schemas.openxmlformats.org/officeDocument/2006/relationships/hyperlink" Target="https://www.google.com/search?newwindow=1&amp;ei=2MT0XrvGGM-vytMP1OyDgAY&amp;q=site%3Alinkedin.com+Janet+Bachtel+Campus+Manager+-+University+Relations+&amp;+Recruiting+Lockheed+Martin" TargetMode="External"/><Relationship Id="rId4030" Type="http://schemas.openxmlformats.org/officeDocument/2006/relationships/hyperlink" Target="https://www.google.com/search?newwindow=1&amp;ei=2MT0XrvGGM-vytMP1OyDgAY&amp;q=site%3Alinkedin.com+Ashley+Bothman+Sr.+University+Recruiter+Stryker" TargetMode="External"/><Relationship Id="rId297" Type="http://schemas.openxmlformats.org/officeDocument/2006/relationships/hyperlink" Target="https://www.google.com/search?newwindow=1&amp;ei=2MT0XrvGGM-vytMP1OyDgAY&amp;q=site%3Alinkedin.com+Fawn+Price+National+Tax+Campus+Recruiting+Leader,+Assistant+Director" TargetMode="External"/><Relationship Id="rId4033" Type="http://schemas.openxmlformats.org/officeDocument/2006/relationships/hyperlink" Target="https://www.google.com/search?newwindow=1&amp;ei=2MT0XrvGGM-vytMP1OyDgAY&amp;q=site%3Alinkedin.com+Margaret+Ila+Christian+Campus+Recruiter+Lockheed+Martin" TargetMode="External"/><Relationship Id="rId296" Type="http://schemas.openxmlformats.org/officeDocument/2006/relationships/hyperlink" Target="https://www.google.com/search?newwindow=1&amp;ei=2MT0XrvGGM-vytMP1OyDgAY&amp;q=site%3Alinkedin.com+Cameron+Thomasson+Campus+Recruiting+Coordinator" TargetMode="External"/><Relationship Id="rId4032" Type="http://schemas.openxmlformats.org/officeDocument/2006/relationships/hyperlink" Target="https://www.google.com/search?newwindow=1&amp;ei=2MT0XrvGGM-vytMP1OyDgAY&amp;q=site%3Alinkedin.com+Calli+Conti+Senior+Recruiter+Stryker+Corporation" TargetMode="External"/><Relationship Id="rId295" Type="http://schemas.openxmlformats.org/officeDocument/2006/relationships/hyperlink" Target="https://www.google.com/search?newwindow=1&amp;ei=2MT0XrvGGM-vytMP1OyDgAY&amp;q=site%3Alinkedin.com+Christie+Kerr+Campus+Recruiting,+Project+Manager" TargetMode="External"/><Relationship Id="rId4035" Type="http://schemas.openxmlformats.org/officeDocument/2006/relationships/hyperlink" Target="https://www.google.com/search?newwindow=1&amp;ei=2MT0XrvGGM-vytMP1OyDgAY&amp;q=site%3Alinkedin.com+Karina+Stronciu+Campus+Recruiter+Lockheed+Martin" TargetMode="External"/><Relationship Id="rId294" Type="http://schemas.openxmlformats.org/officeDocument/2006/relationships/hyperlink" Target="https://www.google.com/search?newwindow=1&amp;ei=2MT0XrvGGM-vytMP1OyDgAY&amp;q=site%3Alinkedin.com+Claire+Hall+Senior+Associate,+Campus+Recruiting" TargetMode="External"/><Relationship Id="rId4034" Type="http://schemas.openxmlformats.org/officeDocument/2006/relationships/hyperlink" Target="https://www.google.com/search?newwindow=1&amp;ei=2MT0XrvGGM-vytMP1OyDgAY&amp;q=site%3Alinkedin.com+Sarah+Deiter+Senior+University+Recruiter+T-Mobile" TargetMode="External"/><Relationship Id="rId4037" Type="http://schemas.openxmlformats.org/officeDocument/2006/relationships/hyperlink" Target="https://www.google.com/search?newwindow=1&amp;ei=2MT0XrvGGM-vytMP1OyDgAY&amp;q=site%3Alinkedin.com+Remy+Crespo+Viewed+T-Mobile" TargetMode="External"/><Relationship Id="rId4036" Type="http://schemas.openxmlformats.org/officeDocument/2006/relationships/hyperlink" Target="https://www.google.com/search?newwindow=1&amp;ei=2MT0XrvGGM-vytMP1OyDgAY&amp;q=site%3Alinkedin.com+Brandee+Waddell+College+and+Military+Recruiter+T-Mobile" TargetMode="External"/><Relationship Id="rId299" Type="http://schemas.openxmlformats.org/officeDocument/2006/relationships/hyperlink" Target="https://www.google.com/search?newwindow=1&amp;ei=2MT0XrvGGM-vytMP1OyDgAY&amp;q=site%3Alinkedin.com+Erin+Green+Campus+Recruiting+Manager" TargetMode="External"/><Relationship Id="rId4039" Type="http://schemas.openxmlformats.org/officeDocument/2006/relationships/hyperlink" Target="https://www.google.com/search?newwindow=1&amp;ei=2MT0XrvGGM-vytMP1OyDgAY&amp;q=site%3Alinkedin.com+Greg+Pare+Lead+Campus+Recruiter+Target" TargetMode="External"/><Relationship Id="rId298" Type="http://schemas.openxmlformats.org/officeDocument/2006/relationships/hyperlink" Target="https://www.google.com/search?newwindow=1&amp;ei=2MT0XrvGGM-vytMP1OyDgAY&amp;q=site%3Alinkedin.com+Crissy+Hartman+Campus+Recruiting+Coordinator" TargetMode="External"/><Relationship Id="rId4038" Type="http://schemas.openxmlformats.org/officeDocument/2006/relationships/hyperlink" Target="https://www.google.com/search?newwindow=1&amp;ei=2MT0XrvGGM-vytMP1OyDgAY&amp;q=site%3Alinkedin.com+Brigette+Biagas+Campus+Recruiter+Lockheed+Martin" TargetMode="External"/><Relationship Id="rId4060" Type="http://schemas.openxmlformats.org/officeDocument/2006/relationships/hyperlink" Target="https://www.google.com/search?newwindow=1&amp;ei=2MT0XrvGGM-vytMP1OyDgAY&amp;q=site%3Alinkedin.com+Madisson+DeLisle+%F0%9F%90%98+Campus+Recruiting+Manager+memoryBlue" TargetMode="External"/><Relationship Id="rId4062" Type="http://schemas.openxmlformats.org/officeDocument/2006/relationships/hyperlink" Target="https://www.google.com/search?newwindow=1&amp;ei=2MT0XrvGGM-vytMP1OyDgAY&amp;q=site%3Alinkedin.com+Becca+Bullard+Campus+Recruiting+Manager+memoryBlue" TargetMode="External"/><Relationship Id="rId4061" Type="http://schemas.openxmlformats.org/officeDocument/2006/relationships/hyperlink" Target="https://www.google.com/search?newwindow=1&amp;ei=2MT0XrvGGM-vytMP1OyDgAY&amp;q=site%3Alinkedin.com+April+Voigt+Campus+and+Experienced+Recruiter+Target" TargetMode="External"/><Relationship Id="rId4064" Type="http://schemas.openxmlformats.org/officeDocument/2006/relationships/hyperlink" Target="https://www.google.com/search?newwindow=1&amp;ei=2MT0XrvGGM-vytMP1OyDgAY&amp;q=site%3Alinkedin.com+Libby+Galatis+Campus+Recruiting+Manager+memoryBlue" TargetMode="External"/><Relationship Id="rId4063" Type="http://schemas.openxmlformats.org/officeDocument/2006/relationships/hyperlink" Target="https://www.google.com/search?newwindow=1&amp;ei=2MT0XrvGGM-vytMP1OyDgAY&amp;q=site%3Alinkedin.com+Zavier+Lewis+Executive+Recruiter+Target" TargetMode="External"/><Relationship Id="rId4066" Type="http://schemas.openxmlformats.org/officeDocument/2006/relationships/hyperlink" Target="https://www.google.com/search?newwindow=1&amp;ei=2MT0XrvGGM-vytMP1OyDgAY&amp;q=site%3Alinkedin.com+Leyla+N.+University+Recruiter+(Closer)+Microsoft" TargetMode="External"/><Relationship Id="rId4065" Type="http://schemas.openxmlformats.org/officeDocument/2006/relationships/hyperlink" Target="https://www.google.com/search?newwindow=1&amp;ei=2MT0XrvGGM-vytMP1OyDgAY&amp;q=site%3Alinkedin.com+Andi+Christenson+Lead+Executive+Recruiter+Target" TargetMode="External"/><Relationship Id="rId4068" Type="http://schemas.openxmlformats.org/officeDocument/2006/relationships/hyperlink" Target="https://www.google.com/search?newwindow=1&amp;ei=2MT0XrvGGM-vytMP1OyDgAY&amp;q=site%3Alinkedin.com+Julie+Moskalenko+University+Recruiter+Microsoft" TargetMode="External"/><Relationship Id="rId4067" Type="http://schemas.openxmlformats.org/officeDocument/2006/relationships/hyperlink" Target="https://www.google.com/search?newwindow=1&amp;ei=2MT0XrvGGM-vytMP1OyDgAY&amp;q=site%3Alinkedin.com+Amanda+Luu+Senior+Campus+Recruiter+Target" TargetMode="External"/><Relationship Id="rId4069" Type="http://schemas.openxmlformats.org/officeDocument/2006/relationships/hyperlink" Target="https://www.google.com/search?newwindow=1&amp;ei=2MT0XrvGGM-vytMP1OyDgAY&amp;q=site%3Alinkedin.com+David+Wyant+Lead+Recruiter+-+Campus+Target" TargetMode="External"/><Relationship Id="rId4051" Type="http://schemas.openxmlformats.org/officeDocument/2006/relationships/hyperlink" Target="https://www.google.com/search?newwindow=1&amp;ei=2MT0XrvGGM-vytMP1OyDgAY&amp;q=site%3Alinkedin.com+Beth+Bonarrigo+Sr.+Field+Campus+Recruiter+I+Trainer+I+HR+Business+Partner+Target" TargetMode="External"/><Relationship Id="rId4050" Type="http://schemas.openxmlformats.org/officeDocument/2006/relationships/hyperlink" Target="https://www.google.com/search?newwindow=1&amp;ei=2MT0XrvGGM-vytMP1OyDgAY&amp;q=site%3Alinkedin.com+Kyle+Scobee+Campus+Sourcing+Recruiter+McKinsey+&amp;+Company" TargetMode="External"/><Relationship Id="rId4053" Type="http://schemas.openxmlformats.org/officeDocument/2006/relationships/hyperlink" Target="https://www.google.com/search?newwindow=1&amp;ei=2MT0XrvGGM-vytMP1OyDgAY&amp;q=site%3Alinkedin.com+Vanessa+Kramer+Campus+Recruiter+Target" TargetMode="External"/><Relationship Id="rId4052" Type="http://schemas.openxmlformats.org/officeDocument/2006/relationships/hyperlink" Target="https://www.google.com/search?newwindow=1&amp;ei=2MT0XrvGGM-vytMP1OyDgAY&amp;q=site%3Alinkedin.com+Lauren+B.+Campus+Recruiter+-+Engineering+Covering+Colorado+&amp;+East+Coast+Region+Medtronic" TargetMode="External"/><Relationship Id="rId4055" Type="http://schemas.openxmlformats.org/officeDocument/2006/relationships/hyperlink" Target="https://www.google.com/search?newwindow=1&amp;ei=2MT0XrvGGM-vytMP1OyDgAY&amp;q=site%3Alinkedin.com+Melissa+Kloubec+Engineering+Campus+Recruiting+Manager+Medtronic" TargetMode="External"/><Relationship Id="rId4054" Type="http://schemas.openxmlformats.org/officeDocument/2006/relationships/hyperlink" Target="https://www.google.com/search?newwindow=1&amp;ei=2MT0XrvGGM-vytMP1OyDgAY&amp;q=site%3Alinkedin.com+Andrea+Herrald+Lead+Executive+Campus+Recruiter-Supply+Chain+Target" TargetMode="External"/><Relationship Id="rId4057" Type="http://schemas.openxmlformats.org/officeDocument/2006/relationships/hyperlink" Target="https://www.google.com/search?newwindow=1&amp;ei=2MT0XrvGGM-vytMP1OyDgAY&amp;q=site%3Alinkedin.com+sara+moghadam+Group+Campus+Recruiter+Target" TargetMode="External"/><Relationship Id="rId4056" Type="http://schemas.openxmlformats.org/officeDocument/2006/relationships/hyperlink" Target="https://www.google.com/search?newwindow=1&amp;ei=2MT0XrvGGM-vytMP1OyDgAY&amp;q=site%3Alinkedin.com+John+Walsh+Campus+Recruiter+Target" TargetMode="External"/><Relationship Id="rId4059" Type="http://schemas.openxmlformats.org/officeDocument/2006/relationships/hyperlink" Target="https://www.google.com/search?newwindow=1&amp;ei=2MT0XrvGGM-vytMP1OyDgAY&amp;q=site%3Alinkedin.com+Amy+Hayes+Executive+Team+Leader-+Logistics/Campus+Recruiter+D446+Target" TargetMode="External"/><Relationship Id="rId4058" Type="http://schemas.openxmlformats.org/officeDocument/2006/relationships/hyperlink" Target="https://www.google.com/search?newwindow=1&amp;ei=2MT0XrvGGM-vytMP1OyDgAY&amp;q=site%3Alinkedin.com+Sami+Graves+Campus+Recruiter+-+Supply+Chain+&amp;+Undergraduate+Campus+Recruitment+Medtronic" TargetMode="External"/><Relationship Id="rId4008" Type="http://schemas.openxmlformats.org/officeDocument/2006/relationships/hyperlink" Target="https://www.google.com/search?newwindow=1&amp;ei=2MT0XrvGGM-vytMP1OyDgAY&amp;q=site%3Alinkedin.com+Ron+Pittman,+CLU%C2%AE+College+Relations+Recruiter+State+Farm+Insurance" TargetMode="External"/><Relationship Id="rId4007" Type="http://schemas.openxmlformats.org/officeDocument/2006/relationships/hyperlink" Target="https://www.google.com/search?newwindow=1&amp;ei=2MT0XrvGGM-vytMP1OyDgAY&amp;q=site%3Alinkedin.com+Alexander+Kahn+NAU+College+Recruiter+State+Farm+%C2%AE" TargetMode="External"/><Relationship Id="rId4009" Type="http://schemas.openxmlformats.org/officeDocument/2006/relationships/hyperlink" Target="https://www.google.com/search?newwindow=1&amp;ei=2MT0XrvGGM-vytMP1OyDgAY&amp;q=site%3Alinkedin.com+Alexandra+Halas+Campus+Recruiter+Lockheed+Martin" TargetMode="External"/><Relationship Id="rId271" Type="http://schemas.openxmlformats.org/officeDocument/2006/relationships/hyperlink" Target="https://www.google.com/search?newwindow=1&amp;ei=2MT0XrvGGM-vytMP1OyDgAY&amp;q=site%3Alinkedin.com+Jennifer+Berman+National+Manager,+CPA+Student+Program" TargetMode="External"/><Relationship Id="rId270" Type="http://schemas.openxmlformats.org/officeDocument/2006/relationships/hyperlink" Target="https://www.google.com/search?newwindow=1&amp;ei=2MT0XrvGGM-vytMP1OyDgAY&amp;q=site%3Alinkedin.com+Andrea+Kirkham+PhD+Student,+Applied+Human+Nutrition" TargetMode="External"/><Relationship Id="rId269" Type="http://schemas.openxmlformats.org/officeDocument/2006/relationships/hyperlink" Target="https://www.google.com/search?newwindow=1&amp;ei=2MT0XrvGGM-vytMP1OyDgAY&amp;q=site%3Alinkedin.com+Amber+O'Quinn+Vice+Principal+for+International+Student+Programs" TargetMode="External"/><Relationship Id="rId264" Type="http://schemas.openxmlformats.org/officeDocument/2006/relationships/hyperlink" Target="https://www.google.com/search?newwindow=1&amp;ei=2MT0XrvGGM-vytMP1OyDgAY&amp;q=site%3Alinkedin.com+Valerie+Groysman+Coordinator,+Student+Programs+and+Outreach" TargetMode="External"/><Relationship Id="rId4000" Type="http://schemas.openxmlformats.org/officeDocument/2006/relationships/hyperlink" Target="https://www.google.com/search?newwindow=1&amp;ei=2MT0XrvGGM-vytMP1OyDgAY&amp;q=site%3Alinkedin.com+Kyle+Stai+University+Recruiter+Lockheed+Martin" TargetMode="External"/><Relationship Id="rId263" Type="http://schemas.openxmlformats.org/officeDocument/2006/relationships/hyperlink" Target="https://www.google.com/search?newwindow=1&amp;ei=2MT0XrvGGM-vytMP1OyDgAY&amp;q=site%3Alinkedin.com+Mara+Mihailescu+Health+Systems+Stream+Representative+-+Telfer+Graduate+Research+Programs+Student+Association" TargetMode="External"/><Relationship Id="rId262" Type="http://schemas.openxmlformats.org/officeDocument/2006/relationships/hyperlink" Target="https://www.google.com/search?newwindow=1&amp;ei=2MT0XrvGGM-vytMP1OyDgAY&amp;q=site%3Alinkedin.com+Caroline+Mitry+Manager,+Global+Operations+and+Student+Support+Programs" TargetMode="External"/><Relationship Id="rId4002" Type="http://schemas.openxmlformats.org/officeDocument/2006/relationships/hyperlink" Target="https://www.google.com/search?newwindow=1&amp;ei=2MT0XrvGGM-vytMP1OyDgAY&amp;q=site%3Alinkedin.com+Jennina+Arcuri+Lead+University+Talent+Aquisition+Recruiter+Lockheed+Martin" TargetMode="External"/><Relationship Id="rId261" Type="http://schemas.openxmlformats.org/officeDocument/2006/relationships/hyperlink" Target="https://www.google.com/search?newwindow=1&amp;ei=2MT0XrvGGM-vytMP1OyDgAY&amp;q=site%3Alinkedin.com+Abby+Taher+Assistant+of+Student+Development+Programs" TargetMode="External"/><Relationship Id="rId4001" Type="http://schemas.openxmlformats.org/officeDocument/2006/relationships/hyperlink" Target="https://www.google.com/search?newwindow=1&amp;ei=2MT0XrvGGM-vytMP1OyDgAY&amp;q=site%3Alinkedin.com+Claudia+Guzman+University+Recruiter+Siemens+Healthineers" TargetMode="External"/><Relationship Id="rId268" Type="http://schemas.openxmlformats.org/officeDocument/2006/relationships/hyperlink" Target="https://www.google.com/search?newwindow=1&amp;ei=2MT0XrvGGM-vytMP1OyDgAY&amp;q=site%3Alinkedin.com+Wendy+Norman+Associate+Director,+Student+Engagement+Programs" TargetMode="External"/><Relationship Id="rId4004" Type="http://schemas.openxmlformats.org/officeDocument/2006/relationships/hyperlink" Target="https://www.google.com/search?newwindow=1&amp;ei=2MT0XrvGGM-vytMP1OyDgAY&amp;q=site%3Alinkedin.com+Andrew+Pearlman+College+Recruiter+Lockheed+Martin" TargetMode="External"/><Relationship Id="rId267" Type="http://schemas.openxmlformats.org/officeDocument/2006/relationships/hyperlink" Target="https://www.google.com/search?newwindow=1&amp;ei=2MT0XrvGGM-vytMP1OyDgAY&amp;q=site%3Alinkedin.com+Heba+Qazilbash+Student+Success+Programs+Assistant" TargetMode="External"/><Relationship Id="rId4003" Type="http://schemas.openxmlformats.org/officeDocument/2006/relationships/hyperlink" Target="https://www.google.com/search?newwindow=1&amp;ei=2MT0XrvGGM-vytMP1OyDgAY&amp;q=site%3Alinkedin.com+Cooper+Kennard+College+Recruiter+State+Farm" TargetMode="External"/><Relationship Id="rId266" Type="http://schemas.openxmlformats.org/officeDocument/2006/relationships/hyperlink" Target="https://www.google.com/search?newwindow=1&amp;ei=2MT0XrvGGM-vytMP1OyDgAY&amp;q=site%3Alinkedin.com+Cathy+Watkins+Manager+of+Associate+and+Student+Programs" TargetMode="External"/><Relationship Id="rId4006" Type="http://schemas.openxmlformats.org/officeDocument/2006/relationships/hyperlink" Target="https://www.google.com/search?newwindow=1&amp;ei=2MT0XrvGGM-vytMP1OyDgAY&amp;q=site%3Alinkedin.com+Matthew+Castro+Campus+Recruiter+Lockheed+Martin" TargetMode="External"/><Relationship Id="rId265" Type="http://schemas.openxmlformats.org/officeDocument/2006/relationships/hyperlink" Target="https://www.google.com/search?newwindow=1&amp;ei=2MT0XrvGGM-vytMP1OyDgAY&amp;q=site%3Alinkedin.com+Shunmathi+Shanmugam+Undergraduate+Teaching+Assistant+-+INSPIRE+3EL3+(C03)" TargetMode="External"/><Relationship Id="rId4005" Type="http://schemas.openxmlformats.org/officeDocument/2006/relationships/hyperlink" Target="https://www.google.com/search?newwindow=1&amp;ei=2MT0XrvGGM-vytMP1OyDgAY&amp;q=site%3Alinkedin.com+Cody+Walls+Information+Technology+Recruiter+-+University+of+Georgia+State+Farm+%C2%AE" TargetMode="External"/><Relationship Id="rId260" Type="http://schemas.openxmlformats.org/officeDocument/2006/relationships/hyperlink" Target="https://www.google.com/search?newwindow=1&amp;ei=2MT0XrvGGM-vytMP1OyDgAY&amp;q=site%3Alinkedin.com+Liz+Gamble+District+Principal+of+International+Student+Programs" TargetMode="External"/><Relationship Id="rId259" Type="http://schemas.openxmlformats.org/officeDocument/2006/relationships/hyperlink" Target="https://www.google.com/search?newwindow=1&amp;ei=2MT0XrvGGM-vytMP1OyDgAY&amp;q=site%3Alinkedin.com+Sarah-Mae+Rahal+Indigenous+Programs+Coordinator" TargetMode="External"/><Relationship Id="rId258" Type="http://schemas.openxmlformats.org/officeDocument/2006/relationships/hyperlink" Target="https://www.google.com/search?newwindow=1&amp;ei=2MT0XrvGGM-vytMP1OyDgAY&amp;q=site%3Alinkedin.com+Min+Ji+Kang+Student+Programs+Coordinator" TargetMode="External"/><Relationship Id="rId2290" Type="http://schemas.openxmlformats.org/officeDocument/2006/relationships/hyperlink" Target="https://www.google.com/search?newwindow=1&amp;ei=2MT0XrvGGM-vytMP1OyDgAY&amp;q=site%3Alinkedin.com+Brandon+Moore+Senior+Campus+Recruiter+Accenture+Strategy" TargetMode="External"/><Relationship Id="rId2291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2292" Type="http://schemas.openxmlformats.org/officeDocument/2006/relationships/hyperlink" Target="https://www.google.com/search?newwindow=1&amp;ei=2MT0XrvGGM-vytMP1OyDgAY&amp;q=site%3Alinkedin.com+Melanie+Hunter+University+Relations+Recruiter+Comcast" TargetMode="External"/><Relationship Id="rId2293" Type="http://schemas.openxmlformats.org/officeDocument/2006/relationships/hyperlink" Target="https://www.google.com/search?newwindow=1&amp;ei=2MT0XrvGGM-vytMP1OyDgAY&amp;q=site%3Alinkedin.com+JoAnne+Jean-Noel+Campus+Recruiter+Allstate" TargetMode="External"/><Relationship Id="rId253" Type="http://schemas.openxmlformats.org/officeDocument/2006/relationships/hyperlink" Target="https://www.google.com/search?newwindow=1&amp;ei=2MT0XrvGGM-vytMP1OyDgAY&amp;q=site%3Alinkedin.com+Thandi+Myers+Student+Engineer" TargetMode="External"/><Relationship Id="rId2294" Type="http://schemas.openxmlformats.org/officeDocument/2006/relationships/hyperlink" Target="https://www.google.com/search?newwindow=1&amp;ei=2MT0XrvGGM-vytMP1OyDgAY&amp;q=site%3Alinkedin.com+Erin+Kantner+MBA+Campus+Recruiter+&amp;+Program+Manager+Comcast" TargetMode="External"/><Relationship Id="rId252" Type="http://schemas.openxmlformats.org/officeDocument/2006/relationships/hyperlink" Target="https://www.google.com/search?newwindow=1&amp;ei=2MT0XrvGGM-vytMP1OyDgAY&amp;q=site%3Alinkedin.com+Alysia+Isidro+Student+Programs+Coordinator" TargetMode="External"/><Relationship Id="rId2295" Type="http://schemas.openxmlformats.org/officeDocument/2006/relationships/hyperlink" Target="https://www.google.com/search?newwindow=1&amp;ei=2MT0XrvGGM-vytMP1OyDgAY&amp;q=site%3Alinkedin.com+Kyle+Pagan+Talent+Brand+Marketing+Specialist/Campus+Recruiter+Comcast" TargetMode="External"/><Relationship Id="rId251" Type="http://schemas.openxmlformats.org/officeDocument/2006/relationships/hyperlink" Target="https://www.google.com/search?newwindow=1&amp;ei=2MT0XrvGGM-vytMP1OyDgAY&amp;q=site%3Alinkedin.com+Zed+Chia+Undergraduate+Advisor+&amp;+Recruiter" TargetMode="External"/><Relationship Id="rId2296" Type="http://schemas.openxmlformats.org/officeDocument/2006/relationships/hyperlink" Target="https://www.google.com/search?newwindow=1&amp;ei=2MT0XrvGGM-vytMP1OyDgAY&amp;q=site%3Alinkedin.com+Ann.+Scarp+Campus+Recruiter+Credit+Suisse" TargetMode="External"/><Relationship Id="rId250" Type="http://schemas.openxmlformats.org/officeDocument/2006/relationships/hyperlink" Target="https://www.google.com/search?newwindow=1&amp;ei=2MT0XrvGGM-vytMP1OyDgAY&amp;q=site%3Alinkedin.com+Tatianna+Burnett+Undergraduate+Recruiter" TargetMode="External"/><Relationship Id="rId2297" Type="http://schemas.openxmlformats.org/officeDocument/2006/relationships/hyperlink" Target="https://www.google.com/search?newwindow=1&amp;ei=2MT0XrvGGM-vytMP1OyDgAY&amp;q=site%3Alinkedin.com+Jillian+Farrell+Campus+Recruiting+Lead+Allstate" TargetMode="External"/><Relationship Id="rId257" Type="http://schemas.openxmlformats.org/officeDocument/2006/relationships/hyperlink" Target="https://www.google.com/search?newwindow=1&amp;ei=2MT0XrvGGM-vytMP1OyDgAY&amp;q=site%3Alinkedin.com+Natasha+Bhimji+Director+of+Student+Programs" TargetMode="External"/><Relationship Id="rId2298" Type="http://schemas.openxmlformats.org/officeDocument/2006/relationships/hyperlink" Target="https://www.google.com/search?newwindow=1&amp;ei=2MT0XrvGGM-vytMP1OyDgAY&amp;q=site%3Alinkedin.com+Rachael+Schutzbank+AVP,+Campus+Recruiter,+Investment+Banking+&amp;+Capital+Markets+Credit+Suisse" TargetMode="External"/><Relationship Id="rId256" Type="http://schemas.openxmlformats.org/officeDocument/2006/relationships/hyperlink" Target="https://www.google.com/search?newwindow=1&amp;ei=2MT0XrvGGM-vytMP1OyDgAY&amp;q=site%3Alinkedin.com+Zarina+Mamadbekova+International+Student+Programs+Team+Lead" TargetMode="External"/><Relationship Id="rId2299" Type="http://schemas.openxmlformats.org/officeDocument/2006/relationships/hyperlink" Target="https://www.google.com/search?newwindow=1&amp;ei=2MT0XrvGGM-vytMP1OyDgAY&amp;q=site%3Alinkedin.com+Madison+Bruchsaler+Campus+Recruiter+Allstate" TargetMode="External"/><Relationship Id="rId255" Type="http://schemas.openxmlformats.org/officeDocument/2006/relationships/hyperlink" Target="https://www.google.com/search?newwindow=1&amp;ei=2MT0XrvGGM-vytMP1OyDgAY&amp;q=site%3Alinkedin.com+Jim+Bohun+Assistant+Dean,+Academic+and+Student+Programs" TargetMode="External"/><Relationship Id="rId254" Type="http://schemas.openxmlformats.org/officeDocument/2006/relationships/hyperlink" Target="https://www.google.com/search?newwindow=1&amp;ei=2MT0XrvGGM-vytMP1OyDgAY&amp;q=site%3Alinkedin.com+Remi+Kandal+Research+Student" TargetMode="External"/><Relationship Id="rId4029" Type="http://schemas.openxmlformats.org/officeDocument/2006/relationships/hyperlink" Target="https://www.google.com/search?newwindow=1&amp;ei=2MT0XrvGGM-vytMP1OyDgAY&amp;q=site%3Alinkedin.com+Yeneneh+Ketema+Campus+Relations+Manager+Lockheed+Martin" TargetMode="External"/><Relationship Id="rId293" Type="http://schemas.openxmlformats.org/officeDocument/2006/relationships/hyperlink" Target="https://www.google.com/search?newwindow=1&amp;ei=2MT0XrvGGM-vytMP1OyDgAY&amp;q=site%3Alinkedin.com+Britton+Frampton+Campus+Recruiting+Consultant" TargetMode="External"/><Relationship Id="rId292" Type="http://schemas.openxmlformats.org/officeDocument/2006/relationships/hyperlink" Target="https://www.google.com/search?newwindow=1&amp;ei=2MT0XrvGGM-vytMP1OyDgAY&amp;q=site%3Alinkedin.com+Samantha+Jacobs+Campus+Recruiting+Coordinator" TargetMode="External"/><Relationship Id="rId291" Type="http://schemas.openxmlformats.org/officeDocument/2006/relationships/hyperlink" Target="https://www.google.com/search?newwindow=1&amp;ei=2MT0XrvGGM-vytMP1OyDgAY&amp;q=site%3Alinkedin.com+Erica+Johnson+Campus+Recruiting+Manager" TargetMode="External"/><Relationship Id="rId290" Type="http://schemas.openxmlformats.org/officeDocument/2006/relationships/hyperlink" Target="https://www.google.com/search?newwindow=1&amp;ei=2MT0XrvGGM-vytMP1OyDgAY&amp;q=site%3Alinkedin.com+Emily+Graves+McWatty+Campus+Recruiting+Southeast+Region+Co-Lead/Campus+Recruiting+Operations+Lead" TargetMode="External"/><Relationship Id="rId4020" Type="http://schemas.openxmlformats.org/officeDocument/2006/relationships/hyperlink" Target="https://www.google.com/search?newwindow=1&amp;ei=2MT0XrvGGM-vytMP1OyDgAY&amp;q=site%3Alinkedin.com+Eil%C3%ADs+Kennedy+Technical+Recruiter+(University)+-+North+America+Stripe" TargetMode="External"/><Relationship Id="rId286" Type="http://schemas.openxmlformats.org/officeDocument/2006/relationships/hyperlink" Target="https://www.google.com/search?newwindow=1&amp;ei=2MT0XrvGGM-vytMP1OyDgAY&amp;q=site%3Alinkedin.com+Dylan+Clements+Programs+Manager" TargetMode="External"/><Relationship Id="rId4022" Type="http://schemas.openxmlformats.org/officeDocument/2006/relationships/hyperlink" Target="https://www.google.com/search?newwindow=1&amp;ei=2MT0XrvGGM-vytMP1OyDgAY&amp;q=site%3Alinkedin.com+Amy+Meckes+University+Sales+Recruiter+Stryker" TargetMode="External"/><Relationship Id="rId285" Type="http://schemas.openxmlformats.org/officeDocument/2006/relationships/hyperlink" Target="https://www.google.com/search?newwindow=1&amp;ei=2MT0XrvGGM-vytMP1OyDgAY&amp;q=site%3Alinkedin.com+Jakob+Voo+(he/him)+CBE+Student+Employability+Coordinator+(Industry+Programs)" TargetMode="External"/><Relationship Id="rId4021" Type="http://schemas.openxmlformats.org/officeDocument/2006/relationships/hyperlink" Target="https://www.google.com/search?newwindow=1&amp;ei=2MT0XrvGGM-vytMP1OyDgAY&amp;q=site%3Alinkedin.com+Nicole+Horan+College+Recruiter+Lockheed+Martin" TargetMode="External"/><Relationship Id="rId284" Type="http://schemas.openxmlformats.org/officeDocument/2006/relationships/hyperlink" Target="https://www.google.com/search?newwindow=1&amp;ei=2MT0XrvGGM-vytMP1OyDgAY&amp;q=site%3Alinkedin.com+Doug+Bothwell+Student+Success/Sec.+School+Programs+Principal" TargetMode="External"/><Relationship Id="rId4024" Type="http://schemas.openxmlformats.org/officeDocument/2006/relationships/hyperlink" Target="https://www.google.com/search?newwindow=1&amp;ei=2MT0XrvGGM-vytMP1OyDgAY&amp;q=site%3Alinkedin.com+Danielle+Iacobelli+Senior+University+Recruiter+Stryker" TargetMode="External"/><Relationship Id="rId283" Type="http://schemas.openxmlformats.org/officeDocument/2006/relationships/hyperlink" Target="https://www.google.com/search?newwindow=1&amp;ei=2MT0XrvGGM-vytMP1OyDgAY&amp;q=site%3Alinkedin.com+Bissoon+Radica+Coordinator+of+Student+and+Associate+Programs" TargetMode="External"/><Relationship Id="rId4023" Type="http://schemas.openxmlformats.org/officeDocument/2006/relationships/hyperlink" Target="https://www.google.com/search?newwindow=1&amp;ei=2MT0XrvGGM-vytMP1OyDgAY&amp;q=site%3Alinkedin.com+Bria+Rathway+Campus+Recruiter+Lockheed+Martin" TargetMode="External"/><Relationship Id="rId4026" Type="http://schemas.openxmlformats.org/officeDocument/2006/relationships/hyperlink" Target="https://www.google.com/search?newwindow=1&amp;ei=2MT0XrvGGM-vytMP1OyDgAY&amp;q=site%3Alinkedin.com+Jill+Pearrow,+SHRM-CP+University+Recruiter+Stryker" TargetMode="External"/><Relationship Id="rId289" Type="http://schemas.openxmlformats.org/officeDocument/2006/relationships/hyperlink" Target="https://www.google.com/search?newwindow=1&amp;ei=2MT0XrvGGM-vytMP1OyDgAY&amp;q=site%3Alinkedin.com+Lauren+Suttner+Campus+Recruiting+Manager" TargetMode="External"/><Relationship Id="rId4025" Type="http://schemas.openxmlformats.org/officeDocument/2006/relationships/hyperlink" Target="https://www.google.com/search?newwindow=1&amp;ei=2MT0XrvGGM-vytMP1OyDgAY&amp;q=site%3Alinkedin.com+Sierra+Kehrer+College+Recruiter:+Global+Talent+Acquisitions+Lockheed+Martin" TargetMode="External"/><Relationship Id="rId288" Type="http://schemas.openxmlformats.org/officeDocument/2006/relationships/hyperlink" Target="https://www.google.com/search?newwindow=1&amp;ei=2MT0XrvGGM-vytMP1OyDgAY&amp;q=site%3Alinkedin.com+Matthew+Aitchison+Student+Recruiter" TargetMode="External"/><Relationship Id="rId4028" Type="http://schemas.openxmlformats.org/officeDocument/2006/relationships/hyperlink" Target="https://www.google.com/search?newwindow=1&amp;ei=2MT0XrvGGM-vytMP1OyDgAY&amp;q=site%3Alinkedin.com+Chris+Cook+University+Recruiter+Stryker" TargetMode="External"/><Relationship Id="rId287" Type="http://schemas.openxmlformats.org/officeDocument/2006/relationships/hyperlink" Target="https://www.google.com/search?newwindow=1&amp;ei=2MT0XrvGGM-vytMP1OyDgAY&amp;q=site%3Alinkedin.com+Wendy+Moore+Teacher,+Aboriginal+Health+Programs" TargetMode="External"/><Relationship Id="rId4027" Type="http://schemas.openxmlformats.org/officeDocument/2006/relationships/hyperlink" Target="https://www.google.com/search?newwindow=1&amp;ei=2MT0XrvGGM-vytMP1OyDgAY&amp;q=site%3Alinkedin.com+Leo+Faneuf+College+Talent+Acquisition+and+Diversity+Engagement+Manager+Lockheed+Martin" TargetMode="External"/><Relationship Id="rId4019" Type="http://schemas.openxmlformats.org/officeDocument/2006/relationships/hyperlink" Target="https://www.google.com/search?newwindow=1&amp;ei=2MT0XrvGGM-vytMP1OyDgAY&amp;q=site%3Alinkedin.com+Chelcey+Little+Leadership+Development+Program+Lead/+College+Recruiter+Lockheed+Martin" TargetMode="External"/><Relationship Id="rId4018" Type="http://schemas.openxmlformats.org/officeDocument/2006/relationships/hyperlink" Target="https://www.google.com/search?newwindow=1&amp;ei=2MT0XrvGGM-vytMP1OyDgAY&amp;q=site%3Alinkedin.com+Amy+Hassan+University+Recruiter+Stripe" TargetMode="External"/><Relationship Id="rId282" Type="http://schemas.openxmlformats.org/officeDocument/2006/relationships/hyperlink" Target="https://www.google.com/search?newwindow=1&amp;ei=2MT0XrvGGM-vytMP1OyDgAY&amp;q=site%3Alinkedin.com+Desiree+Bagnall+Tourism+Resource+and+Programs+Coordinator" TargetMode="External"/><Relationship Id="rId281" Type="http://schemas.openxmlformats.org/officeDocument/2006/relationships/hyperlink" Target="https://www.google.com/search?newwindow=1&amp;ei=2MT0XrvGGM-vytMP1OyDgAY&amp;q=site%3Alinkedin.com+Jeff+Dewolfe+Director+of+Programs+and+Student+Services" TargetMode="External"/><Relationship Id="rId280" Type="http://schemas.openxmlformats.org/officeDocument/2006/relationships/hyperlink" Target="https://www.google.com/search?newwindow=1&amp;ei=2MT0XrvGGM-vytMP1OyDgAY&amp;q=site%3Alinkedin.com+Jenny+Gardipy+University+Student" TargetMode="External"/><Relationship Id="rId275" Type="http://schemas.openxmlformats.org/officeDocument/2006/relationships/hyperlink" Target="https://www.google.com/search?newwindow=1&amp;ei=2MT0XrvGGM-vytMP1OyDgAY&amp;q=site%3Alinkedin.com+Jenna+Purther+University+Student" TargetMode="External"/><Relationship Id="rId4011" Type="http://schemas.openxmlformats.org/officeDocument/2006/relationships/hyperlink" Target="https://www.google.com/search?newwindow=1&amp;ei=2MT0XrvGGM-vytMP1OyDgAY&amp;q=site%3Alinkedin.com+Christina+Ponzi+College+Recruiter+Lockheed+Martin" TargetMode="External"/><Relationship Id="rId274" Type="http://schemas.openxmlformats.org/officeDocument/2006/relationships/hyperlink" Target="https://www.google.com/search?newwindow=1&amp;ei=2MT0XrvGGM-vytMP1OyDgAY&amp;q=site%3Alinkedin.com+Charlene+Mak+International+Student+Advisor:+Immigration+and+University+Regualtions" TargetMode="External"/><Relationship Id="rId4010" Type="http://schemas.openxmlformats.org/officeDocument/2006/relationships/hyperlink" Target="https://www.google.com/search?newwindow=1&amp;ei=2MT0XrvGGM-vytMP1OyDgAY&amp;q=site%3Alinkedin.com+Sydney+Gayton+Campus+Recruiter+&amp;+HR+Coordinator+Steelcase" TargetMode="External"/><Relationship Id="rId273" Type="http://schemas.openxmlformats.org/officeDocument/2006/relationships/hyperlink" Target="https://www.google.com/search?newwindow=1&amp;ei=2MT0XrvGGM-vytMP1OyDgAY&amp;q=site%3Alinkedin.com+Tanya+Saini+Coordinator,+Student+Financial+Aid+&amp;+Awards,+Masters+Programs,+Office+of+the+Registrar+&amp;" TargetMode="External"/><Relationship Id="rId4013" Type="http://schemas.openxmlformats.org/officeDocument/2006/relationships/hyperlink" Target="https://www.google.com/search?newwindow=1&amp;ei=2MT0XrvGGM-vytMP1OyDgAY&amp;q=site%3Alinkedin.com+Gregory+Caguimbal+Campus+Recruiter+Lockheed+Martin" TargetMode="External"/><Relationship Id="rId272" Type="http://schemas.openxmlformats.org/officeDocument/2006/relationships/hyperlink" Target="https://www.google.com/search?newwindow=1&amp;ei=2MT0XrvGGM-vytMP1OyDgAY&amp;q=site%3Alinkedin.com+Sandra+Loeppky+Coordinator+of+Commuter,+International+Student+and+Accessibility+Programs" TargetMode="External"/><Relationship Id="rId4012" Type="http://schemas.openxmlformats.org/officeDocument/2006/relationships/hyperlink" Target="https://www.google.com/search?newwindow=1&amp;ei=2MT0XrvGGM-vytMP1OyDgAY&amp;q=site%3Alinkedin.com+Amy+L.+Talent+Acquisition-+Lead+Campus+Recruiter+Steelcase" TargetMode="External"/><Relationship Id="rId279" Type="http://schemas.openxmlformats.org/officeDocument/2006/relationships/hyperlink" Target="https://www.google.com/search?newwindow=1&amp;ei=2MT0XrvGGM-vytMP1OyDgAY&amp;q=site%3Alinkedin.com+Amanda+Lemus+Administrative+Assistant+&amp;+Student+Programs+Support" TargetMode="External"/><Relationship Id="rId4015" Type="http://schemas.openxmlformats.org/officeDocument/2006/relationships/hyperlink" Target="https://www.google.com/search?newwindow=1&amp;ei=2MT0XrvGGM-vytMP1OyDgAY&amp;q=site%3Alinkedin.com+Pitchaporn+Vorapipatana+College+Recruiter+Lockheed+Martin" TargetMode="External"/><Relationship Id="rId278" Type="http://schemas.openxmlformats.org/officeDocument/2006/relationships/hyperlink" Target="https://www.google.com/search?newwindow=1&amp;ei=2MT0XrvGGM-vytMP1OyDgAY&amp;q=site%3Alinkedin.com+Nezha+soumir+Recreation+Programs+Assistant" TargetMode="External"/><Relationship Id="rId4014" Type="http://schemas.openxmlformats.org/officeDocument/2006/relationships/hyperlink" Target="https://www.google.com/search?newwindow=1&amp;ei=2MT0XrvGGM-vytMP1OyDgAY&amp;q=site%3Alinkedin.com+Malissa+Moore+Campus+Recruiter+Steelcase" TargetMode="External"/><Relationship Id="rId277" Type="http://schemas.openxmlformats.org/officeDocument/2006/relationships/hyperlink" Target="https://www.google.com/search?newwindow=1&amp;ei=2MT0XrvGGM-vytMP1OyDgAY&amp;q=site%3Alinkedin.com+Laura+Schwertfeger+District+Principal;+International+Student+Programs" TargetMode="External"/><Relationship Id="rId4017" Type="http://schemas.openxmlformats.org/officeDocument/2006/relationships/hyperlink" Target="https://www.google.com/search?newwindow=1&amp;ei=2MT0XrvGGM-vytMP1OyDgAY&amp;q=site%3Alinkedin.com+Brian+Kroll+%F0%9F%94%B9+Campus+Recruiter+with+University+Relations+&amp;+Recruiting+Lockheed+Martin" TargetMode="External"/><Relationship Id="rId276" Type="http://schemas.openxmlformats.org/officeDocument/2006/relationships/hyperlink" Target="https://www.google.com/search?newwindow=1&amp;ei=2MT0XrvGGM-vytMP1OyDgAY&amp;q=site%3Alinkedin.com+Maureen+Workman+Manager+of+Student+Clubs" TargetMode="External"/><Relationship Id="rId4016" Type="http://schemas.openxmlformats.org/officeDocument/2006/relationships/hyperlink" Target="https://www.google.com/search?newwindow=1&amp;ei=2MT0XrvGGM-vytMP1OyDgAY&amp;q=site%3Alinkedin.com+Lauren+Williams+University+Recruiter+Stripe" TargetMode="External"/><Relationship Id="rId1851" Type="http://schemas.openxmlformats.org/officeDocument/2006/relationships/hyperlink" Target="https://www.google.com/search?newwindow=1&amp;ei=2MT0XrvGGM-vytMP1OyDgAY&amp;q=site%3Alinkedin.com+Liz+Murphy+Director+Marketing+&amp;+Communication+University+Dean+Student+Recruitment+Interim+Consultant+Freelance" TargetMode="External"/><Relationship Id="rId1852" Type="http://schemas.openxmlformats.org/officeDocument/2006/relationships/hyperlink" Target="https://www.google.com/search?newwindow=1&amp;ei=2MT0XrvGGM-vytMP1OyDgAY&amp;q=site%3Alinkedin.com+Kristy+Littlewood+Graduate+Recruiter+and+University+Partnerships+Consultant" TargetMode="External"/><Relationship Id="rId1853" Type="http://schemas.openxmlformats.org/officeDocument/2006/relationships/hyperlink" Target="https://www.google.com/search?newwindow=1&amp;ei=2MT0XrvGGM-vytMP1OyDgAY&amp;q=site%3Alinkedin.com+Mark+Onikoyi+Senior+Campus+Recruiter,+EMEA" TargetMode="External"/><Relationship Id="rId1854" Type="http://schemas.openxmlformats.org/officeDocument/2006/relationships/hyperlink" Target="https://www.google.com/search?newwindow=1&amp;ei=2MT0XrvGGM-vytMP1OyDgAY&amp;q=site%3Alinkedin.com+Sacha+Tyler+University+Recruiter" TargetMode="External"/><Relationship Id="rId1855" Type="http://schemas.openxmlformats.org/officeDocument/2006/relationships/hyperlink" Target="https://www.google.com/search?newwindow=1&amp;ei=2MT0XrvGGM-vytMP1OyDgAY&amp;q=site%3Alinkedin.com+Kate+Weaver+University+Recruiter" TargetMode="External"/><Relationship Id="rId1856" Type="http://schemas.openxmlformats.org/officeDocument/2006/relationships/hyperlink" Target="https://www.google.com/search?newwindow=1&amp;ei=2MT0XrvGGM-vytMP1OyDgAY&amp;q=site%3Alinkedin.com+G%C3%A1bor+T%C3%B3th+Graduate+Recruiter+at+HSBC+via+Alexander+Mann+Solutions" TargetMode="External"/><Relationship Id="rId1857" Type="http://schemas.openxmlformats.org/officeDocument/2006/relationships/hyperlink" Target="https://www.google.com/search?newwindow=1&amp;ei=2MT0XrvGGM-vytMP1OyDgAY&amp;q=site%3Alinkedin.com+Molly+Jones+University+Student" TargetMode="External"/><Relationship Id="rId1858" Type="http://schemas.openxmlformats.org/officeDocument/2006/relationships/hyperlink" Target="https://www.google.com/search?newwindow=1&amp;ei=2MT0XrvGGM-vytMP1OyDgAY&amp;q=site%3Alinkedin.com+Debbie+Bhermi+Student+Recruiter" TargetMode="External"/><Relationship Id="rId1859" Type="http://schemas.openxmlformats.org/officeDocument/2006/relationships/hyperlink" Target="https://www.google.com/search?newwindow=1&amp;ei=2MT0XrvGGM-vytMP1OyDgAY&amp;q=site%3Alinkedin.com+Klara+Brittes+da+Silva+Business+and+Health+and+Social+Care+Lecturer/Freelance+Student+Recruiter" TargetMode="External"/><Relationship Id="rId1850" Type="http://schemas.openxmlformats.org/officeDocument/2006/relationships/hyperlink" Target="https://www.google.com/search?newwindow=1&amp;ei=2MT0XrvGGM-vytMP1OyDgAY&amp;q=site%3Alinkedin.com+Eric+Paradis+Recruiter+-+Student+Programs" TargetMode="External"/><Relationship Id="rId1840" Type="http://schemas.openxmlformats.org/officeDocument/2006/relationships/hyperlink" Target="https://www.google.com/search?newwindow=1&amp;ei=2MT0XrvGGM-vytMP1OyDgAY&amp;q=site%3Alinkedin.com+Brenda+Gilmore+Employer+Liaison+&amp;+Student+Recruiter" TargetMode="External"/><Relationship Id="rId1841" Type="http://schemas.openxmlformats.org/officeDocument/2006/relationships/hyperlink" Target="https://www.google.com/search?newwindow=1&amp;ei=2MT0XrvGGM-vytMP1OyDgAY&amp;q=site%3Alinkedin.com+Kristen+Wrigglesworth+Campus+Ambassador" TargetMode="External"/><Relationship Id="rId1842" Type="http://schemas.openxmlformats.org/officeDocument/2006/relationships/hyperlink" Target="https://www.google.com/search?newwindow=1&amp;ei=2MT0XrvGGM-vytMP1OyDgAY&amp;q=site%3Alinkedin.com+Cecilia+Doucette,+CPA,+CFE+Manager,+CPA+Student+Programs" TargetMode="External"/><Relationship Id="rId1843" Type="http://schemas.openxmlformats.org/officeDocument/2006/relationships/hyperlink" Target="https://www.google.com/search?newwindow=1&amp;ei=2MT0XrvGGM-vytMP1OyDgAY&amp;q=site%3Alinkedin.com+Ronak+Arora+Intercultural+Programs+Assistant" TargetMode="External"/><Relationship Id="rId1844" Type="http://schemas.openxmlformats.org/officeDocument/2006/relationships/hyperlink" Target="https://www.google.com/search?newwindow=1&amp;ei=2MT0XrvGGM-vytMP1OyDgAY&amp;q=site%3Alinkedin.com+Jennifer+Hutchinson+Manager+Student+Nutrition+Programs+for+Central-West+Ontario" TargetMode="External"/><Relationship Id="rId1845" Type="http://schemas.openxmlformats.org/officeDocument/2006/relationships/hyperlink" Target="https://www.google.com/search?newwindow=1&amp;ei=2MT0XrvGGM-vytMP1OyDgAY&amp;q=site%3Alinkedin.com+Karleigh+Nyman+Student+Experience+Manager,+Co-operative+Education" TargetMode="External"/><Relationship Id="rId1846" Type="http://schemas.openxmlformats.org/officeDocument/2006/relationships/hyperlink" Target="https://www.google.com/search?newwindow=1&amp;ei=2MT0XrvGGM-vytMP1OyDgAY&amp;q=site%3Alinkedin.com+Jieying+Wang+Undergraduate+academic+advisor,+international+programs" TargetMode="External"/><Relationship Id="rId1847" Type="http://schemas.openxmlformats.org/officeDocument/2006/relationships/hyperlink" Target="https://www.google.com/search?newwindow=1&amp;ei=2MT0XrvGGM-vytMP1OyDgAY&amp;q=site%3Alinkedin.com+Angela+Martinez+On+Campus+Recruiter" TargetMode="External"/><Relationship Id="rId1848" Type="http://schemas.openxmlformats.org/officeDocument/2006/relationships/hyperlink" Target="https://www.google.com/search?newwindow=1&amp;ei=2MT0XrvGGM-vytMP1OyDgAY&amp;q=site%3Alinkedin.com+Michael+Luisi+Campus+Recruiting+-+Firmwide+Intern+Program+Management+Leader" TargetMode="External"/><Relationship Id="rId1849" Type="http://schemas.openxmlformats.org/officeDocument/2006/relationships/hyperlink" Target="https://www.google.com/search?newwindow=1&amp;ei=2MT0XrvGGM-vytMP1OyDgAY&amp;q=site%3Alinkedin.com+Amanda+Carr+Campus+Recruiting+Assistant" TargetMode="External"/><Relationship Id="rId1873" Type="http://schemas.openxmlformats.org/officeDocument/2006/relationships/hyperlink" Target="https://www.google.com/search?newwindow=1&amp;ei=2MT0XrvGGM-vytMP1OyDgAY&amp;q=site%3Alinkedin.com+Riley+C.+Proulx+IBEP+Student+Advisor+&amp;+Recruiter" TargetMode="External"/><Relationship Id="rId1874" Type="http://schemas.openxmlformats.org/officeDocument/2006/relationships/hyperlink" Target="https://www.google.com/search?newwindow=1&amp;ei=2MT0XrvGGM-vytMP1OyDgAY&amp;q=site%3Alinkedin.com+Colleen+Booth+Student+Recruiter+/+Trainer" TargetMode="External"/><Relationship Id="rId1875" Type="http://schemas.openxmlformats.org/officeDocument/2006/relationships/hyperlink" Target="https://www.google.com/search?newwindow=1&amp;ei=2MT0XrvGGM-vytMP1OyDgAY&amp;q=site%3Alinkedin.com+Monele+Schrot+Director+of+French+Programs" TargetMode="External"/><Relationship Id="rId1876" Type="http://schemas.openxmlformats.org/officeDocument/2006/relationships/hyperlink" Target="https://www.google.com/search?newwindow=1&amp;ei=2MT0XrvGGM-vytMP1OyDgAY&amp;q=site%3Alinkedin.com+Karen+Singleton+Graduate+Programs+Student+Advisor" TargetMode="External"/><Relationship Id="rId1877" Type="http://schemas.openxmlformats.org/officeDocument/2006/relationships/hyperlink" Target="https://www.google.com/search?newwindow=1&amp;ei=2MT0XrvGGM-vytMP1OyDgAY&amp;q=site%3Alinkedin.com+Lars+Feilberg+Division+Principal+of+Student+Services" TargetMode="External"/><Relationship Id="rId1878" Type="http://schemas.openxmlformats.org/officeDocument/2006/relationships/hyperlink" Target="https://www.google.com/search?newwindow=1&amp;ei=2MT0XrvGGM-vytMP1OyDgAY&amp;q=site%3Alinkedin.com+Rosanna+Caruso+Student+Services+Coordinator,+Undergraduate+Programs,+Faculty+of+Education" TargetMode="External"/><Relationship Id="rId1879" Type="http://schemas.openxmlformats.org/officeDocument/2006/relationships/hyperlink" Target="https://www.google.com/search?newwindow=1&amp;ei=2MT0XrvGGM-vytMP1OyDgAY&amp;q=site%3Alinkedin.com+Marie+Jivan+Student+Services+Coordinator+-+Admissions+&amp;+Financial+Aid++J.D.+&amp;+LL.M.+Programs" TargetMode="External"/><Relationship Id="rId1870" Type="http://schemas.openxmlformats.org/officeDocument/2006/relationships/hyperlink" Target="https://www.google.com/search?newwindow=1&amp;ei=2MT0XrvGGM-vytMP1OyDgAY&amp;q=site%3Alinkedin.com+Kristi+Breen+Vice+President,+Disney+International+and+Campus+Recruiting,+Disney+Cruise+LIne+Recruiting" TargetMode="External"/><Relationship Id="rId1871" Type="http://schemas.openxmlformats.org/officeDocument/2006/relationships/hyperlink" Target="https://www.google.com/search?newwindow=1&amp;ei=2MT0XrvGGM-vytMP1OyDgAY&amp;q=site%3Alinkedin.com+Nick+Cacciato+International+Student+Recruiter" TargetMode="External"/><Relationship Id="rId1872" Type="http://schemas.openxmlformats.org/officeDocument/2006/relationships/hyperlink" Target="https://www.google.com/search?newwindow=1&amp;ei=2MT0XrvGGM-vytMP1OyDgAY&amp;q=site%3Alinkedin.com+Petar+Vidakovic+Student+Recruiter" TargetMode="External"/><Relationship Id="rId1862" Type="http://schemas.openxmlformats.org/officeDocument/2006/relationships/hyperlink" Target="https://www.google.com/search?newwindow=1&amp;ei=2MT0XrvGGM-vytMP1OyDgAY&amp;q=site%3Alinkedin.com+Sharon+Kenney+nee%E2%80%99+Wood+WA+Football+Commission+Winner+Ambassodor+Diversity+Programs" TargetMode="External"/><Relationship Id="rId1863" Type="http://schemas.openxmlformats.org/officeDocument/2006/relationships/hyperlink" Target="https://www.google.com/search?newwindow=1&amp;ei=2MT0XrvGGM-vytMP1OyDgAY&amp;q=site%3Alinkedin.com+Stephanie+Schuck+University+and+Schools+Recruitment+Intern" TargetMode="External"/><Relationship Id="rId1864" Type="http://schemas.openxmlformats.org/officeDocument/2006/relationships/hyperlink" Target="https://www.google.com/search?newwindow=1&amp;ei=2MT0XrvGGM-vytMP1OyDgAY&amp;q=site%3Alinkedin.com+Karen+Davidson+Academic+Excellence+Team+Advisor+(Ontario+Tech+University)" TargetMode="External"/><Relationship Id="rId1865" Type="http://schemas.openxmlformats.org/officeDocument/2006/relationships/hyperlink" Target="https://www.google.com/search?newwindow=1&amp;ei=2MT0XrvGGM-vytMP1OyDgAY&amp;q=site%3Alinkedin.com+Emily+Oates+Campus+Recruiting+Coordinator" TargetMode="External"/><Relationship Id="rId1866" Type="http://schemas.openxmlformats.org/officeDocument/2006/relationships/hyperlink" Target="https://www.google.com/search?newwindow=1&amp;ei=2MT0XrvGGM-vytMP1OyDgAY&amp;q=site%3Alinkedin.com+Renata+Roncalli+UK+Campus+Recruiter" TargetMode="External"/><Relationship Id="rId1867" Type="http://schemas.openxmlformats.org/officeDocument/2006/relationships/hyperlink" Target="https://www.google.com/search?newwindow=1&amp;ei=2MT0XrvGGM-vytMP1OyDgAY&amp;q=site%3Alinkedin.com+Andre+Johnson+Senior+Associate+-+Campus+Recruiting" TargetMode="External"/><Relationship Id="rId1868" Type="http://schemas.openxmlformats.org/officeDocument/2006/relationships/hyperlink" Target="https://www.google.com/search?newwindow=1&amp;ei=2MT0XrvGGM-vytMP1OyDgAY&amp;q=site%3Alinkedin.com+Sarah+Tegen+Supervising+Associate,+Campus+Recruiting" TargetMode="External"/><Relationship Id="rId1869" Type="http://schemas.openxmlformats.org/officeDocument/2006/relationships/hyperlink" Target="https://www.google.com/search?newwindow=1&amp;ei=2MT0XrvGGM-vytMP1OyDgAY&amp;q=site%3Alinkedin.com+Reece+Jagger+Campus+Recruiter" TargetMode="External"/><Relationship Id="rId1860" Type="http://schemas.openxmlformats.org/officeDocument/2006/relationships/hyperlink" Target="https://www.google.com/search?newwindow=1&amp;ei=2MT0XrvGGM-vytMP1OyDgAY&amp;q=site%3Alinkedin.com+Oscar+Wilton+Student+Recruiter+and+Advisor" TargetMode="External"/><Relationship Id="rId1861" Type="http://schemas.openxmlformats.org/officeDocument/2006/relationships/hyperlink" Target="https://www.google.com/search?newwindow=1&amp;ei=2MT0XrvGGM-vytMP1OyDgAY&amp;q=site%3Alinkedin.com+Lindsey+Butterworth+Student+Recruiter" TargetMode="External"/><Relationship Id="rId1810" Type="http://schemas.openxmlformats.org/officeDocument/2006/relationships/hyperlink" Target="https://www.google.com/search?newwindow=1&amp;ei=2MT0XrvGGM-vytMP1OyDgAY&amp;q=site%3Alinkedin.com+Sarah+Johnston+Campus+Recruiting+Coordinator" TargetMode="External"/><Relationship Id="rId1811" Type="http://schemas.openxmlformats.org/officeDocument/2006/relationships/hyperlink" Target="https://www.google.com/search?newwindow=1&amp;ei=2MT0XrvGGM-vytMP1OyDgAY&amp;q=site%3Alinkedin.com+Eric+A.+Arellano+Senior+Campus+Recruiting+Specialist+(Government+&amp;+Public+Service)" TargetMode="External"/><Relationship Id="rId1812" Type="http://schemas.openxmlformats.org/officeDocument/2006/relationships/hyperlink" Target="https://www.google.com/search?newwindow=1&amp;ei=2MT0XrvGGM-vytMP1OyDgAY&amp;q=site%3Alinkedin.com+Nicole+Sullivan+Campus+Recruiting" TargetMode="External"/><Relationship Id="rId1813" Type="http://schemas.openxmlformats.org/officeDocument/2006/relationships/hyperlink" Target="https://www.google.com/search?newwindow=1&amp;ei=2MT0XrvGGM-vytMP1OyDgAY&amp;q=site%3Alinkedin.com+Melissa+Pohlman+Campus+Recruiting+Coordinator" TargetMode="External"/><Relationship Id="rId1814" Type="http://schemas.openxmlformats.org/officeDocument/2006/relationships/hyperlink" Target="https://www.google.com/search?newwindow=1&amp;ei=2MT0XrvGGM-vytMP1OyDgAY&amp;q=site%3Alinkedin.com+Stephanie+Plageman+Senior+Campus+Recruiting+Specialist" TargetMode="External"/><Relationship Id="rId1815" Type="http://schemas.openxmlformats.org/officeDocument/2006/relationships/hyperlink" Target="https://www.google.com/search?newwindow=1&amp;ei=2MT0XrvGGM-vytMP1OyDgAY&amp;q=site%3Alinkedin.com+Anthony+Jimenez+Tech+Recruiter+-+Campus+Recruiting" TargetMode="External"/><Relationship Id="rId1816" Type="http://schemas.openxmlformats.org/officeDocument/2006/relationships/hyperlink" Target="https://www.google.com/search?newwindow=1&amp;ei=2MT0XrvGGM-vytMP1OyDgAY&amp;q=site%3Alinkedin.com+Kelsey+Marshall+Campus+Recruiting" TargetMode="External"/><Relationship Id="rId1817" Type="http://schemas.openxmlformats.org/officeDocument/2006/relationships/hyperlink" Target="https://www.google.com/search?newwindow=1&amp;ei=2MT0XrvGGM-vytMP1OyDgAY&amp;q=site%3Alinkedin.com+Laura+Schneiders+Campus+Recruiting+Coordinator" TargetMode="External"/><Relationship Id="rId1818" Type="http://schemas.openxmlformats.org/officeDocument/2006/relationships/hyperlink" Target="https://www.google.com/search?newwindow=1&amp;ei=2MT0XrvGGM-vytMP1OyDgAY&amp;q=site%3Alinkedin.com+Taylor+Thesing+Campus+Recruiting+Specialist" TargetMode="External"/><Relationship Id="rId1819" Type="http://schemas.openxmlformats.org/officeDocument/2006/relationships/hyperlink" Target="https://www.google.com/search?newwindow=1&amp;ei=2MT0XrvGGM-vytMP1OyDgAY&amp;q=site%3Alinkedin.com+Chelsea+Bruchs+Mid-Atlantic+/+Carolina+Regional+Events+Lead,+Campus+Recruiting" TargetMode="External"/><Relationship Id="rId4080" Type="http://schemas.openxmlformats.org/officeDocument/2006/relationships/hyperlink" Target="https://www.google.com/search?newwindow=1&amp;ei=2MT0XrvGGM-vytMP1OyDgAY&amp;q=site%3Alinkedin.com+Andrea+Adams+University+Recruiter+Microsoft" TargetMode="External"/><Relationship Id="rId4082" Type="http://schemas.openxmlformats.org/officeDocument/2006/relationships/hyperlink" Target="https://www.google.com/search?newwindow=1&amp;ei=2MT0XrvGGM-vytMP1OyDgAY&amp;q=site%3Alinkedin.com+Anna+Davis+Sr.+Field+Campus+Recruiter+Target" TargetMode="External"/><Relationship Id="rId4081" Type="http://schemas.openxmlformats.org/officeDocument/2006/relationships/hyperlink" Target="https://www.google.com/search?newwindow=1&amp;ei=2MT0XrvGGM-vytMP1OyDgAY&amp;q=site%3Alinkedin.com+Pamela+McClaney+Lead+Executive+Recruiter+-+Field+Campus+Target" TargetMode="External"/><Relationship Id="rId4084" Type="http://schemas.openxmlformats.org/officeDocument/2006/relationships/hyperlink" Target="https://www.google.com/search?newwindow=1&amp;ei=2MT0XrvGGM-vytMP1OyDgAY&amp;q=site%3Alinkedin.com+Kyle+Bender+Lead+Executive+Campus+Recruiter+Target" TargetMode="External"/><Relationship Id="rId4083" Type="http://schemas.openxmlformats.org/officeDocument/2006/relationships/hyperlink" Target="https://www.google.com/search?newwindow=1&amp;ei=2MT0XrvGGM-vytMP1OyDgAY&amp;q=site%3Alinkedin.com+Andrea+Maurer+University+Recruiter+Microsoft" TargetMode="External"/><Relationship Id="rId4086" Type="http://schemas.openxmlformats.org/officeDocument/2006/relationships/hyperlink" Target="https://www.google.com/search?newwindow=1&amp;ei=2MT0XrvGGM-vytMP1OyDgAY&amp;q=site%3Alinkedin.com+Iryonna+Scruggs+Field+Campus+recruiter+Target" TargetMode="External"/><Relationship Id="rId4085" Type="http://schemas.openxmlformats.org/officeDocument/2006/relationships/hyperlink" Target="https://www.google.com/search?newwindow=1&amp;ei=2MT0XrvGGM-vytMP1OyDgAY&amp;q=site%3Alinkedin.com+Franco+Bulaon+University+Recruiter+Microsoft" TargetMode="External"/><Relationship Id="rId4088" Type="http://schemas.openxmlformats.org/officeDocument/2006/relationships/hyperlink" Target="https://www.google.com/search?newwindow=1&amp;ei=2MT0XrvGGM-vytMP1OyDgAY&amp;q=site%3Alinkedin.com+James+P.+Muldoon+Campus+Recruiter+Target" TargetMode="External"/><Relationship Id="rId4087" Type="http://schemas.openxmlformats.org/officeDocument/2006/relationships/hyperlink" Target="https://www.google.com/search?newwindow=1&amp;ei=2MT0XrvGGM-vytMP1OyDgAY&amp;q=site%3Alinkedin.com+Damon+Coupe+University+Recruiter+Microsoft" TargetMode="External"/><Relationship Id="rId4089" Type="http://schemas.openxmlformats.org/officeDocument/2006/relationships/hyperlink" Target="https://www.google.com/search?newwindow=1&amp;ei=2MT0XrvGGM-vytMP1OyDgAY&amp;q=site%3Alinkedin.com+Meredith+Bogguess+University+Recruiter+Microsoft" TargetMode="External"/><Relationship Id="rId1800" Type="http://schemas.openxmlformats.org/officeDocument/2006/relationships/hyperlink" Target="https://www.google.com/search?newwindow=1&amp;ei=2MT0XrvGGM-vytMP1OyDgAY&amp;q=site%3Alinkedin.com+Faith+Holland+Tech+Recruiter,+Campus+Recruiting" TargetMode="External"/><Relationship Id="rId1801" Type="http://schemas.openxmlformats.org/officeDocument/2006/relationships/hyperlink" Target="https://www.google.com/search?newwindow=1&amp;ei=2MT0XrvGGM-vytMP1OyDgAY&amp;q=site%3Alinkedin.com+Christa+Sublett+Campus+Recruiting+Manager" TargetMode="External"/><Relationship Id="rId1802" Type="http://schemas.openxmlformats.org/officeDocument/2006/relationships/hyperlink" Target="https://www.google.com/search?newwindow=1&amp;ei=2MT0XrvGGM-vytMP1OyDgAY&amp;q=site%3Alinkedin.com+Meredith+TenHoeve+Campus+Recruiting+Manager" TargetMode="External"/><Relationship Id="rId1803" Type="http://schemas.openxmlformats.org/officeDocument/2006/relationships/hyperlink" Target="https://www.google.com/search?newwindow=1&amp;ei=2MT0XrvGGM-vytMP1OyDgAY&amp;q=site%3Alinkedin.com+Laura+Vitale+Manager,+Campus+Recruiting" TargetMode="External"/><Relationship Id="rId1804" Type="http://schemas.openxmlformats.org/officeDocument/2006/relationships/hyperlink" Target="https://www.google.com/search?newwindow=1&amp;ei=2MT0XrvGGM-vytMP1OyDgAY&amp;q=site%3Alinkedin.com+Courtney+Lynch+Campus+Recruiting+Specialist" TargetMode="External"/><Relationship Id="rId1805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" TargetMode="External"/><Relationship Id="rId1806" Type="http://schemas.openxmlformats.org/officeDocument/2006/relationships/hyperlink" Target="https://www.google.com/search?newwindow=1&amp;ei=2MT0XrvGGM-vytMP1OyDgAY&amp;q=site%3Alinkedin.com+Libby+Wallin+Lead+Campus+Recruiting+Specialist" TargetMode="External"/><Relationship Id="rId1807" Type="http://schemas.openxmlformats.org/officeDocument/2006/relationships/hyperlink" Target="https://www.google.com/search?newwindow=1&amp;ei=2MT0XrvGGM-vytMP1OyDgAY&amp;q=site%3Alinkedin.com+Julia+Dearchs+Campus+Recruiting+Specialist" TargetMode="External"/><Relationship Id="rId1808" Type="http://schemas.openxmlformats.org/officeDocument/2006/relationships/hyperlink" Target="https://www.google.com/search?newwindow=1&amp;ei=2MT0XrvGGM-vytMP1OyDgAY&amp;q=site%3Alinkedin.com+Kwanza+K.+Nunn,+SPHR,+SHRM-SCP+Campus+Recruiting+Manager" TargetMode="External"/><Relationship Id="rId1809" Type="http://schemas.openxmlformats.org/officeDocument/2006/relationships/hyperlink" Target="https://www.google.com/search?newwindow=1&amp;ei=2MT0XrvGGM-vytMP1OyDgAY&amp;q=site%3Alinkedin.com+Kristopher+(Kris)+Corey+(he/him/they)+Campus+Recruiting+Coordinator" TargetMode="External"/><Relationship Id="rId4071" Type="http://schemas.openxmlformats.org/officeDocument/2006/relationships/hyperlink" Target="https://www.google.com/search?newwindow=1&amp;ei=2MT0XrvGGM-vytMP1OyDgAY&amp;q=site%3Alinkedin.com+Darielle+Gengler-Hanson+Lead+Executive+Recruiter+Target" TargetMode="External"/><Relationship Id="rId4070" Type="http://schemas.openxmlformats.org/officeDocument/2006/relationships/hyperlink" Target="https://www.google.com/search?newwindow=1&amp;ei=2MT0XrvGGM-vytMP1OyDgAY&amp;q=site%3Alinkedin.com+Elizabeth+Alhondra+Arredon+Mier+University+Recruiter+Microsoft" TargetMode="External"/><Relationship Id="rId4073" Type="http://schemas.openxmlformats.org/officeDocument/2006/relationships/hyperlink" Target="https://www.google.com/search?newwindow=1&amp;ei=2MT0XrvGGM-vytMP1OyDgAY&amp;q=site%3Alinkedin.com+Ellen+Meeks+Lead+Executive+Campus+Recruiter+-+Supply+Chain+Target" TargetMode="External"/><Relationship Id="rId4072" Type="http://schemas.openxmlformats.org/officeDocument/2006/relationships/hyperlink" Target="https://www.google.com/search?newwindow=1&amp;ei=2MT0XrvGGM-vytMP1OyDgAY&amp;q=site%3Alinkedin.com+Kelsey+Grunigen+University+Recruiter+Microsoft" TargetMode="External"/><Relationship Id="rId4075" Type="http://schemas.openxmlformats.org/officeDocument/2006/relationships/hyperlink" Target="https://www.google.com/search?newwindow=1&amp;ei=2MT0XrvGGM-vytMP1OyDgAY&amp;q=site%3Alinkedin.com+Miranda+Wolfe+Sr.+Campus+Recruiter+Target" TargetMode="External"/><Relationship Id="rId4074" Type="http://schemas.openxmlformats.org/officeDocument/2006/relationships/hyperlink" Target="https://www.google.com/search?newwindow=1&amp;ei=2MT0XrvGGM-vytMP1OyDgAY&amp;q=site%3Alinkedin.com+Abby+Newton+Technical+Recruiter+Microsoft" TargetMode="External"/><Relationship Id="rId4077" Type="http://schemas.openxmlformats.org/officeDocument/2006/relationships/hyperlink" Target="https://www.google.com/search?newwindow=1&amp;ei=2MT0XrvGGM-vytMP1OyDgAY&amp;q=site%3Alinkedin.com+Maya+Moss+Senior+Campus+Recruiter+Target" TargetMode="External"/><Relationship Id="rId4076" Type="http://schemas.openxmlformats.org/officeDocument/2006/relationships/hyperlink" Target="https://www.google.com/search?newwindow=1&amp;ei=2MT0XrvGGM-vytMP1OyDgAY&amp;q=site%3Alinkedin.com+Erin+Odell+University+Recruiter+Microsoft" TargetMode="External"/><Relationship Id="rId4079" Type="http://schemas.openxmlformats.org/officeDocument/2006/relationships/hyperlink" Target="https://www.google.com/search?newwindow=1&amp;ei=2MT0XrvGGM-vytMP1OyDgAY&amp;q=site%3Alinkedin.com+Jennifer+Castrodale+Sr.+Recruiter,+Campus+Supply+Chain+Target" TargetMode="External"/><Relationship Id="rId4078" Type="http://schemas.openxmlformats.org/officeDocument/2006/relationships/hyperlink" Target="https://www.google.com/search?newwindow=1&amp;ei=2MT0XrvGGM-vytMP1OyDgAY&amp;q=site%3Alinkedin.com+Jessica+Nguyen+University+Recruiter+Microsoft" TargetMode="External"/><Relationship Id="rId1830" Type="http://schemas.openxmlformats.org/officeDocument/2006/relationships/hyperlink" Target="https://www.google.com/search?newwindow=1&amp;ei=2MT0XrvGGM-vytMP1OyDgAY&amp;q=site%3Alinkedin.com+Caitlin+Pershe+Manager" TargetMode="External"/><Relationship Id="rId1831" Type="http://schemas.openxmlformats.org/officeDocument/2006/relationships/hyperlink" Target="https://www.google.com/search?newwindow=1&amp;ei=2MT0XrvGGM-vytMP1OyDgAY&amp;q=site%3Alinkedin.com+Hayley+(Ford)+Nainani+Campus+Recruiting+Manager" TargetMode="External"/><Relationship Id="rId1832" Type="http://schemas.openxmlformats.org/officeDocument/2006/relationships/hyperlink" Target="https://www.google.com/search?newwindow=1&amp;ei=2MT0XrvGGM-vytMP1OyDgAY&amp;q=site%3Alinkedin.com+Meghan+Horning+Senior+Campus+Recruiting+Specialist" TargetMode="External"/><Relationship Id="rId1833" Type="http://schemas.openxmlformats.org/officeDocument/2006/relationships/hyperlink" Target="https://www.google.com/search?newwindow=1&amp;ei=2MT0XrvGGM-vytMP1OyDgAY&amp;q=site%3Alinkedin.com+Angela+Sorrell+Director,+US+Campus+Recruiting+Leader--Transaction+and+Strategy+at+Ernst+&amp;+Young,+LLP" TargetMode="External"/><Relationship Id="rId1834" Type="http://schemas.openxmlformats.org/officeDocument/2006/relationships/hyperlink" Target="https://www.google.com/search?newwindow=1&amp;ei=2MT0XrvGGM-vytMP1OyDgAY&amp;q=site%3Alinkedin.com+Gloria+Huh+Campus+Recruiting+Coordinator" TargetMode="External"/><Relationship Id="rId1835" Type="http://schemas.openxmlformats.org/officeDocument/2006/relationships/hyperlink" Target="https://www.google.com/search?newwindow=1&amp;ei=2MT0XrvGGM-vytMP1OyDgAY&amp;q=site%3Alinkedin.com+Kelly+Kasenetz+Campus+Recruiting" TargetMode="External"/><Relationship Id="rId1836" Type="http://schemas.openxmlformats.org/officeDocument/2006/relationships/hyperlink" Target="https://www.google.com/search?newwindow=1&amp;ei=2MT0XrvGGM-vytMP1OyDgAY&amp;q=site%3Alinkedin.com+Jessica+Buck+Campus+Recruiter" TargetMode="External"/><Relationship Id="rId1837" Type="http://schemas.openxmlformats.org/officeDocument/2006/relationships/hyperlink" Target="https://www.google.com/search?newwindow=1&amp;ei=2MT0XrvGGM-vytMP1OyDgAY&amp;q=site%3Alinkedin.com+Cayla+Chen+Campus+Recruiting+Specialist" TargetMode="External"/><Relationship Id="rId1838" Type="http://schemas.openxmlformats.org/officeDocument/2006/relationships/hyperlink" Target="https://www.google.com/search?newwindow=1&amp;ei=2MT0XrvGGM-vytMP1OyDgAY&amp;q=site%3Alinkedin.com+Heather+Roberts+HRBP+&amp;+Director,+Global+University+Recruitment+&amp;+Staffing" TargetMode="External"/><Relationship Id="rId1839" Type="http://schemas.openxmlformats.org/officeDocument/2006/relationships/hyperlink" Target="https://www.google.com/search?newwindow=1&amp;ei=2MT0XrvGGM-vytMP1OyDgAY&amp;q=site%3Alinkedin.com+Snezana+Savic+Academic+Advisor%7CSchool+of+Business+-+Conestoga+College" TargetMode="External"/><Relationship Id="rId1820" Type="http://schemas.openxmlformats.org/officeDocument/2006/relationships/hyperlink" Target="https://www.google.com/search?newwindow=1&amp;ei=2MT0XrvGGM-vytMP1OyDgAY&amp;q=site%3Alinkedin.com+Lolita+Hill+Supervising+Associate,+Campus+Recruiting" TargetMode="External"/><Relationship Id="rId1821" Type="http://schemas.openxmlformats.org/officeDocument/2006/relationships/hyperlink" Target="https://www.google.com/search?newwindow=1&amp;ei=2MT0XrvGGM-vytMP1OyDgAY&amp;q=site%3Alinkedin.com+Sean+Woolford+Supervising+Associate,+Financial+Services+Organization,+Campus+Recruiting" TargetMode="External"/><Relationship Id="rId1822" Type="http://schemas.openxmlformats.org/officeDocument/2006/relationships/hyperlink" Target="https://www.google.com/search?newwindow=1&amp;ei=2MT0XrvGGM-vytMP1OyDgAY&amp;q=site%3Alinkedin.com+Cinthia+Lopez+Senior+Director,+Human+Resources,+Head+of+Campus+Recruiting+and+Programs" TargetMode="External"/><Relationship Id="rId1823" Type="http://schemas.openxmlformats.org/officeDocument/2006/relationships/hyperlink" Target="https://www.google.com/search?newwindow=1&amp;ei=2MT0XrvGGM-vytMP1OyDgAY&amp;q=site%3Alinkedin.com+Isabel+Rose+Kadiri+Analyst+Campus+Recruiting+&amp;+Programs+%7C+Human+Resources+Rotational+Program+Associate" TargetMode="External"/><Relationship Id="rId1824" Type="http://schemas.openxmlformats.org/officeDocument/2006/relationships/hyperlink" Target="https://www.google.com/search?newwindow=1&amp;ei=2MT0XrvGGM-vytMP1OyDgAY&amp;q=site%3Alinkedin.com+Shayda+Tavakoli+Principal+Coordinator,+Campus+Recruiting" TargetMode="External"/><Relationship Id="rId1825" Type="http://schemas.openxmlformats.org/officeDocument/2006/relationships/hyperlink" Target="https://www.google.com/search?newwindow=1&amp;ei=2MT0XrvGGM-vytMP1OyDgAY&amp;q=site%3Alinkedin.com+Kelsey+Indorf+Campus+Recruiting+Senior+Manager" TargetMode="External"/><Relationship Id="rId1826" Type="http://schemas.openxmlformats.org/officeDocument/2006/relationships/hyperlink" Target="https://www.google.com/search?newwindow=1&amp;ei=2MT0XrvGGM-vytMP1OyDgAY&amp;q=site%3Alinkedin.com+Ciara+Delehanty+Senior+Campus+Recruiting+Coordinator" TargetMode="External"/><Relationship Id="rId1827" Type="http://schemas.openxmlformats.org/officeDocument/2006/relationships/hyperlink" Target="https://www.google.com/search?newwindow=1&amp;ei=2MT0XrvGGM-vytMP1OyDgAY&amp;q=site%3Alinkedin.com+Laura+Borak+Director,+Analyst+Campus+Recruiting+&amp;+Programs" TargetMode="External"/><Relationship Id="rId1828" Type="http://schemas.openxmlformats.org/officeDocument/2006/relationships/hyperlink" Target="https://www.google.com/search?newwindow=1&amp;ei=2MT0XrvGGM-vytMP1OyDgAY&amp;q=site%3Alinkedin.com+Jessica+Consalvo+Senior+Campus+Recruiting+Specialist+-+Government+&amp;+Public+Services" TargetMode="External"/><Relationship Id="rId1829" Type="http://schemas.openxmlformats.org/officeDocument/2006/relationships/hyperlink" Target="https://www.google.com/search?newwindow=1&amp;ei=2MT0XrvGGM-vytMP1OyDgAY&amp;q=site%3Alinkedin.com+Renee+T.+Campus+Recruiting+Manager+-+Advisory+&amp;+Tax+Primary+Recruiter" TargetMode="External"/><Relationship Id="rId4091" Type="http://schemas.openxmlformats.org/officeDocument/2006/relationships/hyperlink" Target="https://www.google.com/search?newwindow=1&amp;ei=2MT0XrvGGM-vytMP1OyDgAY&amp;q=site%3Alinkedin.com+Victorya+Curcuro+Senior+Campus+Recruiter+Target" TargetMode="External"/><Relationship Id="rId4090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4093" Type="http://schemas.openxmlformats.org/officeDocument/2006/relationships/hyperlink" Target="https://www.google.com/search?newwindow=1&amp;ei=2MT0XrvGGM-vytMP1OyDgAY&amp;q=site%3Alinkedin.com+Jenn.Bass+(T1400)+Pharmacy+College+Recruiter,+Pharmacist+Target" TargetMode="External"/><Relationship Id="rId4092" Type="http://schemas.openxmlformats.org/officeDocument/2006/relationships/hyperlink" Target="https://www.google.com/search?newwindow=1&amp;ei=2MT0XrvGGM-vytMP1OyDgAY&amp;q=site%3Alinkedin.com+Gretchen+Tristan+University+Recruiter+Microsoft" TargetMode="External"/><Relationship Id="rId4095" Type="http://schemas.openxmlformats.org/officeDocument/2006/relationships/hyperlink" Target="https://www.google.com/search?newwindow=1&amp;ei=2MT0XrvGGM-vytMP1OyDgAY&amp;q=site%3Alinkedin.com+Danielle+Mork+Sr+Campus+Recruiter+-+Supply+Chain+Target" TargetMode="External"/><Relationship Id="rId4094" Type="http://schemas.openxmlformats.org/officeDocument/2006/relationships/hyperlink" Target="https://www.google.com/search?newwindow=1&amp;ei=2MT0XrvGGM-vytMP1OyDgAY&amp;q=site%3Alinkedin.com+rose+jay+Campus+Recruiter+Microsoft" TargetMode="External"/><Relationship Id="rId4097" Type="http://schemas.openxmlformats.org/officeDocument/2006/relationships/hyperlink" Target="https://www.google.com/search?newwindow=1&amp;ei=2MT0XrvGGM-vytMP1OyDgAY&amp;q=site%3Alinkedin.com+Sarah+Fairchild+Human+Resources+Representative/Executive+and+Campus+Recruiter+Target+Corporation" TargetMode="External"/><Relationship Id="rId4096" Type="http://schemas.openxmlformats.org/officeDocument/2006/relationships/hyperlink" Target="https://www.google.com/search?newwindow=1&amp;ei=2MT0XrvGGM-vytMP1OyDgAY&amp;q=site%3Alinkedin.com+Shelly+Forsberg+University+Recruiter+Microsoft" TargetMode="External"/><Relationship Id="rId4099" Type="http://schemas.openxmlformats.org/officeDocument/2006/relationships/hyperlink" Target="https://www.google.com/search?newwindow=1&amp;ei=2MT0XrvGGM-vytMP1OyDgAY&amp;q=site%3Alinkedin.com+Sara+Lopez+Campus+Recruiter+Target+Headquarters" TargetMode="External"/><Relationship Id="rId4098" Type="http://schemas.openxmlformats.org/officeDocument/2006/relationships/hyperlink" Target="https://www.google.com/search?newwindow=1&amp;ei=2MT0XrvGGM-vytMP1OyDgAY&amp;q=site%3Alinkedin.com+Maggie+Bott+Technical+Recruiter+-+Student+Veterans+++Security+Clearance+Opportunities+for+University+Students+Microsoft" TargetMode="External"/><Relationship Id="rId2302" Type="http://schemas.openxmlformats.org/officeDocument/2006/relationships/hyperlink" Target="https://www.google.com/search?newwindow=1&amp;ei=2MT0XrvGGM-vytMP1OyDgAY&amp;q=site%3Alinkedin.com+Jennifer+Wilson+Campus+Recruiter+-+Investment+Banking+&amp;+Capital+Markets+Credit+Suisse" TargetMode="External"/><Relationship Id="rId3634" Type="http://schemas.openxmlformats.org/officeDocument/2006/relationships/hyperlink" Target="https://www.google.com/search?newwindow=1&amp;ei=2MT0XrvGGM-vytMP1OyDgAY&amp;q=site%3Alinkedin.com+Kadra+Sheikh,+MBA+HR+and+Talent+Acquisiton-+University+Recruiter+I+Microsoft" TargetMode="External"/><Relationship Id="rId2303" Type="http://schemas.openxmlformats.org/officeDocument/2006/relationships/hyperlink" Target="https://www.google.com/search?newwindow=1&amp;ei=2MT0XrvGGM-vytMP1OyDgAY&amp;q=site%3Alinkedin.com+Nina+Pantich+University+Recruiter+Amazon" TargetMode="External"/><Relationship Id="rId3633" Type="http://schemas.openxmlformats.org/officeDocument/2006/relationships/hyperlink" Target="https://www.google.com/search?newwindow=1&amp;ei=2MT0XrvGGM-vytMP1OyDgAY&amp;q=site%3Alinkedin.com+Olivia+W.+University+Recruiter+Grant+Thornton+LLP" TargetMode="External"/><Relationship Id="rId2304" Type="http://schemas.openxmlformats.org/officeDocument/2006/relationships/hyperlink" Target="https://www.google.com/search?newwindow=1&amp;ei=2MT0XrvGGM-vytMP1OyDgAY&amp;q=site%3Alinkedin.com+Erin+Gross+Campus+Recruiter,+Global+Markets+&amp;+Asset+Management+Credit+Suisse" TargetMode="External"/><Relationship Id="rId3636" Type="http://schemas.openxmlformats.org/officeDocument/2006/relationships/hyperlink" Target="https://www.google.com/search?newwindow=1&amp;ei=2MT0XrvGGM-vytMP1OyDgAY&amp;q=site%3Alinkedin.com+Leandra+King+University+Recruiter+Microsoft" TargetMode="External"/><Relationship Id="rId2305" Type="http://schemas.openxmlformats.org/officeDocument/2006/relationships/hyperlink" Target="https://www.google.com/search?newwindow=1&amp;ei=2MT0XrvGGM-vytMP1OyDgAY&amp;q=site%3Alinkedin.com+Anna+McQuaid+Recruiter+-+University+Ops+Amazon" TargetMode="External"/><Relationship Id="rId3635" Type="http://schemas.openxmlformats.org/officeDocument/2006/relationships/hyperlink" Target="https://www.google.com/search?newwindow=1&amp;ei=2MT0XrvGGM-vytMP1OyDgAY&amp;q=site%3Alinkedin.com+Katie+Collins+Senior+University+Recruiter+Grant+Thornton+LLP" TargetMode="External"/><Relationship Id="rId2306" Type="http://schemas.openxmlformats.org/officeDocument/2006/relationships/hyperlink" Target="https://www.google.com/search?newwindow=1&amp;ei=2MT0XrvGGM-vytMP1OyDgAY&amp;q=site%3Alinkedin.com+Kezia+Gibbs+Campus+Recruiter+Credit+Suisse" TargetMode="External"/><Relationship Id="rId3638" Type="http://schemas.openxmlformats.org/officeDocument/2006/relationships/hyperlink" Target="https://www.google.com/search?newwindow=1&amp;ei=2MT0XrvGGM-vytMP1OyDgAY&amp;q=site%3Alinkedin.com+Kelsey+Saboori+Technical+University+Recruiter+-+Software+Engineering+Roles+Microsoft" TargetMode="External"/><Relationship Id="rId2307" Type="http://schemas.openxmlformats.org/officeDocument/2006/relationships/hyperlink" Target="https://www.google.com/search?newwindow=1&amp;ei=2MT0XrvGGM-vytMP1OyDgAY&amp;q=site%3Alinkedin.com+Olivia+Hopkins+University+Recruiter+-+Corporate+Operations+Amazon" TargetMode="External"/><Relationship Id="rId3637" Type="http://schemas.openxmlformats.org/officeDocument/2006/relationships/hyperlink" Target="https://www.google.com/search?newwindow=1&amp;ei=2MT0XrvGGM-vytMP1OyDgAY&amp;q=site%3Alinkedin.com+Molly+Curran+University+Recruiter+Grant+Thornton+LLP" TargetMode="External"/><Relationship Id="rId2308" Type="http://schemas.openxmlformats.org/officeDocument/2006/relationships/hyperlink" Target="https://www.google.com/search?newwindow=1&amp;ei=2MT0XrvGGM-vytMP1OyDgAY&amp;q=site%3Alinkedin.com+Carly+Villa+Campus+Recruiter+Credit+Suisse" TargetMode="External"/><Relationship Id="rId2309" Type="http://schemas.openxmlformats.org/officeDocument/2006/relationships/hyperlink" Target="https://www.google.com/search?newwindow=1&amp;ei=2MT0XrvGGM-vytMP1OyDgAY&amp;q=site%3Alinkedin.com+Sean+Bea,+MBA+Campus+Recruiter+Cushman+&amp;+Wakefield" TargetMode="External"/><Relationship Id="rId3639" Type="http://schemas.openxmlformats.org/officeDocument/2006/relationships/hyperlink" Target="https://www.google.com/search?newwindow=1&amp;ei=2MT0XrvGGM-vytMP1OyDgAY&amp;q=site%3Alinkedin.com+Grace+King+University+Recruiter+Grant+Thornton+LLP" TargetMode="External"/><Relationship Id="rId3630" Type="http://schemas.openxmlformats.org/officeDocument/2006/relationships/hyperlink" Target="https://www.google.com/search?newwindow=1&amp;ei=2MT0XrvGGM-vytMP1OyDgAY&amp;q=site%3Alinkedin.com+Joseph+Velez+University+Recruiter+(Contractor)+Microsoft" TargetMode="External"/><Relationship Id="rId2300" Type="http://schemas.openxmlformats.org/officeDocument/2006/relationships/hyperlink" Target="https://www.google.com/search?newwindow=1&amp;ei=2MT0XrvGGM-vytMP1OyDgAY&amp;q=site%3Alinkedin.com+Allison+Group+Investment+Banking+Campus+Recruiter+Credit+Suisse" TargetMode="External"/><Relationship Id="rId3632" Type="http://schemas.openxmlformats.org/officeDocument/2006/relationships/hyperlink" Target="https://www.google.com/search?newwindow=1&amp;ei=2MT0XrvGGM-vytMP1OyDgAY&amp;q=site%3Alinkedin.com+Amy+Siebenthaler+Technical+PhD+Recruiter+%7C+University+Recruitment+Microsoft" TargetMode="External"/><Relationship Id="rId2301" Type="http://schemas.openxmlformats.org/officeDocument/2006/relationships/hyperlink" Target="https://www.google.com/search?newwindow=1&amp;ei=2MT0XrvGGM-vytMP1OyDgAY&amp;q=site%3Alinkedin.com+Candace+Gerads+Campus+Recruiter+Allstate" TargetMode="External"/><Relationship Id="rId3631" Type="http://schemas.openxmlformats.org/officeDocument/2006/relationships/hyperlink" Target="https://www.google.com/search?newwindow=1&amp;ei=2MT0XrvGGM-vytMP1OyDgAY&amp;q=site%3Alinkedin.com+Erin+Lamport+Campus+Recruiter+Grant+Thornton" TargetMode="External"/><Relationship Id="rId3623" Type="http://schemas.openxmlformats.org/officeDocument/2006/relationships/hyperlink" Target="https://www.google.com/search?newwindow=1&amp;ei=2MT0XrvGGM-vytMP1OyDgAY&amp;q=site%3Alinkedin.com+Lauran+Woodward+University+Recruiter+Google" TargetMode="External"/><Relationship Id="rId3622" Type="http://schemas.openxmlformats.org/officeDocument/2006/relationships/hyperlink" Target="https://www.google.com/search?newwindow=1&amp;ei=2MT0XrvGGM-vytMP1OyDgAY&amp;q=site%3Alinkedin.com+Devan+Moore+University+Recruiter+Microsoft" TargetMode="External"/><Relationship Id="rId3625" Type="http://schemas.openxmlformats.org/officeDocument/2006/relationships/hyperlink" Target="https://www.google.com/search?newwindow=1&amp;ei=2MT0XrvGGM-vytMP1OyDgAY&amp;q=site%3Alinkedin.com+Aiminh+Phan+University+Recruiter+Google" TargetMode="External"/><Relationship Id="rId3624" Type="http://schemas.openxmlformats.org/officeDocument/2006/relationships/hyperlink" Target="https://www.google.com/search?newwindow=1&amp;ei=2MT0XrvGGM-vytMP1OyDgAY&amp;q=site%3Alinkedin.com+Mintesinot+Misgano+University+Recruiter+Microsoft" TargetMode="External"/><Relationship Id="rId3627" Type="http://schemas.openxmlformats.org/officeDocument/2006/relationships/hyperlink" Target="https://www.google.com/search?newwindow=1&amp;ei=2MT0XrvGGM-vytMP1OyDgAY&amp;q=site%3Alinkedin.com+Brittany+Matta+University+Recruiter+-+Research+(AI+Residency+Program+and+PhD)+-+Via+Nelson+Staffing+Google" TargetMode="External"/><Relationship Id="rId3626" Type="http://schemas.openxmlformats.org/officeDocument/2006/relationships/hyperlink" Target="https://www.google.com/search?newwindow=1&amp;ei=2MT0XrvGGM-vytMP1OyDgAY&amp;q=site%3Alinkedin.com+Erin+Creighton+Technical+University+Recruiter+Microsoft" TargetMode="External"/><Relationship Id="rId3629" Type="http://schemas.openxmlformats.org/officeDocument/2006/relationships/hyperlink" Target="https://www.google.com/search?newwindow=1&amp;ei=2MT0XrvGGM-vytMP1OyDgAY&amp;q=site%3Alinkedin.com+Ashley+Carmichael+University+Recruiter+Google+via+Artech+Information+Systems" TargetMode="External"/><Relationship Id="rId3628" Type="http://schemas.openxmlformats.org/officeDocument/2006/relationships/hyperlink" Target="https://www.google.com/search?newwindow=1&amp;ei=2MT0XrvGGM-vytMP1OyDgAY&amp;q=site%3Alinkedin.com+Mary+Woodruff+(she/her)+University+Recruiter+Microsoft" TargetMode="External"/><Relationship Id="rId3621" Type="http://schemas.openxmlformats.org/officeDocument/2006/relationships/hyperlink" Target="https://www.google.com/search?newwindow=1&amp;ei=2MT0XrvGGM-vytMP1OyDgAY&amp;q=site%3Alinkedin.com+Summer+Al+Mashhadani+University+Recruiter+Microsoft" TargetMode="External"/><Relationship Id="rId3620" Type="http://schemas.openxmlformats.org/officeDocument/2006/relationships/hyperlink" Target="https://www.google.com/search?newwindow=1&amp;ei=2MT0XrvGGM-vytMP1OyDgAY&amp;q=site%3Alinkedin.com+Miguel+Chucaralao+University+Recruiter+-+Business+Functions+Microsoft" TargetMode="External"/><Relationship Id="rId2324" Type="http://schemas.openxmlformats.org/officeDocument/2006/relationships/hyperlink" Target="https://www.google.com/search?newwindow=1&amp;ei=2MT0XrvGGM-vytMP1OyDgAY&amp;q=site%3Alinkedin.com+Molly+Hynes+Recruiter,+University+Relations+Dell+Technologies" TargetMode="External"/><Relationship Id="rId3656" Type="http://schemas.openxmlformats.org/officeDocument/2006/relationships/hyperlink" Target="https://www.google.com/search?newwindow=1&amp;ei=2MT0XrvGGM-vytMP1OyDgAY&amp;q=site%3Alinkedin.com+Brian+L.+Thai+University+Recruiter+Honeywell" TargetMode="External"/><Relationship Id="rId2325" Type="http://schemas.openxmlformats.org/officeDocument/2006/relationships/hyperlink" Target="https://www.google.com/search?newwindow=1&amp;ei=2MT0XrvGGM-vytMP1OyDgAY&amp;q=site%3Alinkedin.com+Symone+Black+University+Recruiter+II+Amazon" TargetMode="External"/><Relationship Id="rId3655" Type="http://schemas.openxmlformats.org/officeDocument/2006/relationships/hyperlink" Target="https://www.google.com/search?newwindow=1&amp;ei=2MT0XrvGGM-vytMP1OyDgAY&amp;q=site%3Alinkedin.com+Natalie+Chwalk+Campus+Recruiter+MongoDB" TargetMode="External"/><Relationship Id="rId2326" Type="http://schemas.openxmlformats.org/officeDocument/2006/relationships/hyperlink" Target="https://www.google.com/search?newwindow=1&amp;ei=2MT0XrvGGM-vytMP1OyDgAY&amp;q=site%3Alinkedin.com+Abby+de+Goey,+PHR,+SHRM-CP+GPS+Campus+Recruiting+Manager+Deloitte" TargetMode="External"/><Relationship Id="rId3658" Type="http://schemas.openxmlformats.org/officeDocument/2006/relationships/hyperlink" Target="https://www.google.com/search?newwindow=1&amp;ei=2MT0XrvGGM-vytMP1OyDgAY&amp;q=site%3Alinkedin.com+Chelsea+Jensen+Damm+Virginia+Tech+Recruiting+Campus+Manager+Honeywell" TargetMode="External"/><Relationship Id="rId2327" Type="http://schemas.openxmlformats.org/officeDocument/2006/relationships/hyperlink" Target="https://www.google.com/search?newwindow=1&amp;ei=2MT0XrvGGM-vytMP1OyDgAY&amp;q=site%3Alinkedin.com+Nimon+Macid+University+Recruiter+Amazon" TargetMode="External"/><Relationship Id="rId3657" Type="http://schemas.openxmlformats.org/officeDocument/2006/relationships/hyperlink" Target="https://www.google.com/search?newwindow=1&amp;ei=2MT0XrvGGM-vytMP1OyDgAY&amp;q=site%3Alinkedin.com+Joshua+Avila+Campus+Recruiter+MongoDB" TargetMode="External"/><Relationship Id="rId2328" Type="http://schemas.openxmlformats.org/officeDocument/2006/relationships/hyperlink" Target="https://www.google.com/search?newwindow=1&amp;ei=2MT0XrvGGM-vytMP1OyDgAY&amp;q=site%3Alinkedin.com+Meredith+Sutter+Campus+Recruiting+Manager+Deloitte" TargetMode="External"/><Relationship Id="rId2329" Type="http://schemas.openxmlformats.org/officeDocument/2006/relationships/hyperlink" Target="https://www.google.com/search?newwindow=1&amp;ei=2MT0XrvGGM-vytMP1OyDgAY&amp;q=site%3Alinkedin.com+Henal+Majethia+Operations+University+Recruiter+Amazon" TargetMode="External"/><Relationship Id="rId3659" Type="http://schemas.openxmlformats.org/officeDocument/2006/relationships/hyperlink" Target="https://www.google.com/search?newwindow=1&amp;ei=2MT0XrvGGM-vytMP1OyDgAY&amp;q=site%3Alinkedin.com+Kaitlyn+Hays+Campus+Recruiter+Morgan+Stanley" TargetMode="External"/><Relationship Id="rId3650" Type="http://schemas.openxmlformats.org/officeDocument/2006/relationships/hyperlink" Target="https://www.google.com/search?newwindow=1&amp;ei=2MT0XrvGGM-vytMP1OyDgAY&amp;q=site%3Alinkedin.com+Kelley+I.+Senior+University+Recruiter+Grant+Thornton+LLP" TargetMode="External"/><Relationship Id="rId2320" Type="http://schemas.openxmlformats.org/officeDocument/2006/relationships/hyperlink" Target="https://www.google.com/search?newwindow=1&amp;ei=2MT0XrvGGM-vytMP1OyDgAY&amp;q=site%3Alinkedin.com+Jessica+Campbell+University+Recruiter-Ops+TA+Amazon" TargetMode="External"/><Relationship Id="rId3652" Type="http://schemas.openxmlformats.org/officeDocument/2006/relationships/hyperlink" Target="https://www.google.com/search?newwindow=1&amp;ei=2MT0XrvGGM-vytMP1OyDgAY&amp;q=site%3Alinkedin.com+Victoria+Mack+University+Recruiter+Grant+Thornton+LLP" TargetMode="External"/><Relationship Id="rId2321" Type="http://schemas.openxmlformats.org/officeDocument/2006/relationships/hyperlink" Target="https://www.google.com/search?newwindow=1&amp;ei=2MT0XrvGGM-vytMP1OyDgAY&amp;q=site%3Alinkedin.com+Tiffany+Taylor+University+Relations+Diversity+Program+Manager+Dell" TargetMode="External"/><Relationship Id="rId3651" Type="http://schemas.openxmlformats.org/officeDocument/2006/relationships/hyperlink" Target="https://www.google.com/search?newwindow=1&amp;ei=2MT0XrvGGM-vytMP1OyDgAY&amp;q=site%3Alinkedin.com+Ellie+Purdy+Campus+Recruiter+MongoDB" TargetMode="External"/><Relationship Id="rId2322" Type="http://schemas.openxmlformats.org/officeDocument/2006/relationships/hyperlink" Target="https://www.google.com/search?newwindow=1&amp;ei=2MT0XrvGGM-vytMP1OyDgAY&amp;q=site%3Alinkedin.com+Ellie+Biscoe+Campus+Recruiting+Manager+%7C+Next+Gen+Sales+Program+Dell+EMC" TargetMode="External"/><Relationship Id="rId3654" Type="http://schemas.openxmlformats.org/officeDocument/2006/relationships/hyperlink" Target="https://www.google.com/search?newwindow=1&amp;ei=2MT0XrvGGM-vytMP1OyDgAY&amp;q=site%3Alinkedin.com+Sarah+Reynolds+University+Relations+Manager+Honeywell" TargetMode="External"/><Relationship Id="rId2323" Type="http://schemas.openxmlformats.org/officeDocument/2006/relationships/hyperlink" Target="https://www.google.com/search?newwindow=1&amp;ei=2MT0XrvGGM-vytMP1OyDgAY&amp;q=site%3Alinkedin.com+Kinnera+Kokulla+University+Ops+recruiter+Amazon" TargetMode="External"/><Relationship Id="rId3653" Type="http://schemas.openxmlformats.org/officeDocument/2006/relationships/hyperlink" Target="https://www.google.com/search?newwindow=1&amp;ei=2MT0XrvGGM-vytMP1OyDgAY&amp;q=site%3Alinkedin.com+Kate+Wright+Senior+Campus+Recruiter+MongoDB" TargetMode="External"/><Relationship Id="rId2313" Type="http://schemas.openxmlformats.org/officeDocument/2006/relationships/hyperlink" Target="https://www.google.com/search?newwindow=1&amp;ei=2MT0XrvGGM-vytMP1OyDgAY&amp;q=site%3Alinkedin.com+Amanda+Camera+Campus+Recruiter+&amp;+PREP+Manager,+West+Region+at+Cushman+&amp;+Wakefield+Cushman+&amp;+Wakefield" TargetMode="External"/><Relationship Id="rId3645" Type="http://schemas.openxmlformats.org/officeDocument/2006/relationships/hyperlink" Target="https://www.google.com/search?newwindow=1&amp;ei=2MT0XrvGGM-vytMP1OyDgAY&amp;q=site%3Alinkedin.com+Tristan+Boone+University+Recruiter+Microsoft" TargetMode="External"/><Relationship Id="rId2314" Type="http://schemas.openxmlformats.org/officeDocument/2006/relationships/hyperlink" Target="https://www.google.com/search?newwindow=1&amp;ei=2MT0XrvGGM-vytMP1OyDgAY&amp;q=site%3Alinkedin.com+Kristen+Stygar+University+Recruiter+Amazon" TargetMode="External"/><Relationship Id="rId3644" Type="http://schemas.openxmlformats.org/officeDocument/2006/relationships/hyperlink" Target="https://www.google.com/search?newwindow=1&amp;ei=2MT0XrvGGM-vytMP1OyDgAY&amp;q=site%3Alinkedin.com+Brett+Chase+PhD+University+Recruiter+Microsoft" TargetMode="External"/><Relationship Id="rId2315" Type="http://schemas.openxmlformats.org/officeDocument/2006/relationships/hyperlink" Target="https://www.google.com/search?newwindow=1&amp;ei=2MT0XrvGGM-vytMP1OyDgAY&amp;q=site%3Alinkedin.com+Katie+Flaschar+Campus+Recruiter+Cushman+&amp;+Wakefield" TargetMode="External"/><Relationship Id="rId3647" Type="http://schemas.openxmlformats.org/officeDocument/2006/relationships/hyperlink" Target="https://www.google.com/search?newwindow=1&amp;ei=2MT0XrvGGM-vytMP1OyDgAY&amp;q=site%3Alinkedin.com+Raven+Fournier+Janssen+Senior+University+Recruiter+Grant+Thornton+LLP" TargetMode="External"/><Relationship Id="rId2316" Type="http://schemas.openxmlformats.org/officeDocument/2006/relationships/hyperlink" Target="https://www.google.com/search?newwindow=1&amp;ei=2MT0XrvGGM-vytMP1OyDgAY&amp;q=site%3Alinkedin.com+Angelica+Loya+University+Recruiter+-+Amazon+Amazon" TargetMode="External"/><Relationship Id="rId3646" Type="http://schemas.openxmlformats.org/officeDocument/2006/relationships/hyperlink" Target="https://www.google.com/search?newwindow=1&amp;ei=2MT0XrvGGM-vytMP1OyDgAY&amp;q=site%3Alinkedin.com+Rachel+Wightman+Contract+University+Recruiter+Microsoft" TargetMode="External"/><Relationship Id="rId2317" Type="http://schemas.openxmlformats.org/officeDocument/2006/relationships/hyperlink" Target="https://www.google.com/search?newwindow=1&amp;ei=2MT0XrvGGM-vytMP1OyDgAY&amp;q=site%3Alinkedin.com+Callie+Jones+University+Relations+Project+Manager,+Product+&amp;+Operations+Dell" TargetMode="External"/><Relationship Id="rId3649" Type="http://schemas.openxmlformats.org/officeDocument/2006/relationships/hyperlink" Target="https://www.google.com/search?newwindow=1&amp;ei=2MT0XrvGGM-vytMP1OyDgAY&amp;q=site%3Alinkedin.com+Emily+Cardner+Manager,+Campus+Recruiting+MongoDB" TargetMode="External"/><Relationship Id="rId2318" Type="http://schemas.openxmlformats.org/officeDocument/2006/relationships/hyperlink" Target="https://www.google.com/search?newwindow=1&amp;ei=2MT0XrvGGM-vytMP1OyDgAY&amp;q=site%3Alinkedin.com+Dillon+Draper+University+Operations+Recruiter+Amazon" TargetMode="External"/><Relationship Id="rId3648" Type="http://schemas.openxmlformats.org/officeDocument/2006/relationships/hyperlink" Target="https://www.google.com/search?newwindow=1&amp;ei=2MT0XrvGGM-vytMP1OyDgAY&amp;q=site%3Alinkedin.com+Bryan+Spence+Diversity+University+Recruiter+Microsoft" TargetMode="External"/><Relationship Id="rId2319" Type="http://schemas.openxmlformats.org/officeDocument/2006/relationships/hyperlink" Target="https://www.google.com/search?newwindow=1&amp;ei=2MT0XrvGGM-vytMP1OyDgAY&amp;q=site%3Alinkedin.com+Megan+Evangelista+Campus+Recruiting+Manager,+Sales+Academy+Program+Dell" TargetMode="External"/><Relationship Id="rId3641" Type="http://schemas.openxmlformats.org/officeDocument/2006/relationships/hyperlink" Target="https://www.google.com/search?newwindow=1&amp;ei=2MT0XrvGGM-vytMP1OyDgAY&amp;q=site%3Alinkedin.com+Megan+Williamson+University+Recruiter+Grant+Thornton+LLP" TargetMode="External"/><Relationship Id="rId2310" Type="http://schemas.openxmlformats.org/officeDocument/2006/relationships/hyperlink" Target="https://www.google.com/search?newwindow=1&amp;ei=2MT0XrvGGM-vytMP1OyDgAY&amp;q=site%3Alinkedin.com+Vannessa+Trahan+Client+Lead+University+Recruiter+Amazon" TargetMode="External"/><Relationship Id="rId3640" Type="http://schemas.openxmlformats.org/officeDocument/2006/relationships/hyperlink" Target="https://www.google.com/search?newwindow=1&amp;ei=2MT0XrvGGM-vytMP1OyDgAY&amp;q=site%3Alinkedin.com+Sarah+Kaiser+University+Recruiter+Microsoft" TargetMode="External"/><Relationship Id="rId2311" Type="http://schemas.openxmlformats.org/officeDocument/2006/relationships/hyperlink" Target="https://www.google.com/search?newwindow=1&amp;ei=2MT0XrvGGM-vytMP1OyDgAY&amp;q=site%3Alinkedin.com+Jill+Wormser+Campus+Recruiter+Cushman+&amp;+Wakefield" TargetMode="External"/><Relationship Id="rId3643" Type="http://schemas.openxmlformats.org/officeDocument/2006/relationships/hyperlink" Target="https://www.google.com/search?newwindow=1&amp;ei=2MT0XrvGGM-vytMP1OyDgAY&amp;q=site%3Alinkedin.com+Nichole+R.+Justus+University+Recruiter+Grant+Thornton+LLP" TargetMode="External"/><Relationship Id="rId2312" Type="http://schemas.openxmlformats.org/officeDocument/2006/relationships/hyperlink" Target="https://www.google.com/search?newwindow=1&amp;ei=2MT0XrvGGM-vytMP1OyDgAY&amp;q=site%3Alinkedin.com+Jennifer+Sula+University+Recruiter+Amazon" TargetMode="External"/><Relationship Id="rId3642" Type="http://schemas.openxmlformats.org/officeDocument/2006/relationships/hyperlink" Target="https://www.google.com/search?newwindow=1&amp;ei=2MT0XrvGGM-vytMP1OyDgAY&amp;q=site%3Alinkedin.com+Brian+Cuadra+University+Recruiter+%7C+Bay+Area+Hub+Finder+Microsoft" TargetMode="External"/><Relationship Id="rId1895" Type="http://schemas.openxmlformats.org/officeDocument/2006/relationships/hyperlink" Target="https://www.google.com/search?newwindow=1&amp;ei=2MT0XrvGGM-vytMP1OyDgAY&amp;q=site%3Alinkedin.com+Catherine+Leonard,+M.Ed.+Campus+Recruiter+Accenture" TargetMode="External"/><Relationship Id="rId1896" Type="http://schemas.openxmlformats.org/officeDocument/2006/relationships/hyperlink" Target="https://www.google.com/search?newwindow=1&amp;ei=2MT0XrvGGM-vytMP1OyDgAY&amp;q=site%3Alinkedin.com+Nicole+Bonilla+Owens+Campus+Recruiter+Accenture" TargetMode="External"/><Relationship Id="rId1897" Type="http://schemas.openxmlformats.org/officeDocument/2006/relationships/hyperlink" Target="https://www.google.com/search?newwindow=1&amp;ei=2MT0XrvGGM-vytMP1OyDgAY&amp;q=site%3Alinkedin.com+Betsy+Davis+Senior+Campus+Recruiter+Accenture" TargetMode="External"/><Relationship Id="rId1898" Type="http://schemas.openxmlformats.org/officeDocument/2006/relationships/hyperlink" Target="https://www.google.com/search?newwindow=1&amp;ei=2MT0XrvGGM-vytMP1OyDgAY&amp;q=site%3Alinkedin.com+Amy+Romero+Campus+Recruiter+Accenture" TargetMode="External"/><Relationship Id="rId1899" Type="http://schemas.openxmlformats.org/officeDocument/2006/relationships/hyperlink" Target="https://www.google.com/search?newwindow=1&amp;ei=2MT0XrvGGM-vytMP1OyDgAY&amp;q=site%3Alinkedin.com+Sara+Buxton+NorCal+Campus+Recruiting+Manager+Accenture" TargetMode="External"/><Relationship Id="rId1890" Type="http://schemas.openxmlformats.org/officeDocument/2006/relationships/hyperlink" Target="https://www.google.com/search?newwindow=1&amp;ei=2MT0XrvGGM-vytMP1OyDgAY&amp;q=site%3Alinkedin.com+Trevor+Cunningham+Director+of+Programs+and+Student+Services" TargetMode="External"/><Relationship Id="rId1891" Type="http://schemas.openxmlformats.org/officeDocument/2006/relationships/hyperlink" Target="https://www.google.com/search?newwindow=1&amp;ei=2MT0XrvGGM-vytMP1OyDgAY&amp;q=site%3Alinkedin.com+Emma+Mc+Shane+Student+Recruitment+Officer+at+University+of+York" TargetMode="External"/><Relationship Id="rId1892" Type="http://schemas.openxmlformats.org/officeDocument/2006/relationships/hyperlink" Target="https://www.google.com/search?newwindow=1&amp;ei=2MT0XrvGGM-vytMP1OyDgAY&amp;q=site%3Alinkedin.com+Danny+L%C3%B6wensberg+Director+of+European+Partnerships+and+Recruitment+and+Lecturer,+Hull+University+Business+School" TargetMode="External"/><Relationship Id="rId1893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1894" Type="http://schemas.openxmlformats.org/officeDocument/2006/relationships/hyperlink" Target="https://www.google.com/search?newwindow=1&amp;ei=2MT0XrvGGM-vytMP1OyDgAY&amp;q=site%3Alinkedin.com+Melissa+Harper+Davis+MBA+Campus+Recruiter+Accenture" TargetMode="External"/><Relationship Id="rId1884" Type="http://schemas.openxmlformats.org/officeDocument/2006/relationships/hyperlink" Target="https://www.google.com/search?newwindow=1&amp;ei=2MT0XrvGGM-vytMP1OyDgAY&amp;q=site%3Alinkedin.com+Pallavi+Singh+General+Manager+%E2%80%93+University+of+Wollongong+Humanitarian+Engineering+Project" TargetMode="External"/><Relationship Id="rId1885" Type="http://schemas.openxmlformats.org/officeDocument/2006/relationships/hyperlink" Target="https://www.google.com/search?newwindow=1&amp;ei=2MT0XrvGGM-vytMP1OyDgAY&amp;q=site%3Alinkedin.com+Prithvi+Patil+International+Student+Ambassador+-+International+Student+Programs" TargetMode="External"/><Relationship Id="rId1886" Type="http://schemas.openxmlformats.org/officeDocument/2006/relationships/hyperlink" Target="https://www.google.com/search?newwindow=1&amp;ei=2MT0XrvGGM-vytMP1OyDgAY&amp;q=site%3Alinkedin.com+stacey+kerr+Community+Programs+Officer" TargetMode="External"/><Relationship Id="rId1887" Type="http://schemas.openxmlformats.org/officeDocument/2006/relationships/hyperlink" Target="https://www.google.com/search?newwindow=1&amp;ei=2MT0XrvGGM-vytMP1OyDgAY&amp;q=site%3Alinkedin.com+Oscar+Forman+UOW+Global+Sports+Programs+Student+Recruitment+Coordinator" TargetMode="External"/><Relationship Id="rId1888" Type="http://schemas.openxmlformats.org/officeDocument/2006/relationships/hyperlink" Target="https://www.google.com/search?newwindow=1&amp;ei=2MT0XrvGGM-vytMP1OyDgAY&amp;q=site%3Alinkedin.com+Naomi+Appleton+Professional+and+Clinical+Programs+Administration+Manager" TargetMode="External"/><Relationship Id="rId1889" Type="http://schemas.openxmlformats.org/officeDocument/2006/relationships/hyperlink" Target="https://www.google.com/search?newwindow=1&amp;ei=2MT0XrvGGM-vytMP1OyDgAY&amp;q=site%3Alinkedin.com+Conor+Beaumont+LIBS+Student+Buddy" TargetMode="External"/><Relationship Id="rId1880" Type="http://schemas.openxmlformats.org/officeDocument/2006/relationships/hyperlink" Target="https://www.google.com/search?newwindow=1&amp;ei=2MT0XrvGGM-vytMP1OyDgAY&amp;q=site%3Alinkedin.com+Stephanie+Crook+Assistant+to+the+Coordinator+for+First+Year+Seminar+Programs" TargetMode="External"/><Relationship Id="rId1881" Type="http://schemas.openxmlformats.org/officeDocument/2006/relationships/hyperlink" Target="https://www.google.com/search?newwindow=1&amp;ei=2MT0XrvGGM-vytMP1OyDgAY&amp;q=site%3Alinkedin.com+Rosanna+Caruso+Student+Services+Coordinator,+Undergraduate+Programs" TargetMode="External"/><Relationship Id="rId1882" Type="http://schemas.openxmlformats.org/officeDocument/2006/relationships/hyperlink" Target="https://www.google.com/search?newwindow=1&amp;ei=2MT0XrvGGM-vytMP1OyDgAY&amp;q=site%3Alinkedin.com+Ed+Harms+University+College+Recruiter" TargetMode="External"/><Relationship Id="rId1883" Type="http://schemas.openxmlformats.org/officeDocument/2006/relationships/hyperlink" Target="https://www.google.com/search?newwindow=1&amp;ei=2MT0XrvGGM-vytMP1OyDgAY&amp;q=site%3Alinkedin.com+Judy+Schroen-Galinaitis+Student+Services+Coordinator+(Undergrad+Programs)+Engr" TargetMode="External"/><Relationship Id="rId3612" Type="http://schemas.openxmlformats.org/officeDocument/2006/relationships/hyperlink" Target="https://www.google.com/search?newwindow=1&amp;ei=2MT0XrvGGM-vytMP1OyDgAY&amp;q=site%3Alinkedin.com+Loren+Perkins-Johnson+University+Recruiter+Microsoft" TargetMode="External"/><Relationship Id="rId3611" Type="http://schemas.openxmlformats.org/officeDocument/2006/relationships/hyperlink" Target="https://www.google.com/search?newwindow=1&amp;ei=2MT0XrvGGM-vytMP1OyDgAY&amp;q=site%3Alinkedin.com+Alison+Johnston+College+Intern+Recruiter+Google" TargetMode="External"/><Relationship Id="rId3614" Type="http://schemas.openxmlformats.org/officeDocument/2006/relationships/hyperlink" Target="https://www.google.com/search?newwindow=1&amp;ei=2MT0XrvGGM-vytMP1OyDgAY&amp;q=site%3Alinkedin.com+Briana+A.+Technical+University+Recruiter+Microsoft" TargetMode="External"/><Relationship Id="rId3613" Type="http://schemas.openxmlformats.org/officeDocument/2006/relationships/hyperlink" Target="https://www.google.com/search?newwindow=1&amp;ei=2MT0XrvGGM-vytMP1OyDgAY&amp;q=site%3Alinkedin.com+Amber+Howe-McCarty+Campus+Recruiter+Google" TargetMode="External"/><Relationship Id="rId3616" Type="http://schemas.openxmlformats.org/officeDocument/2006/relationships/hyperlink" Target="https://www.google.com/search?newwindow=1&amp;ei=2MT0XrvGGM-vytMP1OyDgAY&amp;q=site%3Alinkedin.com+Alex+Blomster-Horning+University+Recruiter+Microsoft" TargetMode="External"/><Relationship Id="rId3615" Type="http://schemas.openxmlformats.org/officeDocument/2006/relationships/hyperlink" Target="https://www.google.com/search?newwindow=1&amp;ei=2MT0XrvGGM-vytMP1OyDgAY&amp;q=site%3Alinkedin.com+Ashley+Leonard+University+Tech+Recruiter+Google" TargetMode="External"/><Relationship Id="rId3618" Type="http://schemas.openxmlformats.org/officeDocument/2006/relationships/hyperlink" Target="https://www.google.com/search?newwindow=1&amp;ei=2MT0XrvGGM-vytMP1OyDgAY&amp;q=site%3Alinkedin.com+Toni+Brown-Bell+University+Recruiter+Microsoft" TargetMode="External"/><Relationship Id="rId3617" Type="http://schemas.openxmlformats.org/officeDocument/2006/relationships/hyperlink" Target="https://www.google.com/search?newwindow=1&amp;ei=2MT0XrvGGM-vytMP1OyDgAY&amp;q=site%3Alinkedin.com+No%C3%ABl+Elgamal+University+Recruiter+Google" TargetMode="External"/><Relationship Id="rId3619" Type="http://schemas.openxmlformats.org/officeDocument/2006/relationships/hyperlink" Target="https://www.google.com/search?newwindow=1&amp;ei=2MT0XrvGGM-vytMP1OyDgAY&amp;q=site%3Alinkedin.com+Carol+Tsuchiya+College+Recruiter+-+Engineering/Product+Area+Liaison+Google" TargetMode="External"/><Relationship Id="rId3610" Type="http://schemas.openxmlformats.org/officeDocument/2006/relationships/hyperlink" Target="https://www.google.com/search?newwindow=1&amp;ei=2MT0XrvGGM-vytMP1OyDgAY&amp;q=site%3Alinkedin.com+Ellie+Hemenway+University+Recruiter+Microsoft" TargetMode="External"/><Relationship Id="rId3601" Type="http://schemas.openxmlformats.org/officeDocument/2006/relationships/hyperlink" Target="https://www.google.com/search?newwindow=1&amp;ei=2MT0XrvGGM-vytMP1OyDgAY&amp;q=site%3Alinkedin.com+Felicity+Blazevic+University+Recruiter,+North+America+Microsoft" TargetMode="External"/><Relationship Id="rId3600" Type="http://schemas.openxmlformats.org/officeDocument/2006/relationships/hyperlink" Target="https://www.google.com/search?newwindow=1&amp;ei=2MT0XrvGGM-vytMP1OyDgAY&amp;q=site%3Alinkedin.com+Jenn+R.+Talent+Acquisition+Manager+(College+recruiter)+Google" TargetMode="External"/><Relationship Id="rId3603" Type="http://schemas.openxmlformats.org/officeDocument/2006/relationships/hyperlink" Target="https://www.google.com/search?newwindow=1&amp;ei=2MT0XrvGGM-vytMP1OyDgAY&amp;q=site%3Alinkedin.com+Charity+Woods+University+Recruiter+Microsoft" TargetMode="External"/><Relationship Id="rId3602" Type="http://schemas.openxmlformats.org/officeDocument/2006/relationships/hyperlink" Target="https://www.google.com/search?newwindow=1&amp;ei=2MT0XrvGGM-vytMP1OyDgAY&amp;q=site%3Alinkedin.com+Brittany+Perry+College+Recruiter+Google" TargetMode="External"/><Relationship Id="rId3605" Type="http://schemas.openxmlformats.org/officeDocument/2006/relationships/hyperlink" Target="https://www.google.com/search?newwindow=1&amp;ei=2MT0XrvGGM-vytMP1OyDgAY&amp;q=site%3Alinkedin.com+Beckylin+Orooji+University+Recruiter+Microsoft" TargetMode="External"/><Relationship Id="rId3604" Type="http://schemas.openxmlformats.org/officeDocument/2006/relationships/hyperlink" Target="https://www.google.com/search?newwindow=1&amp;ei=2MT0XrvGGM-vytMP1OyDgAY&amp;q=site%3Alinkedin.com+Chantal+Penton+University+Technical+Recruiter+Google" TargetMode="External"/><Relationship Id="rId3607" Type="http://schemas.openxmlformats.org/officeDocument/2006/relationships/hyperlink" Target="https://www.google.com/search?newwindow=1&amp;ei=2MT0XrvGGM-vytMP1OyDgAY&amp;q=site%3Alinkedin.com+Gabe+Espinosa+Technical+University+Recruiter+&amp;+Project+Manager+-+NA+Google" TargetMode="External"/><Relationship Id="rId3606" Type="http://schemas.openxmlformats.org/officeDocument/2006/relationships/hyperlink" Target="https://www.google.com/search?newwindow=1&amp;ei=2MT0XrvGGM-vytMP1OyDgAY&amp;q=site%3Alinkedin.com+Alexis+Solis+University+Recruiter+(contractor+through+Aerotek)+Microsoft" TargetMode="External"/><Relationship Id="rId3609" Type="http://schemas.openxmlformats.org/officeDocument/2006/relationships/hyperlink" Target="https://www.google.com/search?newwindow=1&amp;ei=2MT0XrvGGM-vytMP1OyDgAY&amp;q=site%3Alinkedin.com+Lindsey+Stewart+Americas+Recruiting+Manager+(Campus+and+Entry-level)+Google" TargetMode="External"/><Relationship Id="rId3608" Type="http://schemas.openxmlformats.org/officeDocument/2006/relationships/hyperlink" Target="https://www.google.com/search?newwindow=1&amp;ei=2MT0XrvGGM-vytMP1OyDgAY&amp;q=site%3Alinkedin.com+Kristin+Straube+University+Technical+Recruiter+Microsoft" TargetMode="External"/><Relationship Id="rId1059" Type="http://schemas.openxmlformats.org/officeDocument/2006/relationships/hyperlink" Target="https://www.google.com/search?newwindow=1&amp;ei=2MT0XrvGGM-vytMP1OyDgAY&amp;q=site%3Alinkedin.com+Jenna+Posner+Director,+Technology+Campus+Recruiting" TargetMode="External"/><Relationship Id="rId228" Type="http://schemas.openxmlformats.org/officeDocument/2006/relationships/hyperlink" Target="https://www.google.com/search?newwindow=1&amp;ei=2MT0XrvGGM-vytMP1OyDgAY&amp;q=site%3Alinkedin.com+Jessica+Chen+Guide+and+Student+Representative+on+the+University+Recruitment+Committee+at+Columbia" TargetMode="External"/><Relationship Id="rId227" Type="http://schemas.openxmlformats.org/officeDocument/2006/relationships/hyperlink" Target="https://www.google.com/search?newwindow=1&amp;ei=2MT0XrvGGM-vytMP1OyDgAY&amp;q=site%3Alinkedin.com+Jonathan+Tee+Student+Recruiter" TargetMode="External"/><Relationship Id="rId226" Type="http://schemas.openxmlformats.org/officeDocument/2006/relationships/hyperlink" Target="https://www.google.com/search?newwindow=1&amp;ei=2MT0XrvGGM-vytMP1OyDgAY&amp;q=site%3Alinkedin.com+Shweta+Gaikar+University+Recruitment" TargetMode="External"/><Relationship Id="rId225" Type="http://schemas.openxmlformats.org/officeDocument/2006/relationships/hyperlink" Target="https://www.google.com/search?newwindow=1&amp;ei=2MT0XrvGGM-vytMP1OyDgAY&amp;q=site%3Alinkedin.com+Bojan+Pajic+MBA+Student+Consultant" TargetMode="External"/><Relationship Id="rId2380" Type="http://schemas.openxmlformats.org/officeDocument/2006/relationships/hyperlink" Target="https://www.google.com/search?newwindow=1&amp;ei=2MT0XrvGGM-vytMP1OyDgAY&amp;q=site%3Alinkedin.com+Dolorez+Dumas-Aris+Campus+Recruiting+Manager+Deloitte" TargetMode="External"/><Relationship Id="rId229" Type="http://schemas.openxmlformats.org/officeDocument/2006/relationships/hyperlink" Target="https://www.google.com/search?newwindow=1&amp;ei=2MT0XrvGGM-vytMP1OyDgAY&amp;q=site%3Alinkedin.com+Nadia+Paul+Student+Recruiter" TargetMode="External"/><Relationship Id="rId1050" Type="http://schemas.openxmlformats.org/officeDocument/2006/relationships/hyperlink" Target="https://www.google.com/search?newwindow=1&amp;ei=2MT0XrvGGM-vytMP1OyDgAY&amp;q=site%3Alinkedin.com+Heather+VanDerheyden+Campus+Recruiting+-+Assistant+Vice+President" TargetMode="External"/><Relationship Id="rId2381" Type="http://schemas.openxmlformats.org/officeDocument/2006/relationships/hyperlink" Target="https://www.google.com/search?newwindow=1&amp;ei=2MT0XrvGGM-vytMP1OyDgAY&amp;q=site%3Alinkedin.com+Gabby+Ellis+Campus+Recruiting+Manager+Amazon+Prime+Student" TargetMode="External"/><Relationship Id="rId220" Type="http://schemas.openxmlformats.org/officeDocument/2006/relationships/hyperlink" Target="https://www.google.com/search?newwindow=1&amp;ei=2MT0XrvGGM-vytMP1OyDgAY&amp;q=site%3Alinkedin.com+Jasleen+Subherwal+Campus+Recruiter,+Strategic+Functions" TargetMode="External"/><Relationship Id="rId1051" Type="http://schemas.openxmlformats.org/officeDocument/2006/relationships/hyperlink" Target="https://www.google.com/search?newwindow=1&amp;ei=2MT0XrvGGM-vytMP1OyDgAY&amp;q=site%3Alinkedin.com+Vicki+Tung+Global+Head+Campus+Recruiting" TargetMode="External"/><Relationship Id="rId2382" Type="http://schemas.openxmlformats.org/officeDocument/2006/relationships/hyperlink" Target="https://www.google.com/search?newwindow=1&amp;ei=2MT0XrvGGM-vytMP1OyDgAY&amp;q=site%3Alinkedin.com+Divya+Shenoy+Campus+Recruiting+Manager+Deloitte" TargetMode="External"/><Relationship Id="rId1052" Type="http://schemas.openxmlformats.org/officeDocument/2006/relationships/hyperlink" Target="https://www.google.com/search?newwindow=1&amp;ei=2MT0XrvGGM-vytMP1OyDgAY&amp;q=site%3Alinkedin.com+Gregory+Schwartz+Campus+Recruiting+Specialist" TargetMode="External"/><Relationship Id="rId2383" Type="http://schemas.openxmlformats.org/officeDocument/2006/relationships/hyperlink" Target="https://www.google.com/search?newwindow=1&amp;ei=2MT0XrvGGM-vytMP1OyDgAY&amp;q=site%3Alinkedin.com+Carrie+Perretta-Murphy+Sr.+Technical+Recruiter+and+Campus+Lead+Amazon+Robotics" TargetMode="External"/><Relationship Id="rId1053" Type="http://schemas.openxmlformats.org/officeDocument/2006/relationships/hyperlink" Target="https://www.google.com/search?newwindow=1&amp;ei=2MT0XrvGGM-vytMP1OyDgAY&amp;q=site%3Alinkedin.com+Charlotte+Fadden+Director,+Campus+Recruiting+Manager" TargetMode="External"/><Relationship Id="rId2384" Type="http://schemas.openxmlformats.org/officeDocument/2006/relationships/hyperlink" Target="https://www.google.com/search?newwindow=1&amp;ei=2MT0XrvGGM-vytMP1OyDgAY&amp;q=site%3Alinkedin.com+Kerri+Oliveira+Campus+Recruiter+Deloitte" TargetMode="External"/><Relationship Id="rId1054" Type="http://schemas.openxmlformats.org/officeDocument/2006/relationships/hyperlink" Target="https://www.google.com/search?newwindow=1&amp;ei=2MT0XrvGGM-vytMP1OyDgAY&amp;q=site%3Alinkedin.com+Camille+Gonzalez+Engineering+D&amp;I+Campus+Recruiting" TargetMode="External"/><Relationship Id="rId2385" Type="http://schemas.openxmlformats.org/officeDocument/2006/relationships/hyperlink" Target="https://www.google.com/search?newwindow=1&amp;ei=2MT0XrvGGM-vytMP1OyDgAY&amp;q=site%3Alinkedin.com+Betty+Quach+Program+Manager+Amazon+Web+Services" TargetMode="External"/><Relationship Id="rId224" Type="http://schemas.openxmlformats.org/officeDocument/2006/relationships/hyperlink" Target="https://www.google.com/search?newwindow=1&amp;ei=2MT0XrvGGM-vytMP1OyDgAY&amp;q=site%3Alinkedin.com+Ozench+Ibrahim+Lead+Executive+Partner,+Campus+Recruiting" TargetMode="External"/><Relationship Id="rId1055" Type="http://schemas.openxmlformats.org/officeDocument/2006/relationships/hyperlink" Target="https://www.google.com/search?newwindow=1&amp;ei=2MT0XrvGGM-vytMP1OyDgAY&amp;q=site%3Alinkedin.com+Aubrey+Baier+Senior+Associate,+Campus+Recruiting" TargetMode="External"/><Relationship Id="rId2386" Type="http://schemas.openxmlformats.org/officeDocument/2006/relationships/hyperlink" Target="https://www.google.com/search?newwindow=1&amp;ei=2MT0XrvGGM-vytMP1OyDgAY&amp;q=site%3Alinkedin.com+Jennifer+Cohen,+PHR+Campus+Recruiting+Manager+Deloitte" TargetMode="External"/><Relationship Id="rId223" Type="http://schemas.openxmlformats.org/officeDocument/2006/relationships/hyperlink" Target="https://www.google.com/search?newwindow=1&amp;ei=2MT0XrvGGM-vytMP1OyDgAY&amp;q=site%3Alinkedin.com+Dana+Taylor+Student+Recruiter" TargetMode="External"/><Relationship Id="rId1056" Type="http://schemas.openxmlformats.org/officeDocument/2006/relationships/hyperlink" Target="https://www.google.com/search?newwindow=1&amp;ei=2MT0XrvGGM-vytMP1OyDgAY&amp;q=site%3Alinkedin.com+Trevor+Bridgepaul+Engineering+Campus+Recruiting" TargetMode="External"/><Relationship Id="rId2387" Type="http://schemas.openxmlformats.org/officeDocument/2006/relationships/hyperlink" Target="https://www.google.com/search?newwindow=1&amp;ei=2MT0XrvGGM-vytMP1OyDgAY&amp;q=site%3Alinkedin.com+Anne-Marie+Corrales+US+Campus+Recruiter+American+Express" TargetMode="External"/><Relationship Id="rId222" Type="http://schemas.openxmlformats.org/officeDocument/2006/relationships/hyperlink" Target="https://www.google.com/search?newwindow=1&amp;ei=2MT0XrvGGM-vytMP1OyDgAY&amp;q=site%3Alinkedin.com+Susana+Baez+Associate+Student+Recruiter+&amp;+Advisor" TargetMode="External"/><Relationship Id="rId1057" Type="http://schemas.openxmlformats.org/officeDocument/2006/relationships/hyperlink" Target="https://www.google.com/search?newwindow=1&amp;ei=2MT0XrvGGM-vytMP1OyDgAY&amp;q=site%3Alinkedin.com+Jali+Henry+Graduate+Campus+Recruiting+Coordinator" TargetMode="External"/><Relationship Id="rId2388" Type="http://schemas.openxmlformats.org/officeDocument/2006/relationships/hyperlink" Target="https://www.google.com/search?newwindow=1&amp;ei=2MT0XrvGGM-vytMP1OyDgAY&amp;q=site%3Alinkedin.com+Kelli+Bakopanos+(Speidel)+Federal+Campus+Recruiting+Senior+Manager+Deloitte" TargetMode="External"/><Relationship Id="rId221" Type="http://schemas.openxmlformats.org/officeDocument/2006/relationships/hyperlink" Target="https://www.google.com/search?newwindow=1&amp;ei=2MT0XrvGGM-vytMP1OyDgAY&amp;q=site%3Alinkedin.com+Ana+Curcin+Student+Advisor/Recruiter" TargetMode="External"/><Relationship Id="rId1058" Type="http://schemas.openxmlformats.org/officeDocument/2006/relationships/hyperlink" Target="https://www.google.com/search?newwindow=1&amp;ei=2MT0XrvGGM-vytMP1OyDgAY&amp;q=site%3Alinkedin.com+Tiffany+Palacios+Hawkins+Campus+Recruiting+Manager,+Global+Functions" TargetMode="External"/><Relationship Id="rId2389" Type="http://schemas.openxmlformats.org/officeDocument/2006/relationships/hyperlink" Target="https://www.google.com/search?newwindow=1&amp;ei=2MT0XrvGGM-vytMP1OyDgAY&amp;q=site%3Alinkedin.com+Matthew+Bommarito+Campus+Recruiting+Manager+American+Express" TargetMode="External"/><Relationship Id="rId1048" Type="http://schemas.openxmlformats.org/officeDocument/2006/relationships/hyperlink" Target="https://www.google.com/search?newwindow=1&amp;ei=2MT0XrvGGM-vytMP1OyDgAY&amp;q=site%3Alinkedin.com+Katie+Fry+Campus+Recruiting+Associate" TargetMode="External"/><Relationship Id="rId2379" Type="http://schemas.openxmlformats.org/officeDocument/2006/relationships/hyperlink" Target="https://www.google.com/search?newwindow=1&amp;ei=2MT0XrvGGM-vytMP1OyDgAY&amp;q=site%3Alinkedin.com+Jessica+Mantel+University+Recruiter+Amazon" TargetMode="External"/><Relationship Id="rId1049" Type="http://schemas.openxmlformats.org/officeDocument/2006/relationships/hyperlink" Target="https://www.google.com/search?newwindow=1&amp;ei=2MT0XrvGGM-vytMP1OyDgAY&amp;q=site%3Alinkedin.com+Emilie+Schneider+Campus+Recruiting+-+National+Senior+Associate" TargetMode="External"/><Relationship Id="rId217" Type="http://schemas.openxmlformats.org/officeDocument/2006/relationships/hyperlink" Target="https://www.google.com/search?newwindow=1&amp;ei=2MT0XrvGGM-vytMP1OyDgAY&amp;q=site%3Alinkedin.com+Ana+Moaz+Campus+Recruiting+Manager+-+Commercial+&amp;+Canadian+Banking+(Secondment)" TargetMode="External"/><Relationship Id="rId216" Type="http://schemas.openxmlformats.org/officeDocument/2006/relationships/hyperlink" Target="https://www.google.com/search?newwindow=1&amp;ei=2MT0XrvGGM-vytMP1OyDgAY&amp;q=site%3Alinkedin.com+Jessica+Nguyen+Assistant+Student+Recruiter" TargetMode="External"/><Relationship Id="rId215" Type="http://schemas.openxmlformats.org/officeDocument/2006/relationships/hyperlink" Target="https://www.google.com/search?newwindow=1&amp;ei=2MT0XrvGGM-vytMP1OyDgAY&amp;q=site%3Alinkedin.com+Deo+Mancini+University+Relations+Recruiter" TargetMode="External"/><Relationship Id="rId214" Type="http://schemas.openxmlformats.org/officeDocument/2006/relationships/hyperlink" Target="https://www.google.com/search?newwindow=1&amp;ei=2MT0XrvGGM-vytMP1OyDgAY&amp;q=site%3Alinkedin.com+Andy+Chung+Fat+Recruitment+Intern+(University+Collaborations)" TargetMode="External"/><Relationship Id="rId219" Type="http://schemas.openxmlformats.org/officeDocument/2006/relationships/hyperlink" Target="https://www.google.com/search?newwindow=1&amp;ei=2MT0XrvGGM-vytMP1OyDgAY&amp;q=site%3Alinkedin.com+Vince+Watson+Student+Recruiter+-+Advisor" TargetMode="External"/><Relationship Id="rId218" Type="http://schemas.openxmlformats.org/officeDocument/2006/relationships/hyperlink" Target="https://www.google.com/search?newwindow=1&amp;ei=2MT0XrvGGM-vytMP1OyDgAY&amp;q=site%3Alinkedin.com+Arina+Levko+Sr.+Manager,+Canadian+University+Recruitment" TargetMode="External"/><Relationship Id="rId2370" Type="http://schemas.openxmlformats.org/officeDocument/2006/relationships/hyperlink" Target="https://www.google.com/search?newwindow=1&amp;ei=2MT0XrvGGM-vytMP1OyDgAY&amp;q=site%3Alinkedin.com+Danica+DeVito+Experienced+Hire+Recruiter+Deloitte" TargetMode="External"/><Relationship Id="rId1040" Type="http://schemas.openxmlformats.org/officeDocument/2006/relationships/hyperlink" Target="https://www.google.com/search?newwindow=1&amp;ei=2MT0XrvGGM-vytMP1OyDgAY&amp;q=site%3Alinkedin.com+Lauren+Cardia+Senior+Campus+Recruiting+Specialist" TargetMode="External"/><Relationship Id="rId2371" Type="http://schemas.openxmlformats.org/officeDocument/2006/relationships/hyperlink" Target="https://www.google.com/search?newwindow=1&amp;ei=2MT0XrvGGM-vytMP1OyDgAY&amp;q=site%3Alinkedin.com+Amy+Curtin+Human+Capital+Recruiting+Manager+Deloitte" TargetMode="External"/><Relationship Id="rId1041" Type="http://schemas.openxmlformats.org/officeDocument/2006/relationships/hyperlink" Target="https://www.google.com/search?newwindow=1&amp;ei=2MT0XrvGGM-vytMP1OyDgAY&amp;q=site%3Alinkedin.com+Yamiley+Joseph+Engineering+Campus+Recruiting" TargetMode="External"/><Relationship Id="rId2372" Type="http://schemas.openxmlformats.org/officeDocument/2006/relationships/hyperlink" Target="https://www.google.com/search?newwindow=1&amp;ei=2MT0XrvGGM-vytMP1OyDgAY&amp;q=site%3Alinkedin.com+ShanShan+Tan+University+Recruiter+Amazon" TargetMode="External"/><Relationship Id="rId1042" Type="http://schemas.openxmlformats.org/officeDocument/2006/relationships/hyperlink" Target="https://www.google.com/search?newwindow=1&amp;ei=2MT0XrvGGM-vytMP1OyDgAY&amp;q=site%3Alinkedin.com+Yesenia+Gomez+Vice+President,+Campus+Diversity+Recruiting+Manager" TargetMode="External"/><Relationship Id="rId2373" Type="http://schemas.openxmlformats.org/officeDocument/2006/relationships/hyperlink" Target="https://www.google.com/search?newwindow=1&amp;ei=2MT0XrvGGM-vytMP1OyDgAY&amp;q=site%3Alinkedin.com+Marie+Hoyt+Senior+Campus+Recruiter+Deloitte" TargetMode="External"/><Relationship Id="rId1043" Type="http://schemas.openxmlformats.org/officeDocument/2006/relationships/hyperlink" Target="https://www.google.com/search?newwindow=1&amp;ei=2MT0XrvGGM-vytMP1OyDgAY&amp;q=site%3Alinkedin.com+Chelsea+Herritt+Director,+Campus+Recruiting" TargetMode="External"/><Relationship Id="rId2374" Type="http://schemas.openxmlformats.org/officeDocument/2006/relationships/hyperlink" Target="https://www.google.com/search?newwindow=1&amp;ei=2MT0XrvGGM-vytMP1OyDgAY&amp;q=site%3Alinkedin.com+Jessica+Bates+University+Recruiter+Amazon" TargetMode="External"/><Relationship Id="rId213" Type="http://schemas.openxmlformats.org/officeDocument/2006/relationships/hyperlink" Target="https://www.google.com/search?newwindow=1&amp;ei=2MT0XrvGGM-vytMP1OyDgAY&amp;q=site%3Alinkedin.com+Scott+Lee+Associate+International+Student+Advisor/Recruiter" TargetMode="External"/><Relationship Id="rId1044" Type="http://schemas.openxmlformats.org/officeDocument/2006/relationships/hyperlink" Target="https://www.google.com/search?newwindow=1&amp;ei=2MT0XrvGGM-vytMP1OyDgAY&amp;q=site%3Alinkedin.com+Laura+Schmidt+Campus+Recruiting+Specialist" TargetMode="External"/><Relationship Id="rId2375" Type="http://schemas.openxmlformats.org/officeDocument/2006/relationships/hyperlink" Target="https://www.google.com/search?newwindow=1&amp;ei=2MT0XrvGGM-vytMP1OyDgAY&amp;q=site%3Alinkedin.com+Kelly+Swartzfager+Campus+Recruiter+Deloitte" TargetMode="External"/><Relationship Id="rId212" Type="http://schemas.openxmlformats.org/officeDocument/2006/relationships/hyperlink" Target="https://www.google.com/search?newwindow=1&amp;ei=2MT0XrvGGM-vytMP1OyDgAY&amp;q=site%3Alinkedin.com+Pavit+S.+Arora+Campus+Recruiting+Specialist" TargetMode="External"/><Relationship Id="rId1045" Type="http://schemas.openxmlformats.org/officeDocument/2006/relationships/hyperlink" Target="https://www.google.com/search?newwindow=1&amp;ei=2MT0XrvGGM-vytMP1OyDgAY&amp;q=site%3Alinkedin.com+Nicole+Griffith+Associate+Director,+Financial+Services+Campus+Recruiting" TargetMode="External"/><Relationship Id="rId2376" Type="http://schemas.openxmlformats.org/officeDocument/2006/relationships/hyperlink" Target="https://www.google.com/search?newwindow=1&amp;ei=2MT0XrvGGM-vytMP1OyDgAY&amp;q=site%3Alinkedin.com+Tony+Liu+Tech+Campus+Recruiter+Amazon" TargetMode="External"/><Relationship Id="rId211" Type="http://schemas.openxmlformats.org/officeDocument/2006/relationships/hyperlink" Target="https://www.google.com/search?newwindow=1&amp;ei=2MT0XrvGGM-vytMP1OyDgAY&amp;q=site%3Alinkedin.com+Daniel+Booth+(pronouns+-+he,+him)+National+Campus+Recruiting+Lead" TargetMode="External"/><Relationship Id="rId1046" Type="http://schemas.openxmlformats.org/officeDocument/2006/relationships/hyperlink" Target="https://www.google.com/search?newwindow=1&amp;ei=2MT0XrvGGM-vytMP1OyDgAY&amp;q=site%3Alinkedin.com+Jennifer+Lynch+Assistant+Vice+President,+Senior+Recruiter+Campus+Recruiting+-+Sales+&amp;+Trading" TargetMode="External"/><Relationship Id="rId2377" Type="http://schemas.openxmlformats.org/officeDocument/2006/relationships/hyperlink" Target="https://www.google.com/search?newwindow=1&amp;ei=2MT0XrvGGM-vytMP1OyDgAY&amp;q=site%3Alinkedin.com+Rebecca+Maddox+Senior+Campus+Recruiter+Deloitte" TargetMode="External"/><Relationship Id="rId210" Type="http://schemas.openxmlformats.org/officeDocument/2006/relationships/hyperlink" Target="https://www.google.com/search?newwindow=1&amp;ei=2MT0XrvGGM-vytMP1OyDgAY&amp;q=site%3Alinkedin.com+Sandra+Abdelmaseih+Associate+University+Relations+Recruiter" TargetMode="External"/><Relationship Id="rId1047" Type="http://schemas.openxmlformats.org/officeDocument/2006/relationships/hyperlink" Target="https://www.google.com/search?newwindow=1&amp;ei=2MT0XrvGGM-vytMP1OyDgAY&amp;q=site%3Alinkedin.com+Emily+R.+Mejia+Campus+Recruiting+and+Entry+Programs+Training,+Coordinator" TargetMode="External"/><Relationship Id="rId2378" Type="http://schemas.openxmlformats.org/officeDocument/2006/relationships/hyperlink" Target="https://www.google.com/search?newwindow=1&amp;ei=2MT0XrvGGM-vytMP1OyDgAY&amp;q=site%3Alinkedin.com+Amanda+Runnalls+Campus+Recruiter+Deloitte" TargetMode="External"/><Relationship Id="rId4107" Type="http://schemas.openxmlformats.org/officeDocument/2006/relationships/hyperlink" Target="https://www.google.com/search?newwindow=1&amp;ei=2MT0XrvGGM-vytMP1OyDgAY&amp;q=site%3Alinkedin.com+Lauren+Peters+Senior+University+Relations+Recruiter+TEKsystems" TargetMode="External"/><Relationship Id="rId4106" Type="http://schemas.openxmlformats.org/officeDocument/2006/relationships/hyperlink" Target="https://www.google.com/search?newwindow=1&amp;ei=2MT0XrvGGM-vytMP1OyDgAY&amp;q=site%3Alinkedin.com+Catrina+Chen+University+Recruiter+Microsoft" TargetMode="External"/><Relationship Id="rId4109" Type="http://schemas.openxmlformats.org/officeDocument/2006/relationships/hyperlink" Target="https://www.google.com/search?newwindow=1&amp;ei=2MT0XrvGGM-vytMP1OyDgAY&amp;q=site%3Alinkedin.com+Teron+Foster+University+Relations+Recruiter+TEKsystems" TargetMode="External"/><Relationship Id="rId4108" Type="http://schemas.openxmlformats.org/officeDocument/2006/relationships/hyperlink" Target="https://www.google.com/search?newwindow=1&amp;ei=2MT0XrvGGM-vytMP1OyDgAY&amp;q=site%3Alinkedin.com+Ellen+Thorley+University+Technical+Recruiter+Microsoft" TargetMode="External"/><Relationship Id="rId249" Type="http://schemas.openxmlformats.org/officeDocument/2006/relationships/hyperlink" Target="https://www.google.com/search?newwindow=1&amp;ei=2MT0XrvGGM-vytMP1OyDgAY&amp;q=site%3Alinkedin.com+Jared+Boland+Student+Life+Programs+Coordinator" TargetMode="External"/><Relationship Id="rId248" Type="http://schemas.openxmlformats.org/officeDocument/2006/relationships/hyperlink" Target="https://www.google.com/search?newwindow=1&amp;ei=2MT0XrvGGM-vytMP1OyDgAY&amp;q=site%3Alinkedin.com+Jackie+Young+National+Director+of+Student+Programs" TargetMode="External"/><Relationship Id="rId247" Type="http://schemas.openxmlformats.org/officeDocument/2006/relationships/hyperlink" Target="https://www.google.com/search?newwindow=1&amp;ei=2MT0XrvGGM-vytMP1OyDgAY&amp;q=site%3Alinkedin.com+Maryam+Jula+Zadeh,+RCIC+International+Student+Programs+Coordinator" TargetMode="External"/><Relationship Id="rId1070" Type="http://schemas.openxmlformats.org/officeDocument/2006/relationships/hyperlink" Target="https://www.google.com/search?newwindow=1&amp;ei=2MT0XrvGGM-vytMP1OyDgAY&amp;q=site%3Alinkedin.com+Jeremy+Carrine+Campus+Recruiting+Manager+%7C+East+Region" TargetMode="External"/><Relationship Id="rId1071" Type="http://schemas.openxmlformats.org/officeDocument/2006/relationships/hyperlink" Target="https://www.google.com/search?newwindow=1&amp;ei=2MT0XrvGGM-vytMP1OyDgAY&amp;q=site%3Alinkedin.com+Lauren+Harris+Assistant+Director,+US-East+Campus+Recruiting" TargetMode="External"/><Relationship Id="rId1072" Type="http://schemas.openxmlformats.org/officeDocument/2006/relationships/hyperlink" Target="https://www.google.com/search?newwindow=1&amp;ei=2MT0XrvGGM-vytMP1OyDgAY&amp;q=site%3Alinkedin.com+Madison+Gallagher+Director+of+Technology+Campus+Recruiting" TargetMode="External"/><Relationship Id="rId242" Type="http://schemas.openxmlformats.org/officeDocument/2006/relationships/hyperlink" Target="https://www.google.com/search?newwindow=1&amp;ei=2MT0XrvGGM-vytMP1OyDgAY&amp;q=site%3Alinkedin.com+kaur+Gurpreet+Student+Recruiter+and+Bookkeeper" TargetMode="External"/><Relationship Id="rId1073" Type="http://schemas.openxmlformats.org/officeDocument/2006/relationships/hyperlink" Target="https://www.google.com/search?newwindow=1&amp;ei=2MT0XrvGGM-vytMP1OyDgAY&amp;q=site%3Alinkedin.com+Natasha+Bhalla+Manager,+Technology+Campus+Recruiting" TargetMode="External"/><Relationship Id="rId241" Type="http://schemas.openxmlformats.org/officeDocument/2006/relationships/hyperlink" Target="https://www.google.com/search?newwindow=1&amp;ei=2MT0XrvGGM-vytMP1OyDgAY&amp;q=site%3Alinkedin.com+Cleo+Wah+Graduate+Development+and+Campus+Recruiter,+HR" TargetMode="External"/><Relationship Id="rId1074" Type="http://schemas.openxmlformats.org/officeDocument/2006/relationships/hyperlink" Target="https://www.google.com/search?newwindow=1&amp;ei=2MT0XrvGGM-vytMP1OyDgAY&amp;q=site%3Alinkedin.com+Rita+DiLeo+Tomann,+MBA+National+Campus+Recruiting+Lead" TargetMode="External"/><Relationship Id="rId240" Type="http://schemas.openxmlformats.org/officeDocument/2006/relationships/hyperlink" Target="https://www.google.com/search?newwindow=1&amp;ei=2MT0XrvGGM-vytMP1OyDgAY&amp;q=site%3Alinkedin.com+Melinda+Drews+Student+Recruiter" TargetMode="External"/><Relationship Id="rId1075" Type="http://schemas.openxmlformats.org/officeDocument/2006/relationships/hyperlink" Target="https://www.google.com/search?newwindow=1&amp;ei=2MT0XrvGGM-vytMP1OyDgAY&amp;q=site%3Alinkedin.com+Jacqueline+DeFrancesco+Campus+Recruiting+Specailist" TargetMode="External"/><Relationship Id="rId4101" Type="http://schemas.openxmlformats.org/officeDocument/2006/relationships/hyperlink" Target="https://www.google.com/search?newwindow=1&amp;ei=2MT0XrvGGM-vytMP1OyDgAY&amp;q=site%3Alinkedin.com+Madhuri+Gadkari+Campus+Recruiter+Tata+Consultancy+Services" TargetMode="External"/><Relationship Id="rId1076" Type="http://schemas.openxmlformats.org/officeDocument/2006/relationships/hyperlink" Target="https://www.google.com/search?newwindow=1&amp;ei=2MT0XrvGGM-vytMP1OyDgAY&amp;q=site%3Alinkedin.com+Tim+Caggiano+Campus+Recruiting+Specialist" TargetMode="External"/><Relationship Id="rId4100" Type="http://schemas.openxmlformats.org/officeDocument/2006/relationships/hyperlink" Target="https://www.google.com/search?newwindow=1&amp;ei=2MT0XrvGGM-vytMP1OyDgAY&amp;q=site%3Alinkedin.com+Caitlin+Gonzales+University+Recruiter+Microsoft" TargetMode="External"/><Relationship Id="rId246" Type="http://schemas.openxmlformats.org/officeDocument/2006/relationships/hyperlink" Target="https://www.google.com/search?newwindow=1&amp;ei=2MT0XrvGGM-vytMP1OyDgAY&amp;q=site%3Alinkedin.com+You+Jia+Lee+Coordinator,+International+Programs+(International+Student+Experience)" TargetMode="External"/><Relationship Id="rId1077" Type="http://schemas.openxmlformats.org/officeDocument/2006/relationships/hyperlink" Target="https://www.google.com/search?newwindow=1&amp;ei=2MT0XrvGGM-vytMP1OyDgAY&amp;q=site%3Alinkedin.com+Courtney+Schroeder+Associate+Recruiter+-+Campus+Recruiting" TargetMode="External"/><Relationship Id="rId4103" Type="http://schemas.openxmlformats.org/officeDocument/2006/relationships/hyperlink" Target="https://www.google.com/search?newwindow=1&amp;ei=2MT0XrvGGM-vytMP1OyDgAY&amp;q=site%3Alinkedin.com+Tyler+George+Mathurin+Campus+Recruiter+Tata+Consultancy+Services" TargetMode="External"/><Relationship Id="rId245" Type="http://schemas.openxmlformats.org/officeDocument/2006/relationships/hyperlink" Target="https://www.google.com/search?newwindow=1&amp;ei=2MT0XrvGGM-vytMP1OyDgAY&amp;q=site%3Alinkedin.com+Beverly+Schrekinger+HR+Programs+Student" TargetMode="External"/><Relationship Id="rId1078" Type="http://schemas.openxmlformats.org/officeDocument/2006/relationships/hyperlink" Target="https://www.google.com/search?newwindow=1&amp;ei=2MT0XrvGGM-vytMP1OyDgAY&amp;q=site%3Alinkedin.com+James+(Seldric)+Blocker+Executive+Director;+Asset+&amp;+Wealth+Management+Campus+Recruiting" TargetMode="External"/><Relationship Id="rId4102" Type="http://schemas.openxmlformats.org/officeDocument/2006/relationships/hyperlink" Target="https://www.google.com/search?newwindow=1&amp;ei=2MT0XrvGGM-vytMP1OyDgAY&amp;q=site%3Alinkedin.com+Kamara+Swaby+University+Recruiter+Microsoft" TargetMode="External"/><Relationship Id="rId244" Type="http://schemas.openxmlformats.org/officeDocument/2006/relationships/hyperlink" Target="https://www.google.com/search?newwindow=1&amp;ei=2MT0XrvGGM-vytMP1OyDgAY&amp;q=site%3Alinkedin.com+Jonathon+Chio+Recruitment+Assistant" TargetMode="External"/><Relationship Id="rId1079" Type="http://schemas.openxmlformats.org/officeDocument/2006/relationships/hyperlink" Target="https://www.google.com/search?newwindow=1&amp;ei=2MT0XrvGGM-vytMP1OyDgAY&amp;q=site%3Alinkedin.com+Courtney+Payne+Campus+Recruiting+Senior+Analyst" TargetMode="External"/><Relationship Id="rId4105" Type="http://schemas.openxmlformats.org/officeDocument/2006/relationships/hyperlink" Target="https://www.google.com/search?newwindow=1&amp;ei=2MT0XrvGGM-vytMP1OyDgAY&amp;q=site%3Alinkedin.com+Joe+Leos,+Jr.,+PHR,+SHRM+CP+Campus+Recruiter+Tata+Consultancy+Services" TargetMode="External"/><Relationship Id="rId243" Type="http://schemas.openxmlformats.org/officeDocument/2006/relationships/hyperlink" Target="https://www.google.com/search?newwindow=1&amp;ei=2MT0XrvGGM-vytMP1OyDgAY&amp;q=site%3Alinkedin.com+Udy+Olaolu-Oyeyemi+Student+Services+Advisor" TargetMode="External"/><Relationship Id="rId4104" Type="http://schemas.openxmlformats.org/officeDocument/2006/relationships/hyperlink" Target="https://www.google.com/search?newwindow=1&amp;ei=2MT0XrvGGM-vytMP1OyDgAY&amp;q=site%3Alinkedin.com+Sarah+Gordon+Talent+Sourcer+-+Pivotal+Recruiting+Microsoft" TargetMode="External"/><Relationship Id="rId239" Type="http://schemas.openxmlformats.org/officeDocument/2006/relationships/hyperlink" Target="https://www.google.com/search?newwindow=1&amp;ei=2MT0XrvGGM-vytMP1OyDgAY&amp;q=site%3Alinkedin.com+Hak-Ki+Noh+International+Student+Recruiter" TargetMode="External"/><Relationship Id="rId238" Type="http://schemas.openxmlformats.org/officeDocument/2006/relationships/hyperlink" Target="https://www.google.com/search?newwindow=1&amp;ei=2MT0XrvGGM-vytMP1OyDgAY&amp;q=site%3Alinkedin.com+Sashah+R.+Student+Recruiter-Advisor" TargetMode="External"/><Relationship Id="rId237" Type="http://schemas.openxmlformats.org/officeDocument/2006/relationships/hyperlink" Target="https://www.google.com/search?newwindow=1&amp;ei=2MT0XrvGGM-vytMP1OyDgAY&amp;q=site%3Alinkedin.com+Toronto+Forensic+Institute+College+Recruiter" TargetMode="External"/><Relationship Id="rId236" Type="http://schemas.openxmlformats.org/officeDocument/2006/relationships/hyperlink" Target="https://www.google.com/search?newwindow=1&amp;ei=2MT0XrvGGM-vytMP1OyDgAY&amp;q=site%3Alinkedin.com+Boyao+(Roy)+Jiang+Student" TargetMode="External"/><Relationship Id="rId2390" Type="http://schemas.openxmlformats.org/officeDocument/2006/relationships/hyperlink" Target="https://www.google.com/search?newwindow=1&amp;ei=2MT0XrvGGM-vytMP1OyDgAY&amp;q=site%3Alinkedin.com+Anadelia+Garcia+Campus+Recruiting+Manager+-+Central+Region+Deloitte" TargetMode="External"/><Relationship Id="rId1060" Type="http://schemas.openxmlformats.org/officeDocument/2006/relationships/hyperlink" Target="https://www.google.com/search?newwindow=1&amp;ei=2MT0XrvGGM-vytMP1OyDgAY&amp;q=site%3Alinkedin.com+Juliane+Looney+Campus+Recruiting+Coordinator" TargetMode="External"/><Relationship Id="rId2391" Type="http://schemas.openxmlformats.org/officeDocument/2006/relationships/hyperlink" Target="https://www.google.com/search?newwindow=1&amp;ei=2MT0XrvGGM-vytMP1OyDgAY&amp;q=site%3Alinkedin.com+Mary+Curtis+U.S.+Campus+Recruiter+American+Express" TargetMode="External"/><Relationship Id="rId1061" Type="http://schemas.openxmlformats.org/officeDocument/2006/relationships/hyperlink" Target="https://www.google.com/search?newwindow=1&amp;ei=2MT0XrvGGM-vytMP1OyDgAY&amp;q=site%3Alinkedin.com+Cassandra+Z.+Campus+Recruiting+Senior+Coordinator" TargetMode="External"/><Relationship Id="rId2392" Type="http://schemas.openxmlformats.org/officeDocument/2006/relationships/hyperlink" Target="https://www.google.com/search?newwindow=1&amp;ei=2MT0XrvGGM-vytMP1OyDgAY&amp;q=site%3Alinkedin.com+Elizabeth+Potter+Senior+University+Recruiter+Deloitte" TargetMode="External"/><Relationship Id="rId231" Type="http://schemas.openxmlformats.org/officeDocument/2006/relationships/hyperlink" Target="https://www.google.com/search?newwindow=1&amp;ei=2MT0XrvGGM-vytMP1OyDgAY&amp;q=site%3Alinkedin.com+Henry+Pham+Recruiter" TargetMode="External"/><Relationship Id="rId1062" Type="http://schemas.openxmlformats.org/officeDocument/2006/relationships/hyperlink" Target="https://www.google.com/search?newwindow=1&amp;ei=2MT0XrvGGM-vytMP1OyDgAY&amp;q=site%3Alinkedin.com+Shany+Feliz+Campus+Recruiting+Coordinator" TargetMode="External"/><Relationship Id="rId2393" Type="http://schemas.openxmlformats.org/officeDocument/2006/relationships/hyperlink" Target="https://www.google.com/search?newwindow=1&amp;ei=2MT0XrvGGM-vytMP1OyDgAY&amp;q=site%3Alinkedin.com+Caroline+Croy+Campus+Recruiter+American+Express" TargetMode="External"/><Relationship Id="rId230" Type="http://schemas.openxmlformats.org/officeDocument/2006/relationships/hyperlink" Target="https://www.google.com/search?newwindow=1&amp;ei=2MT0XrvGGM-vytMP1OyDgAY&amp;q=site%3Alinkedin.com+Stacy+P.+Student+Recruiter+-+Advisor" TargetMode="External"/><Relationship Id="rId1063" Type="http://schemas.openxmlformats.org/officeDocument/2006/relationships/hyperlink" Target="https://www.google.com/search?newwindow=1&amp;ei=2MT0XrvGGM-vytMP1OyDgAY&amp;q=site%3Alinkedin.com+Brianna+Whitney+Campus+Recruiting+Coordinator" TargetMode="External"/><Relationship Id="rId2394" Type="http://schemas.openxmlformats.org/officeDocument/2006/relationships/hyperlink" Target="https://www.google.com/search?newwindow=1&amp;ei=2MT0XrvGGM-vytMP1OyDgAY&amp;q=site%3Alinkedin.com+Jeremy+Carrine+Campus+Recruiting+Manager+%7C+East+Region+Deloitte" TargetMode="External"/><Relationship Id="rId1064" Type="http://schemas.openxmlformats.org/officeDocument/2006/relationships/hyperlink" Target="https://www.google.com/search?newwindow=1&amp;ei=2MT0XrvGGM-vytMP1OyDgAY&amp;q=site%3Alinkedin.com+Erin+Leonard+Manager,+Investment+Banking+MBA+Campus+Recruiting" TargetMode="External"/><Relationship Id="rId2395" Type="http://schemas.openxmlformats.org/officeDocument/2006/relationships/hyperlink" Target="https://www.google.com/search?newwindow=1&amp;ei=2MT0XrvGGM-vytMP1OyDgAY&amp;q=site%3Alinkedin.com+Katie+Long,+SHRM-CP,+PHR+Campus+Recruiting+Manager+Deloitte" TargetMode="External"/><Relationship Id="rId1065" Type="http://schemas.openxmlformats.org/officeDocument/2006/relationships/hyperlink" Target="https://www.google.com/search?newwindow=1&amp;ei=2MT0XrvGGM-vytMP1OyDgAY&amp;q=site%3Alinkedin.com+Nicole+Fritz+Director,+Talent+Acquisition+Marketing" TargetMode="External"/><Relationship Id="rId2396" Type="http://schemas.openxmlformats.org/officeDocument/2006/relationships/hyperlink" Target="https://www.google.com/search?newwindow=1&amp;ei=2MT0XrvGGM-vytMP1OyDgAY&amp;q=site%3Alinkedin.com+Naomi+Hillsman+Campus+Recruiter+American+Express" TargetMode="External"/><Relationship Id="rId235" Type="http://schemas.openxmlformats.org/officeDocument/2006/relationships/hyperlink" Target="https://www.google.com/search?newwindow=1&amp;ei=2MT0XrvGGM-vytMP1OyDgAY&amp;q=site%3Alinkedin.com+Milica+N.+Student+Advisory+Services+-+Student+Recruiter" TargetMode="External"/><Relationship Id="rId1066" Type="http://schemas.openxmlformats.org/officeDocument/2006/relationships/hyperlink" Target="https://www.google.com/search?newwindow=1&amp;ei=2MT0XrvGGM-vytMP1OyDgAY&amp;q=site%3Alinkedin.com+Sarah+Abt+Campus+Recruiting+Manager" TargetMode="External"/><Relationship Id="rId2397" Type="http://schemas.openxmlformats.org/officeDocument/2006/relationships/hyperlink" Target="https://www.google.com/search?newwindow=1&amp;ei=2MT0XrvGGM-vytMP1OyDgAY&amp;q=site%3Alinkedin.com+Ashley+Hyde,+MS,+SPHR+Manager,+Performance+Management+Deloitte" TargetMode="External"/><Relationship Id="rId234" Type="http://schemas.openxmlformats.org/officeDocument/2006/relationships/hyperlink" Target="https://www.google.com/search?newwindow=1&amp;ei=2MT0XrvGGM-vytMP1OyDgAY&amp;q=site%3Alinkedin.com+Jessie+I.+Administrative+and+Recruitment+Assistant+-+Trent+University+(School+of+Graduate+Studies)" TargetMode="External"/><Relationship Id="rId1067" Type="http://schemas.openxmlformats.org/officeDocument/2006/relationships/hyperlink" Target="https://www.google.com/search?newwindow=1&amp;ei=2MT0XrvGGM-vytMP1OyDgAY&amp;q=site%3Alinkedin.com+Mary+Curtis+U.S.+Campus+Recruiter" TargetMode="External"/><Relationship Id="rId2398" Type="http://schemas.openxmlformats.org/officeDocument/2006/relationships/hyperlink" Target="https://www.google.com/search?newwindow=1&amp;ei=2MT0XrvGGM-vytMP1OyDgAY&amp;q=site%3Alinkedin.com+Gina+Willett+University+Relations+Recruiter+Apple" TargetMode="External"/><Relationship Id="rId233" Type="http://schemas.openxmlformats.org/officeDocument/2006/relationships/hyperlink" Target="https://www.google.com/search?newwindow=1&amp;ei=2MT0XrvGGM-vytMP1OyDgAY&amp;q=site%3Alinkedin.com+Karina+Holmgren+National+Recruitment+Coordinator" TargetMode="External"/><Relationship Id="rId1068" Type="http://schemas.openxmlformats.org/officeDocument/2006/relationships/hyperlink" Target="https://www.google.com/search?newwindow=1&amp;ei=2MT0XrvGGM-vytMP1OyDgAY&amp;q=site%3Alinkedin.com+Katie+Long,+SHRM-CP,+PHR+Campus+Recruiting+Manager" TargetMode="External"/><Relationship Id="rId2399" Type="http://schemas.openxmlformats.org/officeDocument/2006/relationships/hyperlink" Target="https://www.google.com/search?newwindow=1&amp;ei=2MT0XrvGGM-vytMP1OyDgAY&amp;q=site%3Alinkedin.com+Callie+McCarthy+Campus+Recruiter+Deloitte" TargetMode="External"/><Relationship Id="rId232" Type="http://schemas.openxmlformats.org/officeDocument/2006/relationships/hyperlink" Target="https://www.google.com/search?newwindow=1&amp;ei=2MT0XrvGGM-vytMP1OyDgAY&amp;q=site%3Alinkedin.com+Rashi+Shah+Volunteer+-+University+Representative" TargetMode="External"/><Relationship Id="rId1069" Type="http://schemas.openxmlformats.org/officeDocument/2006/relationships/hyperlink" Target="https://www.google.com/search?newwindow=1&amp;ei=2MT0XrvGGM-vytMP1OyDgAY&amp;q=site%3Alinkedin.com+Madison+Philips+Campus+Recruiting+Coordinator" TargetMode="External"/><Relationship Id="rId1015" Type="http://schemas.openxmlformats.org/officeDocument/2006/relationships/hyperlink" Target="https://www.google.com/search?newwindow=1&amp;ei=2MT0XrvGGM-vytMP1OyDgAY&amp;q=site%3Alinkedin.com+Katie+Lauren+Jones+Recruiter" TargetMode="External"/><Relationship Id="rId2346" Type="http://schemas.openxmlformats.org/officeDocument/2006/relationships/hyperlink" Target="https://www.google.com/search?newwindow=1&amp;ei=2MT0XrvGGM-vytMP1OyDgAY&amp;q=site%3Alinkedin.com+Zack+Summers+University+Recruiter+Amazon" TargetMode="External"/><Relationship Id="rId3678" Type="http://schemas.openxmlformats.org/officeDocument/2006/relationships/hyperlink" Target="https://www.google.com/search?newwindow=1&amp;ei=2MT0XrvGGM-vytMP1OyDgAY&amp;q=site%3Alinkedin.com+Katie+Robinson-Duff+Manager,+Campus+Recruiting+Morgan+Stanley" TargetMode="External"/><Relationship Id="rId1016" Type="http://schemas.openxmlformats.org/officeDocument/2006/relationships/hyperlink" Target="https://www.google.com/search?newwindow=1&amp;ei=2MT0XrvGGM-vytMP1OyDgAY&amp;q=site%3Alinkedin.com+Pat+Murphy+Director+of+Programs+&amp;+Services" TargetMode="External"/><Relationship Id="rId2347" Type="http://schemas.openxmlformats.org/officeDocument/2006/relationships/hyperlink" Target="https://www.google.com/search?newwindow=1&amp;ei=2MT0XrvGGM-vytMP1OyDgAY&amp;q=site%3Alinkedin.com+Haley+Kuyk+Campus+Recruiter+Deloitte" TargetMode="External"/><Relationship Id="rId3677" Type="http://schemas.openxmlformats.org/officeDocument/2006/relationships/hyperlink" Target="https://www.google.com/search?newwindow=1&amp;ei=2MT0XrvGGM-vytMP1OyDgAY&amp;q=site%3Alinkedin.com+Leslie+Ott+University+Recruiting+Program+Manager+-+Diversity+Lead+(MBA+&amp;+University)+IBM" TargetMode="External"/><Relationship Id="rId1017" Type="http://schemas.openxmlformats.org/officeDocument/2006/relationships/hyperlink" Target="https://www.google.com/search?newwindow=1&amp;ei=2MT0XrvGGM-vytMP1OyDgAY&amp;q=site%3Alinkedin.com+Millie+Norton-Knight+Australia+Country+Campus+Recruiter" TargetMode="External"/><Relationship Id="rId2348" Type="http://schemas.openxmlformats.org/officeDocument/2006/relationships/hyperlink" Target="https://www.google.com/search?newwindow=1&amp;ei=2MT0XrvGGM-vytMP1OyDgAY&amp;q=site%3Alinkedin.com+J.J.+Wilford+University+Operations+Recruiter+Amazon" TargetMode="External"/><Relationship Id="rId1018" Type="http://schemas.openxmlformats.org/officeDocument/2006/relationships/hyperlink" Target="https://www.google.com/search?newwindow=1&amp;ei=2MT0XrvGGM-vytMP1OyDgAY&amp;q=site%3Alinkedin.com+Karen+Jessen+Coordinator+Student+Exchange+Programs" TargetMode="External"/><Relationship Id="rId2349" Type="http://schemas.openxmlformats.org/officeDocument/2006/relationships/hyperlink" Target="https://www.google.com/search?newwindow=1&amp;ei=2MT0XrvGGM-vytMP1OyDgAY&amp;q=site%3Alinkedin.com+Kori+Kelly+Campus+Recruiting+Manager+Deloitte" TargetMode="External"/><Relationship Id="rId3679" Type="http://schemas.openxmlformats.org/officeDocument/2006/relationships/hyperlink" Target="https://www.google.com/search?newwindow=1&amp;ei=2MT0XrvGGM-vytMP1OyDgAY&amp;q=site%3Alinkedin.com+Amy+Bergman+University+Recruiter+Coordinator+Indeed.com" TargetMode="External"/><Relationship Id="rId1019" Type="http://schemas.openxmlformats.org/officeDocument/2006/relationships/hyperlink" Target="https://www.google.com/search?newwindow=1&amp;ei=2MT0XrvGGM-vytMP1OyDgAY&amp;q=site%3Alinkedin.com+Elaine.+McBride+Manager+International+Student+Programs+-+TAFE+NSW+Riverina+Institute" TargetMode="External"/><Relationship Id="rId3670" Type="http://schemas.openxmlformats.org/officeDocument/2006/relationships/hyperlink" Target="https://www.google.com/search?newwindow=1&amp;ei=2MT0XrvGGM-vytMP1OyDgAY&amp;q=site%3Alinkedin.com+Marissa+Mellan+Manager,+Quantitative+Finance+Campus+Recruiting+at+Morgan+Stanley+Morgan+Stanley" TargetMode="External"/><Relationship Id="rId2340" Type="http://schemas.openxmlformats.org/officeDocument/2006/relationships/hyperlink" Target="https://www.google.com/search?newwindow=1&amp;ei=2MT0XrvGGM-vytMP1OyDgAY&amp;q=site%3Alinkedin.com+Ariel+Bailey+Campus+Recruiter+Deloitte" TargetMode="External"/><Relationship Id="rId3672" Type="http://schemas.openxmlformats.org/officeDocument/2006/relationships/hyperlink" Target="https://www.google.com/search?newwindow=1&amp;ei=2MT0XrvGGM-vytMP1OyDgAY&amp;q=site%3Alinkedin.com+Kathryn+R.+Manager,+Campus+Recruiting+Morgan+Stanley" TargetMode="External"/><Relationship Id="rId1010" Type="http://schemas.openxmlformats.org/officeDocument/2006/relationships/hyperlink" Target="https://www.google.com/search?newwindow=1&amp;ei=2MT0XrvGGM-vytMP1OyDgAY&amp;q=site%3Alinkedin.com+Emily+Dorsey+Perno+Assistant+Director,+Campus+Recruiting+-+Tax" TargetMode="External"/><Relationship Id="rId2341" Type="http://schemas.openxmlformats.org/officeDocument/2006/relationships/hyperlink" Target="https://www.google.com/search?newwindow=1&amp;ei=2MT0XrvGGM-vytMP1OyDgAY&amp;q=site%3Alinkedin.com+Jessie+Flores+University+Recruiter/Sourcer+l+and+ll+Amazon" TargetMode="External"/><Relationship Id="rId3671" Type="http://schemas.openxmlformats.org/officeDocument/2006/relationships/hyperlink" Target="https://www.google.com/search?newwindow=1&amp;ei=2MT0XrvGGM-vytMP1OyDgAY&amp;q=site%3Alinkedin.com+Jessica+Rivera+University+Recruiter+Hulu" TargetMode="External"/><Relationship Id="rId1011" Type="http://schemas.openxmlformats.org/officeDocument/2006/relationships/hyperlink" Target="https://www.google.com/search?newwindow=1&amp;ei=2MT0XrvGGM-vytMP1OyDgAY&amp;q=site%3Alinkedin.com+Emily+Campana+Director,+Global+Campus+Recruiting" TargetMode="External"/><Relationship Id="rId2342" Type="http://schemas.openxmlformats.org/officeDocument/2006/relationships/hyperlink" Target="https://www.google.com/search?newwindow=1&amp;ei=2MT0XrvGGM-vytMP1OyDgAY&amp;q=site%3Alinkedin.com+Lisa+Twomey,+PHR+Manager,+Consulting+Campus+Recruiting+Deloitte" TargetMode="External"/><Relationship Id="rId3674" Type="http://schemas.openxmlformats.org/officeDocument/2006/relationships/hyperlink" Target="https://www.google.com/search?newwindow=1&amp;ei=2MT0XrvGGM-vytMP1OyDgAY&amp;q=site%3Alinkedin.com+Alison+Speedling+Manager,+Campus+Recruiting+Morgan+Stanley" TargetMode="External"/><Relationship Id="rId1012" Type="http://schemas.openxmlformats.org/officeDocument/2006/relationships/hyperlink" Target="https://www.google.com/search?newwindow=1&amp;ei=2MT0XrvGGM-vytMP1OyDgAY&amp;q=site%3Alinkedin.com+Leah+Stewart+Head+of+Campus+Recruiting" TargetMode="External"/><Relationship Id="rId2343" Type="http://schemas.openxmlformats.org/officeDocument/2006/relationships/hyperlink" Target="https://www.google.com/search?newwindow=1&amp;ei=2MT0XrvGGM-vytMP1OyDgAY&amp;q=site%3Alinkedin.com+Milan+Sands+Campus+Recruiter+Deloitte" TargetMode="External"/><Relationship Id="rId3673" Type="http://schemas.openxmlformats.org/officeDocument/2006/relationships/hyperlink" Target="https://www.google.com/search?newwindow=1&amp;ei=2MT0XrvGGM-vytMP1OyDgAY&amp;q=site%3Alinkedin.com+Jennifer+Weiser+University+Recruiter+Hulu" TargetMode="External"/><Relationship Id="rId1013" Type="http://schemas.openxmlformats.org/officeDocument/2006/relationships/hyperlink" Target="https://www.google.com/search?newwindow=1&amp;ei=2MT0XrvGGM-vytMP1OyDgAY&amp;q=site%3Alinkedin.com+Brianna+Galloway+On-Campus+Recruiter" TargetMode="External"/><Relationship Id="rId2344" Type="http://schemas.openxmlformats.org/officeDocument/2006/relationships/hyperlink" Target="https://www.google.com/search?newwindow=1&amp;ei=2MT0XrvGGM-vytMP1OyDgAY&amp;q=site%3Alinkedin.com+Jewel+Rose+University+Recruiter+Amazon" TargetMode="External"/><Relationship Id="rId3676" Type="http://schemas.openxmlformats.org/officeDocument/2006/relationships/hyperlink" Target="https://www.google.com/search?newwindow=1&amp;ei=2MT0XrvGGM-vytMP1OyDgAY&amp;q=site%3Alinkedin.com+Christina+Belmonte+Manager,+Fixed+Income+Analyst+Campus+Recruiting+Morgan+Stanley" TargetMode="External"/><Relationship Id="rId1014" Type="http://schemas.openxmlformats.org/officeDocument/2006/relationships/hyperlink" Target="https://www.google.com/search?newwindow=1&amp;ei=2MT0XrvGGM-vytMP1OyDgAY&amp;q=site%3Alinkedin.com+Taylor+Caswell+Graduate+Level+Recruiter/+Admissions+Advisor+(Master+of+Arts+in+Counselling+Psychology)" TargetMode="External"/><Relationship Id="rId2345" Type="http://schemas.openxmlformats.org/officeDocument/2006/relationships/hyperlink" Target="https://www.google.com/search?newwindow=1&amp;ei=2MT0XrvGGM-vytMP1OyDgAY&amp;q=site%3Alinkedin.com+Andrea+Gonso+Campus+Recruiter+Deloitte" TargetMode="External"/><Relationship Id="rId3675" Type="http://schemas.openxmlformats.org/officeDocument/2006/relationships/hyperlink" Target="https://www.google.com/search?newwindow=1&amp;ei=2MT0XrvGGM-vytMP1OyDgAY&amp;q=site%3Alinkedin.com+Ashley+Fritts+North+America+Early+Professional+Talent+Acquisition+Manager+-+Systems+IBM" TargetMode="External"/><Relationship Id="rId1004" Type="http://schemas.openxmlformats.org/officeDocument/2006/relationships/hyperlink" Target="https://www.google.com/search?newwindow=1&amp;ei=2MT0XrvGGM-vytMP1OyDgAY&amp;q=site%3Alinkedin.com+Demetrio+Ornelas+Campus+Recruiting+Coordinator+at+Deloitte" TargetMode="External"/><Relationship Id="rId2335" Type="http://schemas.openxmlformats.org/officeDocument/2006/relationships/hyperlink" Target="https://www.google.com/search?newwindow=1&amp;ei=2MT0XrvGGM-vytMP1OyDgAY&amp;q=site%3Alinkedin.com+Lucas+Burton+Recruiter+-+University+Operations+Amazon" TargetMode="External"/><Relationship Id="rId3667" Type="http://schemas.openxmlformats.org/officeDocument/2006/relationships/hyperlink" Target="https://www.google.com/search?newwindow=1&amp;ei=2MT0XrvGGM-vytMP1OyDgAY&amp;q=site%3Alinkedin.com+Katelyn+Kearns+Campus+Recruiter+HubSpot" TargetMode="External"/><Relationship Id="rId1005" Type="http://schemas.openxmlformats.org/officeDocument/2006/relationships/hyperlink" Target="https://www.google.com/search?newwindow=1&amp;ei=2MT0XrvGGM-vytMP1OyDgAY&amp;q=site%3Alinkedin.com+Shahnora+Mustafayeva+Office+Manager,+International+Student+Programs" TargetMode="External"/><Relationship Id="rId2336" Type="http://schemas.openxmlformats.org/officeDocument/2006/relationships/hyperlink" Target="https://www.google.com/search?newwindow=1&amp;ei=2MT0XrvGGM-vytMP1OyDgAY&amp;q=site%3Alinkedin.com+Caroline+Fletcher+Campus+Recruiter+Deloitte" TargetMode="External"/><Relationship Id="rId3666" Type="http://schemas.openxmlformats.org/officeDocument/2006/relationships/hyperlink" Target="https://www.google.com/search?newwindow=1&amp;ei=2MT0XrvGGM-vytMP1OyDgAY&amp;q=site%3Alinkedin.com+Charlotte+Fadden+Director,+Campus+Recruiting+Manager+Morgan+Stanley" TargetMode="External"/><Relationship Id="rId1006" Type="http://schemas.openxmlformats.org/officeDocument/2006/relationships/hyperlink" Target="https://www.google.com/search?newwindow=1&amp;ei=2MT0XrvGGM-vytMP1OyDgAY&amp;q=site%3Alinkedin.com+Rolanda+Murray+Recruitment+Officer" TargetMode="External"/><Relationship Id="rId2337" Type="http://schemas.openxmlformats.org/officeDocument/2006/relationships/hyperlink" Target="https://www.google.com/search?newwindow=1&amp;ei=2MT0XrvGGM-vytMP1OyDgAY&amp;q=site%3Alinkedin.com+Macarena+Arceo+University+Recruiter+-+Ops+Amazon" TargetMode="External"/><Relationship Id="rId3669" Type="http://schemas.openxmlformats.org/officeDocument/2006/relationships/hyperlink" Target="https://www.google.com/search?newwindow=1&amp;ei=2MT0XrvGGM-vytMP1OyDgAY&amp;q=site%3Alinkedin.com+Viennie+Chanthachack+(he/him)+Associate+Campus+Recruiter+-+North+America+&amp;+EMEA+Sales+HubSpot" TargetMode="External"/><Relationship Id="rId1007" Type="http://schemas.openxmlformats.org/officeDocument/2006/relationships/hyperlink" Target="https://www.google.com/search?newwindow=1&amp;ei=2MT0XrvGGM-vytMP1OyDgAY&amp;q=site%3Alinkedin.com+Austin+South+Student+Recruiter" TargetMode="External"/><Relationship Id="rId2338" Type="http://schemas.openxmlformats.org/officeDocument/2006/relationships/hyperlink" Target="https://www.google.com/search?newwindow=1&amp;ei=2MT0XrvGGM-vytMP1OyDgAY&amp;q=site%3Alinkedin.com+Jessy+Jager+Senior+Campus+Recruiter+Deloitte" TargetMode="External"/><Relationship Id="rId3668" Type="http://schemas.openxmlformats.org/officeDocument/2006/relationships/hyperlink" Target="https://www.google.com/search?newwindow=1&amp;ei=2MT0XrvGGM-vytMP1OyDgAY&amp;q=site%3Alinkedin.com+Erin+Leonard+Manager,+Investment+Banking+MBA+Campus+Recruiting+Morgan+Stanley" TargetMode="External"/><Relationship Id="rId1008" Type="http://schemas.openxmlformats.org/officeDocument/2006/relationships/hyperlink" Target="https://www.google.com/search?newwindow=1&amp;ei=2MT0XrvGGM-vytMP1OyDgAY&amp;q=site%3Alinkedin.com+Henal+Majethia+Operations+University+Recruiter" TargetMode="External"/><Relationship Id="rId2339" Type="http://schemas.openxmlformats.org/officeDocument/2006/relationships/hyperlink" Target="https://www.google.com/search?newwindow=1&amp;ei=2MT0XrvGGM-vytMP1OyDgAY&amp;q=site%3Alinkedin.com+Debora+P.+University+Recruiter-+Worldwide+Operations+Team+Amazon" TargetMode="External"/><Relationship Id="rId1009" Type="http://schemas.openxmlformats.org/officeDocument/2006/relationships/hyperlink" Target="https://www.google.com/search?newwindow=1&amp;ei=2MT0XrvGGM-vytMP1OyDgAY&amp;q=site%3Alinkedin.com+Allison+Renner+Campus+Recruiting+Specialist" TargetMode="External"/><Relationship Id="rId3661" Type="http://schemas.openxmlformats.org/officeDocument/2006/relationships/hyperlink" Target="https://www.google.com/search?newwindow=1&amp;ei=2MT0XrvGGM-vytMP1OyDgAY&amp;q=site%3Alinkedin.com+Michelle+Kinnally+Campus+Recruiter+Morgan+Stanley" TargetMode="External"/><Relationship Id="rId2330" Type="http://schemas.openxmlformats.org/officeDocument/2006/relationships/hyperlink" Target="https://www.google.com/search?newwindow=1&amp;ei=2MT0XrvGGM-vytMP1OyDgAY&amp;q=site%3Alinkedin.com+Kaitlin+Duberstein+Campus+Recruiting+Manager+Deloitte" TargetMode="External"/><Relationship Id="rId3660" Type="http://schemas.openxmlformats.org/officeDocument/2006/relationships/hyperlink" Target="https://www.google.com/search?newwindow=1&amp;ei=2MT0XrvGGM-vytMP1OyDgAY&amp;q=site%3Alinkedin.com+Tiffany+Kirby+University+Relations+Recruiter+Honeywell" TargetMode="External"/><Relationship Id="rId1000" Type="http://schemas.openxmlformats.org/officeDocument/2006/relationships/hyperlink" Target="https://www.google.com/search?newwindow=1&amp;ei=2MT0XrvGGM-vytMP1OyDgAY&amp;q=site%3Alinkedin.com+Wes+Barrow+US+East+&amp;+Financial+Services+Campus+Recruiting" TargetMode="External"/><Relationship Id="rId2331" Type="http://schemas.openxmlformats.org/officeDocument/2006/relationships/hyperlink" Target="https://www.google.com/search?newwindow=1&amp;ei=2MT0XrvGGM-vytMP1OyDgAY&amp;q=site%3Alinkedin.com+Luann+A.+University+Recruiter-+HR+Operations+Amazon" TargetMode="External"/><Relationship Id="rId3663" Type="http://schemas.openxmlformats.org/officeDocument/2006/relationships/hyperlink" Target="https://www.google.com/search?newwindow=1&amp;ei=2MT0XrvGGM-vytMP1OyDgAY&amp;q=site%3Alinkedin.com+Jenny+Rosen+Human+Resources+Campus+Recruiter+Morgan+Stanley" TargetMode="External"/><Relationship Id="rId1001" Type="http://schemas.openxmlformats.org/officeDocument/2006/relationships/hyperlink" Target="https://www.google.com/search?newwindow=1&amp;ei=2MT0XrvGGM-vytMP1OyDgAY&amp;q=site%3Alinkedin.com+Jennifer+McCanty,+MBA+National+Manager,+Campus+Recruiting" TargetMode="External"/><Relationship Id="rId2332" Type="http://schemas.openxmlformats.org/officeDocument/2006/relationships/hyperlink" Target="https://www.google.com/search?newwindow=1&amp;ei=2MT0XrvGGM-vytMP1OyDgAY&amp;q=site%3Alinkedin.com+Karen+Proctor,+PHR+Campus+Recruiter+Deloitte" TargetMode="External"/><Relationship Id="rId3662" Type="http://schemas.openxmlformats.org/officeDocument/2006/relationships/hyperlink" Target="https://www.google.com/search?newwindow=1&amp;ei=2MT0XrvGGM-vytMP1OyDgAY&amp;q=site%3Alinkedin.com+Gillian+McLarty+Associate+Campus+Recruiter+HubSpot" TargetMode="External"/><Relationship Id="rId1002" Type="http://schemas.openxmlformats.org/officeDocument/2006/relationships/hyperlink" Target="https://www.google.com/search?newwindow=1&amp;ei=2MT0XrvGGM-vytMP1OyDgAY&amp;q=site%3Alinkedin.com+Renee+Skinner+Student+Recruiter" TargetMode="External"/><Relationship Id="rId2333" Type="http://schemas.openxmlformats.org/officeDocument/2006/relationships/hyperlink" Target="https://www.google.com/search?newwindow=1&amp;ei=2MT0XrvGGM-vytMP1OyDgAY&amp;q=site%3Alinkedin.com+Teresa+Landry+University+Recruiter+(Contract)+Amazon" TargetMode="External"/><Relationship Id="rId3665" Type="http://schemas.openxmlformats.org/officeDocument/2006/relationships/hyperlink" Target="https://www.google.com/search?newwindow=1&amp;ei=2MT0XrvGGM-vytMP1OyDgAY&amp;q=site%3Alinkedin.com+Christie+Mongiardo+Manager,+Institutional+Equity+Campus+Recruiting+Morgan+Stanley" TargetMode="External"/><Relationship Id="rId1003" Type="http://schemas.openxmlformats.org/officeDocument/2006/relationships/hyperlink" Target="https://www.google.com/search?newwindow=1&amp;ei=2MT0XrvGGM-vytMP1OyDgAY&amp;q=site%3Alinkedin.com+Renee+Morrison,+CPA+Campus+Recruiter" TargetMode="External"/><Relationship Id="rId2334" Type="http://schemas.openxmlformats.org/officeDocument/2006/relationships/hyperlink" Target="https://www.google.com/search?newwindow=1&amp;ei=2MT0XrvGGM-vytMP1OyDgAY&amp;q=site%3Alinkedin.com+Wandie+Toledo+Bethune+Lead+Diversity+&amp;+Inclusion+Program+Manager+Deloitte" TargetMode="External"/><Relationship Id="rId3664" Type="http://schemas.openxmlformats.org/officeDocument/2006/relationships/hyperlink" Target="https://www.google.com/search?newwindow=1&amp;ei=2MT0XrvGGM-vytMP1OyDgAY&amp;q=site%3Alinkedin.com+Glory+Montes+Associate+Campus+Tech+Recruiter+HubSpot" TargetMode="External"/><Relationship Id="rId1037" Type="http://schemas.openxmlformats.org/officeDocument/2006/relationships/hyperlink" Target="https://www.google.com/search?newwindow=1&amp;ei=2MT0XrvGGM-vytMP1OyDgAY&amp;q=site%3Alinkedin.com+jaclyn+stagg+Campus+recruiting+coordinator" TargetMode="External"/><Relationship Id="rId2368" Type="http://schemas.openxmlformats.org/officeDocument/2006/relationships/hyperlink" Target="https://www.google.com/search?newwindow=1&amp;ei=2MT0XrvGGM-vytMP1OyDgAY&amp;q=site%3Alinkedin.com+Gail+Lewis-Kelley+Campus+Recruiting+Manager+Deloitte" TargetMode="External"/><Relationship Id="rId1038" Type="http://schemas.openxmlformats.org/officeDocument/2006/relationships/hyperlink" Target="https://www.google.com/search?newwindow=1&amp;ei=2MT0XrvGGM-vytMP1OyDgAY&amp;q=site%3Alinkedin.com+Christie+Mongiardo+Manager,+Institutional+Equity+Campus+Recruiting" TargetMode="External"/><Relationship Id="rId2369" Type="http://schemas.openxmlformats.org/officeDocument/2006/relationships/hyperlink" Target="https://www.google.com/search?newwindow=1&amp;ei=2MT0XrvGGM-vytMP1OyDgAY&amp;q=site%3Alinkedin.com+Shavonne+Mehaffey+University+Recruiter+Amazon" TargetMode="External"/><Relationship Id="rId3699" Type="http://schemas.openxmlformats.org/officeDocument/2006/relationships/hyperlink" Target="https://www.google.com/search?newwindow=1&amp;ei=2MT0XrvGGM-vytMP1OyDgAY&amp;q=site%3Alinkedin.com+Leanne+Lutkus+Regional+Campus+Recruiting+Manager+Moss+Adams" TargetMode="External"/><Relationship Id="rId1039" Type="http://schemas.openxmlformats.org/officeDocument/2006/relationships/hyperlink" Target="https://www.google.com/search?newwindow=1&amp;ei=2MT0XrvGGM-vytMP1OyDgAY&amp;q=site%3Alinkedin.com+Anna+Nyzio+Campus+Recruiting+Team+Lead+-+Boston/Hartford" TargetMode="External"/><Relationship Id="rId206" Type="http://schemas.openxmlformats.org/officeDocument/2006/relationships/hyperlink" Target="https://www.google.com/search?newwindow=1&amp;ei=2MT0XrvGGM-vytMP1OyDgAY&amp;q=site%3Alinkedin.com+Emma+Pilkington+Student+Recruiter+and+Advisor" TargetMode="External"/><Relationship Id="rId205" Type="http://schemas.openxmlformats.org/officeDocument/2006/relationships/hyperlink" Target="https://www.google.com/search?newwindow=1&amp;ei=2MT0XrvGGM-vytMP1OyDgAY&amp;q=site%3Alinkedin.com+Sara+Buxton+NorCal+Campus+Recruiting+Manager" TargetMode="External"/><Relationship Id="rId204" Type="http://schemas.openxmlformats.org/officeDocument/2006/relationships/hyperlink" Target="https://www.google.com/search?newwindow=1&amp;ei=2MT0XrvGGM-vytMP1OyDgAY&amp;q=site%3Alinkedin.com+Tom+Fowler+Student" TargetMode="External"/><Relationship Id="rId203" Type="http://schemas.openxmlformats.org/officeDocument/2006/relationships/hyperlink" Target="https://www.google.com/search?newwindow=1&amp;ei=2MT0XrvGGM-vytMP1OyDgAY&amp;q=site%3Alinkedin.com+Daria+Kimerina+European+MBA+University+Recruiter" TargetMode="External"/><Relationship Id="rId209" Type="http://schemas.openxmlformats.org/officeDocument/2006/relationships/hyperlink" Target="https://www.google.com/search?newwindow=1&amp;ei=2MT0XrvGGM-vytMP1OyDgAY&amp;q=site%3Alinkedin.com+Robyn+Macdonald,+CHRP+Corporate+Recruiter,+University+Relations" TargetMode="External"/><Relationship Id="rId208" Type="http://schemas.openxmlformats.org/officeDocument/2006/relationships/hyperlink" Target="https://www.google.com/search?newwindow=1&amp;ei=2MT0XrvGGM-vytMP1OyDgAY&amp;q=site%3Alinkedin.com+Saliha+Ahmadi+Campus+Recruiter" TargetMode="External"/><Relationship Id="rId3690" Type="http://schemas.openxmlformats.org/officeDocument/2006/relationships/hyperlink" Target="https://www.google.com/search?newwindow=1&amp;ei=2MT0XrvGGM-vytMP1OyDgAY&amp;q=site%3Alinkedin.com+Rachel+Kucharik+Technical+Recruiter+-+Campus+Infosys" TargetMode="External"/><Relationship Id="rId207" Type="http://schemas.openxmlformats.org/officeDocument/2006/relationships/hyperlink" Target="https://www.google.com/search?newwindow=1&amp;ei=2MT0XrvGGM-vytMP1OyDgAY&amp;q=site%3Alinkedin.com+Sean+Lynott,+MBA,+CDR+Senior+Campus+Recruiter" TargetMode="External"/><Relationship Id="rId2360" Type="http://schemas.openxmlformats.org/officeDocument/2006/relationships/hyperlink" Target="https://www.google.com/search?newwindow=1&amp;ei=2MT0XrvGGM-vytMP1OyDgAY&amp;q=site%3Alinkedin.com+Betty+Chan+Lead+Consulting+Campus+Recruiter+Deloitte" TargetMode="External"/><Relationship Id="rId3692" Type="http://schemas.openxmlformats.org/officeDocument/2006/relationships/hyperlink" Target="https://www.google.com/search?newwindow=1&amp;ei=2MT0XrvGGM-vytMP1OyDgAY&amp;q=site%3Alinkedin.com+Rebecca+Hou+Campus+Recruiter+Infosys" TargetMode="External"/><Relationship Id="rId1030" Type="http://schemas.openxmlformats.org/officeDocument/2006/relationships/hyperlink" Target="https://www.google.com/search?newwindow=1&amp;ei=2MT0XrvGGM-vytMP1OyDgAY&amp;q=site%3Alinkedin.com+Gabby+Ordaz+Campus+Recruiting+Specialist" TargetMode="External"/><Relationship Id="rId2361" Type="http://schemas.openxmlformats.org/officeDocument/2006/relationships/hyperlink" Target="https://www.google.com/search?newwindow=1&amp;ei=2MT0XrvGGM-vytMP1OyDgAY&amp;q=site%3Alinkedin.com+Sharon+Kim+University+Recruiter+Amazon" TargetMode="External"/><Relationship Id="rId3691" Type="http://schemas.openxmlformats.org/officeDocument/2006/relationships/hyperlink" Target="https://www.google.com/search?newwindow=1&amp;ei=2MT0XrvGGM-vytMP1OyDgAY&amp;q=site%3Alinkedin.com+Ashleigh+Hussey+Drobnis+Campus+Recruiter+Morgan+Stanley" TargetMode="External"/><Relationship Id="rId1031" Type="http://schemas.openxmlformats.org/officeDocument/2006/relationships/hyperlink" Target="https://www.google.com/search?newwindow=1&amp;ei=2MT0XrvGGM-vytMP1OyDgAY&amp;q=site%3Alinkedin.com+Angela+Zirino+Engineering+Campus+Recruiting+Coordinator" TargetMode="External"/><Relationship Id="rId2362" Type="http://schemas.openxmlformats.org/officeDocument/2006/relationships/hyperlink" Target="https://www.google.com/search?newwindow=1&amp;ei=2MT0XrvGGM-vytMP1OyDgAY&amp;q=site%3Alinkedin.com+Sarah+Jensen+Hasenauer+Regional+Campus+Recruiting+Manager+Deloitte" TargetMode="External"/><Relationship Id="rId3694" Type="http://schemas.openxmlformats.org/officeDocument/2006/relationships/hyperlink" Target="https://www.google.com/search?newwindow=1&amp;ei=2MT0XrvGGM-vytMP1OyDgAY&amp;q=site%3Alinkedin.com+Alexandria+Perry+IT+Campus+Recruiter+Infosys" TargetMode="External"/><Relationship Id="rId1032" Type="http://schemas.openxmlformats.org/officeDocument/2006/relationships/hyperlink" Target="https://www.google.com/search?newwindow=1&amp;ei=2MT0XrvGGM-vytMP1OyDgAY&amp;q=site%3Alinkedin.com+Amanda+Fornieri+(She+/+Her+/+Hers)+Associate+-+Campus+Recruiting" TargetMode="External"/><Relationship Id="rId2363" Type="http://schemas.openxmlformats.org/officeDocument/2006/relationships/hyperlink" Target="https://www.google.com/search?newwindow=1&amp;ei=2MT0XrvGGM-vytMP1OyDgAY&amp;q=site%3Alinkedin.com+Jennifer+Lindquist+University+Recruiter+-+Operations+Amazon" TargetMode="External"/><Relationship Id="rId3693" Type="http://schemas.openxmlformats.org/officeDocument/2006/relationships/hyperlink" Target="https://www.google.com/search?newwindow=1&amp;ei=2MT0XrvGGM-vytMP1OyDgAY&amp;q=site%3Alinkedin.com+Janie+Johnstone+Campus+Recruiter+Morgan+Stanley" TargetMode="External"/><Relationship Id="rId202" Type="http://schemas.openxmlformats.org/officeDocument/2006/relationships/hyperlink" Target="https://www.google.com/search?newwindow=1&amp;ei=2MT0XrvGGM-vytMP1OyDgAY&amp;q=site%3Alinkedin.com+Aimee+Everest+EMEA+Campus+Recruiter+-+Graduate+Programme+&amp;+Early+Years+-+hiring+now!" TargetMode="External"/><Relationship Id="rId1033" Type="http://schemas.openxmlformats.org/officeDocument/2006/relationships/hyperlink" Target="https://www.google.com/search?newwindow=1&amp;ei=2MT0XrvGGM-vytMP1OyDgAY&amp;q=site%3Alinkedin.com+Jenna+Sobel+Senior+Campus+Recruiting+Coordinator" TargetMode="External"/><Relationship Id="rId2364" Type="http://schemas.openxmlformats.org/officeDocument/2006/relationships/hyperlink" Target="https://www.google.com/search?newwindow=1&amp;ei=2MT0XrvGGM-vytMP1OyDgAY&amp;q=site%3Alinkedin.com+Carly+Wenyon+Campus+Recruiter+Deloitte" TargetMode="External"/><Relationship Id="rId3696" Type="http://schemas.openxmlformats.org/officeDocument/2006/relationships/hyperlink" Target="https://www.google.com/search?newwindow=1&amp;ei=2MT0XrvGGM-vytMP1OyDgAY&amp;q=site%3Alinkedin.com+Christopher+Ha+Campus+Recruiter+Infosys" TargetMode="External"/><Relationship Id="rId201" Type="http://schemas.openxmlformats.org/officeDocument/2006/relationships/hyperlink" Target="https://www.google.com/search?newwindow=1&amp;ei=2MT0XrvGGM-vytMP1OyDgAY&amp;q=site%3Alinkedin.com+Desiree+Saunders+Recruiter" TargetMode="External"/><Relationship Id="rId1034" Type="http://schemas.openxmlformats.org/officeDocument/2006/relationships/hyperlink" Target="https://www.google.com/search?newwindow=1&amp;ei=2MT0XrvGGM-vytMP1OyDgAY&amp;q=site%3Alinkedin.com+Kevin+Rose+Senior+Manager,+Campus+Recruiting" TargetMode="External"/><Relationship Id="rId2365" Type="http://schemas.openxmlformats.org/officeDocument/2006/relationships/hyperlink" Target="https://www.google.com/search?newwindow=1&amp;ei=2MT0XrvGGM-vytMP1OyDgAY&amp;q=site%3Alinkedin.com+Shreya+Shah+University+Operations+Recruiter+(Non-Tech)+Amazon" TargetMode="External"/><Relationship Id="rId3695" Type="http://schemas.openxmlformats.org/officeDocument/2006/relationships/hyperlink" Target="https://www.google.com/search?newwindow=1&amp;ei=2MT0XrvGGM-vytMP1OyDgAY&amp;q=site%3Alinkedin.com+Lea+Bylina+Campus+Recruiter+Moss+Adams" TargetMode="External"/><Relationship Id="rId200" Type="http://schemas.openxmlformats.org/officeDocument/2006/relationships/hyperlink" Target="https://www.google.com/search?newwindow=1&amp;ei=2MT0XrvGGM-vytMP1OyDgAY&amp;q=site%3Alinkedin.com+Veronica+Pickard+AVP,+Human+Resources+-+Campus+Program+Lead" TargetMode="External"/><Relationship Id="rId1035" Type="http://schemas.openxmlformats.org/officeDocument/2006/relationships/hyperlink" Target="https://www.google.com/search?newwindow=1&amp;ei=2MT0XrvGGM-vytMP1OyDgAY&amp;q=site%3Alinkedin.com+Kaitlin+Fitzpatrick+(she/her)+Campus+Recruiting+and+Entry+Programs+Training,+Company+Divisions" TargetMode="External"/><Relationship Id="rId2366" Type="http://schemas.openxmlformats.org/officeDocument/2006/relationships/hyperlink" Target="https://www.google.com/search?newwindow=1&amp;ei=2MT0XrvGGM-vytMP1OyDgAY&amp;q=site%3Alinkedin.com+Shawn+Lamb+Senior+Campus+Recruiter+Deloitte" TargetMode="External"/><Relationship Id="rId3698" Type="http://schemas.openxmlformats.org/officeDocument/2006/relationships/hyperlink" Target="https://www.google.com/search?newwindow=1&amp;ei=2MT0XrvGGM-vytMP1OyDgAY&amp;q=site%3Alinkedin.com+Nanci+Ferrari+Practice+Lead+-+Campus+Recruiting+/+Diversity+Recruting+Infosys" TargetMode="External"/><Relationship Id="rId1036" Type="http://schemas.openxmlformats.org/officeDocument/2006/relationships/hyperlink" Target="https://www.google.com/search?newwindow=1&amp;ei=2MT0XrvGGM-vytMP1OyDgAY&amp;q=site%3Alinkedin.com+Jessica+Lockard+Campus+Recruiting+Manager" TargetMode="External"/><Relationship Id="rId2367" Type="http://schemas.openxmlformats.org/officeDocument/2006/relationships/hyperlink" Target="https://www.google.com/search?newwindow=1&amp;ei=2MT0XrvGGM-vytMP1OyDgAY&amp;q=site%3Alinkedin.com+Fleming+Longino+Campus+Recruiter+Deloitte" TargetMode="External"/><Relationship Id="rId3697" Type="http://schemas.openxmlformats.org/officeDocument/2006/relationships/hyperlink" Target="https://www.google.com/search?newwindow=1&amp;ei=2MT0XrvGGM-vytMP1OyDgAY&amp;q=site%3Alinkedin.com+Adam+Schwab+Campus+Recruiter+Moss+Adams" TargetMode="External"/><Relationship Id="rId1026" Type="http://schemas.openxmlformats.org/officeDocument/2006/relationships/hyperlink" Target="https://www.google.com/search?newwindow=1&amp;ei=2MT0XrvGGM-vytMP1OyDgAY&amp;q=site%3Alinkedin.com+Harun+Hasib+Campus+Recruiting+Coordinator" TargetMode="External"/><Relationship Id="rId2357" Type="http://schemas.openxmlformats.org/officeDocument/2006/relationships/hyperlink" Target="https://www.google.com/search?newwindow=1&amp;ei=2MT0XrvGGM-vytMP1OyDgAY&amp;q=site%3Alinkedin.com+Jessica+Shellan+University+Recruiter+Amazon" TargetMode="External"/><Relationship Id="rId3689" Type="http://schemas.openxmlformats.org/officeDocument/2006/relationships/hyperlink" Target="https://www.google.com/search?newwindow=1&amp;ei=2MT0XrvGGM-vytMP1OyDgAY&amp;q=site%3Alinkedin.com+Natasha+Bhalla+Manager,+Technology+Campus+Recruiting+Morgan+Stanley" TargetMode="External"/><Relationship Id="rId1027" Type="http://schemas.openxmlformats.org/officeDocument/2006/relationships/hyperlink" Target="https://www.google.com/search?newwindow=1&amp;ei=2MT0XrvGGM-vytMP1OyDgAY&amp;q=site%3Alinkedin.com+Jena+Hanlon+Associate,+Campus+Recruiting" TargetMode="External"/><Relationship Id="rId2358" Type="http://schemas.openxmlformats.org/officeDocument/2006/relationships/hyperlink" Target="https://www.google.com/search?newwindow=1&amp;ei=2MT0XrvGGM-vytMP1OyDgAY&amp;q=site%3Alinkedin.com+Megan+Candee+Senior+Campus+Recruiter+Deloitte" TargetMode="External"/><Relationship Id="rId3688" Type="http://schemas.openxmlformats.org/officeDocument/2006/relationships/hyperlink" Target="https://www.google.com/search?newwindow=1&amp;ei=2MT0XrvGGM-vytMP1OyDgAY&amp;q=site%3Alinkedin.com+Steve+Marks+University+Recruiter+Indeed.com" TargetMode="External"/><Relationship Id="rId1028" Type="http://schemas.openxmlformats.org/officeDocument/2006/relationships/hyperlink" Target="https://www.google.com/search?newwindow=1&amp;ei=2MT0XrvGGM-vytMP1OyDgAY&amp;q=site%3Alinkedin.com+Hannah+Wolff+Campus+Recruiting+Lead" TargetMode="External"/><Relationship Id="rId2359" Type="http://schemas.openxmlformats.org/officeDocument/2006/relationships/hyperlink" Target="https://www.google.com/search?newwindow=1&amp;ei=2MT0XrvGGM-vytMP1OyDgAY&amp;q=site%3Alinkedin.com+Joshua+Ng+University+Operations+Recruiter+Amazon" TargetMode="External"/><Relationship Id="rId1029" Type="http://schemas.openxmlformats.org/officeDocument/2006/relationships/hyperlink" Target="https://www.google.com/search?newwindow=1&amp;ei=2MT0XrvGGM-vytMP1OyDgAY&amp;q=site%3Alinkedin.com+Mallory+Sylvester+Campus+Recruiting+Associate" TargetMode="External"/><Relationship Id="rId3681" Type="http://schemas.openxmlformats.org/officeDocument/2006/relationships/hyperlink" Target="https://www.google.com/search?newwindow=1&amp;ei=2MT0XrvGGM-vytMP1OyDgAY&amp;q=site%3Alinkedin.com+Jill+Sears+University+Recruiter+-+Talent+Attraction+Indeed.com" TargetMode="External"/><Relationship Id="rId2350" Type="http://schemas.openxmlformats.org/officeDocument/2006/relationships/hyperlink" Target="https://www.google.com/search?newwindow=1&amp;ei=2MT0XrvGGM-vytMP1OyDgAY&amp;q=site%3Alinkedin.com+David+Magnotta+Lead+University+Recruiter+(Recruiter+II)+Amazon" TargetMode="External"/><Relationship Id="rId3680" Type="http://schemas.openxmlformats.org/officeDocument/2006/relationships/hyperlink" Target="https://www.google.com/search?newwindow=1&amp;ei=2MT0XrvGGM-vytMP1OyDgAY&amp;q=site%3Alinkedin.com+Ragland+Mackin+Director+of+Campus+Recruiting+Morgan+Stanley" TargetMode="External"/><Relationship Id="rId1020" Type="http://schemas.openxmlformats.org/officeDocument/2006/relationships/hyperlink" Target="https://www.google.com/search?newwindow=1&amp;ei=2MT0XrvGGM-vytMP1OyDgAY&amp;q=site%3Alinkedin.com+Matchett+Jane+A/Student+Services+Officer,+Disability+Programs+New+England+Region" TargetMode="External"/><Relationship Id="rId2351" Type="http://schemas.openxmlformats.org/officeDocument/2006/relationships/hyperlink" Target="https://www.google.com/search?newwindow=1&amp;ei=2MT0XrvGGM-vytMP1OyDgAY&amp;q=site%3Alinkedin.com+Carter+McCormack+Hartung+Campus+Recruiting+Manager+Deloitte" TargetMode="External"/><Relationship Id="rId3683" Type="http://schemas.openxmlformats.org/officeDocument/2006/relationships/hyperlink" Target="https://www.google.com/search?newwindow=1&amp;ei=2MT0XrvGGM-vytMP1OyDgAY&amp;q=site%3Alinkedin.com+Emma+Brady+University+Recruiter+Indeed.com" TargetMode="External"/><Relationship Id="rId1021" Type="http://schemas.openxmlformats.org/officeDocument/2006/relationships/hyperlink" Target="https://www.google.com/search?newwindow=1&amp;ei=2MT0XrvGGM-vytMP1OyDgAY&amp;q=site%3Alinkedin.com+Silina+Browne+Student+Recruiter+/Advisor" TargetMode="External"/><Relationship Id="rId2352" Type="http://schemas.openxmlformats.org/officeDocument/2006/relationships/hyperlink" Target="https://www.google.com/search?newwindow=1&amp;ei=2MT0XrvGGM-vytMP1OyDgAY&amp;q=site%3Alinkedin.com+Stephanie+Kang+University+Recruiter+Amazon" TargetMode="External"/><Relationship Id="rId3682" Type="http://schemas.openxmlformats.org/officeDocument/2006/relationships/hyperlink" Target="https://www.google.com/search?newwindow=1&amp;ei=2MT0XrvGGM-vytMP1OyDgAY&amp;q=site%3Alinkedin.com+Catherine+Eicher+Campus+Recruiter+Morgan+Stanley" TargetMode="External"/><Relationship Id="rId1022" Type="http://schemas.openxmlformats.org/officeDocument/2006/relationships/hyperlink" Target="https://www.google.com/search?newwindow=1&amp;ei=2MT0XrvGGM-vytMP1OyDgAY&amp;q=site%3Alinkedin.com+Lauren+E.+Kim+Talent+Acquisition-+Campus+Recruiting" TargetMode="External"/><Relationship Id="rId2353" Type="http://schemas.openxmlformats.org/officeDocument/2006/relationships/hyperlink" Target="https://www.google.com/search?newwindow=1&amp;ei=2MT0XrvGGM-vytMP1OyDgAY&amp;q=site%3Alinkedin.com+Cristina+Tomasko+Campus+Recruiting+Manager+Deloitte" TargetMode="External"/><Relationship Id="rId3685" Type="http://schemas.openxmlformats.org/officeDocument/2006/relationships/hyperlink" Target="https://www.google.com/search?newwindow=1&amp;ei=2MT0XrvGGM-vytMP1OyDgAY&amp;q=site%3Alinkedin.com+Christina+Rippo+University+Recruiter+I+Talent+Attraction+Indeed.com+Indeed.com" TargetMode="External"/><Relationship Id="rId1023" Type="http://schemas.openxmlformats.org/officeDocument/2006/relationships/hyperlink" Target="https://www.google.com/search?newwindow=1&amp;ei=2MT0XrvGGM-vytMP1OyDgAY&amp;q=site%3Alinkedin.com+Chris+Kalloo+Engineering+Campus+Recruiting" TargetMode="External"/><Relationship Id="rId2354" Type="http://schemas.openxmlformats.org/officeDocument/2006/relationships/hyperlink" Target="https://www.google.com/search?newwindow=1&amp;ei=2MT0XrvGGM-vytMP1OyDgAY&amp;q=site%3Alinkedin.com+Kristin+Mikelson+Campus+Recruiting+Manager+Deloitte" TargetMode="External"/><Relationship Id="rId3684" Type="http://schemas.openxmlformats.org/officeDocument/2006/relationships/hyperlink" Target="https://www.google.com/search?newwindow=1&amp;ei=2MT0XrvGGM-vytMP1OyDgAY&amp;q=site%3Alinkedin.com+Sarah+Roberts+Junior+Campus+Recruiter+Morgan+Stanley" TargetMode="External"/><Relationship Id="rId1024" Type="http://schemas.openxmlformats.org/officeDocument/2006/relationships/hyperlink" Target="https://www.google.com/search?newwindow=1&amp;ei=2MT0XrvGGM-vytMP1OyDgAY&amp;q=site%3Alinkedin.com+Moira+Gibney+Campus+Recruiting+Coordinator" TargetMode="External"/><Relationship Id="rId2355" Type="http://schemas.openxmlformats.org/officeDocument/2006/relationships/hyperlink" Target="https://www.google.com/search?newwindow=1&amp;ei=2MT0XrvGGM-vytMP1OyDgAY&amp;q=site%3Alinkedin.com+Andreea+Patruta+University+Tech+Recruiter+Amazon" TargetMode="External"/><Relationship Id="rId3687" Type="http://schemas.openxmlformats.org/officeDocument/2006/relationships/hyperlink" Target="https://www.google.com/search?newwindow=1&amp;ei=2MT0XrvGGM-vytMP1OyDgAY&amp;q=site%3Alinkedin.com+Jordan+Fuqua+Technology+Campus+Recruiter+Morgan+Stanley" TargetMode="External"/><Relationship Id="rId1025" Type="http://schemas.openxmlformats.org/officeDocument/2006/relationships/hyperlink" Target="https://www.google.com/search?newwindow=1&amp;ei=2MT0XrvGGM-vytMP1OyDgAY&amp;q=site%3Alinkedin.com+Taylor+Caldwell+Campus+Recruiting+Specialist" TargetMode="External"/><Relationship Id="rId2356" Type="http://schemas.openxmlformats.org/officeDocument/2006/relationships/hyperlink" Target="https://www.google.com/search?newwindow=1&amp;ei=2MT0XrvGGM-vytMP1OyDgAY&amp;q=site%3Alinkedin.com+Suzanne+Joyce+Senior+Campus+Recruiter+Deloitte" TargetMode="External"/><Relationship Id="rId3686" Type="http://schemas.openxmlformats.org/officeDocument/2006/relationships/hyperlink" Target="https://www.google.com/search?newwindow=1&amp;ei=2MT0XrvGGM-vytMP1OyDgAY&amp;q=site%3Alinkedin.com+Taylor+Swanson+Campus+Recruiter+Morgan+Stanley" TargetMode="External"/><Relationship Id="rId4161" Type="http://schemas.openxmlformats.org/officeDocument/2006/relationships/hyperlink" Target="https://www.google.com/search?newwindow=1&amp;ei=2MT0XrvGGM-vytMP1OyDgAY&amp;q=site%3Alinkedin.com+Briana+A.+Technical+University+Recruiter+Microsoft" TargetMode="External"/><Relationship Id="rId4160" Type="http://schemas.openxmlformats.org/officeDocument/2006/relationships/hyperlink" Target="https://www.google.com/search?newwindow=1&amp;ei=2MT0XrvGGM-vytMP1OyDgAY&amp;q=site%3Alinkedin.com+Stephanie+Magana+Tech+Campus+Recruiter+The+Walt+Disney+Company" TargetMode="External"/><Relationship Id="rId4163" Type="http://schemas.openxmlformats.org/officeDocument/2006/relationships/hyperlink" Target="https://www.google.com/search?newwindow=1&amp;ei=2MT0XrvGGM-vytMP1OyDgAY&amp;q=site%3Alinkedin.com+Alex+Blomster-Horning+University+Recruiter+Microsoft" TargetMode="External"/><Relationship Id="rId4162" Type="http://schemas.openxmlformats.org/officeDocument/2006/relationships/hyperlink" Target="https://www.google.com/search?newwindow=1&amp;ei=2MT0XrvGGM-vytMP1OyDgAY&amp;q=site%3Alinkedin.com+Dani+Michael+Sr.+Technical+Recruiter,+Disney+Campus+Recruitment+The+Walt+Disney+Company" TargetMode="External"/><Relationship Id="rId4165" Type="http://schemas.openxmlformats.org/officeDocument/2006/relationships/hyperlink" Target="https://www.google.com/search?newwindow=1&amp;ei=2MT0XrvGGM-vytMP1OyDgAY&amp;q=site%3Alinkedin.com+Toni+Brown-Bell+University+Recruiter+Microsoft" TargetMode="External"/><Relationship Id="rId4164" Type="http://schemas.openxmlformats.org/officeDocument/2006/relationships/hyperlink" Target="https://www.google.com/search?newwindow=1&amp;ei=2MT0XrvGGM-vytMP1OyDgAY&amp;q=site%3Alinkedin.com+Elaine+Dillard+Senior+Recruiter,+Disney+Campus+Recruitment+The+Walt+Disney+Company" TargetMode="External"/><Relationship Id="rId4167" Type="http://schemas.openxmlformats.org/officeDocument/2006/relationships/hyperlink" Target="https://www.google.com/search?newwindow=1&amp;ei=2MT0XrvGGM-vytMP1OyDgAY&amp;q=site%3Alinkedin.com+Miguel+Chucaralao+University+Recruiter+-+Business+Functions+Microsoft" TargetMode="External"/><Relationship Id="rId4166" Type="http://schemas.openxmlformats.org/officeDocument/2006/relationships/hyperlink" Target="https://www.google.com/search?newwindow=1&amp;ei=2MT0XrvGGM-vytMP1OyDgAY&amp;q=site%3Alinkedin.com+Suzanna+Camacho+Recruiter,+Campus+Recruitment+The+Walt+Disney+Company" TargetMode="External"/><Relationship Id="rId4169" Type="http://schemas.openxmlformats.org/officeDocument/2006/relationships/hyperlink" Target="https://www.google.com/search?newwindow=1&amp;ei=2MT0XrvGGM-vytMP1OyDgAY&amp;q=site%3Alinkedin.com+Summer+Al+Mashhadani+University+Recruiter+Microsoft" TargetMode="External"/><Relationship Id="rId4168" Type="http://schemas.openxmlformats.org/officeDocument/2006/relationships/hyperlink" Target="https://www.google.com/search?newwindow=1&amp;ei=2MT0XrvGGM-vytMP1OyDgAY&amp;q=site%3Alinkedin.com+Amy+Bennett+Senior+Recruiter,+Campus+Recruitment+The+Walt+Disney+Company" TargetMode="External"/><Relationship Id="rId4150" Type="http://schemas.openxmlformats.org/officeDocument/2006/relationships/hyperlink" Target="https://www.google.com/search?newwindow=1&amp;ei=2MT0XrvGGM-vytMP1OyDgAY&amp;q=site%3Alinkedin.com+Amy+Sanchez+Sr.+Recruiter,+Campus+Recruitment+The+Walt+Disney+Company" TargetMode="External"/><Relationship Id="rId4152" Type="http://schemas.openxmlformats.org/officeDocument/2006/relationships/hyperlink" Target="https://www.google.com/search?newwindow=1&amp;ei=2MT0XrvGGM-vytMP1OyDgAY&amp;q=site%3Alinkedin.com+Jamie+O.+Recruiter,+College+Recruiting,+Manager+on+Duty,+Point+of+Contact+The+Walt+Disney+Company" TargetMode="External"/><Relationship Id="rId4151" Type="http://schemas.openxmlformats.org/officeDocument/2006/relationships/hyperlink" Target="https://www.google.com/search?newwindow=1&amp;ei=2MT0XrvGGM-vytMP1OyDgAY&amp;q=site%3Alinkedin.com+Beckylin+Orooji+University+Recruiter+Microsoft" TargetMode="External"/><Relationship Id="rId4154" Type="http://schemas.openxmlformats.org/officeDocument/2006/relationships/hyperlink" Target="https://www.google.com/search?newwindow=1&amp;ei=2MT0XrvGGM-vytMP1OyDgAY&amp;q=site%3Alinkedin.com+Charisse+Trotman+Campus+Recruiter+Technology+The+Walt+Disney+Company" TargetMode="External"/><Relationship Id="rId4153" Type="http://schemas.openxmlformats.org/officeDocument/2006/relationships/hyperlink" Target="https://www.google.com/search?newwindow=1&amp;ei=2MT0XrvGGM-vytMP1OyDgAY&amp;q=site%3Alinkedin.com+Alexis+Solis+University+Recruiter+(contractor+through+Aerotek)+Microsoft" TargetMode="External"/><Relationship Id="rId4156" Type="http://schemas.openxmlformats.org/officeDocument/2006/relationships/hyperlink" Target="https://www.google.com/search?newwindow=1&amp;ei=2MT0XrvGGM-vytMP1OyDgAY&amp;q=site%3Alinkedin.com+Stephanie+Lyon+Interview+Partner/Recruiter+-+College+Programs+and+Interships+The+Walt+Disney+Company" TargetMode="External"/><Relationship Id="rId4155" Type="http://schemas.openxmlformats.org/officeDocument/2006/relationships/hyperlink" Target="https://www.google.com/search?newwindow=1&amp;ei=2MT0XrvGGM-vytMP1OyDgAY&amp;q=site%3Alinkedin.com+Kristin+Straube+University+Technical+Recruiter+Microsoft" TargetMode="External"/><Relationship Id="rId4158" Type="http://schemas.openxmlformats.org/officeDocument/2006/relationships/hyperlink" Target="https://www.google.com/search?newwindow=1&amp;ei=2MT0XrvGGM-vytMP1OyDgAY&amp;q=site%3Alinkedin.com+Melanie+Sebastian+Associate+Recruiter,+Campus+Programs+The+Walt+Disney+Company" TargetMode="External"/><Relationship Id="rId4157" Type="http://schemas.openxmlformats.org/officeDocument/2006/relationships/hyperlink" Target="https://www.google.com/search?newwindow=1&amp;ei=2MT0XrvGGM-vytMP1OyDgAY&amp;q=site%3Alinkedin.com+Ellie+Hemenway+University+Recruiter+Microsoft" TargetMode="External"/><Relationship Id="rId4159" Type="http://schemas.openxmlformats.org/officeDocument/2006/relationships/hyperlink" Target="https://www.google.com/search?newwindow=1&amp;ei=2MT0XrvGGM-vytMP1OyDgAY&amp;q=site%3Alinkedin.com+Loren+Perkins-Johnson+University+Recruiter+Microsoft" TargetMode="External"/><Relationship Id="rId1910" Type="http://schemas.openxmlformats.org/officeDocument/2006/relationships/hyperlink" Target="https://www.google.com/search?newwindow=1&amp;ei=2MT0XrvGGM-vytMP1OyDgAY&amp;q=site%3Alinkedin.com+Terrell+Johnson+Detroit+Co-Location+Lead+/+Campus+Recruiter+Accenture" TargetMode="External"/><Relationship Id="rId1911" Type="http://schemas.openxmlformats.org/officeDocument/2006/relationships/hyperlink" Target="https://www.google.com/search?newwindow=1&amp;ei=2MT0XrvGGM-vytMP1OyDgAY&amp;q=site%3Alinkedin.com+Robin+Ribeiro+Campus+Recruiter+Accenture" TargetMode="External"/><Relationship Id="rId1912" Type="http://schemas.openxmlformats.org/officeDocument/2006/relationships/hyperlink" Target="https://www.google.com/search?newwindow=1&amp;ei=2MT0XrvGGM-vytMP1OyDgAY&amp;q=site%3Alinkedin.com+Stephanie+Nevin+Campus+and+Entry+Level+Recruiter+Accenture" TargetMode="External"/><Relationship Id="rId1913" Type="http://schemas.openxmlformats.org/officeDocument/2006/relationships/hyperlink" Target="https://www.google.com/search?newwindow=1&amp;ei=2MT0XrvGGM-vytMP1OyDgAY&amp;q=site%3Alinkedin.com+Melissa+Olson+Recruiting+Associate+Manager+Accenture" TargetMode="External"/><Relationship Id="rId1914" Type="http://schemas.openxmlformats.org/officeDocument/2006/relationships/hyperlink" Target="https://www.google.com/search?newwindow=1&amp;ei=2MT0XrvGGM-vytMP1OyDgAY&amp;q=site%3Alinkedin.com+Kendrick+Harris+University+Recruiter+Accenture" TargetMode="External"/><Relationship Id="rId1915" Type="http://schemas.openxmlformats.org/officeDocument/2006/relationships/hyperlink" Target="https://www.google.com/search?newwindow=1&amp;ei=2MT0XrvGGM-vytMP1OyDgAY&amp;q=site%3Alinkedin.com+Chris+Selbitschka+Recruiter+Accenture" TargetMode="External"/><Relationship Id="rId1916" Type="http://schemas.openxmlformats.org/officeDocument/2006/relationships/hyperlink" Target="https://www.google.com/search?newwindow=1&amp;ei=2MT0XrvGGM-vytMP1OyDgAY&amp;q=site%3Alinkedin.com+Madeline+McCooe+Campus+Recruiter+and+Location+Lead+(Southern+California)+Accenture" TargetMode="External"/><Relationship Id="rId1917" Type="http://schemas.openxmlformats.org/officeDocument/2006/relationships/hyperlink" Target="https://www.google.com/search?newwindow=1&amp;ei=2MT0XrvGGM-vytMP1OyDgAY&amp;q=site%3Alinkedin.com+Nancy+Pham+Campus+Recruiter+Accenture" TargetMode="External"/><Relationship Id="rId1918" Type="http://schemas.openxmlformats.org/officeDocument/2006/relationships/hyperlink" Target="https://www.google.com/search?newwindow=1&amp;ei=2MT0XrvGGM-vytMP1OyDgAY&amp;q=site%3Alinkedin.com+Ashley.+Vonderahe+Campus+Recruiter+Accenture" TargetMode="External"/><Relationship Id="rId1919" Type="http://schemas.openxmlformats.org/officeDocument/2006/relationships/hyperlink" Target="https://www.google.com/search?newwindow=1&amp;ei=2MT0XrvGGM-vytMP1OyDgAY&amp;q=site%3Alinkedin.com+Alexandrea+Bittle+Campus+Recruiter+Accenture" TargetMode="External"/><Relationship Id="rId4181" Type="http://schemas.openxmlformats.org/officeDocument/2006/relationships/hyperlink" Target="https://www.google.com/search?newwindow=1&amp;ei=2MT0XrvGGM-vytMP1OyDgAY&amp;q=site%3Alinkedin.com+Yoshi+Takamura+Campus+Recruitment+Recruiter+-+Technology+The+Walt+Disney+Company" TargetMode="External"/><Relationship Id="rId4180" Type="http://schemas.openxmlformats.org/officeDocument/2006/relationships/hyperlink" Target="https://www.google.com/search?newwindow=1&amp;ei=2MT0XrvGGM-vytMP1OyDgAY&amp;q=site%3Alinkedin.com+Sandra+Almond,+SHRM-SCP+Campus+Recruiter+The+Walt+Disney+Company" TargetMode="External"/><Relationship Id="rId4183" Type="http://schemas.openxmlformats.org/officeDocument/2006/relationships/hyperlink" Target="https://www.google.com/search?newwindow=1&amp;ei=2MT0XrvGGM-vytMP1OyDgAY&amp;q=site%3Alinkedin.com+Leandra+King+University+Recruiter+Microsoft" TargetMode="External"/><Relationship Id="rId4182" Type="http://schemas.openxmlformats.org/officeDocument/2006/relationships/hyperlink" Target="https://www.google.com/search?newwindow=1&amp;ei=2MT0XrvGGM-vytMP1OyDgAY&amp;q=site%3Alinkedin.com+Khalifah+Nailor+Recruiter,+Disney+Campus+Recruitment+The+Walt+Disney+Company" TargetMode="External"/><Relationship Id="rId4185" Type="http://schemas.openxmlformats.org/officeDocument/2006/relationships/hyperlink" Target="https://www.google.com/search?newwindow=1&amp;ei=2MT0XrvGGM-vytMP1OyDgAY&amp;q=site%3Alinkedin.com+Kelsey+Saboori+Technical+University+Recruiter+-+Software+Engineering+Roles+Microsoft" TargetMode="External"/><Relationship Id="rId4184" Type="http://schemas.openxmlformats.org/officeDocument/2006/relationships/hyperlink" Target="https://www.google.com/search?newwindow=1&amp;ei=2MT0XrvGGM-vytMP1OyDgAY&amp;q=site%3Alinkedin.com+Sarah+Blair+Associate+Recruiter,+Campus+Recruitment+The+Walt+Disney+Company" TargetMode="External"/><Relationship Id="rId4187" Type="http://schemas.openxmlformats.org/officeDocument/2006/relationships/hyperlink" Target="https://www.google.com/search?newwindow=1&amp;ei=2MT0XrvGGM-vytMP1OyDgAY&amp;q=site%3Alinkedin.com+Sarah+Kaiser+University+Recruiter+Microsoft" TargetMode="External"/><Relationship Id="rId4186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4189" Type="http://schemas.openxmlformats.org/officeDocument/2006/relationships/hyperlink" Target="https://www.google.com/search?newwindow=1&amp;ei=2MT0XrvGGM-vytMP1OyDgAY&amp;q=site%3Alinkedin.com+Sheria+Richardson+(She/Her)+University+Relations+Recruiter+Truist" TargetMode="External"/><Relationship Id="rId4188" Type="http://schemas.openxmlformats.org/officeDocument/2006/relationships/hyperlink" Target="https://www.google.com/search?newwindow=1&amp;ei=2MT0XrvGGM-vytMP1OyDgAY&amp;q=site%3Alinkedin.com+Melissa+Coggins+Sr.+Campus+Recruiter,+University+Relations+Truist" TargetMode="External"/><Relationship Id="rId1900" Type="http://schemas.openxmlformats.org/officeDocument/2006/relationships/hyperlink" Target="https://www.google.com/search?newwindow=1&amp;ei=2MT0XrvGGM-vytMP1OyDgAY&amp;q=site%3Alinkedin.com+Mai+C.+Maye+Sr.+Campus+Recruiter+Accenture" TargetMode="External"/><Relationship Id="rId1901" Type="http://schemas.openxmlformats.org/officeDocument/2006/relationships/hyperlink" Target="https://www.google.com/search?newwindow=1&amp;ei=2MT0XrvGGM-vytMP1OyDgAY&amp;q=site%3Alinkedin.com+Brooke+Steele+Campus+Recruiter+Accenture" TargetMode="External"/><Relationship Id="rId1902" Type="http://schemas.openxmlformats.org/officeDocument/2006/relationships/hyperlink" Target="https://www.google.com/search?newwindow=1&amp;ei=2MT0XrvGGM-vytMP1OyDgAY&amp;q=site%3Alinkedin.com+Krystin+Crane+Campus+Recruiter+Accenture" TargetMode="External"/><Relationship Id="rId1903" Type="http://schemas.openxmlformats.org/officeDocument/2006/relationships/hyperlink" Target="https://www.google.com/search?newwindow=1&amp;ei=2MT0XrvGGM-vytMP1OyDgAY&amp;q=site%3Alinkedin.com+Ashlei+Scott+Charlotte+Location+Lead+&amp;+Campus+Recruiter+Accenture" TargetMode="External"/><Relationship Id="rId1904" Type="http://schemas.openxmlformats.org/officeDocument/2006/relationships/hyperlink" Target="https://www.google.com/search?newwindow=1&amp;ei=2MT0XrvGGM-vytMP1OyDgAY&amp;q=site%3Alinkedin.com+Linnea+Levy+Sr.+Campus+Recruiter+Accenture" TargetMode="External"/><Relationship Id="rId1905" Type="http://schemas.openxmlformats.org/officeDocument/2006/relationships/hyperlink" Target="https://www.google.com/search?newwindow=1&amp;ei=2MT0XrvGGM-vytMP1OyDgAY&amp;q=site%3Alinkedin.com+Amy+LaPortre+Campus+Recruiter+Accenture" TargetMode="External"/><Relationship Id="rId1906" Type="http://schemas.openxmlformats.org/officeDocument/2006/relationships/hyperlink" Target="https://www.google.com/search?newwindow=1&amp;ei=2MT0XrvGGM-vytMP1OyDgAY&amp;q=site%3Alinkedin.com+Caroline+Stropes+Campus+Recruiter+Accenture" TargetMode="External"/><Relationship Id="rId1907" Type="http://schemas.openxmlformats.org/officeDocument/2006/relationships/hyperlink" Target="https://www.google.com/search?newwindow=1&amp;ei=2MT0XrvGGM-vytMP1OyDgAY&amp;q=site%3Alinkedin.com+Krysta+Lewis+Associate+Manager+Accenture" TargetMode="External"/><Relationship Id="rId1908" Type="http://schemas.openxmlformats.org/officeDocument/2006/relationships/hyperlink" Target="https://www.google.com/search?newwindow=1&amp;ei=2MT0XrvGGM-vytMP1OyDgAY&amp;q=site%3Alinkedin.com+Ilva+Fejzulla+Campus+Recruiter+Accenture" TargetMode="External"/><Relationship Id="rId1909" Type="http://schemas.openxmlformats.org/officeDocument/2006/relationships/hyperlink" Target="https://www.google.com/search?newwindow=1&amp;ei=2MT0XrvGGM-vytMP1OyDgAY&amp;q=site%3Alinkedin.com+Joey+Adams+Project+Manager+-+Business+Process+Optimization+for+Financial+Reporting+(Resources)+Accenture" TargetMode="External"/><Relationship Id="rId4170" Type="http://schemas.openxmlformats.org/officeDocument/2006/relationships/hyperlink" Target="https://www.google.com/search?newwindow=1&amp;ei=2MT0XrvGGM-vytMP1OyDgAY&amp;q=site%3Alinkedin.com+Tricia+Cooke+Campus+Recruiter+The+Walt+Disney+Company" TargetMode="External"/><Relationship Id="rId4172" Type="http://schemas.openxmlformats.org/officeDocument/2006/relationships/hyperlink" Target="https://www.google.com/search?newwindow=1&amp;ei=2MT0XrvGGM-vytMP1OyDgAY&amp;q=site%3Alinkedin.com+Kate+Perrine+Recruiter,+Disney+Campus+Recruitment+The+Walt+Disney+Company" TargetMode="External"/><Relationship Id="rId4171" Type="http://schemas.openxmlformats.org/officeDocument/2006/relationships/hyperlink" Target="https://www.google.com/search?newwindow=1&amp;ei=2MT0XrvGGM-vytMP1OyDgAY&amp;q=site%3Alinkedin.com+Devan+Moore+University+Recruiter+Microsoft" TargetMode="External"/><Relationship Id="rId4174" Type="http://schemas.openxmlformats.org/officeDocument/2006/relationships/hyperlink" Target="https://www.google.com/search?newwindow=1&amp;ei=2MT0XrvGGM-vytMP1OyDgAY&amp;q=site%3Alinkedin.com+Cathy+O'Brien+SHRM-CP,+PHR,+CIR+Sr.+Recruiter,+Disney+Campus+Recruitment+The+Walt+Disney+Company" TargetMode="External"/><Relationship Id="rId4173" Type="http://schemas.openxmlformats.org/officeDocument/2006/relationships/hyperlink" Target="https://www.google.com/search?newwindow=1&amp;ei=2MT0XrvGGM-vytMP1OyDgAY&amp;q=site%3Alinkedin.com+Mintesinot+Misgano+University+Recruiter+Microsoft" TargetMode="External"/><Relationship Id="rId4176" Type="http://schemas.openxmlformats.org/officeDocument/2006/relationships/hyperlink" Target="https://www.google.com/search?newwindow=1&amp;ei=2MT0XrvGGM-vytMP1OyDgAY&amp;q=site%3Alinkedin.com+Danielle+Smith+Recruiter,+Disney+College+Program+The+Walt+Disney+Company" TargetMode="External"/><Relationship Id="rId4175" Type="http://schemas.openxmlformats.org/officeDocument/2006/relationships/hyperlink" Target="https://www.google.com/search?newwindow=1&amp;ei=2MT0XrvGGM-vytMP1OyDgAY&amp;q=site%3Alinkedin.com+Erin+Creighton+Technical+University+Recruiter+Microsoft" TargetMode="External"/><Relationship Id="rId4178" Type="http://schemas.openxmlformats.org/officeDocument/2006/relationships/hyperlink" Target="https://www.google.com/search?newwindow=1&amp;ei=2MT0XrvGGM-vytMP1OyDgAY&amp;q=site%3Alinkedin.com+Claire+G.+Bradley+College+Recruiter;+Event+Management+Professional;+Community+Outreach+in+the+Recruiting+Field+The+Walt+Disney+Company" TargetMode="External"/><Relationship Id="rId4177" Type="http://schemas.openxmlformats.org/officeDocument/2006/relationships/hyperlink" Target="https://www.google.com/search?newwindow=1&amp;ei=2MT0XrvGGM-vytMP1OyDgAY&amp;q=site%3Alinkedin.com+Mary+Woodruff+(she/her)+University+Recruiter+Microsoft" TargetMode="External"/><Relationship Id="rId4179" Type="http://schemas.openxmlformats.org/officeDocument/2006/relationships/hyperlink" Target="https://www.google.com/search?newwindow=1&amp;ei=2MT0XrvGGM-vytMP1OyDgAY&amp;q=site%3Alinkedin.com+Joseph+Velez+University+Recruiter+(Contractor)+Microsoft" TargetMode="External"/><Relationship Id="rId4129" Type="http://schemas.openxmlformats.org/officeDocument/2006/relationships/hyperlink" Target="https://www.google.com/search?newwindow=1&amp;ei=2MT0XrvGGM-vytMP1OyDgAY&amp;q=site%3Alinkedin.com+Brooke+Fair+Manager+and+Campus+Recruiter+The+Buckle" TargetMode="External"/><Relationship Id="rId4128" Type="http://schemas.openxmlformats.org/officeDocument/2006/relationships/hyperlink" Target="https://www.google.com/search?newwindow=1&amp;ei=2MT0XrvGGM-vytMP1OyDgAY&amp;q=site%3Alinkedin.com+Paola+Riveros+Alvarez+LATAM+University+Recruiter+Microsoft" TargetMode="External"/><Relationship Id="rId1090" Type="http://schemas.openxmlformats.org/officeDocument/2006/relationships/hyperlink" Target="https://www.google.com/search?newwindow=1&amp;ei=2MT0XrvGGM-vytMP1OyDgAY&amp;q=site%3Alinkedin.com+Annie+Horsley+Campus+Recruiting+Coordinator" TargetMode="External"/><Relationship Id="rId1091" Type="http://schemas.openxmlformats.org/officeDocument/2006/relationships/hyperlink" Target="https://www.google.com/search?newwindow=1&amp;ei=2MT0XrvGGM-vytMP1OyDgAY&amp;q=site%3Alinkedin.com+Brooks+Farley+Campus+Recruiting+Coordinator,+ADP+RPO" TargetMode="External"/><Relationship Id="rId1092" Type="http://schemas.openxmlformats.org/officeDocument/2006/relationships/hyperlink" Target="https://www.google.com/search?newwindow=1&amp;ei=2MT0XrvGGM-vytMP1OyDgAY&amp;q=site%3Alinkedin.com+Katy+Y.+Campus+Recruiting+Coordinator+&amp;+Operations+Analyst" TargetMode="External"/><Relationship Id="rId1093" Type="http://schemas.openxmlformats.org/officeDocument/2006/relationships/hyperlink" Target="https://www.google.com/search?newwindow=1&amp;ei=2MT0XrvGGM-vytMP1OyDgAY&amp;q=site%3Alinkedin.com+Andrea+Diamond+Executive+Director,+Head+of+Campus+Strategy,+Investment+Mgmt,+&amp;+Infrastructure+Campus+Recruiting" TargetMode="External"/><Relationship Id="rId1094" Type="http://schemas.openxmlformats.org/officeDocument/2006/relationships/hyperlink" Target="https://www.google.com/search?newwindow=1&amp;ei=2MT0XrvGGM-vytMP1OyDgAY&amp;q=site%3Alinkedin.com+Melissa+Martinez+Lead+Campus+Recruiting+Coordinator" TargetMode="External"/><Relationship Id="rId1095" Type="http://schemas.openxmlformats.org/officeDocument/2006/relationships/hyperlink" Target="https://www.google.com/search?newwindow=1&amp;ei=2MT0XrvGGM-vytMP1OyDgAY&amp;q=site%3Alinkedin.com+Kathleen+McQuarrie+Campus+Recruiting+Coordinator+onsite+via+ADP+RPO" TargetMode="External"/><Relationship Id="rId4121" Type="http://schemas.openxmlformats.org/officeDocument/2006/relationships/hyperlink" Target="https://www.google.com/search?newwindow=1&amp;ei=2MT0XrvGGM-vytMP1OyDgAY&amp;q=site%3Alinkedin.com+Brian+Park+Strategic+Account+Manager+Texas+Instruments" TargetMode="External"/><Relationship Id="rId1096" Type="http://schemas.openxmlformats.org/officeDocument/2006/relationships/hyperlink" Target="https://www.google.com/search?newwindow=1&amp;ei=2MT0XrvGGM-vytMP1OyDgAY&amp;q=site%3Alinkedin.com+Marissa+Mellan+Manager,+Quantitative+Finance+Campus+Recruiting+at+Morgan+Stanley" TargetMode="External"/><Relationship Id="rId4120" Type="http://schemas.openxmlformats.org/officeDocument/2006/relationships/hyperlink" Target="https://www.google.com/search?newwindow=1&amp;ei=2MT0XrvGGM-vytMP1OyDgAY&amp;q=site%3Alinkedin.com+Jeffrey+G.+University+Recruiter+Microsoft" TargetMode="External"/><Relationship Id="rId1097" Type="http://schemas.openxmlformats.org/officeDocument/2006/relationships/hyperlink" Target="https://www.google.com/search?newwindow=1&amp;ei=2MT0XrvGGM-vytMP1OyDgAY&amp;q=site%3Alinkedin.com+Caitlin+Gallant+Campus+Recruiting" TargetMode="External"/><Relationship Id="rId4123" Type="http://schemas.openxmlformats.org/officeDocument/2006/relationships/hyperlink" Target="https://www.google.com/search?newwindow=1&amp;ei=2MT0XrvGGM-vytMP1OyDgAY&amp;q=site%3Alinkedin.com+Terry+La+Fleur+University+of+Michigan+Recruiter+Texas+Instruments" TargetMode="External"/><Relationship Id="rId1098" Type="http://schemas.openxmlformats.org/officeDocument/2006/relationships/hyperlink" Target="https://www.google.com/search?newwindow=1&amp;ei=2MT0XrvGGM-vytMP1OyDgAY&amp;q=site%3Alinkedin.com+Corrine+Verga+Campus+Recruiting+Coordinator+-+Investment+Banking+Division+at+Goldman+Sachs+via+ADP+RPO" TargetMode="External"/><Relationship Id="rId4122" Type="http://schemas.openxmlformats.org/officeDocument/2006/relationships/hyperlink" Target="https://www.google.com/search?newwindow=1&amp;ei=2MT0XrvGGM-vytMP1OyDgAY&amp;q=site%3Alinkedin.com+Alison+Anthony+University+Recruiter+Microsoft" TargetMode="External"/><Relationship Id="rId1099" Type="http://schemas.openxmlformats.org/officeDocument/2006/relationships/hyperlink" Target="https://www.google.com/search?newwindow=1&amp;ei=2MT0XrvGGM-vytMP1OyDgAY&amp;q=site%3Alinkedin.com+Victoria+Hess+Associate+Director,+Campus+Recruiting" TargetMode="External"/><Relationship Id="rId4125" Type="http://schemas.openxmlformats.org/officeDocument/2006/relationships/hyperlink" Target="https://www.google.com/search?newwindow=1&amp;ei=2MT0XrvGGM-vytMP1OyDgAY&amp;q=site%3Alinkedin.com+Kalie+Dyer+Area+Manager+and+Campus+Recruiter+The+Buckle" TargetMode="External"/><Relationship Id="rId4124" Type="http://schemas.openxmlformats.org/officeDocument/2006/relationships/hyperlink" Target="https://www.google.com/search?newwindow=1&amp;ei=2MT0XrvGGM-vytMP1OyDgAY&amp;q=site%3Alinkedin.com+Samne+Reyna+University+Recruiter+Microsoft" TargetMode="External"/><Relationship Id="rId4127" Type="http://schemas.openxmlformats.org/officeDocument/2006/relationships/hyperlink" Target="https://www.google.com/search?newwindow=1&amp;ei=2MT0XrvGGM-vytMP1OyDgAY&amp;q=site%3Alinkedin.com+Abby+Anderson+Store+Manager/Campus+Recruiter+The+Buckle" TargetMode="External"/><Relationship Id="rId4126" Type="http://schemas.openxmlformats.org/officeDocument/2006/relationships/hyperlink" Target="https://www.google.com/search?newwindow=1&amp;ei=2MT0XrvGGM-vytMP1OyDgAY&amp;q=site%3Alinkedin.com+Tony+Martinez+Technical+University+Recruiter+Microsoft" TargetMode="External"/><Relationship Id="rId4118" Type="http://schemas.openxmlformats.org/officeDocument/2006/relationships/hyperlink" Target="https://www.google.com/search?newwindow=1&amp;ei=2MT0XrvGGM-vytMP1OyDgAY&amp;q=site%3Alinkedin.com+Lauren+Araujo+University+UX+++PM+Recruiter+Microsoft" TargetMode="External"/><Relationship Id="rId4117" Type="http://schemas.openxmlformats.org/officeDocument/2006/relationships/hyperlink" Target="https://www.google.com/search?newwindow=1&amp;ei=2MT0XrvGGM-vytMP1OyDgAY&amp;q=site%3Alinkedin.com+Kaitlin+Garcia+University+Relations+Recruiter+TEKsystems" TargetMode="External"/><Relationship Id="rId4119" Type="http://schemas.openxmlformats.org/officeDocument/2006/relationships/hyperlink" Target="https://www.google.com/search?newwindow=1&amp;ei=2MT0XrvGGM-vytMP1OyDgAY&amp;q=site%3Alinkedin.com+Don+Dapkus+Applications+Engineering+Manager+Texas+Instruments" TargetMode="External"/><Relationship Id="rId1080" Type="http://schemas.openxmlformats.org/officeDocument/2006/relationships/hyperlink" Target="https://www.google.com/search?newwindow=1&amp;ei=2MT0XrvGGM-vytMP1OyDgAY&amp;q=site%3Alinkedin.com+Alyssa+Fleischman+Campus+Recruiting+Coordinator,+Technology" TargetMode="External"/><Relationship Id="rId1081" Type="http://schemas.openxmlformats.org/officeDocument/2006/relationships/hyperlink" Target="https://www.google.com/search?newwindow=1&amp;ei=2MT0XrvGGM-vytMP1OyDgAY&amp;q=site%3Alinkedin.com+Rachel+Vance+Talent+Experience+Specialist:+Campus+&amp;+Entry+Level+Recruiting" TargetMode="External"/><Relationship Id="rId1082" Type="http://schemas.openxmlformats.org/officeDocument/2006/relationships/hyperlink" Target="https://www.google.com/search?newwindow=1&amp;ei=2MT0XrvGGM-vytMP1OyDgAY&amp;q=site%3Alinkedin.com+Kaitlyn+Kilduff+Recruiting+Lead+-+Graduate+Campus+Internship+(GCi)+Data+Science+Program" TargetMode="External"/><Relationship Id="rId1083" Type="http://schemas.openxmlformats.org/officeDocument/2006/relationships/hyperlink" Target="https://www.google.com/search?newwindow=1&amp;ei=2MT0XrvGGM-vytMP1OyDgAY&amp;q=site%3Alinkedin.com+Matthew+Curry+Vice+President,+Technology+Campus+Recruiting+Lead+-+North+America" TargetMode="External"/><Relationship Id="rId1084" Type="http://schemas.openxmlformats.org/officeDocument/2006/relationships/hyperlink" Target="https://www.google.com/search?newwindow=1&amp;ei=2MT0XrvGGM-vytMP1OyDgAY&amp;q=site%3Alinkedin.com+Jia+C.+Campus+Recruiting+Manager" TargetMode="External"/><Relationship Id="rId4110" Type="http://schemas.openxmlformats.org/officeDocument/2006/relationships/hyperlink" Target="https://www.google.com/search?newwindow=1&amp;ei=2MT0XrvGGM-vytMP1OyDgAY&amp;q=site%3Alinkedin.com+Jordan+Greene+University+Recruiter+(Closer)+Microsoft" TargetMode="External"/><Relationship Id="rId1085" Type="http://schemas.openxmlformats.org/officeDocument/2006/relationships/hyperlink" Target="https://www.google.com/search?newwindow=1&amp;ei=2MT0XrvGGM-vytMP1OyDgAY&amp;q=site%3Alinkedin.com+Annie+Boig+McMullen+Vice+President,+Global+Head+of+Investment+Research+&amp;+Merchant+Banking+Campus+Recruiting" TargetMode="External"/><Relationship Id="rId1086" Type="http://schemas.openxmlformats.org/officeDocument/2006/relationships/hyperlink" Target="https://www.google.com/search?newwindow=1&amp;ei=2MT0XrvGGM-vytMP1OyDgAY&amp;q=site%3Alinkedin.com+Melissa+Bianco+Associate,+Campus+Recruiting+at+Goldman+Sachs" TargetMode="External"/><Relationship Id="rId4112" Type="http://schemas.openxmlformats.org/officeDocument/2006/relationships/hyperlink" Target="https://www.google.com/search?newwindow=1&amp;ei=2MT0XrvGGM-vytMP1OyDgAY&amp;q=site%3Alinkedin.com+Debarati+Nag+University+Recruiter+Microsoft" TargetMode="External"/><Relationship Id="rId1087" Type="http://schemas.openxmlformats.org/officeDocument/2006/relationships/hyperlink" Target="https://www.google.com/search?newwindow=1&amp;ei=2MT0XrvGGM-vytMP1OyDgAY&amp;q=site%3Alinkedin.com+Stephanie+Mondo+Executive+Director+-+Head+of+Technology+Experienced+and+Campus+Recruiting" TargetMode="External"/><Relationship Id="rId4111" Type="http://schemas.openxmlformats.org/officeDocument/2006/relationships/hyperlink" Target="https://www.google.com/search?newwindow=1&amp;ei=2MT0XrvGGM-vytMP1OyDgAY&amp;q=site%3Alinkedin.com+Se'Ron+Leary+Intern+IT+Recruiter+TEKsystems" TargetMode="External"/><Relationship Id="rId1088" Type="http://schemas.openxmlformats.org/officeDocument/2006/relationships/hyperlink" Target="https://www.google.com/search?newwindow=1&amp;ei=2MT0XrvGGM-vytMP1OyDgAY&amp;q=site%3Alinkedin.com+Karen+Burke+Campus+Recruiting+Coordinator" TargetMode="External"/><Relationship Id="rId4114" Type="http://schemas.openxmlformats.org/officeDocument/2006/relationships/hyperlink" Target="https://www.google.com/search?newwindow=1&amp;ei=2MT0XrvGGM-vytMP1OyDgAY&amp;q=site%3Alinkedin.com+Stanford+Savant+Stanford+University+Recruiter+Microsoft" TargetMode="External"/><Relationship Id="rId1089" Type="http://schemas.openxmlformats.org/officeDocument/2006/relationships/hyperlink" Target="https://www.google.com/search?newwindow=1&amp;ei=2MT0XrvGGM-vytMP1OyDgAY&amp;q=site%3Alinkedin.com+Samantha+Robins+Vice+President,+Technology+Campus+Recruiting+Manager+at+Citi" TargetMode="External"/><Relationship Id="rId4113" Type="http://schemas.openxmlformats.org/officeDocument/2006/relationships/hyperlink" Target="https://www.google.com/search?newwindow=1&amp;ei=2MT0XrvGGM-vytMP1OyDgAY&amp;q=site%3Alinkedin.com+Maggie+Loya+University+Relations+Recruiter+TEKsystems" TargetMode="External"/><Relationship Id="rId4116" Type="http://schemas.openxmlformats.org/officeDocument/2006/relationships/hyperlink" Target="https://www.google.com/search?newwindow=1&amp;ei=2MT0XrvGGM-vytMP1OyDgAY&amp;q=site%3Alinkedin.com+Connor+Ingerowski+Technical+University+Recruiter+Microsoft" TargetMode="External"/><Relationship Id="rId4115" Type="http://schemas.openxmlformats.org/officeDocument/2006/relationships/hyperlink" Target="https://www.google.com/search?newwindow=1&amp;ei=2MT0XrvGGM-vytMP1OyDgAY&amp;q=site%3Alinkedin.com+Taylor+Petersen+University+Relations+Recruiter+TEKsystems" TargetMode="External"/><Relationship Id="rId4141" Type="http://schemas.openxmlformats.org/officeDocument/2006/relationships/hyperlink" Target="https://www.google.com/search?newwindow=1&amp;ei=2MT0XrvGGM-vytMP1OyDgAY&amp;q=site%3Alinkedin.com+Tori+Taylor+Sales+Manager+and+Campus+Recruiter+-+Dallas+The+Buckle,+Inc." TargetMode="External"/><Relationship Id="rId4140" Type="http://schemas.openxmlformats.org/officeDocument/2006/relationships/hyperlink" Target="https://www.google.com/search?newwindow=1&amp;ei=2MT0XrvGGM-vytMP1OyDgAY&amp;q=site%3Alinkedin.com+Isabella+do+Couto+Reis+University+Recruiter+Microsoft" TargetMode="External"/><Relationship Id="rId4143" Type="http://schemas.openxmlformats.org/officeDocument/2006/relationships/hyperlink" Target="https://www.google.com/search?newwindow=1&amp;ei=2MT0XrvGGM-vytMP1OyDgAY&amp;q=site%3Alinkedin.com+Wade+Harville+Store+Manager+++Campus+Recruiter+(Denton,+Texas)+The+Buckle,+Inc." TargetMode="External"/><Relationship Id="rId4142" Type="http://schemas.openxmlformats.org/officeDocument/2006/relationships/hyperlink" Target="https://www.google.com/search?newwindow=1&amp;ei=2MT0XrvGGM-vytMP1OyDgAY&amp;q=site%3Alinkedin.com+Gabriel+Garcia+Marquez+University+Recruiter+Microsoft" TargetMode="External"/><Relationship Id="rId4145" Type="http://schemas.openxmlformats.org/officeDocument/2006/relationships/hyperlink" Target="https://www.google.com/search?newwindow=1&amp;ei=2MT0XrvGGM-vytMP1OyDgAY&amp;q=site%3Alinkedin.com+Natasha+Gutierrez+Co+Manager+The+Buckle,+Inc." TargetMode="External"/><Relationship Id="rId4144" Type="http://schemas.openxmlformats.org/officeDocument/2006/relationships/hyperlink" Target="https://www.google.com/search?newwindow=1&amp;ei=2MT0XrvGGM-vytMP1OyDgAY&amp;q=site%3Alinkedin.com+Eddie+Garcilazo+Technical+Recruiter+l+University+Recruitment+Microsoft" TargetMode="External"/><Relationship Id="rId4147" Type="http://schemas.openxmlformats.org/officeDocument/2006/relationships/hyperlink" Target="https://www.google.com/search?newwindow=1&amp;ei=2MT0XrvGGM-vytMP1OyDgAY&amp;q=site%3Alinkedin.com+Tawnya+Boelter+Campus+Recruiter+The+Buckle,+Inc." TargetMode="External"/><Relationship Id="rId4146" Type="http://schemas.openxmlformats.org/officeDocument/2006/relationships/hyperlink" Target="https://www.google.com/search?newwindow=1&amp;ei=2MT0XrvGGM-vytMP1OyDgAY&amp;q=site%3Alinkedin.com+Lola+Aliu+Technical+MBA+University+Recruiter+Microsoft" TargetMode="External"/><Relationship Id="rId4149" Type="http://schemas.openxmlformats.org/officeDocument/2006/relationships/hyperlink" Target="https://www.google.com/search?newwindow=1&amp;ei=2MT0XrvGGM-vytMP1OyDgAY&amp;q=site%3Alinkedin.com+Charity+Woods+University+Recruiter+Microsoft" TargetMode="External"/><Relationship Id="rId4148" Type="http://schemas.openxmlformats.org/officeDocument/2006/relationships/hyperlink" Target="https://www.google.com/search?newwindow=1&amp;ei=2MT0XrvGGM-vytMP1OyDgAY&amp;q=site%3Alinkedin.com+Jessica+Kaelin+Store+Manager/+Area+Manager/+Campus+Recruiter+The+Buckle,+Inc." TargetMode="External"/><Relationship Id="rId4139" Type="http://schemas.openxmlformats.org/officeDocument/2006/relationships/hyperlink" Target="https://www.google.com/search?newwindow=1&amp;ei=2MT0XrvGGM-vytMP1OyDgAY&amp;q=site%3Alinkedin.com+Taylor+Scruggs+UNT+Campus+Recruiter+The+Buckle,+Inc." TargetMode="External"/><Relationship Id="rId4130" Type="http://schemas.openxmlformats.org/officeDocument/2006/relationships/hyperlink" Target="https://www.google.com/search?newwindow=1&amp;ei=2MT0XrvGGM-vytMP1OyDgAY&amp;q=site%3Alinkedin.com+Michael+Toole+University+Recruiter+and+Video+Producer+Microsoft" TargetMode="External"/><Relationship Id="rId4132" Type="http://schemas.openxmlformats.org/officeDocument/2006/relationships/hyperlink" Target="https://www.google.com/search?newwindow=1&amp;ei=2MT0XrvGGM-vytMP1OyDgAY&amp;q=site%3Alinkedin.com+Karla+Paredes+University+Recruiter+Microsoft" TargetMode="External"/><Relationship Id="rId4131" Type="http://schemas.openxmlformats.org/officeDocument/2006/relationships/hyperlink" Target="https://www.google.com/search?newwindow=1&amp;ei=2MT0XrvGGM-vytMP1OyDgAY&amp;q=site%3Alinkedin.com+Brittany+Barnes+Manager/Campus+Recruiter+The+Buckle" TargetMode="External"/><Relationship Id="rId4134" Type="http://schemas.openxmlformats.org/officeDocument/2006/relationships/hyperlink" Target="https://www.google.com/search?newwindow=1&amp;ei=2MT0XrvGGM-vytMP1OyDgAY&amp;q=site%3Alinkedin.com+Stephanie+Treichel+University+Recruiter+Microsoft" TargetMode="External"/><Relationship Id="rId4133" Type="http://schemas.openxmlformats.org/officeDocument/2006/relationships/hyperlink" Target="https://www.google.com/search?newwindow=1&amp;ei=2MT0XrvGGM-vytMP1OyDgAY&amp;q=site%3Alinkedin.com+Courtney+McKenzie+Area+Manager+and+Campus+Recruiter+The+Buckle,+Inc." TargetMode="External"/><Relationship Id="rId4136" Type="http://schemas.openxmlformats.org/officeDocument/2006/relationships/hyperlink" Target="https://www.google.com/search?newwindow=1&amp;ei=2MT0XrvGGM-vytMP1OyDgAY&amp;q=site%3Alinkedin.com+Manasa+Pochampally+University+Recruiter+Microsoft" TargetMode="External"/><Relationship Id="rId4135" Type="http://schemas.openxmlformats.org/officeDocument/2006/relationships/hyperlink" Target="https://www.google.com/search?newwindow=1&amp;ei=2MT0XrvGGM-vytMP1OyDgAY&amp;q=site%3Alinkedin.com+Joel+Custer+Area+Manager+and+Regional+Campus+Recruiter+The+Buckle,+Inc." TargetMode="External"/><Relationship Id="rId4138" Type="http://schemas.openxmlformats.org/officeDocument/2006/relationships/hyperlink" Target="https://www.google.com/search?newwindow=1&amp;ei=2MT0XrvGGM-vytMP1OyDgAY&amp;q=site%3Alinkedin.com+Anna+Katrina+Robancho+University+Recruiter+Microsoft" TargetMode="External"/><Relationship Id="rId4137" Type="http://schemas.openxmlformats.org/officeDocument/2006/relationships/hyperlink" Target="https://www.google.com/search?newwindow=1&amp;ei=2MT0XrvGGM-vytMP1OyDgAY&amp;q=site%3Alinkedin.com+Andrea+Simmons+Area+Manager,+Campus+recruiter+,Buckle+select+stylist+The+Buckle,+Inc." TargetMode="External"/><Relationship Id="rId1972" Type="http://schemas.openxmlformats.org/officeDocument/2006/relationships/hyperlink" Target="https://www.google.com/search?newwindow=1&amp;ei=2MT0XrvGGM-vytMP1OyDgAY&amp;q=site%3Alinkedin.com+Laynee+Brown+Client+Lead+Recruiter,+University+Operations+Amazon" TargetMode="External"/><Relationship Id="rId1973" Type="http://schemas.openxmlformats.org/officeDocument/2006/relationships/hyperlink" Target="https://www.google.com/search?newwindow=1&amp;ei=2MT0XrvGGM-vytMP1OyDgAY&amp;q=site%3Alinkedin.com+Andreea+Patruta+University+Tech+Recruiter+Amazon" TargetMode="External"/><Relationship Id="rId1974" Type="http://schemas.openxmlformats.org/officeDocument/2006/relationships/hyperlink" Target="https://www.google.com/search?newwindow=1&amp;ei=2MT0XrvGGM-vytMP1OyDgAY&amp;q=site%3Alinkedin.com+Jessica+Shellan+University+Recruiter+Amazon" TargetMode="External"/><Relationship Id="rId1975" Type="http://schemas.openxmlformats.org/officeDocument/2006/relationships/hyperlink" Target="https://www.google.com/search?newwindow=1&amp;ei=2MT0XrvGGM-vytMP1OyDgAY&amp;q=site%3Alinkedin.com+Joshua+Ng+University+Operations+Recruiter+Amazon" TargetMode="External"/><Relationship Id="rId1976" Type="http://schemas.openxmlformats.org/officeDocument/2006/relationships/hyperlink" Target="https://www.google.com/search?newwindow=1&amp;ei=2MT0XrvGGM-vytMP1OyDgAY&amp;q=site%3Alinkedin.com+Sharon+Kim+University+Recruiter+Amazon" TargetMode="External"/><Relationship Id="rId1977" Type="http://schemas.openxmlformats.org/officeDocument/2006/relationships/hyperlink" Target="https://www.google.com/search?newwindow=1&amp;ei=2MT0XrvGGM-vytMP1OyDgAY&amp;q=site%3Alinkedin.com+Jennifer+Lindquist+University+Recruiter+-+Operations+Amazon" TargetMode="External"/><Relationship Id="rId1978" Type="http://schemas.openxmlformats.org/officeDocument/2006/relationships/hyperlink" Target="https://www.google.com/search?newwindow=1&amp;ei=2MT0XrvGGM-vytMP1OyDgAY&amp;q=site%3Alinkedin.com+Shreya+Shah+University+Operations+Recruiter+(Non-Tech)+Amazon" TargetMode="External"/><Relationship Id="rId1979" Type="http://schemas.openxmlformats.org/officeDocument/2006/relationships/hyperlink" Target="https://www.google.com/search?newwindow=1&amp;ei=2MT0XrvGGM-vytMP1OyDgAY&amp;q=site%3Alinkedin.com+Cristina+LeCuyer+Client+Lead+Recruiter,+University+Operations+Amazon" TargetMode="External"/><Relationship Id="rId1970" Type="http://schemas.openxmlformats.org/officeDocument/2006/relationships/hyperlink" Target="https://www.google.com/search?newwindow=1&amp;ei=2MT0XrvGGM-vytMP1OyDgAY&amp;q=site%3Alinkedin.com+David+Magnotta+Lead+University+Recruiter+(Recruiter+II)+Amazon" TargetMode="External"/><Relationship Id="rId1971" Type="http://schemas.openxmlformats.org/officeDocument/2006/relationships/hyperlink" Target="https://www.google.com/search?newwindow=1&amp;ei=2MT0XrvGGM-vytMP1OyDgAY&amp;q=site%3Alinkedin.com+Stephanie+Kang+University+Recruiter+Amazon" TargetMode="External"/><Relationship Id="rId1961" Type="http://schemas.openxmlformats.org/officeDocument/2006/relationships/hyperlink" Target="https://www.google.com/search?newwindow=1&amp;ei=2MT0XrvGGM-vytMP1OyDgAY&amp;q=site%3Alinkedin.com+Teresa+Landry+University+Recruiter+(Contract)+Amazon" TargetMode="External"/><Relationship Id="rId1962" Type="http://schemas.openxmlformats.org/officeDocument/2006/relationships/hyperlink" Target="https://www.google.com/search?newwindow=1&amp;ei=2MT0XrvGGM-vytMP1OyDgAY&amp;q=site%3Alinkedin.com+Lucas+Burton+Recruiter+-+University+Operations+Amazon" TargetMode="External"/><Relationship Id="rId1963" Type="http://schemas.openxmlformats.org/officeDocument/2006/relationships/hyperlink" Target="https://www.google.com/search?newwindow=1&amp;ei=2MT0XrvGGM-vytMP1OyDgAY&amp;q=site%3Alinkedin.com+Macarena+Arceo+University+Recruiter+-+Ops+Amazon" TargetMode="External"/><Relationship Id="rId1964" Type="http://schemas.openxmlformats.org/officeDocument/2006/relationships/hyperlink" Target="https://www.google.com/search?newwindow=1&amp;ei=2MT0XrvGGM-vytMP1OyDgAY&amp;q=site%3Alinkedin.com+Debora+P.+University+Recruiter-+Worldwide+Operations+Team+Amazon" TargetMode="External"/><Relationship Id="rId1965" Type="http://schemas.openxmlformats.org/officeDocument/2006/relationships/hyperlink" Target="https://www.google.com/search?newwindow=1&amp;ei=2MT0XrvGGM-vytMP1OyDgAY&amp;q=site%3Alinkedin.com+Jessie+Flores+University+Recruiter/Sourcer+l+and+ll+Amazon" TargetMode="External"/><Relationship Id="rId1966" Type="http://schemas.openxmlformats.org/officeDocument/2006/relationships/hyperlink" Target="https://www.google.com/search?newwindow=1&amp;ei=2MT0XrvGGM-vytMP1OyDgAY&amp;q=site%3Alinkedin.com+Renee+M.+Senior+University+Recruiter,+MBA+Recruiting+Amazon" TargetMode="External"/><Relationship Id="rId1967" Type="http://schemas.openxmlformats.org/officeDocument/2006/relationships/hyperlink" Target="https://www.google.com/search?newwindow=1&amp;ei=2MT0XrvGGM-vytMP1OyDgAY&amp;q=site%3Alinkedin.com+Jewel+Rose+University+Recruiter+Amazon" TargetMode="External"/><Relationship Id="rId1968" Type="http://schemas.openxmlformats.org/officeDocument/2006/relationships/hyperlink" Target="https://www.google.com/search?newwindow=1&amp;ei=2MT0XrvGGM-vytMP1OyDgAY&amp;q=site%3Alinkedin.com+Zack+Summers+University+Recruiter+Amazon" TargetMode="External"/><Relationship Id="rId1969" Type="http://schemas.openxmlformats.org/officeDocument/2006/relationships/hyperlink" Target="https://www.google.com/search?newwindow=1&amp;ei=2MT0XrvGGM-vytMP1OyDgAY&amp;q=site%3Alinkedin.com+J.J.+Wilford+University+Operations+Recruiter+Amazon" TargetMode="External"/><Relationship Id="rId1960" Type="http://schemas.openxmlformats.org/officeDocument/2006/relationships/hyperlink" Target="https://www.google.com/search?newwindow=1&amp;ei=2MT0XrvGGM-vytMP1OyDgAY&amp;q=site%3Alinkedin.com+Luann+A.+University+Recruiter-+HR+Operations+Amazon" TargetMode="External"/><Relationship Id="rId1994" Type="http://schemas.openxmlformats.org/officeDocument/2006/relationships/hyperlink" Target="https://www.google.com/search?newwindow=1&amp;ei=2MT0XrvGGM-vytMP1OyDgAY&amp;q=site%3Alinkedin.com+Caroline+Croy+Campus+Recruiter+American+Express" TargetMode="External"/><Relationship Id="rId1995" Type="http://schemas.openxmlformats.org/officeDocument/2006/relationships/hyperlink" Target="https://www.google.com/search?newwindow=1&amp;ei=2MT0XrvGGM-vytMP1OyDgAY&amp;q=site%3Alinkedin.com+Kameelah+White,+MBA+Senior+Campus+Recruiter-+Tech+American+Express" TargetMode="External"/><Relationship Id="rId1996" Type="http://schemas.openxmlformats.org/officeDocument/2006/relationships/hyperlink" Target="https://www.google.com/search?newwindow=1&amp;ei=2MT0XrvGGM-vytMP1OyDgAY&amp;q=site%3Alinkedin.com+Naomi+Hillsman+Campus+Recruiter+American+Express" TargetMode="External"/><Relationship Id="rId1997" Type="http://schemas.openxmlformats.org/officeDocument/2006/relationships/hyperlink" Target="https://www.google.com/search?newwindow=1&amp;ei=2MT0XrvGGM-vytMP1OyDgAY&amp;q=site%3Alinkedin.com+Gina+Willett+University+Relations+Recruiter+Apple" TargetMode="External"/><Relationship Id="rId1998" Type="http://schemas.openxmlformats.org/officeDocument/2006/relationships/hyperlink" Target="https://www.google.com/search?newwindow=1&amp;ei=2MT0XrvGGM-vytMP1OyDgAY&amp;q=site%3Alinkedin.com+Tabitha+James+AppleCare+College+Career+Experience+Recruiter+Apple" TargetMode="External"/><Relationship Id="rId1999" Type="http://schemas.openxmlformats.org/officeDocument/2006/relationships/hyperlink" Target="https://www.google.com/search?newwindow=1&amp;ei=2MT0XrvGGM-vytMP1OyDgAY&amp;q=site%3Alinkedin.com+Courtney+Yeager+Recruiter,+University+Relations+Apple" TargetMode="External"/><Relationship Id="rId1990" Type="http://schemas.openxmlformats.org/officeDocument/2006/relationships/hyperlink" Target="https://www.google.com/search?newwindow=1&amp;ei=2MT0XrvGGM-vytMP1OyDgAY&amp;q=site%3Alinkedin.com+Betty+Quach+Program+Manager+Amazon+Web+Services" TargetMode="External"/><Relationship Id="rId1991" Type="http://schemas.openxmlformats.org/officeDocument/2006/relationships/hyperlink" Target="https://www.google.com/search?newwindow=1&amp;ei=2MT0XrvGGM-vytMP1OyDgAY&amp;q=site%3Alinkedin.com+Anne-Marie+Corrales+US+Campus+Recruiter+American+Express" TargetMode="External"/><Relationship Id="rId1992" Type="http://schemas.openxmlformats.org/officeDocument/2006/relationships/hyperlink" Target="https://www.google.com/search?newwindow=1&amp;ei=2MT0XrvGGM-vytMP1OyDgAY&amp;q=site%3Alinkedin.com+Matthew+Bommarito+Campus+Recruiting+Manager+American+Express" TargetMode="External"/><Relationship Id="rId1993" Type="http://schemas.openxmlformats.org/officeDocument/2006/relationships/hyperlink" Target="https://www.google.com/search?newwindow=1&amp;ei=2MT0XrvGGM-vytMP1OyDgAY&amp;q=site%3Alinkedin.com+Mary+Curtis+U.S.+Campus+Recruiter+American+Express" TargetMode="External"/><Relationship Id="rId1983" Type="http://schemas.openxmlformats.org/officeDocument/2006/relationships/hyperlink" Target="https://www.google.com/search?newwindow=1&amp;ei=2MT0XrvGGM-vytMP1OyDgAY&amp;q=site%3Alinkedin.com+ShanShan+Tan+University+Recruiter+Amazon" TargetMode="External"/><Relationship Id="rId1984" Type="http://schemas.openxmlformats.org/officeDocument/2006/relationships/hyperlink" Target="https://www.google.com/search?newwindow=1&amp;ei=2MT0XrvGGM-vytMP1OyDgAY&amp;q=site%3Alinkedin.com+Jessica+Bates+University+Recruiter+Amazon" TargetMode="External"/><Relationship Id="rId1985" Type="http://schemas.openxmlformats.org/officeDocument/2006/relationships/hyperlink" Target="https://www.google.com/search?newwindow=1&amp;ei=2MT0XrvGGM-vytMP1OyDgAY&amp;q=site%3Alinkedin.com+Tony+Liu+Tech+Campus+Recruiter+Amazon" TargetMode="External"/><Relationship Id="rId1986" Type="http://schemas.openxmlformats.org/officeDocument/2006/relationships/hyperlink" Target="https://www.google.com/search?newwindow=1&amp;ei=2MT0XrvGGM-vytMP1OyDgAY&amp;q=site%3Alinkedin.com+Carly+Porter+Student+Programs,+Campus+Recruiter+Amazon" TargetMode="External"/><Relationship Id="rId1987" Type="http://schemas.openxmlformats.org/officeDocument/2006/relationships/hyperlink" Target="https://www.google.com/search?newwindow=1&amp;ei=2MT0XrvGGM-vytMP1OyDgAY&amp;q=site%3Alinkedin.com+Jessica+Mantel+University+Recruiter+Amazon" TargetMode="External"/><Relationship Id="rId1988" Type="http://schemas.openxmlformats.org/officeDocument/2006/relationships/hyperlink" Target="https://www.google.com/search?newwindow=1&amp;ei=2MT0XrvGGM-vytMP1OyDgAY&amp;q=site%3Alinkedin.com+Gabby+Ellis+Campus+Recruiting+Manager+Amazon+Prime+Student" TargetMode="External"/><Relationship Id="rId1989" Type="http://schemas.openxmlformats.org/officeDocument/2006/relationships/hyperlink" Target="https://www.google.com/search?newwindow=1&amp;ei=2MT0XrvGGM-vytMP1OyDgAY&amp;q=site%3Alinkedin.com+Carrie+Perretta-Murphy+Sr.+Technical+Recruiter+and+Campus+Lead+Amazon+Robotics" TargetMode="External"/><Relationship Id="rId1980" Type="http://schemas.openxmlformats.org/officeDocument/2006/relationships/hyperlink" Target="https://www.google.com/search?newwindow=1&amp;ei=2MT0XrvGGM-vytMP1OyDgAY&amp;q=site%3Alinkedin.com+Taylor+Rowland+University+Recruiter,+Amazon+Operations+Amazon" TargetMode="External"/><Relationship Id="rId1981" Type="http://schemas.openxmlformats.org/officeDocument/2006/relationships/hyperlink" Target="https://www.google.com/search?newwindow=1&amp;ei=2MT0XrvGGM-vytMP1OyDgAY&amp;q=site%3Alinkedin.com+Shavonne+Mehaffey+University+Recruiter+Amazon" TargetMode="External"/><Relationship Id="rId1982" Type="http://schemas.openxmlformats.org/officeDocument/2006/relationships/hyperlink" Target="https://www.google.com/search?newwindow=1&amp;ei=2MT0XrvGGM-vytMP1OyDgAY&amp;q=site%3Alinkedin.com+Talitha+S.+University+Recruiter,+Amazon+Operations+Amazon" TargetMode="External"/><Relationship Id="rId1930" Type="http://schemas.openxmlformats.org/officeDocument/2006/relationships/hyperlink" Target="https://www.google.com/search?newwindow=1&amp;ei=2MT0XrvGGM-vytMP1OyDgAY&amp;q=site%3Alinkedin.com+Alejandra+Mora+Campus+Recruiter+Accenture" TargetMode="External"/><Relationship Id="rId1931" Type="http://schemas.openxmlformats.org/officeDocument/2006/relationships/hyperlink" Target="https://www.google.com/search?newwindow=1&amp;ei=2MT0XrvGGM-vytMP1OyDgAY&amp;q=site%3Alinkedin.com+Rory+Merrill+Campus+Recruiter+Accenture" TargetMode="External"/><Relationship Id="rId1932" Type="http://schemas.openxmlformats.org/officeDocument/2006/relationships/hyperlink" Target="https://www.google.com/search?newwindow=1&amp;ei=2MT0XrvGGM-vytMP1OyDgAY&amp;q=site%3Alinkedin.com+Caroline+Shook+Campus+Recruiter+Accenture" TargetMode="External"/><Relationship Id="rId1933" Type="http://schemas.openxmlformats.org/officeDocument/2006/relationships/hyperlink" Target="https://www.google.com/search?newwindow=1&amp;ei=2MT0XrvGGM-vytMP1OyDgAY&amp;q=site%3Alinkedin.com+Mark+Acquaye+Diversity+Campus+Recruiter+Accenture" TargetMode="External"/><Relationship Id="rId1934" Type="http://schemas.openxmlformats.org/officeDocument/2006/relationships/hyperlink" Target="https://www.google.com/search?newwindow=1&amp;ei=2MT0XrvGGM-vytMP1OyDgAY&amp;q=site%3Alinkedin.com+Samantha+Meason+Campus+Recruiter+Accenture+Federal+Services" TargetMode="External"/><Relationship Id="rId1935" Type="http://schemas.openxmlformats.org/officeDocument/2006/relationships/hyperlink" Target="https://www.google.com/search?newwindow=1&amp;ei=2MT0XrvGGM-vytMP1OyDgAY&amp;q=site%3Alinkedin.com+Rachel+Neuschaefer+Recruiting+Manager/Lead,+Campus+and+Entry+Level+Recruitment+Accenture+Federal+Services" TargetMode="External"/><Relationship Id="rId1936" Type="http://schemas.openxmlformats.org/officeDocument/2006/relationships/hyperlink" Target="https://www.google.com/search?newwindow=1&amp;ei=2MT0XrvGGM-vytMP1OyDgAY&amp;q=site%3Alinkedin.com+Lexi+Lubin+Campus+Recruiter+Accenture+Federal+Services" TargetMode="External"/><Relationship Id="rId1937" Type="http://schemas.openxmlformats.org/officeDocument/2006/relationships/hyperlink" Target="https://www.google.com/search?newwindow=1&amp;ei=2MT0XrvGGM-vytMP1OyDgAY&amp;q=site%3Alinkedin.com+Brandon+Moore+Senior+Campus+Recruiter+Accenture+Strategy" TargetMode="External"/><Relationship Id="rId1938" Type="http://schemas.openxmlformats.org/officeDocument/2006/relationships/hyperlink" Target="https://www.google.com/search?newwindow=1&amp;ei=2MT0XrvGGM-vytMP1OyDgAY&amp;q=site%3Alinkedin.com+Erin+Breslin-Garcia+Sr.+Recruiter,+Campus+Recruiting+Activision" TargetMode="External"/><Relationship Id="rId1939" Type="http://schemas.openxmlformats.org/officeDocument/2006/relationships/hyperlink" Target="https://www.google.com/search?newwindow=1&amp;ei=2MT0XrvGGM-vytMP1OyDgAY&amp;q=site%3Alinkedin.com+JoAnne+Jean-Noel+Campus+Recruiter+Allstate" TargetMode="External"/><Relationship Id="rId1920" Type="http://schemas.openxmlformats.org/officeDocument/2006/relationships/hyperlink" Target="https://www.google.com/search?newwindow=1&amp;ei=2MT0XrvGGM-vytMP1OyDgAY&amp;q=site%3Alinkedin.com+Christina+Coy+Campus+Recruiter+Accenture" TargetMode="External"/><Relationship Id="rId1921" Type="http://schemas.openxmlformats.org/officeDocument/2006/relationships/hyperlink" Target="https://www.google.com/search?newwindow=1&amp;ei=2MT0XrvGGM-vytMP1OyDgAY&amp;q=site%3Alinkedin.com+Rachel+McGrath+Sr.+Campus+Recruiter-+Strategy+Accenture" TargetMode="External"/><Relationship Id="rId1922" Type="http://schemas.openxmlformats.org/officeDocument/2006/relationships/hyperlink" Target="https://www.google.com/search?newwindow=1&amp;ei=2MT0XrvGGM-vytMP1OyDgAY&amp;q=site%3Alinkedin.com+Courtney+Schroeder+Associate+Recruiter+-+Campus+Recruiting+Accenture" TargetMode="External"/><Relationship Id="rId1923" Type="http://schemas.openxmlformats.org/officeDocument/2006/relationships/hyperlink" Target="https://www.google.com/search?newwindow=1&amp;ei=2MT0XrvGGM-vytMP1OyDgAY&amp;q=site%3Alinkedin.com+Elsa+Wilcox+Campus+Recruiter+Accenture" TargetMode="External"/><Relationship Id="rId1924" Type="http://schemas.openxmlformats.org/officeDocument/2006/relationships/hyperlink" Target="https://www.google.com/search?newwindow=1&amp;ei=2MT0XrvGGM-vytMP1OyDgAY&amp;q=site%3Alinkedin.com+Suzie+Cochran+Campus+Recruiter+Accenture" TargetMode="External"/><Relationship Id="rId1925" Type="http://schemas.openxmlformats.org/officeDocument/2006/relationships/hyperlink" Target="https://www.google.com/search?newwindow=1&amp;ei=2MT0XrvGGM-vytMP1OyDgAY&amp;q=site%3Alinkedin.com+Jessica+Steciw+Campus+Recruiter+Accenture" TargetMode="External"/><Relationship Id="rId1926" Type="http://schemas.openxmlformats.org/officeDocument/2006/relationships/hyperlink" Target="https://www.google.com/search?newwindow=1&amp;ei=2MT0XrvGGM-vytMP1OyDgAY&amp;q=site%3Alinkedin.com+Porsha+Alexander+Strategy+Campus+Recruiting+Associate+Manager+Accenture" TargetMode="External"/><Relationship Id="rId1927" Type="http://schemas.openxmlformats.org/officeDocument/2006/relationships/hyperlink" Target="https://www.google.com/search?newwindow=1&amp;ei=2MT0XrvGGM-vytMP1OyDgAY&amp;q=site%3Alinkedin.com+Taylor+Spikes+Strategy+Campus+Recruiter+Accenture" TargetMode="External"/><Relationship Id="rId1928" Type="http://schemas.openxmlformats.org/officeDocument/2006/relationships/hyperlink" Target="https://www.google.com/search?newwindow=1&amp;ei=2MT0XrvGGM-vytMP1OyDgAY&amp;q=site%3Alinkedin.com+Keyanea+Marrow+Campus+Recruiter+Accenture" TargetMode="External"/><Relationship Id="rId1929" Type="http://schemas.openxmlformats.org/officeDocument/2006/relationships/hyperlink" Target="https://www.google.com/search?newwindow=1&amp;ei=2MT0XrvGGM-vytMP1OyDgAY&amp;q=site%3Alinkedin.com+Catherine+Halcewicz+Pleskaczewski+Campus+Recruiter+Accenture" TargetMode="External"/><Relationship Id="rId4190" Type="http://schemas.openxmlformats.org/officeDocument/2006/relationships/hyperlink" Target="https://www.google.com/search?newwindow=1&amp;ei=2MT0XrvGGM-vytMP1OyDgAY&amp;q=site%3Alinkedin.com+Brett+Chase+PhD+University+Recruiter+Microsoft" TargetMode="External"/><Relationship Id="rId4192" Type="http://schemas.openxmlformats.org/officeDocument/2006/relationships/hyperlink" Target="https://www.google.com/search?newwindow=1&amp;ei=2MT0XrvGGM-vytMP1OyDgAY&amp;q=site%3Alinkedin.com+Tristan+Boone+University+Recruiter+Microsoft" TargetMode="External"/><Relationship Id="rId4191" Type="http://schemas.openxmlformats.org/officeDocument/2006/relationships/hyperlink" Target="https://www.google.com/search?newwindow=1&amp;ei=2MT0XrvGGM-vytMP1OyDgAY&amp;q=site%3Alinkedin.com+Lindsay+Joyner+University+Relations+Recruiting+Manager+at+Truist+Truist" TargetMode="External"/><Relationship Id="rId4194" Type="http://schemas.openxmlformats.org/officeDocument/2006/relationships/hyperlink" Target="https://www.google.com/search?newwindow=1&amp;ei=2MT0XrvGGM-vytMP1OyDgAY&amp;q=site%3Alinkedin.com+Rachel+Wightman+Contract+University+Recruiter+Microsoft" TargetMode="External"/><Relationship Id="rId4193" Type="http://schemas.openxmlformats.org/officeDocument/2006/relationships/hyperlink" Target="https://www.google.com/search?newwindow=1&amp;ei=2MT0XrvGGM-vytMP1OyDgAY&amp;q=site%3Alinkedin.com+Letitia+Bethel-White+University+Relations+Recruiter+Truist" TargetMode="External"/><Relationship Id="rId4196" Type="http://schemas.openxmlformats.org/officeDocument/2006/relationships/hyperlink" Target="https://www.google.com/search?newwindow=1&amp;ei=2MT0XrvGGM-vytMP1OyDgAY&amp;q=site%3Alinkedin.com+Bryan+Spence+Diversity+University+Recruiter+Microsoft" TargetMode="External"/><Relationship Id="rId4195" Type="http://schemas.openxmlformats.org/officeDocument/2006/relationships/hyperlink" Target="https://www.google.com/search?newwindow=1&amp;ei=2MT0XrvGGM-vytMP1OyDgAY&amp;q=site%3Alinkedin.com+Luana+Hill+University+Recruiter+Truist" TargetMode="External"/><Relationship Id="rId4198" Type="http://schemas.openxmlformats.org/officeDocument/2006/relationships/hyperlink" Target="https://www.google.com/search?newwindow=1&amp;ei=2MT0XrvGGM-vytMP1OyDgAY&amp;q=site%3Alinkedin.com+Julie+R.+University+Recruiter+Twitter" TargetMode="External"/><Relationship Id="rId4197" Type="http://schemas.openxmlformats.org/officeDocument/2006/relationships/hyperlink" Target="https://www.google.com/search?newwindow=1&amp;ei=2MT0XrvGGM-vytMP1OyDgAY&amp;q=site%3Alinkedin.com+Colin+McCurry,+M.A.+University+Relations+Recruiter+Truist" TargetMode="External"/><Relationship Id="rId4199" Type="http://schemas.openxmlformats.org/officeDocument/2006/relationships/hyperlink" Target="https://www.google.com/search?newwindow=1&amp;ei=2MT0XrvGGM-vytMP1OyDgAY&amp;q=site%3Alinkedin.com+Ellie+Purdy+Campus+Recruiter+MongoDB" TargetMode="External"/><Relationship Id="rId1950" Type="http://schemas.openxmlformats.org/officeDocument/2006/relationships/hyperlink" Target="https://www.google.com/search?newwindow=1&amp;ei=2MT0XrvGGM-vytMP1OyDgAY&amp;q=site%3Alinkedin.com+Jennifer+Sula+University+Recruiter+Amazon" TargetMode="External"/><Relationship Id="rId1951" Type="http://schemas.openxmlformats.org/officeDocument/2006/relationships/hyperlink" Target="https://www.google.com/search?newwindow=1&amp;ei=2MT0XrvGGM-vytMP1OyDgAY&amp;q=site%3Alinkedin.com+Kristen+Stygar+University+Recruiter+Amazon" TargetMode="External"/><Relationship Id="rId1952" Type="http://schemas.openxmlformats.org/officeDocument/2006/relationships/hyperlink" Target="https://www.google.com/search?newwindow=1&amp;ei=2MT0XrvGGM-vytMP1OyDgAY&amp;q=site%3Alinkedin.com+Angelica+Loya+University+Recruiter+-+Amazon+Amazon" TargetMode="External"/><Relationship Id="rId1953" Type="http://schemas.openxmlformats.org/officeDocument/2006/relationships/hyperlink" Target="https://www.google.com/search?newwindow=1&amp;ei=2MT0XrvGGM-vytMP1OyDgAY&amp;q=site%3Alinkedin.com+Dillon+Draper+University+Operations+Recruiter+Amazon" TargetMode="External"/><Relationship Id="rId1954" Type="http://schemas.openxmlformats.org/officeDocument/2006/relationships/hyperlink" Target="https://www.google.com/search?newwindow=1&amp;ei=2MT0XrvGGM-vytMP1OyDgAY&amp;q=site%3Alinkedin.com+Jessica+Campbell+University+Recruiter-Ops+TA+Amazon" TargetMode="External"/><Relationship Id="rId1955" Type="http://schemas.openxmlformats.org/officeDocument/2006/relationships/hyperlink" Target="https://www.google.com/search?newwindow=1&amp;ei=2MT0XrvGGM-vytMP1OyDgAY&amp;q=site%3Alinkedin.com+Wade+Irwin,+CTL+Ops+University+Recruiter+Amazon" TargetMode="External"/><Relationship Id="rId1956" Type="http://schemas.openxmlformats.org/officeDocument/2006/relationships/hyperlink" Target="https://www.google.com/search?newwindow=1&amp;ei=2MT0XrvGGM-vytMP1OyDgAY&amp;q=site%3Alinkedin.com+Kinnera+Kokulla+University+Ops+recruiter+Amazon" TargetMode="External"/><Relationship Id="rId1957" Type="http://schemas.openxmlformats.org/officeDocument/2006/relationships/hyperlink" Target="https://www.google.com/search?newwindow=1&amp;ei=2MT0XrvGGM-vytMP1OyDgAY&amp;q=site%3Alinkedin.com+Symone+Black+University+Recruiter+II+Amazon" TargetMode="External"/><Relationship Id="rId1958" Type="http://schemas.openxmlformats.org/officeDocument/2006/relationships/hyperlink" Target="https://www.google.com/search?newwindow=1&amp;ei=2MT0XrvGGM-vytMP1OyDgAY&amp;q=site%3Alinkedin.com+Nimon+Macid+University+Recruiter+Amazon" TargetMode="External"/><Relationship Id="rId1959" Type="http://schemas.openxmlformats.org/officeDocument/2006/relationships/hyperlink" Target="https://www.google.com/search?newwindow=1&amp;ei=2MT0XrvGGM-vytMP1OyDgAY&amp;q=site%3Alinkedin.com+Henal+Majethia+Operations+University+Recruiter+Amazon" TargetMode="External"/><Relationship Id="rId1940" Type="http://schemas.openxmlformats.org/officeDocument/2006/relationships/hyperlink" Target="https://www.google.com/search?newwindow=1&amp;ei=2MT0XrvGGM-vytMP1OyDgAY&amp;q=site%3Alinkedin.com+David+Tarkenton,+MBA+Technology+Campus+Recruiter+Allstate" TargetMode="External"/><Relationship Id="rId1941" Type="http://schemas.openxmlformats.org/officeDocument/2006/relationships/hyperlink" Target="https://www.google.com/search?newwindow=1&amp;ei=2MT0XrvGGM-vytMP1OyDgAY&amp;q=site%3Alinkedin.com+Kayla+King,+MPA+Campus+Recruiter+Allstate" TargetMode="External"/><Relationship Id="rId1942" Type="http://schemas.openxmlformats.org/officeDocument/2006/relationships/hyperlink" Target="https://www.google.com/search?newwindow=1&amp;ei=2MT0XrvGGM-vytMP1OyDgAY&amp;q=site%3Alinkedin.com+Jillian+Farrell+Campus+Recruiting+Lead+Allstate" TargetMode="External"/><Relationship Id="rId1943" Type="http://schemas.openxmlformats.org/officeDocument/2006/relationships/hyperlink" Target="https://www.google.com/search?newwindow=1&amp;ei=2MT0XrvGGM-vytMP1OyDgAY&amp;q=site%3Alinkedin.com+Madison+Bruchsaler+Campus+Recruiter+Allstate" TargetMode="External"/><Relationship Id="rId1944" Type="http://schemas.openxmlformats.org/officeDocument/2006/relationships/hyperlink" Target="https://www.google.com/search?newwindow=1&amp;ei=2MT0XrvGGM-vytMP1OyDgAY&amp;q=site%3Alinkedin.com+Candace+Gerads+Campus+Recruiter+Allstate" TargetMode="External"/><Relationship Id="rId1945" Type="http://schemas.openxmlformats.org/officeDocument/2006/relationships/hyperlink" Target="https://www.google.com/search?newwindow=1&amp;ei=2MT0XrvGGM-vytMP1OyDgAY&amp;q=site%3Alinkedin.com+Nina+Pantich+University+Recruiter+Amazon" TargetMode="External"/><Relationship Id="rId1946" Type="http://schemas.openxmlformats.org/officeDocument/2006/relationships/hyperlink" Target="https://www.google.com/search?newwindow=1&amp;ei=2MT0XrvGGM-vytMP1OyDgAY&amp;q=site%3Alinkedin.com+Anna+McQuaid+Recruiter+-+University+Ops+Amazon" TargetMode="External"/><Relationship Id="rId1947" Type="http://schemas.openxmlformats.org/officeDocument/2006/relationships/hyperlink" Target="https://www.google.com/search?newwindow=1&amp;ei=2MT0XrvGGM-vytMP1OyDgAY&amp;q=site%3Alinkedin.com+Olivia+Hopkins+University+Recruiter+-+Corporate+Operations+Amazon" TargetMode="External"/><Relationship Id="rId1948" Type="http://schemas.openxmlformats.org/officeDocument/2006/relationships/hyperlink" Target="https://www.google.com/search?newwindow=1&amp;ei=2MT0XrvGGM-vytMP1OyDgAY&amp;q=site%3Alinkedin.com+Jen+Bednar+Sr.+Recruiter,+Student+(University)+Programs+-+MBA+Amazon" TargetMode="External"/><Relationship Id="rId1949" Type="http://schemas.openxmlformats.org/officeDocument/2006/relationships/hyperlink" Target="https://www.google.com/search?newwindow=1&amp;ei=2MT0XrvGGM-vytMP1OyDgAY&amp;q=site%3Alinkedin.com+Vannessa+Trahan+Client+Lead+University+Recruiter+Amazon" TargetMode="External"/><Relationship Id="rId2423" Type="http://schemas.openxmlformats.org/officeDocument/2006/relationships/hyperlink" Target="https://www.google.com/search?newwindow=1&amp;ei=2MT0XrvGGM-vytMP1OyDgAY&amp;q=site%3Alinkedin.com+Catherine+Chavez+University+Recruiter+Deloitte" TargetMode="External"/><Relationship Id="rId3755" Type="http://schemas.openxmlformats.org/officeDocument/2006/relationships/hyperlink" Target="https://www.google.com/search?newwindow=1&amp;ei=2MT0XrvGGM-vytMP1OyDgAY&amp;q=site%3Alinkedin.com+Michelle+Hall+Senior+Wealth+Management+Campus+Recruiter+J.P.+Morgan" TargetMode="External"/><Relationship Id="rId2424" Type="http://schemas.openxmlformats.org/officeDocument/2006/relationships/hyperlink" Target="https://www.google.com/search?newwindow=1&amp;ei=2MT0XrvGGM-vytMP1OyDgAY&amp;q=site%3Alinkedin.com+Jade+Gingras+Campus+Recruiting+Specialist+Deloitte" TargetMode="External"/><Relationship Id="rId3754" Type="http://schemas.openxmlformats.org/officeDocument/2006/relationships/hyperlink" Target="https://www.google.com/search?newwindow=1&amp;ei=2MT0XrvGGM-vytMP1OyDgAY&amp;q=site%3Alinkedin.com+Cynthia+Le+University+Recruiting+Campus+Manager+NVIDIA" TargetMode="External"/><Relationship Id="rId2425" Type="http://schemas.openxmlformats.org/officeDocument/2006/relationships/hyperlink" Target="https://www.google.com/search?newwindow=1&amp;ei=2MT0XrvGGM-vytMP1OyDgAY&amp;q=site%3Alinkedin.com+Gretchen+Farr+Senior+Technical+Recruiter+-++University+Relations+-+Operations+&amp;+Software+Engineering+Apple" TargetMode="External"/><Relationship Id="rId3757" Type="http://schemas.openxmlformats.org/officeDocument/2006/relationships/hyperlink" Target="https://www.google.com/search?newwindow=1&amp;ei=2MT0XrvGGM-vytMP1OyDgAY&amp;q=site%3Alinkedin.com+Lauren+Silveira+Campus+Manager,+University+Recruiting+NVIDIA" TargetMode="External"/><Relationship Id="rId2426" Type="http://schemas.openxmlformats.org/officeDocument/2006/relationships/hyperlink" Target="https://www.google.com/search?newwindow=1&amp;ei=2MT0XrvGGM-vytMP1OyDgAY&amp;q=site%3Alinkedin.com+Stephanie+Ryder+Campus+Recruiter+Deloitte" TargetMode="External"/><Relationship Id="rId3756" Type="http://schemas.openxmlformats.org/officeDocument/2006/relationships/hyperlink" Target="https://www.google.com/search?newwindow=1&amp;ei=2MT0XrvGGM-vytMP1OyDgAY&amp;q=site%3Alinkedin.com+Ray+Rufino+University+Recruiter+NVIDIA" TargetMode="External"/><Relationship Id="rId2427" Type="http://schemas.openxmlformats.org/officeDocument/2006/relationships/hyperlink" Target="https://www.google.com/search?newwindow=1&amp;ei=2MT0XrvGGM-vytMP1OyDgAY&amp;q=site%3Alinkedin.com+Jenni+Graham+Lead+Experienced+Recruiter+Deloitte" TargetMode="External"/><Relationship Id="rId3759" Type="http://schemas.openxmlformats.org/officeDocument/2006/relationships/hyperlink" Target="https://www.google.com/search?newwindow=1&amp;ei=2MT0XrvGGM-vytMP1OyDgAY&amp;q=site%3Alinkedin.com+Kate+Cooper+University+Relations+-+Recruiter+JPMorgan+Chase" TargetMode="External"/><Relationship Id="rId2428" Type="http://schemas.openxmlformats.org/officeDocument/2006/relationships/hyperlink" Target="https://www.google.com/search?newwindow=1&amp;ei=2MT0XrvGGM-vytMP1OyDgAY&amp;q=site%3Alinkedin.com+Chanelle+Yee+University+Relations+Recruiter+Apple" TargetMode="External"/><Relationship Id="rId3758" Type="http://schemas.openxmlformats.org/officeDocument/2006/relationships/hyperlink" Target="https://www.google.com/search?newwindow=1&amp;ei=2MT0XrvGGM-vytMP1OyDgAY&amp;q=site%3Alinkedin.com+Olga+Nikolaev+University+Recruiter+-+Hardware+Engineering,+Deep+Learning,+&amp;+Autonomous+Vehicles+NVIDIA" TargetMode="External"/><Relationship Id="rId2429" Type="http://schemas.openxmlformats.org/officeDocument/2006/relationships/hyperlink" Target="https://www.google.com/search?newwindow=1&amp;ei=2MT0XrvGGM-vytMP1OyDgAY&amp;q=site%3Alinkedin.com+Melissa+Varkoly+Senior+Manager+-+Audit+Talent+Business+Advisor+Deloitte" TargetMode="External"/><Relationship Id="rId509" Type="http://schemas.openxmlformats.org/officeDocument/2006/relationships/hyperlink" Target="https://www.google.com/search?newwindow=1&amp;ei=2MT0XrvGGM-vytMP1OyDgAY&amp;q=site%3Alinkedin.com+Amy+Curtin+Human+Capital+Recruiting+Manager" TargetMode="External"/><Relationship Id="rId508" Type="http://schemas.openxmlformats.org/officeDocument/2006/relationships/hyperlink" Target="https://www.google.com/search?newwindow=1&amp;ei=2MT0XrvGGM-vytMP1OyDgAY&amp;q=site%3Alinkedin.com+CJ+Giles+Senior+Recruiting+-+Global+and+Large+Enterprise+Sales" TargetMode="External"/><Relationship Id="rId503" Type="http://schemas.openxmlformats.org/officeDocument/2006/relationships/hyperlink" Target="https://www.google.com/search?newwindow=1&amp;ei=2MT0XrvGGM-vytMP1OyDgAY&amp;q=site%3Alinkedin.com+Samyra+Clarke+Campus+Recruiting+Operations+Lead,+Accenture+Federal+Services" TargetMode="External"/><Relationship Id="rId502" Type="http://schemas.openxmlformats.org/officeDocument/2006/relationships/hyperlink" Target="https://www.google.com/search?newwindow=1&amp;ei=2MT0XrvGGM-vytMP1OyDgAY&amp;q=site%3Alinkedin.com+Kristin+Chase+Campus+Recruiting+Specialist" TargetMode="External"/><Relationship Id="rId501" Type="http://schemas.openxmlformats.org/officeDocument/2006/relationships/hyperlink" Target="https://www.google.com/search?newwindow=1&amp;ei=2MT0XrvGGM-vytMP1OyDgAY&amp;q=site%3Alinkedin.com+Annarose+Christakos+Campus+Recruiting+Coordinator" TargetMode="External"/><Relationship Id="rId500" Type="http://schemas.openxmlformats.org/officeDocument/2006/relationships/hyperlink" Target="https://www.google.com/search?newwindow=1&amp;ei=2MT0XrvGGM-vytMP1OyDgAY&amp;q=site%3Alinkedin.com+Natalie+March+Graduate+Recruiter" TargetMode="External"/><Relationship Id="rId507" Type="http://schemas.openxmlformats.org/officeDocument/2006/relationships/hyperlink" Target="https://www.google.com/search?newwindow=1&amp;ei=2MT0XrvGGM-vytMP1OyDgAY&amp;q=site%3Alinkedin.com+Caitlin+Seccombe+Manager,+Recruiting" TargetMode="External"/><Relationship Id="rId506" Type="http://schemas.openxmlformats.org/officeDocument/2006/relationships/hyperlink" Target="https://www.google.com/search?newwindow=1&amp;ei=2MT0XrvGGM-vytMP1OyDgAY&amp;q=site%3Alinkedin.com+Emily+Farrah,+CGSP+University,+D&amp;I+Recruiting+Project+Specialist" TargetMode="External"/><Relationship Id="rId505" Type="http://schemas.openxmlformats.org/officeDocument/2006/relationships/hyperlink" Target="https://www.google.com/search?newwindow=1&amp;ei=2MT0XrvGGM-vytMP1OyDgAY&amp;q=site%3Alinkedin.com+Dawn+John+Northeast+Campus+Recruiting+Leader" TargetMode="External"/><Relationship Id="rId504" Type="http://schemas.openxmlformats.org/officeDocument/2006/relationships/hyperlink" Target="https://www.google.com/search?newwindow=1&amp;ei=2MT0XrvGGM-vytMP1OyDgAY&amp;q=site%3Alinkedin.com+Hayley+McCormack+Student+recruitment+and+Admissions+Co-ordinator+(Penryn+Campus)" TargetMode="External"/><Relationship Id="rId3751" Type="http://schemas.openxmlformats.org/officeDocument/2006/relationships/hyperlink" Target="https://www.google.com/search?newwindow=1&amp;ei=2MT0XrvGGM-vytMP1OyDgAY&amp;q=site%3Alinkedin.com+Nancy+Huynh+University+Recruiter+NVIDIA" TargetMode="External"/><Relationship Id="rId2420" Type="http://schemas.openxmlformats.org/officeDocument/2006/relationships/hyperlink" Target="https://www.google.com/search?newwindow=1&amp;ei=2MT0XrvGGM-vytMP1OyDgAY&amp;q=site%3Alinkedin.com+Joanna+Mackow+University+Relations+-+R&amp;D+Recruiter+Apple" TargetMode="External"/><Relationship Id="rId3750" Type="http://schemas.openxmlformats.org/officeDocument/2006/relationships/hyperlink" Target="https://www.google.com/search?newwindow=1&amp;ei=2MT0XrvGGM-vytMP1OyDgAY&amp;q=site%3Alinkedin.com+Wanda+Mendez+Campus+Recruiter+J.P.+Morgan" TargetMode="External"/><Relationship Id="rId2421" Type="http://schemas.openxmlformats.org/officeDocument/2006/relationships/hyperlink" Target="https://www.google.com/search?newwindow=1&amp;ei=2MT0XrvGGM-vytMP1OyDgAY&amp;q=site%3Alinkedin.com+Casey+Comings+Senior+Campus+Recruiter+Deloitte" TargetMode="External"/><Relationship Id="rId3753" Type="http://schemas.openxmlformats.org/officeDocument/2006/relationships/hyperlink" Target="https://www.google.com/search?newwindow=1&amp;ei=2MT0XrvGGM-vytMP1OyDgAY&amp;q=site%3Alinkedin.com+Ana+Sofia+Silva+Asset+&amp;+Wealth+Management+Campus+Recruiter+J.P.+Morgan" TargetMode="External"/><Relationship Id="rId2422" Type="http://schemas.openxmlformats.org/officeDocument/2006/relationships/hyperlink" Target="https://www.google.com/search?newwindow=1&amp;ei=2MT0XrvGGM-vytMP1OyDgAY&amp;q=site%3Alinkedin.com+Woanhwa+(Winnie)+Feng+University+Relations+Recruiter+Apple" TargetMode="External"/><Relationship Id="rId3752" Type="http://schemas.openxmlformats.org/officeDocument/2006/relationships/hyperlink" Target="https://www.google.com/search?newwindow=1&amp;ei=2MT0XrvGGM-vytMP1OyDgAY&amp;q=site%3Alinkedin.com+Jennifer+R.+University+Recruiter+NVIDIA" TargetMode="External"/><Relationship Id="rId2412" Type="http://schemas.openxmlformats.org/officeDocument/2006/relationships/hyperlink" Target="https://www.google.com/search?newwindow=1&amp;ei=2MT0XrvGGM-vytMP1OyDgAY&amp;q=site%3Alinkedin.com+Ina+Williams+-+ACIR+Tech+Recruiter+/+Sourcer+Apple" TargetMode="External"/><Relationship Id="rId3744" Type="http://schemas.openxmlformats.org/officeDocument/2006/relationships/hyperlink" Target="https://www.google.com/search?newwindow=1&amp;ei=2MT0XrvGGM-vytMP1OyDgAY&amp;q=site%3Alinkedin.com+Stephanie+Dratler+College+Recruiter+Northrop+Grumman+Corporation" TargetMode="External"/><Relationship Id="rId2413" Type="http://schemas.openxmlformats.org/officeDocument/2006/relationships/hyperlink" Target="https://www.google.com/search?newwindow=1&amp;ei=2MT0XrvGGM-vytMP1OyDgAY&amp;q=site%3Alinkedin.com+Vicky+Chang+Campus+Recruiting+Manager+Deloitte" TargetMode="External"/><Relationship Id="rId3743" Type="http://schemas.openxmlformats.org/officeDocument/2006/relationships/hyperlink" Target="https://www.google.com/search?newwindow=1&amp;ei=2MT0XrvGGM-vytMP1OyDgAY&amp;q=site%3Alinkedin.com+Robin+DeAngelis+University+Relations+Recruiter+Northrop+Grumman+Corporation" TargetMode="External"/><Relationship Id="rId2414" Type="http://schemas.openxmlformats.org/officeDocument/2006/relationships/hyperlink" Target="https://www.google.com/search?newwindow=1&amp;ei=2MT0XrvGGM-vytMP1OyDgAY&amp;q=site%3Alinkedin.com+Kayleigh+Bottini+University+Relations+R&amp;D+Recruiter+Apple" TargetMode="External"/><Relationship Id="rId3746" Type="http://schemas.openxmlformats.org/officeDocument/2006/relationships/hyperlink" Target="https://www.google.com/search?newwindow=1&amp;ei=2MT0XrvGGM-vytMP1OyDgAY&amp;q=site%3Alinkedin.com+Chelsea+Manowczak+Campus+Recruiter+J.P.+Morgan" TargetMode="External"/><Relationship Id="rId2415" Type="http://schemas.openxmlformats.org/officeDocument/2006/relationships/hyperlink" Target="https://www.google.com/search?newwindow=1&amp;ei=2MT0XrvGGM-vytMP1OyDgAY&amp;q=site%3Alinkedin.com+Britney+(Us+Campus+Recruiting+Manager+Deloitte" TargetMode="External"/><Relationship Id="rId3745" Type="http://schemas.openxmlformats.org/officeDocument/2006/relationships/hyperlink" Target="https://www.google.com/search?newwindow=1&amp;ei=2MT0XrvGGM-vytMP1OyDgAY&amp;q=site%3Alinkedin.com+Jessica+J.+University+Recruiting+Campus+Manager+NVIDIA" TargetMode="External"/><Relationship Id="rId2416" Type="http://schemas.openxmlformats.org/officeDocument/2006/relationships/hyperlink" Target="https://www.google.com/search?newwindow=1&amp;ei=2MT0XrvGGM-vytMP1OyDgAY&amp;q=site%3Alinkedin.com+Brooke+Mannelly+University+Relations+Recruiter+Apple" TargetMode="External"/><Relationship Id="rId3748" Type="http://schemas.openxmlformats.org/officeDocument/2006/relationships/hyperlink" Target="https://www.google.com/search?newwindow=1&amp;ei=2MT0XrvGGM-vytMP1OyDgAY&amp;q=site%3Alinkedin.com+Elizabeth+Naylor+Campus+Recruiting+&amp;+Analyst+Program+Manager+J.P.+Morgan" TargetMode="External"/><Relationship Id="rId2417" Type="http://schemas.openxmlformats.org/officeDocument/2006/relationships/hyperlink" Target="https://www.google.com/search?newwindow=1&amp;ei=2MT0XrvGGM-vytMP1OyDgAY&amp;q=site%3Alinkedin.com+KC+Meehan+Campus+Recruiter+Deloitte" TargetMode="External"/><Relationship Id="rId3747" Type="http://schemas.openxmlformats.org/officeDocument/2006/relationships/hyperlink" Target="https://www.google.com/search?newwindow=1&amp;ei=2MT0XrvGGM-vytMP1OyDgAY&amp;q=site%3Alinkedin.com+Jessica+Verley+University+Recruiter+NVIDIA" TargetMode="External"/><Relationship Id="rId2418" Type="http://schemas.openxmlformats.org/officeDocument/2006/relationships/hyperlink" Target="https://www.google.com/search?newwindow=1&amp;ei=2MT0XrvGGM-vytMP1OyDgAY&amp;q=site%3Alinkedin.com+Nadya+Shapiro+University+Relations+Recruiter+Apple" TargetMode="External"/><Relationship Id="rId2419" Type="http://schemas.openxmlformats.org/officeDocument/2006/relationships/hyperlink" Target="https://www.google.com/search?newwindow=1&amp;ei=2MT0XrvGGM-vytMP1OyDgAY&amp;q=site%3Alinkedin.com+Caroline+Grosso+Campus+Recruiter+Deloitte" TargetMode="External"/><Relationship Id="rId3749" Type="http://schemas.openxmlformats.org/officeDocument/2006/relationships/hyperlink" Target="https://www.google.com/search?newwindow=1&amp;ei=2MT0XrvGGM-vytMP1OyDgAY&amp;q=site%3Alinkedin.com+Wendell+Tull+Campus+Recruiting+Manager+NVIDIA" TargetMode="External"/><Relationship Id="rId3740" Type="http://schemas.openxmlformats.org/officeDocument/2006/relationships/hyperlink" Target="https://www.google.com/search?newwindow=1&amp;ei=2MT0XrvGGM-vytMP1OyDgAY&amp;q=site%3Alinkedin.com+Zac+Elkins,+MHRM,+SHRM-CP+Campus+Recruiter+Northrop+Grumman" TargetMode="External"/><Relationship Id="rId2410" Type="http://schemas.openxmlformats.org/officeDocument/2006/relationships/hyperlink" Target="https://www.google.com/search?newwindow=1&amp;ei=2MT0XrvGGM-vytMP1OyDgAY&amp;q=site%3Alinkedin.com+Emily+Kaplan+Campus+Recruiter+Deloitte" TargetMode="External"/><Relationship Id="rId3742" Type="http://schemas.openxmlformats.org/officeDocument/2006/relationships/hyperlink" Target="https://www.google.com/search?newwindow=1&amp;ei=2MT0XrvGGM-vytMP1OyDgAY&amp;q=site%3Alinkedin.com+Danielle+Sims+University+Recruiter+via+Kelly+OCG+Johnson+&amp;+Johnson" TargetMode="External"/><Relationship Id="rId2411" Type="http://schemas.openxmlformats.org/officeDocument/2006/relationships/hyperlink" Target="https://www.google.com/search?newwindow=1&amp;ei=2MT0XrvGGM-vytMP1OyDgAY&amp;q=site%3Alinkedin.com+Dana+Catania+Campus+Recruiting+Manager+Deloitte" TargetMode="External"/><Relationship Id="rId3741" Type="http://schemas.openxmlformats.org/officeDocument/2006/relationships/hyperlink" Target="https://www.google.com/search?newwindow=1&amp;ei=2MT0XrvGGM-vytMP1OyDgAY&amp;q=site%3Alinkedin.com+Rhonda+Mabry+Hester+University+Relations+Recruiter+Northrop+Grumman+Corporation" TargetMode="External"/><Relationship Id="rId1114" Type="http://schemas.openxmlformats.org/officeDocument/2006/relationships/hyperlink" Target="https://www.google.com/search?newwindow=1&amp;ei=2MT0XrvGGM-vytMP1OyDgAY&amp;q=site%3Alinkedin.com+Katie+Robinson-Duff+Manager,+Campus+Recruiting" TargetMode="External"/><Relationship Id="rId2445" Type="http://schemas.openxmlformats.org/officeDocument/2006/relationships/hyperlink" Target="https://www.google.com/search?newwindow=1&amp;ei=2MT0XrvGGM-vytMP1OyDgAY&amp;q=site%3Alinkedin.com+Suzanne+Hansler+Campus+Recruiter+Deloitte+Services+LLP" TargetMode="External"/><Relationship Id="rId3777" Type="http://schemas.openxmlformats.org/officeDocument/2006/relationships/hyperlink" Target="https://www.google.com/search?newwindow=1&amp;ei=2MT0XrvGGM-vytMP1OyDgAY&amp;q=site%3Alinkedin.com+Lindsey+Sepich+Campus+Recruiter+JPMorgan+Chase+&amp;+Co." TargetMode="External"/><Relationship Id="rId1115" Type="http://schemas.openxmlformats.org/officeDocument/2006/relationships/hyperlink" Target="https://www.google.com/search?newwindow=1&amp;ei=2MT0XrvGGM-vytMP1OyDgAY&amp;q=site%3Alinkedin.com+Ragland+Mackin+Director+of+Campus+Recruiting" TargetMode="External"/><Relationship Id="rId2446" Type="http://schemas.openxmlformats.org/officeDocument/2006/relationships/hyperlink" Target="https://www.google.com/search?newwindow=1&amp;ei=2MT0XrvGGM-vytMP1OyDgAY&amp;q=site%3Alinkedin.com+Leslie+Van+Sant+Campus+Recruiter+Deloitte+Services+LP" TargetMode="External"/><Relationship Id="rId3776" Type="http://schemas.openxmlformats.org/officeDocument/2006/relationships/hyperlink" Target="https://www.google.com/search?newwindow=1&amp;ei=2MT0XrvGGM-vytMP1OyDgAY&amp;q=site%3Alinkedin.com+Ali+Brooks+Senior+College+Recruiter+Oracle" TargetMode="External"/><Relationship Id="rId1116" Type="http://schemas.openxmlformats.org/officeDocument/2006/relationships/hyperlink" Target="https://www.google.com/search?newwindow=1&amp;ei=2MT0XrvGGM-vytMP1OyDgAY&amp;q=site%3Alinkedin.com+Hollan+Humphrey+Campus+Recruiting+Coordinator,+Investment+Banking+Analyst+Program" TargetMode="External"/><Relationship Id="rId2447" Type="http://schemas.openxmlformats.org/officeDocument/2006/relationships/hyperlink" Target="https://www.google.com/search?newwindow=1&amp;ei=2MT0XrvGGM-vytMP1OyDgAY&amp;q=site%3Alinkedin.com+Vanessa+Sterling+Campus+Recruiter+Bank+of+America" TargetMode="External"/><Relationship Id="rId3779" Type="http://schemas.openxmlformats.org/officeDocument/2006/relationships/hyperlink" Target="https://www.google.com/search?newwindow=1&amp;ei=2MT0XrvGGM-vytMP1OyDgAY&amp;q=site%3Alinkedin.com+Christian+Golofaro+Campus+Recruiter+Oracle" TargetMode="External"/><Relationship Id="rId1117" Type="http://schemas.openxmlformats.org/officeDocument/2006/relationships/hyperlink" Target="https://www.google.com/search?newwindow=1&amp;ei=2MT0XrvGGM-vytMP1OyDgAY&amp;q=site%3Alinkedin.com+Gabrielle+DiBuono+Vice+President,+Head+of+Campus+Recruiting+-+US+Financial+Advisory" TargetMode="External"/><Relationship Id="rId2448" Type="http://schemas.openxmlformats.org/officeDocument/2006/relationships/hyperlink" Target="https://www.google.com/search?newwindow=1&amp;ei=2MT0XrvGGM-vytMP1OyDgAY&amp;q=site%3Alinkedin.com+Bob+Warmkessel+Campus+Recruiter+Deloitte+Consulting" TargetMode="External"/><Relationship Id="rId3778" Type="http://schemas.openxmlformats.org/officeDocument/2006/relationships/hyperlink" Target="https://www.google.com/search?newwindow=1&amp;ei=2MT0XrvGGM-vytMP1OyDgAY&amp;q=site%3Alinkedin.com+Michelle+Bilodeau+College+Recruiter+Oracle" TargetMode="External"/><Relationship Id="rId1118" Type="http://schemas.openxmlformats.org/officeDocument/2006/relationships/hyperlink" Target="https://www.google.com/search?newwindow=1&amp;ei=2MT0XrvGGM-vytMP1OyDgAY&amp;q=site%3Alinkedin.com+Christine+Sexton+Campus+Recruiting++%7C+Americas+Talent+Team" TargetMode="External"/><Relationship Id="rId2449" Type="http://schemas.openxmlformats.org/officeDocument/2006/relationships/hyperlink" Target="https://www.google.com/search?newwindow=1&amp;ei=2MT0XrvGGM-vytMP1OyDgAY&amp;q=site%3Alinkedin.com+Jamie+Wright+Campus+Recruiter+-+CFO+Group+Bank+of+America" TargetMode="External"/><Relationship Id="rId1119" Type="http://schemas.openxmlformats.org/officeDocument/2006/relationships/hyperlink" Target="https://www.google.com/search?newwindow=1&amp;ei=2MT0XrvGGM-vytMP1OyDgAY&amp;q=site%3Alinkedin.com+Elizabeth+Schoentube+Senior+Vice+President,+Head+of+Campus+Recruiting+&amp;+Program+Management" TargetMode="External"/><Relationship Id="rId525" Type="http://schemas.openxmlformats.org/officeDocument/2006/relationships/hyperlink" Target="https://www.google.com/search?newwindow=1&amp;ei=2MT0XrvGGM-vytMP1OyDgAY&amp;q=site%3Alinkedin.com+Tanisha+Moore+Sr.+Campus+Recruiting+Coordinator" TargetMode="External"/><Relationship Id="rId524" Type="http://schemas.openxmlformats.org/officeDocument/2006/relationships/hyperlink" Target="https://www.google.com/search?newwindow=1&amp;ei=2MT0XrvGGM-vytMP1OyDgAY&amp;q=site%3Alinkedin.com+Transatlantic+Sports+College+Sports+Recruiter" TargetMode="External"/><Relationship Id="rId523" Type="http://schemas.openxmlformats.org/officeDocument/2006/relationships/hyperlink" Target="https://www.google.com/search?newwindow=1&amp;ei=2MT0XrvGGM-vytMP1OyDgAY&amp;q=site%3Alinkedin.com+Jenny+Mallon+Researcher+PHD+Student" TargetMode="External"/><Relationship Id="rId522" Type="http://schemas.openxmlformats.org/officeDocument/2006/relationships/hyperlink" Target="https://www.google.com/search?newwindow=1&amp;ei=2MT0XrvGGM-vytMP1OyDgAY&amp;q=site%3Alinkedin.com+Andrew+Alexander+Graduate+Recruiter" TargetMode="External"/><Relationship Id="rId529" Type="http://schemas.openxmlformats.org/officeDocument/2006/relationships/hyperlink" Target="https://www.google.com/search?newwindow=1&amp;ei=2MT0XrvGGM-vytMP1OyDgAY&amp;q=site%3Alinkedin.com+Melissa+Olson+Recruiting+Associate+Manager" TargetMode="External"/><Relationship Id="rId528" Type="http://schemas.openxmlformats.org/officeDocument/2006/relationships/hyperlink" Target="https://www.google.com/search?newwindow=1&amp;ei=2MT0XrvGGM-vytMP1OyDgAY&amp;q=site%3Alinkedin.com+Jay+Preston+Office+Managing+Partner" TargetMode="External"/><Relationship Id="rId527" Type="http://schemas.openxmlformats.org/officeDocument/2006/relationships/hyperlink" Target="https://www.google.com/search?newwindow=1&amp;ei=2MT0XrvGGM-vytMP1OyDgAY&amp;q=site%3Alinkedin.com+Ron+Hamilton+University+Recruiter" TargetMode="External"/><Relationship Id="rId526" Type="http://schemas.openxmlformats.org/officeDocument/2006/relationships/hyperlink" Target="https://www.google.com/search?newwindow=1&amp;ei=2MT0XrvGGM-vytMP1OyDgAY&amp;q=site%3Alinkedin.com+Courtney+Randall+Student+Advisor,+Student+Experience+-+Institute+of+Teaching+and+Learning+Innovation" TargetMode="External"/><Relationship Id="rId3771" Type="http://schemas.openxmlformats.org/officeDocument/2006/relationships/hyperlink" Target="https://www.google.com/search?newwindow=1&amp;ei=2MT0XrvGGM-vytMP1OyDgAY&amp;q=site%3Alinkedin.com+Emily+R.+Bishop+Campus+Recruiter+JPMorgan+Chase+&amp;+Co." TargetMode="External"/><Relationship Id="rId2440" Type="http://schemas.openxmlformats.org/officeDocument/2006/relationships/hyperlink" Target="https://www.google.com/search?newwindow=1&amp;ei=2MT0XrvGGM-vytMP1OyDgAY&amp;q=site%3Alinkedin.com+Keiyana+Arnold+Lead+College+Recruiter+AT&amp;T" TargetMode="External"/><Relationship Id="rId3770" Type="http://schemas.openxmlformats.org/officeDocument/2006/relationships/hyperlink" Target="https://www.google.com/search?newwindow=1&amp;ei=2MT0XrvGGM-vytMP1OyDgAY&amp;q=site%3Alinkedin.com+Lia+Pizoli+College+Recruiter+Oracle" TargetMode="External"/><Relationship Id="rId521" Type="http://schemas.openxmlformats.org/officeDocument/2006/relationships/hyperlink" Target="https://www.google.com/search?newwindow=1&amp;ei=2MT0XrvGGM-vytMP1OyDgAY&amp;q=site%3Alinkedin.com+Nicola+Thomson+Campus+Recruiter+-+Finance,+Fund+Services+and+Apprenticeships" TargetMode="External"/><Relationship Id="rId1110" Type="http://schemas.openxmlformats.org/officeDocument/2006/relationships/hyperlink" Target="https://www.google.com/search?newwindow=1&amp;ei=2MT0XrvGGM-vytMP1OyDgAY&amp;q=site%3Alinkedin.com+Jemima+Sloggett+Manager,+Campus+Recruiting" TargetMode="External"/><Relationship Id="rId2441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3773" Type="http://schemas.openxmlformats.org/officeDocument/2006/relationships/hyperlink" Target="https://www.google.com/search?newwindow=1&amp;ei=2MT0XrvGGM-vytMP1OyDgAY&amp;q=site%3Alinkedin.com+Samantha+J.+Associate+Campus+Recruiter+JPMorgan+Chase+&amp;+Co." TargetMode="External"/><Relationship Id="rId520" Type="http://schemas.openxmlformats.org/officeDocument/2006/relationships/hyperlink" Target="https://www.google.com/search?newwindow=1&amp;ei=2MT0XrvGGM-vytMP1OyDgAY&amp;q=site%3Alinkedin.com+Alasdair+McKenzie+University+Partnerships+Consultant+&amp;+Graduate+Recruiter" TargetMode="External"/><Relationship Id="rId1111" Type="http://schemas.openxmlformats.org/officeDocument/2006/relationships/hyperlink" Target="https://www.google.com/search?newwindow=1&amp;ei=2MT0XrvGGM-vytMP1OyDgAY&amp;q=site%3Alinkedin.com+Joe+Maturando+Director+of+Campus+Recruiting,+Northeast+Region" TargetMode="External"/><Relationship Id="rId2442" Type="http://schemas.openxmlformats.org/officeDocument/2006/relationships/hyperlink" Target="https://www.google.com/search?newwindow=1&amp;ei=2MT0XrvGGM-vytMP1OyDgAY&amp;q=site%3Alinkedin.com+Brian+Poznanski+Officer-+Campus+Recruiter+Bank+of+America" TargetMode="External"/><Relationship Id="rId3772" Type="http://schemas.openxmlformats.org/officeDocument/2006/relationships/hyperlink" Target="https://www.google.com/search?newwindow=1&amp;ei=2MT0XrvGGM-vytMP1OyDgAY&amp;q=site%3Alinkedin.com+Roxy+Wolfe+Campus+Recruiter+Oracle" TargetMode="External"/><Relationship Id="rId1112" Type="http://schemas.openxmlformats.org/officeDocument/2006/relationships/hyperlink" Target="https://www.google.com/search?newwindow=1&amp;ei=2MT0XrvGGM-vytMP1OyDgAY&amp;q=site%3Alinkedin.com+Angela+Marchesi+Cherry+National+Deloitte+Risk+and+Financial+Advisory+Campus+Recruiting+Leader" TargetMode="External"/><Relationship Id="rId2443" Type="http://schemas.openxmlformats.org/officeDocument/2006/relationships/hyperlink" Target="https://www.google.com/search?newwindow=1&amp;ei=2MT0XrvGGM-vytMP1OyDgAY&amp;q=site%3Alinkedin.com+Dawn+John+Northeast+Campus+Recruiting+Leader+Deloitte+&amp;+Touche" TargetMode="External"/><Relationship Id="rId3775" Type="http://schemas.openxmlformats.org/officeDocument/2006/relationships/hyperlink" Target="https://www.google.com/search?newwindow=1&amp;ei=2MT0XrvGGM-vytMP1OyDgAY&amp;q=site%3Alinkedin.com+Allie+McMahon+Commercial+Bank+Campus+Recruiter+JPMorgan+Chase+&amp;+Co." TargetMode="External"/><Relationship Id="rId1113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" TargetMode="External"/><Relationship Id="rId2444" Type="http://schemas.openxmlformats.org/officeDocument/2006/relationships/hyperlink" Target="https://www.google.com/search?newwindow=1&amp;ei=2MT0XrvGGM-vytMP1OyDgAY&amp;q=site%3Alinkedin.com+Erica+Johnson+Campus+Recruiting+Manager+Deloitte+LP" TargetMode="External"/><Relationship Id="rId3774" Type="http://schemas.openxmlformats.org/officeDocument/2006/relationships/hyperlink" Target="https://www.google.com/search?newwindow=1&amp;ei=2MT0XrvGGM-vytMP1OyDgAY&amp;q=site%3Alinkedin.com+Andrea+Kelley+Campus+Recruiter+Oracle" TargetMode="External"/><Relationship Id="rId1103" Type="http://schemas.openxmlformats.org/officeDocument/2006/relationships/hyperlink" Target="https://www.google.com/search?newwindow=1&amp;ei=2MT0XrvGGM-vytMP1OyDgAY&amp;q=site%3Alinkedin.com+Kathryn+R.+Manager,+Campus+Recruiting" TargetMode="External"/><Relationship Id="rId2434" Type="http://schemas.openxmlformats.org/officeDocument/2006/relationships/hyperlink" Target="https://www.google.com/search?newwindow=1&amp;ei=2MT0XrvGGM-vytMP1OyDgAY&amp;q=site%3Alinkedin.com+Rich+Heffernan+Sr.+College+Recruiter+AT+&amp;T" TargetMode="External"/><Relationship Id="rId3766" Type="http://schemas.openxmlformats.org/officeDocument/2006/relationships/hyperlink" Target="https://www.google.com/search?newwindow=1&amp;ei=2MT0XrvGGM-vytMP1OyDgAY&amp;q=site%3Alinkedin.com+Jamie+Lockwood+University+Recruiter+NVIDIA" TargetMode="External"/><Relationship Id="rId1104" Type="http://schemas.openxmlformats.org/officeDocument/2006/relationships/hyperlink" Target="https://www.google.com/search?newwindow=1&amp;ei=2MT0XrvGGM-vytMP1OyDgAY&amp;q=site%3Alinkedin.com+Shannon+Rennie+Campus+Recruiting+Specialist" TargetMode="External"/><Relationship Id="rId2435" Type="http://schemas.openxmlformats.org/officeDocument/2006/relationships/hyperlink" Target="https://www.google.com/search?newwindow=1&amp;ei=2MT0XrvGGM-vytMP1OyDgAY&amp;q=site%3Alinkedin.com+Jennifer+Sullivan+Senior+Manager,+National+Technology+Campus+Recruiting+Leader+Deloitte" TargetMode="External"/><Relationship Id="rId3765" Type="http://schemas.openxmlformats.org/officeDocument/2006/relationships/hyperlink" Target="https://www.google.com/search?newwindow=1&amp;ei=2MT0XrvGGM-vytMP1OyDgAY&amp;q=site%3Alinkedin.com+Samantha+Mastellone+Associate+Campus+Recruiter+JPMorgan+Chase+&amp;+Co." TargetMode="External"/><Relationship Id="rId1105" Type="http://schemas.openxmlformats.org/officeDocument/2006/relationships/hyperlink" Target="https://www.google.com/search?newwindow=1&amp;ei=2MT0XrvGGM-vytMP1OyDgAY&amp;q=site%3Alinkedin.com+Alison+Speedling+Manager,+Campus+Recruiting" TargetMode="External"/><Relationship Id="rId2436" Type="http://schemas.openxmlformats.org/officeDocument/2006/relationships/hyperlink" Target="https://www.google.com/search?newwindow=1&amp;ei=2MT0XrvGGM-vytMP1OyDgAY&amp;q=site%3Alinkedin.com+Ashley+Rich+College+Recruiter+AT&amp;T" TargetMode="External"/><Relationship Id="rId3768" Type="http://schemas.openxmlformats.org/officeDocument/2006/relationships/hyperlink" Target="https://www.google.com/search?newwindow=1&amp;ei=2MT0XrvGGM-vytMP1OyDgAY&amp;q=site%3Alinkedin.com+Alexia+Sharell+Winfield+Culture+Solutions+Program+Manager+JPMorgan+Chase+&amp;+Co." TargetMode="External"/><Relationship Id="rId1106" Type="http://schemas.openxmlformats.org/officeDocument/2006/relationships/hyperlink" Target="https://www.google.com/search?newwindow=1&amp;ei=2MT0XrvGGM-vytMP1OyDgAY&amp;q=site%3Alinkedin.com+Katie+Hawkins+Drasso+Campus+Recruiting+Coordinator+onsite+at+Goldman+Sachs+via+ADP+RPO" TargetMode="External"/><Relationship Id="rId2437" Type="http://schemas.openxmlformats.org/officeDocument/2006/relationships/hyperlink" Target="https://www.google.com/search?newwindow=1&amp;ei=2MT0XrvGGM-vytMP1OyDgAY&amp;q=site%3Alinkedin.com+Christa+Sublett+Campus+Recruiting+Manager+Deloitte" TargetMode="External"/><Relationship Id="rId3767" Type="http://schemas.openxmlformats.org/officeDocument/2006/relationships/hyperlink" Target="https://www.google.com/search?newwindow=1&amp;ei=2MT0XrvGGM-vytMP1OyDgAY&amp;q=site%3Alinkedin.com+Johanna+Lambert+Senior+Campus+Recruiter+Oliver+Wyman" TargetMode="External"/><Relationship Id="rId1107" Type="http://schemas.openxmlformats.org/officeDocument/2006/relationships/hyperlink" Target="https://www.google.com/search?newwindow=1&amp;ei=2MT0XrvGGM-vytMP1OyDgAY&amp;q=site%3Alinkedin.com+Alison+Mancuso+Assistant+Vice+President,+Campus+Recruiting" TargetMode="External"/><Relationship Id="rId2438" Type="http://schemas.openxmlformats.org/officeDocument/2006/relationships/hyperlink" Target="https://www.google.com/search?newwindow=1&amp;ei=2MT0XrvGGM-vytMP1OyDgAY&amp;q=site%3Alinkedin.com+Claudia+Willis+Lead+College+Recruiter+AT&amp;T" TargetMode="External"/><Relationship Id="rId1108" Type="http://schemas.openxmlformats.org/officeDocument/2006/relationships/hyperlink" Target="https://www.google.com/search?newwindow=1&amp;ei=2MT0XrvGGM-vytMP1OyDgAY&amp;q=site%3Alinkedin.com+Christina+Belmonte+Manager,+Fixed+Income+Analyst+Campus+Recruiting" TargetMode="External"/><Relationship Id="rId2439" Type="http://schemas.openxmlformats.org/officeDocument/2006/relationships/hyperlink" Target="https://www.google.com/search?newwindow=1&amp;ei=2MT0XrvGGM-vytMP1OyDgAY&amp;q=site%3Alinkedin.com+Agi+Galecka,+CPA+Senior+Campus+Recruiter+Deloitte" TargetMode="External"/><Relationship Id="rId3769" Type="http://schemas.openxmlformats.org/officeDocument/2006/relationships/hyperlink" Target="https://www.google.com/search?newwindow=1&amp;ei=2MT0XrvGGM-vytMP1OyDgAY&amp;q=site%3Alinkedin.com+Tori+Tanner+Campus+Recruiter+Oliver+Wyman" TargetMode="External"/><Relationship Id="rId1109" Type="http://schemas.openxmlformats.org/officeDocument/2006/relationships/hyperlink" Target="https://www.google.com/search?newwindow=1&amp;ei=2MT0XrvGGM-vytMP1OyDgAY&amp;q=site%3Alinkedin.com+Jessica+Franco+New+York+Metro+Campus+Recruiting+Lead" TargetMode="External"/><Relationship Id="rId519" Type="http://schemas.openxmlformats.org/officeDocument/2006/relationships/hyperlink" Target="https://www.google.com/search?newwindow=1&amp;ei=2MT0XrvGGM-vytMP1OyDgAY&amp;q=site%3Alinkedin.com+Fiona+McKerral+Senior+University+Partnerships+Recruiter" TargetMode="External"/><Relationship Id="rId514" Type="http://schemas.openxmlformats.org/officeDocument/2006/relationships/hyperlink" Target="https://www.google.com/search?newwindow=1&amp;ei=2MT0XrvGGM-vytMP1OyDgAY&amp;q=site%3Alinkedin.com+Daryl+Doyle+EMEA+Technology+Campus+Recruiter+-+HR+Corporate" TargetMode="External"/><Relationship Id="rId513" Type="http://schemas.openxmlformats.org/officeDocument/2006/relationships/hyperlink" Target="https://www.google.com/search?newwindow=1&amp;ei=2MT0XrvGGM-vytMP1OyDgAY&amp;q=site%3Alinkedin.com+Anoosha+Mahmood+Graduate+Recruiter" TargetMode="External"/><Relationship Id="rId512" Type="http://schemas.openxmlformats.org/officeDocument/2006/relationships/hyperlink" Target="https://www.google.com/search?newwindow=1&amp;ei=2MT0XrvGGM-vytMP1OyDgAY&amp;q=site%3Alinkedin.com+Joelle+Plouffe+Student+Programs+Coordinator" TargetMode="External"/><Relationship Id="rId511" Type="http://schemas.openxmlformats.org/officeDocument/2006/relationships/hyperlink" Target="https://www.google.com/search?newwindow=1&amp;ei=2MT0XrvGGM-vytMP1OyDgAY&amp;q=site%3Alinkedin.com+Alexandre+Tremblay,+CPA,+CA+Student+Programs+Coordinator" TargetMode="External"/><Relationship Id="rId518" Type="http://schemas.openxmlformats.org/officeDocument/2006/relationships/hyperlink" Target="https://www.google.com/search?newwindow=1&amp;ei=2MT0XrvGGM-vytMP1OyDgAY&amp;q=site%3Alinkedin.com+Alan+Robertson+BA,+PG+Dip+CG,+FHEA+Careers+adviser,+coach,+motivator,+mentor;+university/industry+liaison+(careers/recruitment)" TargetMode="External"/><Relationship Id="rId517" Type="http://schemas.openxmlformats.org/officeDocument/2006/relationships/hyperlink" Target="https://www.google.com/search?newwindow=1&amp;ei=2MT0XrvGGM-vytMP1OyDgAY&amp;q=site%3Alinkedin.com+Rebecca+Usher+Graduate+Recruiter" TargetMode="External"/><Relationship Id="rId516" Type="http://schemas.openxmlformats.org/officeDocument/2006/relationships/hyperlink" Target="https://www.google.com/search?newwindow=1&amp;ei=2MT0XrvGGM-vytMP1OyDgAY&amp;q=site%3Alinkedin.com+Shelley+O'Hare+Campus+Technology+Recruiter+at+Morgan+Stanley+(via+Alexander+Mann+Solutions)" TargetMode="External"/><Relationship Id="rId515" Type="http://schemas.openxmlformats.org/officeDocument/2006/relationships/hyperlink" Target="https://www.google.com/search?newwindow=1&amp;ei=2MT0XrvGGM-vytMP1OyDgAY&amp;q=site%3Alinkedin.com+Sarah+Donald+Campus+Recruiter-+Engineering" TargetMode="External"/><Relationship Id="rId3760" Type="http://schemas.openxmlformats.org/officeDocument/2006/relationships/hyperlink" Target="https://www.google.com/search?newwindow=1&amp;ei=2MT0XrvGGM-vytMP1OyDgAY&amp;q=site%3Alinkedin.com+Eric+Vargas+University+Recruiter+NVIDIA" TargetMode="External"/><Relationship Id="rId510" Type="http://schemas.openxmlformats.org/officeDocument/2006/relationships/hyperlink" Target="https://www.google.com/search?newwindow=1&amp;ei=2MT0XrvGGM-vytMP1OyDgAY&amp;q=site%3Alinkedin.com+Taiesha+Olden+Campus+Recruiting+Coordinator,+Diversity+&amp;+Early+Engagement+Events" TargetMode="External"/><Relationship Id="rId2430" Type="http://schemas.openxmlformats.org/officeDocument/2006/relationships/hyperlink" Target="https://www.google.com/search?newwindow=1&amp;ei=2MT0XrvGGM-vytMP1OyDgAY&amp;q=site%3Alinkedin.com+Stephanie+Parks+University+Relations+Recruiter+Apple" TargetMode="External"/><Relationship Id="rId3762" Type="http://schemas.openxmlformats.org/officeDocument/2006/relationships/hyperlink" Target="https://www.google.com/search?newwindow=1&amp;ei=2MT0XrvGGM-vytMP1OyDgAY&amp;q=site%3Alinkedin.com+Crystal+Aggarwal+University+Recruiter+NVIDIA" TargetMode="External"/><Relationship Id="rId1100" Type="http://schemas.openxmlformats.org/officeDocument/2006/relationships/hyperlink" Target="https://www.google.com/search?newwindow=1&amp;ei=2MT0XrvGGM-vytMP1OyDgAY&amp;q=site%3Alinkedin.com+Sandeep+Draviam+Inclusion+and+Diversity+Manager,+Campus+Recruiting" TargetMode="External"/><Relationship Id="rId2431" Type="http://schemas.openxmlformats.org/officeDocument/2006/relationships/hyperlink" Target="https://www.google.com/search?newwindow=1&amp;ei=2MT0XrvGGM-vytMP1OyDgAY&amp;q=site%3Alinkedin.com+Ashley+Josephson+Campus+Recruiting+Manager+-+Consulting+Deloitte" TargetMode="External"/><Relationship Id="rId3761" Type="http://schemas.openxmlformats.org/officeDocument/2006/relationships/hyperlink" Target="https://www.google.com/search?newwindow=1&amp;ei=2MT0XrvGGM-vytMP1OyDgAY&amp;q=site%3Alinkedin.com+Giselle+Abreu+Associate+Campus+Recruiter+JPMorgan+Chase+&amp;+Co." TargetMode="External"/><Relationship Id="rId1101" Type="http://schemas.openxmlformats.org/officeDocument/2006/relationships/hyperlink" Target="https://www.google.com/search?newwindow=1&amp;ei=2MT0XrvGGM-vytMP1OyDgAY&amp;q=site%3Alinkedin.com+Alexis+Polanco,+MS+Global+Markets+Lead+Recruiter,+Vice+President" TargetMode="External"/><Relationship Id="rId2432" Type="http://schemas.openxmlformats.org/officeDocument/2006/relationships/hyperlink" Target="https://www.google.com/search?newwindow=1&amp;ei=2MT0XrvGGM-vytMP1OyDgAY&amp;q=site%3Alinkedin.com+Mary+Rose+Moynihan+University+Relations+Recruiter+-+R&amp;D+Apple" TargetMode="External"/><Relationship Id="rId3764" Type="http://schemas.openxmlformats.org/officeDocument/2006/relationships/hyperlink" Target="https://www.google.com/search?newwindow=1&amp;ei=2MT0XrvGGM-vytMP1OyDgAY&amp;q=site%3Alinkedin.com+Ashley+Jetson+University+Recruiter+-+Research+and+Applied+Research+NVIDIA" TargetMode="External"/><Relationship Id="rId1102" Type="http://schemas.openxmlformats.org/officeDocument/2006/relationships/hyperlink" Target="https://www.google.com/search?newwindow=1&amp;ei=2MT0XrvGGM-vytMP1OyDgAY&amp;q=site%3Alinkedin.com+Danielle+(.+Talent+Acquisition+Manager" TargetMode="External"/><Relationship Id="rId2433" Type="http://schemas.openxmlformats.org/officeDocument/2006/relationships/hyperlink" Target="https://www.google.com/search?newwindow=1&amp;ei=2MT0XrvGGM-vytMP1OyDgAY&amp;q=site%3Alinkedin.com+Angela+Cottrell+Campus+Recruiter+Deloitte" TargetMode="External"/><Relationship Id="rId3763" Type="http://schemas.openxmlformats.org/officeDocument/2006/relationships/hyperlink" Target="https://www.google.com/search?newwindow=1&amp;ei=2MT0XrvGGM-vytMP1OyDgAY&amp;q=site%3Alinkedin.com+Blake+Johnson+Firmwide+Diversity+Campus+Recruiting+JPMorgan+Chase+&amp;+Co." TargetMode="External"/><Relationship Id="rId3711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3710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3713" Type="http://schemas.openxmlformats.org/officeDocument/2006/relationships/hyperlink" Target="https://www.google.com/search?newwindow=1&amp;ei=2MT0XrvGGM-vytMP1OyDgAY&amp;q=site%3Alinkedin.com+Ellen+Price+Campus+Recruiter+Moss+Adams" TargetMode="External"/><Relationship Id="rId3712" Type="http://schemas.openxmlformats.org/officeDocument/2006/relationships/hyperlink" Target="https://www.google.com/search?newwindow=1&amp;ei=2MT0XrvGGM-vytMP1OyDgAY&amp;q=site%3Alinkedin.com+Michael+Cvelbar+Campus+Recruiting+Manager+Intel+Corporation" TargetMode="External"/><Relationship Id="rId3715" Type="http://schemas.openxmlformats.org/officeDocument/2006/relationships/hyperlink" Target="https://www.google.com/search?newwindow=1&amp;ei=2MT0XrvGGM-vytMP1OyDgAY&amp;q=site%3Alinkedin.com+Kelsey+Hicks+Senior+Campus+Recruiter+Moss+Adams" TargetMode="External"/><Relationship Id="rId3714" Type="http://schemas.openxmlformats.org/officeDocument/2006/relationships/hyperlink" Target="https://www.google.com/search?newwindow=1&amp;ei=2MT0XrvGGM-vytMP1OyDgAY&amp;q=site%3Alinkedin.com+Mac+Carpenter+University+Recruiter+Intuit" TargetMode="External"/><Relationship Id="rId3717" Type="http://schemas.openxmlformats.org/officeDocument/2006/relationships/hyperlink" Target="https://www.google.com/search?newwindow=1&amp;ei=2MT0XrvGGM-vytMP1OyDgAY&amp;q=site%3Alinkedin.com+Camellia+Sarmadi+Campus+Recruiting+Manager+Moss+Adams+LLP" TargetMode="External"/><Relationship Id="rId3716" Type="http://schemas.openxmlformats.org/officeDocument/2006/relationships/hyperlink" Target="https://www.google.com/search?newwindow=1&amp;ei=2MT0XrvGGM-vytMP1OyDgAY&amp;q=site%3Alinkedin.com+Eric+Pfeiffer+University+Recruiter+Intuit" TargetMode="External"/><Relationship Id="rId3719" Type="http://schemas.openxmlformats.org/officeDocument/2006/relationships/hyperlink" Target="https://www.google.com/search?newwindow=1&amp;ei=2MT0XrvGGM-vytMP1OyDgAY&amp;q=site%3Alinkedin.com+Lauren+Knoche+Campus+Recruiter+and+HR+Senior+Associate+Moss+Adams+LLP" TargetMode="External"/><Relationship Id="rId3718" Type="http://schemas.openxmlformats.org/officeDocument/2006/relationships/hyperlink" Target="https://www.google.com/search?newwindow=1&amp;ei=2MT0XrvGGM-vytMP1OyDgAY&amp;q=site%3Alinkedin.com+Elizabeth+Klak+University+Recruiter+Intuit" TargetMode="External"/><Relationship Id="rId3700" Type="http://schemas.openxmlformats.org/officeDocument/2006/relationships/hyperlink" Target="https://www.google.com/search?newwindow=1&amp;ei=2MT0XrvGGM-vytMP1OyDgAY&amp;q=site%3Alinkedin.com+Darren+Khong+Campus+Recruiter+Infosys" TargetMode="External"/><Relationship Id="rId3702" Type="http://schemas.openxmlformats.org/officeDocument/2006/relationships/hyperlink" Target="https://www.google.com/search?newwindow=1&amp;ei=2MT0XrvGGM-vytMP1OyDgAY&amp;q=site%3Alinkedin.com+Amber+G.+Campus+Recruiter+/+Talent+Acquisition+Infosys" TargetMode="External"/><Relationship Id="rId3701" Type="http://schemas.openxmlformats.org/officeDocument/2006/relationships/hyperlink" Target="https://www.google.com/search?newwindow=1&amp;ei=2MT0XrvGGM-vytMP1OyDgAY&amp;q=site%3Alinkedin.com+Angela+Sparks+Campus+Recruiter+Moss+Adams" TargetMode="External"/><Relationship Id="rId3704" Type="http://schemas.openxmlformats.org/officeDocument/2006/relationships/hyperlink" Target="https://www.google.com/search?newwindow=1&amp;ei=2MT0XrvGGM-vytMP1OyDgAY&amp;q=site%3Alinkedin.com+Deanna+Ingram+College+Recruiter+/+Talent+Advisor+Intel+Corporation" TargetMode="External"/><Relationship Id="rId3703" Type="http://schemas.openxmlformats.org/officeDocument/2006/relationships/hyperlink" Target="https://www.google.com/search?newwindow=1&amp;ei=2MT0XrvGGM-vytMP1OyDgAY&amp;q=site%3Alinkedin.com+Patricia+Hewitt+Campus+Recruiting+Manager+Moss+Adams" TargetMode="External"/><Relationship Id="rId3706" Type="http://schemas.openxmlformats.org/officeDocument/2006/relationships/hyperlink" Target="https://www.google.com/search?newwindow=1&amp;ei=2MT0XrvGGM-vytMP1OyDgAY&amp;q=site%3Alinkedin.com+Lagacia+Sims+Customer+Graphics+Software+Program+Manager+Intel+Corporation" TargetMode="External"/><Relationship Id="rId3705" Type="http://schemas.openxmlformats.org/officeDocument/2006/relationships/hyperlink" Target="https://www.google.com/search?newwindow=1&amp;ei=2MT0XrvGGM-vytMP1OyDgAY&amp;q=site%3Alinkedin.com+Rose+Azadan+Martinez+Regional+Campus+Recruiting+Senior+Manager+Moss+Adams" TargetMode="External"/><Relationship Id="rId3708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3707" Type="http://schemas.openxmlformats.org/officeDocument/2006/relationships/hyperlink" Target="https://www.google.com/search?newwindow=1&amp;ei=2MT0XrvGGM-vytMP1OyDgAY&amp;q=site%3Alinkedin.com+Meryll+Locquiao+Senior+Campus+Recruiter+Moss+Adams" TargetMode="External"/><Relationship Id="rId3709" Type="http://schemas.openxmlformats.org/officeDocument/2006/relationships/hyperlink" Target="https://www.google.com/search?newwindow=1&amp;ei=2MT0XrvGGM-vytMP1OyDgAY&amp;q=site%3Alinkedin.com+Isabella+Nguyen+Senior+Campus+Recruiter+Moss+Adams" TargetMode="External"/><Relationship Id="rId2401" Type="http://schemas.openxmlformats.org/officeDocument/2006/relationships/hyperlink" Target="https://www.google.com/search?newwindow=1&amp;ei=2MT0XrvGGM-vytMP1OyDgAY&amp;q=site%3Alinkedin.com+Deanna+Washington+Campus+Recruiter+Deloitte" TargetMode="External"/><Relationship Id="rId3733" Type="http://schemas.openxmlformats.org/officeDocument/2006/relationships/hyperlink" Target="https://www.google.com/search?newwindow=1&amp;ei=2MT0XrvGGM-vytMP1OyDgAY&amp;q=site%3Alinkedin.com+Gabrielle+Zuccaro+Campus+Recruiter+Nestl%C3%A9" TargetMode="External"/><Relationship Id="rId2402" Type="http://schemas.openxmlformats.org/officeDocument/2006/relationships/hyperlink" Target="https://www.google.com/search?newwindow=1&amp;ei=2MT0XrvGGM-vytMP1OyDgAY&amp;q=site%3Alinkedin.com+Alyse+Aven+Lead+Experienced+Hire+Recruiter+Deloitte" TargetMode="External"/><Relationship Id="rId3732" Type="http://schemas.openxmlformats.org/officeDocument/2006/relationships/hyperlink" Target="https://www.google.com/search?newwindow=1&amp;ei=2MT0XrvGGM-vytMP1OyDgAY&amp;q=site%3Alinkedin.com+Liz+Kutzman+University+Relations+Recruiter+John+Deere" TargetMode="External"/><Relationship Id="rId2403" Type="http://schemas.openxmlformats.org/officeDocument/2006/relationships/hyperlink" Target="https://www.google.com/search?newwindow=1&amp;ei=2MT0XrvGGM-vytMP1OyDgAY&amp;q=site%3Alinkedin.com+Heather+French+Senior+University+Recruiter+-+MBA+Recruiting+Lead+Apple" TargetMode="External"/><Relationship Id="rId3735" Type="http://schemas.openxmlformats.org/officeDocument/2006/relationships/hyperlink" Target="https://www.google.com/search?newwindow=1&amp;ei=2MT0XrvGGM-vytMP1OyDgAY&amp;q=site%3Alinkedin.com+Jennifer+Davis+Campus+Recruiter+Nestl%C3%A9" TargetMode="External"/><Relationship Id="rId2404" Type="http://schemas.openxmlformats.org/officeDocument/2006/relationships/hyperlink" Target="https://www.google.com/search?newwindow=1&amp;ei=2MT0XrvGGM-vytMP1OyDgAY&amp;q=site%3Alinkedin.com+Melissa+(Uhniat)+Sweeney+Manager,+Experienced+Hire+Recruiting+Deloitte" TargetMode="External"/><Relationship Id="rId3734" Type="http://schemas.openxmlformats.org/officeDocument/2006/relationships/hyperlink" Target="https://www.google.com/search?newwindow=1&amp;ei=2MT0XrvGGM-vytMP1OyDgAY&amp;q=site%3Alinkedin.com+Mary+Ann+Lindsay+Retired+University+Relations+Recruiter+John+Deere" TargetMode="External"/><Relationship Id="rId2405" Type="http://schemas.openxmlformats.org/officeDocument/2006/relationships/hyperlink" Target="https://www.google.com/search?newwindow=1&amp;ei=2MT0XrvGGM-vytMP1OyDgAY&amp;q=site%3Alinkedin.com+Dianna+Chourarath+University+Relations+Recruiter+Apple" TargetMode="External"/><Relationship Id="rId3737" Type="http://schemas.openxmlformats.org/officeDocument/2006/relationships/hyperlink" Target="https://www.google.com/search?newwindow=1&amp;ei=2MT0XrvGGM-vytMP1OyDgAY&amp;q=site%3Alinkedin.com+Chris+Heckman+Campus+Recruiter+Nestl%C3%A9+Waters" TargetMode="External"/><Relationship Id="rId2406" Type="http://schemas.openxmlformats.org/officeDocument/2006/relationships/hyperlink" Target="https://www.google.com/search?newwindow=1&amp;ei=2MT0XrvGGM-vytMP1OyDgAY&amp;q=site%3Alinkedin.com+Shannel+Amaraweera,+M.S.W.+Campus+Recruiter+Deloitte" TargetMode="External"/><Relationship Id="rId3736" Type="http://schemas.openxmlformats.org/officeDocument/2006/relationships/hyperlink" Target="https://www.google.com/search?newwindow=1&amp;ei=2MT0XrvGGM-vytMP1OyDgAY&amp;q=site%3Alinkedin.com+Megan+Osterberg+University+Relations+Recruiter+John+Deere" TargetMode="External"/><Relationship Id="rId2407" Type="http://schemas.openxmlformats.org/officeDocument/2006/relationships/hyperlink" Target="https://www.google.com/search?newwindow=1&amp;ei=2MT0XrvGGM-vytMP1OyDgAY&amp;q=site%3Alinkedin.com+Greg+Emory+Tier+2+At+Home+Technical+Advisor+and+Mentor.++LSU+on+campus+recruiter+Apple" TargetMode="External"/><Relationship Id="rId3739" Type="http://schemas.openxmlformats.org/officeDocument/2006/relationships/hyperlink" Target="https://www.google.com/search?newwindow=1&amp;ei=2MT0XrvGGM-vytMP1OyDgAY&amp;q=site%3Alinkedin.com+Theresa+Edwards+University+Recruiter+Johnson+&amp;+Johnson" TargetMode="External"/><Relationship Id="rId2408" Type="http://schemas.openxmlformats.org/officeDocument/2006/relationships/hyperlink" Target="https://www.google.com/search?newwindow=1&amp;ei=2MT0XrvGGM-vytMP1OyDgAY&amp;q=site%3Alinkedin.com+Amanda+Willott+Campus+Recruiter+Deloitte" TargetMode="External"/><Relationship Id="rId3738" Type="http://schemas.openxmlformats.org/officeDocument/2006/relationships/hyperlink" Target="https://www.google.com/search?newwindow=1&amp;ei=2MT0XrvGGM-vytMP1OyDgAY&amp;q=site%3Alinkedin.com+Haleigh+Alcala+University+Relations+&amp;+Recruiting+Recruiter+Northrop+Grumman" TargetMode="External"/><Relationship Id="rId2409" Type="http://schemas.openxmlformats.org/officeDocument/2006/relationships/hyperlink" Target="https://www.google.com/search?newwindow=1&amp;ei=2MT0XrvGGM-vytMP1OyDgAY&amp;q=site%3Alinkedin.com+Antonio+Salinas+University+Relations+Recruiter+Apple" TargetMode="External"/><Relationship Id="rId3731" Type="http://schemas.openxmlformats.org/officeDocument/2006/relationships/hyperlink" Target="https://www.google.com/search?newwindow=1&amp;ei=2MT0XrvGGM-vytMP1OyDgAY&amp;q=site%3Alinkedin.com+Catherine+Salzman+Campus+Recruiter+NBCUniversal+Media,+LLC" TargetMode="External"/><Relationship Id="rId2400" Type="http://schemas.openxmlformats.org/officeDocument/2006/relationships/hyperlink" Target="https://www.google.com/search?newwindow=1&amp;ei=2MT0XrvGGM-vytMP1OyDgAY&amp;q=site%3Alinkedin.com+Tabitha+James+AppleCare+College+Career+Experience+Recruiter+Apple" TargetMode="External"/><Relationship Id="rId3730" Type="http://schemas.openxmlformats.org/officeDocument/2006/relationships/hyperlink" Target="https://www.google.com/search?newwindow=1&amp;ei=2MT0XrvGGM-vytMP1OyDgAY&amp;q=site%3Alinkedin.com+Shelly+Punter+Campus+Programs+Recruiter+NBCUniversal+Media,+LLC" TargetMode="External"/><Relationship Id="rId3722" Type="http://schemas.openxmlformats.org/officeDocument/2006/relationships/hyperlink" Target="https://www.google.com/search?newwindow=1&amp;ei=2MT0XrvGGM-vytMP1OyDgAY&amp;q=site%3Alinkedin.com+Ailina+Heim+Senior+University+Recruiter+Intuit" TargetMode="External"/><Relationship Id="rId3721" Type="http://schemas.openxmlformats.org/officeDocument/2006/relationships/hyperlink" Target="https://www.google.com/search?newwindow=1&amp;ei=2MT0XrvGGM-vytMP1OyDgAY&amp;q=site%3Alinkedin.com+Alicia+Markey+Hahn+Campus+Recruiting+Manager+Moss+Adams+LLP" TargetMode="External"/><Relationship Id="rId3724" Type="http://schemas.openxmlformats.org/officeDocument/2006/relationships/hyperlink" Target="https://www.google.com/search?newwindow=1&amp;ei=2MT0XrvGGM-vytMP1OyDgAY&amp;q=site%3Alinkedin.com+Lindsay+Birtcil+University+Recruiter+Intuit" TargetMode="External"/><Relationship Id="rId3723" Type="http://schemas.openxmlformats.org/officeDocument/2006/relationships/hyperlink" Target="https://www.google.com/search?newwindow=1&amp;ei=2MT0XrvGGM-vytMP1OyDgAY&amp;q=site%3Alinkedin.com+Jessica+Billings+Campus+Recruiter+Moss+Adams+LLP" TargetMode="External"/><Relationship Id="rId3726" Type="http://schemas.openxmlformats.org/officeDocument/2006/relationships/hyperlink" Target="https://www.google.com/search?newwindow=1&amp;ei=2MT0XrvGGM-vytMP1OyDgAY&amp;q=site%3Alinkedin.com+Candice+Burgess+Recruiter,+Campus+Programs+NBCUniversal+Media,+LLC" TargetMode="External"/><Relationship Id="rId3725" Type="http://schemas.openxmlformats.org/officeDocument/2006/relationships/hyperlink" Target="https://www.google.com/search?newwindow=1&amp;ei=2MT0XrvGGM-vytMP1OyDgAY&amp;q=site%3Alinkedin.com+Rachel+Nobbs+Senior+Campus+Recruiter+Moss+Adams,+LLP+-+San+Diego" TargetMode="External"/><Relationship Id="rId3728" Type="http://schemas.openxmlformats.org/officeDocument/2006/relationships/hyperlink" Target="https://www.google.com/search?newwindow=1&amp;ei=2MT0XrvGGM-vytMP1OyDgAY&amp;q=site%3Alinkedin.com+Carol+Christman+Recruiter,+Campus+Programs+NBCUniversal+Media,+LLC" TargetMode="External"/><Relationship Id="rId3727" Type="http://schemas.openxmlformats.org/officeDocument/2006/relationships/hyperlink" Target="https://www.google.com/search?newwindow=1&amp;ei=2MT0XrvGGM-vytMP1OyDgAY&amp;q=site%3Alinkedin.com+Kacie+Kaneyuki+University+Recruiter:+Technology+Intuit" TargetMode="External"/><Relationship Id="rId3729" Type="http://schemas.openxmlformats.org/officeDocument/2006/relationships/hyperlink" Target="https://www.google.com/search?newwindow=1&amp;ei=2MT0XrvGGM-vytMP1OyDgAY&amp;q=site%3Alinkedin.com+Krista+Corsentino+Talent+Solutions+-+Intuit+University+Talent+Acquisition+Manager+Intuit" TargetMode="External"/><Relationship Id="rId3720" Type="http://schemas.openxmlformats.org/officeDocument/2006/relationships/hyperlink" Target="https://www.google.com/search?newwindow=1&amp;ei=2MT0XrvGGM-vytMP1OyDgAY&amp;q=site%3Alinkedin.com+Cindy+Ng+University+Recruiter+Intuit" TargetMode="External"/><Relationship Id="rId4206" Type="http://schemas.openxmlformats.org/officeDocument/2006/relationships/hyperlink" Target="https://www.google.com/search?newwindow=1&amp;ei=2MT0XrvGGM-vytMP1OyDgAY&amp;q=site%3Alinkedin.com+Thandar+Pe%C3%B1a+Campus+Recruiting+Manager,+Quantitative+Research+Two+Sigma" TargetMode="External"/><Relationship Id="rId4205" Type="http://schemas.openxmlformats.org/officeDocument/2006/relationships/hyperlink" Target="https://www.google.com/search?newwindow=1&amp;ei=2MT0XrvGGM-vytMP1OyDgAY&amp;q=site%3Alinkedin.com+Joshua+Avila+Campus+Recruiter+MongoDB" TargetMode="External"/><Relationship Id="rId4208" Type="http://schemas.openxmlformats.org/officeDocument/2006/relationships/hyperlink" Target="https://www.google.com/search?newwindow=1&amp;ei=2MT0XrvGGM-vytMP1OyDgAY&amp;q=site%3Alinkedin.com+Lisa+Vance+Campus+Recruiter+&amp;+Program+Manager+Two+Sigma" TargetMode="External"/><Relationship Id="rId4207" Type="http://schemas.openxmlformats.org/officeDocument/2006/relationships/hyperlink" Target="https://www.google.com/search?newwindow=1&amp;ei=2MT0XrvGGM-vytMP1OyDgAY&amp;q=site%3Alinkedin.com+Kaitlyn+Hays+Campus+Recruiter+Morgan+Stanley" TargetMode="External"/><Relationship Id="rId590" Type="http://schemas.openxmlformats.org/officeDocument/2006/relationships/hyperlink" Target="https://www.google.com/search?newwindow=1&amp;ei=2MT0XrvGGM-vytMP1OyDgAY&amp;q=site%3Alinkedin.com+Ashley+MacLellan+Qelm%C3%BAcw+Student+Recruiter-Advisor" TargetMode="External"/><Relationship Id="rId4209" Type="http://schemas.openxmlformats.org/officeDocument/2006/relationships/hyperlink" Target="https://www.google.com/search?newwindow=1&amp;ei=2MT0XrvGGM-vytMP1OyDgAY&amp;q=site%3Alinkedin.com+Michelle+Kinnally+Campus+Recruiter+Morgan+Stanley" TargetMode="External"/><Relationship Id="rId589" Type="http://schemas.openxmlformats.org/officeDocument/2006/relationships/hyperlink" Target="https://www.google.com/search?newwindow=1&amp;ei=2MT0XrvGGM-vytMP1OyDgAY&amp;q=site%3Alinkedin.com+Jessi+Guercio+Student+Recruiter+&amp;+Enrolment+Representitive" TargetMode="External"/><Relationship Id="rId588" Type="http://schemas.openxmlformats.org/officeDocument/2006/relationships/hyperlink" Target="https://www.google.com/search?newwindow=1&amp;ei=2MT0XrvGGM-vytMP1OyDgAY&amp;q=site%3Alinkedin.com+Elizabeth+Li+International+Student+Recruiter/Cultural+Advisor" TargetMode="External"/><Relationship Id="rId1170" Type="http://schemas.openxmlformats.org/officeDocument/2006/relationships/hyperlink" Target="https://www.google.com/search?newwindow=1&amp;ei=2MT0XrvGGM-vytMP1OyDgAY&amp;q=site%3Alinkedin.com+Frank+Katradis+Assistant+Student+Recruiter" TargetMode="External"/><Relationship Id="rId1171" Type="http://schemas.openxmlformats.org/officeDocument/2006/relationships/hyperlink" Target="https://www.google.com/search?newwindow=1&amp;ei=2MT0XrvGGM-vytMP1OyDgAY&amp;q=site%3Alinkedin.com+Heather+Yang+International+Student+Recruiter" TargetMode="External"/><Relationship Id="rId583" Type="http://schemas.openxmlformats.org/officeDocument/2006/relationships/hyperlink" Target="https://www.google.com/search?newwindow=1&amp;ei=2MT0XrvGGM-vytMP1OyDgAY&amp;q=site%3Alinkedin.com+Roshni+Naik+Campus+Recruiting+Coordinator" TargetMode="External"/><Relationship Id="rId1172" Type="http://schemas.openxmlformats.org/officeDocument/2006/relationships/hyperlink" Target="https://www.google.com/search?newwindow=1&amp;ei=2MT0XrvGGM-vytMP1OyDgAY&amp;q=site%3Alinkedin.com+Allison+Brown+College+Recruiter" TargetMode="External"/><Relationship Id="rId582" Type="http://schemas.openxmlformats.org/officeDocument/2006/relationships/hyperlink" Target="https://www.google.com/search?newwindow=1&amp;ei=2MT0XrvGGM-vytMP1OyDgAY&amp;q=site%3Alinkedin.com+Mary+Kohr+Campus+Recruiting+Coordinator" TargetMode="External"/><Relationship Id="rId1173" Type="http://schemas.openxmlformats.org/officeDocument/2006/relationships/hyperlink" Target="https://www.google.com/search?newwindow=1&amp;ei=2MT0XrvGGM-vytMP1OyDgAY&amp;q=site%3Alinkedin.com+Catherine+Corbeil+Student+-+Resource+Planning+and+Student+Programs" TargetMode="External"/><Relationship Id="rId581" Type="http://schemas.openxmlformats.org/officeDocument/2006/relationships/hyperlink" Target="https://www.google.com/search?newwindow=1&amp;ei=2MT0XrvGGM-vytMP1OyDgAY&amp;q=site%3Alinkedin.com+Jay+Grothause+Talent+Acquisition,+Campus+Recruiting+Associate" TargetMode="External"/><Relationship Id="rId1174" Type="http://schemas.openxmlformats.org/officeDocument/2006/relationships/hyperlink" Target="https://www.google.com/search?newwindow=1&amp;ei=2MT0XrvGGM-vytMP1OyDgAY&amp;q=site%3Alinkedin.com+Sarah+Jones+Coordinator,+Professional+Recruiting/Student+Programs" TargetMode="External"/><Relationship Id="rId4200" Type="http://schemas.openxmlformats.org/officeDocument/2006/relationships/hyperlink" Target="https://www.google.com/search?newwindow=1&amp;ei=2MT0XrvGGM-vytMP1OyDgAY&amp;q=site%3Alinkedin.com+Rheana+De+La+Cruz+University+Recruiter+Twitter" TargetMode="External"/><Relationship Id="rId580" Type="http://schemas.openxmlformats.org/officeDocument/2006/relationships/hyperlink" Target="https://www.google.com/search?newwindow=1&amp;ei=2MT0XrvGGM-vytMP1OyDgAY&amp;q=site%3Alinkedin.com+Caroline+Foret+Senior+Recruiting+Coordinator" TargetMode="External"/><Relationship Id="rId1175" Type="http://schemas.openxmlformats.org/officeDocument/2006/relationships/hyperlink" Target="https://www.google.com/search?newwindow=1&amp;ei=2MT0XrvGGM-vytMP1OyDgAY&amp;q=site%3Alinkedin.com+Susan+Downey+Student+Placement+Facilitator" TargetMode="External"/><Relationship Id="rId587" Type="http://schemas.openxmlformats.org/officeDocument/2006/relationships/hyperlink" Target="https://www.google.com/search?newwindow=1&amp;ei=2MT0XrvGGM-vytMP1OyDgAY&amp;q=site%3Alinkedin.com+Gabi+Scollon+Senior+Student+Recruiter-Advisor" TargetMode="External"/><Relationship Id="rId1176" Type="http://schemas.openxmlformats.org/officeDocument/2006/relationships/hyperlink" Target="https://www.google.com/search?newwindow=1&amp;ei=2MT0XrvGGM-vytMP1OyDgAY&amp;q=site%3Alinkedin.com+Kelli+Shimizu+Campus+Recruiting+Specialist" TargetMode="External"/><Relationship Id="rId4202" Type="http://schemas.openxmlformats.org/officeDocument/2006/relationships/hyperlink" Target="https://www.google.com/search?newwindow=1&amp;ei=2MT0XrvGGM-vytMP1OyDgAY&amp;q=site%3Alinkedin.com+Lauren+Zabel+University+Recruiter+%7C+Engineering,+Product,+Design,+and+Research+Twitter" TargetMode="External"/><Relationship Id="rId586" Type="http://schemas.openxmlformats.org/officeDocument/2006/relationships/hyperlink" Target="https://www.google.com/search?newwindow=1&amp;ei=2MT0XrvGGM-vytMP1OyDgAY&amp;q=site%3Alinkedin.com+Darshana+Rao+Campus+Recruiting+Diversity+Events+Specialist" TargetMode="External"/><Relationship Id="rId1177" Type="http://schemas.openxmlformats.org/officeDocument/2006/relationships/hyperlink" Target="https://www.google.com/search?newwindow=1&amp;ei=2MT0XrvGGM-vytMP1OyDgAY&amp;q=site%3Alinkedin.com+Grace+Powers+Campus+Recruiting+Specialist" TargetMode="External"/><Relationship Id="rId4201" Type="http://schemas.openxmlformats.org/officeDocument/2006/relationships/hyperlink" Target="https://www.google.com/search?newwindow=1&amp;ei=2MT0XrvGGM-vytMP1OyDgAY&amp;q=site%3Alinkedin.com+Kate+Wright+Senior+Campus+Recruiter+MongoDB" TargetMode="External"/><Relationship Id="rId585" Type="http://schemas.openxmlformats.org/officeDocument/2006/relationships/hyperlink" Target="https://www.google.com/search?newwindow=1&amp;ei=2MT0XrvGGM-vytMP1OyDgAY&amp;q=site%3Alinkedin.com+Verlandy+Michel+MBA+Recruiter" TargetMode="External"/><Relationship Id="rId1178" Type="http://schemas.openxmlformats.org/officeDocument/2006/relationships/hyperlink" Target="https://www.google.com/search?newwindow=1&amp;ei=2MT0XrvGGM-vytMP1OyDgAY&amp;q=site%3Alinkedin.com+Janelle+Huang+Primary+Recruiter,+Campus+Recruiting" TargetMode="External"/><Relationship Id="rId4204" Type="http://schemas.openxmlformats.org/officeDocument/2006/relationships/hyperlink" Target="https://www.google.com/search?newwindow=1&amp;ei=2MT0XrvGGM-vytMP1OyDgAY&amp;q=site%3Alinkedin.com+Shay+Billeci+University+Recruiter+%7C+Non-Eng+&amp;+MBA+Twitter" TargetMode="External"/><Relationship Id="rId584" Type="http://schemas.openxmlformats.org/officeDocument/2006/relationships/hyperlink" Target="https://www.google.com/search?newwindow=1&amp;ei=2MT0XrvGGM-vytMP1OyDgAY&amp;q=site%3Alinkedin.com+Vicki+Mok+Senior+UK&amp;APAC+Graduate+Recruiter" TargetMode="External"/><Relationship Id="rId1179" Type="http://schemas.openxmlformats.org/officeDocument/2006/relationships/hyperlink" Target="https://www.google.com/search?newwindow=1&amp;ei=2MT0XrvGGM-vytMP1OyDgAY&amp;q=site%3Alinkedin.com+Kristina+Liphardt+Director;+Campus+Recruiting+Leader" TargetMode="External"/><Relationship Id="rId4203" Type="http://schemas.openxmlformats.org/officeDocument/2006/relationships/hyperlink" Target="https://www.google.com/search?newwindow=1&amp;ei=2MT0XrvGGM-vytMP1OyDgAY&amp;q=site%3Alinkedin.com+Natalie+Chwalk+Campus+Recruiter+MongoDB" TargetMode="External"/><Relationship Id="rId1169" Type="http://schemas.openxmlformats.org/officeDocument/2006/relationships/hyperlink" Target="https://www.google.com/search?newwindow=1&amp;ei=2MT0XrvGGM-vytMP1OyDgAY&amp;q=site%3Alinkedin.com+Becky+Paseka,+CPA+Campus+Recruiting+Manager" TargetMode="External"/><Relationship Id="rId579" Type="http://schemas.openxmlformats.org/officeDocument/2006/relationships/hyperlink" Target="https://www.google.com/search?newwindow=1&amp;ei=2MT0XrvGGM-vytMP1OyDgAY&amp;q=site%3Alinkedin.com+Ruth+Brooks+Subject+Leader+Management+and+International+Recruitment+Manager++at+University+of+Huddersfield" TargetMode="External"/><Relationship Id="rId578" Type="http://schemas.openxmlformats.org/officeDocument/2006/relationships/hyperlink" Target="https://www.google.com/search?newwindow=1&amp;ei=2MT0XrvGGM-vytMP1OyDgAY&amp;q=site%3Alinkedin.com+Jessica+Maurer+Associate+Director+Campus+Recruiting" TargetMode="External"/><Relationship Id="rId577" Type="http://schemas.openxmlformats.org/officeDocument/2006/relationships/hyperlink" Target="https://www.google.com/search?newwindow=1&amp;ei=2MT0XrvGGM-vytMP1OyDgAY&amp;q=site%3Alinkedin.com+Eliza+Coleman+Assistant+Director,+Americas+Technology+Consultant,+Campus+Recruiting+Operations" TargetMode="External"/><Relationship Id="rId2490" Type="http://schemas.openxmlformats.org/officeDocument/2006/relationships/hyperlink" Target="https://www.google.com/search?newwindow=1&amp;ei=2MT0XrvGGM-vytMP1OyDgAY&amp;q=site%3Alinkedin.com+Ke+Yang+Campus+Recruiter+DuPont" TargetMode="External"/><Relationship Id="rId1160" Type="http://schemas.openxmlformats.org/officeDocument/2006/relationships/hyperlink" Target="https://www.google.com/search?newwindow=1&amp;ei=2MT0XrvGGM-vytMP1OyDgAY&amp;q=site%3Alinkedin.com+Waasif+Syed+Student+Recruiter" TargetMode="External"/><Relationship Id="rId2491" Type="http://schemas.openxmlformats.org/officeDocument/2006/relationships/hyperlink" Target="https://www.google.com/search?newwindow=1&amp;ei=2MT0XrvGGM-vytMP1OyDgAY&amp;q=site%3Alinkedin.com+Elliott+Jones-Poulson,+M.S.+(he/his/him)+University+Relations+Recruiter+DuPont" TargetMode="External"/><Relationship Id="rId572" Type="http://schemas.openxmlformats.org/officeDocument/2006/relationships/hyperlink" Target="https://www.google.com/search?newwindow=1&amp;ei=2MT0XrvGGM-vytMP1OyDgAY&amp;q=site%3Alinkedin.com+Daniel+Muro+Senior+Campus+Recruiting+Coordinator" TargetMode="External"/><Relationship Id="rId1161" Type="http://schemas.openxmlformats.org/officeDocument/2006/relationships/hyperlink" Target="https://www.google.com/search?newwindow=1&amp;ei=2MT0XrvGGM-vytMP1OyDgAY&amp;q=site%3Alinkedin.com+Lurker+Ding+Student+Recruiter" TargetMode="External"/><Relationship Id="rId2492" Type="http://schemas.openxmlformats.org/officeDocument/2006/relationships/hyperlink" Target="https://www.google.com/search?newwindow=1&amp;ei=2MT0XrvGGM-vytMP1OyDgAY&amp;q=site%3Alinkedin.com+Chalsea+Clark+University+Relations+Recruiter+DuPont" TargetMode="External"/><Relationship Id="rId571" Type="http://schemas.openxmlformats.org/officeDocument/2006/relationships/hyperlink" Target="https://www.google.com/search?newwindow=1&amp;ei=2MT0XrvGGM-vytMP1OyDgAY&amp;q=site%3Alinkedin.com+Danielle+Quintanilla,+MSHRM+Campus+Recruiting+Coordinator,+Software+Engineer+Program" TargetMode="External"/><Relationship Id="rId1162" Type="http://schemas.openxmlformats.org/officeDocument/2006/relationships/hyperlink" Target="https://www.google.com/search?newwindow=1&amp;ei=2MT0XrvGGM-vytMP1OyDgAY&amp;q=site%3Alinkedin.com+Darrell+LeBlanc+Director+of+Programs+&amp;+Student+Services" TargetMode="External"/><Relationship Id="rId2493" Type="http://schemas.openxmlformats.org/officeDocument/2006/relationships/hyperlink" Target="https://www.google.com/search?newwindow=1&amp;ei=2MT0XrvGGM-vytMP1OyDgAY&amp;q=site%3Alinkedin.com+DuPont+Campus+Team+Campus+Recruiter+DuPont" TargetMode="External"/><Relationship Id="rId570" Type="http://schemas.openxmlformats.org/officeDocument/2006/relationships/hyperlink" Target="https://www.google.com/search?newwindow=1&amp;ei=2MT0XrvGGM-vytMP1OyDgAY&amp;q=site%3Alinkedin.com+Didi+Itauma+Associate,+Area+Campus+Recruiting+Coordinator" TargetMode="External"/><Relationship Id="rId1163" Type="http://schemas.openxmlformats.org/officeDocument/2006/relationships/hyperlink" Target="https://www.google.com/search?newwindow=1&amp;ei=2MT0XrvGGM-vytMP1OyDgAY&amp;q=site%3Alinkedin.com+Aaron+Callaghan+Director+of+Programs+&amp;+Student+Services" TargetMode="External"/><Relationship Id="rId2494" Type="http://schemas.openxmlformats.org/officeDocument/2006/relationships/hyperlink" Target="https://www.google.com/search?newwindow=1&amp;ei=2MT0XrvGGM-vytMP1OyDgAY&amp;q=site%3Alinkedin.com+Jessica+Sheldon+Campus+Recruiter+Bank+of+America" TargetMode="External"/><Relationship Id="rId1164" Type="http://schemas.openxmlformats.org/officeDocument/2006/relationships/hyperlink" Target="https://www.google.com/search?newwindow=1&amp;ei=2MT0XrvGGM-vytMP1OyDgAY&amp;q=site%3Alinkedin.com+Sofia+DiPaolo+Campus+Recruiting+Coordinator" TargetMode="External"/><Relationship Id="rId2495" Type="http://schemas.openxmlformats.org/officeDocument/2006/relationships/hyperlink" Target="https://www.google.com/search?newwindow=1&amp;ei=2MT0XrvGGM-vytMP1OyDgAY&amp;q=site%3Alinkedin.com+Vanessa+McQueen+University+Recruiter+&amp;+Programs+eBay" TargetMode="External"/><Relationship Id="rId576" Type="http://schemas.openxmlformats.org/officeDocument/2006/relationships/hyperlink" Target="https://www.google.com/search?newwindow=1&amp;ei=2MT0XrvGGM-vytMP1OyDgAY&amp;q=site%3Alinkedin.com+Meredith+Feltmann+Senior+Campus+Recruiting+Specialist" TargetMode="External"/><Relationship Id="rId1165" Type="http://schemas.openxmlformats.org/officeDocument/2006/relationships/hyperlink" Target="https://www.google.com/search?newwindow=1&amp;ei=2MT0XrvGGM-vytMP1OyDgAY&amp;q=site%3Alinkedin.com+David+Jenner+Director+of+Commercial+Activities,+Director+Student+Elite+Programs" TargetMode="External"/><Relationship Id="rId2496" Type="http://schemas.openxmlformats.org/officeDocument/2006/relationships/hyperlink" Target="https://www.google.com/search?newwindow=1&amp;ei=2MT0XrvGGM-vytMP1OyDgAY&amp;q=site%3Alinkedin.com+Christy+A.+University+Recruiter+eBay" TargetMode="External"/><Relationship Id="rId575" Type="http://schemas.openxmlformats.org/officeDocument/2006/relationships/hyperlink" Target="https://www.google.com/search?newwindow=1&amp;ei=2MT0XrvGGM-vytMP1OyDgAY&amp;q=site%3Alinkedin.com+Lauren+Selwyn+Campus+Recruiting+Specialist" TargetMode="External"/><Relationship Id="rId1166" Type="http://schemas.openxmlformats.org/officeDocument/2006/relationships/hyperlink" Target="https://www.google.com/search?newwindow=1&amp;ei=2MT0XrvGGM-vytMP1OyDgAY&amp;q=site%3Alinkedin.com+Margaret+Walker+Campus+Recruiting+Rep" TargetMode="External"/><Relationship Id="rId2497" Type="http://schemas.openxmlformats.org/officeDocument/2006/relationships/hyperlink" Target="https://www.google.com/search?newwindow=1&amp;ei=2MT0XrvGGM-vytMP1OyDgAY&amp;q=site%3Alinkedin.com+Karen+Stinnett+Recruiter+-+University+Relations+&amp;+Next-Gen+Talent+Electronic+Arts" TargetMode="External"/><Relationship Id="rId574" Type="http://schemas.openxmlformats.org/officeDocument/2006/relationships/hyperlink" Target="https://www.google.com/search?newwindow=1&amp;ei=2MT0XrvGGM-vytMP1OyDgAY&amp;q=site%3Alinkedin.com+Taylor+Lyons+Campus+Recruiting+Coordinator" TargetMode="External"/><Relationship Id="rId1167" Type="http://schemas.openxmlformats.org/officeDocument/2006/relationships/hyperlink" Target="https://www.google.com/search?newwindow=1&amp;ei=2MT0XrvGGM-vytMP1OyDgAY&amp;q=site%3Alinkedin.com+Margaret+Walker+Campus+Recruiting+Representative" TargetMode="External"/><Relationship Id="rId2498" Type="http://schemas.openxmlformats.org/officeDocument/2006/relationships/hyperlink" Target="https://www.google.com/search?newwindow=1&amp;ei=2MT0XrvGGM-vytMP1OyDgAY&amp;q=site%3Alinkedin.com+Alexa+Migton+Campus+Recruiter+Bank+of+America" TargetMode="External"/><Relationship Id="rId573" Type="http://schemas.openxmlformats.org/officeDocument/2006/relationships/hyperlink" Target="https://www.google.com/search?newwindow=1&amp;ei=2MT0XrvGGM-vytMP1OyDgAY&amp;q=site%3Alinkedin.com+Natalie+Holland,+CPA+Primary+Tax+Recruiter+-+Campus+Recruiting" TargetMode="External"/><Relationship Id="rId1168" Type="http://schemas.openxmlformats.org/officeDocument/2006/relationships/hyperlink" Target="https://www.google.com/search?newwindow=1&amp;ei=2MT0XrvGGM-vytMP1OyDgAY&amp;q=site%3Alinkedin.com+Megan+Boyer+Campus+Recruiting+Specialist" TargetMode="External"/><Relationship Id="rId2499" Type="http://schemas.openxmlformats.org/officeDocument/2006/relationships/hyperlink" Target="https://www.google.com/search?newwindow=1&amp;ei=2MT0XrvGGM-vytMP1OyDgAY&amp;q=site%3Alinkedin.com+Melissa+Wafful+Recruiter+-+University+Relations+&amp;+Next-Gen+Talent+Electronic+Arts+(EA)" TargetMode="External"/><Relationship Id="rId4228" Type="http://schemas.openxmlformats.org/officeDocument/2006/relationships/hyperlink" Target="https://www.google.com/search?newwindow=1&amp;ei=2MT0XrvGGM-vytMP1OyDgAY&amp;q=site%3Alinkedin.com+Angie+Luo+Senior+University+Recruiter,+Uber+ATG+Uber" TargetMode="External"/><Relationship Id="rId4227" Type="http://schemas.openxmlformats.org/officeDocument/2006/relationships/hyperlink" Target="https://www.google.com/search?newwindow=1&amp;ei=2MT0XrvGGM-vytMP1OyDgAY&amp;q=site%3Alinkedin.com+Taylor+Swanson+Campus+Recruiter+Morgan+Stanley" TargetMode="External"/><Relationship Id="rId4229" Type="http://schemas.openxmlformats.org/officeDocument/2006/relationships/hyperlink" Target="https://www.google.com/search?newwindow=1&amp;ei=2MT0XrvGGM-vytMP1OyDgAY&amp;q=site%3Alinkedin.com+Jordan+Fuqua+Technology+Campus+Recruiter+Morgan+Stanley" TargetMode="External"/><Relationship Id="rId1190" Type="http://schemas.openxmlformats.org/officeDocument/2006/relationships/hyperlink" Target="https://www.google.com/search?newwindow=1&amp;ei=2MT0XrvGGM-vytMP1OyDgAY&amp;q=site%3Alinkedin.com+Gloria+Annable+PSI+Student+Recruiter,+Eastern+Ontario" TargetMode="External"/><Relationship Id="rId1191" Type="http://schemas.openxmlformats.org/officeDocument/2006/relationships/hyperlink" Target="https://www.google.com/search?newwindow=1&amp;ei=2MT0XrvGGM-vytMP1OyDgAY&amp;q=site%3Alinkedin.com+Jody+Hisko+Recruitment+Coordinator,+University+Relations" TargetMode="External"/><Relationship Id="rId1192" Type="http://schemas.openxmlformats.org/officeDocument/2006/relationships/hyperlink" Target="https://www.google.com/search?newwindow=1&amp;ei=2MT0XrvGGM-vytMP1OyDgAY&amp;q=site%3Alinkedin.com+Jeffrey+Pessoa+Student+Ambassador" TargetMode="External"/><Relationship Id="rId1193" Type="http://schemas.openxmlformats.org/officeDocument/2006/relationships/hyperlink" Target="https://www.google.com/search?newwindow=1&amp;ei=2MT0XrvGGM-vytMP1OyDgAY&amp;q=site%3Alinkedin.com+Stacey+McMillan+Talent+Attraction+Campus+Recruiter" TargetMode="External"/><Relationship Id="rId1194" Type="http://schemas.openxmlformats.org/officeDocument/2006/relationships/hyperlink" Target="https://www.google.com/search?newwindow=1&amp;ei=2MT0XrvGGM-vytMP1OyDgAY&amp;q=site%3Alinkedin.com+paz+ribeiro+Student+Recruiter" TargetMode="External"/><Relationship Id="rId4220" Type="http://schemas.openxmlformats.org/officeDocument/2006/relationships/hyperlink" Target="https://www.google.com/search?newwindow=1&amp;ei=2MT0XrvGGM-vytMP1OyDgAY&amp;q=site%3Alinkedin.com+Wendy+Blocker,+CDR+AVP,+Senior+Campus+Recruiting+Manager+U.S.+Bank" TargetMode="External"/><Relationship Id="rId1195" Type="http://schemas.openxmlformats.org/officeDocument/2006/relationships/hyperlink" Target="https://www.google.com/search?newwindow=1&amp;ei=2MT0XrvGGM-vytMP1OyDgAY&amp;q=site%3Alinkedin.com+Nicole+Kitchen+Undergraduate+Recruitment+Officer" TargetMode="External"/><Relationship Id="rId1196" Type="http://schemas.openxmlformats.org/officeDocument/2006/relationships/hyperlink" Target="https://www.google.com/search?newwindow=1&amp;ei=2MT0XrvGGM-vytMP1OyDgAY&amp;q=site%3Alinkedin.com+Moya+Firth+Campus+Resource+-+Campus+Recruiting" TargetMode="External"/><Relationship Id="rId4222" Type="http://schemas.openxmlformats.org/officeDocument/2006/relationships/hyperlink" Target="https://www.google.com/search?newwindow=1&amp;ei=2MT0XrvGGM-vytMP1OyDgAY&amp;q=site%3Alinkedin.com+Rachel+Schroeder+Campus+Recruiter/Internship+Program+Specialist+U.S.+Bank" TargetMode="External"/><Relationship Id="rId1197" Type="http://schemas.openxmlformats.org/officeDocument/2006/relationships/hyperlink" Target="https://www.google.com/search?newwindow=1&amp;ei=2MT0XrvGGM-vytMP1OyDgAY&amp;q=site%3Alinkedin.com+Jean+Mullan+Former+Director+(Retired),+Undergraduate+Recruitment,+Carleton+University" TargetMode="External"/><Relationship Id="rId4221" Type="http://schemas.openxmlformats.org/officeDocument/2006/relationships/hyperlink" Target="https://www.google.com/search?newwindow=1&amp;ei=2MT0XrvGGM-vytMP1OyDgAY&amp;q=site%3Alinkedin.com+Ragland+Mackin+Director+of+Campus+Recruiting+Morgan+Stanley" TargetMode="External"/><Relationship Id="rId1198" Type="http://schemas.openxmlformats.org/officeDocument/2006/relationships/hyperlink" Target="https://www.google.com/search?newwindow=1&amp;ei=2MT0XrvGGM-vytMP1OyDgAY&amp;q=site%3Alinkedin.com+Lorraine+Anderson+Student+Employment+Programs,+Co-op+and+Career+Services" TargetMode="External"/><Relationship Id="rId4224" Type="http://schemas.openxmlformats.org/officeDocument/2006/relationships/hyperlink" Target="https://www.google.com/search?newwindow=1&amp;ei=2MT0XrvGGM-vytMP1OyDgAY&amp;q=site%3Alinkedin.com+Julie+Filonuk+Sr.+University+Recruiter+Uber" TargetMode="External"/><Relationship Id="rId1199" Type="http://schemas.openxmlformats.org/officeDocument/2006/relationships/hyperlink" Target="https://www.google.com/search?newwindow=1&amp;ei=2MT0XrvGGM-vytMP1OyDgAY&amp;q=site%3Alinkedin.com+Carmelle+N'Goran+Student,+Resource+Planning+and+Student+Programs" TargetMode="External"/><Relationship Id="rId4223" Type="http://schemas.openxmlformats.org/officeDocument/2006/relationships/hyperlink" Target="https://www.google.com/search?newwindow=1&amp;ei=2MT0XrvGGM-vytMP1OyDgAY&amp;q=site%3Alinkedin.com+Catherine+Eicher+Campus+Recruiter+Morgan+Stanley" TargetMode="External"/><Relationship Id="rId4226" Type="http://schemas.openxmlformats.org/officeDocument/2006/relationships/hyperlink" Target="https://www.google.com/search?newwindow=1&amp;ei=2MT0XrvGGM-vytMP1OyDgAY&amp;q=site%3Alinkedin.com+Tiffany+Tan+Senior+University+Recruiter+Uber" TargetMode="External"/><Relationship Id="rId4225" Type="http://schemas.openxmlformats.org/officeDocument/2006/relationships/hyperlink" Target="https://www.google.com/search?newwindow=1&amp;ei=2MT0XrvGGM-vytMP1OyDgAY&amp;q=site%3Alinkedin.com+Sarah+Roberts+Junior+Campus+Recruiter+Morgan+Stanley" TargetMode="External"/><Relationship Id="rId4217" Type="http://schemas.openxmlformats.org/officeDocument/2006/relationships/hyperlink" Target="https://www.google.com/search?newwindow=1&amp;ei=2MT0XrvGGM-vytMP1OyDgAY&amp;q=site%3Alinkedin.com+Cindy+Kuehl+Officer,+Campus+Recruiter+&amp;+Internship+Program+Manager+U.S.+Bank" TargetMode="External"/><Relationship Id="rId4216" Type="http://schemas.openxmlformats.org/officeDocument/2006/relationships/hyperlink" Target="https://www.google.com/search?newwindow=1&amp;ei=2MT0XrvGGM-vytMP1OyDgAY&amp;q=site%3Alinkedin.com+Evan+Wise+Project+Manager+&amp;+Campus+Recruiter+U.S.+Bank" TargetMode="External"/><Relationship Id="rId4219" Type="http://schemas.openxmlformats.org/officeDocument/2006/relationships/hyperlink" Target="https://www.google.com/search?newwindow=1&amp;ei=2MT0XrvGGM-vytMP1OyDgAY&amp;q=site%3Alinkedin.com+Jessica+Chisholm+Sr.+Campus+Recruiter/Internship+Program+Manager+U.S.+Bank" TargetMode="External"/><Relationship Id="rId4218" Type="http://schemas.openxmlformats.org/officeDocument/2006/relationships/hyperlink" Target="https://www.google.com/search?newwindow=1&amp;ei=2MT0XrvGGM-vytMP1OyDgAY&amp;q=site%3Alinkedin.com+Hailey+Reed+Senior+Project+Manager+-+Campus+Recruiting+-+Non+Profit+Partners+U.S.+Bank" TargetMode="External"/><Relationship Id="rId599" Type="http://schemas.openxmlformats.org/officeDocument/2006/relationships/hyperlink" Target="https://www.google.com/search?newwindow=1&amp;ei=2MT0XrvGGM-vytMP1OyDgAY&amp;q=site%3Alinkedin.com+Monica+Stewart+Queen's+University+Representative+on+the+Kingston+Immigration+Partnership+Council" TargetMode="External"/><Relationship Id="rId1180" Type="http://schemas.openxmlformats.org/officeDocument/2006/relationships/hyperlink" Target="https://www.google.com/search?newwindow=1&amp;ei=2MT0XrvGGM-vytMP1OyDgAY&amp;q=site%3Alinkedin.com+Trent+Barwick+Student+Engagement+Coordinator,+Transition+Programs" TargetMode="External"/><Relationship Id="rId1181" Type="http://schemas.openxmlformats.org/officeDocument/2006/relationships/hyperlink" Target="https://www.google.com/search?newwindow=1&amp;ei=2MT0XrvGGM-vytMP1OyDgAY&amp;q=site%3Alinkedin.com+Hercilia+Teodoro+Human+Resources+Administrator+(Co-op+Student)" TargetMode="External"/><Relationship Id="rId1182" Type="http://schemas.openxmlformats.org/officeDocument/2006/relationships/hyperlink" Target="https://www.google.com/search?newwindow=1&amp;ei=2MT0XrvGGM-vytMP1OyDgAY&amp;q=site%3Alinkedin.com+Linzie+Arnett+(Stahl)+Campus+Recruiting+Specialist" TargetMode="External"/><Relationship Id="rId594" Type="http://schemas.openxmlformats.org/officeDocument/2006/relationships/hyperlink" Target="https://www.google.com/search?newwindow=1&amp;ei=2MT0XrvGGM-vytMP1OyDgAY&amp;q=site%3Alinkedin.com+Katrina+Iuvancigh+International+Student+Recruiter+and+Advisor,+Asia+&amp;+Europe" TargetMode="External"/><Relationship Id="rId1183" Type="http://schemas.openxmlformats.org/officeDocument/2006/relationships/hyperlink" Target="https://www.google.com/search?newwindow=1&amp;ei=2MT0XrvGGM-vytMP1OyDgAY&amp;q=site%3Alinkedin.com+Sheena+Wirth,+SHRM-CP+Senior+Campus+Recruiting+Specialist" TargetMode="External"/><Relationship Id="rId593" Type="http://schemas.openxmlformats.org/officeDocument/2006/relationships/hyperlink" Target="https://www.google.com/search?newwindow=1&amp;ei=2MT0XrvGGM-vytMP1OyDgAY&amp;q=site%3Alinkedin.com+Kalil+S.+Australian+Education+Counselor/++International+Student+Recruiter+/+Australian+Migration+Advisor" TargetMode="External"/><Relationship Id="rId1184" Type="http://schemas.openxmlformats.org/officeDocument/2006/relationships/hyperlink" Target="https://www.google.com/search?newwindow=1&amp;ei=2MT0XrvGGM-vytMP1OyDgAY&amp;q=site%3Alinkedin.com+Michael+Flores+Senior+Campus+Recruiting+Coordinator" TargetMode="External"/><Relationship Id="rId592" Type="http://schemas.openxmlformats.org/officeDocument/2006/relationships/hyperlink" Target="https://www.google.com/search?newwindow=1&amp;ei=2MT0XrvGGM-vytMP1OyDgAY&amp;q=site%3Alinkedin.com+Angie+Adeyemo+Deal+Advisory+Intern" TargetMode="External"/><Relationship Id="rId1185" Type="http://schemas.openxmlformats.org/officeDocument/2006/relationships/hyperlink" Target="https://www.google.com/search?newwindow=1&amp;ei=2MT0XrvGGM-vytMP1OyDgAY&amp;q=site%3Alinkedin.com+Jodee-Ann+W.+Campus+Recruiting+supporting+Goldman+Sachs+via+ADP+RPO" TargetMode="External"/><Relationship Id="rId4211" Type="http://schemas.openxmlformats.org/officeDocument/2006/relationships/hyperlink" Target="https://www.google.com/search?newwindow=1&amp;ei=2MT0XrvGGM-vytMP1OyDgAY&amp;q=site%3Alinkedin.com+Jenny+Rosen+Human+Resources+Campus+Recruiter+Morgan+Stanley" TargetMode="External"/><Relationship Id="rId591" Type="http://schemas.openxmlformats.org/officeDocument/2006/relationships/hyperlink" Target="https://www.google.com/search?newwindow=1&amp;ei=2MT0XrvGGM-vytMP1OyDgAY&amp;q=site%3Alinkedin.com+Kyri+Gorges+Manager,+Campus+Recruiting" TargetMode="External"/><Relationship Id="rId1186" Type="http://schemas.openxmlformats.org/officeDocument/2006/relationships/hyperlink" Target="https://www.google.com/search?newwindow=1&amp;ei=2MT0XrvGGM-vytMP1OyDgAY&amp;q=site%3Alinkedin.com+Laura+Fernandez+Campus+Recruiting+Coordinator" TargetMode="External"/><Relationship Id="rId4210" Type="http://schemas.openxmlformats.org/officeDocument/2006/relationships/hyperlink" Target="https://www.google.com/search?newwindow=1&amp;ei=2MT0XrvGGM-vytMP1OyDgAY&amp;q=site%3Alinkedin.com+Haley+(Baxter)+Mandell+Software+Engineering+Campus+Recruiter+&amp;+Program+Manager+Two+Sigma" TargetMode="External"/><Relationship Id="rId598" Type="http://schemas.openxmlformats.org/officeDocument/2006/relationships/hyperlink" Target="https://www.google.com/search?newwindow=1&amp;ei=2MT0XrvGGM-vytMP1OyDgAY&amp;q=site%3Alinkedin.com+Hilary+Leigh+Student+Recruiter-Advisor" TargetMode="External"/><Relationship Id="rId1187" Type="http://schemas.openxmlformats.org/officeDocument/2006/relationships/hyperlink" Target="https://www.google.com/search?newwindow=1&amp;ei=2MT0XrvGGM-vytMP1OyDgAY&amp;q=site%3Alinkedin.com+Gracen+Hawco+Assistant+Student+Recruiter" TargetMode="External"/><Relationship Id="rId4213" Type="http://schemas.openxmlformats.org/officeDocument/2006/relationships/hyperlink" Target="https://www.google.com/search?newwindow=1&amp;ei=2MT0XrvGGM-vytMP1OyDgAY&amp;q=site%3Alinkedin.com+Julian+Jordan+Campus+Recruiter+/+Internship+Program+Manager+U.S.+Bank" TargetMode="External"/><Relationship Id="rId597" Type="http://schemas.openxmlformats.org/officeDocument/2006/relationships/hyperlink" Target="https://www.google.com/search?newwindow=1&amp;ei=2MT0XrvGGM-vytMP1OyDgAY&amp;q=site%3Alinkedin.com+Cherry+Wang+International+Recruiter+&amp;+Advisor+-+eRecruitment" TargetMode="External"/><Relationship Id="rId1188" Type="http://schemas.openxmlformats.org/officeDocument/2006/relationships/hyperlink" Target="https://www.google.com/search?newwindow=1&amp;ei=2MT0XrvGGM-vytMP1OyDgAY&amp;q=site%3Alinkedin.com+Maddie+Nelles+Assistant+Student+Recruiter" TargetMode="External"/><Relationship Id="rId4212" Type="http://schemas.openxmlformats.org/officeDocument/2006/relationships/hyperlink" Target="https://www.google.com/search?newwindow=1&amp;ei=2MT0XrvGGM-vytMP1OyDgAY&amp;q=site%3Alinkedin.com+Bradley+Goodloe+Sr.+Campus+Recruiter/Internship+Program+Manager+U.S.+Bank" TargetMode="External"/><Relationship Id="rId596" Type="http://schemas.openxmlformats.org/officeDocument/2006/relationships/hyperlink" Target="https://www.google.com/search?newwindow=1&amp;ei=2MT0XrvGGM-vytMP1OyDgAY&amp;q=site%3Alinkedin.com+Dayna+Li+International+Student+Recruiter/Advisor" TargetMode="External"/><Relationship Id="rId1189" Type="http://schemas.openxmlformats.org/officeDocument/2006/relationships/hyperlink" Target="https://www.google.com/search?newwindow=1&amp;ei=2MT0XrvGGM-vytMP1OyDgAY&amp;q=site%3Alinkedin.com+Janine+Mutton+Student" TargetMode="External"/><Relationship Id="rId4215" Type="http://schemas.openxmlformats.org/officeDocument/2006/relationships/hyperlink" Target="https://www.google.com/search?newwindow=1&amp;ei=2MT0XrvGGM-vytMP1OyDgAY&amp;q=site%3Alinkedin.com+Vicky+Hidalgo+Senior+Manager+-+Campus+Recruiting+U.S.+Bank" TargetMode="External"/><Relationship Id="rId595" Type="http://schemas.openxmlformats.org/officeDocument/2006/relationships/hyperlink" Target="https://www.google.com/search?newwindow=1&amp;ei=2MT0XrvGGM-vytMP1OyDgAY&amp;q=site%3Alinkedin.com+Marleen+Ozel+Associate+International+Student+Recruiter" TargetMode="External"/><Relationship Id="rId4214" Type="http://schemas.openxmlformats.org/officeDocument/2006/relationships/hyperlink" Target="https://www.google.com/search?newwindow=1&amp;ei=2MT0XrvGGM-vytMP1OyDgAY&amp;q=site%3Alinkedin.com+Kelly+Verstat+AVP-+Senior+Campus+Recruiter+/+Internship+Program+Manager+U.S.+Bank" TargetMode="External"/><Relationship Id="rId1136" Type="http://schemas.openxmlformats.org/officeDocument/2006/relationships/hyperlink" Target="https://www.google.com/search?newwindow=1&amp;ei=2MT0XrvGGM-vytMP1OyDgAY&amp;q=site%3Alinkedin.com+Asli+Pamir-Uzun+Undergrad+Strategy+Campus+Recruiting+Associate" TargetMode="External"/><Relationship Id="rId2467" Type="http://schemas.openxmlformats.org/officeDocument/2006/relationships/hyperlink" Target="https://www.google.com/search?newwindow=1&amp;ei=2MT0XrvGGM-vytMP1OyDgAY&amp;q=site%3Alinkedin.com+Chloe+Mercado+University+Relations+Recruiter+Dish+Network" TargetMode="External"/><Relationship Id="rId3799" Type="http://schemas.openxmlformats.org/officeDocument/2006/relationships/hyperlink" Target="https://www.google.com/search?newwindow=1&amp;ei=2MT0XrvGGM-vytMP1OyDgAY&amp;q=site%3Alinkedin.com+Kellyn+Creese+University+Recruiter+PayPal" TargetMode="External"/><Relationship Id="rId1137" Type="http://schemas.openxmlformats.org/officeDocument/2006/relationships/hyperlink" Target="https://www.google.com/search?newwindow=1&amp;ei=2MT0XrvGGM-vytMP1OyDgAY&amp;q=site%3Alinkedin.com+Jia+Chong+Campus+Recruiting" TargetMode="External"/><Relationship Id="rId2468" Type="http://schemas.openxmlformats.org/officeDocument/2006/relationships/hyperlink" Target="https://www.google.com/search?newwindow=1&amp;ei=2MT0XrvGGM-vytMP1OyDgAY&amp;q=site%3Alinkedin.com+Demi+Evans+University+Relations+Recruiter+Dish+Network" TargetMode="External"/><Relationship Id="rId3798" Type="http://schemas.openxmlformats.org/officeDocument/2006/relationships/hyperlink" Target="https://www.google.com/search?newwindow=1&amp;ei=2MT0XrvGGM-vytMP1OyDgAY&amp;q=site%3Alinkedin.com+Luisa+Alona+Campus+Recruiter+JPMorgan+Chase+&amp;+Co." TargetMode="External"/><Relationship Id="rId1138" Type="http://schemas.openxmlformats.org/officeDocument/2006/relationships/hyperlink" Target="https://www.google.com/search?newwindow=1&amp;ei=2MT0XrvGGM-vytMP1OyDgAY&amp;q=site%3Alinkedin.com+Emily+KB+Hines+Campus+Recruiting+Coordinator" TargetMode="External"/><Relationship Id="rId2469" Type="http://schemas.openxmlformats.org/officeDocument/2006/relationships/hyperlink" Target="https://www.google.com/search?newwindow=1&amp;ei=2MT0XrvGGM-vytMP1OyDgAY&amp;q=site%3Alinkedin.com+Deetra+Hill+MBA+Campus+Recruiter+and+Program+Manager+Bank+of+America" TargetMode="External"/><Relationship Id="rId1139" Type="http://schemas.openxmlformats.org/officeDocument/2006/relationships/hyperlink" Target="https://www.google.com/search?newwindow=1&amp;ei=2MT0XrvGGM-vytMP1OyDgAY&amp;q=site%3Alinkedin.com+Linnea+Carter+Campus+Recruiting+Coordinator" TargetMode="External"/><Relationship Id="rId547" Type="http://schemas.openxmlformats.org/officeDocument/2006/relationships/hyperlink" Target="https://www.google.com/search?newwindow=1&amp;ei=2MT0XrvGGM-vytMP1OyDgAY&amp;q=site%3Alinkedin.com+Darlene+Edmonds+Regional+Community+Development+Coordinator+for+Student+Nutrition+Programs" TargetMode="External"/><Relationship Id="rId546" Type="http://schemas.openxmlformats.org/officeDocument/2006/relationships/hyperlink" Target="https://www.google.com/search?newwindow=1&amp;ei=2MT0XrvGGM-vytMP1OyDgAY&amp;q=site%3Alinkedin.com+Victoria+Wylie+Support+Officer+-+P.A.S.S.+(Peer+Assisted+Study+Sessions)+&amp;+Student+Success+Programs" TargetMode="External"/><Relationship Id="rId545" Type="http://schemas.openxmlformats.org/officeDocument/2006/relationships/hyperlink" Target="https://www.google.com/search?newwindow=1&amp;ei=2MT0XrvGGM-vytMP1OyDgAY&amp;q=site%3Alinkedin.com+Anna+Magnotta+Manager,+Experiential+Programs" TargetMode="External"/><Relationship Id="rId544" Type="http://schemas.openxmlformats.org/officeDocument/2006/relationships/hyperlink" Target="https://www.google.com/search?newwindow=1&amp;ei=2MT0XrvGGM-vytMP1OyDgAY&amp;q=site%3Alinkedin.com+Brittney+McManus+Coordinator,+Student+Programs" TargetMode="External"/><Relationship Id="rId549" Type="http://schemas.openxmlformats.org/officeDocument/2006/relationships/hyperlink" Target="https://www.google.com/search?newwindow=1&amp;ei=2MT0XrvGGM-vytMP1OyDgAY&amp;q=site%3Alinkedin.com+Richard+Abel+III+Senior+Campus+Recruiting+Specialist" TargetMode="External"/><Relationship Id="rId548" Type="http://schemas.openxmlformats.org/officeDocument/2006/relationships/hyperlink" Target="https://www.google.com/search?newwindow=1&amp;ei=2MT0XrvGGM-vytMP1OyDgAY&amp;q=site%3Alinkedin.com+Sarah+Ocasio+Vice+President,+Campus+Recruiting" TargetMode="External"/><Relationship Id="rId3791" Type="http://schemas.openxmlformats.org/officeDocument/2006/relationships/hyperlink" Target="https://www.google.com/search?newwindow=1&amp;ei=2MT0XrvGGM-vytMP1OyDgAY&amp;q=site%3Alinkedin.com+A.J.+Perez+College+Recruiter+Oracle" TargetMode="External"/><Relationship Id="rId2460" Type="http://schemas.openxmlformats.org/officeDocument/2006/relationships/hyperlink" Target="https://www.google.com/search?newwindow=1&amp;ei=2MT0XrvGGM-vytMP1OyDgAY&amp;q=site%3Alinkedin.com+Danielle+Smith+Campus+Recruiter+Bank+of+America" TargetMode="External"/><Relationship Id="rId3790" Type="http://schemas.openxmlformats.org/officeDocument/2006/relationships/hyperlink" Target="https://www.google.com/search?newwindow=1&amp;ei=2MT0XrvGGM-vytMP1OyDgAY&amp;q=site%3Alinkedin.com+Sophie+Jenkins+College+Recruiter+Oracle" TargetMode="External"/><Relationship Id="rId1130" Type="http://schemas.openxmlformats.org/officeDocument/2006/relationships/hyperlink" Target="https://www.google.com/search?newwindow=1&amp;ei=2MT0XrvGGM-vytMP1OyDgAY&amp;q=site%3Alinkedin.com+Megan+Armellini+Campus+Recruiting+Manager" TargetMode="External"/><Relationship Id="rId2461" Type="http://schemas.openxmlformats.org/officeDocument/2006/relationships/hyperlink" Target="https://www.google.com/search?newwindow=1&amp;ei=2MT0XrvGGM-vytMP1OyDgAY&amp;q=site%3Alinkedin.com+Jennifer+Hadden+Campus+Recruiter+Deutsche+Bank" TargetMode="External"/><Relationship Id="rId3793" Type="http://schemas.openxmlformats.org/officeDocument/2006/relationships/hyperlink" Target="https://www.google.com/search?newwindow=1&amp;ei=2MT0XrvGGM-vytMP1OyDgAY&amp;q=site%3Alinkedin.com+Kirsten+Cole+University+Recruiter+Oracle" TargetMode="External"/><Relationship Id="rId1131" Type="http://schemas.openxmlformats.org/officeDocument/2006/relationships/hyperlink" Target="https://www.google.com/search?newwindow=1&amp;ei=2MT0XrvGGM-vytMP1OyDgAY&amp;q=site%3Alinkedin.com+Jessica+Bartch+Associate+Director,+Campus+Recruiting" TargetMode="External"/><Relationship Id="rId2462" Type="http://schemas.openxmlformats.org/officeDocument/2006/relationships/hyperlink" Target="https://www.google.com/search?newwindow=1&amp;ei=2MT0XrvGGM-vytMP1OyDgAY&amp;q=site%3Alinkedin.com+Susan+Elworthy+Program+Manager+&amp;+Campus+Recruiter+Bank+of+America" TargetMode="External"/><Relationship Id="rId3792" Type="http://schemas.openxmlformats.org/officeDocument/2006/relationships/hyperlink" Target="https://www.google.com/search?newwindow=1&amp;ei=2MT0XrvGGM-vytMP1OyDgAY&amp;q=site%3Alinkedin.com+Allyson+Dubois+Oracle+College+Recruiter+Oracle" TargetMode="External"/><Relationship Id="rId543" Type="http://schemas.openxmlformats.org/officeDocument/2006/relationships/hyperlink" Target="https://www.google.com/search?newwindow=1&amp;ei=2MT0XrvGGM-vytMP1OyDgAY&amp;q=site%3Alinkedin.com+Sandy+Willett+Student+Recruiter" TargetMode="External"/><Relationship Id="rId1132" Type="http://schemas.openxmlformats.org/officeDocument/2006/relationships/hyperlink" Target="https://www.google.com/search?newwindow=1&amp;ei=2MT0XrvGGM-vytMP1OyDgAY&amp;q=site%3Alinkedin.com+Molli+Flynt+Associate+Director+of+Campus+Recruiting" TargetMode="External"/><Relationship Id="rId2463" Type="http://schemas.openxmlformats.org/officeDocument/2006/relationships/hyperlink" Target="https://www.google.com/search?newwindow=1&amp;ei=2MT0XrvGGM-vytMP1OyDgAY&amp;q=site%3Alinkedin.com+Katy+Franklin+Associate+-+Human+Resources+-+Talent+Sourcing+-+Campus+Recruiter+Deutsche+Bank" TargetMode="External"/><Relationship Id="rId3795" Type="http://schemas.openxmlformats.org/officeDocument/2006/relationships/hyperlink" Target="https://www.google.com/search?newwindow=1&amp;ei=2MT0XrvGGM-vytMP1OyDgAY&amp;q=site%3Alinkedin.com+Whitney+Anderson+Senior+Recruiter,+University+Programs+PayPal" TargetMode="External"/><Relationship Id="rId542" Type="http://schemas.openxmlformats.org/officeDocument/2006/relationships/hyperlink" Target="https://www.google.com/search?newwindow=1&amp;ei=2MT0XrvGGM-vytMP1OyDgAY&amp;q=site%3Alinkedin.com+Jackie+Fricke+Campus+Recruiting+Coordinator" TargetMode="External"/><Relationship Id="rId1133" Type="http://schemas.openxmlformats.org/officeDocument/2006/relationships/hyperlink" Target="https://www.google.com/search?newwindow=1&amp;ei=2MT0XrvGGM-vytMP1OyDgAY&amp;q=site%3Alinkedin.com+Jagreet+Baghasingh+Team+Lead+-+R&amp;D+Investor+Ownership" TargetMode="External"/><Relationship Id="rId2464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3794" Type="http://schemas.openxmlformats.org/officeDocument/2006/relationships/hyperlink" Target="https://www.google.com/search?newwindow=1&amp;ei=2MT0XrvGGM-vytMP1OyDgAY&amp;q=site%3Alinkedin.com+Talehia+Traverso+Campus+Recruiter+for+Global+Finance+&amp;+Business+Management+Internship+Program+JPMorgan+Chase+&amp;+Co." TargetMode="External"/><Relationship Id="rId541" Type="http://schemas.openxmlformats.org/officeDocument/2006/relationships/hyperlink" Target="https://www.google.com/search?newwindow=1&amp;ei=2MT0XrvGGM-vytMP1OyDgAY&amp;q=site%3Alinkedin.com+Janet+Zed+Coordinator,+Student+Programs+and+Lawyer+Development" TargetMode="External"/><Relationship Id="rId1134" Type="http://schemas.openxmlformats.org/officeDocument/2006/relationships/hyperlink" Target="https://www.google.com/search?newwindow=1&amp;ei=2MT0XrvGGM-vytMP1OyDgAY&amp;q=site%3Alinkedin.com+Andrea+Beldecos+Managing+Director,+Global+Head+of+Asset+Management+Campus+Recruiting" TargetMode="External"/><Relationship Id="rId2465" Type="http://schemas.openxmlformats.org/officeDocument/2006/relationships/hyperlink" Target="https://www.google.com/search?newwindow=1&amp;ei=2MT0XrvGGM-vytMP1OyDgAY&amp;q=site%3Alinkedin.com+Katherine+Brodhead,+MBA+University+Relations+Recruiter+DISH+Network" TargetMode="External"/><Relationship Id="rId3797" Type="http://schemas.openxmlformats.org/officeDocument/2006/relationships/hyperlink" Target="https://www.google.com/search?newwindow=1&amp;ei=2MT0XrvGGM-vytMP1OyDgAY&amp;q=site%3Alinkedin.com+Iris+Lin+University+Recruiter+PayPal" TargetMode="External"/><Relationship Id="rId540" Type="http://schemas.openxmlformats.org/officeDocument/2006/relationships/hyperlink" Target="https://www.google.com/search?newwindow=1&amp;ei=2MT0XrvGGM-vytMP1OyDgAY&amp;q=site%3Alinkedin.com+Dawn+Cottreau+Director,+Student+&amp;+Paralegal+Programs" TargetMode="External"/><Relationship Id="rId1135" Type="http://schemas.openxmlformats.org/officeDocument/2006/relationships/hyperlink" Target="https://www.google.com/search?newwindow=1&amp;ei=2MT0XrvGGM-vytMP1OyDgAY&amp;q=site%3Alinkedin.com+Kate+Bennis+Lead+Campus+Recruiting+Specialist" TargetMode="External"/><Relationship Id="rId2466" Type="http://schemas.openxmlformats.org/officeDocument/2006/relationships/hyperlink" Target="https://www.google.com/search?newwindow=1&amp;ei=2MT0XrvGGM-vytMP1OyDgAY&amp;q=site%3Alinkedin.com+Courtney+Dickens+Campus+Recruiter+&amp;+Program+Manager+Bank+of+America" TargetMode="External"/><Relationship Id="rId3796" Type="http://schemas.openxmlformats.org/officeDocument/2006/relationships/hyperlink" Target="https://www.google.com/search?newwindow=1&amp;ei=2MT0XrvGGM-vytMP1OyDgAY&amp;q=site%3Alinkedin.com+Charlie+Matthews+Campus+Recruiter+JPMorgan+Chase+&amp;+Co." TargetMode="External"/><Relationship Id="rId1125" Type="http://schemas.openxmlformats.org/officeDocument/2006/relationships/hyperlink" Target="https://www.google.com/search?newwindow=1&amp;ei=2MT0XrvGGM-vytMP1OyDgAY&amp;q=site%3Alinkedin.com+Chloe+Street+Campus+Recruiting+Director" TargetMode="External"/><Relationship Id="rId2456" Type="http://schemas.openxmlformats.org/officeDocument/2006/relationships/hyperlink" Target="https://www.google.com/search?newwindow=1&amp;ei=2MT0XrvGGM-vytMP1OyDgAY&amp;q=site%3Alinkedin.com+Catherine+Casey+Senior+MBA+Campus+Recruiter+Deloitte+Consulting" TargetMode="External"/><Relationship Id="rId3788" Type="http://schemas.openxmlformats.org/officeDocument/2006/relationships/hyperlink" Target="https://www.google.com/search?newwindow=1&amp;ei=2MT0XrvGGM-vytMP1OyDgAY&amp;q=site%3Alinkedin.com+Lauren+Martinez+College+Recruiter+Oracle" TargetMode="External"/><Relationship Id="rId1126" Type="http://schemas.openxmlformats.org/officeDocument/2006/relationships/hyperlink" Target="https://www.google.com/search?newwindow=1&amp;ei=2MT0XrvGGM-vytMP1OyDgAY&amp;q=site%3Alinkedin.com+Mary+Catherine+Executive+Director,+Campus+Recruiting" TargetMode="External"/><Relationship Id="rId2457" Type="http://schemas.openxmlformats.org/officeDocument/2006/relationships/hyperlink" Target="https://www.google.com/search?newwindow=1&amp;ei=2MT0XrvGGM-vytMP1OyDgAY&amp;q=site%3Alinkedin.com+Maria+Kichler+Campus+Recruiter+Deloitte+Consulting" TargetMode="External"/><Relationship Id="rId3787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1127" Type="http://schemas.openxmlformats.org/officeDocument/2006/relationships/hyperlink" Target="https://www.google.com/search?newwindow=1&amp;ei=2MT0XrvGGM-vytMP1OyDgAY&amp;q=site%3Alinkedin.com+Meghan+McKenzie+Experienced+Hire+Recruiting" TargetMode="External"/><Relationship Id="rId2458" Type="http://schemas.openxmlformats.org/officeDocument/2006/relationships/hyperlink" Target="https://www.google.com/search?newwindow=1&amp;ei=2MT0XrvGGM-vytMP1OyDgAY&amp;q=site%3Alinkedin.com+Dwayne+Brown+Diversity+Campus+Recruiter+Bank+of+America" TargetMode="External"/><Relationship Id="rId1128" Type="http://schemas.openxmlformats.org/officeDocument/2006/relationships/hyperlink" Target="https://www.google.com/search?newwindow=1&amp;ei=2MT0XrvGGM-vytMP1OyDgAY&amp;q=site%3Alinkedin.com+Ashley+Hyde,+MS,+SPHR+Manager,+Performance+Management" TargetMode="External"/><Relationship Id="rId2459" Type="http://schemas.openxmlformats.org/officeDocument/2006/relationships/hyperlink" Target="https://www.google.com/search?newwindow=1&amp;ei=2MT0XrvGGM-vytMP1OyDgAY&amp;q=site%3Alinkedin.com+Mark+McKenzie+Sr.+Campus+Recruiter+Deloitte+Consulting" TargetMode="External"/><Relationship Id="rId3789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1129" Type="http://schemas.openxmlformats.org/officeDocument/2006/relationships/hyperlink" Target="https://www.google.com/search?newwindow=1&amp;ei=2MT0XrvGGM-vytMP1OyDgAY&amp;q=site%3Alinkedin.com+Alyse+Aven+Lead+Experienced+Hire+Recruiter" TargetMode="External"/><Relationship Id="rId536" Type="http://schemas.openxmlformats.org/officeDocument/2006/relationships/hyperlink" Target="https://www.google.com/search?newwindow=1&amp;ei=2MT0XrvGGM-vytMP1OyDgAY&amp;q=site%3Alinkedin.com+Nia+MacFarlane+Student+Success+Leader+(Recruiter)" TargetMode="External"/><Relationship Id="rId535" Type="http://schemas.openxmlformats.org/officeDocument/2006/relationships/hyperlink" Target="https://www.google.com/search?newwindow=1&amp;ei=2MT0XrvGGM-vytMP1OyDgAY&amp;q=site%3Alinkedin.com+Ruby+Boutilier+International+Recruiter+York+university" TargetMode="External"/><Relationship Id="rId534" Type="http://schemas.openxmlformats.org/officeDocument/2006/relationships/hyperlink" Target="https://www.google.com/search?newwindow=1&amp;ei=2MT0XrvGGM-vytMP1OyDgAY&amp;q=site%3Alinkedin.com+Adam+Robertson+Assistant+Vice+Provost+(Student+Affairs)+and+University+Registrar" TargetMode="External"/><Relationship Id="rId533" Type="http://schemas.openxmlformats.org/officeDocument/2006/relationships/hyperlink" Target="https://www.google.com/search?newwindow=1&amp;ei=2MT0XrvGGM-vytMP1OyDgAY&amp;q=site%3Alinkedin.com+Sophie+Bayless+Graduate+Recruiter" TargetMode="External"/><Relationship Id="rId539" Type="http://schemas.openxmlformats.org/officeDocument/2006/relationships/hyperlink" Target="https://www.google.com/search?newwindow=1&amp;ei=2MT0XrvGGM-vytMP1OyDgAY&amp;q=site%3Alinkedin.com+Jennifer+E.+Hann+Director,+Mature+Student+Services+and+University+Prep/Pathways+Programs" TargetMode="External"/><Relationship Id="rId538" Type="http://schemas.openxmlformats.org/officeDocument/2006/relationships/hyperlink" Target="https://www.google.com/search?newwindow=1&amp;ei=2MT0XrvGGM-vytMP1OyDgAY&amp;q=site%3Alinkedin.com+Matthew+Beal+Student+Programs+Coordinator" TargetMode="External"/><Relationship Id="rId537" Type="http://schemas.openxmlformats.org/officeDocument/2006/relationships/hyperlink" Target="https://www.google.com/search?newwindow=1&amp;ei=2MT0XrvGGM-vytMP1OyDgAY&amp;q=site%3Alinkedin.com+Melissa+McDonald+Hiring+Recruiter" TargetMode="External"/><Relationship Id="rId3780" Type="http://schemas.openxmlformats.org/officeDocument/2006/relationships/hyperlink" Target="https://www.google.com/search?newwindow=1&amp;ei=2MT0XrvGGM-vytMP1OyDgAY&amp;q=site%3Alinkedin.com+Jessica+Westlund+Senior+Associate-+Campus+Recruiter-+Software+Engineer+Program+JPMorgan+Chase+&amp;+Co." TargetMode="External"/><Relationship Id="rId2450" Type="http://schemas.openxmlformats.org/officeDocument/2006/relationships/hyperlink" Target="https://www.google.com/search?newwindow=1&amp;ei=2MT0XrvGGM-vytMP1OyDgAY&amp;q=site%3Alinkedin.com+Allyssa+Tivis+Resource+Manager+Deloitte+Consulting" TargetMode="External"/><Relationship Id="rId3782" Type="http://schemas.openxmlformats.org/officeDocument/2006/relationships/hyperlink" Target="https://www.google.com/search?newwindow=1&amp;ei=2MT0XrvGGM-vytMP1OyDgAY&amp;q=site%3Alinkedin.com+Sherice+Lane+College+Recruiter+Oracle" TargetMode="External"/><Relationship Id="rId1120" Type="http://schemas.openxmlformats.org/officeDocument/2006/relationships/hyperlink" Target="https://www.google.com/search?newwindow=1&amp;ei=2MT0XrvGGM-vytMP1OyDgAY&amp;q=site%3Alinkedin.com+Kiera+McMullan+Wealth+Management+Campus+Recruiting+&amp;+Program+Management" TargetMode="External"/><Relationship Id="rId2451" Type="http://schemas.openxmlformats.org/officeDocument/2006/relationships/hyperlink" Target="https://www.google.com/search?newwindow=1&amp;ei=2MT0XrvGGM-vytMP1OyDgAY&amp;q=site%3Alinkedin.com+Carli+Hyatt+Campus+Recruiter+Deloitte+Consulting" TargetMode="External"/><Relationship Id="rId3781" Type="http://schemas.openxmlformats.org/officeDocument/2006/relationships/hyperlink" Target="https://www.google.com/search?newwindow=1&amp;ei=2MT0XrvGGM-vytMP1OyDgAY&amp;q=site%3Alinkedin.com+Samantha+Birkel+College+Recruiter+Oracle" TargetMode="External"/><Relationship Id="rId532" Type="http://schemas.openxmlformats.org/officeDocument/2006/relationships/hyperlink" Target="https://www.google.com/search?newwindow=1&amp;ei=2MT0XrvGGM-vytMP1OyDgAY&amp;q=site%3Alinkedin.com+Simone+Ianniello+Customer+Programs+Assistant" TargetMode="External"/><Relationship Id="rId1121" Type="http://schemas.openxmlformats.org/officeDocument/2006/relationships/hyperlink" Target="https://www.google.com/search?newwindow=1&amp;ei=2MT0XrvGGM-vytMP1OyDgAY&amp;q=site%3Alinkedin.com+Melanie+S.+Human+Resources+Intern+-+Campus+Recruiting" TargetMode="External"/><Relationship Id="rId2452" Type="http://schemas.openxmlformats.org/officeDocument/2006/relationships/hyperlink" Target="https://www.google.com/search?newwindow=1&amp;ei=2MT0XrvGGM-vytMP1OyDgAY&amp;q=site%3Alinkedin.com+Jessie+Fredrickson+Campus+Recruiter+&amp;+Program+Manager+Bank+of+America" TargetMode="External"/><Relationship Id="rId3784" Type="http://schemas.openxmlformats.org/officeDocument/2006/relationships/hyperlink" Target="https://www.google.com/search?newwindow=1&amp;ei=2MT0XrvGGM-vytMP1OyDgAY&amp;q=site%3Alinkedin.com+Ralfiel+Wright+University+Recruiter+Oracle" TargetMode="External"/><Relationship Id="rId531" Type="http://schemas.openxmlformats.org/officeDocument/2006/relationships/hyperlink" Target="https://www.google.com/search?newwindow=1&amp;ei=2MT0XrvGGM-vytMP1OyDgAY&amp;q=site%3Alinkedin.com+Jemal+Demeke+ABO+Blood+Typer/Student+Recruiter" TargetMode="External"/><Relationship Id="rId1122" Type="http://schemas.openxmlformats.org/officeDocument/2006/relationships/hyperlink" Target="https://www.google.com/search?newwindow=1&amp;ei=2MT0XrvGGM-vytMP1OyDgAY&amp;q=site%3Alinkedin.com+Taylor+Monticollo+Campus+Recruiting+Coordinator" TargetMode="External"/><Relationship Id="rId2453" Type="http://schemas.openxmlformats.org/officeDocument/2006/relationships/hyperlink" Target="https://www.google.com/search?newwindow=1&amp;ei=2MT0XrvGGM-vytMP1OyDgAY&amp;q=site%3Alinkedin.com+Tracey+King+Campus+Recruiter+Coordinator+Deloitte+Consulting" TargetMode="External"/><Relationship Id="rId3783" Type="http://schemas.openxmlformats.org/officeDocument/2006/relationships/hyperlink" Target="https://www.google.com/search?newwindow=1&amp;ei=2MT0XrvGGM-vytMP1OyDgAY&amp;q=site%3Alinkedin.com+Dana+Deats+Campus+Recruiter+JPMorgan+Chase+&amp;+Co." TargetMode="External"/><Relationship Id="rId530" Type="http://schemas.openxmlformats.org/officeDocument/2006/relationships/hyperlink" Target="https://www.google.com/search?newwindow=1&amp;ei=2MT0XrvGGM-vytMP1OyDgAY&amp;q=site%3Alinkedin.com+Tori+Irvin+Campus+Recruiting+Specialist" TargetMode="External"/><Relationship Id="rId1123" Type="http://schemas.openxmlformats.org/officeDocument/2006/relationships/hyperlink" Target="https://www.google.com/search?newwindow=1&amp;ei=2MT0XrvGGM-vytMP1OyDgAY&amp;q=site%3Alinkedin.com+Jenna+R.+Campus+Recruiting+Manager" TargetMode="External"/><Relationship Id="rId2454" Type="http://schemas.openxmlformats.org/officeDocument/2006/relationships/hyperlink" Target="https://www.google.com/search?newwindow=1&amp;ei=2MT0XrvGGM-vytMP1OyDgAY&amp;q=site%3Alinkedin.com+Tiffany+Foskey-Lewis,SHRM-CP+US+Delivery+Center+Campus+Recruiter+Deloitte+Consulting" TargetMode="External"/><Relationship Id="rId3786" Type="http://schemas.openxmlformats.org/officeDocument/2006/relationships/hyperlink" Target="https://www.google.com/search?newwindow=1&amp;ei=2MT0XrvGGM-vytMP1OyDgAY&amp;q=site%3Alinkedin.com+Nicole+Holliman+College+Recruiter+Oracle" TargetMode="External"/><Relationship Id="rId1124" Type="http://schemas.openxmlformats.org/officeDocument/2006/relationships/hyperlink" Target="https://www.google.com/search?newwindow=1&amp;ei=2MT0XrvGGM-vytMP1OyDgAY&amp;q=site%3Alinkedin.com+Lisa+James+Human+Resources" TargetMode="External"/><Relationship Id="rId2455" Type="http://schemas.openxmlformats.org/officeDocument/2006/relationships/hyperlink" Target="https://www.google.com/search?newwindow=1&amp;ei=2MT0XrvGGM-vytMP1OyDgAY&amp;q=site%3Alinkedin.com+Amelie+Speer+Campus+Recruiter+&amp;+Intern+Program+Manager+Bank+of+America" TargetMode="External"/><Relationship Id="rId3785" Type="http://schemas.openxmlformats.org/officeDocument/2006/relationships/hyperlink" Target="https://www.google.com/search?newwindow=1&amp;ei=2MT0XrvGGM-vytMP1OyDgAY&amp;q=site%3Alinkedin.com+Sarah+Abt+Campus+Recruiting+Manager+JPMorgan+Chase+&amp;+Co." TargetMode="External"/><Relationship Id="rId1158" Type="http://schemas.openxmlformats.org/officeDocument/2006/relationships/hyperlink" Target="https://www.google.com/search?newwindow=1&amp;ei=2MT0XrvGGM-vytMP1OyDgAY&amp;q=site%3Alinkedin.com+Joseph+Linley+Student+Recruitment+Officer+-+Nottingham+University+Business+School" TargetMode="External"/><Relationship Id="rId2489" Type="http://schemas.openxmlformats.org/officeDocument/2006/relationships/hyperlink" Target="https://www.google.com/search?newwindow=1&amp;ei=2MT0XrvGGM-vytMP1OyDgAY&amp;q=site%3Alinkedin.com+Noelle+Mattessich+Campus+Recruiter+-+Global+Banking+and+Markets+Bank+of+America" TargetMode="External"/><Relationship Id="rId1159" Type="http://schemas.openxmlformats.org/officeDocument/2006/relationships/hyperlink" Target="https://www.google.com/search?newwindow=1&amp;ei=2MT0XrvGGM-vytMP1OyDgAY&amp;q=site%3Alinkedin.com+Olwen+Watson+Senior+Campus+Recruiter+-+Talent+Acquisition" TargetMode="External"/><Relationship Id="rId569" Type="http://schemas.openxmlformats.org/officeDocument/2006/relationships/hyperlink" Target="https://www.google.com/search?newwindow=1&amp;ei=2MT0XrvGGM-vytMP1OyDgAY&amp;q=site%3Alinkedin.com+Nicole+Yogi+Audit+Primary+Recruiter,+Campus+Recruiting" TargetMode="External"/><Relationship Id="rId568" Type="http://schemas.openxmlformats.org/officeDocument/2006/relationships/hyperlink" Target="https://www.google.com/search?newwindow=1&amp;ei=2MT0XrvGGM-vytMP1OyDgAY&amp;q=site%3Alinkedin.com+Sydney+Ziober+Campus+Recruiting+Coordinator" TargetMode="External"/><Relationship Id="rId567" Type="http://schemas.openxmlformats.org/officeDocument/2006/relationships/hyperlink" Target="https://www.google.com/search?newwindow=1&amp;ei=2MT0XrvGGM-vytMP1OyDgAY&amp;q=site%3Alinkedin.com+Claire+Bourgeois+Senior+Campus+Recruiting+Specialist" TargetMode="External"/><Relationship Id="rId566" Type="http://schemas.openxmlformats.org/officeDocument/2006/relationships/hyperlink" Target="https://www.google.com/search?newwindow=1&amp;ei=2MT0XrvGGM-vytMP1OyDgAY&amp;q=site%3Alinkedin.com+Gabrielle+Leal+Senior+Campus+Recruiting+Specialist" TargetMode="External"/><Relationship Id="rId2480" Type="http://schemas.openxmlformats.org/officeDocument/2006/relationships/hyperlink" Target="https://www.google.com/search?newwindow=1&amp;ei=2MT0XrvGGM-vytMP1OyDgAY&amp;q=site%3Alinkedin.com+Conita+Neal+AVP+Campus+Recruiter+Bank+of+America" TargetMode="External"/><Relationship Id="rId561" Type="http://schemas.openxmlformats.org/officeDocument/2006/relationships/hyperlink" Target="https://www.google.com/search?newwindow=1&amp;ei=2MT0XrvGGM-vytMP1OyDgAY&amp;q=site%3Alinkedin.com+Katie+Doerer,+MBA+Campus+Recruiting+Manager" TargetMode="External"/><Relationship Id="rId1150" Type="http://schemas.openxmlformats.org/officeDocument/2006/relationships/hyperlink" Target="https://www.google.com/search?newwindow=1&amp;ei=2MT0XrvGGM-vytMP1OyDgAY&amp;q=site%3Alinkedin.com+Jackson+Borg+Student+Learning+Support+Officer" TargetMode="External"/><Relationship Id="rId2481" Type="http://schemas.openxmlformats.org/officeDocument/2006/relationships/hyperlink" Target="https://www.google.com/search?newwindow=1&amp;ei=2MT0XrvGGM-vytMP1OyDgAY&amp;q=site%3Alinkedin.com+Natalie+Boyles,+CPA+Campus+Recruiter+Dixon+Hughes+Goodman+LLP" TargetMode="External"/><Relationship Id="rId560" Type="http://schemas.openxmlformats.org/officeDocument/2006/relationships/hyperlink" Target="https://www.google.com/search?newwindow=1&amp;ei=2MT0XrvGGM-vytMP1OyDgAY&amp;q=site%3Alinkedin.com+Carlos+Pereira,+MPA+Campus+Recruiting" TargetMode="External"/><Relationship Id="rId1151" Type="http://schemas.openxmlformats.org/officeDocument/2006/relationships/hyperlink" Target="https://www.google.com/search?newwindow=1&amp;ei=2MT0XrvGGM-vytMP1OyDgAY&amp;q=site%3Alinkedin.com+Hugo+Garcia-Gonzalez+Student+Assistant" TargetMode="External"/><Relationship Id="rId2482" Type="http://schemas.openxmlformats.org/officeDocument/2006/relationships/hyperlink" Target="https://www.google.com/search?newwindow=1&amp;ei=2MT0XrvGGM-vytMP1OyDgAY&amp;q=site%3Alinkedin.com+Lindsey+Everidge+AVP-+College+Recruiter+Bank+of+America" TargetMode="External"/><Relationship Id="rId1152" Type="http://schemas.openxmlformats.org/officeDocument/2006/relationships/hyperlink" Target="https://www.google.com/search?newwindow=1&amp;ei=2MT0XrvGGM-vytMP1OyDgAY&amp;q=site%3Alinkedin.com+Derrick+Beggs,+PHR+CDR+KMPG+Campus+Recruiting+Manager" TargetMode="External"/><Relationship Id="rId2483" Type="http://schemas.openxmlformats.org/officeDocument/2006/relationships/hyperlink" Target="https://www.google.com/search?newwindow=1&amp;ei=2MT0XrvGGM-vytMP1OyDgAY&amp;q=site%3Alinkedin.com+Kunda+Musambacine+Program+Manager,+University+Recruiter+DocuSign" TargetMode="External"/><Relationship Id="rId1153" Type="http://schemas.openxmlformats.org/officeDocument/2006/relationships/hyperlink" Target="https://www.google.com/search?newwindow=1&amp;ei=2MT0XrvGGM-vytMP1OyDgAY&amp;q=site%3Alinkedin.com+Jorgia+Petschack+Student+Recruiter" TargetMode="External"/><Relationship Id="rId2484" Type="http://schemas.openxmlformats.org/officeDocument/2006/relationships/hyperlink" Target="https://www.google.com/search?newwindow=1&amp;ei=2MT0XrvGGM-vytMP1OyDgAY&amp;q=site%3Alinkedin.com+Monica+Kim+University+Recruiter+DocuSign" TargetMode="External"/><Relationship Id="rId565" Type="http://schemas.openxmlformats.org/officeDocument/2006/relationships/hyperlink" Target="https://www.google.com/search?newwindow=1&amp;ei=2MT0XrvGGM-vytMP1OyDgAY&amp;q=site%3Alinkedin.com+Kelly+Wray+Senior+Campus+Recruiting+Specialist" TargetMode="External"/><Relationship Id="rId1154" Type="http://schemas.openxmlformats.org/officeDocument/2006/relationships/hyperlink" Target="https://www.google.com/search?newwindow=1&amp;ei=2MT0XrvGGM-vytMP1OyDgAY&amp;q=site%3Alinkedin.com+Ellie+Woodfield+Campus+Recruiter" TargetMode="External"/><Relationship Id="rId2485" Type="http://schemas.openxmlformats.org/officeDocument/2006/relationships/hyperlink" Target="https://www.google.com/search?newwindow=1&amp;ei=2MT0XrvGGM-vytMP1OyDgAY&amp;q=site%3Alinkedin.com+Molly+Holmes+Jacobs+University+Recruiter+DocuSign" TargetMode="External"/><Relationship Id="rId564" Type="http://schemas.openxmlformats.org/officeDocument/2006/relationships/hyperlink" Target="https://www.google.com/search?newwindow=1&amp;ei=2MT0XrvGGM-vytMP1OyDgAY&amp;q=site%3Alinkedin.com+Shelby+Edmoundson+Campus+Recruiting-Senior+Associate" TargetMode="External"/><Relationship Id="rId1155" Type="http://schemas.openxmlformats.org/officeDocument/2006/relationships/hyperlink" Target="https://www.google.com/search?newwindow=1&amp;ei=2MT0XrvGGM-vytMP1OyDgAY&amp;q=site%3Alinkedin.com+Heather+Gawenda+Student+Recruiter" TargetMode="External"/><Relationship Id="rId2486" Type="http://schemas.openxmlformats.org/officeDocument/2006/relationships/hyperlink" Target="https://www.google.com/search?newwindow=1&amp;ei=2MT0XrvGGM-vytMP1OyDgAY&amp;q=site%3Alinkedin.com+Courtney+Neff+Technical+Recruiter,+University+Recruiting+DoorDash" TargetMode="External"/><Relationship Id="rId563" Type="http://schemas.openxmlformats.org/officeDocument/2006/relationships/hyperlink" Target="https://www.google.com/search?newwindow=1&amp;ei=2MT0XrvGGM-vytMP1OyDgAY&amp;q=site%3Alinkedin.com+Zoie+Castellanos+Campus+Recruiting+Coordinator" TargetMode="External"/><Relationship Id="rId1156" Type="http://schemas.openxmlformats.org/officeDocument/2006/relationships/hyperlink" Target="https://www.google.com/search?newwindow=1&amp;ei=2MT0XrvGGM-vytMP1OyDgAY&amp;q=site%3Alinkedin.com+Zinnet+Omidvar+International+student+recruiter+/+counselor" TargetMode="External"/><Relationship Id="rId2487" Type="http://schemas.openxmlformats.org/officeDocument/2006/relationships/hyperlink" Target="https://www.google.com/search?newwindow=1&amp;ei=2MT0XrvGGM-vytMP1OyDgAY&amp;q=site%3Alinkedin.com+Alexis+Pickett+University+Recruiter+Dropbox" TargetMode="External"/><Relationship Id="rId562" Type="http://schemas.openxmlformats.org/officeDocument/2006/relationships/hyperlink" Target="https://www.google.com/search?newwindow=1&amp;ei=2MT0XrvGGM-vytMP1OyDgAY&amp;q=site%3Alinkedin.com+Liliana+Cruz+Campus+Recruiting+Specialist" TargetMode="External"/><Relationship Id="rId1157" Type="http://schemas.openxmlformats.org/officeDocument/2006/relationships/hyperlink" Target="https://www.google.com/search?newwindow=1&amp;ei=2MT0XrvGGM-vytMP1OyDgAY&amp;q=site%3Alinkedin.com+Ali+Accumanno+Griffin+Lead+Campus+Recruiting+Specialist" TargetMode="External"/><Relationship Id="rId2488" Type="http://schemas.openxmlformats.org/officeDocument/2006/relationships/hyperlink" Target="https://www.google.com/search?newwindow=1&amp;ei=2MT0XrvGGM-vytMP1OyDgAY&amp;q=site%3Alinkedin.com+Daniel+Simpson+Senior+University+Recruiter+Dropbox" TargetMode="External"/><Relationship Id="rId1147" Type="http://schemas.openxmlformats.org/officeDocument/2006/relationships/hyperlink" Target="https://www.google.com/search?newwindow=1&amp;ei=2MT0XrvGGM-vytMP1OyDgAY&amp;q=site%3Alinkedin.com+Dan+Dawson+University+Lecturer" TargetMode="External"/><Relationship Id="rId2478" Type="http://schemas.openxmlformats.org/officeDocument/2006/relationships/hyperlink" Target="https://www.google.com/search?newwindow=1&amp;ei=2MT0XrvGGM-vytMP1OyDgAY&amp;q=site%3Alinkedin.com+Abbie+Zollinger+Campus+Recruiter+Bank+of+America" TargetMode="External"/><Relationship Id="rId1148" Type="http://schemas.openxmlformats.org/officeDocument/2006/relationships/hyperlink" Target="https://www.google.com/search?newwindow=1&amp;ei=2MT0XrvGGM-vytMP1OyDgAY&amp;q=site%3Alinkedin.com+Krista+Navalta+Campus+Recruiter" TargetMode="External"/><Relationship Id="rId2479" Type="http://schemas.openxmlformats.org/officeDocument/2006/relationships/hyperlink" Target="https://www.google.com/search?newwindow=1&amp;ei=2MT0XrvGGM-vytMP1OyDgAY&amp;q=site%3Alinkedin.com+Taylor+Cocherell+Campus+Recruiter+Dixon+Hughes+Goodman+LLP" TargetMode="External"/><Relationship Id="rId1149" Type="http://schemas.openxmlformats.org/officeDocument/2006/relationships/hyperlink" Target="https://www.google.com/search?newwindow=1&amp;ei=2MT0XrvGGM-vytMP1OyDgAY&amp;q=site%3Alinkedin.com+Janet+Downer+Assistant+Head+of+School,+Academics+and+Student+Programs" TargetMode="External"/><Relationship Id="rId558" Type="http://schemas.openxmlformats.org/officeDocument/2006/relationships/hyperlink" Target="https://www.google.com/search?newwindow=1&amp;ei=2MT0XrvGGM-vytMP1OyDgAY&amp;q=site%3Alinkedin.com+Kathleen+Corrigan+Campus+Recruiting+Assistant+Director" TargetMode="External"/><Relationship Id="rId557" Type="http://schemas.openxmlformats.org/officeDocument/2006/relationships/hyperlink" Target="https://www.google.com/search?newwindow=1&amp;ei=2MT0XrvGGM-vytMP1OyDgAY&amp;q=site%3Alinkedin.com+Kristina+Scutari+Campus+Recruiting+Manager" TargetMode="External"/><Relationship Id="rId556" Type="http://schemas.openxmlformats.org/officeDocument/2006/relationships/hyperlink" Target="https://www.google.com/search?newwindow=1&amp;ei=2MT0XrvGGM-vytMP1OyDgAY&amp;q=site%3Alinkedin.com+Mia+Friederich+Campus+Recruiting+Coordinator" TargetMode="External"/><Relationship Id="rId555" Type="http://schemas.openxmlformats.org/officeDocument/2006/relationships/hyperlink" Target="https://www.google.com/search?newwindow=1&amp;ei=2MT0XrvGGM-vytMP1OyDgAY&amp;q=site%3Alinkedin.com+Georgia+Finlayson+Student+Peer+Mentoring+Programs+Coordinator" TargetMode="External"/><Relationship Id="rId559" Type="http://schemas.openxmlformats.org/officeDocument/2006/relationships/hyperlink" Target="https://www.google.com/search?newwindow=1&amp;ei=2MT0XrvGGM-vytMP1OyDgAY&amp;q=site%3Alinkedin.com+Morgan+Liss+FSO+Assurance+Campus+Recruiter" TargetMode="External"/><Relationship Id="rId550" Type="http://schemas.openxmlformats.org/officeDocument/2006/relationships/hyperlink" Target="https://www.google.com/search?newwindow=1&amp;ei=2MT0XrvGGM-vytMP1OyDgAY&amp;q=site%3Alinkedin.com+Tom+Young+University+Recruitment+Manager" TargetMode="External"/><Relationship Id="rId2470" Type="http://schemas.openxmlformats.org/officeDocument/2006/relationships/hyperlink" Target="https://www.google.com/search?newwindow=1&amp;ei=2MT0XrvGGM-vytMP1OyDgAY&amp;q=site%3Alinkedin.com+Kyerra+Moody,+CPA+Campus+Recruiter+Dixon+Hughes+Goodman+LLP" TargetMode="External"/><Relationship Id="rId1140" Type="http://schemas.openxmlformats.org/officeDocument/2006/relationships/hyperlink" Target="https://www.google.com/search?newwindow=1&amp;ei=2MT0XrvGGM-vytMP1OyDgAY&amp;q=site%3Alinkedin.com+Joseph+Blue+Campus+Recruiting+-+Jr.+Business+Advisor/Analyst" TargetMode="External"/><Relationship Id="rId2471" Type="http://schemas.openxmlformats.org/officeDocument/2006/relationships/hyperlink" Target="https://www.google.com/search?newwindow=1&amp;ei=2MT0XrvGGM-vytMP1OyDgAY&amp;q=site%3Alinkedin.com+Katie+Davenport,+CPA,+SHRM-SCP+Senior+Campus+Recruiting+Manager+Dixon+Hughes+Goodman+LLP" TargetMode="External"/><Relationship Id="rId1141" Type="http://schemas.openxmlformats.org/officeDocument/2006/relationships/hyperlink" Target="https://www.google.com/search?newwindow=1&amp;ei=2MT0XrvGGM-vytMP1OyDgAY&amp;q=site%3Alinkedin.com+Yasmeen+Marques+Campus+Recruiting+Coordinator" TargetMode="External"/><Relationship Id="rId2472" Type="http://schemas.openxmlformats.org/officeDocument/2006/relationships/hyperlink" Target="https://www.google.com/search?newwindow=1&amp;ei=2MT0XrvGGM-vytMP1OyDgAY&amp;q=site%3Alinkedin.com+Richard+Long+Campus+Strategy+Recruiter+Bank+of+America" TargetMode="External"/><Relationship Id="rId1142" Type="http://schemas.openxmlformats.org/officeDocument/2006/relationships/hyperlink" Target="https://www.google.com/search?newwindow=1&amp;ei=2MT0XrvGGM-vytMP1OyDgAY&amp;q=site%3Alinkedin.com+Keana+Prisk+Global+Wholesale+Revenue+Campus+Recruiting" TargetMode="External"/><Relationship Id="rId2473" Type="http://schemas.openxmlformats.org/officeDocument/2006/relationships/hyperlink" Target="https://www.google.com/search?newwindow=1&amp;ei=2MT0XrvGGM-vytMP1OyDgAY&amp;q=site%3Alinkedin.com+Kelly+Anderson+Senior+Associate,+Campus+Recruiter+Dixon+Hughes+Goodman+LLP" TargetMode="External"/><Relationship Id="rId554" Type="http://schemas.openxmlformats.org/officeDocument/2006/relationships/hyperlink" Target="https://www.google.com/search?newwindow=1&amp;ei=2MT0XrvGGM-vytMP1OyDgAY&amp;q=site%3Alinkedin.com+Scott+Henderson+Student+Recruiter" TargetMode="External"/><Relationship Id="rId1143" Type="http://schemas.openxmlformats.org/officeDocument/2006/relationships/hyperlink" Target="https://www.google.com/search?newwindow=1&amp;ei=2MT0XrvGGM-vytMP1OyDgAY&amp;q=site%3Alinkedin.com+Nyell+Spicer+Campus+Recruiting+Coordinator" TargetMode="External"/><Relationship Id="rId2474" Type="http://schemas.openxmlformats.org/officeDocument/2006/relationships/hyperlink" Target="https://www.google.com/search?newwindow=1&amp;ei=2MT0XrvGGM-vytMP1OyDgAY&amp;q=site%3Alinkedin.com+Aubrey+D.+Campus+Recruiter+-+Global+Risk+Development+Program+Bank+of+America" TargetMode="External"/><Relationship Id="rId553" Type="http://schemas.openxmlformats.org/officeDocument/2006/relationships/hyperlink" Target="https://www.google.com/search?newwindow=1&amp;ei=2MT0XrvGGM-vytMP1OyDgAY&amp;q=site%3Alinkedin.com+Imroz+Shaikh+Master+Student" TargetMode="External"/><Relationship Id="rId1144" Type="http://schemas.openxmlformats.org/officeDocument/2006/relationships/hyperlink" Target="https://www.google.com/search?newwindow=1&amp;ei=2MT0XrvGGM-vytMP1OyDgAY&amp;q=site%3Alinkedin.com+Carolyn+Watson+CIB+Campus+Recruiting+Coordinator" TargetMode="External"/><Relationship Id="rId2475" Type="http://schemas.openxmlformats.org/officeDocument/2006/relationships/hyperlink" Target="https://www.google.com/search?newwindow=1&amp;ei=2MT0XrvGGM-vytMP1OyDgAY&amp;q=site%3Alinkedin.com+Janessa+Harkley+Campus+Recruiter+Dixon+Hughes+Goodman+LLP" TargetMode="External"/><Relationship Id="rId552" Type="http://schemas.openxmlformats.org/officeDocument/2006/relationships/hyperlink" Target="https://www.google.com/search?newwindow=1&amp;ei=2MT0XrvGGM-vytMP1OyDgAY&amp;q=site%3Alinkedin.com+Kim+Mariani,+MBA+Campus+Recruiting+Coordinator" TargetMode="External"/><Relationship Id="rId1145" Type="http://schemas.openxmlformats.org/officeDocument/2006/relationships/hyperlink" Target="https://www.google.com/search?newwindow=1&amp;ei=2MT0XrvGGM-vytMP1OyDgAY&amp;q=site%3Alinkedin.com+Sophie+Thompson+University+Recruiter" TargetMode="External"/><Relationship Id="rId2476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551" Type="http://schemas.openxmlformats.org/officeDocument/2006/relationships/hyperlink" Target="https://www.google.com/search?newwindow=1&amp;ei=2MT0XrvGGM-vytMP1OyDgAY&amp;q=site%3Alinkedin.com+Eileen+Seal+Employability+and+Recruitment+Adviser" TargetMode="External"/><Relationship Id="rId1146" Type="http://schemas.openxmlformats.org/officeDocument/2006/relationships/hyperlink" Target="https://www.google.com/search?newwindow=1&amp;ei=2MT0XrvGGM-vytMP1OyDgAY&amp;q=site%3Alinkedin.com+Swathi+Priya+Dasari+Student" TargetMode="External"/><Relationship Id="rId2477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4280" Type="http://schemas.openxmlformats.org/officeDocument/2006/relationships/hyperlink" Target="https://www.google.com/search?newwindow=1&amp;ei=2MT0XrvGGM-vytMP1OyDgAY&amp;q=site%3Alinkedin.com+Haleigh+Alcala+University+Relations+&amp;+Recruiting+Recruiter+Northrop+Grumman" TargetMode="External"/><Relationship Id="rId4282" Type="http://schemas.openxmlformats.org/officeDocument/2006/relationships/hyperlink" Target="https://www.google.com/search?newwindow=1&amp;ei=2MT0XrvGGM-vytMP1OyDgAY&amp;q=site%3Alinkedin.com+Emily+Busse+University+Recruiter+Visa" TargetMode="External"/><Relationship Id="rId4281" Type="http://schemas.openxmlformats.org/officeDocument/2006/relationships/hyperlink" Target="https://www.google.com/search?newwindow=1&amp;ei=2MT0XrvGGM-vytMP1OyDgAY&amp;q=site%3Alinkedin.com+Casey+Medina+University+Recruiter+Visa" TargetMode="External"/><Relationship Id="rId4284" Type="http://schemas.openxmlformats.org/officeDocument/2006/relationships/hyperlink" Target="https://www.google.com/search?newwindow=1&amp;ei=2MT0XrvGGM-vytMP1OyDgAY&amp;q=site%3Alinkedin.com+Menelik+Bekele+Technical+University+Recruiter+Visa" TargetMode="External"/><Relationship Id="rId4283" Type="http://schemas.openxmlformats.org/officeDocument/2006/relationships/hyperlink" Target="https://www.google.com/search?newwindow=1&amp;ei=2MT0XrvGGM-vytMP1OyDgAY&amp;q=site%3Alinkedin.com+Rhonda+Mabry+Hester+University+Relations+Recruiter+Northrop+Grumman+Corporation" TargetMode="External"/><Relationship Id="rId4286" Type="http://schemas.openxmlformats.org/officeDocument/2006/relationships/hyperlink" Target="https://www.google.com/search?newwindow=1&amp;ei=2MT0XrvGGM-vytMP1OyDgAY&amp;q=site%3Alinkedin.com+Grace+Wu+Technical+University+Recruiter+Visa" TargetMode="External"/><Relationship Id="rId4285" Type="http://schemas.openxmlformats.org/officeDocument/2006/relationships/hyperlink" Target="https://www.google.com/search?newwindow=1&amp;ei=2MT0XrvGGM-vytMP1OyDgAY&amp;q=site%3Alinkedin.com+Robin+DeAngelis+University+Relations+Recruiter+Northrop+Grumman+Corporation" TargetMode="External"/><Relationship Id="rId4288" Type="http://schemas.openxmlformats.org/officeDocument/2006/relationships/hyperlink" Target="https://www.google.com/search?newwindow=1&amp;ei=2MT0XrvGGM-vytMP1OyDgAY&amp;q=site%3Alinkedin.com+Mackenzie+Fuller+Straume+University+Recruiter+Visa" TargetMode="External"/><Relationship Id="rId4287" Type="http://schemas.openxmlformats.org/officeDocument/2006/relationships/hyperlink" Target="https://www.google.com/search?newwindow=1&amp;ei=2MT0XrvGGM-vytMP1OyDgAY&amp;q=site%3Alinkedin.com+Stephanie+Dratler+College+Recruiter+Northrop+Grumman+Corporation" TargetMode="External"/><Relationship Id="rId4289" Type="http://schemas.openxmlformats.org/officeDocument/2006/relationships/hyperlink" Target="https://www.google.com/search?newwindow=1&amp;ei=2MT0XrvGGM-vytMP1OyDgAY&amp;q=site%3Alinkedin.com+Jessica+J.+University+Recruiting+Campus+Manager+NVIDIA" TargetMode="External"/><Relationship Id="rId4271" Type="http://schemas.openxmlformats.org/officeDocument/2006/relationships/hyperlink" Target="https://www.google.com/search?newwindow=1&amp;ei=2MT0XrvGGM-vytMP1OyDgAY&amp;q=site%3Alinkedin.com+Sonya+Harris+Talent+Acquisition+Campus+Recruiter+Verizon+Telematics+Inc." TargetMode="External"/><Relationship Id="rId4270" Type="http://schemas.openxmlformats.org/officeDocument/2006/relationships/hyperlink" Target="https://www.google.com/search?newwindow=1&amp;ei=2MT0XrvGGM-vytMP1OyDgAY&amp;q=site%3Alinkedin.com+Christina+D.+Talent+Acquisition,+University+Recruiter+Verizon+Media" TargetMode="External"/><Relationship Id="rId4273" Type="http://schemas.openxmlformats.org/officeDocument/2006/relationships/hyperlink" Target="https://www.google.com/search?newwindow=1&amp;ei=2MT0XrvGGM-vytMP1OyDgAY&amp;q=site%3Alinkedin.com+Rachel+Gardinier+University+Relations+Specialist+Viasat+Inc." TargetMode="External"/><Relationship Id="rId4272" Type="http://schemas.openxmlformats.org/officeDocument/2006/relationships/hyperlink" Target="https://www.google.com/search?newwindow=1&amp;ei=2MT0XrvGGM-vytMP1OyDgAY&amp;q=site%3Alinkedin.com+Layne+P.+Campus+Recruiter+Verizon+Wireless" TargetMode="External"/><Relationship Id="rId4275" Type="http://schemas.openxmlformats.org/officeDocument/2006/relationships/hyperlink" Target="https://www.google.com/search?newwindow=1&amp;ei=2MT0XrvGGM-vytMP1OyDgAY&amp;q=site%3Alinkedin.com+Brandon+Lobb+Talent+Acquisition,+University+Recruiter+-+Campus+Specialist+Viasat+Inc." TargetMode="External"/><Relationship Id="rId4274" Type="http://schemas.openxmlformats.org/officeDocument/2006/relationships/hyperlink" Target="https://www.google.com/search?newwindow=1&amp;ei=2MT0XrvGGM-vytMP1OyDgAY&amp;q=site%3Alinkedin.com+Gabrielle+Zuccaro+Campus+Recruiter+Nestl%C3%A9" TargetMode="External"/><Relationship Id="rId4277" Type="http://schemas.openxmlformats.org/officeDocument/2006/relationships/hyperlink" Target="https://www.google.com/search?newwindow=1&amp;ei=2MT0XrvGGM-vytMP1OyDgAY&amp;q=site%3Alinkedin.com+Emily+Allen+University+Relations+Recruiter+Viasat+Inc." TargetMode="External"/><Relationship Id="rId4276" Type="http://schemas.openxmlformats.org/officeDocument/2006/relationships/hyperlink" Target="https://www.google.com/search?newwindow=1&amp;ei=2MT0XrvGGM-vytMP1OyDgAY&amp;q=site%3Alinkedin.com+Jennifer+Davis+Campus+Recruiter+Nestl%C3%A9" TargetMode="External"/><Relationship Id="rId4279" Type="http://schemas.openxmlformats.org/officeDocument/2006/relationships/hyperlink" Target="https://www.google.com/search?newwindow=1&amp;ei=2MT0XrvGGM-vytMP1OyDgAY&amp;q=site%3Alinkedin.com+Christina+Garvey,+CDR+University+Relations,+Recruiter+Visa" TargetMode="External"/><Relationship Id="rId4278" Type="http://schemas.openxmlformats.org/officeDocument/2006/relationships/hyperlink" Target="https://www.google.com/search?newwindow=1&amp;ei=2MT0XrvGGM-vytMP1OyDgAY&amp;q=site%3Alinkedin.com+Chris+Heckman+Campus+Recruiter+Nestl%C3%A9+Waters" TargetMode="External"/><Relationship Id="rId4291" Type="http://schemas.openxmlformats.org/officeDocument/2006/relationships/hyperlink" Target="https://www.google.com/search?newwindow=1&amp;ei=2MT0XrvGGM-vytMP1OyDgAY&amp;q=site%3Alinkedin.com+Jessica+Verley+University+Recruiter+NVIDIA" TargetMode="External"/><Relationship Id="rId4290" Type="http://schemas.openxmlformats.org/officeDocument/2006/relationships/hyperlink" Target="https://www.google.com/search?newwindow=1&amp;ei=2MT0XrvGGM-vytMP1OyDgAY&amp;q=site%3Alinkedin.com+Melissa+Mickleboro+Talent+Acquisition+Manager,+University+Talent+VMware" TargetMode="External"/><Relationship Id="rId4293" Type="http://schemas.openxmlformats.org/officeDocument/2006/relationships/hyperlink" Target="https://www.google.com/search?newwindow=1&amp;ei=2MT0XrvGGM-vytMP1OyDgAY&amp;q=site%3Alinkedin.com+Wendell+Tull+Campus+Recruiting+Manager+NVIDIA" TargetMode="External"/><Relationship Id="rId4292" Type="http://schemas.openxmlformats.org/officeDocument/2006/relationships/hyperlink" Target="https://www.google.com/search?newwindow=1&amp;ei=2MT0XrvGGM-vytMP1OyDgAY&amp;q=site%3Alinkedin.com+Kristen+Taylor+University+Recruiter+VMware" TargetMode="External"/><Relationship Id="rId4295" Type="http://schemas.openxmlformats.org/officeDocument/2006/relationships/hyperlink" Target="https://www.google.com/search?newwindow=1&amp;ei=2MT0XrvGGM-vytMP1OyDgAY&amp;q=site%3Alinkedin.com+Nancy+Huynh+University+Recruiter+NVIDIA" TargetMode="External"/><Relationship Id="rId4294" Type="http://schemas.openxmlformats.org/officeDocument/2006/relationships/hyperlink" Target="https://www.google.com/search?newwindow=1&amp;ei=2MT0XrvGGM-vytMP1OyDgAY&amp;q=site%3Alinkedin.com+Jessica+Hoyt+University+Recruiter+VMware" TargetMode="External"/><Relationship Id="rId4297" Type="http://schemas.openxmlformats.org/officeDocument/2006/relationships/hyperlink" Target="https://www.google.com/search?newwindow=1&amp;ei=2MT0XrvGGM-vytMP1OyDgAY&amp;q=site%3Alinkedin.com+Jennifer+R.+University+Recruiter+NVIDIA" TargetMode="External"/><Relationship Id="rId4296" Type="http://schemas.openxmlformats.org/officeDocument/2006/relationships/hyperlink" Target="https://www.google.com/search?newwindow=1&amp;ei=2MT0XrvGGM-vytMP1OyDgAY&amp;q=site%3Alinkedin.com+Daniel+Kim+Sr.+Technical+University+Recruiter+VMware" TargetMode="External"/><Relationship Id="rId4299" Type="http://schemas.openxmlformats.org/officeDocument/2006/relationships/hyperlink" Target="https://www.google.com/search?newwindow=1&amp;ei=2MT0XrvGGM-vytMP1OyDgAY&amp;q=site%3Alinkedin.com+Cynthia+Le+University+Recruiting+Campus+Manager+NVIDIA" TargetMode="External"/><Relationship Id="rId4298" Type="http://schemas.openxmlformats.org/officeDocument/2006/relationships/hyperlink" Target="https://www.google.com/search?newwindow=1&amp;ei=2MT0XrvGGM-vytMP1OyDgAY&amp;q=site%3Alinkedin.com+Cam+Bowman+Campus+Recruiter+VMware" TargetMode="External"/><Relationship Id="rId4249" Type="http://schemas.openxmlformats.org/officeDocument/2006/relationships/hyperlink" Target="https://www.google.com/search?newwindow=1&amp;ei=2MT0XrvGGM-vytMP1OyDgAY&amp;q=site%3Alinkedin.com+Meryll+Locquiao+Senior+Campus+Recruiter+Moss+Adams" TargetMode="External"/><Relationship Id="rId4240" Type="http://schemas.openxmlformats.org/officeDocument/2006/relationships/hyperlink" Target="https://www.google.com/search?newwindow=1&amp;ei=2MT0XrvGGM-vytMP1OyDgAY&amp;q=site%3Alinkedin.com+Annie+Clay+Campus+Recruiter+UBS" TargetMode="External"/><Relationship Id="rId4242" Type="http://schemas.openxmlformats.org/officeDocument/2006/relationships/hyperlink" Target="https://www.google.com/search?newwindow=1&amp;ei=2MT0XrvGGM-vytMP1OyDgAY&amp;q=site%3Alinkedin.com+Gabrielle+Kaufman+Campus+Recruiter+UBS+Financial+Services" TargetMode="External"/><Relationship Id="rId4241" Type="http://schemas.openxmlformats.org/officeDocument/2006/relationships/hyperlink" Target="https://www.google.com/search?newwindow=1&amp;ei=2MT0XrvGGM-vytMP1OyDgAY&amp;q=site%3Alinkedin.com+Leanne+Lutkus+Regional+Campus+Recruiting+Manager+Moss+Adams" TargetMode="External"/><Relationship Id="rId4244" Type="http://schemas.openxmlformats.org/officeDocument/2006/relationships/hyperlink" Target="https://www.google.com/search?newwindow=1&amp;ei=2MT0XrvGGM-vytMP1OyDgAY&amp;q=site%3Alinkedin.com+Lauren+DeBowes+Assistant+Campus+Recruiter+UBS+Investment+Bank" TargetMode="External"/><Relationship Id="rId4243" Type="http://schemas.openxmlformats.org/officeDocument/2006/relationships/hyperlink" Target="https://www.google.com/search?newwindow=1&amp;ei=2MT0XrvGGM-vytMP1OyDgAY&amp;q=site%3Alinkedin.com+Angela+Sparks+Campus+Recruiter+Moss+Adams" TargetMode="External"/><Relationship Id="rId4246" Type="http://schemas.openxmlformats.org/officeDocument/2006/relationships/hyperlink" Target="https://www.google.com/search?newwindow=1&amp;ei=2MT0XrvGGM-vytMP1OyDgAY&amp;q=site%3Alinkedin.com+Jill+Westberg+Associate+Director,+Early+Careers+Recruitment+&amp;+Campus+Engagement+UnitedHealth+Group" TargetMode="External"/><Relationship Id="rId4245" Type="http://schemas.openxmlformats.org/officeDocument/2006/relationships/hyperlink" Target="https://www.google.com/search?newwindow=1&amp;ei=2MT0XrvGGM-vytMP1OyDgAY&amp;q=site%3Alinkedin.com+Patricia+Hewitt+Campus+Recruiting+Manager+Moss+Adams" TargetMode="External"/><Relationship Id="rId4248" Type="http://schemas.openxmlformats.org/officeDocument/2006/relationships/hyperlink" Target="https://www.google.com/search?newwindow=1&amp;ei=2MT0XrvGGM-vytMP1OyDgAY&amp;q=site%3Alinkedin.com+Anna+Muhovich,+M.A.+College+Recruiter+UnitedHealth+Group" TargetMode="External"/><Relationship Id="rId4247" Type="http://schemas.openxmlformats.org/officeDocument/2006/relationships/hyperlink" Target="https://www.google.com/search?newwindow=1&amp;ei=2MT0XrvGGM-vytMP1OyDgAY&amp;q=site%3Alinkedin.com+Rose+Azadan+Martinez+Regional+Campus+Recruiting+Senior+Manager+Moss+Adams" TargetMode="External"/><Relationship Id="rId4239" Type="http://schemas.openxmlformats.org/officeDocument/2006/relationships/hyperlink" Target="https://www.google.com/search?newwindow=1&amp;ei=2MT0XrvGGM-vytMP1OyDgAY&amp;q=site%3Alinkedin.com+Adam+Schwab+Campus+Recruiter+Moss+Adams" TargetMode="External"/><Relationship Id="rId4238" Type="http://schemas.openxmlformats.org/officeDocument/2006/relationships/hyperlink" Target="https://www.google.com/search?newwindow=1&amp;ei=2MT0XrvGGM-vytMP1OyDgAY&amp;q=site%3Alinkedin.com+Anna+O'Keefe+Campus+Recruiting+Coordinator/Junior+Recruiter+UBS" TargetMode="External"/><Relationship Id="rId495" Type="http://schemas.openxmlformats.org/officeDocument/2006/relationships/hyperlink" Target="https://www.google.com/search?newwindow=1&amp;ei=2MT0XrvGGM-vytMP1OyDgAY&amp;q=site%3Alinkedin.com+Kellie+Henderson+Graduate+and+Early+Careers+Recruitment+Manager" TargetMode="External"/><Relationship Id="rId4231" Type="http://schemas.openxmlformats.org/officeDocument/2006/relationships/hyperlink" Target="https://www.google.com/search?newwindow=1&amp;ei=2MT0XrvGGM-vytMP1OyDgAY&amp;q=site%3Alinkedin.com+Emily+Sawyer+Senior+University+PhD+Recruiter+Uber" TargetMode="External"/><Relationship Id="rId494" Type="http://schemas.openxmlformats.org/officeDocument/2006/relationships/hyperlink" Target="https://www.google.com/search?newwindow=1&amp;ei=2MT0XrvGGM-vytMP1OyDgAY&amp;q=site%3Alinkedin.com+Kayla+Hollihan+Coordinator+of+intercultural+Student+Programs" TargetMode="External"/><Relationship Id="rId4230" Type="http://schemas.openxmlformats.org/officeDocument/2006/relationships/hyperlink" Target="https://www.google.com/search?newwindow=1&amp;ei=2MT0XrvGGM-vytMP1OyDgAY&amp;q=site%3Alinkedin.com+Heather+Henderson+Sr.+University+Recruiter+Uber" TargetMode="External"/><Relationship Id="rId493" Type="http://schemas.openxmlformats.org/officeDocument/2006/relationships/hyperlink" Target="https://www.google.com/search?newwindow=1&amp;ei=2MT0XrvGGM-vytMP1OyDgAY&amp;q=site%3Alinkedin.com+Rosie+Colangelo+Student+programs+assistant" TargetMode="External"/><Relationship Id="rId4233" Type="http://schemas.openxmlformats.org/officeDocument/2006/relationships/hyperlink" Target="https://www.google.com/search?newwindow=1&amp;ei=2MT0XrvGGM-vytMP1OyDgAY&amp;q=site%3Alinkedin.com+Ashleigh+Hussey+Drobnis+Campus+Recruiter+Morgan+Stanley" TargetMode="External"/><Relationship Id="rId492" Type="http://schemas.openxmlformats.org/officeDocument/2006/relationships/hyperlink" Target="https://www.google.com/search?newwindow=1&amp;ei=2MT0XrvGGM-vytMP1OyDgAY&amp;q=site%3Alinkedin.com+Regina+Afable+Coordinator+of+Intercultural+Student+Programs" TargetMode="External"/><Relationship Id="rId4232" Type="http://schemas.openxmlformats.org/officeDocument/2006/relationships/hyperlink" Target="https://www.google.com/search?newwindow=1&amp;ei=2MT0XrvGGM-vytMP1OyDgAY&amp;q=site%3Alinkedin.com+Ali+R.+Senior+Technical+University+Recruiter+Uber" TargetMode="External"/><Relationship Id="rId499" Type="http://schemas.openxmlformats.org/officeDocument/2006/relationships/hyperlink" Target="https://www.google.com/search?newwindow=1&amp;ei=2MT0XrvGGM-vytMP1OyDgAY&amp;q=site%3Alinkedin.com+Jane+Chafer+Director+of+Marketing,+Recruitment+(Students),+Communications+and+Global+at+the+University+of+Exeter" TargetMode="External"/><Relationship Id="rId4235" Type="http://schemas.openxmlformats.org/officeDocument/2006/relationships/hyperlink" Target="https://www.google.com/search?newwindow=1&amp;ei=2MT0XrvGGM-vytMP1OyDgAY&amp;q=site%3Alinkedin.com+Janie+Johnstone+Campus+Recruiter+Morgan+Stanley" TargetMode="External"/><Relationship Id="rId498" Type="http://schemas.openxmlformats.org/officeDocument/2006/relationships/hyperlink" Target="https://www.google.com/search?newwindow=1&amp;ei=2MT0XrvGGM-vytMP1OyDgAY&amp;q=site%3Alinkedin.com+Daniela+Goldberger+Campus+Recruiting+Coordinator" TargetMode="External"/><Relationship Id="rId4234" Type="http://schemas.openxmlformats.org/officeDocument/2006/relationships/hyperlink" Target="https://www.google.com/search?newwindow=1&amp;ei=2MT0XrvGGM-vytMP1OyDgAY&amp;q=site%3Alinkedin.com+Meryssa+Riley+Uber+University+Recruiter+Uber" TargetMode="External"/><Relationship Id="rId497" Type="http://schemas.openxmlformats.org/officeDocument/2006/relationships/hyperlink" Target="https://www.google.com/search?newwindow=1&amp;ei=2MT0XrvGGM-vytMP1OyDgAY&amp;q=site%3Alinkedin.com+Gabriella+Ragno+Graduate+Recruiter" TargetMode="External"/><Relationship Id="rId4237" Type="http://schemas.openxmlformats.org/officeDocument/2006/relationships/hyperlink" Target="https://www.google.com/search?newwindow=1&amp;ei=2MT0XrvGGM-vytMP1OyDgAY&amp;q=site%3Alinkedin.com+Lea+Bylina+Campus+Recruiter+Moss+Adams" TargetMode="External"/><Relationship Id="rId496" Type="http://schemas.openxmlformats.org/officeDocument/2006/relationships/hyperlink" Target="https://www.google.com/search?newwindow=1&amp;ei=2MT0XrvGGM-vytMP1OyDgAY&amp;q=site%3Alinkedin.com+Sophie+McNamara+Early+Careers+&amp;+Graduate+Recruiter" TargetMode="External"/><Relationship Id="rId4236" Type="http://schemas.openxmlformats.org/officeDocument/2006/relationships/hyperlink" Target="https://www.google.com/search?newwindow=1&amp;ei=2MT0XrvGGM-vytMP1OyDgAY&amp;q=site%3Alinkedin.com+Alexandra+Muller+University+Recruiter+Uber" TargetMode="External"/><Relationship Id="rId4260" Type="http://schemas.openxmlformats.org/officeDocument/2006/relationships/hyperlink" Target="https://www.google.com/search?newwindow=1&amp;ei=2MT0XrvGGM-vytMP1OyDgAY&amp;q=site%3Alinkedin.com+Christopher+Mellis+Campus+Recruiter+Verizon" TargetMode="External"/><Relationship Id="rId4262" Type="http://schemas.openxmlformats.org/officeDocument/2006/relationships/hyperlink" Target="https://www.google.com/search?newwindow=1&amp;ei=2MT0XrvGGM-vytMP1OyDgAY&amp;q=site%3Alinkedin.com+Derek+Penzort+Campus+Recruiter+Verizon" TargetMode="External"/><Relationship Id="rId4261" Type="http://schemas.openxmlformats.org/officeDocument/2006/relationships/hyperlink" Target="https://www.google.com/search?newwindow=1&amp;ei=2MT0XrvGGM-vytMP1OyDgAY&amp;q=site%3Alinkedin.com+Camellia+Sarmadi+Campus+Recruiting+Manager+Moss+Adams+LLP" TargetMode="External"/><Relationship Id="rId4264" Type="http://schemas.openxmlformats.org/officeDocument/2006/relationships/hyperlink" Target="https://www.google.com/search?newwindow=1&amp;ei=2MT0XrvGGM-vytMP1OyDgAY&amp;q=site%3Alinkedin.com+Al+Jackson+Campus+Recruiter+-+Talent+Acquisition+Verizon" TargetMode="External"/><Relationship Id="rId4263" Type="http://schemas.openxmlformats.org/officeDocument/2006/relationships/hyperlink" Target="https://www.google.com/search?newwindow=1&amp;ei=2MT0XrvGGM-vytMP1OyDgAY&amp;q=site%3Alinkedin.com+Lauren+Knoche+Campus+Recruiter+and+HR+Senior+Associate+Moss+Adams+LLP" TargetMode="External"/><Relationship Id="rId4266" Type="http://schemas.openxmlformats.org/officeDocument/2006/relationships/hyperlink" Target="https://www.google.com/search?newwindow=1&amp;ei=2MT0XrvGGM-vytMP1OyDgAY&amp;q=site%3Alinkedin.com+Kaitlynn+Moctezuma+Campus+Recruiter+Verizon" TargetMode="External"/><Relationship Id="rId4265" Type="http://schemas.openxmlformats.org/officeDocument/2006/relationships/hyperlink" Target="https://www.google.com/search?newwindow=1&amp;ei=2MT0XrvGGM-vytMP1OyDgAY&amp;q=site%3Alinkedin.com+Alicia+Markey+Hahn+Campus+Recruiting+Manager+Moss+Adams+LLP" TargetMode="External"/><Relationship Id="rId4268" Type="http://schemas.openxmlformats.org/officeDocument/2006/relationships/hyperlink" Target="https://www.google.com/search?newwindow=1&amp;ei=2MT0XrvGGM-vytMP1OyDgAY&amp;q=site%3Alinkedin.com+Marlyn+Jasso+Sr.+Analyst,+Talent+Acquisition-+Campus+Recruiter+Verizon" TargetMode="External"/><Relationship Id="rId4267" Type="http://schemas.openxmlformats.org/officeDocument/2006/relationships/hyperlink" Target="https://www.google.com/search?newwindow=1&amp;ei=2MT0XrvGGM-vytMP1OyDgAY&amp;q=site%3Alinkedin.com+Jessica+Billings+Campus+Recruiter+Moss+Adams+LLP" TargetMode="External"/><Relationship Id="rId4269" Type="http://schemas.openxmlformats.org/officeDocument/2006/relationships/hyperlink" Target="https://www.google.com/search?newwindow=1&amp;ei=2MT0XrvGGM-vytMP1OyDgAY&amp;q=site%3Alinkedin.com+Aliyah+Deiz+Talent+Acquisition+Senior+Analyst,+University+Recruiter+Verizon+Media" TargetMode="External"/><Relationship Id="rId4251" Type="http://schemas.openxmlformats.org/officeDocument/2006/relationships/hyperlink" Target="https://www.google.com/search?newwindow=1&amp;ei=2MT0XrvGGM-vytMP1OyDgAY&amp;q=site%3Alinkedin.com+Isabella+Nguyen+Senior+Campus+Recruiter+Moss+Adams" TargetMode="External"/><Relationship Id="rId4250" Type="http://schemas.openxmlformats.org/officeDocument/2006/relationships/hyperlink" Target="https://www.google.com/search?newwindow=1&amp;ei=2MT0XrvGGM-vytMP1OyDgAY&amp;q=site%3Alinkedin.com+Gao+Lee+College+Recruiter+UnitedHealth+Group" TargetMode="External"/><Relationship Id="rId4253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4252" Type="http://schemas.openxmlformats.org/officeDocument/2006/relationships/hyperlink" Target="https://www.google.com/search?newwindow=1&amp;ei=2MT0XrvGGM-vytMP1OyDgAY&amp;q=site%3Alinkedin.com+Annie+Kennedy+Senior+College+Recruiter+UnitedHealth+Group" TargetMode="External"/><Relationship Id="rId4255" Type="http://schemas.openxmlformats.org/officeDocument/2006/relationships/hyperlink" Target="https://www.google.com/search?newwindow=1&amp;ei=2MT0XrvGGM-vytMP1OyDgAY&amp;q=site%3Alinkedin.com+Ellen+Price+Campus+Recruiter+Moss+Adams" TargetMode="External"/><Relationship Id="rId4254" Type="http://schemas.openxmlformats.org/officeDocument/2006/relationships/hyperlink" Target="https://www.google.com/search?newwindow=1&amp;ei=2MT0XrvGGM-vytMP1OyDgAY&amp;q=site%3Alinkedin.com+Stacie+Carpenter+Senior+College+Recruiter,+Early+Careers+Recruitment+&amp;+Campus+Engagement+UnitedHealth+Group" TargetMode="External"/><Relationship Id="rId4257" Type="http://schemas.openxmlformats.org/officeDocument/2006/relationships/hyperlink" Target="https://www.google.com/search?newwindow=1&amp;ei=2MT0XrvGGM-vytMP1OyDgAY&amp;q=site%3Alinkedin.com+Kelsey+Hicks+Senior+Campus+Recruiter+Moss+Adams" TargetMode="External"/><Relationship Id="rId4256" Type="http://schemas.openxmlformats.org/officeDocument/2006/relationships/hyperlink" Target="https://www.google.com/search?newwindow=1&amp;ei=2MT0XrvGGM-vytMP1OyDgAY&amp;q=site%3Alinkedin.com+Jennifer+Coleman+University+Recruiter+Unity+Technologies" TargetMode="External"/><Relationship Id="rId4259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4258" Type="http://schemas.openxmlformats.org/officeDocument/2006/relationships/hyperlink" Target="https://www.google.com/search?newwindow=1&amp;ei=2MT0XrvGGM-vytMP1OyDgAY&amp;q=site%3Alinkedin.com+Claire+Skelly+University+Recruiter+Unity+Technologies" TargetMode="External"/><Relationship Id="rId3810" Type="http://schemas.openxmlformats.org/officeDocument/2006/relationships/hyperlink" Target="https://www.google.com/search?newwindow=1&amp;ei=2MT0XrvGGM-vytMP1OyDgAY&amp;q=site%3Alinkedin.com+Deanna+Okuno+University+Recruiter+Pinterest" TargetMode="External"/><Relationship Id="rId3812" Type="http://schemas.openxmlformats.org/officeDocument/2006/relationships/hyperlink" Target="https://www.google.com/search?newwindow=1&amp;ei=2MT0XrvGGM-vytMP1OyDgAY&amp;q=site%3Alinkedin.com+Adriana+I.+Garcia+University+Recruiter+Pinterest" TargetMode="External"/><Relationship Id="rId3811" Type="http://schemas.openxmlformats.org/officeDocument/2006/relationships/hyperlink" Target="https://www.google.com/search?newwindow=1&amp;ei=2MT0XrvGGM-vytMP1OyDgAY&amp;q=site%3Alinkedin.com+Andrea+Cole+Campus+Recruiter+KeyBank" TargetMode="External"/><Relationship Id="rId3814" Type="http://schemas.openxmlformats.org/officeDocument/2006/relationships/hyperlink" Target="https://www.google.com/search?newwindow=1&amp;ei=2MT0XrvGGM-vytMP1OyDgAY&amp;q=site%3Alinkedin.com+Sheila+Byrne+Campus+Recruiter+KeyBank" TargetMode="External"/><Relationship Id="rId3813" Type="http://schemas.openxmlformats.org/officeDocument/2006/relationships/hyperlink" Target="https://www.google.com/search?newwindow=1&amp;ei=2MT0XrvGGM-vytMP1OyDgAY&amp;q=site%3Alinkedin.com+Tricia+Tran+University+Recruiter+Pinterest" TargetMode="External"/><Relationship Id="rId3816" Type="http://schemas.openxmlformats.org/officeDocument/2006/relationships/hyperlink" Target="https://www.google.com/search?newwindow=1&amp;ei=2MT0XrvGGM-vytMP1OyDgAY&amp;q=site%3Alinkedin.com+Brooke+Weber+Campus+Recruiter+KeyBank" TargetMode="External"/><Relationship Id="rId3815" Type="http://schemas.openxmlformats.org/officeDocument/2006/relationships/hyperlink" Target="https://www.google.com/search?newwindow=1&amp;ei=2MT0XrvGGM-vytMP1OyDgAY&amp;q=site%3Alinkedin.com+Ekta+Bathija+University+Recruiter+(PhD+Lead)+Pinterest" TargetMode="External"/><Relationship Id="rId3818" Type="http://schemas.openxmlformats.org/officeDocument/2006/relationships/hyperlink" Target="https://www.google.com/search?newwindow=1&amp;ei=2MT0XrvGGM-vytMP1OyDgAY&amp;q=site%3Alinkedin.com+Lindsey+Hojnowski+IT+College+Recruiter+Progressive+Insurance" TargetMode="External"/><Relationship Id="rId3817" Type="http://schemas.openxmlformats.org/officeDocument/2006/relationships/hyperlink" Target="https://www.google.com/search?newwindow=1&amp;ei=2MT0XrvGGM-vytMP1OyDgAY&amp;q=site%3Alinkedin.com+Dani+Beale+College+Recruiter-+IT+Progressive+Insurance" TargetMode="External"/><Relationship Id="rId3819" Type="http://schemas.openxmlformats.org/officeDocument/2006/relationships/hyperlink" Target="https://www.google.com/search?newwindow=1&amp;ei=2MT0XrvGGM-vytMP1OyDgAY&amp;q=site%3Alinkedin.com+Lauren+Sell+College+Recruiter+Kimberly-Clark" TargetMode="External"/><Relationship Id="rId3801" Type="http://schemas.openxmlformats.org/officeDocument/2006/relationships/hyperlink" Target="https://www.google.com/search?newwindow=1&amp;ei=2MT0XrvGGM-vytMP1OyDgAY&amp;q=site%3Alinkedin.com+Deana+V.+Talent+Acquistion/Campus+Recruiter+Philips" TargetMode="External"/><Relationship Id="rId3800" Type="http://schemas.openxmlformats.org/officeDocument/2006/relationships/hyperlink" Target="https://www.google.com/search?newwindow=1&amp;ei=2MT0XrvGGM-vytMP1OyDgAY&amp;q=site%3Alinkedin.com+Carleen+Haydon+University+Recruiter+PayPal" TargetMode="External"/><Relationship Id="rId3803" Type="http://schemas.openxmlformats.org/officeDocument/2006/relationships/hyperlink" Target="https://www.google.com/search?newwindow=1&amp;ei=2MT0XrvGGM-vytMP1OyDgAY&amp;q=site%3Alinkedin.com+Melanie+Kollmai+Campus+Recruiter+Philips" TargetMode="External"/><Relationship Id="rId3802" Type="http://schemas.openxmlformats.org/officeDocument/2006/relationships/hyperlink" Target="https://www.google.com/search?newwindow=1&amp;ei=2MT0XrvGGM-vytMP1OyDgAY&amp;q=site%3Alinkedin.com+Theresa+Mangan+Lang+Campus+Recruiter+Philips" TargetMode="External"/><Relationship Id="rId3805" Type="http://schemas.openxmlformats.org/officeDocument/2006/relationships/hyperlink" Target="https://www.google.com/search?newwindow=1&amp;ei=2MT0XrvGGM-vytMP1OyDgAY&amp;q=site%3Alinkedin.com+Anna+Minutello+Finance+Lead+Recruiter+-+University+of+Texas+Phillips+66" TargetMode="External"/><Relationship Id="rId3804" Type="http://schemas.openxmlformats.org/officeDocument/2006/relationships/hyperlink" Target="https://www.google.com/search?newwindow=1&amp;ei=2MT0XrvGGM-vytMP1OyDgAY&amp;q=site%3Alinkedin.com+Tim+G.+Downstream+Engineering+Lead+Recruiter+for+Purdue+University+Phillips+66" TargetMode="External"/><Relationship Id="rId3807" Type="http://schemas.openxmlformats.org/officeDocument/2006/relationships/hyperlink" Target="https://www.google.com/search?newwindow=1&amp;ei=2MT0XrvGGM-vytMP1OyDgAY&amp;q=site%3Alinkedin.com+Kris+McDonald+HR+-+Rotational+Program+Manager+Phillips-Medisize" TargetMode="External"/><Relationship Id="rId3806" Type="http://schemas.openxmlformats.org/officeDocument/2006/relationships/hyperlink" Target="https://www.google.com/search?newwindow=1&amp;ei=2MT0XrvGGM-vytMP1OyDgAY&amp;q=site%3Alinkedin.com+Michael+Pedroza+Senior+Associate+-+Campus+Recruiter+-+HR+and+Internal+Audit+JPMorgan+Chase+&amp;+Co." TargetMode="External"/><Relationship Id="rId3809" Type="http://schemas.openxmlformats.org/officeDocument/2006/relationships/hyperlink" Target="https://www.google.com/search?newwindow=1&amp;ei=2MT0XrvGGM-vytMP1OyDgAY&amp;q=site%3Alinkedin.com+Ashley+Nair+University+Recruiter+Pinterest" TargetMode="External"/><Relationship Id="rId3808" Type="http://schemas.openxmlformats.org/officeDocument/2006/relationships/hyperlink" Target="https://www.google.com/search?newwindow=1&amp;ei=2MT0XrvGGM-vytMP1OyDgAY&amp;q=site%3Alinkedin.com+Megan+Lallo+Campus+&amp;+Diversity+Recruiting+Manager+KeyBank" TargetMode="External"/><Relationship Id="rId1213" Type="http://schemas.openxmlformats.org/officeDocument/2006/relationships/hyperlink" Target="https://www.google.com/search?newwindow=1&amp;ei=2MT0XrvGGM-vytMP1OyDgAY&amp;q=site%3Alinkedin.com+Karina+Wang+Undergraduate+Research+Assistant+-+Brown+Sports+Injury+Lab" TargetMode="External"/><Relationship Id="rId2544" Type="http://schemas.openxmlformats.org/officeDocument/2006/relationships/hyperlink" Target="https://www.google.com/search?newwindow=1&amp;ei=2MT0XrvGGM-vytMP1OyDgAY&amp;q=site%3Alinkedin.com+Angie+Menendez+Area+Campus+Recruiter+Ernst+and+Young" TargetMode="External"/><Relationship Id="rId3876" Type="http://schemas.openxmlformats.org/officeDocument/2006/relationships/hyperlink" Target="https://www.google.com/search?newwindow=1&amp;ei=2MT0XrvGGM-vytMP1OyDgAY&amp;q=site%3Alinkedin.com+Jess+Bailey+Campus+Recruiting+Manager+PwC" TargetMode="External"/><Relationship Id="rId1214" Type="http://schemas.openxmlformats.org/officeDocument/2006/relationships/hyperlink" Target="https://www.google.com/search?newwindow=1&amp;ei=2MT0XrvGGM-vytMP1OyDgAY&amp;q=site%3Alinkedin.com+Dominique+Romain+Student+Environmental+Programs/Compliance+Officer" TargetMode="External"/><Relationship Id="rId2545" Type="http://schemas.openxmlformats.org/officeDocument/2006/relationships/hyperlink" Target="https://www.google.com/search?newwindow=1&amp;ei=2MT0XrvGGM-vytMP1OyDgAY&amp;q=site%3Alinkedin.com+Kelsey+Rock+Campus+Recruiter+EY" TargetMode="External"/><Relationship Id="rId3875" Type="http://schemas.openxmlformats.org/officeDocument/2006/relationships/hyperlink" Target="https://www.google.com/search?newwindow=1&amp;ei=2MT0XrvGGM-vytMP1OyDgAY&amp;q=site%3Alinkedin.com+Kassie+'Schlegel'+Plummer,+CPA+Missouri+Market+Campus+Recruiting+Manager+PwC" TargetMode="External"/><Relationship Id="rId1215" Type="http://schemas.openxmlformats.org/officeDocument/2006/relationships/hyperlink" Target="https://www.google.com/search?newwindow=1&amp;ei=2MT0XrvGGM-vytMP1OyDgAY&amp;q=site%3Alinkedin.com+Niamh+O'Shea+Intercultural+Programs+Coordinator,+International+Student+Services+Office" TargetMode="External"/><Relationship Id="rId2546" Type="http://schemas.openxmlformats.org/officeDocument/2006/relationships/hyperlink" Target="https://www.google.com/search?newwindow=1&amp;ei=2MT0XrvGGM-vytMP1OyDgAY&amp;q=site%3Alinkedin.com+Danielle+Kronenfeld+Campus+Recruiter+BlackRock" TargetMode="External"/><Relationship Id="rId3878" Type="http://schemas.openxmlformats.org/officeDocument/2006/relationships/hyperlink" Target="https://www.google.com/search?newwindow=1&amp;ei=2MT0XrvGGM-vytMP1OyDgAY&amp;q=site%3Alinkedin.com+Kim+Kueper+Campus+Recruiter+PwC" TargetMode="External"/><Relationship Id="rId1216" Type="http://schemas.openxmlformats.org/officeDocument/2006/relationships/hyperlink" Target="https://www.google.com/search?newwindow=1&amp;ei=2MT0XrvGGM-vytMP1OyDgAY&amp;q=site%3Alinkedin.com+Jennifer+Hum+Student+Programs+Coordinator" TargetMode="External"/><Relationship Id="rId2547" Type="http://schemas.openxmlformats.org/officeDocument/2006/relationships/hyperlink" Target="https://www.google.com/search?newwindow=1&amp;ei=2MT0XrvGGM-vytMP1OyDgAY&amp;q=site%3Alinkedin.com+Jessica+Robson+Campus+Recruiter+EY" TargetMode="External"/><Relationship Id="rId3877" Type="http://schemas.openxmlformats.org/officeDocument/2006/relationships/hyperlink" Target="https://www.google.com/search?newwindow=1&amp;ei=2MT0XrvGGM-vytMP1OyDgAY&amp;q=site%3Alinkedin.com+Peter+Bartok+Campus+Recruiting+Manager+KPMG+LLP" TargetMode="External"/><Relationship Id="rId1217" Type="http://schemas.openxmlformats.org/officeDocument/2006/relationships/hyperlink" Target="https://www.google.com/search?newwindow=1&amp;ei=2MT0XrvGGM-vytMP1OyDgAY&amp;q=site%3Alinkedin.com+Jasmine+Iyengar+Student+-+HR+Planning,+Programs+and+Reporting" TargetMode="External"/><Relationship Id="rId2548" Type="http://schemas.openxmlformats.org/officeDocument/2006/relationships/hyperlink" Target="https://www.google.com/search?newwindow=1&amp;ei=2MT0XrvGGM-vytMP1OyDgAY&amp;q=site%3Alinkedin.com+Tulsi+Patel+Associate+Campus+Recruiter+BlackRock" TargetMode="External"/><Relationship Id="rId1218" Type="http://schemas.openxmlformats.org/officeDocument/2006/relationships/hyperlink" Target="https://www.google.com/search?newwindow=1&amp;ei=2MT0XrvGGM-vytMP1OyDgAY&amp;q=site%3Alinkedin.com+Chiara+Webb+New+Student+Programs+and+Activites+Coorindator+at+Carleton+University" TargetMode="External"/><Relationship Id="rId2549" Type="http://schemas.openxmlformats.org/officeDocument/2006/relationships/hyperlink" Target="https://www.google.com/search?newwindow=1&amp;ei=2MT0XrvGGM-vytMP1OyDgAY&amp;q=site%3Alinkedin.com+Ellen+Stark+Campus+Recruiter+EY" TargetMode="External"/><Relationship Id="rId3879" Type="http://schemas.openxmlformats.org/officeDocument/2006/relationships/hyperlink" Target="https://www.google.com/search?newwindow=1&amp;ei=2MT0XrvGGM-vytMP1OyDgAY&amp;q=site%3Alinkedin.com+Emily+Jones+Campus+Recruiter+PwC" TargetMode="External"/><Relationship Id="rId1219" Type="http://schemas.openxmlformats.org/officeDocument/2006/relationships/hyperlink" Target="https://www.google.com/search?newwindow=1&amp;ei=2MT0XrvGGM-vytMP1OyDgAY&amp;q=site%3Alinkedin.com+Kaitlyn+McLeod+Programs+Officer" TargetMode="External"/><Relationship Id="rId3870" Type="http://schemas.openxmlformats.org/officeDocument/2006/relationships/hyperlink" Target="https://www.google.com/search?newwindow=1&amp;ei=2MT0XrvGGM-vytMP1OyDgAY&amp;q=site%3Alinkedin.com+Kelly+Farrell,+MBA+Tax+Business+Recruiting+Manager+PwC" TargetMode="External"/><Relationship Id="rId2540" Type="http://schemas.openxmlformats.org/officeDocument/2006/relationships/hyperlink" Target="https://www.google.com/search?newwindow=1&amp;ei=2MT0XrvGGM-vytMP1OyDgAY&amp;q=site%3Alinkedin.com+Katy+Elliott+Steinbach+Campus+Recruiter+Ernst+&amp;+Young" TargetMode="External"/><Relationship Id="rId3872" Type="http://schemas.openxmlformats.org/officeDocument/2006/relationships/hyperlink" Target="https://www.google.com/search?newwindow=1&amp;ei=2MT0XrvGGM-vytMP1OyDgAY&amp;q=site%3Alinkedin.com+Caitlin+Pershe+Manager+KPMG" TargetMode="External"/><Relationship Id="rId1210" Type="http://schemas.openxmlformats.org/officeDocument/2006/relationships/hyperlink" Target="https://www.google.com/search?newwindow=1&amp;ei=2MT0XrvGGM-vytMP1OyDgAY&amp;q=site%3Alinkedin.com+Emeline+Auguste+Administrative+Assistant+-+Diversity,+Equity+and+Community+Programs" TargetMode="External"/><Relationship Id="rId2541" Type="http://schemas.openxmlformats.org/officeDocument/2006/relationships/hyperlink" Target="https://www.google.com/search?newwindow=1&amp;ei=2MT0XrvGGM-vytMP1OyDgAY&amp;q=site%3Alinkedin.com+Danielle+M.+Campus+Recruiter+Ernst+&amp;+Young" TargetMode="External"/><Relationship Id="rId3871" Type="http://schemas.openxmlformats.org/officeDocument/2006/relationships/hyperlink" Target="https://www.google.com/search?newwindow=1&amp;ei=2MT0XrvGGM-vytMP1OyDgAY&amp;q=site%3Alinkedin.com+Shanike+Young+Campus+Recruiter+PwC" TargetMode="External"/><Relationship Id="rId1211" Type="http://schemas.openxmlformats.org/officeDocument/2006/relationships/hyperlink" Target="https://www.google.com/search?newwindow=1&amp;ei=2MT0XrvGGM-vytMP1OyDgAY&amp;q=site%3Alinkedin.com+Fiona+Wright+Student+and+Public+Programs+Coordinator" TargetMode="External"/><Relationship Id="rId2542" Type="http://schemas.openxmlformats.org/officeDocument/2006/relationships/hyperlink" Target="https://www.google.com/search?newwindow=1&amp;ei=2MT0XrvGGM-vytMP1OyDgAY&amp;q=site%3Alinkedin.com+Femi+Fagbure+Campus+Recruiter+BlackRock" TargetMode="External"/><Relationship Id="rId3874" Type="http://schemas.openxmlformats.org/officeDocument/2006/relationships/hyperlink" Target="https://www.google.com/search?newwindow=1&amp;ei=2MT0XrvGGM-vytMP1OyDgAY&amp;q=site%3Alinkedin.com+Renee+Blonde+Campus+Recruiting+Manager+KPMG+global" TargetMode="External"/><Relationship Id="rId1212" Type="http://schemas.openxmlformats.org/officeDocument/2006/relationships/hyperlink" Target="https://www.google.com/search?newwindow=1&amp;ei=2MT0XrvGGM-vytMP1OyDgAY&amp;q=site%3Alinkedin.com+Kira+Geisterfer-Black+Student+Employment+Programs+Assistant" TargetMode="External"/><Relationship Id="rId2543" Type="http://schemas.openxmlformats.org/officeDocument/2006/relationships/hyperlink" Target="https://www.google.com/search?newwindow=1&amp;ei=2MT0XrvGGM-vytMP1OyDgAY&amp;q=site%3Alinkedin.com+Debbie+Dillon+Campus+Recruiter+Ernst+&amp;+Young" TargetMode="External"/><Relationship Id="rId3873" Type="http://schemas.openxmlformats.org/officeDocument/2006/relationships/hyperlink" Target="https://www.google.com/search?newwindow=1&amp;ei=2MT0XrvGGM-vytMP1OyDgAY&amp;q=site%3Alinkedin.com+Laura+Chapman+Campus+Recruiting+Senior+Manager+PwC" TargetMode="External"/><Relationship Id="rId1202" Type="http://schemas.openxmlformats.org/officeDocument/2006/relationships/hyperlink" Target="https://www.google.com/search?newwindow=1&amp;ei=2MT0XrvGGM-vytMP1OyDgAY&amp;q=site%3Alinkedin.com+Jason+Wilson+Resource+Planning+&amp;+Student+Programs+Assistant" TargetMode="External"/><Relationship Id="rId2533" Type="http://schemas.openxmlformats.org/officeDocument/2006/relationships/hyperlink" Target="https://www.google.com/search?newwindow=1&amp;ei=2MT0XrvGGM-vytMP1OyDgAY&amp;q=site%3Alinkedin.com+Christyn+Benzle+Campus+Recruiter+Ernst+&amp;+Young" TargetMode="External"/><Relationship Id="rId3865" Type="http://schemas.openxmlformats.org/officeDocument/2006/relationships/hyperlink" Target="https://www.google.com/search?newwindow=1&amp;ei=2MT0XrvGGM-vytMP1OyDgAY&amp;q=site%3Alinkedin.com+Samantha+Daly+Associate+Campus+Recruiter+KPMG" TargetMode="External"/><Relationship Id="rId1203" Type="http://schemas.openxmlformats.org/officeDocument/2006/relationships/hyperlink" Target="https://www.google.com/search?newwindow=1&amp;ei=2MT0XrvGGM-vytMP1OyDgAY&amp;q=site%3Alinkedin.com+Sarah+Mather-Sabourin+Manager+of+Student+Employment+Programs+and+Partnership+Development" TargetMode="External"/><Relationship Id="rId2534" Type="http://schemas.openxmlformats.org/officeDocument/2006/relationships/hyperlink" Target="https://www.google.com/search?newwindow=1&amp;ei=2MT0XrvGGM-vytMP1OyDgAY&amp;q=site%3Alinkedin.com+Julie+Benner+Campus+Recruiting+Manager+Ernst+&amp;+Young" TargetMode="External"/><Relationship Id="rId3864" Type="http://schemas.openxmlformats.org/officeDocument/2006/relationships/hyperlink" Target="https://www.google.com/search?newwindow=1&amp;ei=2MT0XrvGGM-vytMP1OyDgAY&amp;q=site%3Alinkedin.com+Danielle+(.+Talent+Acquisition+Manager+PwC" TargetMode="External"/><Relationship Id="rId1204" Type="http://schemas.openxmlformats.org/officeDocument/2006/relationships/hyperlink" Target="https://www.google.com/search?newwindow=1&amp;ei=2MT0XrvGGM-vytMP1OyDgAY&amp;q=site%3Alinkedin.com+Sally+Zhao+Research+Programs+Student" TargetMode="External"/><Relationship Id="rId2535" Type="http://schemas.openxmlformats.org/officeDocument/2006/relationships/hyperlink" Target="https://www.google.com/search?newwindow=1&amp;ei=2MT0XrvGGM-vytMP1OyDgAY&amp;q=site%3Alinkedin.com+Kaami+Moore+Florida+Campus+Recruiter+Ernst+&amp;+Young" TargetMode="External"/><Relationship Id="rId3867" Type="http://schemas.openxmlformats.org/officeDocument/2006/relationships/hyperlink" Target="https://www.google.com/search?newwindow=1&amp;ei=2MT0XrvGGM-vytMP1OyDgAY&amp;q=site%3Alinkedin.com+Katie+Howland+Training+Manager+KPMG" TargetMode="External"/><Relationship Id="rId1205" Type="http://schemas.openxmlformats.org/officeDocument/2006/relationships/hyperlink" Target="https://www.google.com/search?newwindow=1&amp;ei=2MT0XrvGGM-vytMP1OyDgAY&amp;q=site%3Alinkedin.com+Adedoyin+Kolade+International+Internship+and+Student+Employment+Programs+Assistant" TargetMode="External"/><Relationship Id="rId2536" Type="http://schemas.openxmlformats.org/officeDocument/2006/relationships/hyperlink" Target="https://www.google.com/search?newwindow=1&amp;ei=2MT0XrvGGM-vytMP1OyDgAY&amp;q=site%3Alinkedin.com+Jennifer+Sell+Campus+Recruiter+Ernst+&amp;+Young" TargetMode="External"/><Relationship Id="rId3866" Type="http://schemas.openxmlformats.org/officeDocument/2006/relationships/hyperlink" Target="https://www.google.com/search?newwindow=1&amp;ei=2MT0XrvGGM-vytMP1OyDgAY&amp;q=site%3Alinkedin.com+Jia+C.+Campus+Recruiting+Manager+PwC" TargetMode="External"/><Relationship Id="rId1206" Type="http://schemas.openxmlformats.org/officeDocument/2006/relationships/hyperlink" Target="https://www.google.com/search?newwindow=1&amp;ei=2MT0XrvGGM-vytMP1OyDgAY&amp;q=site%3Alinkedin.com+Loriann+Joseph+Talent+Coordinator,+Associate+and+Student+Programs" TargetMode="External"/><Relationship Id="rId2537" Type="http://schemas.openxmlformats.org/officeDocument/2006/relationships/hyperlink" Target="https://www.google.com/search?newwindow=1&amp;ei=2MT0XrvGGM-vytMP1OyDgAY&amp;q=site%3Alinkedin.com+Rachel+Bresnick+Lipson+Campus+Recruiter+Ernst+&amp;+Young" TargetMode="External"/><Relationship Id="rId3869" Type="http://schemas.openxmlformats.org/officeDocument/2006/relationships/hyperlink" Target="https://www.google.com/search?newwindow=1&amp;ei=2MT0XrvGGM-vytMP1OyDgAY&amp;q=site%3Alinkedin.com+Regina+Manansala+Campus+Recruiting+Manager+KPMG" TargetMode="External"/><Relationship Id="rId1207" Type="http://schemas.openxmlformats.org/officeDocument/2006/relationships/hyperlink" Target="https://www.google.com/search?newwindow=1&amp;ei=2MT0XrvGGM-vytMP1OyDgAY&amp;q=site%3Alinkedin.com+Grace+Haime+New+Student+Programs+and+Activities+Coordinator,+Student+Experience+Office" TargetMode="External"/><Relationship Id="rId2538" Type="http://schemas.openxmlformats.org/officeDocument/2006/relationships/hyperlink" Target="https://www.google.com/search?newwindow=1&amp;ei=2MT0XrvGGM-vytMP1OyDgAY&amp;q=site%3Alinkedin.com+Eleni+Athanasiou+Campus+Recruiter+Ernst+&amp;+Young" TargetMode="External"/><Relationship Id="rId3868" Type="http://schemas.openxmlformats.org/officeDocument/2006/relationships/hyperlink" Target="https://www.google.com/search?newwindow=1&amp;ei=2MT0XrvGGM-vytMP1OyDgAY&amp;q=site%3Alinkedin.com+Kaitlin+McDermott+Hopkins,+SHRM-SCP+Mid-Atlantic+Campus+Recruiting+Lead+%7C+Senior+Manager+PwC" TargetMode="External"/><Relationship Id="rId1208" Type="http://schemas.openxmlformats.org/officeDocument/2006/relationships/hyperlink" Target="https://www.google.com/search?newwindow=1&amp;ei=2MT0XrvGGM-vytMP1OyDgAY&amp;q=site%3Alinkedin.com+Lucas+Gergyek+Graduate+Teaching+Assistant" TargetMode="External"/><Relationship Id="rId2539" Type="http://schemas.openxmlformats.org/officeDocument/2006/relationships/hyperlink" Target="https://www.google.com/search?newwindow=1&amp;ei=2MT0XrvGGM-vytMP1OyDgAY&amp;q=site%3Alinkedin.com+Grethel+Gaitan+Campus+Recruiter+Ernst+&amp;+Young" TargetMode="External"/><Relationship Id="rId1209" Type="http://schemas.openxmlformats.org/officeDocument/2006/relationships/hyperlink" Target="https://www.google.com/search?newwindow=1&amp;ei=2MT0XrvGGM-vytMP1OyDgAY&amp;q=site%3Alinkedin.com+Malek+Hajri+Program+Officer,+Student+Refugee+Program+-+Overseas+Programming" TargetMode="External"/><Relationship Id="rId3861" Type="http://schemas.openxmlformats.org/officeDocument/2006/relationships/hyperlink" Target="https://www.google.com/search?newwindow=1&amp;ei=2MT0XrvGGM-vytMP1OyDgAY&amp;q=site%3Alinkedin.com+Misty+Abston+Campus+Recruiter+KPMG" TargetMode="External"/><Relationship Id="rId2530" Type="http://schemas.openxmlformats.org/officeDocument/2006/relationships/hyperlink" Target="https://www.google.com/search?newwindow=1&amp;ei=2MT0XrvGGM-vytMP1OyDgAY&amp;q=site%3Alinkedin.com+Amy+Mait+Campus+Recruiter+Ernst+&amp;+Young" TargetMode="External"/><Relationship Id="rId3860" Type="http://schemas.openxmlformats.org/officeDocument/2006/relationships/hyperlink" Target="https://www.google.com/search?newwindow=1&amp;ei=2MT0XrvGGM-vytMP1OyDgAY&amp;q=site%3Alinkedin.com+Anny+Liang+Early+Talent+Campus+Recruiter+PwC" TargetMode="External"/><Relationship Id="rId1200" Type="http://schemas.openxmlformats.org/officeDocument/2006/relationships/hyperlink" Target="https://www.google.com/search?newwindow=1&amp;ei=2MT0XrvGGM-vytMP1OyDgAY&amp;q=site%3Alinkedin.com+Amanda+Hodgson+ACT+to+Employ+and+Student+Employment+Programs+Coordinator" TargetMode="External"/><Relationship Id="rId2531" Type="http://schemas.openxmlformats.org/officeDocument/2006/relationships/hyperlink" Target="https://www.google.com/search?newwindow=1&amp;ei=2MT0XrvGGM-vytMP1OyDgAY&amp;q=site%3Alinkedin.com+Kaitlin+Kunsman+Campus+Recruiter+Ernst+&amp;+Young" TargetMode="External"/><Relationship Id="rId3863" Type="http://schemas.openxmlformats.org/officeDocument/2006/relationships/hyperlink" Target="https://www.google.com/search?newwindow=1&amp;ei=2MT0XrvGGM-vytMP1OyDgAY&amp;q=site%3Alinkedin.com+Aileen+Meade+Assurance+Business+Recruiting+Manager+PwC" TargetMode="External"/><Relationship Id="rId1201" Type="http://schemas.openxmlformats.org/officeDocument/2006/relationships/hyperlink" Target="https://www.google.com/search?newwindow=1&amp;ei=2MT0XrvGGM-vytMP1OyDgAY&amp;q=site%3Alinkedin.com+Amanda+Cauchon+Student+-+Human+Resources+(Resource+Planning+and+Student+Programs)" TargetMode="External"/><Relationship Id="rId2532" Type="http://schemas.openxmlformats.org/officeDocument/2006/relationships/hyperlink" Target="https://www.google.com/search?newwindow=1&amp;ei=2MT0XrvGGM-vytMP1OyDgAY&amp;q=site%3Alinkedin.com+Maggie+Lemmel+Campus+Recruiter+Ernst+&amp;+Young" TargetMode="External"/><Relationship Id="rId3862" Type="http://schemas.openxmlformats.org/officeDocument/2006/relationships/hyperlink" Target="https://www.google.com/search?newwindow=1&amp;ei=2MT0XrvGGM-vytMP1OyDgAY&amp;q=site%3Alinkedin.com+Federico+E.+Campus+Recruiting+Manager+PwC" TargetMode="External"/><Relationship Id="rId1235" Type="http://schemas.openxmlformats.org/officeDocument/2006/relationships/hyperlink" Target="https://www.google.com/search?newwindow=1&amp;ei=2MT0XrvGGM-vytMP1OyDgAY&amp;q=site%3Alinkedin.com+Gemma+Mickleborough+Business+Lecturer+-+BSc+Business+Management+in+Partnership+with+Anglian+Rusking+University" TargetMode="External"/><Relationship Id="rId2566" Type="http://schemas.openxmlformats.org/officeDocument/2006/relationships/hyperlink" Target="https://www.google.com/search?newwindow=1&amp;ei=2MT0XrvGGM-vytMP1OyDgAY&amp;q=site%3Alinkedin.com+Ashley+Redus+Engineering+Campus+Recruiter+Bloomberg+LP" TargetMode="External"/><Relationship Id="rId3898" Type="http://schemas.openxmlformats.org/officeDocument/2006/relationships/hyperlink" Target="https://www.google.com/search?newwindow=1&amp;ei=2MT0XrvGGM-vytMP1OyDgAY&amp;q=site%3Alinkedin.com+Jennifer+Rhodes+University+Programs+Recruiter+Raytheon" TargetMode="External"/><Relationship Id="rId1236" Type="http://schemas.openxmlformats.org/officeDocument/2006/relationships/hyperlink" Target="https://www.google.com/search?newwindow=1&amp;ei=2MT0XrvGGM-vytMP1OyDgAY&amp;q=site%3Alinkedin.com+Kofoworola+Osomo+Volunteer+Student+Career+Center" TargetMode="External"/><Relationship Id="rId2567" Type="http://schemas.openxmlformats.org/officeDocument/2006/relationships/hyperlink" Target="https://www.google.com/search?newwindow=1&amp;ei=2MT0XrvGGM-vytMP1OyDgAY&amp;q=site%3Alinkedin.com+Addison+Hugo+Recruiter,+Campus+Talent+Attraction+and+Acquisition+EY" TargetMode="External"/><Relationship Id="rId3897" Type="http://schemas.openxmlformats.org/officeDocument/2006/relationships/hyperlink" Target="https://www.google.com/search?newwindow=1&amp;ei=2MT0XrvGGM-vytMP1OyDgAY&amp;q=site%3Alinkedin.com+Liz+Trevor+Primary+Recruiting+Manager+for+LA/OC+Advisory:+Campus+Recruiting+KPMG+US" TargetMode="External"/><Relationship Id="rId1237" Type="http://schemas.openxmlformats.org/officeDocument/2006/relationships/hyperlink" Target="https://www.google.com/search?newwindow=1&amp;ei=2MT0XrvGGM-vytMP1OyDgAY&amp;q=site%3Alinkedin.com+Maggie+Bott+Technical+Recruiter+-+Student+Veterans+++Security+Clearance+Opportunities+for+University+Students" TargetMode="External"/><Relationship Id="rId2568" Type="http://schemas.openxmlformats.org/officeDocument/2006/relationships/hyperlink" Target="https://www.google.com/search?newwindow=1&amp;ei=2MT0XrvGGM-vytMP1OyDgAY&amp;q=site%3Alinkedin.com+Bianca+Martinez+Engineering+Campus+Recruiter+Bloomberg+LP" TargetMode="External"/><Relationship Id="rId1238" Type="http://schemas.openxmlformats.org/officeDocument/2006/relationships/hyperlink" Target="https://www.google.com/search?newwindow=1&amp;ei=2MT0XrvGGM-vytMP1OyDgAY&amp;q=site%3Alinkedin.com+Brian+Kroll+%F0%9F%94%B9+Campus+Recruiter+with+University+Relations+&amp;+Recruiting" TargetMode="External"/><Relationship Id="rId2569" Type="http://schemas.openxmlformats.org/officeDocument/2006/relationships/hyperlink" Target="https://www.google.com/search?newwindow=1&amp;ei=2MT0XrvGGM-vytMP1OyDgAY&amp;q=site%3Alinkedin.com+Meaghan+Sansbury+Campus+Recruiter,+Supervising+Associate+EY" TargetMode="External"/><Relationship Id="rId3899" Type="http://schemas.openxmlformats.org/officeDocument/2006/relationships/hyperlink" Target="https://www.google.com/search?newwindow=1&amp;ei=2MT0XrvGGM-vytMP1OyDgAY&amp;q=site%3Alinkedin.com+Carolyn+Murwin,+MS+Sr.+Employment+Recruiter+Raytheon+Missiles+&amp;+Defense" TargetMode="External"/><Relationship Id="rId1239" Type="http://schemas.openxmlformats.org/officeDocument/2006/relationships/hyperlink" Target="https://www.google.com/search?newwindow=1&amp;ei=2MT0XrvGGM-vytMP1OyDgAY&amp;q=site%3Alinkedin.com+Anthony+Giannetta+Senior+Campus+Recruiting+Specialist" TargetMode="External"/><Relationship Id="rId409" Type="http://schemas.openxmlformats.org/officeDocument/2006/relationships/hyperlink" Target="https://www.google.com/search?newwindow=1&amp;ei=2MT0XrvGGM-vytMP1OyDgAY&amp;q=site%3Alinkedin.com+Anneliese+Schumacher+West+Region+Campus+Recruiting+Director" TargetMode="External"/><Relationship Id="rId404" Type="http://schemas.openxmlformats.org/officeDocument/2006/relationships/hyperlink" Target="https://www.google.com/search?newwindow=1&amp;ei=2MT0XrvGGM-vytMP1OyDgAY&amp;q=site%3Alinkedin.com+Libby+Schleinat+Campus+Recruiting+Specialist" TargetMode="External"/><Relationship Id="rId403" Type="http://schemas.openxmlformats.org/officeDocument/2006/relationships/hyperlink" Target="https://www.google.com/search?newwindow=1&amp;ei=2MT0XrvGGM-vytMP1OyDgAY&amp;q=site%3Alinkedin.com+Nicole+Votsmier+Consulting+Campus+Recruiting+Manager" TargetMode="External"/><Relationship Id="rId402" Type="http://schemas.openxmlformats.org/officeDocument/2006/relationships/hyperlink" Target="https://www.google.com/search?newwindow=1&amp;ei=2MT0XrvGGM-vytMP1OyDgAY&amp;q=site%3Alinkedin.com+Lauren+Fair+Senior+Campus+Recruiting+Specialist" TargetMode="External"/><Relationship Id="rId401" Type="http://schemas.openxmlformats.org/officeDocument/2006/relationships/hyperlink" Target="https://www.google.com/search?newwindow=1&amp;ei=2MT0XrvGGM-vytMP1OyDgAY&amp;q=site%3Alinkedin.com+Nicole+King+Campus+Recruiting" TargetMode="External"/><Relationship Id="rId408" Type="http://schemas.openxmlformats.org/officeDocument/2006/relationships/hyperlink" Target="https://www.google.com/search?newwindow=1&amp;ei=2MT0XrvGGM-vytMP1OyDgAY&amp;q=site%3Alinkedin.com+Amanda+Summey+Graduate+(MBA)+Campus+Recruiting+-+Consulting" TargetMode="External"/><Relationship Id="rId407" Type="http://schemas.openxmlformats.org/officeDocument/2006/relationships/hyperlink" Target="https://www.google.com/search?newwindow=1&amp;ei=2MT0XrvGGM-vytMP1OyDgAY&amp;q=site%3Alinkedin.com+Lisa+Fite+Campus+Recruiting+Coordinator" TargetMode="External"/><Relationship Id="rId406" Type="http://schemas.openxmlformats.org/officeDocument/2006/relationships/hyperlink" Target="https://www.google.com/search?newwindow=1&amp;ei=2MT0XrvGGM-vytMP1OyDgAY&amp;q=site%3Alinkedin.com+Allyssa+Tivis+Campus+Recruiting+Specialist" TargetMode="External"/><Relationship Id="rId405" Type="http://schemas.openxmlformats.org/officeDocument/2006/relationships/hyperlink" Target="https://www.google.com/search?newwindow=1&amp;ei=2MT0XrvGGM-vytMP1OyDgAY&amp;q=site%3Alinkedin.com+Shannon+Gyarmathy+Campus+Recruiting+Location+Lead" TargetMode="External"/><Relationship Id="rId3890" Type="http://schemas.openxmlformats.org/officeDocument/2006/relationships/hyperlink" Target="https://www.google.com/search?newwindow=1&amp;ei=2MT0XrvGGM-vytMP1OyDgAY&amp;q=site%3Alinkedin.com+Lindsay+Herring+Campus+Recruiter+KPMG+US" TargetMode="External"/><Relationship Id="rId2560" Type="http://schemas.openxmlformats.org/officeDocument/2006/relationships/hyperlink" Target="https://www.google.com/search?newwindow=1&amp;ei=2MT0XrvGGM-vytMP1OyDgAY&amp;q=site%3Alinkedin.com+Justine+Bellew+Campus+Recruiter+Bloomberg+LP" TargetMode="External"/><Relationship Id="rId3892" Type="http://schemas.openxmlformats.org/officeDocument/2006/relationships/hyperlink" Target="https://www.google.com/search?newwindow=1&amp;ei=2MT0XrvGGM-vytMP1OyDgAY&amp;q=site%3Alinkedin.com+Katie+Tuthill+University+Programs+Recruiter+Raytheon" TargetMode="External"/><Relationship Id="rId1230" Type="http://schemas.openxmlformats.org/officeDocument/2006/relationships/hyperlink" Target="https://www.google.com/search?newwindow=1&amp;ei=2MT0XrvGGM-vytMP1OyDgAY&amp;q=site%3Alinkedin.com+Michael+Openshaw+Co-Founder+and+Chief+Education+Officer:+Programs+and+Student+Outcomes" TargetMode="External"/><Relationship Id="rId2561" Type="http://schemas.openxmlformats.org/officeDocument/2006/relationships/hyperlink" Target="https://www.google.com/search?newwindow=1&amp;ei=2MT0XrvGGM-vytMP1OyDgAY&amp;q=site%3Alinkedin.com+Katie+Mullaney+Campus+Recruiter+EY" TargetMode="External"/><Relationship Id="rId3891" Type="http://schemas.openxmlformats.org/officeDocument/2006/relationships/hyperlink" Target="https://www.google.com/search?newwindow=1&amp;ei=2MT0XrvGGM-vytMP1OyDgAY&amp;q=site%3Alinkedin.com+Jennifer+Smyth+Recruiter+Raytheon" TargetMode="External"/><Relationship Id="rId400" Type="http://schemas.openxmlformats.org/officeDocument/2006/relationships/hyperlink" Target="https://www.google.com/search?newwindow=1&amp;ei=2MT0XrvGGM-vytMP1OyDgAY&amp;q=site%3Alinkedin.com+Janna+Remperas+Campus+Recruiting+Coordinator" TargetMode="External"/><Relationship Id="rId1231" Type="http://schemas.openxmlformats.org/officeDocument/2006/relationships/hyperlink" Target="https://www.google.com/search?newwindow=1&amp;ei=2MT0XrvGGM-vytMP1OyDgAY&amp;q=site%3Alinkedin.com+Catherine+McKellar+Campus+Recruiter" TargetMode="External"/><Relationship Id="rId2562" Type="http://schemas.openxmlformats.org/officeDocument/2006/relationships/hyperlink" Target="https://www.google.com/search?newwindow=1&amp;ei=2MT0XrvGGM-vytMP1OyDgAY&amp;q=site%3Alinkedin.com+Amy+Petcoff+Engineering+Campus+Recruiter+Bloomberg+LP" TargetMode="External"/><Relationship Id="rId3894" Type="http://schemas.openxmlformats.org/officeDocument/2006/relationships/hyperlink" Target="https://www.google.com/search?newwindow=1&amp;ei=2MT0XrvGGM-vytMP1OyDgAY&amp;q=site%3Alinkedin.com+Haley+Barton+Associate+Campus+Recruiter+KPMG+US" TargetMode="External"/><Relationship Id="rId1232" Type="http://schemas.openxmlformats.org/officeDocument/2006/relationships/hyperlink" Target="https://www.google.com/search?newwindow=1&amp;ei=2MT0XrvGGM-vytMP1OyDgAY&amp;q=site%3Alinkedin.com+Sam+Cousens+Recruiting+Officer" TargetMode="External"/><Relationship Id="rId2563" Type="http://schemas.openxmlformats.org/officeDocument/2006/relationships/hyperlink" Target="https://www.google.com/search?newwindow=1&amp;ei=2MT0XrvGGM-vytMP1OyDgAY&amp;q=site%3Alinkedin.com+Sarah+Fraser+US-East+Campus+Recruiter,+Supervising+Assoc.+EY" TargetMode="External"/><Relationship Id="rId3893" Type="http://schemas.openxmlformats.org/officeDocument/2006/relationships/hyperlink" Target="https://www.google.com/search?newwindow=1&amp;ei=2MT0XrvGGM-vytMP1OyDgAY&amp;q=site%3Alinkedin.com+Richard+DeStefano+University+Programs+Manager+Raytheon" TargetMode="External"/><Relationship Id="rId1233" Type="http://schemas.openxmlformats.org/officeDocument/2006/relationships/hyperlink" Target="https://www.google.com/search?newwindow=1&amp;ei=2MT0XrvGGM-vytMP1OyDgAY&amp;q=site%3Alinkedin.com+Genene+Ringelstein+Recruitment+Officer+at+Murdoch+University" TargetMode="External"/><Relationship Id="rId2564" Type="http://schemas.openxmlformats.org/officeDocument/2006/relationships/hyperlink" Target="https://www.google.com/search?newwindow=1&amp;ei=2MT0XrvGGM-vytMP1OyDgAY&amp;q=site%3Alinkedin.com+Jinny+Rhieu+Engineering+Campus+Recruiter+Bloomberg+LP" TargetMode="External"/><Relationship Id="rId3896" Type="http://schemas.openxmlformats.org/officeDocument/2006/relationships/hyperlink" Target="https://www.google.com/search?newwindow=1&amp;ei=2MT0XrvGGM-vytMP1OyDgAY&amp;q=site%3Alinkedin.com+Curtis+Sargent+University+Programs+Recruiter+Raytheon" TargetMode="External"/><Relationship Id="rId1234" Type="http://schemas.openxmlformats.org/officeDocument/2006/relationships/hyperlink" Target="https://www.google.com/search?newwindow=1&amp;ei=2MT0XrvGGM-vytMP1OyDgAY&amp;q=site%3Alinkedin.com+Jessica+Evans+International+Student+Programs+Assistant" TargetMode="External"/><Relationship Id="rId2565" Type="http://schemas.openxmlformats.org/officeDocument/2006/relationships/hyperlink" Target="https://www.google.com/search?newwindow=1&amp;ei=2MT0XrvGGM-vytMP1OyDgAY&amp;q=site%3Alinkedin.com+Lauren+Thornton+Campus+Recruiter+EY" TargetMode="External"/><Relationship Id="rId3895" Type="http://schemas.openxmlformats.org/officeDocument/2006/relationships/hyperlink" Target="https://www.google.com/search?newwindow=1&amp;ei=2MT0XrvGGM-vytMP1OyDgAY&amp;q=site%3Alinkedin.com+Celine+Dye+University+Programs+Recruiter+Raytheon" TargetMode="External"/><Relationship Id="rId1224" Type="http://schemas.openxmlformats.org/officeDocument/2006/relationships/hyperlink" Target="https://www.google.com/search?newwindow=1&amp;ei=2MT0XrvGGM-vytMP1OyDgAY&amp;q=site%3Alinkedin.com+Hannah+Griffiths+MBA+Recruitment+and+Admissions+Manager+(Global+Regions),+Sa%C3%AFd+Business+School,+University+of+Oxford" TargetMode="External"/><Relationship Id="rId2555" Type="http://schemas.openxmlformats.org/officeDocument/2006/relationships/hyperlink" Target="https://www.google.com/search?newwindow=1&amp;ei=2MT0XrvGGM-vytMP1OyDgAY&amp;q=site%3Alinkedin.com+Callie+Jones+Campus+Recruiter+EY" TargetMode="External"/><Relationship Id="rId3887" Type="http://schemas.openxmlformats.org/officeDocument/2006/relationships/hyperlink" Target="https://www.google.com/search?newwindow=1&amp;ei=2MT0XrvGGM-vytMP1OyDgAY&amp;q=site%3Alinkedin.com+Taylor+McKamy+Campus+Recruiting+Manager+KPMG+US" TargetMode="External"/><Relationship Id="rId1225" Type="http://schemas.openxmlformats.org/officeDocument/2006/relationships/hyperlink" Target="https://www.google.com/search?newwindow=1&amp;ei=2MT0XrvGGM-vytMP1OyDgAY&amp;q=site%3Alinkedin.com+Krystyna+Anderson+Recruiter+(Future+Talent)" TargetMode="External"/><Relationship Id="rId2556" Type="http://schemas.openxmlformats.org/officeDocument/2006/relationships/hyperlink" Target="https://www.google.com/search?newwindow=1&amp;ei=2MT0XrvGGM-vytMP1OyDgAY&amp;q=site%3Alinkedin.com+Stephanie+Santora+Campus+Recruiter+Bloomberg+LP" TargetMode="External"/><Relationship Id="rId3886" Type="http://schemas.openxmlformats.org/officeDocument/2006/relationships/hyperlink" Target="https://www.google.com/search?newwindow=1&amp;ei=2MT0XrvGGM-vytMP1OyDgAY&amp;q=site%3Alinkedin.com+Sara+Cho+Technical+University+Recruiter+Qualtrics" TargetMode="External"/><Relationship Id="rId1226" Type="http://schemas.openxmlformats.org/officeDocument/2006/relationships/hyperlink" Target="https://www.google.com/search?newwindow=1&amp;ei=2MT0XrvGGM-vytMP1OyDgAY&amp;q=site%3Alinkedin.com+Ashley+Green+Campus+Recruiting+Coordinator" TargetMode="External"/><Relationship Id="rId2557" Type="http://schemas.openxmlformats.org/officeDocument/2006/relationships/hyperlink" Target="https://www.google.com/search?newwindow=1&amp;ei=2MT0XrvGGM-vytMP1OyDgAY&amp;q=site%3Alinkedin.com+Ally+Yawman+Campus+Recruiter+EY" TargetMode="External"/><Relationship Id="rId3889" Type="http://schemas.openxmlformats.org/officeDocument/2006/relationships/hyperlink" Target="https://www.google.com/search?newwindow=1&amp;ei=2MT0XrvGGM-vytMP1OyDgAY&amp;q=site%3Alinkedin.com+Michelle+Ciak+University+Programs+Recruiter+Raytheon" TargetMode="External"/><Relationship Id="rId1227" Type="http://schemas.openxmlformats.org/officeDocument/2006/relationships/hyperlink" Target="https://www.google.com/search?newwindow=1&amp;ei=2MT0XrvGGM-vytMP1OyDgAY&amp;q=site%3Alinkedin.com+Justin+Wilkey+Indigenous+Student+Mentor+&amp;+Education+Consultant" TargetMode="External"/><Relationship Id="rId2558" Type="http://schemas.openxmlformats.org/officeDocument/2006/relationships/hyperlink" Target="https://www.google.com/search?newwindow=1&amp;ei=2MT0XrvGGM-vytMP1OyDgAY&amp;q=site%3Alinkedin.com+Monica+D.+Engineering+Campus+&amp;+Diversity+Recruiter+Bloomberg+LP" TargetMode="External"/><Relationship Id="rId3888" Type="http://schemas.openxmlformats.org/officeDocument/2006/relationships/hyperlink" Target="https://www.google.com/search?newwindow=1&amp;ei=2MT0XrvGGM-vytMP1OyDgAY&amp;q=site%3Alinkedin.com+Brigid+Sullivan+University+Programs+Recruiter+Raytheon" TargetMode="External"/><Relationship Id="rId1228" Type="http://schemas.openxmlformats.org/officeDocument/2006/relationships/hyperlink" Target="https://www.google.com/search?newwindow=1&amp;ei=2MT0XrvGGM-vytMP1OyDgAY&amp;q=site%3Alinkedin.com+Vickie+Dawli+Campus+Recruiting+Coordinator" TargetMode="External"/><Relationship Id="rId2559" Type="http://schemas.openxmlformats.org/officeDocument/2006/relationships/hyperlink" Target="https://www.google.com/search?newwindow=1&amp;ei=2MT0XrvGGM-vytMP1OyDgAY&amp;q=site%3Alinkedin.com+Jennifer+Nienberg+Campus+Recruiter+EY" TargetMode="External"/><Relationship Id="rId1229" Type="http://schemas.openxmlformats.org/officeDocument/2006/relationships/hyperlink" Target="https://www.google.com/search?newwindow=1&amp;ei=2MT0XrvGGM-vytMP1OyDgAY&amp;q=site%3Alinkedin.com+Jonathan+Mahn+Chair,+Membership+Services+and+Programs+Advisory+Committee" TargetMode="External"/><Relationship Id="rId3881" Type="http://schemas.openxmlformats.org/officeDocument/2006/relationships/hyperlink" Target="https://www.google.com/search?newwindow=1&amp;ei=2MT0XrvGGM-vytMP1OyDgAY&amp;q=site%3Alinkedin.com+Harmony+Rose+Morkve+University+Recruiter+Qualtrics" TargetMode="External"/><Relationship Id="rId2550" Type="http://schemas.openxmlformats.org/officeDocument/2006/relationships/hyperlink" Target="https://www.google.com/search?newwindow=1&amp;ei=2MT0XrvGGM-vytMP1OyDgAY&amp;q=site%3Alinkedin.com+Francesca+Dayre+Associate+Campus+Recruiter+BlackRock" TargetMode="External"/><Relationship Id="rId3880" Type="http://schemas.openxmlformats.org/officeDocument/2006/relationships/hyperlink" Target="https://www.google.com/search?newwindow=1&amp;ei=2MT0XrvGGM-vytMP1OyDgAY&amp;q=site%3Alinkedin.com+Meredith+TenHoeve+Campus+Recruiting+Manager+PwC" TargetMode="External"/><Relationship Id="rId1220" Type="http://schemas.openxmlformats.org/officeDocument/2006/relationships/hyperlink" Target="https://www.google.com/search?newwindow=1&amp;ei=2MT0XrvGGM-vytMP1OyDgAY&amp;q=site%3Alinkedin.com+Sue+Boudreau+Project+Lead+(Summer+Student+Programs)" TargetMode="External"/><Relationship Id="rId2551" Type="http://schemas.openxmlformats.org/officeDocument/2006/relationships/hyperlink" Target="https://www.google.com/search?newwindow=1&amp;ei=2MT0XrvGGM-vytMP1OyDgAY&amp;q=site%3Alinkedin.com+Katie+Fiorenzo+Sharp+Campus+Recruiter+-+Transaction+Advisory+Services+EY" TargetMode="External"/><Relationship Id="rId3883" Type="http://schemas.openxmlformats.org/officeDocument/2006/relationships/hyperlink" Target="https://www.google.com/search?newwindow=1&amp;ei=2MT0XrvGGM-vytMP1OyDgAY&amp;q=site%3Alinkedin.com+Sarah+Brewster+Technical+University+Recruiter+Qualtrics" TargetMode="External"/><Relationship Id="rId1221" Type="http://schemas.openxmlformats.org/officeDocument/2006/relationships/hyperlink" Target="https://www.google.com/search?newwindow=1&amp;ei=2MT0XrvGGM-vytMP1OyDgAY&amp;q=site%3Alinkedin.com+Aurora+O.+Indigenous+Student+Programs+Assistant" TargetMode="External"/><Relationship Id="rId2552" Type="http://schemas.openxmlformats.org/officeDocument/2006/relationships/hyperlink" Target="https://www.google.com/search?newwindow=1&amp;ei=2MT0XrvGGM-vytMP1OyDgAY&amp;q=site%3Alinkedin.com+Claudia+Suarez+Campus+Recruiter+BlackRock" TargetMode="External"/><Relationship Id="rId3882" Type="http://schemas.openxmlformats.org/officeDocument/2006/relationships/hyperlink" Target="https://www.google.com/search?newwindow=1&amp;ei=2MT0XrvGGM-vytMP1OyDgAY&amp;q=site%3Alinkedin.com+Melissa+Miller+Campus+Recruiter+KPMG+US" TargetMode="External"/><Relationship Id="rId1222" Type="http://schemas.openxmlformats.org/officeDocument/2006/relationships/hyperlink" Target="https://www.google.com/search?newwindow=1&amp;ei=2MT0XrvGGM-vytMP1OyDgAY&amp;q=site%3Alinkedin.com+Johanne+Brownrigg+Project+Manager+-+Student+Programs" TargetMode="External"/><Relationship Id="rId2553" Type="http://schemas.openxmlformats.org/officeDocument/2006/relationships/hyperlink" Target="https://www.google.com/search?newwindow=1&amp;ei=2MT0XrvGGM-vytMP1OyDgAY&amp;q=site%3Alinkedin.com+Erica+Alfaro+Hammett+Campus+Recruiter,+Talent+Attraction+and+Acquisition+(TA2)+EY" TargetMode="External"/><Relationship Id="rId3885" Type="http://schemas.openxmlformats.org/officeDocument/2006/relationships/hyperlink" Target="https://www.google.com/search?newwindow=1&amp;ei=2MT0XrvGGM-vytMP1OyDgAY&amp;q=site%3Alinkedin.com+Tatiana+Messersmith+University+Recruiter+Qualtrics" TargetMode="External"/><Relationship Id="rId1223" Type="http://schemas.openxmlformats.org/officeDocument/2006/relationships/hyperlink" Target="https://www.google.com/search?newwindow=1&amp;ei=2MT0XrvGGM-vytMP1OyDgAY&amp;q=site%3Alinkedin.com+Madison+MacLachlan+Student+Mentor" TargetMode="External"/><Relationship Id="rId2554" Type="http://schemas.openxmlformats.org/officeDocument/2006/relationships/hyperlink" Target="https://www.google.com/search?newwindow=1&amp;ei=2MT0XrvGGM-vytMP1OyDgAY&amp;q=site%3Alinkedin.com+JAMILLA+SMITH+Sr.+Campus+Recruiter+Bloomberg+LP" TargetMode="External"/><Relationship Id="rId3884" Type="http://schemas.openxmlformats.org/officeDocument/2006/relationships/hyperlink" Target="https://www.google.com/search?newwindow=1&amp;ei=2MT0XrvGGM-vytMP1OyDgAY&amp;q=site%3Alinkedin.com+Mary+Nolan+Campus+Recruiting+Manager+KPMG+US" TargetMode="External"/><Relationship Id="rId2500" Type="http://schemas.openxmlformats.org/officeDocument/2006/relationships/hyperlink" Target="https://www.google.com/search?newwindow=1&amp;ei=2MT0XrvGGM-vytMP1OyDgAY&amp;q=site%3Alinkedin.com+Stephanie+Ha+Sr.+Recruiter+%7C+University+Relations+&amp;+Next+Gen+Talent+Electronic+Arts+(EA)" TargetMode="External"/><Relationship Id="rId3832" Type="http://schemas.openxmlformats.org/officeDocument/2006/relationships/hyperlink" Target="https://www.google.com/search?newwindow=1&amp;ei=2MT0XrvGGM-vytMP1OyDgAY&amp;q=site%3Alinkedin.com+Jennifer+Kaniewski+HR+&amp;+Campus+Recruiting+Manager+PricewaterhouseCoopers" TargetMode="External"/><Relationship Id="rId2501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3831" Type="http://schemas.openxmlformats.org/officeDocument/2006/relationships/hyperlink" Target="https://www.google.com/search?newwindow=1&amp;ei=2MT0XrvGGM-vytMP1OyDgAY&amp;q=site%3Alinkedin.com+Karen+Putnam+Campus+Recruiting+Manager+PricewaterhouseCoopers" TargetMode="External"/><Relationship Id="rId2502" Type="http://schemas.openxmlformats.org/officeDocument/2006/relationships/hyperlink" Target="https://www.google.com/search?newwindow=1&amp;ei=2MT0XrvGGM-vytMP1OyDgAY&amp;q=site%3Alinkedin.com+Keith+B.+Stanford+Associate+Consultant/,+Campus+Recruiter/Global+Staffing+&amp;+Recruiting+Eli+Lilly" TargetMode="External"/><Relationship Id="rId3834" Type="http://schemas.openxmlformats.org/officeDocument/2006/relationships/hyperlink" Target="https://www.google.com/search?newwindow=1&amp;ei=2MT0XrvGGM-vytMP1OyDgAY&amp;q=site%3Alinkedin.com+Kurt+Peterson+Campus+Recruiting+Manager+PricewaterhouseCoopers" TargetMode="External"/><Relationship Id="rId2503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3833" Type="http://schemas.openxmlformats.org/officeDocument/2006/relationships/hyperlink" Target="https://www.google.com/search?newwindow=1&amp;ei=2MT0XrvGGM-vytMP1OyDgAY&amp;q=site%3Alinkedin.com+Rene'+Newsome+Campus+Recruiting+Manager+PricewaterhouseCoopers" TargetMode="External"/><Relationship Id="rId2504" Type="http://schemas.openxmlformats.org/officeDocument/2006/relationships/hyperlink" Target="https://www.google.com/search?newwindow=1&amp;ei=2MT0XrvGGM-vytMP1OyDgAY&amp;q=site%3Alinkedin.com+Mark+Short+Associate+Consultant,+Sales+Recruiting+-+Campus+Eli+Lilly+and+Company" TargetMode="External"/><Relationship Id="rId3836" Type="http://schemas.openxmlformats.org/officeDocument/2006/relationships/hyperlink" Target="https://www.google.com/search?newwindow=1&amp;ei=2MT0XrvGGM-vytMP1OyDgAY&amp;q=site%3Alinkedin.com+Kim+Kueper+Campus+Recruiter+PricewaterhouseCoopers" TargetMode="External"/><Relationship Id="rId2505" Type="http://schemas.openxmlformats.org/officeDocument/2006/relationships/hyperlink" Target="https://www.google.com/search?newwindow=1&amp;ei=2MT0XrvGGM-vytMP1OyDgAY&amp;q=site%3Alinkedin.com+Gail+Diaz+Campus+Recruiter+Bank+of+America" TargetMode="External"/><Relationship Id="rId3835" Type="http://schemas.openxmlformats.org/officeDocument/2006/relationships/hyperlink" Target="https://www.google.com/search?newwindow=1&amp;ei=2MT0XrvGGM-vytMP1OyDgAY&amp;q=site%3Alinkedin.com+Angela+Helbing+Manager+of+Campus+Recruiting+PricewaterhouseCoopers" TargetMode="External"/><Relationship Id="rId2506" Type="http://schemas.openxmlformats.org/officeDocument/2006/relationships/hyperlink" Target="https://www.google.com/search?newwindow=1&amp;ei=2MT0XrvGGM-vytMP1OyDgAY&amp;q=site%3Alinkedin.com+Alexis+Cohen+Campus+Recruiter+Eli+Lilly+and+Company" TargetMode="External"/><Relationship Id="rId3838" Type="http://schemas.openxmlformats.org/officeDocument/2006/relationships/hyperlink" Target="https://www.google.com/search?newwindow=1&amp;ei=2MT0XrvGGM-vytMP1OyDgAY&amp;q=site%3Alinkedin.com+Teryl+Booth+Campus+Recruiting+Manager+PwC" TargetMode="External"/><Relationship Id="rId2507" Type="http://schemas.openxmlformats.org/officeDocument/2006/relationships/hyperlink" Target="https://www.google.com/search?newwindow=1&amp;ei=2MT0XrvGGM-vytMP1OyDgAY&amp;q=site%3Alinkedin.com+Jennie+Montoya+Campus+Recruiter+Bank+of+America" TargetMode="External"/><Relationship Id="rId3837" Type="http://schemas.openxmlformats.org/officeDocument/2006/relationships/hyperlink" Target="https://www.google.com/search?newwindow=1&amp;ei=2MT0XrvGGM-vytMP1OyDgAY&amp;q=site%3Alinkedin.com+Allyson+Cowden+Campus+Recruiting+Manager+PwC" TargetMode="External"/><Relationship Id="rId2508" Type="http://schemas.openxmlformats.org/officeDocument/2006/relationships/hyperlink" Target="https://www.google.com/search?newwindow=1&amp;ei=2MT0XrvGGM-vytMP1OyDgAY&amp;q=site%3Alinkedin.com+Shawn+Liller+HR+Campus+Recruiter+Eli+Lilly+and+Company" TargetMode="External"/><Relationship Id="rId2509" Type="http://schemas.openxmlformats.org/officeDocument/2006/relationships/hyperlink" Target="https://www.google.com/search?newwindow=1&amp;ei=2MT0XrvGGM-vytMP1OyDgAY&amp;q=site%3Alinkedin.com+Paula+Rose+Campus+Recruiter+Bank+of+America+Merrill+Lynch" TargetMode="External"/><Relationship Id="rId3839" Type="http://schemas.openxmlformats.org/officeDocument/2006/relationships/hyperlink" Target="https://www.google.com/search?newwindow=1&amp;ei=2MT0XrvGGM-vytMP1OyDgAY&amp;q=site%3Alinkedin.com+Julie+Mims+Campus+Talent+Acquisition+Manager+PwC" TargetMode="External"/><Relationship Id="rId3830" Type="http://schemas.openxmlformats.org/officeDocument/2006/relationships/hyperlink" Target="https://www.google.com/search?newwindow=1&amp;ei=2MT0XrvGGM-vytMP1OyDgAY&amp;q=site%3Alinkedin.com+Corinne+Santos+Campus+Recruiter+PricewaterhouseCoopers" TargetMode="External"/><Relationship Id="rId3821" Type="http://schemas.openxmlformats.org/officeDocument/2006/relationships/hyperlink" Target="https://www.google.com/search?newwindow=1&amp;ei=2MT0XrvGGM-vytMP1OyDgAY&amp;q=site%3Alinkedin.com+Aimee+Carcioppolo+IT+College+Recruiter+Progressive+Insurance" TargetMode="External"/><Relationship Id="rId3820" Type="http://schemas.openxmlformats.org/officeDocument/2006/relationships/hyperlink" Target="https://www.google.com/search?newwindow=1&amp;ei=2MT0XrvGGM-vytMP1OyDgAY&amp;q=site%3Alinkedin.com+Samantha+Salway+College+Recruiter+Progressive+Insurance" TargetMode="External"/><Relationship Id="rId3823" Type="http://schemas.openxmlformats.org/officeDocument/2006/relationships/hyperlink" Target="https://www.google.com/search?newwindow=1&amp;ei=2MT0XrvGGM-vytMP1OyDgAY&amp;q=site%3Alinkedin.com+Sarah+Williams+Campus+Recruiting+Manager+Protiviti" TargetMode="External"/><Relationship Id="rId3822" Type="http://schemas.openxmlformats.org/officeDocument/2006/relationships/hyperlink" Target="https://www.google.com/search?newwindow=1&amp;ei=2MT0XrvGGM-vytMP1OyDgAY&amp;q=site%3Alinkedin.com+Joann+Milhaupt+College+Recruiter+-+Co-ops+and+Interns+Kimberly-Clark" TargetMode="External"/><Relationship Id="rId3825" Type="http://schemas.openxmlformats.org/officeDocument/2006/relationships/hyperlink" Target="https://www.google.com/search?newwindow=1&amp;ei=2MT0XrvGGM-vytMP1OyDgAY&amp;q=site%3Alinkedin.com+Mariah+Wills+Campus+Recruiter+Protiviti" TargetMode="External"/><Relationship Id="rId3824" Type="http://schemas.openxmlformats.org/officeDocument/2006/relationships/hyperlink" Target="https://www.google.com/search?newwindow=1&amp;ei=2MT0XrvGGM-vytMP1OyDgAY&amp;q=site%3Alinkedin.com+Andy+Salzwedel+College+Recruiter+Kimberly-Clark" TargetMode="External"/><Relationship Id="rId3827" Type="http://schemas.openxmlformats.org/officeDocument/2006/relationships/hyperlink" Target="https://www.google.com/search?newwindow=1&amp;ei=2MT0XrvGGM-vytMP1OyDgAY&amp;q=site%3Alinkedin.com+Melissa+Miller+Campus+Recruiter+Protiviti" TargetMode="External"/><Relationship Id="rId3826" Type="http://schemas.openxmlformats.org/officeDocument/2006/relationships/hyperlink" Target="https://www.google.com/search?newwindow=1&amp;ei=2MT0XrvGGM-vytMP1OyDgAY&amp;q=site%3Alinkedin.com+Katelyn+Sypher+Campus+Recruiting+Manager+Protiviti" TargetMode="External"/><Relationship Id="rId3829" Type="http://schemas.openxmlformats.org/officeDocument/2006/relationships/hyperlink" Target="https://www.google.com/search?newwindow=1&amp;ei=2MT0XrvGGM-vytMP1OyDgAY&amp;q=site%3Alinkedin.com+Paulette+Sprigg+Business+Recruiter,+Experienced+Hire+PricewaterhouseCoopers" TargetMode="External"/><Relationship Id="rId3828" Type="http://schemas.openxmlformats.org/officeDocument/2006/relationships/hyperlink" Target="https://www.google.com/search?newwindow=1&amp;ei=2MT0XrvGGM-vytMP1OyDgAY&amp;q=site%3Alinkedin.com+Kim+Winkler+Campus+Recruiting+Manager+Protiviti,+Inc." TargetMode="External"/><Relationship Id="rId2522" Type="http://schemas.openxmlformats.org/officeDocument/2006/relationships/hyperlink" Target="https://www.google.com/search?newwindow=1&amp;ei=2MT0XrvGGM-vytMP1OyDgAY&amp;q=site%3Alinkedin.com+Olivia+Forte+Campus+Recruiter+BDO" TargetMode="External"/><Relationship Id="rId3854" Type="http://schemas.openxmlformats.org/officeDocument/2006/relationships/hyperlink" Target="https://www.google.com/search?newwindow=1&amp;ei=2MT0XrvGGM-vytMP1OyDgAY&amp;q=site%3Alinkedin.com+Kristina+Scutari+Campus+Recruiting+Manager+PwC" TargetMode="External"/><Relationship Id="rId2523" Type="http://schemas.openxmlformats.org/officeDocument/2006/relationships/hyperlink" Target="https://www.google.com/search?newwindow=1&amp;ei=2MT0XrvGGM-vytMP1OyDgAY&amp;q=site%3Alinkedin.com+Kristin+Schmidt+Campus+Recruiter+Ernst+&amp;+Young" TargetMode="External"/><Relationship Id="rId3853" Type="http://schemas.openxmlformats.org/officeDocument/2006/relationships/hyperlink" Target="https://www.google.com/search?newwindow=1&amp;ei=2MT0XrvGGM-vytMP1OyDgAY&amp;q=site%3Alinkedin.com+Stephanie+Angellotto+Campus+Recruiting+Manager+-+Southwest+&amp;+Bay+Area+NW+PwC" TargetMode="External"/><Relationship Id="rId2524" Type="http://schemas.openxmlformats.org/officeDocument/2006/relationships/hyperlink" Target="https://www.google.com/search?newwindow=1&amp;ei=2MT0XrvGGM-vytMP1OyDgAY&amp;q=site%3Alinkedin.com+Annie+Allred+Campus+Recruiting+Manager+BDO" TargetMode="External"/><Relationship Id="rId3856" Type="http://schemas.openxmlformats.org/officeDocument/2006/relationships/hyperlink" Target="https://www.google.com/search?newwindow=1&amp;ei=2MT0XrvGGM-vytMP1OyDgAY&amp;q=site%3Alinkedin.com+Shannon+Kaiser+Campus+Recruiting+Manager+KPMG" TargetMode="External"/><Relationship Id="rId2525" Type="http://schemas.openxmlformats.org/officeDocument/2006/relationships/hyperlink" Target="https://www.google.com/search?newwindow=1&amp;ei=2MT0XrvGGM-vytMP1OyDgAY&amp;q=site%3Alinkedin.com+Molly+Leighton+National+Assurance+Campus+Recruiting+Lead+Ernst+&amp;+Young" TargetMode="External"/><Relationship Id="rId3855" Type="http://schemas.openxmlformats.org/officeDocument/2006/relationships/hyperlink" Target="https://www.google.com/search?newwindow=1&amp;ei=2MT0XrvGGM-vytMP1OyDgAY&amp;q=site%3Alinkedin.com+Katie+Doerer,+MBA+Campus+Recruiting+Manager+PwC" TargetMode="External"/><Relationship Id="rId2526" Type="http://schemas.openxmlformats.org/officeDocument/2006/relationships/hyperlink" Target="https://www.google.com/search?newwindow=1&amp;ei=2MT0XrvGGM-vytMP1OyDgAY&amp;q=site%3Alinkedin.com+Celisse+Coppel+Campus+Recruiter+BDO" TargetMode="External"/><Relationship Id="rId3858" Type="http://schemas.openxmlformats.org/officeDocument/2006/relationships/hyperlink" Target="https://www.google.com/search?newwindow=1&amp;ei=2MT0XrvGGM-vytMP1OyDgAY&amp;q=site%3Alinkedin.com+Amanda+Garcia+Southwest+Tax+Campus+Recruiting+Manager+PwC" TargetMode="External"/><Relationship Id="rId2527" Type="http://schemas.openxmlformats.org/officeDocument/2006/relationships/hyperlink" Target="https://www.google.com/search?newwindow=1&amp;ei=2MT0XrvGGM-vytMP1OyDgAY&amp;q=site%3Alinkedin.com+Michelle+J.+Maynor+Campus+Recruiter+Coordinator+Ernst+&amp;+Young" TargetMode="External"/><Relationship Id="rId3857" Type="http://schemas.openxmlformats.org/officeDocument/2006/relationships/hyperlink" Target="https://www.google.com/search?newwindow=1&amp;ei=2MT0XrvGGM-vytMP1OyDgAY&amp;q=site%3Alinkedin.com+Mandi+Folks+Campus+Recruiter+PwC" TargetMode="External"/><Relationship Id="rId2528" Type="http://schemas.openxmlformats.org/officeDocument/2006/relationships/hyperlink" Target="https://www.google.com/search?newwindow=1&amp;ei=2MT0XrvGGM-vytMP1OyDgAY&amp;q=site%3Alinkedin.com+Roxanne+Jackson+Campus+Recruiter-+Diversity+Ernst+&amp;+Young" TargetMode="External"/><Relationship Id="rId2529" Type="http://schemas.openxmlformats.org/officeDocument/2006/relationships/hyperlink" Target="https://www.google.com/search?newwindow=1&amp;ei=2MT0XrvGGM-vytMP1OyDgAY&amp;q=site%3Alinkedin.com+Stephanie+Lopez+Campus+Recruiter+Ernst+&amp;+Young" TargetMode="External"/><Relationship Id="rId3859" Type="http://schemas.openxmlformats.org/officeDocument/2006/relationships/hyperlink" Target="https://www.google.com/search?newwindow=1&amp;ei=2MT0XrvGGM-vytMP1OyDgAY&amp;q=site%3Alinkedin.com+Doreen+Nakigudde+Campus+Recruiter+KPMG" TargetMode="External"/><Relationship Id="rId3850" Type="http://schemas.openxmlformats.org/officeDocument/2006/relationships/hyperlink" Target="https://www.google.com/search?newwindow=1&amp;ei=2MT0XrvGGM-vytMP1OyDgAY&amp;q=site%3Alinkedin.com+Lauren+Thomas+Campus+Talent+ID+Recruiter+PwC" TargetMode="External"/><Relationship Id="rId2520" Type="http://schemas.openxmlformats.org/officeDocument/2006/relationships/hyperlink" Target="https://www.google.com/search?newwindow=1&amp;ei=2MT0XrvGGM-vytMP1OyDgAY&amp;q=site%3Alinkedin.com+Renee+Savino+Banking+Analyst+Campus+Recruiter+Barclays+Investment+Bank" TargetMode="External"/><Relationship Id="rId3852" Type="http://schemas.openxmlformats.org/officeDocument/2006/relationships/hyperlink" Target="https://www.google.com/search?newwindow=1&amp;ei=2MT0XrvGGM-vytMP1OyDgAY&amp;q=site%3Alinkedin.com+Sara+Condino+Campus+Recruiting+Manager+KPMG" TargetMode="External"/><Relationship Id="rId2521" Type="http://schemas.openxmlformats.org/officeDocument/2006/relationships/hyperlink" Target="https://www.google.com/search?newwindow=1&amp;ei=2MT0XrvGGM-vytMP1OyDgAY&amp;q=site%3Alinkedin.com+Paige+Sacks+Campus+recruiter+Ernst+&amp;+Young" TargetMode="External"/><Relationship Id="rId3851" Type="http://schemas.openxmlformats.org/officeDocument/2006/relationships/hyperlink" Target="https://www.google.com/search?newwindow=1&amp;ei=2MT0XrvGGM-vytMP1OyDgAY&amp;q=site%3Alinkedin.com+Ferrin+Decker+Senior+Manager+Advisory+Campus+Recruiting+PwC" TargetMode="External"/><Relationship Id="rId2511" Type="http://schemas.openxmlformats.org/officeDocument/2006/relationships/hyperlink" Target="https://www.google.com/search?newwindow=1&amp;ei=2MT0XrvGGM-vytMP1OyDgAY&amp;q=site%3Alinkedin.com+Christie+Neuhaus+Campus+Recruiter+Bank+of+America+Merrill+Lynch" TargetMode="External"/><Relationship Id="rId3843" Type="http://schemas.openxmlformats.org/officeDocument/2006/relationships/hyperlink" Target="https://www.google.com/search?newwindow=1&amp;ei=2MT0XrvGGM-vytMP1OyDgAY&amp;q=site%3Alinkedin.com+Li+Steinberg+Campus+Recruiting+Manager+KPMG" TargetMode="External"/><Relationship Id="rId2512" Type="http://schemas.openxmlformats.org/officeDocument/2006/relationships/hyperlink" Target="https://www.google.com/search?newwindow=1&amp;ei=2MT0XrvGGM-vytMP1OyDgAY&amp;q=site%3Alinkedin.com+Alexandria+Pernell,+MS-HRM+Global+HR+Campus+Recruiter+Eli+Lilly+and+Company" TargetMode="External"/><Relationship Id="rId3842" Type="http://schemas.openxmlformats.org/officeDocument/2006/relationships/hyperlink" Target="https://www.google.com/search?newwindow=1&amp;ei=2MT0XrvGGM-vytMP1OyDgAY&amp;q=site%3Alinkedin.com+Michael+Watkins+Manager,+Campus+Recruiting+PwC" TargetMode="External"/><Relationship Id="rId2513" Type="http://schemas.openxmlformats.org/officeDocument/2006/relationships/hyperlink" Target="https://www.google.com/search?newwindow=1&amp;ei=2MT0XrvGGM-vytMP1OyDgAY&amp;q=site%3Alinkedin.com+Juniris+Torres+Senior+Sales+Representative,+Campus+Internship+Recruiter+Eli+Lilly+and+Company" TargetMode="External"/><Relationship Id="rId3845" Type="http://schemas.openxmlformats.org/officeDocument/2006/relationships/hyperlink" Target="https://www.google.com/search?newwindow=1&amp;ei=2MT0XrvGGM-vytMP1OyDgAY&amp;q=site%3Alinkedin.com+Carly+Merrell+Campus+Recruiter+KPMG" TargetMode="External"/><Relationship Id="rId2514" Type="http://schemas.openxmlformats.org/officeDocument/2006/relationships/hyperlink" Target="https://www.google.com/search?newwindow=1&amp;ei=2MT0XrvGGM-vytMP1OyDgAY&amp;q=site%3Alinkedin.com+Andrea+Parsley+Diversity+Campus+Recruiter+Barclays+Capital" TargetMode="External"/><Relationship Id="rId3844" Type="http://schemas.openxmlformats.org/officeDocument/2006/relationships/hyperlink" Target="https://www.google.com/search?newwindow=1&amp;ei=2MT0XrvGGM-vytMP1OyDgAY&amp;q=site%3Alinkedin.com+Jen+Marshall+Campus+Recruiting+Manager+PwC" TargetMode="External"/><Relationship Id="rId2515" Type="http://schemas.openxmlformats.org/officeDocument/2006/relationships/hyperlink" Target="https://www.google.com/search?newwindow=1&amp;ei=2MT0XrvGGM-vytMP1OyDgAY&amp;q=site%3Alinkedin.com+Katie+Price+Associate+Consultant-Campus+Recruiter+Eli+Lilly+and+Company" TargetMode="External"/><Relationship Id="rId3847" Type="http://schemas.openxmlformats.org/officeDocument/2006/relationships/hyperlink" Target="https://www.google.com/search?newwindow=1&amp;ei=2MT0XrvGGM-vytMP1OyDgAY&amp;q=site%3Alinkedin.com+Lydia+Ghattas+Campus+Recruiter+PwC" TargetMode="External"/><Relationship Id="rId2516" Type="http://schemas.openxmlformats.org/officeDocument/2006/relationships/hyperlink" Target="https://www.google.com/search?newwindow=1&amp;ei=2MT0XrvGGM-vytMP1OyDgAY&amp;q=site%3Alinkedin.com+Courtney+Goldsmith+Associate+Campus+Recruiter+Barclays+Capital" TargetMode="External"/><Relationship Id="rId3846" Type="http://schemas.openxmlformats.org/officeDocument/2006/relationships/hyperlink" Target="https://www.google.com/search?newwindow=1&amp;ei=2MT0XrvGGM-vytMP1OyDgAY&amp;q=site%3Alinkedin.com+Anne+(Keppler)+Mayor+Talent+Acquisition+Manager,+Advisory+Campus+Recruiting+PwC" TargetMode="External"/><Relationship Id="rId2517" Type="http://schemas.openxmlformats.org/officeDocument/2006/relationships/hyperlink" Target="https://www.google.com/search?newwindow=1&amp;ei=2MT0XrvGGM-vytMP1OyDgAY&amp;q=site%3Alinkedin.com+Oscar+Grau,+MBA+Consultant+-+Campus+Recruiter+Eli+Lilly+and+Company" TargetMode="External"/><Relationship Id="rId3849" Type="http://schemas.openxmlformats.org/officeDocument/2006/relationships/hyperlink" Target="https://www.google.com/search?newwindow=1&amp;ei=2MT0XrvGGM-vytMP1OyDgAY&amp;q=site%3Alinkedin.com+Kelsey+Meza+Campus+Recruiter+KPMG" TargetMode="External"/><Relationship Id="rId2518" Type="http://schemas.openxmlformats.org/officeDocument/2006/relationships/hyperlink" Target="https://www.google.com/search?newwindow=1&amp;ei=2MT0XrvGGM-vytMP1OyDgAY&amp;q=site%3Alinkedin.com+Kelly+Doyle+Campus+Recruiter+Barclays+Capital" TargetMode="External"/><Relationship Id="rId3848" Type="http://schemas.openxmlformats.org/officeDocument/2006/relationships/hyperlink" Target="https://www.google.com/search?newwindow=1&amp;ei=2MT0XrvGGM-vytMP1OyDgAY&amp;q=site%3Alinkedin.com+Sarah+Wagner+Campus+Recruiter+PwC" TargetMode="External"/><Relationship Id="rId2519" Type="http://schemas.openxmlformats.org/officeDocument/2006/relationships/hyperlink" Target="https://www.google.com/search?newwindow=1&amp;ei=2MT0XrvGGM-vytMP1OyDgAY&amp;q=site%3Alinkedin.com+LaVenta+Atwater+Campus+Recruiter+Eli+Lilly+and+Company" TargetMode="External"/><Relationship Id="rId3841" Type="http://schemas.openxmlformats.org/officeDocument/2006/relationships/hyperlink" Target="https://www.google.com/search?newwindow=1&amp;ei=2MT0XrvGGM-vytMP1OyDgAY&amp;q=site%3Alinkedin.com+Leanne+Vail+Campus+Recruiter+PwC" TargetMode="External"/><Relationship Id="rId2510" Type="http://schemas.openxmlformats.org/officeDocument/2006/relationships/hyperlink" Target="https://www.google.com/search?newwindow=1&amp;ei=2MT0XrvGGM-vytMP1OyDgAY&amp;q=site%3Alinkedin.com+Hira+Majid+Campus+Recruiter+-+Diversity+Lead+Eli+Lilly+and+Company" TargetMode="External"/><Relationship Id="rId3840" Type="http://schemas.openxmlformats.org/officeDocument/2006/relationships/hyperlink" Target="https://www.google.com/search?newwindow=1&amp;ei=2MT0XrvGGM-vytMP1OyDgAY&amp;q=site%3Alinkedin.com+Lauren+Suttner+Campus+Recruiting+Manager+PwC" TargetMode="External"/><Relationship Id="rId4327" Type="http://schemas.openxmlformats.org/officeDocument/2006/relationships/hyperlink" Target="https://www.google.com/search?newwindow=1&amp;ei=2MT0XrvGGM-vytMP1OyDgAY&amp;q=site%3Alinkedin.com+Christian+Golofaro+Campus+Recruiter+Oracle" TargetMode="External"/><Relationship Id="rId4326" Type="http://schemas.openxmlformats.org/officeDocument/2006/relationships/hyperlink" Target="https://www.google.com/search?newwindow=1&amp;ei=2MT0XrvGGM-vytMP1OyDgAY&amp;q=site%3Alinkedin.com+Lauren+Graham+Campus,+Diversity+and+Inclusion+Programs+Recruiter+Walmart+eCommerce" TargetMode="External"/><Relationship Id="rId4329" Type="http://schemas.openxmlformats.org/officeDocument/2006/relationships/hyperlink" Target="https://www.google.com/search?newwindow=1&amp;ei=2MT0XrvGGM-vytMP1OyDgAY&amp;q=site%3Alinkedin.com+Samantha+Birkel+College+Recruiter+Oracle" TargetMode="External"/><Relationship Id="rId4328" Type="http://schemas.openxmlformats.org/officeDocument/2006/relationships/hyperlink" Target="https://www.google.com/search?newwindow=1&amp;ei=2MT0XrvGGM-vytMP1OyDgAY&amp;q=site%3Alinkedin.com+Bipasa+Singh+University+Recruiter+Walmart+eCommerce" TargetMode="External"/><Relationship Id="rId469" Type="http://schemas.openxmlformats.org/officeDocument/2006/relationships/hyperlink" Target="https://www.google.com/search?newwindow=1&amp;ei=2MT0XrvGGM-vytMP1OyDgAY&amp;q=site%3Alinkedin.com+Deanne+Smith+Staff+Pharmacist" TargetMode="External"/><Relationship Id="rId468" Type="http://schemas.openxmlformats.org/officeDocument/2006/relationships/hyperlink" Target="https://www.google.com/search?newwindow=1&amp;ei=2MT0XrvGGM-vytMP1OyDgAY&amp;q=site%3Alinkedin.com+Maninder+K.+Recruitment+Consultant" TargetMode="External"/><Relationship Id="rId467" Type="http://schemas.openxmlformats.org/officeDocument/2006/relationships/hyperlink" Target="https://www.google.com/search?newwindow=1&amp;ei=2MT0XrvGGM-vytMP1OyDgAY&amp;q=site%3Alinkedin.com+Alex+Thurlow+Recruiter" TargetMode="External"/><Relationship Id="rId1290" Type="http://schemas.openxmlformats.org/officeDocument/2006/relationships/hyperlink" Target="https://www.google.com/search?newwindow=1&amp;ei=2MT0XrvGGM-vytMP1OyDgAY&amp;q=site%3Alinkedin.com+Katie+Howland+Resource+Manager" TargetMode="External"/><Relationship Id="rId1291" Type="http://schemas.openxmlformats.org/officeDocument/2006/relationships/hyperlink" Target="https://www.google.com/search?newwindow=1&amp;ei=2MT0XrvGGM-vytMP1OyDgAY&amp;q=site%3Alinkedin.com+Paige+Kelley+Business+Analyst+Recruiting+Lead" TargetMode="External"/><Relationship Id="rId1292" Type="http://schemas.openxmlformats.org/officeDocument/2006/relationships/hyperlink" Target="https://www.google.com/search?newwindow=1&amp;ei=2MT0XrvGGM-vytMP1OyDgAY&amp;q=site%3Alinkedin.com+Kayley+Istace+Student+Recruiter" TargetMode="External"/><Relationship Id="rId462" Type="http://schemas.openxmlformats.org/officeDocument/2006/relationships/hyperlink" Target="https://www.google.com/search?newwindow=1&amp;ei=2MT0XrvGGM-vytMP1OyDgAY&amp;q=site%3Alinkedin.com+Jeff+Stencel+Team+Lead,+University+Recruiting" TargetMode="External"/><Relationship Id="rId1293" Type="http://schemas.openxmlformats.org/officeDocument/2006/relationships/hyperlink" Target="https://www.google.com/search?newwindow=1&amp;ei=2MT0XrvGGM-vytMP1OyDgAY&amp;q=site%3Alinkedin.com+Emily+Weekes+International+Student+Advisor+&amp;+Recruiter" TargetMode="External"/><Relationship Id="rId461" Type="http://schemas.openxmlformats.org/officeDocument/2006/relationships/hyperlink" Target="https://www.google.com/search?newwindow=1&amp;ei=2MT0XrvGGM-vytMP1OyDgAY&amp;q=site%3Alinkedin.com+Daisy+Hoops+Data+Scientist" TargetMode="External"/><Relationship Id="rId1294" Type="http://schemas.openxmlformats.org/officeDocument/2006/relationships/hyperlink" Target="https://www.google.com/search?newwindow=1&amp;ei=2MT0XrvGGM-vytMP1OyDgAY&amp;q=site%3Alinkedin.com+Erica+Chan+Coordinator+of+Student+Recruitment+&amp;+Marketing" TargetMode="External"/><Relationship Id="rId460" Type="http://schemas.openxmlformats.org/officeDocument/2006/relationships/hyperlink" Target="https://www.google.com/search?newwindow=1&amp;ei=2MT0XrvGGM-vytMP1OyDgAY&amp;q=site%3Alinkedin.com+Rebecca+Venner+Campus+Recruiting+Coordinator" TargetMode="External"/><Relationship Id="rId1295" Type="http://schemas.openxmlformats.org/officeDocument/2006/relationships/hyperlink" Target="https://www.google.com/search?newwindow=1&amp;ei=2MT0XrvGGM-vytMP1OyDgAY&amp;q=site%3Alinkedin.com+Katelyn+Major+Student+Recruiter+and+Enrolment+Counsellor" TargetMode="External"/><Relationship Id="rId4321" Type="http://schemas.openxmlformats.org/officeDocument/2006/relationships/hyperlink" Target="https://www.google.com/search?newwindow=1&amp;ei=2MT0XrvGGM-vytMP1OyDgAY&amp;q=site%3Alinkedin.com+Andrea+Kelley+Campus+Recruiter+Oracle" TargetMode="External"/><Relationship Id="rId1296" Type="http://schemas.openxmlformats.org/officeDocument/2006/relationships/hyperlink" Target="https://www.google.com/search?newwindow=1&amp;ei=2MT0XrvGGM-vytMP1OyDgAY&amp;q=site%3Alinkedin.com+Kendra+Strong-Garcia+Manager+Student+Experience" TargetMode="External"/><Relationship Id="rId4320" Type="http://schemas.openxmlformats.org/officeDocument/2006/relationships/hyperlink" Target="https://www.google.com/search?newwindow=1&amp;ei=2MT0XrvGGM-vytMP1OyDgAY&amp;q=site%3Alinkedin.com+Jessica+Lockard+Campus+Recruiting+Manager+Walmart" TargetMode="External"/><Relationship Id="rId466" Type="http://schemas.openxmlformats.org/officeDocument/2006/relationships/hyperlink" Target="https://www.google.com/search?newwindow=1&amp;ei=2MT0XrvGGM-vytMP1OyDgAY&amp;q=site%3Alinkedin.com+YIRAN+LIU+Campus+Recruiter" TargetMode="External"/><Relationship Id="rId1297" Type="http://schemas.openxmlformats.org/officeDocument/2006/relationships/hyperlink" Target="https://www.google.com/search?newwindow=1&amp;ei=2MT0XrvGGM-vytMP1OyDgAY&amp;q=site%3Alinkedin.com+Victoria+Johnson+Student+Engagement+Programs+Coordinator" TargetMode="External"/><Relationship Id="rId4323" Type="http://schemas.openxmlformats.org/officeDocument/2006/relationships/hyperlink" Target="https://www.google.com/search?newwindow=1&amp;ei=2MT0XrvGGM-vytMP1OyDgAY&amp;q=site%3Alinkedin.com+Ali+Brooks+Senior+College+Recruiter+Oracle" TargetMode="External"/><Relationship Id="rId465" Type="http://schemas.openxmlformats.org/officeDocument/2006/relationships/hyperlink" Target="https://www.google.com/search?newwindow=1&amp;ei=2MT0XrvGGM-vytMP1OyDgAY&amp;q=site%3Alinkedin.com+Grant+Cullen+Member+of+University+Court" TargetMode="External"/><Relationship Id="rId1298" Type="http://schemas.openxmlformats.org/officeDocument/2006/relationships/hyperlink" Target="https://www.google.com/search?newwindow=1&amp;ei=2MT0XrvGGM-vytMP1OyDgAY&amp;q=site%3Alinkedin.com+Pamela+Osmond-Johnson+Associate+Dean,+Student+Services+and+Undergraduate+Programs" TargetMode="External"/><Relationship Id="rId4322" Type="http://schemas.openxmlformats.org/officeDocument/2006/relationships/hyperlink" Target="https://www.google.com/search?newwindow=1&amp;ei=2MT0XrvGGM-vytMP1OyDgAY&amp;q=site%3Alinkedin.com+Hayley+Biason+Campus+Recruiter+Walmart+eCommerce" TargetMode="External"/><Relationship Id="rId464" Type="http://schemas.openxmlformats.org/officeDocument/2006/relationships/hyperlink" Target="https://www.google.com/search?newwindow=1&amp;ei=2MT0XrvGGM-vytMP1OyDgAY&amp;q=site%3Alinkedin.com+Toby+Beveridge+Student+Recruitment+Manager+at+Edinburgh+Law+School,+the+University+of+Edinburgh" TargetMode="External"/><Relationship Id="rId1299" Type="http://schemas.openxmlformats.org/officeDocument/2006/relationships/hyperlink" Target="https://www.google.com/search?newwindow=1&amp;ei=2MT0XrvGGM-vytMP1OyDgAY&amp;q=site%3Alinkedin.com+Stephanie+Paul+Director,+Campus+Recruiting" TargetMode="External"/><Relationship Id="rId4325" Type="http://schemas.openxmlformats.org/officeDocument/2006/relationships/hyperlink" Target="https://www.google.com/search?newwindow=1&amp;ei=2MT0XrvGGM-vytMP1OyDgAY&amp;q=site%3Alinkedin.com+Michelle+Bilodeau+College+Recruiter+Oracle" TargetMode="External"/><Relationship Id="rId463" Type="http://schemas.openxmlformats.org/officeDocument/2006/relationships/hyperlink" Target="https://www.google.com/search?newwindow=1&amp;ei=2MT0XrvGGM-vytMP1OyDgAY&amp;q=site%3Alinkedin.com+Margarita+L+Arana+S+Advisor+-+Recruiter" TargetMode="External"/><Relationship Id="rId4324" Type="http://schemas.openxmlformats.org/officeDocument/2006/relationships/hyperlink" Target="https://www.google.com/search?newwindow=1&amp;ei=2MT0XrvGGM-vytMP1OyDgAY&amp;q=site%3Alinkedin.com+Nicole+Nunno+Campus+Recruiter+Walmart+eCommerce" TargetMode="External"/><Relationship Id="rId4316" Type="http://schemas.openxmlformats.org/officeDocument/2006/relationships/hyperlink" Target="https://www.google.com/search?newwindow=1&amp;ei=2MT0XrvGGM-vytMP1OyDgAY&amp;q=site%3Alinkedin.com+Allison+Atwell+Program+Manager,+Campus+Recruiting,+Diversity+Initiatives+Walmart" TargetMode="External"/><Relationship Id="rId4315" Type="http://schemas.openxmlformats.org/officeDocument/2006/relationships/hyperlink" Target="https://www.google.com/search?newwindow=1&amp;ei=2MT0XrvGGM-vytMP1OyDgAY&amp;q=site%3Alinkedin.com+Tori+Tanner+Campus+Recruiter+Oliver+Wyman" TargetMode="External"/><Relationship Id="rId4318" Type="http://schemas.openxmlformats.org/officeDocument/2006/relationships/hyperlink" Target="https://www.google.com/search?newwindow=1&amp;ei=2MT0XrvGGM-vytMP1OyDgAY&amp;q=site%3Alinkedin.com+Kevin+Rose+Senior+Manager,+Campus+Recruiting+Walmart" TargetMode="External"/><Relationship Id="rId4317" Type="http://schemas.openxmlformats.org/officeDocument/2006/relationships/hyperlink" Target="https://www.google.com/search?newwindow=1&amp;ei=2MT0XrvGGM-vytMP1OyDgAY&amp;q=site%3Alinkedin.com+Lia+Pizoli+College+Recruiter+Oracle" TargetMode="External"/><Relationship Id="rId4319" Type="http://schemas.openxmlformats.org/officeDocument/2006/relationships/hyperlink" Target="https://www.google.com/search?newwindow=1&amp;ei=2MT0XrvGGM-vytMP1OyDgAY&amp;q=site%3Alinkedin.com+Roxy+Wolfe+Campus+Recruiter+Oracle" TargetMode="External"/><Relationship Id="rId459" Type="http://schemas.openxmlformats.org/officeDocument/2006/relationships/hyperlink" Target="https://www.google.com/search?newwindow=1&amp;ei=2MT0XrvGGM-vytMP1OyDgAY&amp;q=site%3Alinkedin.com+Joseph+Ellis+Associate+Recruiter" TargetMode="External"/><Relationship Id="rId458" Type="http://schemas.openxmlformats.org/officeDocument/2006/relationships/hyperlink" Target="https://www.google.com/search?newwindow=1&amp;ei=2MT0XrvGGM-vytMP1OyDgAY&amp;q=site%3Alinkedin.com+Julie+Benner+Campus+Recruiting+Manager" TargetMode="External"/><Relationship Id="rId457" Type="http://schemas.openxmlformats.org/officeDocument/2006/relationships/hyperlink" Target="https://www.google.com/search?newwindow=1&amp;ei=2MT0XrvGGM-vytMP1OyDgAY&amp;q=site%3Alinkedin.com+Jamie+Murphy+Campus+Recruiting+Coordinator" TargetMode="External"/><Relationship Id="rId456" Type="http://schemas.openxmlformats.org/officeDocument/2006/relationships/hyperlink" Target="https://www.google.com/search?newwindow=1&amp;ei=2MT0XrvGGM-vytMP1OyDgAY&amp;q=site%3Alinkedin.com+Lauren+Cheesewright+Senior+Graduate+Recruiter+-+EU+Operations+&amp;+Logistics" TargetMode="External"/><Relationship Id="rId1280" Type="http://schemas.openxmlformats.org/officeDocument/2006/relationships/hyperlink" Target="https://www.google.com/search?newwindow=1&amp;ei=2MT0XrvGGM-vytMP1OyDgAY&amp;q=site%3Alinkedin.com+Rebecca+Dawson+Student+Recruiter+&amp;+Advisor" TargetMode="External"/><Relationship Id="rId1281" Type="http://schemas.openxmlformats.org/officeDocument/2006/relationships/hyperlink" Target="https://www.google.com/search?newwindow=1&amp;ei=2MT0XrvGGM-vytMP1OyDgAY&amp;q=site%3Alinkedin.com+Freya+Qi+International+Recruiter+and+Student+Advisor" TargetMode="External"/><Relationship Id="rId451" Type="http://schemas.openxmlformats.org/officeDocument/2006/relationships/hyperlink" Target="https://www.google.com/search?newwindow=1&amp;ei=2MT0XrvGGM-vytMP1OyDgAY&amp;q=site%3Alinkedin.com+Natalie+Nunnold+Senior+Campus+Recruiting+Specialist" TargetMode="External"/><Relationship Id="rId1282" Type="http://schemas.openxmlformats.org/officeDocument/2006/relationships/hyperlink" Target="https://www.google.com/search?newwindow=1&amp;ei=2MT0XrvGGM-vytMP1OyDgAY&amp;q=site%3Alinkedin.com+Shannon+MacKay+Indigenous+Student+Recruiter" TargetMode="External"/><Relationship Id="rId450" Type="http://schemas.openxmlformats.org/officeDocument/2006/relationships/hyperlink" Target="https://www.google.com/search?newwindow=1&amp;ei=2MT0XrvGGM-vytMP1OyDgAY&amp;q=site%3Alinkedin.com+Molly+Martin+Senior+Campus+Recruiting+Specialist" TargetMode="External"/><Relationship Id="rId1283" Type="http://schemas.openxmlformats.org/officeDocument/2006/relationships/hyperlink" Target="https://www.google.com/search?newwindow=1&amp;ei=2MT0XrvGGM-vytMP1OyDgAY&amp;q=site%3Alinkedin.com+Abigail+Murray+MA,+LAC,+NCC+Campus+Recruiting" TargetMode="External"/><Relationship Id="rId1284" Type="http://schemas.openxmlformats.org/officeDocument/2006/relationships/hyperlink" Target="https://www.google.com/search?newwindow=1&amp;ei=2MT0XrvGGM-vytMP1OyDgAY&amp;q=site%3Alinkedin.com+Meg+Struble+National+Consulting+Campus+Recruiting+Lead,+Assistant+Director" TargetMode="External"/><Relationship Id="rId4310" Type="http://schemas.openxmlformats.org/officeDocument/2006/relationships/hyperlink" Target="https://www.google.com/search?newwindow=1&amp;ei=2MT0XrvGGM-vytMP1OyDgAY&amp;q=site%3Alinkedin.com+Monica+Hutchinson+Campus+Recruiter+Walmart" TargetMode="External"/><Relationship Id="rId1285" Type="http://schemas.openxmlformats.org/officeDocument/2006/relationships/hyperlink" Target="https://www.google.com/search?newwindow=1&amp;ei=2MT0XrvGGM-vytMP1OyDgAY&amp;q=site%3Alinkedin.com+Lis+Miller+Campus+Recruiting+Specialist" TargetMode="External"/><Relationship Id="rId455" Type="http://schemas.openxmlformats.org/officeDocument/2006/relationships/hyperlink" Target="https://www.google.com/search?newwindow=1&amp;ei=2MT0XrvGGM-vytMP1OyDgAY&amp;q=site%3Alinkedin.com+Lisa+Francisco+National+Manager,+Campus+Recruiting+&amp;+University+Relations" TargetMode="External"/><Relationship Id="rId1286" Type="http://schemas.openxmlformats.org/officeDocument/2006/relationships/hyperlink" Target="https://www.google.com/search?newwindow=1&amp;ei=2MT0XrvGGM-vytMP1OyDgAY&amp;q=site%3Alinkedin.com+McKay+Luu+Recruiting+and+Admissions+Officer" TargetMode="External"/><Relationship Id="rId4312" Type="http://schemas.openxmlformats.org/officeDocument/2006/relationships/hyperlink" Target="https://www.google.com/search?newwindow=1&amp;ei=2MT0XrvGGM-vytMP1OyDgAY&amp;q=site%3Alinkedin.com+Kristin+McCarter+Campus+Recruiter+Walmart" TargetMode="External"/><Relationship Id="rId454" Type="http://schemas.openxmlformats.org/officeDocument/2006/relationships/hyperlink" Target="https://www.google.com/search?newwindow=1&amp;ei=2MT0XrvGGM-vytMP1OyDgAY&amp;q=site%3Alinkedin.com+Jennifer+N.+Campus+Recruiting" TargetMode="External"/><Relationship Id="rId1287" Type="http://schemas.openxmlformats.org/officeDocument/2006/relationships/hyperlink" Target="https://www.google.com/search?newwindow=1&amp;ei=2MT0XrvGGM-vytMP1OyDgAY&amp;q=site%3Alinkedin.com+Myrna+Kelly+Assistant+to+Global+Heads+of+Diversity+and+Campus+Recruiting" TargetMode="External"/><Relationship Id="rId4311" Type="http://schemas.openxmlformats.org/officeDocument/2006/relationships/hyperlink" Target="https://www.google.com/search?newwindow=1&amp;ei=2MT0XrvGGM-vytMP1OyDgAY&amp;q=site%3Alinkedin.com+Jamie+Lockwood+University+Recruiter+NVIDIA" TargetMode="External"/><Relationship Id="rId453" Type="http://schemas.openxmlformats.org/officeDocument/2006/relationships/hyperlink" Target="https://www.google.com/search?newwindow=1&amp;ei=2MT0XrvGGM-vytMP1OyDgAY&amp;q=site%3Alinkedin.com+Sara+Condino+Campus+Recruiting+Manager" TargetMode="External"/><Relationship Id="rId1288" Type="http://schemas.openxmlformats.org/officeDocument/2006/relationships/hyperlink" Target="https://www.google.com/search?newwindow=1&amp;ei=2MT0XrvGGM-vytMP1OyDgAY&amp;q=site%3Alinkedin.com+Arlene+S.+Transaction+Services+/+Advisory+Campus+Recruiting" TargetMode="External"/><Relationship Id="rId4314" Type="http://schemas.openxmlformats.org/officeDocument/2006/relationships/hyperlink" Target="https://www.google.com/search?newwindow=1&amp;ei=2MT0XrvGGM-vytMP1OyDgAY&amp;q=site%3Alinkedin.com+Deanne+Smith+Regional+Manager,+Healthcare+Recruiting+&amp;+Campus+Relations+Walmart" TargetMode="External"/><Relationship Id="rId452" Type="http://schemas.openxmlformats.org/officeDocument/2006/relationships/hyperlink" Target="https://www.google.com/search?newwindow=1&amp;ei=2MT0XrvGGM-vytMP1OyDgAY&amp;q=site%3Alinkedin.com+Gail+Lewis-Kelley+Campus+Recruiting+Manager" TargetMode="External"/><Relationship Id="rId1289" Type="http://schemas.openxmlformats.org/officeDocument/2006/relationships/hyperlink" Target="https://www.google.com/search?newwindow=1&amp;ei=2MT0XrvGGM-vytMP1OyDgAY&amp;q=site%3Alinkedin.com+Jane+Duckworth+Student+Recruitment+and+Marketing+Team+Leader+at+Edge+Hill+University" TargetMode="External"/><Relationship Id="rId4313" Type="http://schemas.openxmlformats.org/officeDocument/2006/relationships/hyperlink" Target="https://www.google.com/search?newwindow=1&amp;ei=2MT0XrvGGM-vytMP1OyDgAY&amp;q=site%3Alinkedin.com+Johanna+Lambert+Senior+Campus+Recruiter+Oliver+Wyman" TargetMode="External"/><Relationship Id="rId3018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4349" Type="http://schemas.openxmlformats.org/officeDocument/2006/relationships/hyperlink" Target="https://www.google.com/search?newwindow=1&amp;ei=2MT0XrvGGM-vytMP1OyDgAY&amp;q=site%3Alinkedin.com+Lila+Haffey+MBA+Campus+Recruiter+Wayfair" TargetMode="External"/><Relationship Id="rId3017" Type="http://schemas.openxmlformats.org/officeDocument/2006/relationships/hyperlink" Target="https://www.google.com/search?newwindow=1&amp;ei=2MT0XrvGGM-vytMP1OyDgAY&amp;q=site%3Alinkedin.com+Michelle+Figi+UX+Intern+Recruiter+Google" TargetMode="External"/><Relationship Id="rId4348" Type="http://schemas.openxmlformats.org/officeDocument/2006/relationships/hyperlink" Target="https://www.google.com/search?newwindow=1&amp;ei=2MT0XrvGGM-vytMP1OyDgAY&amp;q=site%3Alinkedin.com+Iris+Lin+University+Recruiter+PayPal" TargetMode="External"/><Relationship Id="rId3019" Type="http://schemas.openxmlformats.org/officeDocument/2006/relationships/hyperlink" Target="https://www.google.com/search?newwindow=1&amp;ei=2MT0XrvGGM-vytMP1OyDgAY&amp;q=site%3Alinkedin.com+Crystal+Jenkins+University+Graduate+Recruiter+Google" TargetMode="External"/><Relationship Id="rId491" Type="http://schemas.openxmlformats.org/officeDocument/2006/relationships/hyperlink" Target="https://www.google.com/search?newwindow=1&amp;ei=2MT0XrvGGM-vytMP1OyDgAY&amp;q=site%3Alinkedin.com+Rebecca+Nagel+Associate+Dean+(Student+Programs),+Faculty+of+Arts" TargetMode="External"/><Relationship Id="rId490" Type="http://schemas.openxmlformats.org/officeDocument/2006/relationships/hyperlink" Target="https://www.google.com/search?newwindow=1&amp;ei=2MT0XrvGGM-vytMP1OyDgAY&amp;q=site%3Alinkedin.com+John+Jones+Rec+Tec+I+-+River+Valley+Programs" TargetMode="External"/><Relationship Id="rId489" Type="http://schemas.openxmlformats.org/officeDocument/2006/relationships/hyperlink" Target="https://www.google.com/search?newwindow=1&amp;ei=2MT0XrvGGM-vytMP1OyDgAY&amp;q=site%3Alinkedin.com+Dallyce+Bialowas+Director+of+Programs+and+Student+Services" TargetMode="External"/><Relationship Id="rId484" Type="http://schemas.openxmlformats.org/officeDocument/2006/relationships/hyperlink" Target="https://www.google.com/search?newwindow=1&amp;ei=2MT0XrvGGM-vytMP1OyDgAY&amp;q=site%3Alinkedin.com+Brooke+Davis+Student+Recruiter" TargetMode="External"/><Relationship Id="rId3010" Type="http://schemas.openxmlformats.org/officeDocument/2006/relationships/hyperlink" Target="https://www.google.com/search?newwindow=1&amp;ei=2MT0XrvGGM-vytMP1OyDgAY&amp;q=site%3Alinkedin.com+Keanna+Carter+University+Tech+Recruiter+Google" TargetMode="External"/><Relationship Id="rId4341" Type="http://schemas.openxmlformats.org/officeDocument/2006/relationships/hyperlink" Target="https://www.google.com/search?newwindow=1&amp;ei=2MT0XrvGGM-vytMP1OyDgAY&amp;q=site%3Alinkedin.com+A.J.+Perez+College+Recruiter+Oracle" TargetMode="External"/><Relationship Id="rId483" Type="http://schemas.openxmlformats.org/officeDocument/2006/relationships/hyperlink" Target="https://www.google.com/search?newwindow=1&amp;ei=2MT0XrvGGM-vytMP1OyDgAY&amp;q=site%3Alinkedin.com+Adam+Jamal+Human+Resources+Recruiter+(Summer+Student)" TargetMode="External"/><Relationship Id="rId4340" Type="http://schemas.openxmlformats.org/officeDocument/2006/relationships/hyperlink" Target="https://www.google.com/search?newwindow=1&amp;ei=2MT0XrvGGM-vytMP1OyDgAY&amp;q=site%3Alinkedin.com+Molly+Kemper+Recruiter,+University+Relations+WarnerMedia" TargetMode="External"/><Relationship Id="rId482" Type="http://schemas.openxmlformats.org/officeDocument/2006/relationships/hyperlink" Target="https://www.google.com/search?newwindow=1&amp;ei=2MT0XrvGGM-vytMP1OyDgAY&amp;q=site%3Alinkedin.com+Molly+Garstad+Student+Recruiter" TargetMode="External"/><Relationship Id="rId3012" Type="http://schemas.openxmlformats.org/officeDocument/2006/relationships/hyperlink" Target="https://www.google.com/search?newwindow=1&amp;ei=2MT0XrvGGM-vytMP1OyDgAY&amp;q=site%3Alinkedin.com+Carmen+Cornelius+Cloud+Sales+Recruiter+Google" TargetMode="External"/><Relationship Id="rId4343" Type="http://schemas.openxmlformats.org/officeDocument/2006/relationships/hyperlink" Target="https://www.google.com/search?newwindow=1&amp;ei=2MT0XrvGGM-vytMP1OyDgAY&amp;q=site%3Alinkedin.com+Allyson+Dubois+Oracle+College+Recruiter+Oracle" TargetMode="External"/><Relationship Id="rId481" Type="http://schemas.openxmlformats.org/officeDocument/2006/relationships/hyperlink" Target="https://www.google.com/search?newwindow=1&amp;ei=2MT0XrvGGM-vytMP1OyDgAY&amp;q=site%3Alinkedin.com+Maud+Madsen+National+Student+Recruiter" TargetMode="External"/><Relationship Id="rId3011" Type="http://schemas.openxmlformats.org/officeDocument/2006/relationships/hyperlink" Target="https://www.google.com/search?newwindow=1&amp;ei=2MT0XrvGGM-vytMP1OyDgAY&amp;q=site%3Alinkedin.com+Matt+Breidenbach+University+Programs+Recruiter+Google" TargetMode="External"/><Relationship Id="rId4342" Type="http://schemas.openxmlformats.org/officeDocument/2006/relationships/hyperlink" Target="https://www.google.com/search?newwindow=1&amp;ei=2MT0XrvGGM-vytMP1OyDgAY&amp;q=site%3Alinkedin.com+Maureen+Gilroy+Campus+Recruiting+Manager+Wayfair" TargetMode="External"/><Relationship Id="rId488" Type="http://schemas.openxmlformats.org/officeDocument/2006/relationships/hyperlink" Target="https://www.google.com/search?newwindow=1&amp;ei=2MT0XrvGGM-vytMP1OyDgAY&amp;q=site%3Alinkedin.com+Yonas+B.+Gebrehiwot+PHD+Student" TargetMode="External"/><Relationship Id="rId3014" Type="http://schemas.openxmlformats.org/officeDocument/2006/relationships/hyperlink" Target="https://www.google.com/search?newwindow=1&amp;ei=2MT0XrvGGM-vytMP1OyDgAY&amp;q=site%3Alinkedin.com+Janessa+Harkley+Campus+Recruiter+Dixon+Hughes+Goodman+LLP" TargetMode="External"/><Relationship Id="rId4345" Type="http://schemas.openxmlformats.org/officeDocument/2006/relationships/hyperlink" Target="https://www.google.com/search?newwindow=1&amp;ei=2MT0XrvGGM-vytMP1OyDgAY&amp;q=site%3Alinkedin.com+Kirsten+Cole+University+Recruiter+Oracle" TargetMode="External"/><Relationship Id="rId487" Type="http://schemas.openxmlformats.org/officeDocument/2006/relationships/hyperlink" Target="https://www.google.com/search?newwindow=1&amp;ei=2MT0XrvGGM-vytMP1OyDgAY&amp;q=site%3Alinkedin.com+Scott+Travis+Director,+Research+and+Programs" TargetMode="External"/><Relationship Id="rId3013" Type="http://schemas.openxmlformats.org/officeDocument/2006/relationships/hyperlink" Target="https://www.google.com/search?newwindow=1&amp;ei=2MT0XrvGGM-vytMP1OyDgAY&amp;q=site%3Alinkedin.com+Lauren+Urbanski+University+Recruiter+Google" TargetMode="External"/><Relationship Id="rId4344" Type="http://schemas.openxmlformats.org/officeDocument/2006/relationships/hyperlink" Target="https://www.google.com/search?newwindow=1&amp;ei=2MT0XrvGGM-vytMP1OyDgAY&amp;q=site%3Alinkedin.com+Monica+Baldwin+Recruiting+Manager,+Campus+&amp;+Programmatic+Hiring+(Manager-Level+Hiring)+Wayfair" TargetMode="External"/><Relationship Id="rId486" Type="http://schemas.openxmlformats.org/officeDocument/2006/relationships/hyperlink" Target="https://www.google.com/search?newwindow=1&amp;ei=2MT0XrvGGM-vytMP1OyDgAY&amp;q=site%3Alinkedin.com+Kristy+Wuetherick+Senior+Officer,+Student+Programs+and+Services,+Faculty+of+Arts" TargetMode="External"/><Relationship Id="rId3016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4347" Type="http://schemas.openxmlformats.org/officeDocument/2006/relationships/hyperlink" Target="https://www.google.com/search?newwindow=1&amp;ei=2MT0XrvGGM-vytMP1OyDgAY&amp;q=site%3Alinkedin.com+Ali+Bradley+Campus+Recruiter+Wayfair" TargetMode="External"/><Relationship Id="rId485" Type="http://schemas.openxmlformats.org/officeDocument/2006/relationships/hyperlink" Target="https://www.google.com/search?newwindow=1&amp;ei=2MT0XrvGGM-vytMP1OyDgAY&amp;q=site%3Alinkedin.com+Cindy+Kennedy+Talent+Coordinator,+Associate+and+Student+Programs" TargetMode="External"/><Relationship Id="rId3015" Type="http://schemas.openxmlformats.org/officeDocument/2006/relationships/hyperlink" Target="https://www.google.com/search?newwindow=1&amp;ei=2MT0XrvGGM-vytMP1OyDgAY&amp;q=site%3Alinkedin.com+Hayley+Roe+University+Recruiter+Google" TargetMode="External"/><Relationship Id="rId4346" Type="http://schemas.openxmlformats.org/officeDocument/2006/relationships/hyperlink" Target="https://www.google.com/search?newwindow=1&amp;ei=2MT0XrvGGM-vytMP1OyDgAY&amp;q=site%3Alinkedin.com+Catherine+Martin+Senior+Campus+Recruiter+Wayfair" TargetMode="External"/><Relationship Id="rId3007" Type="http://schemas.openxmlformats.org/officeDocument/2006/relationships/hyperlink" Target="https://www.google.com/search?newwindow=1&amp;ei=2MT0XrvGGM-vytMP1OyDgAY&amp;q=site%3Alinkedin.com+Chloe+Mercado+University+Relations+Recruiter+Dish+Network" TargetMode="External"/><Relationship Id="rId4338" Type="http://schemas.openxmlformats.org/officeDocument/2006/relationships/hyperlink" Target="https://www.google.com/search?newwindow=1&amp;ei=2MT0XrvGGM-vytMP1OyDgAY&amp;q=site%3Alinkedin.com+Dionna+Walker+Recruiter,+University+Relations+WarnerMedia" TargetMode="External"/><Relationship Id="rId3006" Type="http://schemas.openxmlformats.org/officeDocument/2006/relationships/hyperlink" Target="https://www.google.com/search?newwindow=1&amp;ei=2MT0XrvGGM-vytMP1OyDgAY&amp;q=site%3Alinkedin.com+Christine+Ganevsky+Campus+Recruiter+Goldman+Sachs" TargetMode="External"/><Relationship Id="rId4337" Type="http://schemas.openxmlformats.org/officeDocument/2006/relationships/hyperlink" Target="https://www.google.com/search?newwindow=1&amp;ei=2MT0XrvGGM-vytMP1OyDgAY&amp;q=site%3Alinkedin.com+Lauren+Martinez+College+Recruiter+Oracle" TargetMode="External"/><Relationship Id="rId3009" Type="http://schemas.openxmlformats.org/officeDocument/2006/relationships/hyperlink" Target="https://www.google.com/search?newwindow=1&amp;ei=2MT0XrvGGM-vytMP1OyDgAY&amp;q=site%3Alinkedin.com+Demi+Evans+University+Relations+Recruiter+Dish+Network" TargetMode="External"/><Relationship Id="rId3008" Type="http://schemas.openxmlformats.org/officeDocument/2006/relationships/hyperlink" Target="https://www.google.com/search?newwindow=1&amp;ei=2MT0XrvGGM-vytMP1OyDgAY&amp;q=site%3Alinkedin.com+Rob+Georgiefski+University+Recruiter,+Tech+Google" TargetMode="External"/><Relationship Id="rId4339" Type="http://schemas.openxmlformats.org/officeDocument/2006/relationships/hyperlink" Target="https://www.google.com/search?newwindow=1&amp;ei=2MT0XrvGGM-vytMP1OyDgAY&amp;q=site%3Alinkedin.com+Sophie+Jenkins+College+Recruiter+Oracle" TargetMode="External"/><Relationship Id="rId480" Type="http://schemas.openxmlformats.org/officeDocument/2006/relationships/hyperlink" Target="https://www.google.com/search?newwindow=1&amp;ei=2MT0XrvGGM-vytMP1OyDgAY&amp;q=site%3Alinkedin.com+Trent+Harris+Student+Recruiter,+National+Recruitment" TargetMode="External"/><Relationship Id="rId479" Type="http://schemas.openxmlformats.org/officeDocument/2006/relationships/hyperlink" Target="https://www.google.com/search?newwindow=1&amp;ei=2MT0XrvGGM-vytMP1OyDgAY&amp;q=site%3Alinkedin.com+F%C3%A1tima+Lopes+International+Student+Recruiter/+Agent" TargetMode="External"/><Relationship Id="rId478" Type="http://schemas.openxmlformats.org/officeDocument/2006/relationships/hyperlink" Target="https://www.google.com/search?newwindow=1&amp;ei=2MT0XrvGGM-vytMP1OyDgAY&amp;q=site%3Alinkedin.com+Cassandra+Duffenais+National+Student+Recruiter" TargetMode="External"/><Relationship Id="rId473" Type="http://schemas.openxmlformats.org/officeDocument/2006/relationships/hyperlink" Target="https://www.google.com/search?newwindow=1&amp;ei=2MT0XrvGGM-vytMP1OyDgAY&amp;q=site%3Alinkedin.com+Gillian+L.+Student+Recruiter" TargetMode="External"/><Relationship Id="rId4330" Type="http://schemas.openxmlformats.org/officeDocument/2006/relationships/hyperlink" Target="https://www.google.com/search?newwindow=1&amp;ei=2MT0XrvGGM-vytMP1OyDgAY&amp;q=site%3Alinkedin.com+Allison+D.+Williams+University+Relations+Recruiter+WarnerMedia" TargetMode="External"/><Relationship Id="rId472" Type="http://schemas.openxmlformats.org/officeDocument/2006/relationships/hyperlink" Target="https://www.google.com/search?newwindow=1&amp;ei=2MT0XrvGGM-vytMP1OyDgAY&amp;q=site%3Alinkedin.com+Amanda+Shular+Prospective+Student+Recruiter" TargetMode="External"/><Relationship Id="rId471" Type="http://schemas.openxmlformats.org/officeDocument/2006/relationships/hyperlink" Target="https://www.google.com/search?newwindow=1&amp;ei=2MT0XrvGGM-vytMP1OyDgAY&amp;q=site%3Alinkedin.com+Shuwen+Tian+Student+Recruiter" TargetMode="External"/><Relationship Id="rId3001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+Goldman+Sachs" TargetMode="External"/><Relationship Id="rId4332" Type="http://schemas.openxmlformats.org/officeDocument/2006/relationships/hyperlink" Target="https://www.google.com/search?newwindow=1&amp;ei=2MT0XrvGGM-vytMP1OyDgAY&amp;q=site%3Alinkedin.com+Kameren+Waln+Campus+Recruiter+WarnerMedia" TargetMode="External"/><Relationship Id="rId470" Type="http://schemas.openxmlformats.org/officeDocument/2006/relationships/hyperlink" Target="https://www.google.com/search?newwindow=1&amp;ei=2MT0XrvGGM-vytMP1OyDgAY&amp;q=site%3Alinkedin.com+Shane+Boothe+,+MA,+BEd+Student+Recruiter" TargetMode="External"/><Relationship Id="rId3000" Type="http://schemas.openxmlformats.org/officeDocument/2006/relationships/hyperlink" Target="https://www.google.com/search?newwindow=1&amp;ei=2MT0XrvGGM-vytMP1OyDgAY&amp;q=site%3Alinkedin.com+Mark+McKenzie+Sr.+Campus+Recruiter+Deloitte+Consulting" TargetMode="External"/><Relationship Id="rId4331" Type="http://schemas.openxmlformats.org/officeDocument/2006/relationships/hyperlink" Target="https://www.google.com/search?newwindow=1&amp;ei=2MT0XrvGGM-vytMP1OyDgAY&amp;q=site%3Alinkedin.com+Sherice+Lane+College+Recruiter+Oracle" TargetMode="External"/><Relationship Id="rId477" Type="http://schemas.openxmlformats.org/officeDocument/2006/relationships/hyperlink" Target="https://www.google.com/search?newwindow=1&amp;ei=2MT0XrvGGM-vytMP1OyDgAY&amp;q=site%3Alinkedin.com+Deepeshni+Goundar+International+Student+Recruiter/Agent+Coordinator" TargetMode="External"/><Relationship Id="rId3003" Type="http://schemas.openxmlformats.org/officeDocument/2006/relationships/hyperlink" Target="https://www.google.com/search?newwindow=1&amp;ei=2MT0XrvGGM-vytMP1OyDgAY&amp;q=site%3Alinkedin.com+Lydia+Coffey,+PHR+Analyst,+Campus+Recruiter+Goldman+Sachs" TargetMode="External"/><Relationship Id="rId4334" Type="http://schemas.openxmlformats.org/officeDocument/2006/relationships/hyperlink" Target="https://www.google.com/search?newwindow=1&amp;ei=2MT0XrvGGM-vytMP1OyDgAY&amp;q=site%3Alinkedin.com+Lauren+O'Byrne+Campus+Program+Recruiter+WarnerMedia" TargetMode="External"/><Relationship Id="rId476" Type="http://schemas.openxmlformats.org/officeDocument/2006/relationships/hyperlink" Target="https://www.google.com/search?newwindow=1&amp;ei=2MT0XrvGGM-vytMP1OyDgAY&amp;q=site%3Alinkedin.com+Christian+Ford+Student+Recruiter,+National+(Alberta+and+Saskatchewan)" TargetMode="External"/><Relationship Id="rId3002" Type="http://schemas.openxmlformats.org/officeDocument/2006/relationships/hyperlink" Target="https://www.google.com/search?newwindow=1&amp;ei=2MT0XrvGGM-vytMP1OyDgAY&amp;q=site%3Alinkedin.com+Jennifer+Hadden+Campus+Recruiter+Deutsche+Bank" TargetMode="External"/><Relationship Id="rId4333" Type="http://schemas.openxmlformats.org/officeDocument/2006/relationships/hyperlink" Target="https://www.google.com/search?newwindow=1&amp;ei=2MT0XrvGGM-vytMP1OyDgAY&amp;q=site%3Alinkedin.com+Ralfiel+Wright+University+Recruiter+Oracle" TargetMode="External"/><Relationship Id="rId475" Type="http://schemas.openxmlformats.org/officeDocument/2006/relationships/hyperlink" Target="https://www.google.com/search?newwindow=1&amp;ei=2MT0XrvGGM-vytMP1OyDgAY&amp;q=site%3Alinkedin.com+Victoria+Rissling+Manager,+International+Student+Recruitment" TargetMode="External"/><Relationship Id="rId3005" Type="http://schemas.openxmlformats.org/officeDocument/2006/relationships/hyperlink" Target="https://www.google.com/search?newwindow=1&amp;ei=2MT0XrvGGM-vytMP1OyDgAY&amp;q=site%3Alinkedin.com+Maribel+Velazquez+Engineering+University+Relations+Recruiter+Goldman+Sachs" TargetMode="External"/><Relationship Id="rId4336" Type="http://schemas.openxmlformats.org/officeDocument/2006/relationships/hyperlink" Target="https://www.google.com/search?newwindow=1&amp;ei=2MT0XrvGGM-vytMP1OyDgAY&amp;q=site%3Alinkedin.com+Cynthia+Gomez+Recruiter,+Diversity+Outreach,+Talent+Acquisition+(Communications+&amp;+Marketing)+WarnerMedia" TargetMode="External"/><Relationship Id="rId474" Type="http://schemas.openxmlformats.org/officeDocument/2006/relationships/hyperlink" Target="https://www.google.com/search?newwindow=1&amp;ei=2MT0XrvGGM-vytMP1OyDgAY&amp;q=site%3Alinkedin.com+Eric+Franke+Student+Recruiter" TargetMode="External"/><Relationship Id="rId3004" Type="http://schemas.openxmlformats.org/officeDocument/2006/relationships/hyperlink" Target="https://www.google.com/search?newwindow=1&amp;ei=2MT0XrvGGM-vytMP1OyDgAY&amp;q=site%3Alinkedin.com+Katy+Franklin+Associate+-+Human+Resources+-+Talent+Sourcing+-+Campus+Recruiter+Deutsche+Bank" TargetMode="External"/><Relationship Id="rId4335" Type="http://schemas.openxmlformats.org/officeDocument/2006/relationships/hyperlink" Target="https://www.google.com/search?newwindow=1&amp;ei=2MT0XrvGGM-vytMP1OyDgAY&amp;q=site%3Alinkedin.com+Nicole+Holliman+College+Recruiter+Oracle" TargetMode="External"/><Relationship Id="rId1257" Type="http://schemas.openxmlformats.org/officeDocument/2006/relationships/hyperlink" Target="https://www.google.com/search?newwindow=1&amp;ei=2MT0XrvGGM-vytMP1OyDgAY&amp;q=site%3Alinkedin.com+Bridget+O'Malley+Campus+Recruiting+Associate" TargetMode="External"/><Relationship Id="rId2588" Type="http://schemas.openxmlformats.org/officeDocument/2006/relationships/hyperlink" Target="https://www.google.com/search?newwindow=1&amp;ei=2MT0XrvGGM-vytMP1OyDgAY&amp;q=site%3Alinkedin.com+Leia+Gertos+Campus+Recruiter+EY" TargetMode="External"/><Relationship Id="rId1258" Type="http://schemas.openxmlformats.org/officeDocument/2006/relationships/hyperlink" Target="https://www.google.com/search?newwindow=1&amp;ei=2MT0XrvGGM-vytMP1OyDgAY&amp;q=site%3Alinkedin.com+Alicia+Mucci+(she/her/hers)+Manager,+Campus+Recruiting" TargetMode="External"/><Relationship Id="rId2589" Type="http://schemas.openxmlformats.org/officeDocument/2006/relationships/hyperlink" Target="https://www.google.com/search?newwindow=1&amp;ei=2MT0XrvGGM-vytMP1OyDgAY&amp;q=site%3Alinkedin.com+Mark+Lyden+College+Recruiter+Boeing" TargetMode="External"/><Relationship Id="rId1259" Type="http://schemas.openxmlformats.org/officeDocument/2006/relationships/hyperlink" Target="https://www.google.com/search?newwindow=1&amp;ei=2MT0XrvGGM-vytMP1OyDgAY&amp;q=site%3Alinkedin.com+Kelly+Nolan+Campus+Recruiting+Coordinator" TargetMode="External"/><Relationship Id="rId426" Type="http://schemas.openxmlformats.org/officeDocument/2006/relationships/hyperlink" Target="https://www.google.com/search?newwindow=1&amp;ei=2MT0XrvGGM-vytMP1OyDgAY&amp;q=site%3Alinkedin.com+Tiara+Triplett,+MBA+Campus+Recruiting+Operations+Specialist-+Software+Engineer+Program" TargetMode="External"/><Relationship Id="rId425" Type="http://schemas.openxmlformats.org/officeDocument/2006/relationships/hyperlink" Target="https://www.google.com/search?newwindow=1&amp;ei=2MT0XrvGGM-vytMP1OyDgAY&amp;q=site%3Alinkedin.com+Scott+Dai+Senior+Manager,+Business+Strategy+&amp;+Consulting" TargetMode="External"/><Relationship Id="rId424" Type="http://schemas.openxmlformats.org/officeDocument/2006/relationships/hyperlink" Target="https://www.google.com/search?newwindow=1&amp;ei=2MT0XrvGGM-vytMP1OyDgAY&amp;q=site%3Alinkedin.com+Sarah+Marsh+Firmwide+Campus+Recruiting+Events+Specialist" TargetMode="External"/><Relationship Id="rId423" Type="http://schemas.openxmlformats.org/officeDocument/2006/relationships/hyperlink" Target="https://www.google.com/search?newwindow=1&amp;ei=2MT0XrvGGM-vytMP1OyDgAY&amp;q=site%3Alinkedin.com+Laney+Oaks+Associate,+Investment+Banking+Campus+Recruiting" TargetMode="External"/><Relationship Id="rId429" Type="http://schemas.openxmlformats.org/officeDocument/2006/relationships/hyperlink" Target="https://www.google.com/search?newwindow=1&amp;ei=2MT0XrvGGM-vytMP1OyDgAY&amp;q=site%3Alinkedin.com+Ki'Mii+Sellers,+aPHR+CIB+Campus+Recruiting+Business+Advisor" TargetMode="External"/><Relationship Id="rId428" Type="http://schemas.openxmlformats.org/officeDocument/2006/relationships/hyperlink" Target="https://www.google.com/search?newwindow=1&amp;ei=2MT0XrvGGM-vytMP1OyDgAY&amp;q=site%3Alinkedin.com+Derek+Winkler+People+Advisory+Services+-+Americas+COO+for+Global+Immigration+and+Business+Traveler+Services" TargetMode="External"/><Relationship Id="rId427" Type="http://schemas.openxmlformats.org/officeDocument/2006/relationships/hyperlink" Target="https://www.google.com/search?newwindow=1&amp;ei=2MT0XrvGGM-vytMP1OyDgAY&amp;q=site%3Alinkedin.com+Brighid+Jensen+US+Campus+Recruiting,+Associate+Director+-+Transformation+Project+Leader" TargetMode="External"/><Relationship Id="rId2580" Type="http://schemas.openxmlformats.org/officeDocument/2006/relationships/hyperlink" Target="https://www.google.com/search?newwindow=1&amp;ei=2MT0XrvGGM-vytMP1OyDgAY&amp;q=site%3Alinkedin.com+Catherine+Nolff+Campus+Recruiter+EY" TargetMode="External"/><Relationship Id="rId1250" Type="http://schemas.openxmlformats.org/officeDocument/2006/relationships/hyperlink" Target="https://www.google.com/search?newwindow=1&amp;ei=2MT0XrvGGM-vytMP1OyDgAY&amp;q=site%3Alinkedin.com+Bette+Kozlowski+Director+Campus+Recruiting" TargetMode="External"/><Relationship Id="rId2581" Type="http://schemas.openxmlformats.org/officeDocument/2006/relationships/hyperlink" Target="https://www.google.com/search?newwindow=1&amp;ei=2MT0XrvGGM-vytMP1OyDgAY&amp;q=site%3Alinkedin.com+Ashley+Wodarek+Lead+Technology+Campus+Recruiter+BNY+Mellon" TargetMode="External"/><Relationship Id="rId1251" Type="http://schemas.openxmlformats.org/officeDocument/2006/relationships/hyperlink" Target="https://www.google.com/search?newwindow=1&amp;ei=2MT0XrvGGM-vytMP1OyDgAY&amp;q=site%3Alinkedin.com+Oscar+Ventura+Penalo+Campus+Recruiting" TargetMode="External"/><Relationship Id="rId2582" Type="http://schemas.openxmlformats.org/officeDocument/2006/relationships/hyperlink" Target="https://www.google.com/search?newwindow=1&amp;ei=2MT0XrvGGM-vytMP1OyDgAY&amp;q=site%3Alinkedin.com+Merissa+Medlin+Campus+Recruiter+EY" TargetMode="External"/><Relationship Id="rId1252" Type="http://schemas.openxmlformats.org/officeDocument/2006/relationships/hyperlink" Target="https://www.google.com/search?newwindow=1&amp;ei=2MT0XrvGGM-vytMP1OyDgAY&amp;q=site%3Alinkedin.com+Lisa+Earley+Campus+Recruiting+Coordinator" TargetMode="External"/><Relationship Id="rId2583" Type="http://schemas.openxmlformats.org/officeDocument/2006/relationships/hyperlink" Target="https://www.google.com/search?newwindow=1&amp;ei=2MT0XrvGGM-vytMP1OyDgAY&amp;q=site%3Alinkedin.com+Kristi+Newton+Interim+Global+Head+of+Campus+Recruiting+&amp;+Emerging+Talent+Programs+BNY+Mellon" TargetMode="External"/><Relationship Id="rId422" Type="http://schemas.openxmlformats.org/officeDocument/2006/relationships/hyperlink" Target="https://www.google.com/search?newwindow=1&amp;ei=2MT0XrvGGM-vytMP1OyDgAY&amp;q=site%3Alinkedin.com+Tierra+Carter,+MBA+Campus+Recruiting+Coordinator,+Diversity+&amp;+Early+Engagement+Events" TargetMode="External"/><Relationship Id="rId1253" Type="http://schemas.openxmlformats.org/officeDocument/2006/relationships/hyperlink" Target="https://www.google.com/search?newwindow=1&amp;ei=2MT0XrvGGM-vytMP1OyDgAY&amp;q=site%3Alinkedin.com+Kaitlin+McDermott+Hopkins,+SHRM-SCP+Mid-Atlantic+Campus+Recruiting+Lead+%7C+Senior+Manager" TargetMode="External"/><Relationship Id="rId2584" Type="http://schemas.openxmlformats.org/officeDocument/2006/relationships/hyperlink" Target="https://www.google.com/search?newwindow=1&amp;ei=2MT0XrvGGM-vytMP1OyDgAY&amp;q=site%3Alinkedin.com+Anuj+Patel+Campus+Recruiter+EY" TargetMode="External"/><Relationship Id="rId421" Type="http://schemas.openxmlformats.org/officeDocument/2006/relationships/hyperlink" Target="https://www.google.com/search?newwindow=1&amp;ei=2MT0XrvGGM-vytMP1OyDgAY&amp;q=site%3Alinkedin.com+Lauren+Ward+Senior+Campus+Recruiting+Specialist+-+Consulting" TargetMode="External"/><Relationship Id="rId1254" Type="http://schemas.openxmlformats.org/officeDocument/2006/relationships/hyperlink" Target="https://www.google.com/search?newwindow=1&amp;ei=2MT0XrvGGM-vytMP1OyDgAY&amp;q=site%3Alinkedin.com+Gore+Kamara+Jr.+Campus+Tax+Business+Recruiting+Associate" TargetMode="External"/><Relationship Id="rId2585" Type="http://schemas.openxmlformats.org/officeDocument/2006/relationships/hyperlink" Target="https://www.google.com/search?newwindow=1&amp;ei=2MT0XrvGGM-vytMP1OyDgAY&amp;q=site%3Alinkedin.com+Matthew+Veseleny+Lead+Campus+Recruiter+BNY+Mellon" TargetMode="External"/><Relationship Id="rId420" Type="http://schemas.openxmlformats.org/officeDocument/2006/relationships/hyperlink" Target="https://www.google.com/search?newwindow=1&amp;ei=2MT0XrvGGM-vytMP1OyDgAY&amp;q=site%3Alinkedin.com+Michelle+Bowens,+MBA,+PHR+Diversity+Sourcer,+Firmwide+Campus+Recruiting" TargetMode="External"/><Relationship Id="rId1255" Type="http://schemas.openxmlformats.org/officeDocument/2006/relationships/hyperlink" Target="https://www.google.com/search?newwindow=1&amp;ei=2MT0XrvGGM-vytMP1OyDgAY&amp;q=site%3Alinkedin.com+Melissa+(Uhniat)+Sweeney+Manager,+Experienced+Hire+Recruiting" TargetMode="External"/><Relationship Id="rId2586" Type="http://schemas.openxmlformats.org/officeDocument/2006/relationships/hyperlink" Target="https://www.google.com/search?newwindow=1&amp;ei=2MT0XrvGGM-vytMP1OyDgAY&amp;q=site%3Alinkedin.com+Alyssa+Curl+Campus+Recruiter+EY" TargetMode="External"/><Relationship Id="rId1256" Type="http://schemas.openxmlformats.org/officeDocument/2006/relationships/hyperlink" Target="https://www.google.com/search?newwindow=1&amp;ei=2MT0XrvGGM-vytMP1OyDgAY&amp;q=site%3Alinkedin.com+Porsha+Alexander+Strategy+Campus+Recruiting+Associate+Manager" TargetMode="External"/><Relationship Id="rId2587" Type="http://schemas.openxmlformats.org/officeDocument/2006/relationships/hyperlink" Target="https://www.google.com/search?newwindow=1&amp;ei=2MT0XrvGGM-vytMP1OyDgAY&amp;q=site%3Alinkedin.com+Olivia+Waldron+Global+Program+Manager-+Operations+Campus+Analyst+Program+BNY+Mellon" TargetMode="External"/><Relationship Id="rId1246" Type="http://schemas.openxmlformats.org/officeDocument/2006/relationships/hyperlink" Target="https://www.google.com/search?newwindow=1&amp;ei=2MT0XrvGGM-vytMP1OyDgAY&amp;q=site%3Alinkedin.com+Chris+D.+Vice+President,+NAMR+Campus+Recruiting+Ops+Manager" TargetMode="External"/><Relationship Id="rId2577" Type="http://schemas.openxmlformats.org/officeDocument/2006/relationships/hyperlink" Target="https://www.google.com/search?newwindow=1&amp;ei=2MT0XrvGGM-vytMP1OyDgAY&amp;q=site%3Alinkedin.com+Erin+Green+Campus+Recruiting+Manager+EY" TargetMode="External"/><Relationship Id="rId1247" Type="http://schemas.openxmlformats.org/officeDocument/2006/relationships/hyperlink" Target="https://www.google.com/search?newwindow=1&amp;ei=2MT0XrvGGM-vytMP1OyDgAY&amp;q=site%3Alinkedin.com+Mary+Bongart+Campus+Recruiter" TargetMode="External"/><Relationship Id="rId2578" Type="http://schemas.openxmlformats.org/officeDocument/2006/relationships/hyperlink" Target="https://www.google.com/search?newwindow=1&amp;ei=2MT0XrvGGM-vytMP1OyDgAY&amp;q=site%3Alinkedin.com+Jeena+Park+Engineering+Campus+Recruiter+Bloomberg+LP" TargetMode="External"/><Relationship Id="rId1248" Type="http://schemas.openxmlformats.org/officeDocument/2006/relationships/hyperlink" Target="https://www.google.com/search?newwindow=1&amp;ei=2MT0XrvGGM-vytMP1OyDgAY&amp;q=site%3Alinkedin.com+Melyssa+Rothstein+Campus+Recruiting+Coordinator" TargetMode="External"/><Relationship Id="rId2579" Type="http://schemas.openxmlformats.org/officeDocument/2006/relationships/hyperlink" Target="https://www.google.com/search?newwindow=1&amp;ei=2MT0XrvGGM-vytMP1OyDgAY&amp;q=site%3Alinkedin.com+Ella+Ryan+Campus+Recruiter+EY" TargetMode="External"/><Relationship Id="rId1249" Type="http://schemas.openxmlformats.org/officeDocument/2006/relationships/hyperlink" Target="https://www.google.com/search?newwindow=1&amp;ei=2MT0XrvGGM-vytMP1OyDgAY&amp;q=site%3Alinkedin.com+Jessica+Cracchiolo+Firmwide+Diversity+Campus+Recruiting" TargetMode="External"/><Relationship Id="rId415" Type="http://schemas.openxmlformats.org/officeDocument/2006/relationships/hyperlink" Target="https://www.google.com/search?newwindow=1&amp;ei=2MT0XrvGGM-vytMP1OyDgAY&amp;q=site%3Alinkedin.com+Megan+Pavalock+Large+Campus+Team+Lead" TargetMode="External"/><Relationship Id="rId414" Type="http://schemas.openxmlformats.org/officeDocument/2006/relationships/hyperlink" Target="https://www.google.com/search?newwindow=1&amp;ei=2MT0XrvGGM-vytMP1OyDgAY&amp;q=site%3Alinkedin.com+Michelle+Ferguson+National+Associate,+Campus+Recruiting+Internal+Operations" TargetMode="External"/><Relationship Id="rId413" Type="http://schemas.openxmlformats.org/officeDocument/2006/relationships/hyperlink" Target="https://www.google.com/search?newwindow=1&amp;ei=2MT0XrvGGM-vytMP1OyDgAY&amp;q=site%3Alinkedin.com+Taylor+McKamy+Campus+Recruiting+Manager" TargetMode="External"/><Relationship Id="rId412" Type="http://schemas.openxmlformats.org/officeDocument/2006/relationships/hyperlink" Target="https://www.google.com/search?newwindow=1&amp;ei=2MT0XrvGGM-vytMP1OyDgAY&amp;q=site%3Alinkedin.com+Amy+Droz+Lead+Campus+Recruiting+Specialist,+Deloitte+Consulting+LLP" TargetMode="External"/><Relationship Id="rId419" Type="http://schemas.openxmlformats.org/officeDocument/2006/relationships/hyperlink" Target="https://www.google.com/search?newwindow=1&amp;ei=2MT0XrvGGM-vytMP1OyDgAY&amp;q=site%3Alinkedin.com+Jessica+Livon+Campus+Recruiting+Sourcer" TargetMode="External"/><Relationship Id="rId418" Type="http://schemas.openxmlformats.org/officeDocument/2006/relationships/hyperlink" Target="https://www.google.com/search?newwindow=1&amp;ei=2MT0XrvGGM-vytMP1OyDgAY&amp;q=site%3Alinkedin.com+Fredrick+Scott+Americas+Campus+Recruiting+Leader+-+Advisory+Services" TargetMode="External"/><Relationship Id="rId417" Type="http://schemas.openxmlformats.org/officeDocument/2006/relationships/hyperlink" Target="https://www.google.com/search?newwindow=1&amp;ei=2MT0XrvGGM-vytMP1OyDgAY&amp;q=site%3Alinkedin.com+Hanna+Arrington+Senior+Campus+Recruiting+Coordinator" TargetMode="External"/><Relationship Id="rId416" Type="http://schemas.openxmlformats.org/officeDocument/2006/relationships/hyperlink" Target="https://www.google.com/search?newwindow=1&amp;ei=2MT0XrvGGM-vytMP1OyDgAY&amp;q=site%3Alinkedin.com+Sarah+Jensen+Hasenauer+Regional+Campus+Recruiting+Manager" TargetMode="External"/><Relationship Id="rId2570" Type="http://schemas.openxmlformats.org/officeDocument/2006/relationships/hyperlink" Target="https://www.google.com/search?newwindow=1&amp;ei=2MT0XrvGGM-vytMP1OyDgAY&amp;q=site%3Alinkedin.com+Annie+Kadets+Campus+Recruiter+Bloomberg+LP" TargetMode="External"/><Relationship Id="rId1240" Type="http://schemas.openxmlformats.org/officeDocument/2006/relationships/hyperlink" Target="https://www.google.com/search?newwindow=1&amp;ei=2MT0XrvGGM-vytMP1OyDgAY&amp;q=site%3Alinkedin.com+Hailey+Kaunert+Campus+Recruiting+Associate" TargetMode="External"/><Relationship Id="rId2571" Type="http://schemas.openxmlformats.org/officeDocument/2006/relationships/hyperlink" Target="https://www.google.com/search?newwindow=1&amp;ei=2MT0XrvGGM-vytMP1OyDgAY&amp;q=site%3Alinkedin.com+Jessica+M.+Campus+Recruiter;+Supervising+Associate+EY" TargetMode="External"/><Relationship Id="rId1241" Type="http://schemas.openxmlformats.org/officeDocument/2006/relationships/hyperlink" Target="https://www.google.com/search?newwindow=1&amp;ei=2MT0XrvGGM-vytMP1OyDgAY&amp;q=site%3Alinkedin.com+Allison+Monkman+Campus+Recruiting+Senior+Associate" TargetMode="External"/><Relationship Id="rId2572" Type="http://schemas.openxmlformats.org/officeDocument/2006/relationships/hyperlink" Target="https://www.google.com/search?newwindow=1&amp;ei=2MT0XrvGGM-vytMP1OyDgAY&amp;q=site%3Alinkedin.com+Alexa+Perrelli+Engineering+Campus+Recruiter+Bloomberg+LP" TargetMode="External"/><Relationship Id="rId411" Type="http://schemas.openxmlformats.org/officeDocument/2006/relationships/hyperlink" Target="https://www.google.com/search?newwindow=1&amp;ei=2MT0XrvGGM-vytMP1OyDgAY&amp;q=site%3Alinkedin.com+Brittany+Almendrales+Campus+Recruiting+Coordinator" TargetMode="External"/><Relationship Id="rId1242" Type="http://schemas.openxmlformats.org/officeDocument/2006/relationships/hyperlink" Target="https://www.google.com/search?newwindow=1&amp;ei=2MT0XrvGGM-vytMP1OyDgAY&amp;q=site%3Alinkedin.com+Emilie+Patterson+Campus+Recruiting+Specialist" TargetMode="External"/><Relationship Id="rId2573" Type="http://schemas.openxmlformats.org/officeDocument/2006/relationships/hyperlink" Target="https://www.google.com/search?newwindow=1&amp;ei=2MT0XrvGGM-vytMP1OyDgAY&amp;q=site%3Alinkedin.com+Yasmin+Xavier+Campus+Recruiter+EY" TargetMode="External"/><Relationship Id="rId410" Type="http://schemas.openxmlformats.org/officeDocument/2006/relationships/hyperlink" Target="https://www.google.com/search?newwindow=1&amp;ei=2MT0XrvGGM-vytMP1OyDgAY&amp;q=site%3Alinkedin.com+Lewis+Omboga+Campus+Recruiting+Sourcer" TargetMode="External"/><Relationship Id="rId1243" Type="http://schemas.openxmlformats.org/officeDocument/2006/relationships/hyperlink" Target="https://www.google.com/search?newwindow=1&amp;ei=2MT0XrvGGM-vytMP1OyDgAY&amp;q=site%3Alinkedin.com+Robert+Leonetti,+MBA+MFC+BA+Portfolio+Team+Lead+-+Talent+Acquisition+-+University+Relations+&amp;+Recruitment+Partner" TargetMode="External"/><Relationship Id="rId2574" Type="http://schemas.openxmlformats.org/officeDocument/2006/relationships/hyperlink" Target="https://www.google.com/search?newwindow=1&amp;ei=2MT0XrvGGM-vytMP1OyDgAY&amp;q=site%3Alinkedin.com+Brittany+Rodriguez+Campus+Recruiter+Bloomberg+LP" TargetMode="External"/><Relationship Id="rId1244" Type="http://schemas.openxmlformats.org/officeDocument/2006/relationships/hyperlink" Target="https://www.google.com/search?newwindow=1&amp;ei=2MT0XrvGGM-vytMP1OyDgAY&amp;q=site%3Alinkedin.com+Kristen+Spiridon+Campus+Recruiting" TargetMode="External"/><Relationship Id="rId2575" Type="http://schemas.openxmlformats.org/officeDocument/2006/relationships/hyperlink" Target="https://www.google.com/search?newwindow=1&amp;ei=2MT0XrvGGM-vytMP1OyDgAY&amp;q=site%3Alinkedin.com+Lorene+Santos+Rabelo+Campus+Recruiter+EY" TargetMode="External"/><Relationship Id="rId1245" Type="http://schemas.openxmlformats.org/officeDocument/2006/relationships/hyperlink" Target="https://www.google.com/search?newwindow=1&amp;ei=2MT0XrvGGM-vytMP1OyDgAY&amp;q=site%3Alinkedin.com+Alexandra+Barbacane+Campus+Recruiting" TargetMode="External"/><Relationship Id="rId2576" Type="http://schemas.openxmlformats.org/officeDocument/2006/relationships/hyperlink" Target="https://www.google.com/search?newwindow=1&amp;ei=2MT0XrvGGM-vytMP1OyDgAY&amp;q=site%3Alinkedin.com+Jordan+Allison+Campus+Recruiter+Bloomberg+LP" TargetMode="External"/><Relationship Id="rId1279" Type="http://schemas.openxmlformats.org/officeDocument/2006/relationships/hyperlink" Target="https://www.google.com/search?newwindow=1&amp;ei=2MT0XrvGGM-vytMP1OyDgAY&amp;q=site%3Alinkedin.com+Kassie+'Schlegel'+Plummer,+CPA+Missouri+Market+Campus+Recruiting+Manager" TargetMode="External"/><Relationship Id="rId4305" Type="http://schemas.openxmlformats.org/officeDocument/2006/relationships/hyperlink" Target="https://www.google.com/search?newwindow=1&amp;ei=2MT0XrvGGM-vytMP1OyDgAY&amp;q=site%3Alinkedin.com+Eric+Vargas+University+Recruiter+NVIDIA" TargetMode="External"/><Relationship Id="rId4304" Type="http://schemas.openxmlformats.org/officeDocument/2006/relationships/hyperlink" Target="https://www.google.com/search?newwindow=1&amp;ei=2MT0XrvGGM-vytMP1OyDgAY&amp;q=site%3Alinkedin.com+Renee+MacCabe+Campus+Relations+Recruiter+Wal-Mart" TargetMode="External"/><Relationship Id="rId4307" Type="http://schemas.openxmlformats.org/officeDocument/2006/relationships/hyperlink" Target="https://www.google.com/search?newwindow=1&amp;ei=2MT0XrvGGM-vytMP1OyDgAY&amp;q=site%3Alinkedin.com+Crystal+Aggarwal+University+Recruiter+NVIDIA" TargetMode="External"/><Relationship Id="rId4306" Type="http://schemas.openxmlformats.org/officeDocument/2006/relationships/hyperlink" Target="https://www.google.com/search?newwindow=1&amp;ei=2MT0XrvGGM-vytMP1OyDgAY&amp;q=site%3Alinkedin.com+Jason+Hudson+Campus+Recruiter+Wal-Mart+Stores,+Inc." TargetMode="External"/><Relationship Id="rId4309" Type="http://schemas.openxmlformats.org/officeDocument/2006/relationships/hyperlink" Target="https://www.google.com/search?newwindow=1&amp;ei=2MT0XrvGGM-vytMP1OyDgAY&amp;q=site%3Alinkedin.com+Ashley+Jetson+University+Recruiter+-+Research+and+Applied+Research+NVIDIA" TargetMode="External"/><Relationship Id="rId4308" Type="http://schemas.openxmlformats.org/officeDocument/2006/relationships/hyperlink" Target="https://www.google.com/search?newwindow=1&amp;ei=2MT0XrvGGM-vytMP1OyDgAY&amp;q=site%3Alinkedin.com+Diane+Cook,+PMP+Project+Manager+II,+Campus+Recruiting+Walmart" TargetMode="External"/><Relationship Id="rId448" Type="http://schemas.openxmlformats.org/officeDocument/2006/relationships/hyperlink" Target="https://www.google.com/search?newwindow=1&amp;ei=2MT0XrvGGM-vytMP1OyDgAY&amp;q=site%3Alinkedin.com+Shelby+McClelland+Student+Recruiter" TargetMode="External"/><Relationship Id="rId447" Type="http://schemas.openxmlformats.org/officeDocument/2006/relationships/hyperlink" Target="https://www.google.com/search?newwindow=1&amp;ei=2MT0XrvGGM-vytMP1OyDgAY&amp;q=site%3Alinkedin.com+Danielle+Brogan,+MBA+Talent+ID+Digital+Campus+Recruiting+Associate" TargetMode="External"/><Relationship Id="rId446" Type="http://schemas.openxmlformats.org/officeDocument/2006/relationships/hyperlink" Target="https://www.google.com/search?newwindow=1&amp;ei=2MT0XrvGGM-vytMP1OyDgAY&amp;q=site%3Alinkedin.com+Joey+Adams+Business+Analyst+-+Strategic+Planning+for+COVID+Contact+Tracing+Program+(eCommerce)" TargetMode="External"/><Relationship Id="rId445" Type="http://schemas.openxmlformats.org/officeDocument/2006/relationships/hyperlink" Target="https://www.google.com/search?newwindow=1&amp;ei=2MT0XrvGGM-vytMP1OyDgAY&amp;q=site%3Alinkedin.com+Laurel+Miller+Stone+Associate+Director,+Campus+Recruiting" TargetMode="External"/><Relationship Id="rId449" Type="http://schemas.openxmlformats.org/officeDocument/2006/relationships/hyperlink" Target="https://www.google.com/search?newwindow=1&amp;ei=2MT0XrvGGM-vytMP1OyDgAY&amp;q=site%3Alinkedin.com+Bill+LeAnnais+Senior+Campus+Recruiting+Specialist" TargetMode="External"/><Relationship Id="rId1270" Type="http://schemas.openxmlformats.org/officeDocument/2006/relationships/hyperlink" Target="https://www.google.com/search?newwindow=1&amp;ei=2MT0XrvGGM-vytMP1OyDgAY&amp;q=site%3Alinkedin.com+Kirsten+Berger+Campus+Recruiting+Specialist" TargetMode="External"/><Relationship Id="rId440" Type="http://schemas.openxmlformats.org/officeDocument/2006/relationships/hyperlink" Target="https://www.google.com/search?newwindow=1&amp;ei=2MT0XrvGGM-vytMP1OyDgAY&amp;q=site%3Alinkedin.com+Erin+Rasey+Campus+Recruiting+Senior+Associate" TargetMode="External"/><Relationship Id="rId1271" Type="http://schemas.openxmlformats.org/officeDocument/2006/relationships/hyperlink" Target="https://www.google.com/search?newwindow=1&amp;ei=2MT0XrvGGM-vytMP1OyDgAY&amp;q=site%3Alinkedin.com+Katie+Campbell+Senior+Campus+Recruiting+Coordinator" TargetMode="External"/><Relationship Id="rId1272" Type="http://schemas.openxmlformats.org/officeDocument/2006/relationships/hyperlink" Target="https://www.google.com/search?newwindow=1&amp;ei=2MT0XrvGGM-vytMP1OyDgAY&amp;q=site%3Alinkedin.com+Abby+Cooper,+PHR+National+Project+Controller+Campus+Recruiting+Account+Lead" TargetMode="External"/><Relationship Id="rId1273" Type="http://schemas.openxmlformats.org/officeDocument/2006/relationships/hyperlink" Target="https://www.google.com/search?newwindow=1&amp;ei=2MT0XrvGGM-vytMP1OyDgAY&amp;q=site%3Alinkedin.com+Courtney+McLemore,+CDR+Campus+DIB+Recruiting+Strategy+Lead,+First+Generation+College+Students" TargetMode="External"/><Relationship Id="rId1274" Type="http://schemas.openxmlformats.org/officeDocument/2006/relationships/hyperlink" Target="https://www.google.com/search?newwindow=1&amp;ei=2MT0XrvGGM-vytMP1OyDgAY&amp;q=site%3Alinkedin.com+Tim+Gutsell+Director+of+Marketing+and+Recruitment+Operations+University+Partnerships+Europe" TargetMode="External"/><Relationship Id="rId444" Type="http://schemas.openxmlformats.org/officeDocument/2006/relationships/hyperlink" Target="https://www.google.com/search?newwindow=1&amp;ei=2MT0XrvGGM-vytMP1OyDgAY&amp;q=site%3Alinkedin.com+Brad+Barry+Talent+Identification+-+Campus+Recruiting+Associate" TargetMode="External"/><Relationship Id="rId1275" Type="http://schemas.openxmlformats.org/officeDocument/2006/relationships/hyperlink" Target="https://www.google.com/search?newwindow=1&amp;ei=2MT0XrvGGM-vytMP1OyDgAY&amp;q=site%3Alinkedin.com+Johanne+Chapman+Cornwall+College" TargetMode="External"/><Relationship Id="rId4301" Type="http://schemas.openxmlformats.org/officeDocument/2006/relationships/hyperlink" Target="https://www.google.com/search?newwindow=1&amp;ei=2MT0XrvGGM-vytMP1OyDgAY&amp;q=site%3Alinkedin.com+Ray+Rufino+University+Recruiter+NVIDIA" TargetMode="External"/><Relationship Id="rId443" Type="http://schemas.openxmlformats.org/officeDocument/2006/relationships/hyperlink" Target="https://www.google.com/search?newwindow=1&amp;ei=2MT0XrvGGM-vytMP1OyDgAY&amp;q=site%3Alinkedin.com+Madeline+Cahue+Senior+Campus+Recruiting+Specialist" TargetMode="External"/><Relationship Id="rId1276" Type="http://schemas.openxmlformats.org/officeDocument/2006/relationships/hyperlink" Target="https://www.google.com/search?newwindow=1&amp;ei=2MT0XrvGGM-vytMP1OyDgAY&amp;q=site%3Alinkedin.com+Claire+de+Lisser+Coordinator,+Undergraduate+Advising,+Recruitment,+and+Retention+at+Simon+Fraser+University" TargetMode="External"/><Relationship Id="rId4300" Type="http://schemas.openxmlformats.org/officeDocument/2006/relationships/hyperlink" Target="https://www.google.com/search?newwindow=1&amp;ei=2MT0XrvGGM-vytMP1OyDgAY&amp;q=site%3Alinkedin.com+Andrew+Kim+University+Recruiter+VMware" TargetMode="External"/><Relationship Id="rId442" Type="http://schemas.openxmlformats.org/officeDocument/2006/relationships/hyperlink" Target="https://www.google.com/search?newwindow=1&amp;ei=2MT0XrvGGM-vytMP1OyDgAY&amp;q=site%3Alinkedin.com+Stephanie+Angellotto+Campus+Recruiting+Manager+-+Southwest+&amp;+Bay+Area+NW" TargetMode="External"/><Relationship Id="rId1277" Type="http://schemas.openxmlformats.org/officeDocument/2006/relationships/hyperlink" Target="https://www.google.com/search?newwindow=1&amp;ei=2MT0XrvGGM-vytMP1OyDgAY&amp;q=site%3Alinkedin.com+Megan+Gustafson+Senior+Campus+Recruiting+Specialist" TargetMode="External"/><Relationship Id="rId4303" Type="http://schemas.openxmlformats.org/officeDocument/2006/relationships/hyperlink" Target="https://www.google.com/search?newwindow=1&amp;ei=2MT0XrvGGM-vytMP1OyDgAY&amp;q=site%3Alinkedin.com+Brooke+Bricker+University+Talent+Senior+Recruiter+VMware" TargetMode="External"/><Relationship Id="rId441" Type="http://schemas.openxmlformats.org/officeDocument/2006/relationships/hyperlink" Target="https://www.google.com/search?newwindow=1&amp;ei=2MT0XrvGGM-vytMP1OyDgAY&amp;q=site%3Alinkedin.com+Ferrin+Decker+Senior+Manager+Advisory+Campus+Recruiting" TargetMode="External"/><Relationship Id="rId1278" Type="http://schemas.openxmlformats.org/officeDocument/2006/relationships/hyperlink" Target="https://www.google.com/search?newwindow=1&amp;ei=2MT0XrvGGM-vytMP1OyDgAY&amp;q=site%3Alinkedin.com+Candela+Theobald+Associate+Campus+Recruiting" TargetMode="External"/><Relationship Id="rId4302" Type="http://schemas.openxmlformats.org/officeDocument/2006/relationships/hyperlink" Target="https://www.google.com/search?newwindow=1&amp;ei=2MT0XrvGGM-vytMP1OyDgAY&amp;q=site%3Alinkedin.com+Stephanie+Ruiz-Schlesinger+Senior+Recruiter+VMware" TargetMode="External"/><Relationship Id="rId1268" Type="http://schemas.openxmlformats.org/officeDocument/2006/relationships/hyperlink" Target="https://www.google.com/search?newwindow=1&amp;ei=2MT0XrvGGM-vytMP1OyDgAY&amp;q=site%3Alinkedin.com+Roger+Ragoonath+Assistant+Student+Recruiter" TargetMode="External"/><Relationship Id="rId2599" Type="http://schemas.openxmlformats.org/officeDocument/2006/relationships/hyperlink" Target="https://www.google.com/search?newwindow=1&amp;ei=2MT0XrvGGM-vytMP1OyDgAY&amp;q=site%3Alinkedin.com+Amy+Keighley+Campus+Recruiter+EY" TargetMode="External"/><Relationship Id="rId1269" Type="http://schemas.openxmlformats.org/officeDocument/2006/relationships/hyperlink" Target="https://www.google.com/search?newwindow=1&amp;ei=2MT0XrvGGM-vytMP1OyDgAY&amp;q=site%3Alinkedin.com+Laura+Chapman+Campus+Recruiting+Senior+Manager" TargetMode="External"/><Relationship Id="rId437" Type="http://schemas.openxmlformats.org/officeDocument/2006/relationships/hyperlink" Target="https://www.google.com/search?newwindow=1&amp;ei=2MT0XrvGGM-vytMP1OyDgAY&amp;q=site%3Alinkedin.com+Marissa+Funaro+Executive+Director,+Undergraduate+Programs+&amp;+Student+Services" TargetMode="External"/><Relationship Id="rId436" Type="http://schemas.openxmlformats.org/officeDocument/2006/relationships/hyperlink" Target="https://www.google.com/search?newwindow=1&amp;ei=2MT0XrvGGM-vytMP1OyDgAY&amp;q=site%3Alinkedin.com+Bailey+DeBruin-Stam+Associate+student+recruiter+advisor+Douglas+College" TargetMode="External"/><Relationship Id="rId435" Type="http://schemas.openxmlformats.org/officeDocument/2006/relationships/hyperlink" Target="https://www.google.com/search?newwindow=1&amp;ei=2MT0XrvGGM-vytMP1OyDgAY&amp;q=site%3Alinkedin.com+Lynsey+Dinovo+Associate+Director,+Campus+Recruiting" TargetMode="External"/><Relationship Id="rId434" Type="http://schemas.openxmlformats.org/officeDocument/2006/relationships/hyperlink" Target="https://www.google.com/search?newwindow=1&amp;ei=2MT0XrvGGM-vytMP1OyDgAY&amp;q=site%3Alinkedin.com+Allison+Halfpenny+Contingent+Worker+-+Training+Programs+&amp;+Standards+-+Administration+Student" TargetMode="External"/><Relationship Id="rId439" Type="http://schemas.openxmlformats.org/officeDocument/2006/relationships/hyperlink" Target="https://www.google.com/search?newwindow=1&amp;ei=2MT0XrvGGM-vytMP1OyDgAY&amp;q=site%3Alinkedin.com+Jen+Bednar+Sr.+Recruiter,+Student+(University)+Programs+-+MBA" TargetMode="External"/><Relationship Id="rId438" Type="http://schemas.openxmlformats.org/officeDocument/2006/relationships/hyperlink" Target="https://www.google.com/search?newwindow=1&amp;ei=2MT0XrvGGM-vytMP1OyDgAY&amp;q=site%3Alinkedin.com+Zachary+Yarnell,+CPA+Campus+Recruiting+Specialist" TargetMode="External"/><Relationship Id="rId2590" Type="http://schemas.openxmlformats.org/officeDocument/2006/relationships/hyperlink" Target="https://www.google.com/search?newwindow=1&amp;ei=2MT0XrvGGM-vytMP1OyDgAY&amp;q=site%3Alinkedin.com+Jordan+England+Campus+Recruiter,+Talent+Attraction+and+Acquisition+(TA%C2%B2)+EY" TargetMode="External"/><Relationship Id="rId1260" Type="http://schemas.openxmlformats.org/officeDocument/2006/relationships/hyperlink" Target="https://www.google.com/search?newwindow=1&amp;ei=2MT0XrvGGM-vytMP1OyDgAY&amp;q=site%3Alinkedin.com+Elizabeth+Agravante,+CPA+Advisory+Campus+Business+Recruiting+Experienced+Associate" TargetMode="External"/><Relationship Id="rId2591" Type="http://schemas.openxmlformats.org/officeDocument/2006/relationships/hyperlink" Target="https://www.google.com/search?newwindow=1&amp;ei=2MT0XrvGGM-vytMP1OyDgAY&amp;q=site%3Alinkedin.com+Tamara+Shilipetar+College+Recruiter+Boeing" TargetMode="External"/><Relationship Id="rId1261" Type="http://schemas.openxmlformats.org/officeDocument/2006/relationships/hyperlink" Target="https://www.google.com/search?newwindow=1&amp;ei=2MT0XrvGGM-vytMP1OyDgAY&amp;q=site%3Alinkedin.com+Kelly+Farrell,+MBA+Tax+Business+Recruiting+Manager" TargetMode="External"/><Relationship Id="rId2592" Type="http://schemas.openxmlformats.org/officeDocument/2006/relationships/hyperlink" Target="https://www.google.com/search?newwindow=1&amp;ei=2MT0XrvGGM-vytMP1OyDgAY&amp;q=site%3Alinkedin.com+Erin+Kelly+Campus+Recruiter+EY" TargetMode="External"/><Relationship Id="rId1262" Type="http://schemas.openxmlformats.org/officeDocument/2006/relationships/hyperlink" Target="https://www.google.com/search?newwindow=1&amp;ei=2MT0XrvGGM-vytMP1OyDgAY&amp;q=site%3Alinkedin.com+Kirsten+Lohrbach+Campus+Recruiting+Manager" TargetMode="External"/><Relationship Id="rId2593" Type="http://schemas.openxmlformats.org/officeDocument/2006/relationships/hyperlink" Target="https://www.google.com/search?newwindow=1&amp;ei=2MT0XrvGGM-vytMP1OyDgAY&amp;q=site%3Alinkedin.com+Megan+Bruce+Campus+Recruiter+EY" TargetMode="External"/><Relationship Id="rId1263" Type="http://schemas.openxmlformats.org/officeDocument/2006/relationships/hyperlink" Target="https://www.google.com/search?newwindow=1&amp;ei=2MT0XrvGGM-vytMP1OyDgAY&amp;q=site%3Alinkedin.com+Jen+Trudnak+Student+Veteran+Recruiter+-+Operations" TargetMode="External"/><Relationship Id="rId2594" Type="http://schemas.openxmlformats.org/officeDocument/2006/relationships/hyperlink" Target="https://www.google.com/search?newwindow=1&amp;ei=2MT0XrvGGM-vytMP1OyDgAY&amp;q=site%3Alinkedin.com+Daniel+Aikens+Senior+University+Recruiter+Boeing" TargetMode="External"/><Relationship Id="rId433" Type="http://schemas.openxmlformats.org/officeDocument/2006/relationships/hyperlink" Target="https://www.google.com/search?newwindow=1&amp;ei=2MT0XrvGGM-vytMP1OyDgAY&amp;q=site%3Alinkedin.com+Ravinder+Sharma+Senior+Recruiter+(Graduate+&amp;+In-house)" TargetMode="External"/><Relationship Id="rId1264" Type="http://schemas.openxmlformats.org/officeDocument/2006/relationships/hyperlink" Target="https://www.google.com/search?newwindow=1&amp;ei=2MT0XrvGGM-vytMP1OyDgAY&amp;q=site%3Alinkedin.com+Tracy+Carneal+Campus+Recruiting+Specialist" TargetMode="External"/><Relationship Id="rId2595" Type="http://schemas.openxmlformats.org/officeDocument/2006/relationships/hyperlink" Target="https://www.google.com/search?newwindow=1&amp;ei=2MT0XrvGGM-vytMP1OyDgAY&amp;q=site%3Alinkedin.com+Madison+Pierini+Supervising+Associate+-+Campus+Recruiter,++Financial+Services+Organization+EY" TargetMode="External"/><Relationship Id="rId432" Type="http://schemas.openxmlformats.org/officeDocument/2006/relationships/hyperlink" Target="https://www.google.com/search?newwindow=1&amp;ei=2MT0XrvGGM-vytMP1OyDgAY&amp;q=site%3Alinkedin.com+Taryn+Talbert+Campus+Recruiting+Coordinator" TargetMode="External"/><Relationship Id="rId1265" Type="http://schemas.openxmlformats.org/officeDocument/2006/relationships/hyperlink" Target="https://www.google.com/search?newwindow=1&amp;ei=2MT0XrvGGM-vytMP1OyDgAY&amp;q=site%3Alinkedin.com+Sofia+Barela+Sr+Experienced+Recruiting+Coordinator" TargetMode="External"/><Relationship Id="rId2596" Type="http://schemas.openxmlformats.org/officeDocument/2006/relationships/hyperlink" Target="https://www.google.com/search?newwindow=1&amp;ei=2MT0XrvGGM-vytMP1OyDgAY&amp;q=site%3Alinkedin.com+Brady+Pahukoa+College+Recruiter+II+Boeing" TargetMode="External"/><Relationship Id="rId431" Type="http://schemas.openxmlformats.org/officeDocument/2006/relationships/hyperlink" Target="https://www.google.com/search?newwindow=1&amp;ei=2MT0XrvGGM-vytMP1OyDgAY&amp;q=site%3Alinkedin.com+Aubrey+Dodds+Senior+Campus+Recruiting+Specialist" TargetMode="External"/><Relationship Id="rId1266" Type="http://schemas.openxmlformats.org/officeDocument/2006/relationships/hyperlink" Target="https://www.google.com/search?newwindow=1&amp;ei=2MT0XrvGGM-vytMP1OyDgAY&amp;q=site%3Alinkedin.com+Kate+McClain+Campus+Recruiting+Manager" TargetMode="External"/><Relationship Id="rId2597" Type="http://schemas.openxmlformats.org/officeDocument/2006/relationships/hyperlink" Target="https://www.google.com/search?newwindow=1&amp;ei=2MT0XrvGGM-vytMP1OyDgAY&amp;q=site%3Alinkedin.com+Emily+Deering+Campus+Recruiter,+Supervising+Associate+EY" TargetMode="External"/><Relationship Id="rId430" Type="http://schemas.openxmlformats.org/officeDocument/2006/relationships/hyperlink" Target="https://www.google.com/search?newwindow=1&amp;ei=2MT0XrvGGM-vytMP1OyDgAY&amp;q=site%3Alinkedin.com+Mary+Latino+Recruiting+Associate,+University+Recruiting" TargetMode="External"/><Relationship Id="rId1267" Type="http://schemas.openxmlformats.org/officeDocument/2006/relationships/hyperlink" Target="https://www.google.com/search?newwindow=1&amp;ei=2MT0XrvGGM-vytMP1OyDgAY&amp;q=site%3Alinkedin.com+Angela+Helbing+Manager+of+Campus+Recruiting" TargetMode="External"/><Relationship Id="rId2598" Type="http://schemas.openxmlformats.org/officeDocument/2006/relationships/hyperlink" Target="https://www.google.com/search?newwindow=1&amp;ei=2MT0XrvGGM-vytMP1OyDgAY&amp;q=site%3Alinkedin.com+Leslie+Benson+Enterprise+Finance+and+Strategy+Advisor+&amp;+Learning+Program+Manager+(Dual+Role)+Boeing" TargetMode="External"/><Relationship Id="rId3070" Type="http://schemas.openxmlformats.org/officeDocument/2006/relationships/hyperlink" Target="https://www.google.com/search?newwindow=1&amp;ei=2MT0XrvGGM-vytMP1OyDgAY&amp;q=site%3Alinkedin.com+Michelle+J.+Maynor+Campus+Recruiter+Coordinator+Ernst+&amp;+Young" TargetMode="External"/><Relationship Id="rId3072" Type="http://schemas.openxmlformats.org/officeDocument/2006/relationships/hyperlink" Target="https://www.google.com/search?newwindow=1&amp;ei=2MT0XrvGGM-vytMP1OyDgAY&amp;q=site%3Alinkedin.com+Roxanne+Jackson+Campus+Recruiter-+Diversity+Ernst+&amp;+Young" TargetMode="External"/><Relationship Id="rId3071" Type="http://schemas.openxmlformats.org/officeDocument/2006/relationships/hyperlink" Target="https://www.google.com/search?newwindow=1&amp;ei=2MT0XrvGGM-vytMP1OyDgAY&amp;q=site%3Alinkedin.com+Aiminh+Phan+University+Recruiter+Google" TargetMode="External"/><Relationship Id="rId3074" Type="http://schemas.openxmlformats.org/officeDocument/2006/relationships/hyperlink" Target="https://www.google.com/search?newwindow=1&amp;ei=2MT0XrvGGM-vytMP1OyDgAY&amp;q=site%3Alinkedin.com+Stephanie+Lopez+Campus+Recruiter+Ernst+&amp;+Young" TargetMode="External"/><Relationship Id="rId3073" Type="http://schemas.openxmlformats.org/officeDocument/2006/relationships/hyperlink" Target="https://www.google.com/search?newwindow=1&amp;ei=2MT0XrvGGM-vytMP1OyDgAY&amp;q=site%3Alinkedin.com+Brittany+Matta+University+Recruiter+-+Research+(AI+Residency+Program+and+PhD)+-+Via+Nelson+Staffing+Google" TargetMode="External"/><Relationship Id="rId3076" Type="http://schemas.openxmlformats.org/officeDocument/2006/relationships/hyperlink" Target="https://www.google.com/search?newwindow=1&amp;ei=2MT0XrvGGM-vytMP1OyDgAY&amp;q=site%3Alinkedin.com+Amy+Mait+Campus+Recruiter+Ernst+&amp;+Young" TargetMode="External"/><Relationship Id="rId3075" Type="http://schemas.openxmlformats.org/officeDocument/2006/relationships/hyperlink" Target="https://www.google.com/search?newwindow=1&amp;ei=2MT0XrvGGM-vytMP1OyDgAY&amp;q=site%3Alinkedin.com+Ashley+Carmichael+University+Recruiter+Google+via+Artech+Information+Systems" TargetMode="External"/><Relationship Id="rId3078" Type="http://schemas.openxmlformats.org/officeDocument/2006/relationships/hyperlink" Target="https://www.google.com/search?newwindow=1&amp;ei=2MT0XrvGGM-vytMP1OyDgAY&amp;q=site%3Alinkedin.com+Kaitlin+Kunsman+Campus+Recruiter+Ernst+&amp;+Young" TargetMode="External"/><Relationship Id="rId3077" Type="http://schemas.openxmlformats.org/officeDocument/2006/relationships/hyperlink" Target="https://www.google.com/search?newwindow=1&amp;ei=2MT0XrvGGM-vytMP1OyDgAY&amp;q=site%3Alinkedin.com+Erin+Lamport+Campus+Recruiter+Grant+Thornton" TargetMode="External"/><Relationship Id="rId3079" Type="http://schemas.openxmlformats.org/officeDocument/2006/relationships/hyperlink" Target="https://www.google.com/search?newwindow=1&amp;ei=2MT0XrvGGM-vytMP1OyDgAY&amp;q=site%3Alinkedin.com+Olivia+W.+University+Recruiter+Grant+Thornton+LLP" TargetMode="External"/><Relationship Id="rId4390" Type="http://schemas.openxmlformats.org/officeDocument/2006/relationships/hyperlink" Target="https://www.google.com/search?newwindow=1&amp;ei=2MT0XrvGGM-vytMP1OyDgAY&amp;q=site%3Alinkedin.com+Melissa+Miller+Campus+Recruiter+Protiviti" TargetMode="External"/><Relationship Id="rId3061" Type="http://schemas.openxmlformats.org/officeDocument/2006/relationships/hyperlink" Target="https://www.google.com/search?newwindow=1&amp;ei=2MT0XrvGGM-vytMP1OyDgAY&amp;q=site%3Alinkedin.com+No%C3%ABl+Elgamal+University+Recruiter+Google" TargetMode="External"/><Relationship Id="rId4392" Type="http://schemas.openxmlformats.org/officeDocument/2006/relationships/hyperlink" Target="https://www.google.com/search?newwindow=1&amp;ei=2MT0XrvGGM-vytMP1OyDgAY&amp;q=site%3Alinkedin.com+Ruth+Armendariz,+MBA+Campus+Relationship+Manager+Wells+Fargo+Home+Mortgage" TargetMode="External"/><Relationship Id="rId3060" Type="http://schemas.openxmlformats.org/officeDocument/2006/relationships/hyperlink" Target="https://www.google.com/search?newwindow=1&amp;ei=2MT0XrvGGM-vytMP1OyDgAY&amp;q=site%3Alinkedin.com+Ashley+Leonard+University+Tech+Recruiter+Google" TargetMode="External"/><Relationship Id="rId4391" Type="http://schemas.openxmlformats.org/officeDocument/2006/relationships/hyperlink" Target="https://www.google.com/search?newwindow=1&amp;ei=2MT0XrvGGM-vytMP1OyDgAY&amp;q=site%3Alinkedin.com+Rachel+Bruce+Project+Manager,+Campus+Recruiting,+Talent+Acquisition+Wells+Fargo+Bank" TargetMode="External"/><Relationship Id="rId3063" Type="http://schemas.openxmlformats.org/officeDocument/2006/relationships/hyperlink" Target="https://www.google.com/search?newwindow=1&amp;ei=2MT0XrvGGM-vytMP1OyDgAY&amp;q=site%3Alinkedin.com+Carol+Tsuchiya+College+Recruiter+-+Engineering/Product+Area+Liaison+Google" TargetMode="External"/><Relationship Id="rId4394" Type="http://schemas.openxmlformats.org/officeDocument/2006/relationships/hyperlink" Target="https://www.google.com/search?newwindow=1&amp;ei=2MT0XrvGGM-vytMP1OyDgAY&amp;q=site%3Alinkedin.com+Corinne+Santos+Campus+Recruiter+PricewaterhouseCoopers" TargetMode="External"/><Relationship Id="rId3062" Type="http://schemas.openxmlformats.org/officeDocument/2006/relationships/hyperlink" Target="https://www.google.com/search?newwindow=1&amp;ei=2MT0XrvGGM-vytMP1OyDgAY&amp;q=site%3Alinkedin.com+LaVenta+Atwater+Campus+Recruiter+Eli+Lilly+and+Company" TargetMode="External"/><Relationship Id="rId4393" Type="http://schemas.openxmlformats.org/officeDocument/2006/relationships/hyperlink" Target="https://www.google.com/search?newwindow=1&amp;ei=2MT0XrvGGM-vytMP1OyDgAY&amp;q=site%3Alinkedin.com+Jordan+McAdams+Recruiter+-+University+Programs+Wells+Fargo+Securities" TargetMode="External"/><Relationship Id="rId3065" Type="http://schemas.openxmlformats.org/officeDocument/2006/relationships/hyperlink" Target="https://www.google.com/search?newwindow=1&amp;ei=2MT0XrvGGM-vytMP1OyDgAY&amp;q=site%3Alinkedin.com+Selma+Handzar+Recruiter,+University+Programs+Google" TargetMode="External"/><Relationship Id="rId4396" Type="http://schemas.openxmlformats.org/officeDocument/2006/relationships/hyperlink" Target="https://www.google.com/search?newwindow=1&amp;ei=2MT0XrvGGM-vytMP1OyDgAY&amp;q=site%3Alinkedin.com+Karen+Putnam+Campus+Recruiting+Manager+PricewaterhouseCoopers" TargetMode="External"/><Relationship Id="rId3064" Type="http://schemas.openxmlformats.org/officeDocument/2006/relationships/hyperlink" Target="https://www.google.com/search?newwindow=1&amp;ei=2MT0XrvGGM-vytMP1OyDgAY&amp;q=site%3Alinkedin.com+Paige+Sacks+Campus+recruiter+Ernst+&amp;+Young" TargetMode="External"/><Relationship Id="rId4395" Type="http://schemas.openxmlformats.org/officeDocument/2006/relationships/hyperlink" Target="https://www.google.com/search?newwindow=1&amp;ei=2MT0XrvGGM-vytMP1OyDgAY&amp;q=site%3Alinkedin.com+Rob+Shanks+Undergraduate+Campus+Recruiter+Wells+Fargo+Securities" TargetMode="External"/><Relationship Id="rId3067" Type="http://schemas.openxmlformats.org/officeDocument/2006/relationships/hyperlink" Target="https://www.google.com/search?newwindow=1&amp;ei=2MT0XrvGGM-vytMP1OyDgAY&amp;q=site%3Alinkedin.com+Haylee+Gani+Recruiter,+Engineering+Leadership+Google" TargetMode="External"/><Relationship Id="rId4398" Type="http://schemas.openxmlformats.org/officeDocument/2006/relationships/hyperlink" Target="https://www.google.com/search?newwindow=1&amp;ei=2MT0XrvGGM-vytMP1OyDgAY&amp;q=site%3Alinkedin.com+Jennifer+Kaniewski+HR+&amp;+Campus+Recruiting+Manager+PricewaterhouseCoopers" TargetMode="External"/><Relationship Id="rId3066" Type="http://schemas.openxmlformats.org/officeDocument/2006/relationships/hyperlink" Target="https://www.google.com/search?newwindow=1&amp;ei=2MT0XrvGGM-vytMP1OyDgAY&amp;q=site%3Alinkedin.com+Kristin+Schmidt+Campus+Recruiter+Ernst+&amp;+Young" TargetMode="External"/><Relationship Id="rId4397" Type="http://schemas.openxmlformats.org/officeDocument/2006/relationships/hyperlink" Target="https://www.google.com/search?newwindow=1&amp;ei=2MT0XrvGGM-vytMP1OyDgAY&amp;q=site%3Alinkedin.com+Virginia+Edahl+Molan+Undergraduate+Campus+Recruiter+at+Wells+Fargo+Securities+Wells+Fargo+Securities" TargetMode="External"/><Relationship Id="rId3069" Type="http://schemas.openxmlformats.org/officeDocument/2006/relationships/hyperlink" Target="https://www.google.com/search?newwindow=1&amp;ei=2MT0XrvGGM-vytMP1OyDgAY&amp;q=site%3Alinkedin.com+Lauran+Woodward+University+Recruiter+Google" TargetMode="External"/><Relationship Id="rId3068" Type="http://schemas.openxmlformats.org/officeDocument/2006/relationships/hyperlink" Target="https://www.google.com/search?newwindow=1&amp;ei=2MT0XrvGGM-vytMP1OyDgAY&amp;q=site%3Alinkedin.com+Molly+Leighton+National+Assurance+Campus+Recruiting+Lead+Ernst+&amp;+Young" TargetMode="External"/><Relationship Id="rId4399" Type="http://schemas.openxmlformats.org/officeDocument/2006/relationships/hyperlink" Target="https://www.google.com/search?newwindow=1&amp;ei=2MT0XrvGGM-vytMP1OyDgAY&amp;q=site%3Alinkedin.com+Katy+Grant+MBA+Recruiter+Wells+Fargo+Securities" TargetMode="External"/><Relationship Id="rId3090" Type="http://schemas.openxmlformats.org/officeDocument/2006/relationships/hyperlink" Target="https://www.google.com/search?newwindow=1&amp;ei=2MT0XrvGGM-vytMP1OyDgAY&amp;q=site%3Alinkedin.com+Rachel+Bresnick+Lipson+Campus+Recruiter+Ernst+&amp;+Young" TargetMode="External"/><Relationship Id="rId3092" Type="http://schemas.openxmlformats.org/officeDocument/2006/relationships/hyperlink" Target="https://www.google.com/search?newwindow=1&amp;ei=2MT0XrvGGM-vytMP1OyDgAY&amp;q=site%3Alinkedin.com+Eleni+Athanasiou+Campus+Recruiter+Ernst+&amp;+Young" TargetMode="External"/><Relationship Id="rId3091" Type="http://schemas.openxmlformats.org/officeDocument/2006/relationships/hyperlink" Target="https://www.google.com/search?newwindow=1&amp;ei=2MT0XrvGGM-vytMP1OyDgAY&amp;q=site%3Alinkedin.com+Julie+Hansen+Texoma+Market+Lead,+University+Recruiting+Grant+Thornton+LLP" TargetMode="External"/><Relationship Id="rId3094" Type="http://schemas.openxmlformats.org/officeDocument/2006/relationships/hyperlink" Target="https://www.google.com/search?newwindow=1&amp;ei=2MT0XrvGGM-vytMP1OyDgAY&amp;q=site%3Alinkedin.com+Grethel+Gaitan+Campus+Recruiter+Ernst+&amp;+Young" TargetMode="External"/><Relationship Id="rId3093" Type="http://schemas.openxmlformats.org/officeDocument/2006/relationships/hyperlink" Target="https://www.google.com/search?newwindow=1&amp;ei=2MT0XrvGGM-vytMP1OyDgAY&amp;q=site%3Alinkedin.com+Mary+Latino+Recruiting+Associate,+University+Recruiting+Grant+Thornton+LLP" TargetMode="External"/><Relationship Id="rId3096" Type="http://schemas.openxmlformats.org/officeDocument/2006/relationships/hyperlink" Target="https://www.google.com/search?newwindow=1&amp;ei=2MT0XrvGGM-vytMP1OyDgAY&amp;q=site%3Alinkedin.com+Katy+Elliott+Steinbach+Campus+Recruiter+Ernst+&amp;+Young" TargetMode="External"/><Relationship Id="rId3095" Type="http://schemas.openxmlformats.org/officeDocument/2006/relationships/hyperlink" Target="https://www.google.com/search?newwindow=1&amp;ei=2MT0XrvGGM-vytMP1OyDgAY&amp;q=site%3Alinkedin.com+Raven+Fournier+Janssen+Senior+University+Recruiter+Grant+Thornton+LLP" TargetMode="External"/><Relationship Id="rId3098" Type="http://schemas.openxmlformats.org/officeDocument/2006/relationships/hyperlink" Target="https://www.google.com/search?newwindow=1&amp;ei=2MT0XrvGGM-vytMP1OyDgAY&amp;q=site%3Alinkedin.com+Danielle+M.+Campus+Recruiter+Ernst+&amp;+Young" TargetMode="External"/><Relationship Id="rId3097" Type="http://schemas.openxmlformats.org/officeDocument/2006/relationships/hyperlink" Target="https://www.google.com/search?newwindow=1&amp;ei=2MT0XrvGGM-vytMP1OyDgAY&amp;q=site%3Alinkedin.com+Katerina+Theodore+O'Connell+University+Recruiter+Grant+Thornton+LLP" TargetMode="External"/><Relationship Id="rId3099" Type="http://schemas.openxmlformats.org/officeDocument/2006/relationships/hyperlink" Target="https://www.google.com/search?newwindow=1&amp;ei=2MT0XrvGGM-vytMP1OyDgAY&amp;q=site%3Alinkedin.com+Kelley+I.+Senior+University+Recruiter+Grant+Thornton+LLP" TargetMode="External"/><Relationship Id="rId3081" Type="http://schemas.openxmlformats.org/officeDocument/2006/relationships/hyperlink" Target="https://www.google.com/search?newwindow=1&amp;ei=2MT0XrvGGM-vytMP1OyDgAY&amp;q=site%3Alinkedin.com+Katie+Collins+Senior+University+Recruiter+Grant+Thornton+LLP" TargetMode="External"/><Relationship Id="rId3080" Type="http://schemas.openxmlformats.org/officeDocument/2006/relationships/hyperlink" Target="https://www.google.com/search?newwindow=1&amp;ei=2MT0XrvGGM-vytMP1OyDgAY&amp;q=site%3Alinkedin.com+Maggie+Lemmel+Campus+Recruiter+Ernst+&amp;+Young" TargetMode="External"/><Relationship Id="rId3083" Type="http://schemas.openxmlformats.org/officeDocument/2006/relationships/hyperlink" Target="https://www.google.com/search?newwindow=1&amp;ei=2MT0XrvGGM-vytMP1OyDgAY&amp;q=site%3Alinkedin.com+Molly+Curran+University+Recruiter+Grant+Thornton+LLP" TargetMode="External"/><Relationship Id="rId3082" Type="http://schemas.openxmlformats.org/officeDocument/2006/relationships/hyperlink" Target="https://www.google.com/search?newwindow=1&amp;ei=2MT0XrvGGM-vytMP1OyDgAY&amp;q=site%3Alinkedin.com+Christyn+Benzle+Campus+Recruiter+Ernst+&amp;+Young" TargetMode="External"/><Relationship Id="rId3085" Type="http://schemas.openxmlformats.org/officeDocument/2006/relationships/hyperlink" Target="https://www.google.com/search?newwindow=1&amp;ei=2MT0XrvGGM-vytMP1OyDgAY&amp;q=site%3Alinkedin.com+Grace+King+University+Recruiter+Grant+Thornton+LLP" TargetMode="External"/><Relationship Id="rId3084" Type="http://schemas.openxmlformats.org/officeDocument/2006/relationships/hyperlink" Target="https://www.google.com/search?newwindow=1&amp;ei=2MT0XrvGGM-vytMP1OyDgAY&amp;q=site%3Alinkedin.com+Julie+Benner+Campus+Recruiting+Manager+Ernst+&amp;+Young" TargetMode="External"/><Relationship Id="rId3087" Type="http://schemas.openxmlformats.org/officeDocument/2006/relationships/hyperlink" Target="https://www.google.com/search?newwindow=1&amp;ei=2MT0XrvGGM-vytMP1OyDgAY&amp;q=site%3Alinkedin.com+Megan+Williamson+University+Recruiter+Grant+Thornton+LLP" TargetMode="External"/><Relationship Id="rId3086" Type="http://schemas.openxmlformats.org/officeDocument/2006/relationships/hyperlink" Target="https://www.google.com/search?newwindow=1&amp;ei=2MT0XrvGGM-vytMP1OyDgAY&amp;q=site%3Alinkedin.com+Kaami+Moore+Florida+Campus+Recruiter+Ernst+&amp;+Young" TargetMode="External"/><Relationship Id="rId3089" Type="http://schemas.openxmlformats.org/officeDocument/2006/relationships/hyperlink" Target="https://www.google.com/search?newwindow=1&amp;ei=2MT0XrvGGM-vytMP1OyDgAY&amp;q=site%3Alinkedin.com+Nichole+R.+Justus+University+Recruiter+Grant+Thornton+LLP" TargetMode="External"/><Relationship Id="rId3088" Type="http://schemas.openxmlformats.org/officeDocument/2006/relationships/hyperlink" Target="https://www.google.com/search?newwindow=1&amp;ei=2MT0XrvGGM-vytMP1OyDgAY&amp;q=site%3Alinkedin.com+Jennifer+Sell+Campus+Recruiter+Ernst+&amp;+Young" TargetMode="External"/><Relationship Id="rId3039" Type="http://schemas.openxmlformats.org/officeDocument/2006/relationships/hyperlink" Target="https://www.google.com/search?newwindow=1&amp;ei=2MT0XrvGGM-vytMP1OyDgAY&amp;q=site%3Alinkedin.com+Karan+Bhargava+University+Program+Recruiting+Manager+Google" TargetMode="External"/><Relationship Id="rId1" Type="http://schemas.openxmlformats.org/officeDocument/2006/relationships/hyperlink" Target="https://www.google.com/search?newwindow=1&amp;ei=2MT0XrvGGM-vytMP1OyDgAY&amp;q=site%3Alinkedin.com+Thomas+Ilett+Recruitment+and+University+Relations+Manager+-+Europe" TargetMode="External"/><Relationship Id="rId2" Type="http://schemas.openxmlformats.org/officeDocument/2006/relationships/hyperlink" Target="https://www.google.com/search?newwindow=1&amp;ei=2MT0XrvGGM-vytMP1OyDgAY&amp;q=site%3Alinkedin.com+Asia+Mitchell+Campus+Recruiting+Senior+Specialist" TargetMode="External"/><Relationship Id="rId3" Type="http://schemas.openxmlformats.org/officeDocument/2006/relationships/hyperlink" Target="https://www.google.com/search?newwindow=1&amp;ei=2MT0XrvGGM-vytMP1OyDgAY&amp;q=site%3Alinkedin.com+Steve+Eden+Head+of+International+Student+Programs" TargetMode="External"/><Relationship Id="rId4" Type="http://schemas.openxmlformats.org/officeDocument/2006/relationships/hyperlink" Target="https://www.google.com/search?newwindow=1&amp;ei=2MT0XrvGGM-vytMP1OyDgAY&amp;q=site%3Alinkedin.com+Jennifer+Nguyen+Committee+Member+-+University+Education+Committee" TargetMode="External"/><Relationship Id="rId3030" Type="http://schemas.openxmlformats.org/officeDocument/2006/relationships/hyperlink" Target="https://www.google.com/search?newwindow=1&amp;ei=2MT0XrvGGM-vytMP1OyDgAY&amp;q=site%3Alinkedin.com+Shea+Bastedo+Tech+University+Recruiter+Google" TargetMode="External"/><Relationship Id="rId4361" Type="http://schemas.openxmlformats.org/officeDocument/2006/relationships/hyperlink" Target="https://www.google.com/search?newwindow=1&amp;ei=2MT0XrvGGM-vytMP1OyDgAY&amp;q=site%3Alinkedin.com+Megan+Williams+Campus+Recruiter+II+Wayfair" TargetMode="External"/><Relationship Id="rId4360" Type="http://schemas.openxmlformats.org/officeDocument/2006/relationships/hyperlink" Target="https://www.google.com/search?newwindow=1&amp;ei=2MT0XrvGGM-vytMP1OyDgAY&amp;q=site%3Alinkedin.com+Tim+G.+Downstream+Engineering+Lead+Recruiter+for+Purdue+University+Phillips+66" TargetMode="External"/><Relationship Id="rId9" Type="http://schemas.openxmlformats.org/officeDocument/2006/relationships/hyperlink" Target="https://www.google.com/search?newwindow=1&amp;ei=2MT0XrvGGM-vytMP1OyDgAY&amp;q=site%3Alinkedin.com+Kaydeon+Lampart+++MSc.,+BSc.+Student+Recruiter" TargetMode="External"/><Relationship Id="rId3032" Type="http://schemas.openxmlformats.org/officeDocument/2006/relationships/hyperlink" Target="https://www.google.com/search?newwindow=1&amp;ei=2MT0XrvGGM-vytMP1OyDgAY&amp;q=site%3Alinkedin.com+Jessica+Wickers+Program+Manager+Google" TargetMode="External"/><Relationship Id="rId4363" Type="http://schemas.openxmlformats.org/officeDocument/2006/relationships/hyperlink" Target="https://www.google.com/search?newwindow=1&amp;ei=2MT0XrvGGM-vytMP1OyDgAY&amp;q=site%3Alinkedin.com+Chelsea+D.+Campus+Recruiter+Wayfair" TargetMode="External"/><Relationship Id="rId3031" Type="http://schemas.openxmlformats.org/officeDocument/2006/relationships/hyperlink" Target="https://www.google.com/search?newwindow=1&amp;ei=2MT0XrvGGM-vytMP1OyDgAY&amp;q=site%3Alinkedin.com+Daniel+Simpson+Senior+University+Recruiter+Dropbox" TargetMode="External"/><Relationship Id="rId4362" Type="http://schemas.openxmlformats.org/officeDocument/2006/relationships/hyperlink" Target="https://www.google.com/search?newwindow=1&amp;ei=2MT0XrvGGM-vytMP1OyDgAY&amp;q=site%3Alinkedin.com+Anna+Minutello+Finance+Lead+Recruiter+-+University+of+Texas+Phillips+66" TargetMode="External"/><Relationship Id="rId3034" Type="http://schemas.openxmlformats.org/officeDocument/2006/relationships/hyperlink" Target="https://www.google.com/search?newwindow=1&amp;ei=2MT0XrvGGM-vytMP1OyDgAY&amp;q=site%3Alinkedin.com+Andrew+Purtle+Cloud+Recruiter+Google" TargetMode="External"/><Relationship Id="rId4365" Type="http://schemas.openxmlformats.org/officeDocument/2006/relationships/hyperlink" Target="https://www.google.com/search?newwindow=1&amp;ei=2MT0XrvGGM-vytMP1OyDgAY&amp;q=site%3Alinkedin.com+Erin+Collins+Campus+Recruiter,+Technical+Campus+Recruiting+Wayfair" TargetMode="External"/><Relationship Id="rId3033" Type="http://schemas.openxmlformats.org/officeDocument/2006/relationships/hyperlink" Target="https://www.google.com/search?newwindow=1&amp;ei=2MT0XrvGGM-vytMP1OyDgAY&amp;q=site%3Alinkedin.com+Ke+Yang+Campus+Recruiter+DuPont" TargetMode="External"/><Relationship Id="rId4364" Type="http://schemas.openxmlformats.org/officeDocument/2006/relationships/hyperlink" Target="https://www.google.com/search?newwindow=1&amp;ei=2MT0XrvGGM-vytMP1OyDgAY&amp;q=site%3Alinkedin.com+Kris+McDonald+HR+-+Rotational+Program+Manager+Phillips-Medisize" TargetMode="External"/><Relationship Id="rId5" Type="http://schemas.openxmlformats.org/officeDocument/2006/relationships/hyperlink" Target="https://www.google.com/search?newwindow=1&amp;ei=2MT0XrvGGM-vytMP1OyDgAY&amp;q=site%3Alinkedin.com+Julie+Farmer+Coordinator+-+Admin+&amp;+Student+Programs" TargetMode="External"/><Relationship Id="rId3036" Type="http://schemas.openxmlformats.org/officeDocument/2006/relationships/hyperlink" Target="https://www.google.com/search?newwindow=1&amp;ei=2MT0XrvGGM-vytMP1OyDgAY&amp;q=site%3Alinkedin.com+Chalsea+Clark+University+Relations+Recruiter+DuPont" TargetMode="External"/><Relationship Id="rId4367" Type="http://schemas.openxmlformats.org/officeDocument/2006/relationships/hyperlink" Target="https://www.google.com/search?newwindow=1&amp;ei=2MT0XrvGGM-vytMP1OyDgAY&amp;q=site%3Alinkedin.com+Milena+Restrepo+MBA+Campus+Recruiter+Co-op+Wayfair" TargetMode="External"/><Relationship Id="rId6" Type="http://schemas.openxmlformats.org/officeDocument/2006/relationships/hyperlink" Target="https://www.google.com/search?newwindow=1&amp;ei=2MT0XrvGGM-vytMP1OyDgAY&amp;q=site%3Alinkedin.com+Julie+Angus+Regional+Recruitment+Manager" TargetMode="External"/><Relationship Id="rId3035" Type="http://schemas.openxmlformats.org/officeDocument/2006/relationships/hyperlink" Target="https://www.google.com/search?newwindow=1&amp;ei=2MT0XrvGGM-vytMP1OyDgAY&amp;q=site%3Alinkedin.com+Padraic+Smith+Technical+University+Recruiter+Google" TargetMode="External"/><Relationship Id="rId4366" Type="http://schemas.openxmlformats.org/officeDocument/2006/relationships/hyperlink" Target="https://www.google.com/search?newwindow=1&amp;ei=2MT0XrvGGM-vytMP1OyDgAY&amp;q=site%3Alinkedin.com+Ashley+Nair+University+Recruiter+Pinterest" TargetMode="External"/><Relationship Id="rId7" Type="http://schemas.openxmlformats.org/officeDocument/2006/relationships/hyperlink" Target="https://www.google.com/search?newwindow=1&amp;ei=2MT0XrvGGM-vytMP1OyDgAY&amp;q=site%3Alinkedin.com+Melissa+Homer+Early+Talent+Recruiter" TargetMode="External"/><Relationship Id="rId3038" Type="http://schemas.openxmlformats.org/officeDocument/2006/relationships/hyperlink" Target="https://www.google.com/search?newwindow=1&amp;ei=2MT0XrvGGM-vytMP1OyDgAY&amp;q=site%3Alinkedin.com+DuPont+Campus+Team+Campus+Recruiter+DuPont" TargetMode="External"/><Relationship Id="rId4369" Type="http://schemas.openxmlformats.org/officeDocument/2006/relationships/hyperlink" Target="https://www.google.com/search?newwindow=1&amp;ei=2MT0XrvGGM-vytMP1OyDgAY&amp;q=site%3Alinkedin.com+Jennifer+Clerici+University+Recruiter-+Intern+Program+Specialists+Waymo" TargetMode="External"/><Relationship Id="rId8" Type="http://schemas.openxmlformats.org/officeDocument/2006/relationships/hyperlink" Target="https://www.google.com/search?newwindow=1&amp;ei=2MT0XrvGGM-vytMP1OyDgAY&amp;q=site%3Alinkedin.com+Courtney+Wagner+Student+Recruiter/Financial+Advisor" TargetMode="External"/><Relationship Id="rId3037" Type="http://schemas.openxmlformats.org/officeDocument/2006/relationships/hyperlink" Target="https://www.google.com/search?newwindow=1&amp;ei=2MT0XrvGGM-vytMP1OyDgAY&amp;q=site%3Alinkedin.com+Jillian+Palmer+College+Recruiter+Google" TargetMode="External"/><Relationship Id="rId4368" Type="http://schemas.openxmlformats.org/officeDocument/2006/relationships/hyperlink" Target="https://www.google.com/search?newwindow=1&amp;ei=2MT0XrvGGM-vytMP1OyDgAY&amp;q=site%3Alinkedin.com+Deanna+Okuno+University+Recruiter+Pinterest" TargetMode="External"/><Relationship Id="rId3029" Type="http://schemas.openxmlformats.org/officeDocument/2006/relationships/hyperlink" Target="https://www.google.com/search?newwindow=1&amp;ei=2MT0XrvGGM-vytMP1OyDgAY&amp;q=site%3Alinkedin.com+Alexis+Pickett+University+Recruiter+Dropbox" TargetMode="External"/><Relationship Id="rId3028" Type="http://schemas.openxmlformats.org/officeDocument/2006/relationships/hyperlink" Target="https://www.google.com/search?newwindow=1&amp;ei=2MT0XrvGGM-vytMP1OyDgAY&amp;q=site%3Alinkedin.com+Amir+Muhammad+University+Recruiter+Google" TargetMode="External"/><Relationship Id="rId4359" Type="http://schemas.openxmlformats.org/officeDocument/2006/relationships/hyperlink" Target="https://www.google.com/search?newwindow=1&amp;ei=2MT0XrvGGM-vytMP1OyDgAY&amp;q=site%3Alinkedin.com+Katie+Jones+Campus+Recruiter+II+Wayfair" TargetMode="External"/><Relationship Id="rId4350" Type="http://schemas.openxmlformats.org/officeDocument/2006/relationships/hyperlink" Target="https://www.google.com/search?newwindow=1&amp;ei=2MT0XrvGGM-vytMP1OyDgAY&amp;q=site%3Alinkedin.com+Kellyn+Creese+University+Recruiter+PayPal" TargetMode="External"/><Relationship Id="rId3021" Type="http://schemas.openxmlformats.org/officeDocument/2006/relationships/hyperlink" Target="https://www.google.com/search?newwindow=1&amp;ei=2MT0XrvGGM-vytMP1OyDgAY&amp;q=site%3Alinkedin.com+Daryan+Rahimzadeh+Campus+Technical+Recruiter+Google" TargetMode="External"/><Relationship Id="rId4352" Type="http://schemas.openxmlformats.org/officeDocument/2006/relationships/hyperlink" Target="https://www.google.com/search?newwindow=1&amp;ei=2MT0XrvGGM-vytMP1OyDgAY&amp;q=site%3Alinkedin.com+Carleen+Haydon+University+Recruiter+PayPal" TargetMode="External"/><Relationship Id="rId3020" Type="http://schemas.openxmlformats.org/officeDocument/2006/relationships/hyperlink" Target="https://www.google.com/search?newwindow=1&amp;ei=2MT0XrvGGM-vytMP1OyDgAY&amp;q=site%3Alinkedin.com+Taylor+Cocherell+Campus+Recruiter+Dixon+Hughes+Goodman+LLP" TargetMode="External"/><Relationship Id="rId4351" Type="http://schemas.openxmlformats.org/officeDocument/2006/relationships/hyperlink" Target="https://www.google.com/search?newwindow=1&amp;ei=2MT0XrvGGM-vytMP1OyDgAY&amp;q=site%3Alinkedin.com+Carrie+Palmer+Campus+Recruiting+Program+Manager+Wayfair" TargetMode="External"/><Relationship Id="rId3023" Type="http://schemas.openxmlformats.org/officeDocument/2006/relationships/hyperlink" Target="https://www.google.com/search?newwindow=1&amp;ei=2MT0XrvGGM-vytMP1OyDgAY&amp;q=site%3Alinkedin.com+Rachel+Dickson+Campus+Technical+Recruiter+(Tech+)+Google" TargetMode="External"/><Relationship Id="rId4354" Type="http://schemas.openxmlformats.org/officeDocument/2006/relationships/hyperlink" Target="https://www.google.com/search?newwindow=1&amp;ei=2MT0XrvGGM-vytMP1OyDgAY&amp;q=site%3Alinkedin.com+Deana+V.+Talent+Acquistion/Campus+Recruiter+Philips" TargetMode="External"/><Relationship Id="rId3022" Type="http://schemas.openxmlformats.org/officeDocument/2006/relationships/hyperlink" Target="https://www.google.com/search?newwindow=1&amp;ei=2MT0XrvGGM-vytMP1OyDgAY&amp;q=site%3Alinkedin.com+Eleni+Martinez+Campus+Recruiter+Google" TargetMode="External"/><Relationship Id="rId4353" Type="http://schemas.openxmlformats.org/officeDocument/2006/relationships/hyperlink" Target="https://www.google.com/search?newwindow=1&amp;ei=2MT0XrvGGM-vytMP1OyDgAY&amp;q=site%3Alinkedin.com+Fallon+Stewart+Campus+Recruiter+Wayfair" TargetMode="External"/><Relationship Id="rId3025" Type="http://schemas.openxmlformats.org/officeDocument/2006/relationships/hyperlink" Target="https://www.google.com/search?newwindow=1&amp;ei=2MT0XrvGGM-vytMP1OyDgAY&amp;q=site%3Alinkedin.com+Monica+Lavin+Campus+Recruiter+Google" TargetMode="External"/><Relationship Id="rId4356" Type="http://schemas.openxmlformats.org/officeDocument/2006/relationships/hyperlink" Target="https://www.google.com/search?newwindow=1&amp;ei=2MT0XrvGGM-vytMP1OyDgAY&amp;q=site%3Alinkedin.com+Theresa+Mangan+Lang+Campus+Recruiter+Philips" TargetMode="External"/><Relationship Id="rId3024" Type="http://schemas.openxmlformats.org/officeDocument/2006/relationships/hyperlink" Target="https://www.google.com/search?newwindow=1&amp;ei=2MT0XrvGGM-vytMP1OyDgAY&amp;q=site%3Alinkedin.com+Monica+Kim+University+Recruiter+DocuSign" TargetMode="External"/><Relationship Id="rId4355" Type="http://schemas.openxmlformats.org/officeDocument/2006/relationships/hyperlink" Target="https://www.google.com/search?newwindow=1&amp;ei=2MT0XrvGGM-vytMP1OyDgAY&amp;q=site%3Alinkedin.com+Ryan+Cantwell+Campus+Recruiter+Wayfair" TargetMode="External"/><Relationship Id="rId3027" Type="http://schemas.openxmlformats.org/officeDocument/2006/relationships/hyperlink" Target="https://www.google.com/search?newwindow=1&amp;ei=2MT0XrvGGM-vytMP1OyDgAY&amp;q=site%3Alinkedin.com+Shaina+Conrad+Tech+University+Recruiter+Google" TargetMode="External"/><Relationship Id="rId4358" Type="http://schemas.openxmlformats.org/officeDocument/2006/relationships/hyperlink" Target="https://www.google.com/search?newwindow=1&amp;ei=2MT0XrvGGM-vytMP1OyDgAY&amp;q=site%3Alinkedin.com+Melanie+Kollmai+Campus+Recruiter+Philips" TargetMode="External"/><Relationship Id="rId3026" Type="http://schemas.openxmlformats.org/officeDocument/2006/relationships/hyperlink" Target="https://www.google.com/search?newwindow=1&amp;ei=2MT0XrvGGM-vytMP1OyDgAY&amp;q=site%3Alinkedin.com+Molly+Holmes+Jacobs+University+Recruiter+DocuSign" TargetMode="External"/><Relationship Id="rId4357" Type="http://schemas.openxmlformats.org/officeDocument/2006/relationships/hyperlink" Target="https://www.google.com/search?newwindow=1&amp;ei=2MT0XrvGGM-vytMP1OyDgAY&amp;q=site%3Alinkedin.com+Erica+Matos+Campus+Recruiter+Wayfair" TargetMode="External"/><Relationship Id="rId3050" Type="http://schemas.openxmlformats.org/officeDocument/2006/relationships/hyperlink" Target="https://www.google.com/search?newwindow=1&amp;ei=2MT0XrvGGM-vytMP1OyDgAY&amp;q=site%3Alinkedin.com+Chantal+Penton+University+Technical+Recruiter+Google" TargetMode="External"/><Relationship Id="rId4381" Type="http://schemas.openxmlformats.org/officeDocument/2006/relationships/hyperlink" Target="https://www.google.com/search?newwindow=1&amp;ei=2MT0XrvGGM-vytMP1OyDgAY&amp;q=site%3Alinkedin.com+Jane+Johnstone+Campus+Recruiter+Wells+Fargo" TargetMode="External"/><Relationship Id="rId4380" Type="http://schemas.openxmlformats.org/officeDocument/2006/relationships/hyperlink" Target="https://www.google.com/search?newwindow=1&amp;ei=2MT0XrvGGM-vytMP1OyDgAY&amp;q=site%3Alinkedin.com+Samantha+Salway+College+Recruiter+Progressive+Insurance" TargetMode="External"/><Relationship Id="rId3052" Type="http://schemas.openxmlformats.org/officeDocument/2006/relationships/hyperlink" Target="https://www.google.com/search?newwindow=1&amp;ei=2MT0XrvGGM-vytMP1OyDgAY&amp;q=site%3Alinkedin.com+Sarah+Peck+University+Recruiter,+Tech+Google" TargetMode="External"/><Relationship Id="rId4383" Type="http://schemas.openxmlformats.org/officeDocument/2006/relationships/hyperlink" Target="https://www.google.com/search?newwindow=1&amp;ei=2MT0XrvGGM-vytMP1OyDgAY&amp;q=site%3Alinkedin.com+Leah+Stewart+Head+of+Campus+Recruiting+Wells+Fargo" TargetMode="External"/><Relationship Id="rId3051" Type="http://schemas.openxmlformats.org/officeDocument/2006/relationships/hyperlink" Target="https://www.google.com/search?newwindow=1&amp;ei=2MT0XrvGGM-vytMP1OyDgAY&amp;q=site%3Alinkedin.com+Alexis+Cohen+Campus+Recruiter+Eli+Lilly+and+Company" TargetMode="External"/><Relationship Id="rId4382" Type="http://schemas.openxmlformats.org/officeDocument/2006/relationships/hyperlink" Target="https://www.google.com/search?newwindow=1&amp;ei=2MT0XrvGGM-vytMP1OyDgAY&amp;q=site%3Alinkedin.com+Aimee+Carcioppolo+IT+College+Recruiter+Progressive+Insurance" TargetMode="External"/><Relationship Id="rId3054" Type="http://schemas.openxmlformats.org/officeDocument/2006/relationships/hyperlink" Target="https://www.google.com/search?newwindow=1&amp;ei=2MT0XrvGGM-vytMP1OyDgAY&amp;q=site%3Alinkedin.com+Gabe+Espinosa+Technical+University+Recruiter+&amp;+Project+Manager+-+NA+Google" TargetMode="External"/><Relationship Id="rId4385" Type="http://schemas.openxmlformats.org/officeDocument/2006/relationships/hyperlink" Target="https://www.google.com/search?newwindow=1&amp;ei=2MT0XrvGGM-vytMP1OyDgAY&amp;q=site%3Alinkedin.com+Dianah+May+Campus+Recruiter+Wells+Fargo" TargetMode="External"/><Relationship Id="rId3053" Type="http://schemas.openxmlformats.org/officeDocument/2006/relationships/hyperlink" Target="https://www.google.com/search?newwindow=1&amp;ei=2MT0XrvGGM-vytMP1OyDgAY&amp;q=site%3Alinkedin.com+Shawn+Liller+HR+Campus+Recruiter+Eli+Lilly+and+Company" TargetMode="External"/><Relationship Id="rId4384" Type="http://schemas.openxmlformats.org/officeDocument/2006/relationships/hyperlink" Target="https://www.google.com/search?newwindow=1&amp;ei=2MT0XrvGGM-vytMP1OyDgAY&amp;q=site%3Alinkedin.com+Sarah+Williams+Campus+Recruiting+Manager+Protiviti" TargetMode="External"/><Relationship Id="rId3056" Type="http://schemas.openxmlformats.org/officeDocument/2006/relationships/hyperlink" Target="https://www.google.com/search?newwindow=1&amp;ei=2MT0XrvGGM-vytMP1OyDgAY&amp;q=site%3Alinkedin.com+Lindsey+Stewart+Americas+Recruiting+Manager+(Campus+and+Entry-level)+Google" TargetMode="External"/><Relationship Id="rId4387" Type="http://schemas.openxmlformats.org/officeDocument/2006/relationships/hyperlink" Target="https://www.google.com/search?newwindow=1&amp;ei=2MT0XrvGGM-vytMP1OyDgAY&amp;q=site%3Alinkedin.com+Ryan+Ruiz+VP,+Campus+Recruiting+Manager+Wells+Fargo" TargetMode="External"/><Relationship Id="rId3055" Type="http://schemas.openxmlformats.org/officeDocument/2006/relationships/hyperlink" Target="https://www.google.com/search?newwindow=1&amp;ei=2MT0XrvGGM-vytMP1OyDgAY&amp;q=site%3Alinkedin.com+Hira+Majid+Campus+Recruiter+-+Diversity+Lead+Eli+Lilly+and+Company" TargetMode="External"/><Relationship Id="rId4386" Type="http://schemas.openxmlformats.org/officeDocument/2006/relationships/hyperlink" Target="https://www.google.com/search?newwindow=1&amp;ei=2MT0XrvGGM-vytMP1OyDgAY&amp;q=site%3Alinkedin.com+Mariah+Wills+Campus+Recruiter+Protiviti" TargetMode="External"/><Relationship Id="rId3058" Type="http://schemas.openxmlformats.org/officeDocument/2006/relationships/hyperlink" Target="https://www.google.com/search?newwindow=1&amp;ei=2MT0XrvGGM-vytMP1OyDgAY&amp;q=site%3Alinkedin.com+Amber+Howe-McCarty+Campus+Recruiter+Google" TargetMode="External"/><Relationship Id="rId4389" Type="http://schemas.openxmlformats.org/officeDocument/2006/relationships/hyperlink" Target="https://www.google.com/search?newwindow=1&amp;ei=2MT0XrvGGM-vytMP1OyDgAY&amp;q=site%3Alinkedin.com+Marissa+Shimada+Campus+Recruiting+Consultant+Wells+Fargo" TargetMode="External"/><Relationship Id="rId3057" Type="http://schemas.openxmlformats.org/officeDocument/2006/relationships/hyperlink" Target="https://www.google.com/search?newwindow=1&amp;ei=2MT0XrvGGM-vytMP1OyDgAY&amp;q=site%3Alinkedin.com+Alison+Johnston+College+Intern+Recruiter+Google" TargetMode="External"/><Relationship Id="rId4388" Type="http://schemas.openxmlformats.org/officeDocument/2006/relationships/hyperlink" Target="https://www.google.com/search?newwindow=1&amp;ei=2MT0XrvGGM-vytMP1OyDgAY&amp;q=site%3Alinkedin.com+Katelyn+Sypher+Campus+Recruiting+Manager+Protiviti" TargetMode="External"/><Relationship Id="rId3059" Type="http://schemas.openxmlformats.org/officeDocument/2006/relationships/hyperlink" Target="https://www.google.com/search?newwindow=1&amp;ei=2MT0XrvGGM-vytMP1OyDgAY&amp;q=site%3Alinkedin.com+Katie+Price+Associate+Consultant-Campus+Recruiter+Eli+Lilly+and+Company" TargetMode="External"/><Relationship Id="rId4370" Type="http://schemas.openxmlformats.org/officeDocument/2006/relationships/hyperlink" Target="https://www.google.com/search?newwindow=1&amp;ei=2MT0XrvGGM-vytMP1OyDgAY&amp;q=site%3Alinkedin.com+Adriana+I.+Garcia+University+Recruiter+Pinterest" TargetMode="External"/><Relationship Id="rId3041" Type="http://schemas.openxmlformats.org/officeDocument/2006/relationships/hyperlink" Target="https://www.google.com/search?newwindow=1&amp;ei=2MT0XrvGGM-vytMP1OyDgAY&amp;q=site%3Alinkedin.com+Sidnie+Davis+Program+Manager+Google" TargetMode="External"/><Relationship Id="rId4372" Type="http://schemas.openxmlformats.org/officeDocument/2006/relationships/hyperlink" Target="https://www.google.com/search?newwindow=1&amp;ei=2MT0XrvGGM-vytMP1OyDgAY&amp;q=site%3Alinkedin.com+Tricia+Tran+University+Recruiter+Pinterest" TargetMode="External"/><Relationship Id="rId3040" Type="http://schemas.openxmlformats.org/officeDocument/2006/relationships/hyperlink" Target="https://www.google.com/search?newwindow=1&amp;ei=2MT0XrvGGM-vytMP1OyDgAY&amp;q=site%3Alinkedin.com+Vanessa+McQueen+University+Recruiter+&amp;+Programs+eBay" TargetMode="External"/><Relationship Id="rId4371" Type="http://schemas.openxmlformats.org/officeDocument/2006/relationships/hyperlink" Target="https://www.google.com/search?newwindow=1&amp;ei=2MT0XrvGGM-vytMP1OyDgAY&amp;q=site%3Alinkedin.com+Linda+Ma+University+Recruiter/+Intern+Program+Specialist+Waymo" TargetMode="External"/><Relationship Id="rId3043" Type="http://schemas.openxmlformats.org/officeDocument/2006/relationships/hyperlink" Target="https://www.google.com/search?newwindow=1&amp;ei=2MT0XrvGGM-vytMP1OyDgAY&amp;q=site%3Alinkedin.com+Amanda+Nowak+Technical+Recruiter+(University)+&amp;+Program+Manager+Google" TargetMode="External"/><Relationship Id="rId4374" Type="http://schemas.openxmlformats.org/officeDocument/2006/relationships/hyperlink" Target="https://www.google.com/search?newwindow=1&amp;ei=2MT0XrvGGM-vytMP1OyDgAY&amp;q=site%3Alinkedin.com+Ekta+Bathija+University+Recruiter+(PhD+Lead)+Pinterest" TargetMode="External"/><Relationship Id="rId3042" Type="http://schemas.openxmlformats.org/officeDocument/2006/relationships/hyperlink" Target="https://www.google.com/search?newwindow=1&amp;ei=2MT0XrvGGM-vytMP1OyDgAY&amp;q=site%3Alinkedin.com+Christy+A.+University+Recruiter+eBay" TargetMode="External"/><Relationship Id="rId4373" Type="http://schemas.openxmlformats.org/officeDocument/2006/relationships/hyperlink" Target="https://www.google.com/search?newwindow=1&amp;ei=2MT0XrvGGM-vytMP1OyDgAY&amp;q=site%3Alinkedin.com+Brandon+Kayhes+Campus+Recruiter+Wells+Fargo" TargetMode="External"/><Relationship Id="rId3045" Type="http://schemas.openxmlformats.org/officeDocument/2006/relationships/hyperlink" Target="https://www.google.com/search?newwindow=1&amp;ei=2MT0XrvGGM-vytMP1OyDgAY&amp;q=site%3Alinkedin.com+Isaac+Winkler+College+Recruiter+Google" TargetMode="External"/><Relationship Id="rId4376" Type="http://schemas.openxmlformats.org/officeDocument/2006/relationships/hyperlink" Target="https://www.google.com/search?newwindow=1&amp;ei=2MT0XrvGGM-vytMP1OyDgAY&amp;q=site%3Alinkedin.com+Dani+Beale+College+Recruiter-+IT+Progressive+Insurance" TargetMode="External"/><Relationship Id="rId3044" Type="http://schemas.openxmlformats.org/officeDocument/2006/relationships/hyperlink" Target="https://www.google.com/search?newwindow=1&amp;ei=2MT0XrvGGM-vytMP1OyDgAY&amp;q=site%3Alinkedin.com+Karen+Stinnett+Recruiter+-+University+Relations+&amp;+Next-Gen+Talent+Electronic+Arts" TargetMode="External"/><Relationship Id="rId4375" Type="http://schemas.openxmlformats.org/officeDocument/2006/relationships/hyperlink" Target="https://www.google.com/search?newwindow=1&amp;ei=2MT0XrvGGM-vytMP1OyDgAY&amp;q=site%3Alinkedin.com+Christie+Kerr+Campus+Recruiting,+Project+Manager+Wells+Fargo" TargetMode="External"/><Relationship Id="rId3047" Type="http://schemas.openxmlformats.org/officeDocument/2006/relationships/hyperlink" Target="https://www.google.com/search?newwindow=1&amp;ei=2MT0XrvGGM-vytMP1OyDgAY&amp;q=site%3Alinkedin.com+Alexandra+Sarosy+University+Recruiter+Google" TargetMode="External"/><Relationship Id="rId4378" Type="http://schemas.openxmlformats.org/officeDocument/2006/relationships/hyperlink" Target="https://www.google.com/search?newwindow=1&amp;ei=2MT0XrvGGM-vytMP1OyDgAY&amp;q=site%3Alinkedin.com+Lindsey+Hojnowski+IT+College+Recruiter+Progressive+Insurance" TargetMode="External"/><Relationship Id="rId3046" Type="http://schemas.openxmlformats.org/officeDocument/2006/relationships/hyperlink" Target="https://www.google.com/search?newwindow=1&amp;ei=2MT0XrvGGM-vytMP1OyDgAY&amp;q=site%3Alinkedin.com+Melissa+Wafful+Recruiter+-+University+Relations+&amp;+Next-Gen+Talent+Electronic+Arts+(EA)" TargetMode="External"/><Relationship Id="rId4377" Type="http://schemas.openxmlformats.org/officeDocument/2006/relationships/hyperlink" Target="https://www.google.com/search?newwindow=1&amp;ei=2MT0XrvGGM-vytMP1OyDgAY&amp;q=site%3Alinkedin.com+Cathy+Amezcua+Nikrooz+Senior+Wholesale+Campus+Recruiter+Wells+Fargo" TargetMode="External"/><Relationship Id="rId3049" Type="http://schemas.openxmlformats.org/officeDocument/2006/relationships/hyperlink" Target="https://www.google.com/search?newwindow=1&amp;ei=2MT0XrvGGM-vytMP1OyDgAY&amp;q=site%3Alinkedin.com+Brittany+Perry+College+Recruiter+Google" TargetMode="External"/><Relationship Id="rId3048" Type="http://schemas.openxmlformats.org/officeDocument/2006/relationships/hyperlink" Target="https://www.google.com/search?newwindow=1&amp;ei=2MT0XrvGGM-vytMP1OyDgAY&amp;q=site%3Alinkedin.com+Jenn+R.+Talent+Acquisition+Manager+(College+recruiter)+Google" TargetMode="External"/><Relationship Id="rId4379" Type="http://schemas.openxmlformats.org/officeDocument/2006/relationships/hyperlink" Target="https://www.google.com/search?newwindow=1&amp;ei=2MT0XrvGGM-vytMP1OyDgAY&amp;q=site%3Alinkedin.com+Allison+Hill+Campus+Recruiter+Wells+Fargo" TargetMode="External"/><Relationship Id="rId3911" Type="http://schemas.openxmlformats.org/officeDocument/2006/relationships/hyperlink" Target="https://www.google.com/search?newwindow=1&amp;ei=2MT0XrvGGM-vytMP1OyDgAY&amp;q=site%3Alinkedin.com+Jennifer+Stoch+Associate+Campus+Recruiter+KPMG+US" TargetMode="External"/><Relationship Id="rId3910" Type="http://schemas.openxmlformats.org/officeDocument/2006/relationships/hyperlink" Target="https://www.google.com/search?newwindow=1&amp;ei=2MT0XrvGGM-vytMP1OyDgAY&amp;q=site%3Alinkedin.com+Andrew+Yeung+Senior+University+Recruiter+Robinhood" TargetMode="External"/><Relationship Id="rId3913" Type="http://schemas.openxmlformats.org/officeDocument/2006/relationships/hyperlink" Target="https://www.google.com/search?newwindow=1&amp;ei=2MT0XrvGGM-vytMP1OyDgAY&amp;q=site%3Alinkedin.com+Avery+Ching+Senior+Associate+-+Campus+Recruiter+KPMG+US" TargetMode="External"/><Relationship Id="rId3912" Type="http://schemas.openxmlformats.org/officeDocument/2006/relationships/hyperlink" Target="https://www.google.com/search?newwindow=1&amp;ei=2MT0XrvGGM-vytMP1OyDgAY&amp;q=site%3Alinkedin.com+Sam+Lee+University+Recruiter+Robinhood" TargetMode="External"/><Relationship Id="rId3915" Type="http://schemas.openxmlformats.org/officeDocument/2006/relationships/hyperlink" Target="https://www.google.com/search?newwindow=1&amp;ei=2MT0XrvGGM-vytMP1OyDgAY&amp;q=site%3Alinkedin.com+Naomi+Kim+Campus+Recruiting+Manager+KPMG+US" TargetMode="External"/><Relationship Id="rId3914" Type="http://schemas.openxmlformats.org/officeDocument/2006/relationships/hyperlink" Target="https://www.google.com/search?newwindow=1&amp;ei=2MT0XrvGGM-vytMP1OyDgAY&amp;q=site%3Alinkedin.com+Tiffany+Siu+University+Recruiter+Robinhood" TargetMode="External"/><Relationship Id="rId3917" Type="http://schemas.openxmlformats.org/officeDocument/2006/relationships/hyperlink" Target="https://www.google.com/search?newwindow=1&amp;ei=2MT0XrvGGM-vytMP1OyDgAY&amp;q=site%3Alinkedin.com+Solveig+Haugen+Campus+Recruiter+KPMG+US" TargetMode="External"/><Relationship Id="rId3916" Type="http://schemas.openxmlformats.org/officeDocument/2006/relationships/hyperlink" Target="https://www.google.com/search?newwindow=1&amp;ei=2MT0XrvGGM-vytMP1OyDgAY&amp;q=site%3Alinkedin.com+Shanna+Naeole+Senior+Campus+Recruiter+RSM+US+LLP" TargetMode="External"/><Relationship Id="rId3919" Type="http://schemas.openxmlformats.org/officeDocument/2006/relationships/hyperlink" Target="https://www.google.com/search?newwindow=1&amp;ei=2MT0XrvGGM-vytMP1OyDgAY&amp;q=site%3Alinkedin.com+Amber+Campbell+Talent+Acquisition+-+Senior+Campus+Recruiter+RSM+US+LLP" TargetMode="External"/><Relationship Id="rId3918" Type="http://schemas.openxmlformats.org/officeDocument/2006/relationships/hyperlink" Target="https://www.google.com/search?newwindow=1&amp;ei=2MT0XrvGGM-vytMP1OyDgAY&amp;q=site%3Alinkedin.com+Hayley+Johnson+Sr.+Campus+Recruiter+-+Audit+&amp;+Tax+RSM+US+LLP" TargetMode="External"/><Relationship Id="rId3900" Type="http://schemas.openxmlformats.org/officeDocument/2006/relationships/hyperlink" Target="https://www.google.com/search?newwindow=1&amp;ei=2MT0XrvGGM-vytMP1OyDgAY&amp;q=site%3Alinkedin.com+Lexi+Casarez+University+Programs+Recruiter+at+Raytheon+Missiles+&amp;+Defense+Raytheon+Missiles+&amp;+Defense" TargetMode="External"/><Relationship Id="rId3902" Type="http://schemas.openxmlformats.org/officeDocument/2006/relationships/hyperlink" Target="https://www.google.com/search?newwindow=1&amp;ei=2MT0XrvGGM-vytMP1OyDgAY&amp;q=site%3Alinkedin.com+Hazel+Y.+Lopez+University+Programs+Recruiter+Raytheon+Technologies" TargetMode="External"/><Relationship Id="rId3901" Type="http://schemas.openxmlformats.org/officeDocument/2006/relationships/hyperlink" Target="https://www.google.com/search?newwindow=1&amp;ei=2MT0XrvGGM-vytMP1OyDgAY&amp;q=site%3Alinkedin.com+Jenna+R.+Campus+Recruiting+Manager+KPMG+US" TargetMode="External"/><Relationship Id="rId3904" Type="http://schemas.openxmlformats.org/officeDocument/2006/relationships/hyperlink" Target="https://www.google.com/search?newwindow=1&amp;ei=2MT0XrvGGM-vytMP1OyDgAY&amp;q=site%3Alinkedin.com+LaToya+Johnson+University+Programs+Recruiter+Raytheon+Technologies" TargetMode="External"/><Relationship Id="rId3903" Type="http://schemas.openxmlformats.org/officeDocument/2006/relationships/hyperlink" Target="https://www.google.com/search?newwindow=1&amp;ei=2MT0XrvGGM-vytMP1OyDgAY&amp;q=site%3Alinkedin.com+Erin+Pruitt+University+Programs+Recruiter+-+Raytheon+Intelligence+and+Space+Raytheon+Technologies" TargetMode="External"/><Relationship Id="rId3906" Type="http://schemas.openxmlformats.org/officeDocument/2006/relationships/hyperlink" Target="https://www.google.com/search?newwindow=1&amp;ei=2MT0XrvGGM-vytMP1OyDgAY&amp;q=site%3Alinkedin.com+Kate+McClain+Campus+Recruiting+Manager+KPMG+US" TargetMode="External"/><Relationship Id="rId3905" Type="http://schemas.openxmlformats.org/officeDocument/2006/relationships/hyperlink" Target="https://www.google.com/search?newwindow=1&amp;ei=2MT0XrvGGM-vytMP1OyDgAY&amp;q=site%3Alinkedin.com+Kevin+Lohmeier+Campus+Recruiting+Manager+-+University+of+Arizona+Raytheon+Technologies" TargetMode="External"/><Relationship Id="rId3908" Type="http://schemas.openxmlformats.org/officeDocument/2006/relationships/hyperlink" Target="https://www.google.com/search?newwindow=1&amp;ei=2MT0XrvGGM-vytMP1OyDgAY&amp;q=site%3Alinkedin.com+Alvin+Hui+University+Recruiter+&amp;+Program+Manager+Robinhood" TargetMode="External"/><Relationship Id="rId3907" Type="http://schemas.openxmlformats.org/officeDocument/2006/relationships/hyperlink" Target="https://www.google.com/search?newwindow=1&amp;ei=2MT0XrvGGM-vytMP1OyDgAY&amp;q=site%3Alinkedin.com+Amy+Rosenblum+University+Programs+Recruiter+Raytheon+Technologies" TargetMode="External"/><Relationship Id="rId3909" Type="http://schemas.openxmlformats.org/officeDocument/2006/relationships/hyperlink" Target="https://www.google.com/search?newwindow=1&amp;ei=2MT0XrvGGM-vytMP1OyDgAY&amp;q=site%3Alinkedin.com+Alsa+Le+Bailly+Campus+Recruiter+KPMG+US" TargetMode="External"/><Relationship Id="rId3931" Type="http://schemas.openxmlformats.org/officeDocument/2006/relationships/hyperlink" Target="https://www.google.com/search?newwindow=1&amp;ei=2MT0XrvGGM-vytMP1OyDgAY&amp;q=site%3Alinkedin.com+Raymond+Reyes+Sr.+Campus+Recruiter+RSM+US+LLP" TargetMode="External"/><Relationship Id="rId2600" Type="http://schemas.openxmlformats.org/officeDocument/2006/relationships/hyperlink" Target="https://www.google.com/search?newwindow=1&amp;ei=2MT0XrvGGM-vytMP1OyDgAY&amp;q=site%3Alinkedin.com+Megan+Miniello+Driscoll+Financial+Services+Campus+Recruiter+EY" TargetMode="External"/><Relationship Id="rId3930" Type="http://schemas.openxmlformats.org/officeDocument/2006/relationships/hyperlink" Target="https://www.google.com/search?newwindow=1&amp;ei=2MT0XrvGGM-vytMP1OyDgAY&amp;q=site%3Alinkedin.com+Maeve+O'Connor+Senior+Campus+Recruiter+RSM+US+LLP" TargetMode="External"/><Relationship Id="rId2601" Type="http://schemas.openxmlformats.org/officeDocument/2006/relationships/hyperlink" Target="https://www.google.com/search?newwindow=1&amp;ei=2MT0XrvGGM-vytMP1OyDgAY&amp;q=site%3Alinkedin.com+Jonell+Diaz+Hanley+College+Recruiter+The+Boeing+Company" TargetMode="External"/><Relationship Id="rId3933" Type="http://schemas.openxmlformats.org/officeDocument/2006/relationships/hyperlink" Target="https://www.google.com/search?newwindow=1&amp;ei=2MT0XrvGGM-vytMP1OyDgAY&amp;q=site%3Alinkedin.com+Allison+Cenci+Campus+Recruiter+RSM+US+LLP" TargetMode="External"/><Relationship Id="rId2602" Type="http://schemas.openxmlformats.org/officeDocument/2006/relationships/hyperlink" Target="https://www.google.com/search?newwindow=1&amp;ei=2MT0XrvGGM-vytMP1OyDgAY&amp;q=site%3Alinkedin.com+Ashley+Redmond+Campus+Referral+Recruiter+EY" TargetMode="External"/><Relationship Id="rId3932" Type="http://schemas.openxmlformats.org/officeDocument/2006/relationships/hyperlink" Target="https://www.google.com/search?newwindow=1&amp;ei=2MT0XrvGGM-vytMP1OyDgAY&amp;q=site%3Alinkedin.com+Kimberly+Myers+Campus+Recruiter+Liberty+Mutual+Insurance" TargetMode="External"/><Relationship Id="rId2603" Type="http://schemas.openxmlformats.org/officeDocument/2006/relationships/hyperlink" Target="https://www.google.com/search?newwindow=1&amp;ei=2MT0XrvGGM-vytMP1OyDgAY&amp;q=site%3Alinkedin.com+Irah+Dizon+College+Recruiter+Specialist+The+Boeing+Company" TargetMode="External"/><Relationship Id="rId3935" Type="http://schemas.openxmlformats.org/officeDocument/2006/relationships/hyperlink" Target="https://www.google.com/search?newwindow=1&amp;ei=2MT0XrvGGM-vytMP1OyDgAY&amp;q=site%3Alinkedin.com+Lauren+Fitzgibbon+Senior+Campus+Recruiter+Liberty+Mutual+Insurance" TargetMode="External"/><Relationship Id="rId2604" Type="http://schemas.openxmlformats.org/officeDocument/2006/relationships/hyperlink" Target="https://www.google.com/search?newwindow=1&amp;ei=2MT0XrvGGM-vytMP1OyDgAY&amp;q=site%3Alinkedin.com+Addison+(Goodwin)+Wilkie+Consulting+Campus+Recruiter+EY" TargetMode="External"/><Relationship Id="rId3934" Type="http://schemas.openxmlformats.org/officeDocument/2006/relationships/hyperlink" Target="https://www.google.com/search?newwindow=1&amp;ei=2MT0XrvGGM-vytMP1OyDgAY&amp;q=site%3Alinkedin.com+Makenzie+Kate+Kocurek+Campus+Recruiter+RSM+US+LLP" TargetMode="External"/><Relationship Id="rId2605" Type="http://schemas.openxmlformats.org/officeDocument/2006/relationships/hyperlink" Target="https://www.google.com/search?newwindow=1&amp;ei=2MT0XrvGGM-vytMP1OyDgAY&amp;q=site%3Alinkedin.com+Brittanie+Bosselait+University+Recruiter+Booz+Allen+Hamilton" TargetMode="External"/><Relationship Id="rId3937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2606" Type="http://schemas.openxmlformats.org/officeDocument/2006/relationships/hyperlink" Target="https://www.google.com/search?newwindow=1&amp;ei=2MT0XrvGGM-vytMP1OyDgAY&amp;q=site%3Alinkedin.com+Katie+Caraboa+Campus+Recruiter+EY" TargetMode="External"/><Relationship Id="rId3936" Type="http://schemas.openxmlformats.org/officeDocument/2006/relationships/hyperlink" Target="https://www.google.com/search?newwindow=1&amp;ei=2MT0XrvGGM-vytMP1OyDgAY&amp;q=site%3Alinkedin.com+Erika+DiGuilio+Senior+Campus+Recruiter+RSM+US+LLP" TargetMode="External"/><Relationship Id="rId808" Type="http://schemas.openxmlformats.org/officeDocument/2006/relationships/hyperlink" Target="https://www.google.com/search?newwindow=1&amp;ei=2MT0XrvGGM-vytMP1OyDgAY&amp;q=site%3Alinkedin.com+Carmen+Wan+Full+Cycle+University+Recruiter,+Software+Engineering,+EMEA" TargetMode="External"/><Relationship Id="rId2607" Type="http://schemas.openxmlformats.org/officeDocument/2006/relationships/hyperlink" Target="https://www.google.com/search?newwindow=1&amp;ei=2MT0XrvGGM-vytMP1OyDgAY&amp;q=site%3Alinkedin.com+Maddie+Castro+Campus+Recruiter+EY" TargetMode="External"/><Relationship Id="rId3939" Type="http://schemas.openxmlformats.org/officeDocument/2006/relationships/hyperlink" Target="https://www.google.com/search?newwindow=1&amp;ei=2MT0XrvGGM-vytMP1OyDgAY&amp;q=site%3Alinkedin.com+Daniel+McCarthy+Campus+Recruiter+Liberty+Mutual+Insurance" TargetMode="External"/><Relationship Id="rId807" Type="http://schemas.openxmlformats.org/officeDocument/2006/relationships/hyperlink" Target="https://www.google.com/search?newwindow=1&amp;ei=2MT0XrvGGM-vytMP1OyDgAY&amp;q=site%3Alinkedin.com+Claire+Smith(LION)claire.smith@ochrehouse.com+Recruiting+Business+Partner" TargetMode="External"/><Relationship Id="rId2608" Type="http://schemas.openxmlformats.org/officeDocument/2006/relationships/hyperlink" Target="https://www.google.com/search?newwindow=1&amp;ei=2MT0XrvGGM-vytMP1OyDgAY&amp;q=site%3Alinkedin.com+Gracie+Keyser+University+Recruiting+Campus+Manager+Booz+Allen+Hamilton" TargetMode="External"/><Relationship Id="rId3938" Type="http://schemas.openxmlformats.org/officeDocument/2006/relationships/hyperlink" Target="https://www.google.com/search?newwindow=1&amp;ei=2MT0XrvGGM-vytMP1OyDgAY&amp;q=site%3Alinkedin.com+Shalyce+Adamson+Senior+Campus+Recruiter+RSM+US+LLP" TargetMode="External"/><Relationship Id="rId806" Type="http://schemas.openxmlformats.org/officeDocument/2006/relationships/hyperlink" Target="https://www.google.com/search?newwindow=1&amp;ei=2MT0XrvGGM-vytMP1OyDgAY&amp;q=site%3Alinkedin.com+Lucy+Rubin+(CIPD)+Engineering+Recruitment+Lead" TargetMode="External"/><Relationship Id="rId2609" Type="http://schemas.openxmlformats.org/officeDocument/2006/relationships/hyperlink" Target="https://www.google.com/search?newwindow=1&amp;ei=2MT0XrvGGM-vytMP1OyDgAY&amp;q=site%3Alinkedin.com+Carol+Nielsen+Campus+Recruiter+(Rotational+Talent+Advisor),+Supervising+Associate+EY" TargetMode="External"/><Relationship Id="rId805" Type="http://schemas.openxmlformats.org/officeDocument/2006/relationships/hyperlink" Target="https://www.google.com/search?newwindow=1&amp;ei=2MT0XrvGGM-vytMP1OyDgAY&amp;q=site%3Alinkedin.com+Selina+Li+EMEA+Graduate+Recruiter" TargetMode="External"/><Relationship Id="rId809" Type="http://schemas.openxmlformats.org/officeDocument/2006/relationships/hyperlink" Target="https://www.google.com/search?newwindow=1&amp;ei=2MT0XrvGGM-vytMP1OyDgAY&amp;q=site%3Alinkedin.com+Alexandra+Mitchell+Graduate+Recruiter" TargetMode="External"/><Relationship Id="rId800" Type="http://schemas.openxmlformats.org/officeDocument/2006/relationships/hyperlink" Target="https://www.google.com/search?newwindow=1&amp;ei=2MT0XrvGGM-vytMP1OyDgAY&amp;q=site%3Alinkedin.com+Mark+Nicholson+Graduate+Recruiter" TargetMode="External"/><Relationship Id="rId804" Type="http://schemas.openxmlformats.org/officeDocument/2006/relationships/hyperlink" Target="https://www.google.com/search?newwindow=1&amp;ei=2MT0XrvGGM-vytMP1OyDgAY&amp;q=site%3Alinkedin.com+Kirsten+Steen+Graduate+Technology+Recruiter" TargetMode="External"/><Relationship Id="rId803" Type="http://schemas.openxmlformats.org/officeDocument/2006/relationships/hyperlink" Target="https://www.google.com/search?newwindow=1&amp;ei=2MT0XrvGGM-vytMP1OyDgAY&amp;q=site%3Alinkedin.com+Alison+Lane+Graduate+Recruiter" TargetMode="External"/><Relationship Id="rId802" Type="http://schemas.openxmlformats.org/officeDocument/2006/relationships/hyperlink" Target="https://www.google.com/search?newwindow=1&amp;ei=2MT0XrvGGM-vytMP1OyDgAY&amp;q=site%3Alinkedin.com+Matthew+Jones+Senior+Recruiter" TargetMode="External"/><Relationship Id="rId801" Type="http://schemas.openxmlformats.org/officeDocument/2006/relationships/hyperlink" Target="https://www.google.com/search?newwindow=1&amp;ei=2MT0XrvGGM-vytMP1OyDgAY&amp;q=site%3Alinkedin.com+Tom+Cole+Graduate+Recruitment+Officer+-+University+of+Oxford" TargetMode="External"/><Relationship Id="rId3920" Type="http://schemas.openxmlformats.org/officeDocument/2006/relationships/hyperlink" Target="https://www.google.com/search?newwindow=1&amp;ei=2MT0XrvGGM-vytMP1OyDgAY&amp;q=site%3Alinkedin.com+Torie+Prothro+Campus+Recruiter+KPMG+US" TargetMode="External"/><Relationship Id="rId3922" Type="http://schemas.openxmlformats.org/officeDocument/2006/relationships/hyperlink" Target="https://www.google.com/search?newwindow=1&amp;ei=2MT0XrvGGM-vytMP1OyDgAY&amp;q=site%3Alinkedin.com+Leah+Gordon+Sr.+Campus+Recruiter+RSM+US+LLP" TargetMode="External"/><Relationship Id="rId3921" Type="http://schemas.openxmlformats.org/officeDocument/2006/relationships/hyperlink" Target="https://www.google.com/search?newwindow=1&amp;ei=2MT0XrvGGM-vytMP1OyDgAY&amp;q=site%3Alinkedin.com+Aimee+Williams+Sr.+Campus+Recruiter+RSM+US+LLP" TargetMode="External"/><Relationship Id="rId3924" Type="http://schemas.openxmlformats.org/officeDocument/2006/relationships/hyperlink" Target="https://www.google.com/search?newwindow=1&amp;ei=2MT0XrvGGM-vytMP1OyDgAY&amp;q=site%3Alinkedin.com+Tara+Skrla+Consulting+Campus+Recruiter+-+Senior+Associate+RSM+US+LLP" TargetMode="External"/><Relationship Id="rId3923" Type="http://schemas.openxmlformats.org/officeDocument/2006/relationships/hyperlink" Target="https://www.google.com/search?newwindow=1&amp;ei=2MT0XrvGGM-vytMP1OyDgAY&amp;q=site%3Alinkedin.com+Brianna+Peipert+Associate+Campus+Recruiter+KPMG+US" TargetMode="External"/><Relationship Id="rId3926" Type="http://schemas.openxmlformats.org/officeDocument/2006/relationships/hyperlink" Target="https://www.google.com/search?newwindow=1&amp;ei=2MT0XrvGGM-vytMP1OyDgAY&amp;q=site%3Alinkedin.com+Tricia+Raper+Senior+Campus+Recruiter+RSM+US+LLP" TargetMode="External"/><Relationship Id="rId3925" Type="http://schemas.openxmlformats.org/officeDocument/2006/relationships/hyperlink" Target="https://www.google.com/search?newwindow=1&amp;ei=2MT0XrvGGM-vytMP1OyDgAY&amp;q=site%3Alinkedin.com+Renee+T.+Campus+Recruiting+Manager+-+Advisory+&amp;+Tax+Primary+Recruiter+KPMG+US" TargetMode="External"/><Relationship Id="rId3928" Type="http://schemas.openxmlformats.org/officeDocument/2006/relationships/hyperlink" Target="https://www.google.com/search?newwindow=1&amp;ei=2MT0XrvGGM-vytMP1OyDgAY&amp;q=site%3Alinkedin.com+Cori+Moore,+CPA+Senior+Campus+Recruiter+RSM+US+LLP" TargetMode="External"/><Relationship Id="rId3927" Type="http://schemas.openxmlformats.org/officeDocument/2006/relationships/hyperlink" Target="https://www.google.com/search?newwindow=1&amp;ei=2MT0XrvGGM-vytMP1OyDgAY&amp;q=site%3Alinkedin.com+Renee+T.+Campus+Recruiting+Manager+-+Advisory+&amp;+Tax+Primary+Recruiter+KPMG+US" TargetMode="External"/><Relationship Id="rId3929" Type="http://schemas.openxmlformats.org/officeDocument/2006/relationships/hyperlink" Target="https://www.google.com/search?newwindow=1&amp;ei=2MT0XrvGGM-vytMP1OyDgAY&amp;q=site%3Alinkedin.com+Ina+Abraham+Senior+Campus+Recruiter+RSM+US+LLP" TargetMode="External"/><Relationship Id="rId1334" Type="http://schemas.openxmlformats.org/officeDocument/2006/relationships/hyperlink" Target="https://www.google.com/search?newwindow=1&amp;ei=2MT0XrvGGM-vytMP1OyDgAY&amp;q=site%3Alinkedin.com+Austin+El-Bakri+Campus+Recruiting+Coordinator" TargetMode="External"/><Relationship Id="rId2665" Type="http://schemas.openxmlformats.org/officeDocument/2006/relationships/hyperlink" Target="https://www.google.com/search?newwindow=1&amp;ei=2MT0XrvGGM-vytMP1OyDgAY&amp;q=site%3Alinkedin.com+Ami+Takahashi+Campus+Recruiter+EY" TargetMode="External"/><Relationship Id="rId3997" Type="http://schemas.openxmlformats.org/officeDocument/2006/relationships/hyperlink" Target="https://www.google.com/search?newwindow=1&amp;ei=2MT0XrvGGM-vytMP1OyDgAY&amp;q=site%3Alinkedin.com+Jillian+Rozek+University+Recruiting+Manager+Siemens" TargetMode="External"/><Relationship Id="rId1335" Type="http://schemas.openxmlformats.org/officeDocument/2006/relationships/hyperlink" Target="https://www.google.com/search?newwindow=1&amp;ei=2MT0XrvGGM-vytMP1OyDgAY&amp;q=site%3Alinkedin.com+Claire+Sonksen+Campus+Recruiting+Coordinator" TargetMode="External"/><Relationship Id="rId2666" Type="http://schemas.openxmlformats.org/officeDocument/2006/relationships/hyperlink" Target="https://www.google.com/search?newwindow=1&amp;ei=2MT0XrvGGM-vytMP1OyDgAY&amp;q=site%3Alinkedin.com+Mary+Kate+Duncan+Campus+Recruiter+Capital+One" TargetMode="External"/><Relationship Id="rId3996" Type="http://schemas.openxmlformats.org/officeDocument/2006/relationships/hyperlink" Target="https://www.google.com/search?newwindow=1&amp;ei=2MT0XrvGGM-vytMP1OyDgAY&amp;q=site%3Alinkedin.com+Patrick+Dinsmoor+Campus+Recruiter+Lockheed+Martin" TargetMode="External"/><Relationship Id="rId1336" Type="http://schemas.openxmlformats.org/officeDocument/2006/relationships/hyperlink" Target="https://www.google.com/search?newwindow=1&amp;ei=2MT0XrvGGM-vytMP1OyDgAY&amp;q=site%3Alinkedin.com+Teresa+Pond+Associate,+Campus+Recruiting" TargetMode="External"/><Relationship Id="rId2667" Type="http://schemas.openxmlformats.org/officeDocument/2006/relationships/hyperlink" Target="https://www.google.com/search?newwindow=1&amp;ei=2MT0XrvGGM-vytMP1OyDgAY&amp;q=site%3Alinkedin.com+Allison+Maron+Senior+Associate,+Campus+Recruiter+EY" TargetMode="External"/><Relationship Id="rId3999" Type="http://schemas.openxmlformats.org/officeDocument/2006/relationships/hyperlink" Target="https://www.google.com/search?newwindow=1&amp;ei=2MT0XrvGGM-vytMP1OyDgAY&amp;q=site%3Alinkedin.com+Rina+Kotak+University+Relations+Recruiter+Siemens+Digital+Industries+Software" TargetMode="External"/><Relationship Id="rId1337" Type="http://schemas.openxmlformats.org/officeDocument/2006/relationships/hyperlink" Target="https://www.google.com/search?newwindow=1&amp;ei=2MT0XrvGGM-vytMP1OyDgAY&amp;q=site%3Alinkedin.com+Jim+Andrus+-++SPHR,SHRM-SCP+Southwest+Market+Campus+Recruiting+Lead" TargetMode="External"/><Relationship Id="rId2668" Type="http://schemas.openxmlformats.org/officeDocument/2006/relationships/hyperlink" Target="https://www.google.com/search?newwindow=1&amp;ei=2MT0XrvGGM-vytMP1OyDgAY&amp;q=site%3Alinkedin.com+Sarah+Bigelow+Campus+Recruiter+Capital+One" TargetMode="External"/><Relationship Id="rId3998" Type="http://schemas.openxmlformats.org/officeDocument/2006/relationships/hyperlink" Target="https://www.google.com/search?newwindow=1&amp;ei=2MT0XrvGGM-vytMP1OyDgAY&amp;q=site%3Alinkedin.com+Jessica+Buchberger+University+Relations+Recruiter+Siemens+Digital+Industries+Software" TargetMode="External"/><Relationship Id="rId1338" Type="http://schemas.openxmlformats.org/officeDocument/2006/relationships/hyperlink" Target="https://www.google.com/search?newwindow=1&amp;ei=2MT0XrvGGM-vytMP1OyDgAY&amp;q=site%3Alinkedin.com+Joni+Fisher+Campus+Recruiting+Field+Operations+Lead" TargetMode="External"/><Relationship Id="rId2669" Type="http://schemas.openxmlformats.org/officeDocument/2006/relationships/hyperlink" Target="https://www.google.com/search?newwindow=1&amp;ei=2MT0XrvGGM-vytMP1OyDgAY&amp;q=site%3Alinkedin.com+Ritu+M.+Campus+Recruiter+EY" TargetMode="External"/><Relationship Id="rId1339" Type="http://schemas.openxmlformats.org/officeDocument/2006/relationships/hyperlink" Target="https://www.google.com/search?newwindow=1&amp;ei=2MT0XrvGGM-vytMP1OyDgAY&amp;q=site%3Alinkedin.com+Richelle+Medellin+Vice+President,+Head+of+Campus+Recruiting,+Salt+Lake+City" TargetMode="External"/><Relationship Id="rId745" Type="http://schemas.openxmlformats.org/officeDocument/2006/relationships/hyperlink" Target="https://www.google.com/search?newwindow=1&amp;ei=2MT0XrvGGM-vytMP1OyDgAY&amp;q=site%3Alinkedin.com+Chen+Murugiah+Assistant+Vice+President+-+Lead+Campus+Recruiter" TargetMode="External"/><Relationship Id="rId744" Type="http://schemas.openxmlformats.org/officeDocument/2006/relationships/hyperlink" Target="https://www.google.com/search?newwindow=1&amp;ei=2MT0XrvGGM-vytMP1OyDgAY&amp;q=site%3Alinkedin.com+Kuldip+Bhathal+Graduate+Recruiter" TargetMode="External"/><Relationship Id="rId743" Type="http://schemas.openxmlformats.org/officeDocument/2006/relationships/hyperlink" Target="https://www.google.com/search?newwindow=1&amp;ei=2MT0XrvGGM-vytMP1OyDgAY&amp;q=site%3Alinkedin.com+Julia+Dadswell+Associate+Graduate+Recruiter" TargetMode="External"/><Relationship Id="rId742" Type="http://schemas.openxmlformats.org/officeDocument/2006/relationships/hyperlink" Target="https://www.google.com/search?newwindow=1&amp;ei=2MT0XrvGGM-vytMP1OyDgAY&amp;q=site%3Alinkedin.com+Nita+Karavadra+Senior+Program+Manager,+EMEA+Student+Programs" TargetMode="External"/><Relationship Id="rId749" Type="http://schemas.openxmlformats.org/officeDocument/2006/relationships/hyperlink" Target="https://www.google.com/search?newwindow=1&amp;ei=2MT0XrvGGM-vytMP1OyDgAY&amp;q=site%3Alinkedin.com+Saira+Mohammed+EMEA+University+Recruiter" TargetMode="External"/><Relationship Id="rId748" Type="http://schemas.openxmlformats.org/officeDocument/2006/relationships/hyperlink" Target="https://www.google.com/search?newwindow=1&amp;ei=2MT0XrvGGM-vytMP1OyDgAY&amp;q=site%3Alinkedin.com+Catherine+Ives+Campus+Recruiter" TargetMode="External"/><Relationship Id="rId747" Type="http://schemas.openxmlformats.org/officeDocument/2006/relationships/hyperlink" Target="https://www.google.com/search?newwindow=1&amp;ei=2MT0XrvGGM-vytMP1OyDgAY&amp;q=site%3Alinkedin.com+Abby+Bryson+University+Recruiter" TargetMode="External"/><Relationship Id="rId746" Type="http://schemas.openxmlformats.org/officeDocument/2006/relationships/hyperlink" Target="https://www.google.com/search?newwindow=1&amp;ei=2MT0XrvGGM-vytMP1OyDgAY&amp;q=site%3Alinkedin.com+Veerali+Patel+Recruiter" TargetMode="External"/><Relationship Id="rId3991" Type="http://schemas.openxmlformats.org/officeDocument/2006/relationships/hyperlink" Target="https://www.google.com/search?newwindow=1&amp;ei=2MT0XrvGGM-vytMP1OyDgAY&amp;q=site%3Alinkedin.com+Mary+Slater+Business+Excellence+Manager,+Shell+TechWorks+Shell" TargetMode="External"/><Relationship Id="rId2660" Type="http://schemas.openxmlformats.org/officeDocument/2006/relationships/hyperlink" Target="https://www.google.com/search?newwindow=1&amp;ei=2MT0XrvGGM-vytMP1OyDgAY&amp;q=site%3Alinkedin.com+Thomas+S.+Campus+Recruiter+EY" TargetMode="External"/><Relationship Id="rId3990" Type="http://schemas.openxmlformats.org/officeDocument/2006/relationships/hyperlink" Target="https://www.google.com/search?newwindow=1&amp;ei=2MT0XrvGGM-vytMP1OyDgAY&amp;q=site%3Alinkedin.com+Candice+Mitchell,+MBA,+SHRM-CP+University+Recruiter+Shell" TargetMode="External"/><Relationship Id="rId741" Type="http://schemas.openxmlformats.org/officeDocument/2006/relationships/hyperlink" Target="https://www.google.com/search?newwindow=1&amp;ei=2MT0XrvGGM-vytMP1OyDgAY&amp;q=site%3Alinkedin.com+Lisa+McNeil-Duncan+Campus+Recruiter" TargetMode="External"/><Relationship Id="rId1330" Type="http://schemas.openxmlformats.org/officeDocument/2006/relationships/hyperlink" Target="https://www.google.com/search?newwindow=1&amp;ei=2MT0XrvGGM-vytMP1OyDgAY&amp;q=site%3Alinkedin.com+Kendra+Stanfill+Graduate+Campus+Recruiter" TargetMode="External"/><Relationship Id="rId2661" Type="http://schemas.openxmlformats.org/officeDocument/2006/relationships/hyperlink" Target="https://www.google.com/search?newwindow=1&amp;ei=2MT0XrvGGM-vytMP1OyDgAY&amp;q=site%3Alinkedin.com+Renee+Morrison,+CPA+Campus+Recruiter+EY" TargetMode="External"/><Relationship Id="rId3993" Type="http://schemas.openxmlformats.org/officeDocument/2006/relationships/hyperlink" Target="https://www.google.com/search?newwindow=1&amp;ei=2MT0XrvGGM-vytMP1OyDgAY&amp;q=site%3Alinkedin.com+Ralph+Faxel+Texas+A&amp;M+CHEN+Campus+Recruiter+Shell" TargetMode="External"/><Relationship Id="rId740" Type="http://schemas.openxmlformats.org/officeDocument/2006/relationships/hyperlink" Target="https://www.google.com/search?newwindow=1&amp;ei=2MT0XrvGGM-vytMP1OyDgAY&amp;q=site%3Alinkedin.com+Katerina+Birova+Non-Technical+Intern,+Global+Partner+Programs+&amp;+Operations" TargetMode="External"/><Relationship Id="rId1331" Type="http://schemas.openxmlformats.org/officeDocument/2006/relationships/hyperlink" Target="https://www.google.com/search?newwindow=1&amp;ei=2MT0XrvGGM-vytMP1OyDgAY&amp;q=site%3Alinkedin.com+Jie+Jiang,+MA+MBA+International+student+recruiter" TargetMode="External"/><Relationship Id="rId2662" Type="http://schemas.openxmlformats.org/officeDocument/2006/relationships/hyperlink" Target="https://www.google.com/search?newwindow=1&amp;ei=2MT0XrvGGM-vytMP1OyDgAY&amp;q=site%3Alinkedin.com+Peyton+Lowery+Senior+Campus+Recruiter+-+Technology+Capital+One" TargetMode="External"/><Relationship Id="rId3992" Type="http://schemas.openxmlformats.org/officeDocument/2006/relationships/hyperlink" Target="https://www.google.com/search?newwindow=1&amp;ei=2MT0XrvGGM-vytMP1OyDgAY&amp;q=site%3Alinkedin.com+Tamara+Evans+College+Recruiter+Lockheed+Martin" TargetMode="External"/><Relationship Id="rId1332" Type="http://schemas.openxmlformats.org/officeDocument/2006/relationships/hyperlink" Target="https://www.google.com/search?newwindow=1&amp;ei=2MT0XrvGGM-vytMP1OyDgAY&amp;q=site%3Alinkedin.com+beverly+walker+Campus+Recruiting+Representative" TargetMode="External"/><Relationship Id="rId2663" Type="http://schemas.openxmlformats.org/officeDocument/2006/relationships/hyperlink" Target="https://www.google.com/search?newwindow=1&amp;ei=2MT0XrvGGM-vytMP1OyDgAY&amp;q=site%3Alinkedin.com+Drew+Ford+Campus+Recruiter+EY" TargetMode="External"/><Relationship Id="rId3995" Type="http://schemas.openxmlformats.org/officeDocument/2006/relationships/hyperlink" Target="https://www.google.com/search?newwindow=1&amp;ei=2MT0XrvGGM-vytMP1OyDgAY&amp;q=site%3Alinkedin.com+Briana+Raasio+MBA,+PMP+College+Recruiter+Siemens" TargetMode="External"/><Relationship Id="rId1333" Type="http://schemas.openxmlformats.org/officeDocument/2006/relationships/hyperlink" Target="https://www.google.com/search?newwindow=1&amp;ei=2MT0XrvGGM-vytMP1OyDgAY&amp;q=site%3Alinkedin.com+Matthew+Colecchia+physician+Recruiter" TargetMode="External"/><Relationship Id="rId2664" Type="http://schemas.openxmlformats.org/officeDocument/2006/relationships/hyperlink" Target="https://www.google.com/search?newwindow=1&amp;ei=2MT0XrvGGM-vytMP1OyDgAY&amp;q=site%3Alinkedin.com+Emily+Dorsey+Perno+Assistant+Director,+Campus+Recruiting+-+Tax+EY" TargetMode="External"/><Relationship Id="rId3994" Type="http://schemas.openxmlformats.org/officeDocument/2006/relationships/hyperlink" Target="https://www.google.com/search?newwindow=1&amp;ei=2MT0XrvGGM-vytMP1OyDgAY&amp;q=site%3Alinkedin.com+Harmoni+Johnson+College+Recruiter+Lockheed+Martin" TargetMode="External"/><Relationship Id="rId1323" Type="http://schemas.openxmlformats.org/officeDocument/2006/relationships/hyperlink" Target="https://www.google.com/search?newwindow=1&amp;ei=2MT0XrvGGM-vytMP1OyDgAY&amp;q=site%3Alinkedin.com+Rachel+Kleinsmith+campus+recruiting+coordinator" TargetMode="External"/><Relationship Id="rId2654" Type="http://schemas.openxmlformats.org/officeDocument/2006/relationships/hyperlink" Target="https://www.google.com/search?newwindow=1&amp;ei=2MT0XrvGGM-vytMP1OyDgAY&amp;q=site%3Alinkedin.com+Kreddow+Savetsaranee+Campus+Recruiter+EY" TargetMode="External"/><Relationship Id="rId3986" Type="http://schemas.openxmlformats.org/officeDocument/2006/relationships/hyperlink" Target="https://www.google.com/search?newwindow=1&amp;ei=2MT0XrvGGM-vytMP1OyDgAY&amp;q=site%3Alinkedin.com+Andie+Summers+Campus+Recruiter+LinkedIn" TargetMode="External"/><Relationship Id="rId1324" Type="http://schemas.openxmlformats.org/officeDocument/2006/relationships/hyperlink" Target="https://www.google.com/search?newwindow=1&amp;ei=2MT0XrvGGM-vytMP1OyDgAY&amp;q=site%3Alinkedin.com+Nagi+Manpreet+Kaur+Spall+(ACMI)+Student+Recruiter" TargetMode="External"/><Relationship Id="rId2655" Type="http://schemas.openxmlformats.org/officeDocument/2006/relationships/hyperlink" Target="https://www.google.com/search?newwindow=1&amp;ei=2MT0XrvGGM-vytMP1OyDgAY&amp;q=site%3Alinkedin.com+Ashley+P.+Campus+Recruiter,+Talent+Attraction+&amp;+Acquisition+EY" TargetMode="External"/><Relationship Id="rId3985" Type="http://schemas.openxmlformats.org/officeDocument/2006/relationships/hyperlink" Target="https://www.google.com/search?newwindow=1&amp;ei=2MT0XrvGGM-vytMP1OyDgAY&amp;q=site%3Alinkedin.com+Jennifer+Bufalini+Senior+Recruiter+Shell" TargetMode="External"/><Relationship Id="rId1325" Type="http://schemas.openxmlformats.org/officeDocument/2006/relationships/hyperlink" Target="https://www.google.com/search?newwindow=1&amp;ei=2MT0XrvGGM-vytMP1OyDgAY&amp;q=site%3Alinkedin.com+Mahadi+Macauley+Recruiter" TargetMode="External"/><Relationship Id="rId2656" Type="http://schemas.openxmlformats.org/officeDocument/2006/relationships/hyperlink" Target="https://www.google.com/search?newwindow=1&amp;ei=2MT0XrvGGM-vytMP1OyDgAY&amp;q=site%3Alinkedin.com+Lauren+Cox+Campus+Recruiter+Capital+One" TargetMode="External"/><Relationship Id="rId3988" Type="http://schemas.openxmlformats.org/officeDocument/2006/relationships/hyperlink" Target="https://www.google.com/search?newwindow=1&amp;ei=2MT0XrvGGM-vytMP1OyDgAY&amp;q=site%3Alinkedin.com+Christian+De+Luna+Campus+Business+Recruiter+LinkedIn" TargetMode="External"/><Relationship Id="rId1326" Type="http://schemas.openxmlformats.org/officeDocument/2006/relationships/hyperlink" Target="https://www.google.com/search?newwindow=1&amp;ei=2MT0XrvGGM-vytMP1OyDgAY&amp;q=site%3Alinkedin.com+Jonathan+Ramirez+LeadGen+Recruiter" TargetMode="External"/><Relationship Id="rId2657" Type="http://schemas.openxmlformats.org/officeDocument/2006/relationships/hyperlink" Target="https://www.google.com/search?newwindow=1&amp;ei=2MT0XrvGGM-vytMP1OyDgAY&amp;q=site%3Alinkedin.com+Ricardo+Contreras+Campus+Recruiter+EY" TargetMode="External"/><Relationship Id="rId3987" Type="http://schemas.openxmlformats.org/officeDocument/2006/relationships/hyperlink" Target="https://www.google.com/search?newwindow=1&amp;ei=2MT0XrvGGM-vytMP1OyDgAY&amp;q=site%3Alinkedin.com+Leandra+Grant,+MBA+Lead+Procurement+Manager+Shell" TargetMode="External"/><Relationship Id="rId1327" Type="http://schemas.openxmlformats.org/officeDocument/2006/relationships/hyperlink" Target="https://www.google.com/search?newwindow=1&amp;ei=2MT0XrvGGM-vytMP1OyDgAY&amp;q=site%3Alinkedin.com+Renee+Blonde+Campus+Recruiting+Manager" TargetMode="External"/><Relationship Id="rId2658" Type="http://schemas.openxmlformats.org/officeDocument/2006/relationships/hyperlink" Target="https://www.google.com/search?newwindow=1&amp;ei=2MT0XrvGGM-vytMP1OyDgAY&amp;q=site%3Alinkedin.com+Tori+Compton+Campus+Recruiter+Capital+One" TargetMode="External"/><Relationship Id="rId1328" Type="http://schemas.openxmlformats.org/officeDocument/2006/relationships/hyperlink" Target="https://www.google.com/search?newwindow=1&amp;ei=2MT0XrvGGM-vytMP1OyDgAY&amp;q=site%3Alinkedin.com+Dana+Catania+Campus+Recruiting+Manager" TargetMode="External"/><Relationship Id="rId2659" Type="http://schemas.openxmlformats.org/officeDocument/2006/relationships/hyperlink" Target="https://www.google.com/search?newwindow=1&amp;ei=2MT0XrvGGM-vytMP1OyDgAY&amp;q=site%3Alinkedin.com+Jazsmin+Watson+-+Booth+Campus+Recruiter+Senior+Associate+EY" TargetMode="External"/><Relationship Id="rId3989" Type="http://schemas.openxmlformats.org/officeDocument/2006/relationships/hyperlink" Target="https://www.google.com/search?newwindow=1&amp;ei=2MT0XrvGGM-vytMP1OyDgAY&amp;q=site%3Alinkedin.com+Andrea+McDade+University+Recruiter+Shell" TargetMode="External"/><Relationship Id="rId1329" Type="http://schemas.openxmlformats.org/officeDocument/2006/relationships/hyperlink" Target="https://www.google.com/search?newwindow=1&amp;ei=2MT0XrvGGM-vytMP1OyDgAY&amp;q=site%3Alinkedin.com+Chase,+Jeanne+Campus+Recruiting+Associate" TargetMode="External"/><Relationship Id="rId739" Type="http://schemas.openxmlformats.org/officeDocument/2006/relationships/hyperlink" Target="https://www.google.com/search?newwindow=1&amp;ei=2MT0XrvGGM-vytMP1OyDgAY&amp;q=site%3Alinkedin.com+Emily+Haseldine+Lead+Recruiter+-+UK+Campus" TargetMode="External"/><Relationship Id="rId734" Type="http://schemas.openxmlformats.org/officeDocument/2006/relationships/hyperlink" Target="https://www.google.com/search?newwindow=1&amp;ei=2MT0XrvGGM-vytMP1OyDgAY&amp;q=site%3Alinkedin.com+Sophie+Willmott+Early+Careers+Recruitment+Advisor" TargetMode="External"/><Relationship Id="rId733" Type="http://schemas.openxmlformats.org/officeDocument/2006/relationships/hyperlink" Target="https://www.google.com/search?newwindow=1&amp;ei=2MT0XrvGGM-vytMP1OyDgAY&amp;q=site%3Alinkedin.com+James+O'Farrell+Graduate+Placement+-+Information+Tecghnology+Recruiter" TargetMode="External"/><Relationship Id="rId732" Type="http://schemas.openxmlformats.org/officeDocument/2006/relationships/hyperlink" Target="https://www.google.com/search?newwindow=1&amp;ei=2MT0XrvGGM-vytMP1OyDgAY&amp;q=site%3Alinkedin.com+Emma+Evans+Senior+FutureForce+University+Recruiter,+EMEA" TargetMode="External"/><Relationship Id="rId731" Type="http://schemas.openxmlformats.org/officeDocument/2006/relationships/hyperlink" Target="https://www.google.com/search?newwindow=1&amp;ei=2MT0XrvGGM-vytMP1OyDgAY&amp;q=site%3Alinkedin.com+Katie+Evans+Graduate+Recruiter+at+Lendlease" TargetMode="External"/><Relationship Id="rId738" Type="http://schemas.openxmlformats.org/officeDocument/2006/relationships/hyperlink" Target="https://www.google.com/search?newwindow=1&amp;ei=2MT0XrvGGM-vytMP1OyDgAY&amp;q=site%3Alinkedin.com+Kelly+Smith+Graduate+Student" TargetMode="External"/><Relationship Id="rId737" Type="http://schemas.openxmlformats.org/officeDocument/2006/relationships/hyperlink" Target="https://www.google.com/search?newwindow=1&amp;ei=2MT0XrvGGM-vytMP1OyDgAY&amp;q=site%3Alinkedin.com+Brett+Hemmerling+Assistant+Vice+President-Campus+Recruiter+and+Program+Manager+(Europe,+Middle+East+and+Africa)" TargetMode="External"/><Relationship Id="rId736" Type="http://schemas.openxmlformats.org/officeDocument/2006/relationships/hyperlink" Target="https://www.google.com/search?newwindow=1&amp;ei=2MT0XrvGGM-vytMP1OyDgAY&amp;q=site%3Alinkedin.com+George+Duff+University+Recruitment+Coordinator" TargetMode="External"/><Relationship Id="rId735" Type="http://schemas.openxmlformats.org/officeDocument/2006/relationships/hyperlink" Target="https://www.google.com/search?newwindow=1&amp;ei=2MT0XrvGGM-vytMP1OyDgAY&amp;q=site%3Alinkedin.com+Fabiana+Tepedino+RISIA+(Registered+International+Student+Immigration+Advisor)" TargetMode="External"/><Relationship Id="rId3980" Type="http://schemas.openxmlformats.org/officeDocument/2006/relationships/hyperlink" Target="https://www.google.com/search?newwindow=1&amp;ei=2MT0XrvGGM-vytMP1OyDgAY&amp;q=site%3Alinkedin.com+Madison+Cooley+SAP+iXp+University+Recruiter+SAP+Concur" TargetMode="External"/><Relationship Id="rId730" Type="http://schemas.openxmlformats.org/officeDocument/2006/relationships/hyperlink" Target="https://www.google.com/search?newwindow=1&amp;ei=2MT0XrvGGM-vytMP1OyDgAY&amp;q=site%3Alinkedin.com+Sital+Patel+IBCMA+EMEA+Campus+Recruiter" TargetMode="External"/><Relationship Id="rId2650" Type="http://schemas.openxmlformats.org/officeDocument/2006/relationships/hyperlink" Target="https://www.google.com/search?newwindow=1&amp;ei=2MT0XrvGGM-vytMP1OyDgAY&amp;q=site%3Alinkedin.com+Je'nell+Griffin+Supervisory+Associate+Campus+Recruiter+EY" TargetMode="External"/><Relationship Id="rId3982" Type="http://schemas.openxmlformats.org/officeDocument/2006/relationships/hyperlink" Target="https://www.google.com/search?newwindow=1&amp;ei=2MT0XrvGGM-vytMP1OyDgAY&amp;q=site%3Alinkedin.com+Ivy+Hopkins+Campus+Recruiter+LinkedIn" TargetMode="External"/><Relationship Id="rId1320" Type="http://schemas.openxmlformats.org/officeDocument/2006/relationships/hyperlink" Target="https://www.google.com/search?newwindow=1&amp;ei=2MT0XrvGGM-vytMP1OyDgAY&amp;q=site%3Alinkedin.com+Lisa+Crouse,+CPA,+SHRM-CP+Senior+Manager+Recruiting" TargetMode="External"/><Relationship Id="rId2651" Type="http://schemas.openxmlformats.org/officeDocument/2006/relationships/hyperlink" Target="https://www.google.com/search?newwindow=1&amp;ei=2MT0XrvGGM-vytMP1OyDgAY&amp;q=site%3Alinkedin.com+Emily+Zoller+Assistant+Director,+Financial+Services+Campus+Recruiter+EY" TargetMode="External"/><Relationship Id="rId3981" Type="http://schemas.openxmlformats.org/officeDocument/2006/relationships/hyperlink" Target="https://www.google.com/search?newwindow=1&amp;ei=2MT0XrvGGM-vytMP1OyDgAY&amp;q=site%3Alinkedin.com+Lindsay+Whitfield+University+Recruiter+SAS" TargetMode="External"/><Relationship Id="rId1321" Type="http://schemas.openxmlformats.org/officeDocument/2006/relationships/hyperlink" Target="https://www.google.com/search?newwindow=1&amp;ei=2MT0XrvGGM-vytMP1OyDgAY&amp;q=site%3Alinkedin.com+Darlene+Kipphut+Senior+Associate,+Campus+Recruiting+Data+Analysis" TargetMode="External"/><Relationship Id="rId2652" Type="http://schemas.openxmlformats.org/officeDocument/2006/relationships/hyperlink" Target="https://www.google.com/search?newwindow=1&amp;ei=2MT0XrvGGM-vytMP1OyDgAY&amp;q=site%3Alinkedin.com+Pablo+Briones+Campus+Recruiter+Capital+One" TargetMode="External"/><Relationship Id="rId3984" Type="http://schemas.openxmlformats.org/officeDocument/2006/relationships/hyperlink" Target="https://www.google.com/search?newwindow=1&amp;ei=2MT0XrvGGM-vytMP1OyDgAY&amp;q=site%3Alinkedin.com+Son+Nguyen+Senior+Lead+Campus+Recruiter+LinkedIn" TargetMode="External"/><Relationship Id="rId1322" Type="http://schemas.openxmlformats.org/officeDocument/2006/relationships/hyperlink" Target="https://www.google.com/search?newwindow=1&amp;ei=2MT0XrvGGM-vytMP1OyDgAY&amp;q=site%3Alinkedin.com+Nadege+Oluikpe+Global+Head+of+Corporate+&amp;+Strategy+Campus+Recruiting" TargetMode="External"/><Relationship Id="rId2653" Type="http://schemas.openxmlformats.org/officeDocument/2006/relationships/hyperlink" Target="https://www.google.com/search?newwindow=1&amp;ei=2MT0XrvGGM-vytMP1OyDgAY&amp;q=site%3Alinkedin.com+Javan+Cross+Campus+Recruiter+-+Assurance+EY" TargetMode="External"/><Relationship Id="rId3983" Type="http://schemas.openxmlformats.org/officeDocument/2006/relationships/hyperlink" Target="https://www.google.com/search?newwindow=1&amp;ei=2MT0XrvGGM-vytMP1OyDgAY&amp;q=site%3Alinkedin.com+Travis+Knapp+Sr.+Associate+University+Recruiter+SAS" TargetMode="External"/><Relationship Id="rId1356" Type="http://schemas.openxmlformats.org/officeDocument/2006/relationships/hyperlink" Target="https://www.google.com/search?newwindow=1&amp;ei=2MT0XrvGGM-vytMP1OyDgAY&amp;q=site%3Alinkedin.com+Jennifer+Voss+Campus+Recruiting+Manager" TargetMode="External"/><Relationship Id="rId2687" Type="http://schemas.openxmlformats.org/officeDocument/2006/relationships/hyperlink" Target="https://www.google.com/search?newwindow=1&amp;ei=2MT0XrvGGM-vytMP1OyDgAY&amp;q=site%3Alinkedin.com+Arielle+Singleton+Campus+Recruiter+Capital+One" TargetMode="External"/><Relationship Id="rId1357" Type="http://schemas.openxmlformats.org/officeDocument/2006/relationships/hyperlink" Target="https://www.google.com/search?newwindow=1&amp;ei=2MT0XrvGGM-vytMP1OyDgAY&amp;q=site%3Alinkedin.com+Jared+Jusi+Campus+Recruiting+Coordinator" TargetMode="External"/><Relationship Id="rId2688" Type="http://schemas.openxmlformats.org/officeDocument/2006/relationships/hyperlink" Target="https://www.google.com/search?newwindow=1&amp;ei=2MT0XrvGGM-vytMP1OyDgAY&amp;q=site%3Alinkedin.com+Katie+F.+Consulting+Campus+Recruiter+EY" TargetMode="External"/><Relationship Id="rId1358" Type="http://schemas.openxmlformats.org/officeDocument/2006/relationships/hyperlink" Target="https://www.google.com/search?newwindow=1&amp;ei=2MT0XrvGGM-vytMP1OyDgAY&amp;q=site%3Alinkedin.com+Caroline+Grosso+Campus+Recruiter" TargetMode="External"/><Relationship Id="rId2689" Type="http://schemas.openxmlformats.org/officeDocument/2006/relationships/hyperlink" Target="https://www.google.com/search?newwindow=1&amp;ei=2MT0XrvGGM-vytMP1OyDgAY&amp;q=site%3Alinkedin.com+Rachel+Turner+Campus+Recruiter+Capital+One" TargetMode="External"/><Relationship Id="rId1359" Type="http://schemas.openxmlformats.org/officeDocument/2006/relationships/hyperlink" Target="https://www.google.com/search?newwindow=1&amp;ei=2MT0XrvGGM-vytMP1OyDgAY&amp;q=site%3Alinkedin.com+Rachel+Bruce+Project+Manager,+Campus+Recruiting,+Talent+Acquisition" TargetMode="External"/><Relationship Id="rId767" Type="http://schemas.openxmlformats.org/officeDocument/2006/relationships/hyperlink" Target="https://www.google.com/search?newwindow=1&amp;ei=2MT0XrvGGM-vytMP1OyDgAY&amp;q=site%3Alinkedin.com+Shireen+Loonat+University+Partnership+Recruitment+Manager" TargetMode="External"/><Relationship Id="rId766" Type="http://schemas.openxmlformats.org/officeDocument/2006/relationships/hyperlink" Target="https://www.google.com/search?newwindow=1&amp;ei=2MT0XrvGGM-vytMP1OyDgAY&amp;q=site%3Alinkedin.com+Andrea+Legato+Coordinator,+Student+Services+and+Undergraduate+Programs" TargetMode="External"/><Relationship Id="rId765" Type="http://schemas.openxmlformats.org/officeDocument/2006/relationships/hyperlink" Target="https://www.google.com/search?newwindow=1&amp;ei=2MT0XrvGGM-vytMP1OyDgAY&amp;q=site%3Alinkedin.com+fedoua+jalmous+International+Recruitment+Officer+at+University+of+Greenwich" TargetMode="External"/><Relationship Id="rId764" Type="http://schemas.openxmlformats.org/officeDocument/2006/relationships/hyperlink" Target="https://www.google.com/search?newwindow=1&amp;ei=2MT0XrvGGM-vytMP1OyDgAY&amp;q=site%3Alinkedin.com+Harriet+Willis+Undergraduate+Programmes+Recruiter" TargetMode="External"/><Relationship Id="rId769" Type="http://schemas.openxmlformats.org/officeDocument/2006/relationships/hyperlink" Target="https://www.google.com/search?newwindow=1&amp;ei=2MT0XrvGGM-vytMP1OyDgAY&amp;q=site%3Alinkedin.com+Charlie+Setoodeh+Student+Development+Specialist+/+Program+Manager+%7C+University+Programs+Team" TargetMode="External"/><Relationship Id="rId768" Type="http://schemas.openxmlformats.org/officeDocument/2006/relationships/hyperlink" Target="https://www.google.com/search?newwindow=1&amp;ei=2MT0XrvGGM-vytMP1OyDgAY&amp;q=site%3Alinkedin.com+Danielius+Asipavi%C4%8Dius+Clearing+and+Recruitment+Ambassador" TargetMode="External"/><Relationship Id="rId2680" Type="http://schemas.openxmlformats.org/officeDocument/2006/relationships/hyperlink" Target="https://www.google.com/search?newwindow=1&amp;ei=2MT0XrvGGM-vytMP1OyDgAY&amp;q=site%3Alinkedin.com+Chelsea+Vena+MBA+Campus+Recruiter+-+Senior+Associate+EY" TargetMode="External"/><Relationship Id="rId1350" Type="http://schemas.openxmlformats.org/officeDocument/2006/relationships/hyperlink" Target="https://www.google.com/search?newwindow=1&amp;ei=2MT0XrvGGM-vytMP1OyDgAY&amp;q=site%3Alinkedin.com+Lauren+Yu+Campus+Recruiting+Specialist" TargetMode="External"/><Relationship Id="rId2681" Type="http://schemas.openxmlformats.org/officeDocument/2006/relationships/hyperlink" Target="https://www.google.com/search?newwindow=1&amp;ei=2MT0XrvGGM-vytMP1OyDgAY&amp;q=site%3Alinkedin.com+Anthony+Jimenez+Tech+Recruiter+-+Campus+Recruiting+Capital+One" TargetMode="External"/><Relationship Id="rId1351" Type="http://schemas.openxmlformats.org/officeDocument/2006/relationships/hyperlink" Target="https://www.google.com/search?newwindow=1&amp;ei=2MT0XrvGGM-vytMP1OyDgAY&amp;q=site%3Alinkedin.com+Tamara+Enriquez,+M.A.+(She/Her)+Campus+Recruiting+%7C+Intern+Programs+&amp;+Operations+-+Event+Coordinator" TargetMode="External"/><Relationship Id="rId2682" Type="http://schemas.openxmlformats.org/officeDocument/2006/relationships/hyperlink" Target="https://www.google.com/search?newwindow=1&amp;ei=2MT0XrvGGM-vytMP1OyDgAY&amp;q=site%3Alinkedin.com+Jessica+(Gutman)+Lefkowitz+Campus+Recruiter,+Talent+Attraction+&amp;+Acquisition+EY" TargetMode="External"/><Relationship Id="rId763" Type="http://schemas.openxmlformats.org/officeDocument/2006/relationships/hyperlink" Target="https://www.google.com/search?newwindow=1&amp;ei=2MT0XrvGGM-vytMP1OyDgAY&amp;q=site%3Alinkedin.com+Suhana+Anwar+Graduate+Recruiter+-+AVP" TargetMode="External"/><Relationship Id="rId1352" Type="http://schemas.openxmlformats.org/officeDocument/2006/relationships/hyperlink" Target="https://www.google.com/search?newwindow=1&amp;ei=2MT0XrvGGM-vytMP1OyDgAY&amp;q=site%3Alinkedin.com+Bri+Casner+Senior+Manager,+Global+Campus+Recruiting" TargetMode="External"/><Relationship Id="rId2683" Type="http://schemas.openxmlformats.org/officeDocument/2006/relationships/hyperlink" Target="https://www.google.com/search?newwindow=1&amp;ei=2MT0XrvGGM-vytMP1OyDgAY&amp;q=site%3Alinkedin.com+Alan+Ward+(he/him)+Campus+Recruiter+-+Enterprise+Programs+Capital+One" TargetMode="External"/><Relationship Id="rId762" Type="http://schemas.openxmlformats.org/officeDocument/2006/relationships/hyperlink" Target="https://www.google.com/search?newwindow=1&amp;ei=2MT0XrvGGM-vytMP1OyDgAY&amp;q=site%3Alinkedin.com+Nat+V.+Campus+Recruiter" TargetMode="External"/><Relationship Id="rId1353" Type="http://schemas.openxmlformats.org/officeDocument/2006/relationships/hyperlink" Target="https://www.google.com/search?newwindow=1&amp;ei=2MT0XrvGGM-vytMP1OyDgAY&amp;q=site%3Alinkedin.com+Vicky+Chang+Campus+Recruiting+Manager" TargetMode="External"/><Relationship Id="rId2684" Type="http://schemas.openxmlformats.org/officeDocument/2006/relationships/hyperlink" Target="https://www.google.com/search?newwindow=1&amp;ei=2MT0XrvGGM-vytMP1OyDgAY&amp;q=site%3Alinkedin.com+Joseph+Wehle+Campus+Recruiter+EY" TargetMode="External"/><Relationship Id="rId761" Type="http://schemas.openxmlformats.org/officeDocument/2006/relationships/hyperlink" Target="https://www.google.com/search?newwindow=1&amp;ei=2MT0XrvGGM-vytMP1OyDgAY&amp;q=site%3Alinkedin.com+Jignesh+Vaghadia+(Assoc+CIPD)+Graduate+Recruiter+%E2%80%93+Markets+(Sales,+Trading,+Structuring+and+Research)" TargetMode="External"/><Relationship Id="rId1354" Type="http://schemas.openxmlformats.org/officeDocument/2006/relationships/hyperlink" Target="https://www.google.com/search?newwindow=1&amp;ei=2MT0XrvGGM-vytMP1OyDgAY&amp;q=site%3Alinkedin.com+Casey+Richard+Senior+Campus+Recruiting+Associate,+Talent+Attraction+and+Acquisition" TargetMode="External"/><Relationship Id="rId2685" Type="http://schemas.openxmlformats.org/officeDocument/2006/relationships/hyperlink" Target="https://www.google.com/search?newwindow=1&amp;ei=2MT0XrvGGM-vytMP1OyDgAY&amp;q=site%3Alinkedin.com+Nyla+Walker+Senior+Diversity+&amp;+Inclusion+Campus+Recruiter+Capital+One" TargetMode="External"/><Relationship Id="rId760" Type="http://schemas.openxmlformats.org/officeDocument/2006/relationships/hyperlink" Target="https://www.google.com/search?newwindow=1&amp;ei=2MT0XrvGGM-vytMP1OyDgAY&amp;q=site%3Alinkedin.com+Katie+Gray+Graduate+Recruiter" TargetMode="External"/><Relationship Id="rId1355" Type="http://schemas.openxmlformats.org/officeDocument/2006/relationships/hyperlink" Target="https://www.google.com/search?newwindow=1&amp;ei=2MT0XrvGGM-vytMP1OyDgAY&amp;q=site%3Alinkedin.com+Eric+Yeung+Program+Manager,+University+Recruitment" TargetMode="External"/><Relationship Id="rId2686" Type="http://schemas.openxmlformats.org/officeDocument/2006/relationships/hyperlink" Target="https://www.google.com/search?newwindow=1&amp;ei=2MT0XrvGGM-vytMP1OyDgAY&amp;q=site%3Alinkedin.com+Katherine+Infante+Senior+Associate,+Campus+Recruiter+EY" TargetMode="External"/><Relationship Id="rId1345" Type="http://schemas.openxmlformats.org/officeDocument/2006/relationships/hyperlink" Target="https://www.google.com/search?newwindow=1&amp;ei=2MT0XrvGGM-vytMP1OyDgAY&amp;q=site%3Alinkedin.com+Nicole+Rosario+Senior+Campus+Recruiting+Specialist" TargetMode="External"/><Relationship Id="rId2676" Type="http://schemas.openxmlformats.org/officeDocument/2006/relationships/hyperlink" Target="https://www.google.com/search?newwindow=1&amp;ei=2MT0XrvGGM-vytMP1OyDgAY&amp;q=site%3Alinkedin.com+Adrianne+Dias+Campus+Recruiter+(National+Tax),+Supervising+Associate+EY" TargetMode="External"/><Relationship Id="rId1346" Type="http://schemas.openxmlformats.org/officeDocument/2006/relationships/hyperlink" Target="https://www.google.com/search?newwindow=1&amp;ei=2MT0XrvGGM-vytMP1OyDgAY&amp;q=site%3Alinkedin.com+Mike+Goodman+Sourcing+Recruiter" TargetMode="External"/><Relationship Id="rId2677" Type="http://schemas.openxmlformats.org/officeDocument/2006/relationships/hyperlink" Target="https://www.google.com/search?newwindow=1&amp;ei=2MT0XrvGGM-vytMP1OyDgAY&amp;q=site%3Alinkedin.com+Kelsey+Indorf+Campus+Recruiting+Senior+Manager+Capital+One" TargetMode="External"/><Relationship Id="rId1347" Type="http://schemas.openxmlformats.org/officeDocument/2006/relationships/hyperlink" Target="https://www.google.com/search?newwindow=1&amp;ei=2MT0XrvGGM-vytMP1OyDgAY&amp;q=site%3Alinkedin.com+Sarah+Moynier+Campus+Recruiting+Specialist" TargetMode="External"/><Relationship Id="rId2678" Type="http://schemas.openxmlformats.org/officeDocument/2006/relationships/hyperlink" Target="https://www.google.com/search?newwindow=1&amp;ei=2MT0XrvGGM-vytMP1OyDgAY&amp;q=site%3Alinkedin.com+Carolyn+Duffett+Talent+Attraction+&amp;+Acquisition,+Campus+Recruiter+EY" TargetMode="External"/><Relationship Id="rId1348" Type="http://schemas.openxmlformats.org/officeDocument/2006/relationships/hyperlink" Target="https://www.google.com/search?newwindow=1&amp;ei=2MT0XrvGGM-vytMP1OyDgAY&amp;q=site%3Alinkedin.com+Kathleen+Schaum+Executive+Director-+Campus+Recruiting+and+University+Relations" TargetMode="External"/><Relationship Id="rId2679" Type="http://schemas.openxmlformats.org/officeDocument/2006/relationships/hyperlink" Target="https://www.google.com/search?newwindow=1&amp;ei=2MT0XrvGGM-vytMP1OyDgAY&amp;q=site%3Alinkedin.com+Hayley+(Ford)+Nainani+Campus+Recruiting+Manager+Capital+One" TargetMode="External"/><Relationship Id="rId1349" Type="http://schemas.openxmlformats.org/officeDocument/2006/relationships/hyperlink" Target="https://www.google.com/search?newwindow=1&amp;ei=2MT0XrvGGM-vytMP1OyDgAY&amp;q=site%3Alinkedin.com+Janine+%22Nina%22+Morton+Director,+Head+of+Graduate+Campus+Recruiting+&amp;+Development+Programs" TargetMode="External"/><Relationship Id="rId756" Type="http://schemas.openxmlformats.org/officeDocument/2006/relationships/hyperlink" Target="https://www.google.com/search?newwindow=1&amp;ei=2MT0XrvGGM-vytMP1OyDgAY&amp;q=site%3Alinkedin.com+Richard+Gillett+Head+of+Recruitment+(Arden+University)" TargetMode="External"/><Relationship Id="rId755" Type="http://schemas.openxmlformats.org/officeDocument/2006/relationships/hyperlink" Target="https://www.google.com/search?newwindow=1&amp;ei=2MT0XrvGGM-vytMP1OyDgAY&amp;q=site%3Alinkedin.com+Jessica+Noon+Tech+University+Graduate+Recruiter,+EMEA" TargetMode="External"/><Relationship Id="rId754" Type="http://schemas.openxmlformats.org/officeDocument/2006/relationships/hyperlink" Target="https://www.google.com/search?newwindow=1&amp;ei=2MT0XrvGGM-vytMP1OyDgAY&amp;q=site%3Alinkedin.com+Freddie+Podmore+Senior+Recruiter+&amp;+Campus+Trainer" TargetMode="External"/><Relationship Id="rId753" Type="http://schemas.openxmlformats.org/officeDocument/2006/relationships/hyperlink" Target="https://www.google.com/search?newwindow=1&amp;ei=2MT0XrvGGM-vytMP1OyDgAY&amp;q=site%3Alinkedin.com+UK+Academia+Student+Recruiter" TargetMode="External"/><Relationship Id="rId759" Type="http://schemas.openxmlformats.org/officeDocument/2006/relationships/hyperlink" Target="https://www.google.com/search?newwindow=1&amp;ei=2MT0XrvGGM-vytMP1OyDgAY&amp;q=site%3Alinkedin.com+Emily+Horton+University+Recruiter" TargetMode="External"/><Relationship Id="rId758" Type="http://schemas.openxmlformats.org/officeDocument/2006/relationships/hyperlink" Target="https://www.google.com/search?newwindow=1&amp;ei=2MT0XrvGGM-vytMP1OyDgAY&amp;q=site%3Alinkedin.com+Diana+Ly+International+Campus+Recruiting+Manager" TargetMode="External"/><Relationship Id="rId757" Type="http://schemas.openxmlformats.org/officeDocument/2006/relationships/hyperlink" Target="https://www.google.com/search?newwindow=1&amp;ei=2MT0XrvGGM-vytMP1OyDgAY&amp;q=site%3Alinkedin.com+Francesca+White+Graduate+Recruiter" TargetMode="External"/><Relationship Id="rId2670" Type="http://schemas.openxmlformats.org/officeDocument/2006/relationships/hyperlink" Target="https://www.google.com/search?newwindow=1&amp;ei=2MT0XrvGGM-vytMP1OyDgAY&amp;q=site%3Alinkedin.com+Bryan+Doyle+Campus+Recruiter+EY" TargetMode="External"/><Relationship Id="rId1340" Type="http://schemas.openxmlformats.org/officeDocument/2006/relationships/hyperlink" Target="https://www.google.com/search?newwindow=1&amp;ei=2MT0XrvGGM-vytMP1OyDgAY&amp;q=site%3Alinkedin.com+Caroline+Allison+Schools+College+Partnership+team" TargetMode="External"/><Relationship Id="rId2671" Type="http://schemas.openxmlformats.org/officeDocument/2006/relationships/hyperlink" Target="https://www.google.com/search?newwindow=1&amp;ei=2MT0XrvGGM-vytMP1OyDgAY&amp;q=site%3Alinkedin.com+Addison+Leftwich+Campus+Recruiter+Capital+One" TargetMode="External"/><Relationship Id="rId752" Type="http://schemas.openxmlformats.org/officeDocument/2006/relationships/hyperlink" Target="https://www.google.com/search?newwindow=1&amp;ei=2MT0XrvGGM-vytMP1OyDgAY&amp;q=site%3Alinkedin.com+Emma+Watts+Senior+Campus+Recruiter+with+AMS" TargetMode="External"/><Relationship Id="rId1341" Type="http://schemas.openxmlformats.org/officeDocument/2006/relationships/hyperlink" Target="https://www.google.com/search?newwindow=1&amp;ei=2MT0XrvGGM-vytMP1OyDgAY&amp;q=site%3Alinkedin.com+Dawn+West+Senior+Administrative+Assistant" TargetMode="External"/><Relationship Id="rId2672" Type="http://schemas.openxmlformats.org/officeDocument/2006/relationships/hyperlink" Target="https://www.google.com/search?newwindow=1&amp;ei=2MT0XrvGGM-vytMP1OyDgAY&amp;q=site%3Alinkedin.com+Cori+Fitzpatrick-Rosario+Campus+Recruiter,+Transaction+Advisory+Services+and+Campus+Relationship+Manager+for+Cornell+EY" TargetMode="External"/><Relationship Id="rId751" Type="http://schemas.openxmlformats.org/officeDocument/2006/relationships/hyperlink" Target="https://www.google.com/search?newwindow=1&amp;ei=2MT0XrvGGM-vytMP1OyDgAY&amp;q=site%3Alinkedin.com+Anna+Lathia+Senior+Program+Manager,+DEI+EMEA,+Student+Programs" TargetMode="External"/><Relationship Id="rId1342" Type="http://schemas.openxmlformats.org/officeDocument/2006/relationships/hyperlink" Target="https://www.google.com/search?newwindow=1&amp;ei=2MT0XrvGGM-vytMP1OyDgAY&amp;q=site%3Alinkedin.com+Jerry+Alvarez+Fraud+Specialist" TargetMode="External"/><Relationship Id="rId2673" Type="http://schemas.openxmlformats.org/officeDocument/2006/relationships/hyperlink" Target="https://www.google.com/search?newwindow=1&amp;ei=2MT0XrvGGM-vytMP1OyDgAY&amp;q=site%3Alinkedin.com+Ashley+Lee+Campus+Recruiter+EY" TargetMode="External"/><Relationship Id="rId750" Type="http://schemas.openxmlformats.org/officeDocument/2006/relationships/hyperlink" Target="https://www.google.com/search?newwindow=1&amp;ei=2MT0XrvGGM-vytMP1OyDgAY&amp;q=site%3Alinkedin.com+Charlotte+Unwin+Campus+Recruiter" TargetMode="External"/><Relationship Id="rId1343" Type="http://schemas.openxmlformats.org/officeDocument/2006/relationships/hyperlink" Target="https://www.google.com/search?newwindow=1&amp;ei=2MT0XrvGGM-vytMP1OyDgAY&amp;q=site%3Alinkedin.com+Sean+O'Connor+Campus+Recruiting+Coordinator,+Software+Engineering" TargetMode="External"/><Relationship Id="rId2674" Type="http://schemas.openxmlformats.org/officeDocument/2006/relationships/hyperlink" Target="https://www.google.com/search?newwindow=1&amp;ei=2MT0XrvGGM-vytMP1OyDgAY&amp;q=site%3Alinkedin.com+Abigail+Morgan+Campus+Recruiter+-+Talent+Attraction+&amp;+Acquisition+-+Senior+Associate+EY" TargetMode="External"/><Relationship Id="rId1344" Type="http://schemas.openxmlformats.org/officeDocument/2006/relationships/hyperlink" Target="https://www.google.com/search?newwindow=1&amp;ei=2MT0XrvGGM-vytMP1OyDgAY&amp;q=site%3Alinkedin.com+Allison+Reams+Newman+Primary+Recruiter,+Campus+Recruiting" TargetMode="External"/><Relationship Id="rId2675" Type="http://schemas.openxmlformats.org/officeDocument/2006/relationships/hyperlink" Target="https://www.google.com/search?newwindow=1&amp;ei=2MT0XrvGGM-vytMP1OyDgAY&amp;q=site%3Alinkedin.com+Monica+Diocades+Campus+Recruiter+Capital+One" TargetMode="External"/><Relationship Id="rId2621" Type="http://schemas.openxmlformats.org/officeDocument/2006/relationships/hyperlink" Target="https://www.google.com/search?newwindow=1&amp;ei=2MT0XrvGGM-vytMP1OyDgAY&amp;q=site%3Alinkedin.com+Federica+Quattrone+Chicago+&amp;+NYC+Campus+Recruiter+Capgemini" TargetMode="External"/><Relationship Id="rId3953" Type="http://schemas.openxmlformats.org/officeDocument/2006/relationships/hyperlink" Target="https://www.google.com/search?newwindow=1&amp;ei=2MT0XrvGGM-vytMP1OyDgAY&amp;q=site%3Alinkedin.com+Alexandra+Shillinglaw+Senior+Campus+Recruiter+RSM+US+LLP" TargetMode="External"/><Relationship Id="rId2622" Type="http://schemas.openxmlformats.org/officeDocument/2006/relationships/hyperlink" Target="https://www.google.com/search?newwindow=1&amp;ei=2MT0XrvGGM-vytMP1OyDgAY&amp;q=site%3Alinkedin.com+Jennifer+Bidlingmaier+Campus+Recruiter+EY" TargetMode="External"/><Relationship Id="rId3952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2623" Type="http://schemas.openxmlformats.org/officeDocument/2006/relationships/hyperlink" Target="https://www.google.com/search?newwindow=1&amp;ei=2MT0XrvGGM-vytMP1OyDgAY&amp;q=site%3Alinkedin.com+Kaitlyn+White+Campus+Recruiter+Capgemini" TargetMode="External"/><Relationship Id="rId3955" Type="http://schemas.openxmlformats.org/officeDocument/2006/relationships/hyperlink" Target="https://www.google.com/search?newwindow=1&amp;ei=2MT0XrvGGM-vytMP1OyDgAY&amp;q=site%3Alinkedin.com+Sean+Callahan-Dinish+Senior+University+Recruiter+Salesforce" TargetMode="External"/><Relationship Id="rId2624" Type="http://schemas.openxmlformats.org/officeDocument/2006/relationships/hyperlink" Target="https://www.google.com/search?newwindow=1&amp;ei=2MT0XrvGGM-vytMP1OyDgAY&amp;q=site%3Alinkedin.com+Kristen+(Miller)+Goldman+Campus+Recruiter,+Assistant+Director+EY" TargetMode="External"/><Relationship Id="rId3954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2625" Type="http://schemas.openxmlformats.org/officeDocument/2006/relationships/hyperlink" Target="https://www.google.com/search?newwindow=1&amp;ei=2MT0XrvGGM-vytMP1OyDgAY&amp;q=site%3Alinkedin.com+Jyothi+Navaneeth+Texas+Region+Campus+Recruiter+Capgemini" TargetMode="External"/><Relationship Id="rId3957" Type="http://schemas.openxmlformats.org/officeDocument/2006/relationships/hyperlink" Target="https://www.google.com/search?newwindow=1&amp;ei=2MT0XrvGGM-vytMP1OyDgAY&amp;q=site%3Alinkedin.com+Alina+Vela+Campus+Recruiter+Liberty+Mutual+Insurance" TargetMode="External"/><Relationship Id="rId2626" Type="http://schemas.openxmlformats.org/officeDocument/2006/relationships/hyperlink" Target="https://www.google.com/search?newwindow=1&amp;ei=2MT0XrvGGM-vytMP1OyDgAY&amp;q=site%3Alinkedin.com+Paige+Leininger+Campus+Recruiter+EY" TargetMode="External"/><Relationship Id="rId3956" Type="http://schemas.openxmlformats.org/officeDocument/2006/relationships/hyperlink" Target="https://www.google.com/search?newwindow=1&amp;ei=2MT0XrvGGM-vytMP1OyDgAY&amp;q=site%3Alinkedin.com+Sarah+Reid+Senior+University+Tech+Recruiter,+Futureforce+Salesforce" TargetMode="External"/><Relationship Id="rId2627" Type="http://schemas.openxmlformats.org/officeDocument/2006/relationships/hyperlink" Target="https://www.google.com/search?newwindow=1&amp;ei=2MT0XrvGGM-vytMP1OyDgAY&amp;q=site%3Alinkedin.com+Anna+Acenbrak+North+America+Campus+Recruiter+Capgemini" TargetMode="External"/><Relationship Id="rId3959" Type="http://schemas.openxmlformats.org/officeDocument/2006/relationships/hyperlink" Target="https://www.google.com/search?newwindow=1&amp;ei=2MT0XrvGGM-vytMP1OyDgAY&amp;q=site%3Alinkedin.com+Amy+Ferreira+Campus+Recruiting+Manager+Liberty+Mutual+Insurance" TargetMode="External"/><Relationship Id="rId2628" Type="http://schemas.openxmlformats.org/officeDocument/2006/relationships/hyperlink" Target="https://www.google.com/search?newwindow=1&amp;ei=2MT0XrvGGM-vytMP1OyDgAY&amp;q=site%3Alinkedin.com+Morgan+Liss+FSO+Assurance+Campus+Recruiter+EY" TargetMode="External"/><Relationship Id="rId3958" Type="http://schemas.openxmlformats.org/officeDocument/2006/relationships/hyperlink" Target="https://www.google.com/search?newwindow=1&amp;ei=2MT0XrvGGM-vytMP1OyDgAY&amp;q=site%3Alinkedin.com+Ben+Amerault+Senior+Campus+Recruiting+Talent+Scout+%5BRecruiter%5D+Salesforce" TargetMode="External"/><Relationship Id="rId709" Type="http://schemas.openxmlformats.org/officeDocument/2006/relationships/hyperlink" Target="https://www.google.com/search?newwindow=1&amp;ei=2MT0XrvGGM-vytMP1OyDgAY&amp;q=site%3Alinkedin.com+Jess+Lilley+Senior+Campus+Recruiter+(University+&amp;+MBA)" TargetMode="External"/><Relationship Id="rId2629" Type="http://schemas.openxmlformats.org/officeDocument/2006/relationships/hyperlink" Target="https://www.google.com/search?newwindow=1&amp;ei=2MT0XrvGGM-vytMP1OyDgAY&amp;q=site%3Alinkedin.com+Valerie+King+Campus+Recruiter+EY" TargetMode="External"/><Relationship Id="rId708" Type="http://schemas.openxmlformats.org/officeDocument/2006/relationships/hyperlink" Target="https://www.google.com/search?newwindow=1&amp;ei=2MT0XrvGGM-vytMP1OyDgAY&amp;q=site%3Alinkedin.com+Nonye+Ndekwu,+Chartered+MCIPD+Lead+Graduate+Recruiter,+EMEA+Engineering" TargetMode="External"/><Relationship Id="rId707" Type="http://schemas.openxmlformats.org/officeDocument/2006/relationships/hyperlink" Target="https://www.google.com/search?newwindow=1&amp;ei=2MT0XrvGGM-vytMP1OyDgAY&amp;q=site%3Alinkedin.com+Paul+Kerridge+Senior+Graduate+Recruiter" TargetMode="External"/><Relationship Id="rId706" Type="http://schemas.openxmlformats.org/officeDocument/2006/relationships/hyperlink" Target="https://www.google.com/search?newwindow=1&amp;ei=2MT0XrvGGM-vytMP1OyDgAY&amp;q=site%3Alinkedin.com+Chris+Kenny+Head+of+Sales+&amp;+Recruitment+Services,+University+Partnerships" TargetMode="External"/><Relationship Id="rId701" Type="http://schemas.openxmlformats.org/officeDocument/2006/relationships/hyperlink" Target="https://www.google.com/search?newwindow=1&amp;ei=2MT0XrvGGM-vytMP1OyDgAY&amp;q=site%3Alinkedin.com+Edward+Chatfield+Graduate+Recruitment+and+University+Partnerships+Consultant" TargetMode="External"/><Relationship Id="rId700" Type="http://schemas.openxmlformats.org/officeDocument/2006/relationships/hyperlink" Target="https://www.google.com/search?newwindow=1&amp;ei=2MT0XrvGGM-vytMP1OyDgAY&amp;q=site%3Alinkedin.com+Natallia+Guimarais+University+Recruiter+-+EMEA" TargetMode="External"/><Relationship Id="rId705" Type="http://schemas.openxmlformats.org/officeDocument/2006/relationships/hyperlink" Target="https://www.google.com/search?newwindow=1&amp;ei=2MT0XrvGGM-vytMP1OyDgAY&amp;q=site%3Alinkedin.com+Pippa+W.+Senior+Recruiter+-+Futureforce+University+Recruiting" TargetMode="External"/><Relationship Id="rId704" Type="http://schemas.openxmlformats.org/officeDocument/2006/relationships/hyperlink" Target="https://www.google.com/search?newwindow=1&amp;ei=2MT0XrvGGM-vytMP1OyDgAY&amp;q=site%3Alinkedin.com+Ashley+Dartnell+Head+of+International+Campus+Recruiting" TargetMode="External"/><Relationship Id="rId703" Type="http://schemas.openxmlformats.org/officeDocument/2006/relationships/hyperlink" Target="https://www.google.com/search?newwindow=1&amp;ei=2MT0XrvGGM-vytMP1OyDgAY&amp;q=site%3Alinkedin.com+Oliver+Evans+Digital+&amp;+Platform+Services+Recruiter+-+EMEA+Campus+Recruitment" TargetMode="External"/><Relationship Id="rId702" Type="http://schemas.openxmlformats.org/officeDocument/2006/relationships/hyperlink" Target="https://www.google.com/search?newwindow=1&amp;ei=2MT0XrvGGM-vytMP1OyDgAY&amp;q=site%3Alinkedin.com+Jessica+Wessely+MBA+Investment+Banking+Campus+Recruiter" TargetMode="External"/><Relationship Id="rId3951" Type="http://schemas.openxmlformats.org/officeDocument/2006/relationships/hyperlink" Target="https://www.google.com/search?newwindow=1&amp;ei=2MT0XrvGGM-vytMP1OyDgAY&amp;q=site%3Alinkedin.com+Nicolo+Enriquez+Campus+Recruiter+RSM+US+LLP" TargetMode="External"/><Relationship Id="rId2620" Type="http://schemas.openxmlformats.org/officeDocument/2006/relationships/hyperlink" Target="https://www.google.com/search?newwindow=1&amp;ei=2MT0XrvGGM-vytMP1OyDgAY&amp;q=site%3Alinkedin.com+Lauren+Lilly+Campus+Recruiter+EY" TargetMode="External"/><Relationship Id="rId3950" Type="http://schemas.openxmlformats.org/officeDocument/2006/relationships/hyperlink" Target="https://www.google.com/search?newwindow=1&amp;ei=2MT0XrvGGM-vytMP1OyDgAY&amp;q=site%3Alinkedin.com+Vivian+Chen+Senior+Campus+Recruiter+-+Audit+&amp;+Tax+RSM+US+LLP" TargetMode="External"/><Relationship Id="rId2610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3942" Type="http://schemas.openxmlformats.org/officeDocument/2006/relationships/hyperlink" Target="https://www.google.com/search?newwindow=1&amp;ei=2MT0XrvGGM-vytMP1OyDgAY&amp;q=site%3Alinkedin.com+Allison+Campbell+Campus+Recruiter+Intern+Liberty+Mutual+Insurance" TargetMode="External"/><Relationship Id="rId2611" Type="http://schemas.openxmlformats.org/officeDocument/2006/relationships/hyperlink" Target="https://www.google.com/search?newwindow=1&amp;ei=2MT0XrvGGM-vytMP1OyDgAY&amp;q=site%3Alinkedin.com+Hannah+Bergoon+Campus+Recruiter+EY" TargetMode="External"/><Relationship Id="rId3941" Type="http://schemas.openxmlformats.org/officeDocument/2006/relationships/hyperlink" Target="https://www.google.com/search?newwindow=1&amp;ei=2MT0XrvGGM-vytMP1OyDgAY&amp;q=site%3Alinkedin.com+Aviva+Werde+Senior+Campus+Recruiter+-+Talent+Acquisition,+Tax+++Audit+RSM+US+LLP" TargetMode="External"/><Relationship Id="rId2612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3944" Type="http://schemas.openxmlformats.org/officeDocument/2006/relationships/hyperlink" Target="https://www.google.com/search?newwindow=1&amp;ei=2MT0XrvGGM-vytMP1OyDgAY&amp;q=site%3Alinkedin.com+Kelly+Briody+Talent+Acquisition-+Senior+Campus+Recruiter+RSM+US+LLP" TargetMode="External"/><Relationship Id="rId2613" Type="http://schemas.openxmlformats.org/officeDocument/2006/relationships/hyperlink" Target="https://www.google.com/search?newwindow=1&amp;ei=2MT0XrvGGM-vytMP1OyDgAY&amp;q=site%3Alinkedin.com+Kati+Lavarias+Campus+Recruiter+EY" TargetMode="External"/><Relationship Id="rId3943" Type="http://schemas.openxmlformats.org/officeDocument/2006/relationships/hyperlink" Target="https://www.google.com/search?newwindow=1&amp;ei=2MT0XrvGGM-vytMP1OyDgAY&amp;q=site%3Alinkedin.com+Jenny+Wild+Senior+Campus+Recruiter+RSM+US+LLP" TargetMode="External"/><Relationship Id="rId2614" Type="http://schemas.openxmlformats.org/officeDocument/2006/relationships/hyperlink" Target="https://www.google.com/search?newwindow=1&amp;ei=2MT0XrvGGM-vytMP1OyDgAY&amp;q=site%3Alinkedin.com+Brighid+Jensen+US+Campus+Recruiting,+Associate+Director+-+Transformation+Project+Leader+EY" TargetMode="External"/><Relationship Id="rId3946" Type="http://schemas.openxmlformats.org/officeDocument/2006/relationships/hyperlink" Target="https://www.google.com/search?newwindow=1&amp;ei=2MT0XrvGGM-vytMP1OyDgAY&amp;q=site%3Alinkedin.com+Mindy+Holt+Senior+Campus+Recruiter+I+Tech+Liberty+Mutual+Insurance" TargetMode="External"/><Relationship Id="rId2615" Type="http://schemas.openxmlformats.org/officeDocument/2006/relationships/hyperlink" Target="https://www.google.com/search?newwindow=1&amp;ei=2MT0XrvGGM-vytMP1OyDgAY&amp;q=site%3Alinkedin.com+Ashley+Ann+Cooper+Learning+Manager:+Architect+and+Engagement+Manager+Curriculums+Capgemini" TargetMode="External"/><Relationship Id="rId3945" Type="http://schemas.openxmlformats.org/officeDocument/2006/relationships/hyperlink" Target="https://www.google.com/search?newwindow=1&amp;ei=2MT0XrvGGM-vytMP1OyDgAY&amp;q=site%3Alinkedin.com+Deana+Welsch,+MSEd.+Talent+Acquisition+Manager+-+Campus+Recruiting+RSM+US+LLP" TargetMode="External"/><Relationship Id="rId2616" Type="http://schemas.openxmlformats.org/officeDocument/2006/relationships/hyperlink" Target="https://www.google.com/search?newwindow=1&amp;ei=2MT0XrvGGM-vytMP1OyDgAY&amp;q=site%3Alinkedin.com+Scott+Dai+Senior+Manager,+Business+Strategy+&amp;+Consulting+EY" TargetMode="External"/><Relationship Id="rId3948" Type="http://schemas.openxmlformats.org/officeDocument/2006/relationships/hyperlink" Target="https://www.google.com/search?newwindow=1&amp;ei=2MT0XrvGGM-vytMP1OyDgAY&amp;q=site%3Alinkedin.com+Tiffany+Taylor+Campus+Recruiter+Liberty+Mutual+Insurance" TargetMode="External"/><Relationship Id="rId2617" Type="http://schemas.openxmlformats.org/officeDocument/2006/relationships/hyperlink" Target="https://www.google.com/search?newwindow=1&amp;ei=2MT0XrvGGM-vytMP1OyDgAY&amp;q=site%3Alinkedin.com+Mary+Colleen+Reuter+Campus+Recruiter+Capgemini" TargetMode="External"/><Relationship Id="rId3947" Type="http://schemas.openxmlformats.org/officeDocument/2006/relationships/hyperlink" Target="https://www.google.com/search?newwindow=1&amp;ei=2MT0XrvGGM-vytMP1OyDgAY&amp;q=site%3Alinkedin.com+Kasey+Noble+Campus+Recruiter,+Senior+Associate+RSM+US+LLP" TargetMode="External"/><Relationship Id="rId2618" Type="http://schemas.openxmlformats.org/officeDocument/2006/relationships/hyperlink" Target="https://www.google.com/search?newwindow=1&amp;ei=2MT0XrvGGM-vytMP1OyDgAY&amp;q=site%3Alinkedin.com+Rachel+Kessler+Campus+Recruiter+EY" TargetMode="External"/><Relationship Id="rId2619" Type="http://schemas.openxmlformats.org/officeDocument/2006/relationships/hyperlink" Target="https://www.google.com/search?newwindow=1&amp;ei=2MT0XrvGGM-vytMP1OyDgAY&amp;q=site%3Alinkedin.com+Rylee+Simpson+Nashville+Campus+Recruiter+Capgemini" TargetMode="External"/><Relationship Id="rId3949" Type="http://schemas.openxmlformats.org/officeDocument/2006/relationships/hyperlink" Target="https://www.google.com/search?newwindow=1&amp;ei=2MT0XrvGGM-vytMP1OyDgAY&amp;q=site%3Alinkedin.com+Meera+Desai+Senior+Campus+Recruiter+RSM+US+LLP" TargetMode="External"/><Relationship Id="rId3940" Type="http://schemas.openxmlformats.org/officeDocument/2006/relationships/hyperlink" Target="https://www.google.com/search?newwindow=1&amp;ei=2MT0XrvGGM-vytMP1OyDgAY&amp;q=site%3Alinkedin.com+Selam+Solomon+Senior+Campus+Recruiter+RSM+US+LLP" TargetMode="External"/><Relationship Id="rId1312" Type="http://schemas.openxmlformats.org/officeDocument/2006/relationships/hyperlink" Target="https://www.google.com/search?newwindow=1&amp;ei=2MT0XrvGGM-vytMP1OyDgAY&amp;q=site%3Alinkedin.com+Felipe+Moreira+International+Student+Coordinator,+LSM-PDD+Programs" TargetMode="External"/><Relationship Id="rId2643" Type="http://schemas.openxmlformats.org/officeDocument/2006/relationships/hyperlink" Target="https://www.google.com/search?newwindow=1&amp;ei=2MT0XrvGGM-vytMP1OyDgAY&amp;q=site%3Alinkedin.com+Hannah+Daluga+Campus+Recruiter+EY" TargetMode="External"/><Relationship Id="rId3975" Type="http://schemas.openxmlformats.org/officeDocument/2006/relationships/hyperlink" Target="https://www.google.com/search?newwindow=1&amp;ei=2MT0XrvGGM-vytMP1OyDgAY&amp;q=site%3Alinkedin.com+Annie+McDonough+Campus+Recruiter+LinkedIn" TargetMode="External"/><Relationship Id="rId1313" Type="http://schemas.openxmlformats.org/officeDocument/2006/relationships/hyperlink" Target="https://www.google.com/search?newwindow=1&amp;ei=2MT0XrvGGM-vytMP1OyDgAY&amp;q=site%3Alinkedin.com+Jessica+J.+Undergraduate+Academic+Assistant" TargetMode="External"/><Relationship Id="rId2644" Type="http://schemas.openxmlformats.org/officeDocument/2006/relationships/hyperlink" Target="https://www.google.com/search?newwindow=1&amp;ei=2MT0XrvGGM-vytMP1OyDgAY&amp;q=site%3Alinkedin.com+Jamar+Renfro+Campus+Recruiter+Capital+One" TargetMode="External"/><Relationship Id="rId3974" Type="http://schemas.openxmlformats.org/officeDocument/2006/relationships/hyperlink" Target="https://www.google.com/search?newwindow=1&amp;ei=2MT0XrvGGM-vytMP1OyDgAY&amp;q=site%3Alinkedin.com+Jermel+Green+University+Recruiter+SAP" TargetMode="External"/><Relationship Id="rId1314" Type="http://schemas.openxmlformats.org/officeDocument/2006/relationships/hyperlink" Target="https://www.google.com/search?newwindow=1&amp;ei=2MT0XrvGGM-vytMP1OyDgAY&amp;q=site%3Alinkedin.com+Eileen+Lim+Program+Assistant+-+International+Student+Programs" TargetMode="External"/><Relationship Id="rId2645" Type="http://schemas.openxmlformats.org/officeDocument/2006/relationships/hyperlink" Target="https://www.google.com/search?newwindow=1&amp;ei=2MT0XrvGGM-vytMP1OyDgAY&amp;q=site%3Alinkedin.com+Crystal+Hill+Campus+Recruiter+EY" TargetMode="External"/><Relationship Id="rId3977" Type="http://schemas.openxmlformats.org/officeDocument/2006/relationships/hyperlink" Target="https://www.google.com/search?newwindow=1&amp;ei=2MT0XrvGGM-vytMP1OyDgAY&amp;q=site%3Alinkedin.com+Trixie+Cordova+(she/her)+Campus+Recruiting+Global+Program+Manager+LinkedIn" TargetMode="External"/><Relationship Id="rId1315" Type="http://schemas.openxmlformats.org/officeDocument/2006/relationships/hyperlink" Target="https://www.google.com/search?newwindow=1&amp;ei=2MT0XrvGGM-vytMP1OyDgAY&amp;q=site%3Alinkedin.com+Emily+Durham+Senior+Campus+Recruiter" TargetMode="External"/><Relationship Id="rId2646" Type="http://schemas.openxmlformats.org/officeDocument/2006/relationships/hyperlink" Target="https://www.google.com/search?newwindow=1&amp;ei=2MT0XrvGGM-vytMP1OyDgAY&amp;q=site%3Alinkedin.com+Britt+Stacy+Campus+Recruiter+EY" TargetMode="External"/><Relationship Id="rId3976" Type="http://schemas.openxmlformats.org/officeDocument/2006/relationships/hyperlink" Target="https://www.google.com/search?newwindow=1&amp;ei=2MT0XrvGGM-vytMP1OyDgAY&amp;q=site%3Alinkedin.com+Brianne+Sullivan+University+&amp;+Diversity+Recruiter+SAP" TargetMode="External"/><Relationship Id="rId1316" Type="http://schemas.openxmlformats.org/officeDocument/2006/relationships/hyperlink" Target="https://www.google.com/search?newwindow=1&amp;ei=2MT0XrvGGM-vytMP1OyDgAY&amp;q=site%3Alinkedin.com+Stephanie+Liu+Campus+Recruiter" TargetMode="External"/><Relationship Id="rId2647" Type="http://schemas.openxmlformats.org/officeDocument/2006/relationships/hyperlink" Target="https://www.google.com/search?newwindow=1&amp;ei=2MT0XrvGGM-vytMP1OyDgAY&amp;q=site%3Alinkedin.com+Mark+Measell+Campus+Recruiter+Capital+One" TargetMode="External"/><Relationship Id="rId3979" Type="http://schemas.openxmlformats.org/officeDocument/2006/relationships/hyperlink" Target="https://www.google.com/search?newwindow=1&amp;ei=2MT0XrvGGM-vytMP1OyDgAY&amp;q=site%3Alinkedin.com+Juliana+Oliver+SAP+University+Recruiter+&amp;+iXp+Program+Partner+SAP+Concur" TargetMode="External"/><Relationship Id="rId1317" Type="http://schemas.openxmlformats.org/officeDocument/2006/relationships/hyperlink" Target="https://www.google.com/search?newwindow=1&amp;ei=2MT0XrvGGM-vytMP1OyDgAY&amp;q=site%3Alinkedin.com+Kayla+C.+International+Student+Advisor/Guidance+Counselor/Student+Recruiter" TargetMode="External"/><Relationship Id="rId2648" Type="http://schemas.openxmlformats.org/officeDocument/2006/relationships/hyperlink" Target="https://www.google.com/search?newwindow=1&amp;ei=2MT0XrvGGM-vytMP1OyDgAY&amp;q=site%3Alinkedin.com+Francesca+Jones+Campus+Recruiting+Leader+-+Financial+Services+Organization+EY" TargetMode="External"/><Relationship Id="rId3978" Type="http://schemas.openxmlformats.org/officeDocument/2006/relationships/hyperlink" Target="https://www.google.com/search?newwindow=1&amp;ei=2MT0XrvGGM-vytMP1OyDgAY&amp;q=site%3Alinkedin.com+Leigh+Desai+University+Recruiter+SAP+Concur" TargetMode="External"/><Relationship Id="rId1318" Type="http://schemas.openxmlformats.org/officeDocument/2006/relationships/hyperlink" Target="https://www.google.com/search?newwindow=1&amp;ei=2MT0XrvGGM-vytMP1OyDgAY&amp;q=site%3Alinkedin.com+SANDY+LIU+REALTOR,+INTERNATIONAL+STUDENT+RECRUITER" TargetMode="External"/><Relationship Id="rId2649" Type="http://schemas.openxmlformats.org/officeDocument/2006/relationships/hyperlink" Target="https://www.google.com/search?newwindow=1&amp;ei=2MT0XrvGGM-vytMP1OyDgAY&amp;q=site%3Alinkedin.com+Sahara+Marte+Campus+Recruiter+Capital+One" TargetMode="External"/><Relationship Id="rId1319" Type="http://schemas.openxmlformats.org/officeDocument/2006/relationships/hyperlink" Target="https://www.google.com/search?newwindow=1&amp;ei=2MT0XrvGGM-vytMP1OyDgAY&amp;q=site%3Alinkedin.com+Chiara+Arch+Campus+Recruiting+Strategist,+D&amp;I+&amp;+National+Partnerships+at+Capital+One" TargetMode="External"/><Relationship Id="rId729" Type="http://schemas.openxmlformats.org/officeDocument/2006/relationships/hyperlink" Target="https://www.google.com/search?newwindow=1&amp;ei=2MT0XrvGGM-vytMP1OyDgAY&amp;q=site%3Alinkedin.com+Lucy+Williams+Campus+Recruiter" TargetMode="External"/><Relationship Id="rId728" Type="http://schemas.openxmlformats.org/officeDocument/2006/relationships/hyperlink" Target="https://www.google.com/search?newwindow=1&amp;ei=2MT0XrvGGM-vytMP1OyDgAY&amp;q=site%3Alinkedin.com+Claire+Williams+Technical+University+Recruiter+EMEA+-+Software+Engineers" TargetMode="External"/><Relationship Id="rId723" Type="http://schemas.openxmlformats.org/officeDocument/2006/relationships/hyperlink" Target="https://www.google.com/search?newwindow=1&amp;ei=2MT0XrvGGM-vytMP1OyDgAY&amp;q=site%3Alinkedin.com+Rebecca+Durante+Team+Leader+-+Engineering+Campus+Recruiting" TargetMode="External"/><Relationship Id="rId722" Type="http://schemas.openxmlformats.org/officeDocument/2006/relationships/hyperlink" Target="https://www.google.com/search?newwindow=1&amp;ei=2MT0XrvGGM-vytMP1OyDgAY&amp;q=site%3Alinkedin.com+Laura+Houghton+Project+Coordinator+-+Student+Programs" TargetMode="External"/><Relationship Id="rId721" Type="http://schemas.openxmlformats.org/officeDocument/2006/relationships/hyperlink" Target="https://www.google.com/search?newwindow=1&amp;ei=2MT0XrvGGM-vytMP1OyDgAY&amp;q=site%3Alinkedin.com+Daria+Dobrzyniecka+EMEA+Campus+Recruiter+and+Programme+Manager" TargetMode="External"/><Relationship Id="rId720" Type="http://schemas.openxmlformats.org/officeDocument/2006/relationships/hyperlink" Target="https://www.google.com/search?newwindow=1&amp;ei=2MT0XrvGGM-vytMP1OyDgAY&amp;q=site%3Alinkedin.com+Lucy+Burrows+Assoc+CIPD+Graduate+Recruiter" TargetMode="External"/><Relationship Id="rId727" Type="http://schemas.openxmlformats.org/officeDocument/2006/relationships/hyperlink" Target="https://www.google.com/search?newwindow=1&amp;ei=2MT0XrvGGM-vytMP1OyDgAY&amp;q=site%3Alinkedin.com+Aisling+Lavagna+International+Campus+Senior+Recruiter" TargetMode="External"/><Relationship Id="rId726" Type="http://schemas.openxmlformats.org/officeDocument/2006/relationships/hyperlink" Target="https://www.google.com/search?newwindow=1&amp;ei=2MT0XrvGGM-vytMP1OyDgAY&amp;q=site%3Alinkedin.com+Crystal+Grant+Senior+MBA+Recruiter,+Student+Programs" TargetMode="External"/><Relationship Id="rId725" Type="http://schemas.openxmlformats.org/officeDocument/2006/relationships/hyperlink" Target="https://www.google.com/search?newwindow=1&amp;ei=2MT0XrvGGM-vytMP1OyDgAY&amp;q=site%3Alinkedin.com+Zee+Chimkupete+Student+Recruiter+and+Outreach+Officer" TargetMode="External"/><Relationship Id="rId724" Type="http://schemas.openxmlformats.org/officeDocument/2006/relationships/hyperlink" Target="https://www.google.com/search?newwindow=1&amp;ei=2MT0XrvGGM-vytMP1OyDgAY&amp;q=site%3Alinkedin.com+Anna+Curtis+(Assoc+CIPD)+Europe+Lead+Campus+Recruiter" TargetMode="External"/><Relationship Id="rId3971" Type="http://schemas.openxmlformats.org/officeDocument/2006/relationships/hyperlink" Target="https://www.google.com/search?newwindow=1&amp;ei=2MT0XrvGGM-vytMP1OyDgAY&amp;q=site%3Alinkedin.com+Eric+Mata+University+Recruiter+Sanofi" TargetMode="External"/><Relationship Id="rId2640" Type="http://schemas.openxmlformats.org/officeDocument/2006/relationships/hyperlink" Target="https://www.google.com/search?newwindow=1&amp;ei=2MT0XrvGGM-vytMP1OyDgAY&amp;q=site%3Alinkedin.com+Phylicia+Montaque+Campus+Recruiter+Capital+One" TargetMode="External"/><Relationship Id="rId3970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1310" Type="http://schemas.openxmlformats.org/officeDocument/2006/relationships/hyperlink" Target="https://www.google.com/search?newwindow=1&amp;ei=2MT0XrvGGM-vytMP1OyDgAY&amp;q=site%3Alinkedin.com+Tasneem+Damji+Student+Recruiter+&amp;+Mentor" TargetMode="External"/><Relationship Id="rId2641" Type="http://schemas.openxmlformats.org/officeDocument/2006/relationships/hyperlink" Target="https://www.google.com/search?newwindow=1&amp;ei=2MT0XrvGGM-vytMP1OyDgAY&amp;q=site%3Alinkedin.com+Monica+Zeno+Campus+Recruiter+-+Senior+Associate+-+FSO+EY" TargetMode="External"/><Relationship Id="rId3973" Type="http://schemas.openxmlformats.org/officeDocument/2006/relationships/hyperlink" Target="https://www.google.com/search?newwindow=1&amp;ei=2MT0XrvGGM-vytMP1OyDgAY&amp;q=site%3Alinkedin.com+Jennifer+Bassett-Abel+University+Recruiter+Sanofi" TargetMode="External"/><Relationship Id="rId1311" Type="http://schemas.openxmlformats.org/officeDocument/2006/relationships/hyperlink" Target="https://www.google.com/search?newwindow=1&amp;ei=2MT0XrvGGM-vytMP1OyDgAY&amp;q=site%3Alinkedin.com+Anna+Reithmeier+Manager,+International+Recruitment,+eRecruitment+and+Client+Services" TargetMode="External"/><Relationship Id="rId2642" Type="http://schemas.openxmlformats.org/officeDocument/2006/relationships/hyperlink" Target="https://www.google.com/search?newwindow=1&amp;ei=2MT0XrvGGM-vytMP1OyDgAY&amp;q=site%3Alinkedin.com+Eugene+Jacobs+Campus+Recruiter+Capital+One" TargetMode="External"/><Relationship Id="rId3972" Type="http://schemas.openxmlformats.org/officeDocument/2006/relationships/hyperlink" Target="https://www.google.com/search?newwindow=1&amp;ei=2MT0XrvGGM-vytMP1OyDgAY&amp;q=site%3Alinkedin.com+Cam+Pezet+Senior+Campus+Recruiter+LinkedIn" TargetMode="External"/><Relationship Id="rId1301" Type="http://schemas.openxmlformats.org/officeDocument/2006/relationships/hyperlink" Target="https://www.google.com/search?newwindow=1&amp;ei=2MT0XrvGGM-vytMP1OyDgAY&amp;q=site%3Alinkedin.com+Kate+Schade+Senior+HR+Associate+%7C+Campus+Recruiting+Lead+-+Strategy+Consulting+Group" TargetMode="External"/><Relationship Id="rId2632" Type="http://schemas.openxmlformats.org/officeDocument/2006/relationships/hyperlink" Target="https://www.google.com/search?newwindow=1&amp;ei=2MT0XrvGGM-vytMP1OyDgAY&amp;q=site%3Alinkedin.com+Ashley+Ann+Cooper+Campus+Recruiter+Capgemini+Consulting" TargetMode="External"/><Relationship Id="rId3964" Type="http://schemas.openxmlformats.org/officeDocument/2006/relationships/hyperlink" Target="https://www.google.com/search?newwindow=1&amp;ei=2MT0XrvGGM-vytMP1OyDgAY&amp;q=site%3Alinkedin.com+Kaitlyn+Partridge+Senior+Technical+Recruiter,+Futureforce+University+Recruiting+Salesforce" TargetMode="External"/><Relationship Id="rId1302" Type="http://schemas.openxmlformats.org/officeDocument/2006/relationships/hyperlink" Target="https://www.google.com/search?newwindow=1&amp;ei=2MT0XrvGGM-vytMP1OyDgAY&amp;q=site%3Alinkedin.com+Ryan+Ruiz+VP,+Campus+Recruiting+Manager" TargetMode="External"/><Relationship Id="rId2633" Type="http://schemas.openxmlformats.org/officeDocument/2006/relationships/hyperlink" Target="https://www.google.com/search?newwindow=1&amp;ei=2MT0XrvGGM-vytMP1OyDgAY&amp;q=site%3Alinkedin.com+Stephanie+Eckland+Campus+Recruiter+EY" TargetMode="External"/><Relationship Id="rId3963" Type="http://schemas.openxmlformats.org/officeDocument/2006/relationships/hyperlink" Target="https://www.google.com/search?newwindow=1&amp;ei=2MT0XrvGGM-vytMP1OyDgAY&amp;q=site%3Alinkedin.com+Natalie+Landry+Senior+Campus+Recruiter+Liberty+Mutual+Insurance" TargetMode="External"/><Relationship Id="rId1303" Type="http://schemas.openxmlformats.org/officeDocument/2006/relationships/hyperlink" Target="https://www.google.com/search?newwindow=1&amp;ei=2MT0XrvGGM-vytMP1OyDgAY&amp;q=site%3Alinkedin.com+Carolyn+Holman+Campus+Recruiting" TargetMode="External"/><Relationship Id="rId2634" Type="http://schemas.openxmlformats.org/officeDocument/2006/relationships/hyperlink" Target="https://www.google.com/search?newwindow=1&amp;ei=2MT0XrvGGM-vytMP1OyDgAY&amp;q=site%3Alinkedin.com+Sarah+Fitch+Tech+Campus+Recruiter+-+Midwest+Region+Capital+One" TargetMode="External"/><Relationship Id="rId3966" Type="http://schemas.openxmlformats.org/officeDocument/2006/relationships/hyperlink" Target="https://www.google.com/search?newwindow=1&amp;ei=2MT0XrvGGM-vytMP1OyDgAY&amp;q=site%3Alinkedin.com+Emily+Shockley+Senior+University+Recruiter+Salesforce" TargetMode="External"/><Relationship Id="rId1304" Type="http://schemas.openxmlformats.org/officeDocument/2006/relationships/hyperlink" Target="https://www.google.com/search?newwindow=1&amp;ei=2MT0XrvGGM-vytMP1OyDgAY&amp;q=site%3Alinkedin.com+Christina+Mitchell+Principal+HR+Coordinator,+Campus+Recruiting" TargetMode="External"/><Relationship Id="rId2635" Type="http://schemas.openxmlformats.org/officeDocument/2006/relationships/hyperlink" Target="https://www.google.com/search?newwindow=1&amp;ei=2MT0XrvGGM-vytMP1OyDgAY&amp;q=site%3Alinkedin.com+Daniela+McLoad+Campus+Recruiter,+Supervising+Associate+EY" TargetMode="External"/><Relationship Id="rId3965" Type="http://schemas.openxmlformats.org/officeDocument/2006/relationships/hyperlink" Target="https://www.google.com/search?newwindow=1&amp;ei=2MT0XrvGGM-vytMP1OyDgAY&amp;q=site%3Alinkedin.com+Steven+Carnevale+Campus+Recruiter+Liberty+Mutual+Insurance" TargetMode="External"/><Relationship Id="rId1305" Type="http://schemas.openxmlformats.org/officeDocument/2006/relationships/hyperlink" Target="https://www.google.com/search?newwindow=1&amp;ei=2MT0XrvGGM-vytMP1OyDgAY&amp;q=site%3Alinkedin.com+Mary+Kate+Duncan+Campus+Recruiter" TargetMode="External"/><Relationship Id="rId2636" Type="http://schemas.openxmlformats.org/officeDocument/2006/relationships/hyperlink" Target="https://www.google.com/search?newwindow=1&amp;ei=2MT0XrvGGM-vytMP1OyDgAY&amp;q=site%3Alinkedin.com+Lauren+Wright+Campus+Recruiter+Capital+One" TargetMode="External"/><Relationship Id="rId3968" Type="http://schemas.openxmlformats.org/officeDocument/2006/relationships/hyperlink" Target="https://www.google.com/search?newwindow=1&amp;ei=2MT0XrvGGM-vytMP1OyDgAY&amp;q=site%3Alinkedin.com+Stacy+Schall+Senior+University+Recruiter+-+Futureforce+Salesforce" TargetMode="External"/><Relationship Id="rId1306" Type="http://schemas.openxmlformats.org/officeDocument/2006/relationships/hyperlink" Target="https://www.google.com/search?newwindow=1&amp;ei=2MT0XrvGGM-vytMP1OyDgAY&amp;q=site%3Alinkedin.com+Chris+Giacchi+Human+Resource+Consultant+for+Brand,+Workplace+Solutions,+Supplier+Management+and+Security" TargetMode="External"/><Relationship Id="rId2637" Type="http://schemas.openxmlformats.org/officeDocument/2006/relationships/hyperlink" Target="https://www.google.com/search?newwindow=1&amp;ei=2MT0XrvGGM-vytMP1OyDgAY&amp;q=site%3Alinkedin.com+Caroline+Hudnall+Campus+Recruiter+EY" TargetMode="External"/><Relationship Id="rId3967" Type="http://schemas.openxmlformats.org/officeDocument/2006/relationships/hyperlink" Target="https://www.google.com/search?newwindow=1&amp;ei=2MT0XrvGGM-vytMP1OyDgAY&amp;q=site%3Alinkedin.com+Alyssa+Nogueira+Campus+Recruiter+Liberty+Mutual+Insurance" TargetMode="External"/><Relationship Id="rId1307" Type="http://schemas.openxmlformats.org/officeDocument/2006/relationships/hyperlink" Target="https://www.google.com/search?newwindow=1&amp;ei=2MT0XrvGGM-vytMP1OyDgAY&amp;q=site%3Alinkedin.com+Peter+Bartok+Campus+Recruiting+Manager" TargetMode="External"/><Relationship Id="rId2638" Type="http://schemas.openxmlformats.org/officeDocument/2006/relationships/hyperlink" Target="https://www.google.com/search?newwindow=1&amp;ei=2MT0XrvGGM-vytMP1OyDgAY&amp;q=site%3Alinkedin.com+Vanessa+Mauskapf+(CONT)+Campus+Recruiter+Capital+One" TargetMode="External"/><Relationship Id="rId1308" Type="http://schemas.openxmlformats.org/officeDocument/2006/relationships/hyperlink" Target="https://www.google.com/search?newwindow=1&amp;ei=2MT0XrvGGM-vytMP1OyDgAY&amp;q=site%3Alinkedin.com+Julia+Christakos+Process+Manager,+Campus+Recruiting" TargetMode="External"/><Relationship Id="rId2639" Type="http://schemas.openxmlformats.org/officeDocument/2006/relationships/hyperlink" Target="https://www.google.com/search?newwindow=1&amp;ei=2MT0XrvGGM-vytMP1OyDgAY&amp;q=site%3Alinkedin.com+Maricarolyn+Stith+Campus+Recruiter+EY" TargetMode="External"/><Relationship Id="rId3969" Type="http://schemas.openxmlformats.org/officeDocument/2006/relationships/hyperlink" Target="https://www.google.com/search?newwindow=1&amp;ei=2MT0XrvGGM-vytMP1OyDgAY&amp;q=site%3Alinkedin.com+Molly+M.+Holt+University+Recruiter+(Talent+Scout)+-+Futureforce+Salesforce" TargetMode="External"/><Relationship Id="rId1309" Type="http://schemas.openxmlformats.org/officeDocument/2006/relationships/hyperlink" Target="https://www.google.com/search?newwindow=1&amp;ei=2MT0XrvGGM-vytMP1OyDgAY&amp;q=site%3Alinkedin.com+Laura+Valentine+Campus+Recruiting+Coordinator" TargetMode="External"/><Relationship Id="rId719" Type="http://schemas.openxmlformats.org/officeDocument/2006/relationships/hyperlink" Target="https://www.google.com/search?newwindow=1&amp;ei=2MT0XrvGGM-vytMP1OyDgAY&amp;q=site%3Alinkedin.com+Paul+Sutherland+VP,+Global+Lead+-+AIML+&amp;+Quant+Analytics+Campus+Recruiting" TargetMode="External"/><Relationship Id="rId718" Type="http://schemas.openxmlformats.org/officeDocument/2006/relationships/hyperlink" Target="https://www.google.com/search?newwindow=1&amp;ei=2MT0XrvGGM-vytMP1OyDgAY&amp;q=site%3Alinkedin.com+Ioana+Tanase+Recruitment+Account+Manager+for+EMEA+University+Engineering" TargetMode="External"/><Relationship Id="rId717" Type="http://schemas.openxmlformats.org/officeDocument/2006/relationships/hyperlink" Target="https://www.google.com/search?newwindow=1&amp;ei=2MT0XrvGGM-vytMP1OyDgAY&amp;q=site%3Alinkedin.com+Pilar+T.+P%C3%A9rez-Griffo+Ja%C3%A9n+EMEA+-+Graduate+Recruiter+-+BCMA" TargetMode="External"/><Relationship Id="rId712" Type="http://schemas.openxmlformats.org/officeDocument/2006/relationships/hyperlink" Target="https://www.google.com/search?newwindow=1&amp;ei=2MT0XrvGGM-vytMP1OyDgAY&amp;q=site%3Alinkedin.com+Bethany+Copping+Graduate+Tech+Recruiter" TargetMode="External"/><Relationship Id="rId711" Type="http://schemas.openxmlformats.org/officeDocument/2006/relationships/hyperlink" Target="https://www.google.com/search?newwindow=1&amp;ei=2MT0XrvGGM-vytMP1OyDgAY&amp;q=site%3Alinkedin.com+Amy+Blake+Graduate+Recruiter" TargetMode="External"/><Relationship Id="rId710" Type="http://schemas.openxmlformats.org/officeDocument/2006/relationships/hyperlink" Target="https://www.google.com/search?newwindow=1&amp;ei=2MT0XrvGGM-vytMP1OyDgAY&amp;q=site%3Alinkedin.com+Donna+Cummings+Senior+Graduate+Recruiter+-+Technology+&amp;+Cyber+Security" TargetMode="External"/><Relationship Id="rId716" Type="http://schemas.openxmlformats.org/officeDocument/2006/relationships/hyperlink" Target="https://www.google.com/search?newwindow=1&amp;ei=2MT0XrvGGM-vytMP1OyDgAY&amp;q=site%3Alinkedin.com+Kane+Willmott-Kalokoh+Graduate+Recruiter" TargetMode="External"/><Relationship Id="rId715" Type="http://schemas.openxmlformats.org/officeDocument/2006/relationships/hyperlink" Target="https://www.google.com/search?newwindow=1&amp;ei=2MT0XrvGGM-vytMP1OyDgAY&amp;q=site%3Alinkedin.com+Shauna+Louise+Biggins+Banking+EMEA+Campus+Recruiter+-+Associate+Vice+President" TargetMode="External"/><Relationship Id="rId714" Type="http://schemas.openxmlformats.org/officeDocument/2006/relationships/hyperlink" Target="https://www.google.com/search?newwindow=1&amp;ei=2MT0XrvGGM-vytMP1OyDgAY&amp;q=site%3Alinkedin.com+Craig+Thompson+Senior+Graduate+Recruiter+-+Global+Banking+&amp;+Markets" TargetMode="External"/><Relationship Id="rId713" Type="http://schemas.openxmlformats.org/officeDocument/2006/relationships/hyperlink" Target="https://www.google.com/search?newwindow=1&amp;ei=2MT0XrvGGM-vytMP1OyDgAY&amp;q=site%3Alinkedin.com+Joanne+O'Brien+Graduate+Recruiter" TargetMode="External"/><Relationship Id="rId3960" Type="http://schemas.openxmlformats.org/officeDocument/2006/relationships/hyperlink" Target="https://www.google.com/search?newwindow=1&amp;ei=2MT0XrvGGM-vytMP1OyDgAY&amp;q=site%3Alinkedin.com+Bobby+Nerbonne+University+Recruiter+(Futureforce)+Salesforce" TargetMode="External"/><Relationship Id="rId2630" Type="http://schemas.openxmlformats.org/officeDocument/2006/relationships/hyperlink" Target="https://www.google.com/search?newwindow=1&amp;ei=2MT0XrvGGM-vytMP1OyDgAY&amp;q=site%3Alinkedin.com+Steve+Villa+National+Campus+Recruiter+Capgemini" TargetMode="External"/><Relationship Id="rId3962" Type="http://schemas.openxmlformats.org/officeDocument/2006/relationships/hyperlink" Target="https://www.google.com/search?newwindow=1&amp;ei=2MT0XrvGGM-vytMP1OyDgAY&amp;q=site%3Alinkedin.com+Katherine+Schwartz+Farah+Senior+Recruiter+Salesforce" TargetMode="External"/><Relationship Id="rId1300" Type="http://schemas.openxmlformats.org/officeDocument/2006/relationships/hyperlink" Target="https://www.google.com/search?newwindow=1&amp;ei=2MT0XrvGGM-vytMP1OyDgAY&amp;q=site%3Alinkedin.com+Jess+Bailey+Campus+Recruiting+Manager" TargetMode="External"/><Relationship Id="rId2631" Type="http://schemas.openxmlformats.org/officeDocument/2006/relationships/hyperlink" Target="https://www.google.com/search?newwindow=1&amp;ei=2MT0XrvGGM-vytMP1OyDgAY&amp;q=site%3Alinkedin.com+Lindsay+Sadler+West+Region+Campus+Recruiter+EY" TargetMode="External"/><Relationship Id="rId3961" Type="http://schemas.openxmlformats.org/officeDocument/2006/relationships/hyperlink" Target="https://www.google.com/search?newwindow=1&amp;ei=2MT0XrvGGM-vytMP1OyDgAY&amp;q=site%3Alinkedin.com+Kayla+Wheaton+Tech+Campus+Recruiter+Liberty+Mutual+Insurance" TargetMode="External"/><Relationship Id="rId3117" Type="http://schemas.openxmlformats.org/officeDocument/2006/relationships/hyperlink" Target="https://www.google.com/search?newwindow=1&amp;ei=2MT0XrvGGM-vytMP1OyDgAY&amp;q=site%3Alinkedin.com+Jennifer+Nienberg+Campus+Recruiter+EY" TargetMode="External"/><Relationship Id="rId4448" Type="http://schemas.openxmlformats.org/officeDocument/2006/relationships/hyperlink" Target="https://www.google.com/search?newwindow=1&amp;ei=2MT0XrvGGM-vytMP1OyDgAY&amp;q=site%3Alinkedin.com+LaToya+Johnson+University+Programs+Recruiter+Raytheon+Technologies" TargetMode="External"/><Relationship Id="rId3116" Type="http://schemas.openxmlformats.org/officeDocument/2006/relationships/hyperlink" Target="https://www.google.com/search?newwindow=1&amp;ei=2MT0XrvGGM-vytMP1OyDgAY&amp;q=site%3Alinkedin.com+Katelyn+Kearns+Campus+Recruiter+HubSpot" TargetMode="External"/><Relationship Id="rId4447" Type="http://schemas.openxmlformats.org/officeDocument/2006/relationships/hyperlink" Target="https://www.google.com/search?newwindow=1&amp;ei=2MT0XrvGGM-vytMP1OyDgAY&amp;q=site%3Alinkedin.com+Erin+Pruitt+University+Programs+Recruiter+-+Raytheon+Intelligence+and+Space+Raytheon+Technologies" TargetMode="External"/><Relationship Id="rId3119" Type="http://schemas.openxmlformats.org/officeDocument/2006/relationships/hyperlink" Target="https://www.google.com/search?newwindow=1&amp;ei=2MT0XrvGGM-vytMP1OyDgAY&amp;q=site%3Alinkedin.com+Katie+Mullaney+Campus+Recruiter+EY" TargetMode="External"/><Relationship Id="rId3118" Type="http://schemas.openxmlformats.org/officeDocument/2006/relationships/hyperlink" Target="https://www.google.com/search?newwindow=1&amp;ei=2MT0XrvGGM-vytMP1OyDgAY&amp;q=site%3Alinkedin.com+Viennie+Chanthachack+(he/him)+Associate+Campus+Recruiter+-+North+America+&amp;+EMEA+Sales+HubSpot" TargetMode="External"/><Relationship Id="rId4449" Type="http://schemas.openxmlformats.org/officeDocument/2006/relationships/hyperlink" Target="https://www.google.com/search?newwindow=1&amp;ei=2MT0XrvGGM-vytMP1OyDgAY&amp;q=site%3Alinkedin.com+Kevin+Lohmeier+Campus+Recruiting+Manager+-+University+of+Arizona+Raytheon+Technologies" TargetMode="External"/><Relationship Id="rId4440" Type="http://schemas.openxmlformats.org/officeDocument/2006/relationships/hyperlink" Target="https://www.google.com/search?newwindow=1&amp;ei=2MT0XrvGGM-vytMP1OyDgAY&amp;q=site%3Alinkedin.com+Katie+Tuthill+University+Programs+Recruiter+Raytheon" TargetMode="External"/><Relationship Id="rId3111" Type="http://schemas.openxmlformats.org/officeDocument/2006/relationships/hyperlink" Target="https://www.google.com/search?newwindow=1&amp;ei=2MT0XrvGGM-vytMP1OyDgAY&amp;q=site%3Alinkedin.com+Gillian+McLarty+Associate+Campus+Recruiter+HubSpot" TargetMode="External"/><Relationship Id="rId4442" Type="http://schemas.openxmlformats.org/officeDocument/2006/relationships/hyperlink" Target="https://www.google.com/search?newwindow=1&amp;ei=2MT0XrvGGM-vytMP1OyDgAY&amp;q=site%3Alinkedin.com+Celine+Dye+University+Programs+Recruiter+Raytheon" TargetMode="External"/><Relationship Id="rId3110" Type="http://schemas.openxmlformats.org/officeDocument/2006/relationships/hyperlink" Target="https://www.google.com/search?newwindow=1&amp;ei=2MT0XrvGGM-vytMP1OyDgAY&amp;q=site%3Alinkedin.com+Katie+Fiorenzo+Sharp+Campus+Recruiter+-+Transaction+Advisory+Services+EY" TargetMode="External"/><Relationship Id="rId4441" Type="http://schemas.openxmlformats.org/officeDocument/2006/relationships/hyperlink" Target="https://www.google.com/search?newwindow=1&amp;ei=2MT0XrvGGM-vytMP1OyDgAY&amp;q=site%3Alinkedin.com+Richard+DeStefano+University+Programs+Manager+Raytheon" TargetMode="External"/><Relationship Id="rId3113" Type="http://schemas.openxmlformats.org/officeDocument/2006/relationships/hyperlink" Target="https://www.google.com/search?newwindow=1&amp;ei=2MT0XrvGGM-vytMP1OyDgAY&amp;q=site%3Alinkedin.com+Callie+Jones+Campus+Recruiter+EY" TargetMode="External"/><Relationship Id="rId4444" Type="http://schemas.openxmlformats.org/officeDocument/2006/relationships/hyperlink" Target="https://www.google.com/search?newwindow=1&amp;ei=2MT0XrvGGM-vytMP1OyDgAY&amp;q=site%3Alinkedin.com+Jennifer+Rhodes+University+Programs+Recruiter+Raytheon" TargetMode="External"/><Relationship Id="rId3112" Type="http://schemas.openxmlformats.org/officeDocument/2006/relationships/hyperlink" Target="https://www.google.com/search?newwindow=1&amp;ei=2MT0XrvGGM-vytMP1OyDgAY&amp;q=site%3Alinkedin.com+Glory+Montes+Associate+Campus+Tech+Recruiter+HubSpot" TargetMode="External"/><Relationship Id="rId4443" Type="http://schemas.openxmlformats.org/officeDocument/2006/relationships/hyperlink" Target="https://www.google.com/search?newwindow=1&amp;ei=2MT0XrvGGM-vytMP1OyDgAY&amp;q=site%3Alinkedin.com+Curtis+Sargent+University+Programs+Recruiter+Raytheon" TargetMode="External"/><Relationship Id="rId3115" Type="http://schemas.openxmlformats.org/officeDocument/2006/relationships/hyperlink" Target="https://www.google.com/search?newwindow=1&amp;ei=2MT0XrvGGM-vytMP1OyDgAY&amp;q=site%3Alinkedin.com+Ally+Yawman+Campus+Recruiter+EY" TargetMode="External"/><Relationship Id="rId4446" Type="http://schemas.openxmlformats.org/officeDocument/2006/relationships/hyperlink" Target="https://www.google.com/search?newwindow=1&amp;ei=2MT0XrvGGM-vytMP1OyDgAY&amp;q=site%3Alinkedin.com+Hazel+Y.+Lopez+University+Programs+Recruiter+Raytheon+Technologies" TargetMode="External"/><Relationship Id="rId3114" Type="http://schemas.openxmlformats.org/officeDocument/2006/relationships/hyperlink" Target="https://www.google.com/search?newwindow=1&amp;ei=2MT0XrvGGM-vytMP1OyDgAY&amp;q=site%3Alinkedin.com+Colleen+Grant+Manager,+Global+Campus+Recruiting+HubSpot" TargetMode="External"/><Relationship Id="rId4445" Type="http://schemas.openxmlformats.org/officeDocument/2006/relationships/hyperlink" Target="https://www.google.com/search?newwindow=1&amp;ei=2MT0XrvGGM-vytMP1OyDgAY&amp;q=site%3Alinkedin.com+Lexi+Casarez+University+Programs+Recruiter+at+Raytheon+Missiles+&amp;+Defense+Raytheon+Missiles+&amp;+Defense" TargetMode="External"/><Relationship Id="rId3106" Type="http://schemas.openxmlformats.org/officeDocument/2006/relationships/hyperlink" Target="https://www.google.com/search?newwindow=1&amp;ei=2MT0XrvGGM-vytMP1OyDgAY&amp;q=site%3Alinkedin.com+Jessica+Robson+Campus+Recruiter+EY" TargetMode="External"/><Relationship Id="rId4437" Type="http://schemas.openxmlformats.org/officeDocument/2006/relationships/hyperlink" Target="https://www.google.com/search?newwindow=1&amp;ei=2MT0XrvGGM-vytMP1OyDgAY&amp;q=site%3Alinkedin.com+Brigid+Sullivan+University+Programs+Recruiter+Raytheon" TargetMode="External"/><Relationship Id="rId3105" Type="http://schemas.openxmlformats.org/officeDocument/2006/relationships/hyperlink" Target="https://www.google.com/search?newwindow=1&amp;ei=2MT0XrvGGM-vytMP1OyDgAY&amp;q=site%3Alinkedin.com+Brian+L.+Thai+University+Recruiter+Honeywell" TargetMode="External"/><Relationship Id="rId4436" Type="http://schemas.openxmlformats.org/officeDocument/2006/relationships/hyperlink" Target="https://www.google.com/search?newwindow=1&amp;ei=2MT0XrvGGM-vytMP1OyDgAY&amp;q=site%3Alinkedin.com+Sara+Cho+Technical+University+Recruiter+Qualtrics" TargetMode="External"/><Relationship Id="rId3108" Type="http://schemas.openxmlformats.org/officeDocument/2006/relationships/hyperlink" Target="https://www.google.com/search?newwindow=1&amp;ei=2MT0XrvGGM-vytMP1OyDgAY&amp;q=site%3Alinkedin.com+Ellen+Stark+Campus+Recruiter+EY" TargetMode="External"/><Relationship Id="rId4439" Type="http://schemas.openxmlformats.org/officeDocument/2006/relationships/hyperlink" Target="https://www.google.com/search?newwindow=1&amp;ei=2MT0XrvGGM-vytMP1OyDgAY&amp;q=site%3Alinkedin.com+Jennifer+Smyth+Recruiter+Raytheon" TargetMode="External"/><Relationship Id="rId3107" Type="http://schemas.openxmlformats.org/officeDocument/2006/relationships/hyperlink" Target="https://www.google.com/search?newwindow=1&amp;ei=2MT0XrvGGM-vytMP1OyDgAY&amp;q=site%3Alinkedin.com+Chelsea+Jensen+Damm+Virginia+Tech+Recruiting+Campus+Manager+Honeywell" TargetMode="External"/><Relationship Id="rId4438" Type="http://schemas.openxmlformats.org/officeDocument/2006/relationships/hyperlink" Target="https://www.google.com/search?newwindow=1&amp;ei=2MT0XrvGGM-vytMP1OyDgAY&amp;q=site%3Alinkedin.com+Michelle+Ciak+University+Programs+Recruiter+Raytheon" TargetMode="External"/><Relationship Id="rId3109" Type="http://schemas.openxmlformats.org/officeDocument/2006/relationships/hyperlink" Target="https://www.google.com/search?newwindow=1&amp;ei=2MT0XrvGGM-vytMP1OyDgAY&amp;q=site%3Alinkedin.com+Tiffany+Kirby+University+Relations+Recruiter+Honeywell" TargetMode="External"/><Relationship Id="rId3100" Type="http://schemas.openxmlformats.org/officeDocument/2006/relationships/hyperlink" Target="https://www.google.com/search?newwindow=1&amp;ei=2MT0XrvGGM-vytMP1OyDgAY&amp;q=site%3Alinkedin.com+Debbie+Dillon+Campus+Recruiter+Ernst+&amp;+Young" TargetMode="External"/><Relationship Id="rId4431" Type="http://schemas.openxmlformats.org/officeDocument/2006/relationships/hyperlink" Target="https://www.google.com/search?newwindow=1&amp;ei=2MT0XrvGGM-vytMP1OyDgAY&amp;q=site%3Alinkedin.com+Emily+Jones+Campus+Recruiter+PwC" TargetMode="External"/><Relationship Id="rId4430" Type="http://schemas.openxmlformats.org/officeDocument/2006/relationships/hyperlink" Target="https://www.google.com/search?newwindow=1&amp;ei=2MT0XrvGGM-vytMP1OyDgAY&amp;q=site%3Alinkedin.com+Kim+Kueper+Campus+Recruiter+PwC" TargetMode="External"/><Relationship Id="rId3102" Type="http://schemas.openxmlformats.org/officeDocument/2006/relationships/hyperlink" Target="https://www.google.com/search?newwindow=1&amp;ei=2MT0XrvGGM-vytMP1OyDgAY&amp;q=site%3Alinkedin.com+Angie+Menendez+Area+Campus+Recruiter+Ernst+and+Young" TargetMode="External"/><Relationship Id="rId4433" Type="http://schemas.openxmlformats.org/officeDocument/2006/relationships/hyperlink" Target="https://www.google.com/search?newwindow=1&amp;ei=2MT0XrvGGM-vytMP1OyDgAY&amp;q=site%3Alinkedin.com+Harmony+Rose+Morkve+University+Recruiter+Qualtrics" TargetMode="External"/><Relationship Id="rId3101" Type="http://schemas.openxmlformats.org/officeDocument/2006/relationships/hyperlink" Target="https://www.google.com/search?newwindow=1&amp;ei=2MT0XrvGGM-vytMP1OyDgAY&amp;q=site%3Alinkedin.com+Victoria+Mack+University+Recruiter+Grant+Thornton+LLP" TargetMode="External"/><Relationship Id="rId4432" Type="http://schemas.openxmlformats.org/officeDocument/2006/relationships/hyperlink" Target="https://www.google.com/search?newwindow=1&amp;ei=2MT0XrvGGM-vytMP1OyDgAY&amp;q=site%3Alinkedin.com+Meredith+TenHoeve+Campus+Recruiting+Manager+PwC" TargetMode="External"/><Relationship Id="rId3104" Type="http://schemas.openxmlformats.org/officeDocument/2006/relationships/hyperlink" Target="https://www.google.com/search?newwindow=1&amp;ei=2MT0XrvGGM-vytMP1OyDgAY&amp;q=site%3Alinkedin.com+Kelsey+Rock+Campus+Recruiter+EY" TargetMode="External"/><Relationship Id="rId4435" Type="http://schemas.openxmlformats.org/officeDocument/2006/relationships/hyperlink" Target="https://www.google.com/search?newwindow=1&amp;ei=2MT0XrvGGM-vytMP1OyDgAY&amp;q=site%3Alinkedin.com+Tatiana+Messersmith+University+Recruiter+Qualtrics" TargetMode="External"/><Relationship Id="rId3103" Type="http://schemas.openxmlformats.org/officeDocument/2006/relationships/hyperlink" Target="https://www.google.com/search?newwindow=1&amp;ei=2MT0XrvGGM-vytMP1OyDgAY&amp;q=site%3Alinkedin.com+Sarah+Reynolds+University+Relations+Manager+Honeywell" TargetMode="External"/><Relationship Id="rId4434" Type="http://schemas.openxmlformats.org/officeDocument/2006/relationships/hyperlink" Target="https://www.google.com/search?newwindow=1&amp;ei=2MT0XrvGGM-vytMP1OyDgAY&amp;q=site%3Alinkedin.com+Sarah+Brewster+Technical+University+Recruiter+Qualtrics" TargetMode="External"/><Relationship Id="rId3139" Type="http://schemas.openxmlformats.org/officeDocument/2006/relationships/hyperlink" Target="https://www.google.com/search?newwindow=1&amp;ei=2MT0XrvGGM-vytMP1OyDgAY&amp;q=site%3Alinkedin.com+Anuj+Patel+Campus+Recruiter+EY" TargetMode="External"/><Relationship Id="rId3138" Type="http://schemas.openxmlformats.org/officeDocument/2006/relationships/hyperlink" Target="https://www.google.com/search?newwindow=1&amp;ei=2MT0XrvGGM-vytMP1OyDgAY&amp;q=site%3Alinkedin.com+Rebecca+Hou+Campus+Recruiter+Infosys" TargetMode="External"/><Relationship Id="rId4469" Type="http://schemas.openxmlformats.org/officeDocument/2006/relationships/hyperlink" Target="https://www.google.com/search?newwindow=1&amp;ei=2MT0XrvGGM-vytMP1OyDgAY&amp;q=site%3Alinkedin.com+Jenny+Wild+Senior+Campus+Recruiter+RSM+US+LLP" TargetMode="External"/><Relationship Id="rId4460" Type="http://schemas.openxmlformats.org/officeDocument/2006/relationships/hyperlink" Target="https://www.google.com/search?newwindow=1&amp;ei=2MT0XrvGGM-vytMP1OyDgAY&amp;q=site%3Alinkedin.com+Tara+Skrla+Consulting+Campus+Recruiter+-+Senior+Associate+RSM+US+LLP" TargetMode="External"/><Relationship Id="rId3131" Type="http://schemas.openxmlformats.org/officeDocument/2006/relationships/hyperlink" Target="https://www.google.com/search?newwindow=1&amp;ei=2MT0XrvGGM-vytMP1OyDgAY&amp;q=site%3Alinkedin.com+Erin+Green+Campus+Recruiting+Manager+EY" TargetMode="External"/><Relationship Id="rId4462" Type="http://schemas.openxmlformats.org/officeDocument/2006/relationships/hyperlink" Target="https://www.google.com/search?newwindow=1&amp;ei=2MT0XrvGGM-vytMP1OyDgAY&amp;q=site%3Alinkedin.com+Ina+Abraham+Senior+Campus+Recruiter+RSM+US+LLP" TargetMode="External"/><Relationship Id="rId3130" Type="http://schemas.openxmlformats.org/officeDocument/2006/relationships/hyperlink" Target="https://www.google.com/search?newwindow=1&amp;ei=2MT0XrvGGM-vytMP1OyDgAY&amp;q=site%3Alinkedin.com+Christina+Rippo+University+Recruiter+I+Talent+Attraction+Indeed.com+Indeed.com" TargetMode="External"/><Relationship Id="rId4461" Type="http://schemas.openxmlformats.org/officeDocument/2006/relationships/hyperlink" Target="https://www.google.com/search?newwindow=1&amp;ei=2MT0XrvGGM-vytMP1OyDgAY&amp;q=site%3Alinkedin.com+Tricia+Raper+Senior+Campus+Recruiter+RSM+US+LLP" TargetMode="External"/><Relationship Id="rId3133" Type="http://schemas.openxmlformats.org/officeDocument/2006/relationships/hyperlink" Target="https://www.google.com/search?newwindow=1&amp;ei=2MT0XrvGGM-vytMP1OyDgAY&amp;q=site%3Alinkedin.com+Ella+Ryan+Campus+Recruiter+EY" TargetMode="External"/><Relationship Id="rId4464" Type="http://schemas.openxmlformats.org/officeDocument/2006/relationships/hyperlink" Target="https://www.google.com/search?newwindow=1&amp;ei=2MT0XrvGGM-vytMP1OyDgAY&amp;q=site%3Alinkedin.com+Allison+Cenci+Campus+Recruiter+RSM+US+LLP" TargetMode="External"/><Relationship Id="rId3132" Type="http://schemas.openxmlformats.org/officeDocument/2006/relationships/hyperlink" Target="https://www.google.com/search?newwindow=1&amp;ei=2MT0XrvGGM-vytMP1OyDgAY&amp;q=site%3Alinkedin.com+Dominic+Rom%C3%A1vila+Sr.+University+Recruiter,+Technical+Indeed.com" TargetMode="External"/><Relationship Id="rId4463" Type="http://schemas.openxmlformats.org/officeDocument/2006/relationships/hyperlink" Target="https://www.google.com/search?newwindow=1&amp;ei=2MT0XrvGGM-vytMP1OyDgAY&amp;q=site%3Alinkedin.com+Raymond+Reyes+Sr.+Campus+Recruiter+RSM+US+LLP" TargetMode="External"/><Relationship Id="rId3135" Type="http://schemas.openxmlformats.org/officeDocument/2006/relationships/hyperlink" Target="https://www.google.com/search?newwindow=1&amp;ei=2MT0XrvGGM-vytMP1OyDgAY&amp;q=site%3Alinkedin.com+Catherine+Nolff+Campus+Recruiter+EY" TargetMode="External"/><Relationship Id="rId4466" Type="http://schemas.openxmlformats.org/officeDocument/2006/relationships/hyperlink" Target="https://www.google.com/search?newwindow=1&amp;ei=2MT0XrvGGM-vytMP1OyDgAY&amp;q=site%3Alinkedin.com+Erika+DiGuilio+Senior+Campus+Recruiter+RSM+US+LLP" TargetMode="External"/><Relationship Id="rId3134" Type="http://schemas.openxmlformats.org/officeDocument/2006/relationships/hyperlink" Target="https://www.google.com/search?newwindow=1&amp;ei=2MT0XrvGGM-vytMP1OyDgAY&amp;q=site%3Alinkedin.com+Steve+Marks+University+Recruiter+Indeed.com" TargetMode="External"/><Relationship Id="rId4465" Type="http://schemas.openxmlformats.org/officeDocument/2006/relationships/hyperlink" Target="https://www.google.com/search?newwindow=1&amp;ei=2MT0XrvGGM-vytMP1OyDgAY&amp;q=site%3Alinkedin.com+Makenzie+Kate+Kocurek+Campus+Recruiter+RSM+US+LLP" TargetMode="External"/><Relationship Id="rId3137" Type="http://schemas.openxmlformats.org/officeDocument/2006/relationships/hyperlink" Target="https://www.google.com/search?newwindow=1&amp;ei=2MT0XrvGGM-vytMP1OyDgAY&amp;q=site%3Alinkedin.com+Merissa+Medlin+Campus+Recruiter+EY" TargetMode="External"/><Relationship Id="rId4468" Type="http://schemas.openxmlformats.org/officeDocument/2006/relationships/hyperlink" Target="https://www.google.com/search?newwindow=1&amp;ei=2MT0XrvGGM-vytMP1OyDgAY&amp;q=site%3Alinkedin.com+Selam+Solomon+Senior+Campus+Recruiter+RSM+US+LLP" TargetMode="External"/><Relationship Id="rId3136" Type="http://schemas.openxmlformats.org/officeDocument/2006/relationships/hyperlink" Target="https://www.google.com/search?newwindow=1&amp;ei=2MT0XrvGGM-vytMP1OyDgAY&amp;q=site%3Alinkedin.com+Rachel+Kucharik+Technical+Recruiter+-+Campus+Infosys" TargetMode="External"/><Relationship Id="rId4467" Type="http://schemas.openxmlformats.org/officeDocument/2006/relationships/hyperlink" Target="https://www.google.com/search?newwindow=1&amp;ei=2MT0XrvGGM-vytMP1OyDgAY&amp;q=site%3Alinkedin.com+Shalyce+Adamson+Senior+Campus+Recruiter+RSM+US+LLP" TargetMode="External"/><Relationship Id="rId3128" Type="http://schemas.openxmlformats.org/officeDocument/2006/relationships/hyperlink" Target="https://www.google.com/search?newwindow=1&amp;ei=2MT0XrvGGM-vytMP1OyDgAY&amp;q=site%3Alinkedin.com+Emma+Brady+University+Recruiter+Indeed.com" TargetMode="External"/><Relationship Id="rId4459" Type="http://schemas.openxmlformats.org/officeDocument/2006/relationships/hyperlink" Target="https://www.google.com/search?newwindow=1&amp;ei=2MT0XrvGGM-vytMP1OyDgAY&amp;q=site%3Alinkedin.com+Leah+Gordon+Sr.+Campus+Recruiter+RSM+US+LLP" TargetMode="External"/><Relationship Id="rId3127" Type="http://schemas.openxmlformats.org/officeDocument/2006/relationships/hyperlink" Target="https://www.google.com/search?newwindow=1&amp;ei=2MT0XrvGGM-vytMP1OyDgAY&amp;q=site%3Alinkedin.com+Yasmin+Xavier+Campus+Recruiter+EY" TargetMode="External"/><Relationship Id="rId4458" Type="http://schemas.openxmlformats.org/officeDocument/2006/relationships/hyperlink" Target="https://www.google.com/search?newwindow=1&amp;ei=2MT0XrvGGM-vytMP1OyDgAY&amp;q=site%3Alinkedin.com+Aimee+Williams+Sr.+Campus+Recruiter+RSM+US+LLP" TargetMode="External"/><Relationship Id="rId3129" Type="http://schemas.openxmlformats.org/officeDocument/2006/relationships/hyperlink" Target="https://www.google.com/search?newwindow=1&amp;ei=2MT0XrvGGM-vytMP1OyDgAY&amp;q=site%3Alinkedin.com+Lorene+Santos+Rabelo+Campus+Recruiter+EY" TargetMode="External"/><Relationship Id="rId3120" Type="http://schemas.openxmlformats.org/officeDocument/2006/relationships/hyperlink" Target="https://www.google.com/search?newwindow=1&amp;ei=2MT0XrvGGM-vytMP1OyDgAY&amp;q=site%3Alinkedin.com+Jessica+Rivera+University+Recruiter+Hulu" TargetMode="External"/><Relationship Id="rId4451" Type="http://schemas.openxmlformats.org/officeDocument/2006/relationships/hyperlink" Target="https://www.google.com/search?newwindow=1&amp;ei=2MT0XrvGGM-vytMP1OyDgAY&amp;q=site%3Alinkedin.com+Alvin+Hui+University+Recruiter+&amp;+Program+Manager+Robinhood" TargetMode="External"/><Relationship Id="rId4450" Type="http://schemas.openxmlformats.org/officeDocument/2006/relationships/hyperlink" Target="https://www.google.com/search?newwindow=1&amp;ei=2MT0XrvGGM-vytMP1OyDgAY&amp;q=site%3Alinkedin.com+Amy+Rosenblum+University+Programs+Recruiter+Raytheon+Technologies" TargetMode="External"/><Relationship Id="rId3122" Type="http://schemas.openxmlformats.org/officeDocument/2006/relationships/hyperlink" Target="https://www.google.com/search?newwindow=1&amp;ei=2MT0XrvGGM-vytMP1OyDgAY&amp;q=site%3Alinkedin.com+Lauren+Thornton+Campus+Recruiter+EY" TargetMode="External"/><Relationship Id="rId4453" Type="http://schemas.openxmlformats.org/officeDocument/2006/relationships/hyperlink" Target="https://www.google.com/search?newwindow=1&amp;ei=2MT0XrvGGM-vytMP1OyDgAY&amp;q=site%3Alinkedin.com+Sam+Lee+University+Recruiter+Robinhood" TargetMode="External"/><Relationship Id="rId3121" Type="http://schemas.openxmlformats.org/officeDocument/2006/relationships/hyperlink" Target="https://www.google.com/search?newwindow=1&amp;ei=2MT0XrvGGM-vytMP1OyDgAY&amp;q=site%3Alinkedin.com+Jennifer+Weiser+University+Recruiter+Hulu" TargetMode="External"/><Relationship Id="rId4452" Type="http://schemas.openxmlformats.org/officeDocument/2006/relationships/hyperlink" Target="https://www.google.com/search?newwindow=1&amp;ei=2MT0XrvGGM-vytMP1OyDgAY&amp;q=site%3Alinkedin.com+Andrew+Yeung+Senior+University+Recruiter+Robinhood" TargetMode="External"/><Relationship Id="rId3124" Type="http://schemas.openxmlformats.org/officeDocument/2006/relationships/hyperlink" Target="https://www.google.com/search?newwindow=1&amp;ei=2MT0XrvGGM-vytMP1OyDgAY&amp;q=site%3Alinkedin.com+Leslie+Ott+University+Recruiting+Program+Manager+-+Diversity+Lead+(MBA+&amp;+University)+IBM" TargetMode="External"/><Relationship Id="rId4455" Type="http://schemas.openxmlformats.org/officeDocument/2006/relationships/hyperlink" Target="https://www.google.com/search?newwindow=1&amp;ei=2MT0XrvGGM-vytMP1OyDgAY&amp;q=site%3Alinkedin.com+Shanna+Naeole+Senior+Campus+Recruiter+RSM+US+LLP" TargetMode="External"/><Relationship Id="rId3123" Type="http://schemas.openxmlformats.org/officeDocument/2006/relationships/hyperlink" Target="https://www.google.com/search?newwindow=1&amp;ei=2MT0XrvGGM-vytMP1OyDgAY&amp;q=site%3Alinkedin.com+Ashley+Fritts+North+America+Early+Professional+Talent+Acquisition+Manager+-+Systems+IBM" TargetMode="External"/><Relationship Id="rId4454" Type="http://schemas.openxmlformats.org/officeDocument/2006/relationships/hyperlink" Target="https://www.google.com/search?newwindow=1&amp;ei=2MT0XrvGGM-vytMP1OyDgAY&amp;q=site%3Alinkedin.com+Tiffany+Siu+University+Recruiter+Robinhood" TargetMode="External"/><Relationship Id="rId3126" Type="http://schemas.openxmlformats.org/officeDocument/2006/relationships/hyperlink" Target="https://www.google.com/search?newwindow=1&amp;ei=2MT0XrvGGM-vytMP1OyDgAY&amp;q=site%3Alinkedin.com+Jill+Sears+University+Recruiter+-+Talent+Attraction+Indeed.com" TargetMode="External"/><Relationship Id="rId4457" Type="http://schemas.openxmlformats.org/officeDocument/2006/relationships/hyperlink" Target="https://www.google.com/search?newwindow=1&amp;ei=2MT0XrvGGM-vytMP1OyDgAY&amp;q=site%3Alinkedin.com+Amber+Campbell+Talent+Acquisition+-+Senior+Campus+Recruiter+RSM+US+LLP" TargetMode="External"/><Relationship Id="rId3125" Type="http://schemas.openxmlformats.org/officeDocument/2006/relationships/hyperlink" Target="https://www.google.com/search?newwindow=1&amp;ei=2MT0XrvGGM-vytMP1OyDgAY&amp;q=site%3Alinkedin.com+Amy+Bergman+University+Recruiter+Coordinator+Indeed.com" TargetMode="External"/><Relationship Id="rId4456" Type="http://schemas.openxmlformats.org/officeDocument/2006/relationships/hyperlink" Target="https://www.google.com/search?newwindow=1&amp;ei=2MT0XrvGGM-vytMP1OyDgAY&amp;q=site%3Alinkedin.com+Hayley+Johnson+Sr.+Campus+Recruiter+-+Audit+&amp;+Tax+RSM+US+LLP" TargetMode="External"/><Relationship Id="rId1378" Type="http://schemas.openxmlformats.org/officeDocument/2006/relationships/hyperlink" Target="https://www.google.com/search?newwindow=1&amp;ei=2MT0XrvGGM-vytMP1OyDgAY&amp;q=site%3Alinkedin.com+Marissa+Shimada+Campus+Recruiting+Consultant" TargetMode="External"/><Relationship Id="rId4404" Type="http://schemas.openxmlformats.org/officeDocument/2006/relationships/hyperlink" Target="https://www.google.com/search?newwindow=1&amp;ei=2MT0XrvGGM-vytMP1OyDgAY&amp;q=site%3Alinkedin.com+Kristin+Parker+Lead+University+Recruiter+Western+Digital" TargetMode="External"/><Relationship Id="rId1379" Type="http://schemas.openxmlformats.org/officeDocument/2006/relationships/hyperlink" Target="https://www.google.com/search?newwindow=1&amp;ei=2MT0XrvGGM-vytMP1OyDgAY&amp;q=site%3Alinkedin.com+Jen+McGregor+Campus+Ambassador" TargetMode="External"/><Relationship Id="rId4403" Type="http://schemas.openxmlformats.org/officeDocument/2006/relationships/hyperlink" Target="https://www.google.com/search?newwindow=1&amp;ei=2MT0XrvGGM-vytMP1OyDgAY&amp;q=site%3Alinkedin.com+Angela+Helbing+Manager+of+Campus+Recruiting+PricewaterhouseCoopers" TargetMode="External"/><Relationship Id="rId4406" Type="http://schemas.openxmlformats.org/officeDocument/2006/relationships/hyperlink" Target="https://www.google.com/search?newwindow=1&amp;ei=2MT0XrvGGM-vytMP1OyDgAY&amp;q=site%3Alinkedin.com+Matthew+Kim+University+Recruiter+Western+Digital" TargetMode="External"/><Relationship Id="rId4405" Type="http://schemas.openxmlformats.org/officeDocument/2006/relationships/hyperlink" Target="https://www.google.com/search?newwindow=1&amp;ei=2MT0XrvGGM-vytMP1OyDgAY&amp;q=site%3Alinkedin.com+Kim+Kueper+Campus+Recruiter+PricewaterhouseCoopers" TargetMode="External"/><Relationship Id="rId4408" Type="http://schemas.openxmlformats.org/officeDocument/2006/relationships/hyperlink" Target="https://www.google.com/search?newwindow=1&amp;ei=2MT0XrvGGM-vytMP1OyDgAY&amp;q=site%3Alinkedin.com+Teryl+Booth+Campus+Recruiting+Manager+PwC" TargetMode="External"/><Relationship Id="rId4407" Type="http://schemas.openxmlformats.org/officeDocument/2006/relationships/hyperlink" Target="https://www.google.com/search?newwindow=1&amp;ei=2MT0XrvGGM-vytMP1OyDgAY&amp;q=site%3Alinkedin.com+Allyson+Cowden+Campus+Recruiting+Manager+PwC" TargetMode="External"/><Relationship Id="rId4409" Type="http://schemas.openxmlformats.org/officeDocument/2006/relationships/hyperlink" Target="https://www.google.com/search?newwindow=1&amp;ei=2MT0XrvGGM-vytMP1OyDgAY&amp;q=site%3Alinkedin.com+Julie+Mims+Campus+Talent+Acquisition+Manager+PwC" TargetMode="External"/><Relationship Id="rId789" Type="http://schemas.openxmlformats.org/officeDocument/2006/relationships/hyperlink" Target="https://www.google.com/search?newwindow=1&amp;ei=2MT0XrvGGM-vytMP1OyDgAY&amp;q=site%3Alinkedin.com+Jasmina+Bharwani+EMEA+Campus+Recruiter+-+Global+Markets" TargetMode="External"/><Relationship Id="rId788" Type="http://schemas.openxmlformats.org/officeDocument/2006/relationships/hyperlink" Target="https://www.google.com/search?newwindow=1&amp;ei=2MT0XrvGGM-vytMP1OyDgAY&amp;q=site%3Alinkedin.com+Caroline+Waack+EMEA+University+Recruiter" TargetMode="External"/><Relationship Id="rId787" Type="http://schemas.openxmlformats.org/officeDocument/2006/relationships/hyperlink" Target="https://www.google.com/search?newwindow=1&amp;ei=2MT0XrvGGM-vytMP1OyDgAY&amp;q=site%3Alinkedin.com+Kate+Lewis+University+Recruiter" TargetMode="External"/><Relationship Id="rId786" Type="http://schemas.openxmlformats.org/officeDocument/2006/relationships/hyperlink" Target="https://www.google.com/search?newwindow=1&amp;ei=2MT0XrvGGM-vytMP1OyDgAY&amp;q=site%3Alinkedin.com+Heena+Chaudry+Graduate+&amp;+Apprentice+Recruiter+(Contract+Role)" TargetMode="External"/><Relationship Id="rId781" Type="http://schemas.openxmlformats.org/officeDocument/2006/relationships/hyperlink" Target="https://www.google.com/search?newwindow=1&amp;ei=2MT0XrvGGM-vytMP1OyDgAY&amp;q=site%3Alinkedin.com+Abbie+Streek+Graduate+Recruiter" TargetMode="External"/><Relationship Id="rId1370" Type="http://schemas.openxmlformats.org/officeDocument/2006/relationships/hyperlink" Target="https://www.google.com/search?newwindow=1&amp;ei=2MT0XrvGGM-vytMP1OyDgAY&amp;q=site%3Alinkedin.com+Cierra+Lam+Campus+Recruiting+Specialist" TargetMode="External"/><Relationship Id="rId780" Type="http://schemas.openxmlformats.org/officeDocument/2006/relationships/hyperlink" Target="https://www.google.com/search?newwindow=1&amp;ei=2MT0XrvGGM-vytMP1OyDgAY&amp;q=site%3Alinkedin.com+Fionn+Brennan+International+Pathways+Recruitment+Manager,+Queen+Mary+University+of+London" TargetMode="External"/><Relationship Id="rId1371" Type="http://schemas.openxmlformats.org/officeDocument/2006/relationships/hyperlink" Target="https://www.google.com/search?newwindow=1&amp;ei=2MT0XrvGGM-vytMP1OyDgAY&amp;q=site%3Alinkedin.com+Cristina+Smith+Senior+Campus+Recruiting+Specialist" TargetMode="External"/><Relationship Id="rId1372" Type="http://schemas.openxmlformats.org/officeDocument/2006/relationships/hyperlink" Target="https://www.google.com/search?newwindow=1&amp;ei=2MT0XrvGGM-vytMP1OyDgAY&amp;q=site%3Alinkedin.com+Molly+Gregware+Head+of+Tech+Campus+Recruiting" TargetMode="External"/><Relationship Id="rId1373" Type="http://schemas.openxmlformats.org/officeDocument/2006/relationships/hyperlink" Target="https://www.google.com/search?newwindow=1&amp;ei=2MT0XrvGGM-vytMP1OyDgAY&amp;q=site%3Alinkedin.com+Regina+Manansala+Campus+Recruiting+Manager" TargetMode="External"/><Relationship Id="rId785" Type="http://schemas.openxmlformats.org/officeDocument/2006/relationships/hyperlink" Target="https://www.google.com/search?newwindow=1&amp;ei=2MT0XrvGGM-vytMP1OyDgAY&amp;q=site%3Alinkedin.com+Eleni+Miltiadous+Junior+Recruiter" TargetMode="External"/><Relationship Id="rId1374" Type="http://schemas.openxmlformats.org/officeDocument/2006/relationships/hyperlink" Target="https://www.google.com/search?newwindow=1&amp;ei=2MT0XrvGGM-vytMP1OyDgAY&amp;q=site%3Alinkedin.com+Cynthia+Le+University+Recruiting+Campus+Manager" TargetMode="External"/><Relationship Id="rId4400" Type="http://schemas.openxmlformats.org/officeDocument/2006/relationships/hyperlink" Target="https://www.google.com/search?newwindow=1&amp;ei=2MT0XrvGGM-vytMP1OyDgAY&amp;q=site%3Alinkedin.com+David+Salgado+University+Business+Recruiter+Western+Digital" TargetMode="External"/><Relationship Id="rId784" Type="http://schemas.openxmlformats.org/officeDocument/2006/relationships/hyperlink" Target="https://www.google.com/search?newwindow=1&amp;ei=2MT0XrvGGM-vytMP1OyDgAY&amp;q=site%3Alinkedin.com+Lorna+Culpin+University+Recruitment+Manager" TargetMode="External"/><Relationship Id="rId1375" Type="http://schemas.openxmlformats.org/officeDocument/2006/relationships/hyperlink" Target="https://www.google.com/search?newwindow=1&amp;ei=2MT0XrvGGM-vytMP1OyDgAY&amp;q=site%3Alinkedin.com+Genna+McGrath+Senior+Campus+Recruiting+Coordinator" TargetMode="External"/><Relationship Id="rId783" Type="http://schemas.openxmlformats.org/officeDocument/2006/relationships/hyperlink" Target="https://www.google.com/search?newwindow=1&amp;ei=2MT0XrvGGM-vytMP1OyDgAY&amp;q=site%3Alinkedin.com+Meg+U'Ren+Coordinator,+Student+Engagement+Programs" TargetMode="External"/><Relationship Id="rId1376" Type="http://schemas.openxmlformats.org/officeDocument/2006/relationships/hyperlink" Target="https://www.google.com/search?newwindow=1&amp;ei=2MT0XrvGGM-vytMP1OyDgAY&amp;q=site%3Alinkedin.com+Cortney+Brazil+Campus+Recruiting" TargetMode="External"/><Relationship Id="rId4402" Type="http://schemas.openxmlformats.org/officeDocument/2006/relationships/hyperlink" Target="https://www.google.com/search?newwindow=1&amp;ei=2MT0XrvGGM-vytMP1OyDgAY&amp;q=site%3Alinkedin.com+Vicky+Ho+University+Recruiter+Western+Digital" TargetMode="External"/><Relationship Id="rId782" Type="http://schemas.openxmlformats.org/officeDocument/2006/relationships/hyperlink" Target="https://www.google.com/search?newwindow=1&amp;ei=2MT0XrvGGM-vytMP1OyDgAY&amp;q=site%3Alinkedin.com+Jo+Hole+UK+Non-Tech+Recruiter,+Student+Programs" TargetMode="External"/><Relationship Id="rId1377" Type="http://schemas.openxmlformats.org/officeDocument/2006/relationships/hyperlink" Target="https://www.google.com/search?newwindow=1&amp;ei=2MT0XrvGGM-vytMP1OyDgAY&amp;q=site%3Alinkedin.com+Sydney+Horner+Senior+Recruiter,+University+Recruitment,+Full+Life-Cycle" TargetMode="External"/><Relationship Id="rId4401" Type="http://schemas.openxmlformats.org/officeDocument/2006/relationships/hyperlink" Target="https://www.google.com/search?newwindow=1&amp;ei=2MT0XrvGGM-vytMP1OyDgAY&amp;q=site%3Alinkedin.com+Kurt+Peterson+Campus+Recruiting+Manager+PricewaterhouseCoopers" TargetMode="External"/><Relationship Id="rId1367" Type="http://schemas.openxmlformats.org/officeDocument/2006/relationships/hyperlink" Target="https://www.google.com/search?newwindow=1&amp;ei=2MT0XrvGGM-vytMP1OyDgAY&amp;q=site%3Alinkedin.com+Wendell+Tull+Campus+Recruiting+Manager" TargetMode="External"/><Relationship Id="rId2698" Type="http://schemas.openxmlformats.org/officeDocument/2006/relationships/hyperlink" Target="https://www.google.com/search?newwindow=1&amp;ei=2MT0XrvGGM-vytMP1OyDgAY&amp;q=site%3Alinkedin.com+Megan+Thomas+Associate+University+Recruiter+Cargill" TargetMode="External"/><Relationship Id="rId1368" Type="http://schemas.openxmlformats.org/officeDocument/2006/relationships/hyperlink" Target="https://www.google.com/search?newwindow=1&amp;ei=2MT0XrvGGM-vytMP1OyDgAY&amp;q=site%3Alinkedin.com+Travarus+Fauntleroy+Global+Program+Manager,+Campus+Recruiting" TargetMode="External"/><Relationship Id="rId2699" Type="http://schemas.openxmlformats.org/officeDocument/2006/relationships/hyperlink" Target="https://www.google.com/search?newwindow=1&amp;ei=2MT0XrvGGM-vytMP1OyDgAY&amp;q=site%3Alinkedin.com+Nichole+Howarth+Campus+Recruiter,+Rotating+Talent+Advisor,+Supervising+Associate+EY" TargetMode="External"/><Relationship Id="rId1369" Type="http://schemas.openxmlformats.org/officeDocument/2006/relationships/hyperlink" Target="https://www.google.com/search?newwindow=1&amp;ei=2MT0XrvGGM-vytMP1OyDgAY&amp;q=site%3Alinkedin.com+Kevin+Chirino+Campus+Recruiting+Lead" TargetMode="External"/><Relationship Id="rId778" Type="http://schemas.openxmlformats.org/officeDocument/2006/relationships/hyperlink" Target="https://www.google.com/search?newwindow=1&amp;ei=2MT0XrvGGM-vytMP1OyDgAY&amp;q=site%3Alinkedin.com+Marnie+Wright+Campus+Recruiter" TargetMode="External"/><Relationship Id="rId777" Type="http://schemas.openxmlformats.org/officeDocument/2006/relationships/hyperlink" Target="https://www.google.com/search?newwindow=1&amp;ei=2MT0XrvGGM-vytMP1OyDgAY&amp;q=site%3Alinkedin.com+Madeleine+Hatton+University+Welcome+Officer" TargetMode="External"/><Relationship Id="rId776" Type="http://schemas.openxmlformats.org/officeDocument/2006/relationships/hyperlink" Target="https://www.google.com/search?newwindow=1&amp;ei=2MT0XrvGGM-vytMP1OyDgAY&amp;q=site%3Alinkedin.com+Joanna+Morrison+Vice+President,+Global+Technology+&amp;+Operations+Campus+Recruiter" TargetMode="External"/><Relationship Id="rId775" Type="http://schemas.openxmlformats.org/officeDocument/2006/relationships/hyperlink" Target="https://www.google.com/search?newwindow=1&amp;ei=2MT0XrvGGM-vytMP1OyDgAY&amp;q=site%3Alinkedin.com+Bukola+Enirayetan+Junior+Graduate+Recruiter" TargetMode="External"/><Relationship Id="rId779" Type="http://schemas.openxmlformats.org/officeDocument/2006/relationships/hyperlink" Target="https://www.google.com/search?newwindow=1&amp;ei=2MT0XrvGGM-vytMP1OyDgAY&amp;q=site%3Alinkedin.com+Phill+Haig+University+Recruitment+Business+Partner+-+Sales+&amp;+CX+(Global)" TargetMode="External"/><Relationship Id="rId770" Type="http://schemas.openxmlformats.org/officeDocument/2006/relationships/hyperlink" Target="https://www.google.com/search?newwindow=1&amp;ei=2MT0XrvGGM-vytMP1OyDgAY&amp;q=site%3Alinkedin.com+Krystal+Gabriel+Senior+Graduate+Recruiter" TargetMode="External"/><Relationship Id="rId2690" Type="http://schemas.openxmlformats.org/officeDocument/2006/relationships/hyperlink" Target="https://www.google.com/search?newwindow=1&amp;ei=2MT0XrvGGM-vytMP1OyDgAY&amp;q=site%3Alinkedin.com+Mary+Bongart+Campus+Recruiter+EY" TargetMode="External"/><Relationship Id="rId1360" Type="http://schemas.openxmlformats.org/officeDocument/2006/relationships/hyperlink" Target="https://www.google.com/search?newwindow=1&amp;ei=2MT0XrvGGM-vytMP1OyDgAY&amp;q=site%3Alinkedin.com+Lindsey+Stewart+Americas+Recruiting+Manager+(Campus+and+Entry-level)" TargetMode="External"/><Relationship Id="rId2691" Type="http://schemas.openxmlformats.org/officeDocument/2006/relationships/hyperlink" Target="https://www.google.com/search?newwindow=1&amp;ei=2MT0XrvGGM-vytMP1OyDgAY&amp;q=site%3Alinkedin.com+Stephanie+Wharton+Campus+Recruiter+Capital+One" TargetMode="External"/><Relationship Id="rId1361" Type="http://schemas.openxmlformats.org/officeDocument/2006/relationships/hyperlink" Target="https://www.google.com/search?newwindow=1&amp;ei=2MT0XrvGGM-vytMP1OyDgAY&amp;q=site%3Alinkedin.com+Erin+Riley+Campus+Recruiting+Manager" TargetMode="External"/><Relationship Id="rId2692" Type="http://schemas.openxmlformats.org/officeDocument/2006/relationships/hyperlink" Target="https://www.google.com/search?newwindow=1&amp;ei=2MT0XrvGGM-vytMP1OyDgAY&amp;q=site%3Alinkedin.com+Bryan+Ferretti+Campus+Recruiter+EY" TargetMode="External"/><Relationship Id="rId1362" Type="http://schemas.openxmlformats.org/officeDocument/2006/relationships/hyperlink" Target="https://www.google.com/search?newwindow=1&amp;ei=2MT0XrvGGM-vytMP1OyDgAY&amp;q=site%3Alinkedin.com+Ashley+Naughton,+CIR+Campus+Recruiting" TargetMode="External"/><Relationship Id="rId2693" Type="http://schemas.openxmlformats.org/officeDocument/2006/relationships/hyperlink" Target="https://www.google.com/search?newwindow=1&amp;ei=2MT0XrvGGM-vytMP1OyDgAY&amp;q=site%3Alinkedin.com+Lexus+Kennedy+Operations+Manager+Cargill" TargetMode="External"/><Relationship Id="rId774" Type="http://schemas.openxmlformats.org/officeDocument/2006/relationships/hyperlink" Target="https://www.google.com/search?newwindow=1&amp;ei=2MT0XrvGGM-vytMP1OyDgAY&amp;q=site%3Alinkedin.com+Heather+Roberts+Assistant+Vice+President+Campus+Recruiter,+Corporate+Banking,+Private+Bank,+Cards+&amp;+Payments" TargetMode="External"/><Relationship Id="rId1363" Type="http://schemas.openxmlformats.org/officeDocument/2006/relationships/hyperlink" Target="https://www.google.com/search?newwindow=1&amp;ei=2MT0XrvGGM-vytMP1OyDgAY&amp;q=site%3Alinkedin.com+Britney+(Us+Campus+Recruiting+Manager" TargetMode="External"/><Relationship Id="rId2694" Type="http://schemas.openxmlformats.org/officeDocument/2006/relationships/hyperlink" Target="https://www.google.com/search?newwindow=1&amp;ei=2MT0XrvGGM-vytMP1OyDgAY&amp;q=site%3Alinkedin.com+Alex+Swit+Campus+Recruiter+EY" TargetMode="External"/><Relationship Id="rId773" Type="http://schemas.openxmlformats.org/officeDocument/2006/relationships/hyperlink" Target="https://www.google.com/search?newwindow=1&amp;ei=2MT0XrvGGM-vytMP1OyDgAY&amp;q=site%3Alinkedin.com+Charlotte+Davies+Vice+President+-+Securities+EMEA+Graduate+Recruiter" TargetMode="External"/><Relationship Id="rId1364" Type="http://schemas.openxmlformats.org/officeDocument/2006/relationships/hyperlink" Target="https://www.google.com/search?newwindow=1&amp;ei=2MT0XrvGGM-vytMP1OyDgAY&amp;q=site%3Alinkedin.com+Margaret+Murphy+Senior+Assurance+Associate+and+Campus+Recruiting" TargetMode="External"/><Relationship Id="rId2695" Type="http://schemas.openxmlformats.org/officeDocument/2006/relationships/hyperlink" Target="https://www.google.com/search?newwindow=1&amp;ei=2MT0XrvGGM-vytMP1OyDgAY&amp;q=site%3Alinkedin.com+Anais+Diaz+University+Recruiter+Specialist+Cargill" TargetMode="External"/><Relationship Id="rId772" Type="http://schemas.openxmlformats.org/officeDocument/2006/relationships/hyperlink" Target="https://www.google.com/search?newwindow=1&amp;ei=2MT0XrvGGM-vytMP1OyDgAY&amp;q=site%3Alinkedin.com+Andrea+Giuseppe+Foti+International+Marketing+and+Recruitment+Officer+at+City,+University+of+London" TargetMode="External"/><Relationship Id="rId1365" Type="http://schemas.openxmlformats.org/officeDocument/2006/relationships/hyperlink" Target="https://www.google.com/search?newwindow=1&amp;ei=2MT0XrvGGM-vytMP1OyDgAY&amp;q=site%3Alinkedin.com+Patrick+Payne+Campus+Recruiting+Manager" TargetMode="External"/><Relationship Id="rId2696" Type="http://schemas.openxmlformats.org/officeDocument/2006/relationships/hyperlink" Target="https://www.google.com/search?newwindow=1&amp;ei=2MT0XrvGGM-vytMP1OyDgAY&amp;q=site%3Alinkedin.com+Christine+Brennan+Campus+Referral+Recruiter,+Talent+Attraction+and+Acquisition+(TA%C2%B2)+EY" TargetMode="External"/><Relationship Id="rId771" Type="http://schemas.openxmlformats.org/officeDocument/2006/relationships/hyperlink" Target="https://www.google.com/search?newwindow=1&amp;ei=2MT0XrvGGM-vytMP1OyDgAY&amp;q=site%3Alinkedin.com+Ciara+Mitchell+(Lyons)+Graduate+Recruiter" TargetMode="External"/><Relationship Id="rId1366" Type="http://schemas.openxmlformats.org/officeDocument/2006/relationships/hyperlink" Target="https://www.google.com/search?newwindow=1&amp;ei=2MT0XrvGGM-vytMP1OyDgAY&amp;q=site%3Alinkedin.com+Trixie+Cordova+(she/her)+Campus+Recruiting+Global+Program+Manager" TargetMode="External"/><Relationship Id="rId2697" Type="http://schemas.openxmlformats.org/officeDocument/2006/relationships/hyperlink" Target="https://www.google.com/search?newwindow=1&amp;ei=2MT0XrvGGM-vytMP1OyDgAY&amp;q=site%3Alinkedin.com+Abby+Motson+Campus+Recruiter+(Advisory,+Cybersecurity)+EY" TargetMode="External"/><Relationship Id="rId4426" Type="http://schemas.openxmlformats.org/officeDocument/2006/relationships/hyperlink" Target="https://www.google.com/search?newwindow=1&amp;ei=2MT0XrvGGM-vytMP1OyDgAY&amp;q=site%3Alinkedin.com+Jia+C.+Campus+Recruiting+Manager+PwC" TargetMode="External"/><Relationship Id="rId4425" Type="http://schemas.openxmlformats.org/officeDocument/2006/relationships/hyperlink" Target="https://www.google.com/search?newwindow=1&amp;ei=2MT0XrvGGM-vytMP1OyDgAY&amp;q=site%3Alinkedin.com+Danielle+(.+Talent+Acquisition+Manager+PwC" TargetMode="External"/><Relationship Id="rId4428" Type="http://schemas.openxmlformats.org/officeDocument/2006/relationships/hyperlink" Target="https://www.google.com/search?newwindow=1&amp;ei=2MT0XrvGGM-vytMP1OyDgAY&amp;q=site%3Alinkedin.com+Laura+Chapman+Campus+Recruiting+Senior+Manager+PwC" TargetMode="External"/><Relationship Id="rId4427" Type="http://schemas.openxmlformats.org/officeDocument/2006/relationships/hyperlink" Target="https://www.google.com/search?newwindow=1&amp;ei=2MT0XrvGGM-vytMP1OyDgAY&amp;q=site%3Alinkedin.com+Shanike+Young+Campus+Recruiter+PwC" TargetMode="External"/><Relationship Id="rId4429" Type="http://schemas.openxmlformats.org/officeDocument/2006/relationships/hyperlink" Target="https://www.google.com/search?newwindow=1&amp;ei=2MT0XrvGGM-vytMP1OyDgAY&amp;q=site%3Alinkedin.com+Jess+Bailey+Campus+Recruiting+Manager+PwC" TargetMode="External"/><Relationship Id="rId1390" Type="http://schemas.openxmlformats.org/officeDocument/2006/relationships/hyperlink" Target="https://www.google.com/search?newwindow=1&amp;ei=2MT0XrvGGM-vytMP1OyDgAY&amp;q=site%3Alinkedin.com+Halley+Toth+Academic+Advisor/Coordinator+of+Credit+Programs+and+Student+Services" TargetMode="External"/><Relationship Id="rId1391" Type="http://schemas.openxmlformats.org/officeDocument/2006/relationships/hyperlink" Target="https://www.google.com/search?newwindow=1&amp;ei=2MT0XrvGGM-vytMP1OyDgAY&amp;q=site%3Alinkedin.com+Melissa+Haugrud,+CPA,+CA+Campus+Recruiter" TargetMode="External"/><Relationship Id="rId1392" Type="http://schemas.openxmlformats.org/officeDocument/2006/relationships/hyperlink" Target="https://www.google.com/search?newwindow=1&amp;ei=2MT0XrvGGM-vytMP1OyDgAY&amp;q=site%3Alinkedin.com+Sierra+Sealy+Domestic+Student+Recruiter+Assistant" TargetMode="External"/><Relationship Id="rId1393" Type="http://schemas.openxmlformats.org/officeDocument/2006/relationships/hyperlink" Target="https://www.google.com/search?newwindow=1&amp;ei=2MT0XrvGGM-vytMP1OyDgAY&amp;q=site%3Alinkedin.com+Ray+Escasa+Student+Recruiter" TargetMode="External"/><Relationship Id="rId1394" Type="http://schemas.openxmlformats.org/officeDocument/2006/relationships/hyperlink" Target="https://www.google.com/search?newwindow=1&amp;ei=2MT0XrvGGM-vytMP1OyDgAY&amp;q=site%3Alinkedin.com+Michael+Wager+Front+End+Supervisor" TargetMode="External"/><Relationship Id="rId4420" Type="http://schemas.openxmlformats.org/officeDocument/2006/relationships/hyperlink" Target="https://www.google.com/search?newwindow=1&amp;ei=2MT0XrvGGM-vytMP1OyDgAY&amp;q=site%3Alinkedin.com+Mandi+Folks+Campus+Recruiter+PwC" TargetMode="External"/><Relationship Id="rId1395" Type="http://schemas.openxmlformats.org/officeDocument/2006/relationships/hyperlink" Target="https://www.google.com/search?newwindow=1&amp;ei=2MT0XrvGGM-vytMP1OyDgAY&amp;q=site%3Alinkedin.com+Jade+Gingras+Campus+Recruiting+Specialist" TargetMode="External"/><Relationship Id="rId1396" Type="http://schemas.openxmlformats.org/officeDocument/2006/relationships/hyperlink" Target="https://www.google.com/search?newwindow=1&amp;ei=2MT0XrvGGM-vytMP1OyDgAY&amp;q=site%3Alinkedin.com+Naomi+Kim+Campus+Recruiting+Manager" TargetMode="External"/><Relationship Id="rId4422" Type="http://schemas.openxmlformats.org/officeDocument/2006/relationships/hyperlink" Target="https://www.google.com/search?newwindow=1&amp;ei=2MT0XrvGGM-vytMP1OyDgAY&amp;q=site%3Alinkedin.com+Anny+Liang+Early+Talent+Campus+Recruiter+PwC" TargetMode="External"/><Relationship Id="rId1397" Type="http://schemas.openxmlformats.org/officeDocument/2006/relationships/hyperlink" Target="https://www.google.com/search?newwindow=1&amp;ei=2MT0XrvGGM-vytMP1OyDgAY&amp;q=site%3Alinkedin.com+Siobhan+Loyd+Lead+Campus+Recruiting+Specialist" TargetMode="External"/><Relationship Id="rId4421" Type="http://schemas.openxmlformats.org/officeDocument/2006/relationships/hyperlink" Target="https://www.google.com/search?newwindow=1&amp;ei=2MT0XrvGGM-vytMP1OyDgAY&amp;q=site%3Alinkedin.com+Amanda+Garcia+Southwest+Tax+Campus+Recruiting+Manager+PwC" TargetMode="External"/><Relationship Id="rId1398" Type="http://schemas.openxmlformats.org/officeDocument/2006/relationships/hyperlink" Target="https://www.google.com/search?newwindow=1&amp;ei=2MT0XrvGGM-vytMP1OyDgAY&amp;q=site%3Alinkedin.com+Katey+Thomson+Recruiter,+Student+Programs" TargetMode="External"/><Relationship Id="rId4424" Type="http://schemas.openxmlformats.org/officeDocument/2006/relationships/hyperlink" Target="https://www.google.com/search?newwindow=1&amp;ei=2MT0XrvGGM-vytMP1OyDgAY&amp;q=site%3Alinkedin.com+Aileen+Meade+Assurance+Business+Recruiting+Manager+PwC" TargetMode="External"/><Relationship Id="rId1399" Type="http://schemas.openxmlformats.org/officeDocument/2006/relationships/hyperlink" Target="https://www.google.com/search?newwindow=1&amp;ei=2MT0XrvGGM-vytMP1OyDgAY&amp;q=site%3Alinkedin.com+Eddie+Garcilazo+Technical+Recruiter+l+University+Recruitment" TargetMode="External"/><Relationship Id="rId4423" Type="http://schemas.openxmlformats.org/officeDocument/2006/relationships/hyperlink" Target="https://www.google.com/search?newwindow=1&amp;ei=2MT0XrvGGM-vytMP1OyDgAY&amp;q=site%3Alinkedin.com+Federico+E.+Campus+Recruiting+Manager+PwC" TargetMode="External"/><Relationship Id="rId1389" Type="http://schemas.openxmlformats.org/officeDocument/2006/relationships/hyperlink" Target="https://www.google.com/search?newwindow=1&amp;ei=2MT0XrvGGM-vytMP1OyDgAY&amp;q=site%3Alinkedin.com+Ameen+Bery+International+Student+Advisor/+Recruiter" TargetMode="External"/><Relationship Id="rId4415" Type="http://schemas.openxmlformats.org/officeDocument/2006/relationships/hyperlink" Target="https://www.google.com/search?newwindow=1&amp;ei=2MT0XrvGGM-vytMP1OyDgAY&amp;q=site%3Alinkedin.com+Lauren+Thomas+Campus+Talent+ID+Recruiter+PwC" TargetMode="External"/><Relationship Id="rId4414" Type="http://schemas.openxmlformats.org/officeDocument/2006/relationships/hyperlink" Target="https://www.google.com/search?newwindow=1&amp;ei=2MT0XrvGGM-vytMP1OyDgAY&amp;q=site%3Alinkedin.com+Sarah+Wagner+Campus+Recruiter+PwC" TargetMode="External"/><Relationship Id="rId4417" Type="http://schemas.openxmlformats.org/officeDocument/2006/relationships/hyperlink" Target="https://www.google.com/search?newwindow=1&amp;ei=2MT0XrvGGM-vytMP1OyDgAY&amp;q=site%3Alinkedin.com+Stephanie+Angellotto+Campus+Recruiting+Manager+-+Southwest+&amp;+Bay+Area+NW+PwC" TargetMode="External"/><Relationship Id="rId4416" Type="http://schemas.openxmlformats.org/officeDocument/2006/relationships/hyperlink" Target="https://www.google.com/search?newwindow=1&amp;ei=2MT0XrvGGM-vytMP1OyDgAY&amp;q=site%3Alinkedin.com+Ferrin+Decker+Senior+Manager+Advisory+Campus+Recruiting+PwC" TargetMode="External"/><Relationship Id="rId4419" Type="http://schemas.openxmlformats.org/officeDocument/2006/relationships/hyperlink" Target="https://www.google.com/search?newwindow=1&amp;ei=2MT0XrvGGM-vytMP1OyDgAY&amp;q=site%3Alinkedin.com+Kristina+Scutari+Campus+Recruiting+Manager+PwC" TargetMode="External"/><Relationship Id="rId4418" Type="http://schemas.openxmlformats.org/officeDocument/2006/relationships/hyperlink" Target="https://www.google.com/search?newwindow=1&amp;ei=2MT0XrvGGM-vytMP1OyDgAY&amp;q=site%3Alinkedin.com+Stephanie+Angellotto+Campus+Recruiting+Manager+-+Southwest+&amp;+Bay+Area+NW+PwC" TargetMode="External"/><Relationship Id="rId799" Type="http://schemas.openxmlformats.org/officeDocument/2006/relationships/hyperlink" Target="https://www.google.com/search?newwindow=1&amp;ei=2MT0XrvGGM-vytMP1OyDgAY&amp;q=site%3Alinkedin.com+Catherine+Robinson+University+Recruiter" TargetMode="External"/><Relationship Id="rId798" Type="http://schemas.openxmlformats.org/officeDocument/2006/relationships/hyperlink" Target="https://www.google.com/search?newwindow=1&amp;ei=2MT0XrvGGM-vytMP1OyDgAY&amp;q=site%3Alinkedin.com+Harriet+Phillips+University+Recruiter" TargetMode="External"/><Relationship Id="rId797" Type="http://schemas.openxmlformats.org/officeDocument/2006/relationships/hyperlink" Target="https://www.google.com/search?newwindow=1&amp;ei=2MT0XrvGGM-vytMP1OyDgAY&amp;q=site%3Alinkedin.com+Saoirse+Brewer+Campus+Recruiter+&amp;+Programme+Manager" TargetMode="External"/><Relationship Id="rId1380" Type="http://schemas.openxmlformats.org/officeDocument/2006/relationships/hyperlink" Target="https://www.google.com/search?newwindow=1&amp;ei=2MT0XrvGGM-vytMP1OyDgAY&amp;q=site%3Alinkedin.com+Edward+Hernandez+Campus+Recruiting+Intern" TargetMode="External"/><Relationship Id="rId792" Type="http://schemas.openxmlformats.org/officeDocument/2006/relationships/hyperlink" Target="https://www.google.com/search?newwindow=1&amp;ei=2MT0XrvGGM-vytMP1OyDgAY&amp;q=site%3Alinkedin.com+Sally+Clayton+Senior+Consultant+-+Graduate+Recruitment" TargetMode="External"/><Relationship Id="rId1381" Type="http://schemas.openxmlformats.org/officeDocument/2006/relationships/hyperlink" Target="https://www.google.com/search?newwindow=1&amp;ei=2MT0XrvGGM-vytMP1OyDgAY&amp;q=site%3Alinkedin.com+Alexandria+Richardson+HR+Career+Advisor" TargetMode="External"/><Relationship Id="rId791" Type="http://schemas.openxmlformats.org/officeDocument/2006/relationships/hyperlink" Target="https://www.google.com/search?newwindow=1&amp;ei=2MT0XrvGGM-vytMP1OyDgAY&amp;q=site%3Alinkedin.com+Denise+Jackson+Project+Manager,+University+Relations+&amp;+Recruitment+Communications+(6-month+contract)" TargetMode="External"/><Relationship Id="rId1382" Type="http://schemas.openxmlformats.org/officeDocument/2006/relationships/hyperlink" Target="https://www.google.com/search?newwindow=1&amp;ei=2MT0XrvGGM-vytMP1OyDgAY&amp;q=site%3Alinkedin.com+Susan+Te+Campus+Recruiting+Specialist" TargetMode="External"/><Relationship Id="rId790" Type="http://schemas.openxmlformats.org/officeDocument/2006/relationships/hyperlink" Target="https://www.google.com/search?newwindow=1&amp;ei=2MT0XrvGGM-vytMP1OyDgAY&amp;q=site%3Alinkedin.com+Carl+Shepherd+Head+of+Recruitment+(University+of+Law+Direct+Student+Recruitment)" TargetMode="External"/><Relationship Id="rId1383" Type="http://schemas.openxmlformats.org/officeDocument/2006/relationships/hyperlink" Target="https://www.google.com/search?newwindow=1&amp;ei=2MT0XrvGGM-vytMP1OyDgAY&amp;q=site%3Alinkedin.com+Emily+Ho+Project+Manager+II,+Campus+Recruiting+Operations" TargetMode="External"/><Relationship Id="rId1384" Type="http://schemas.openxmlformats.org/officeDocument/2006/relationships/hyperlink" Target="https://www.google.com/search?newwindow=1&amp;ei=2MT0XrvGGM-vytMP1OyDgAY&amp;q=site%3Alinkedin.com+Julia+Silvestre+West+Campus+Lead+Recruiting+Coordinator" TargetMode="External"/><Relationship Id="rId796" Type="http://schemas.openxmlformats.org/officeDocument/2006/relationships/hyperlink" Target="https://www.google.com/search?newwindow=1&amp;ei=2MT0XrvGGM-vytMP1OyDgAY&amp;q=site%3Alinkedin.com+Gillian+Thompson+EMEA+Student+Development+Lead,+Talent+Outreach+and+Programs" TargetMode="External"/><Relationship Id="rId1385" Type="http://schemas.openxmlformats.org/officeDocument/2006/relationships/hyperlink" Target="https://www.google.com/search?newwindow=1&amp;ei=2MT0XrvGGM-vytMP1OyDgAY&amp;q=site%3Alinkedin.com+Lauren+Silveira+Campus+Manager,+University+Recruiting" TargetMode="External"/><Relationship Id="rId4411" Type="http://schemas.openxmlformats.org/officeDocument/2006/relationships/hyperlink" Target="https://www.google.com/search?newwindow=1&amp;ei=2MT0XrvGGM-vytMP1OyDgAY&amp;q=site%3Alinkedin.com+Leanne+Vail+Campus+Recruiter+PwC" TargetMode="External"/><Relationship Id="rId795" Type="http://schemas.openxmlformats.org/officeDocument/2006/relationships/hyperlink" Target="https://www.google.com/search?newwindow=1&amp;ei=2MT0XrvGGM-vytMP1OyDgAY&amp;q=site%3Alinkedin.com+Joanne+Pullen+Internship+and+Graduate+Coordinator" TargetMode="External"/><Relationship Id="rId1386" Type="http://schemas.openxmlformats.org/officeDocument/2006/relationships/hyperlink" Target="https://www.google.com/search?newwindow=1&amp;ei=2MT0XrvGGM-vytMP1OyDgAY&amp;q=site%3Alinkedin.com+Jessica+Gonzalez+Campus+Recruiting+Coordinator" TargetMode="External"/><Relationship Id="rId4410" Type="http://schemas.openxmlformats.org/officeDocument/2006/relationships/hyperlink" Target="https://www.google.com/search?newwindow=1&amp;ei=2MT0XrvGGM-vytMP1OyDgAY&amp;q=site%3Alinkedin.com+Lauren+Suttner+Campus+Recruiting+Manager+PwC" TargetMode="External"/><Relationship Id="rId794" Type="http://schemas.openxmlformats.org/officeDocument/2006/relationships/hyperlink" Target="https://www.google.com/search?newwindow=1&amp;ei=2MT0XrvGGM-vytMP1OyDgAY&amp;q=site%3Alinkedin.com+Julia+Yakloveva+Graduate+Recruiter" TargetMode="External"/><Relationship Id="rId1387" Type="http://schemas.openxmlformats.org/officeDocument/2006/relationships/hyperlink" Target="https://www.google.com/search?newwindow=1&amp;ei=2MT0XrvGGM-vytMP1OyDgAY&amp;q=site%3Alinkedin.com+Sumner+Ashley+Campus+Recruiting+Coordinator" TargetMode="External"/><Relationship Id="rId4413" Type="http://schemas.openxmlformats.org/officeDocument/2006/relationships/hyperlink" Target="https://www.google.com/search?newwindow=1&amp;ei=2MT0XrvGGM-vytMP1OyDgAY&amp;q=site%3Alinkedin.com+Lydia+Ghattas+Campus+Recruiter+PwC" TargetMode="External"/><Relationship Id="rId793" Type="http://schemas.openxmlformats.org/officeDocument/2006/relationships/hyperlink" Target="https://www.google.com/search?newwindow=1&amp;ei=2MT0XrvGGM-vytMP1OyDgAY&amp;q=site%3Alinkedin.com+Syed+Nabi+%E2%80%8B+Assistant+Director+for+Overseas+Recruitment+-+%E2%80%8B+Webster+University-Thailand+Campuses%E2%80%8B" TargetMode="External"/><Relationship Id="rId1388" Type="http://schemas.openxmlformats.org/officeDocument/2006/relationships/hyperlink" Target="https://www.google.com/search?newwindow=1&amp;ei=2MT0XrvGGM-vytMP1OyDgAY&amp;q=site%3Alinkedin.com+Avery+Ching+Senior+Associate+-+Campus+Recruiter" TargetMode="External"/><Relationship Id="rId4412" Type="http://schemas.openxmlformats.org/officeDocument/2006/relationships/hyperlink" Target="https://www.google.com/search?newwindow=1&amp;ei=2MT0XrvGGM-vytMP1OyDgAY&amp;q=site%3Alinkedin.com+Jen+Marshall+Campus+Recruiting+Manager+PwC" TargetMode="External"/><Relationship Id="rId3191" Type="http://schemas.openxmlformats.org/officeDocument/2006/relationships/hyperlink" Target="https://www.google.com/search?newwindow=1&amp;ei=2MT0XrvGGM-vytMP1OyDgAY&amp;q=site%3Alinkedin.com+Maricarolyn+Stith+Campus+Recruiter+EY" TargetMode="External"/><Relationship Id="rId3190" Type="http://schemas.openxmlformats.org/officeDocument/2006/relationships/hyperlink" Target="https://www.google.com/search?newwindow=1&amp;ei=2MT0XrvGGM-vytMP1OyDgAY&amp;q=site%3Alinkedin.com+Elizabeth+Naylor+Campus+Recruiting+&amp;+Analyst+Program+Manager+J.P.+Morgan" TargetMode="External"/><Relationship Id="rId3193" Type="http://schemas.openxmlformats.org/officeDocument/2006/relationships/hyperlink" Target="https://www.google.com/search?newwindow=1&amp;ei=2MT0XrvGGM-vytMP1OyDgAY&amp;q=site%3Alinkedin.com+Monica+Zeno+Campus+Recruiter+-+Senior+Associate+-+FSO+EY" TargetMode="External"/><Relationship Id="rId3192" Type="http://schemas.openxmlformats.org/officeDocument/2006/relationships/hyperlink" Target="https://www.google.com/search?newwindow=1&amp;ei=2MT0XrvGGM-vytMP1OyDgAY&amp;q=site%3Alinkedin.com+Wanda+Mendez+Campus+Recruiter+J.P.+Morgan" TargetMode="External"/><Relationship Id="rId3195" Type="http://schemas.openxmlformats.org/officeDocument/2006/relationships/hyperlink" Target="https://www.google.com/search?newwindow=1&amp;ei=2MT0XrvGGM-vytMP1OyDgAY&amp;q=site%3Alinkedin.com+Hannah+Daluga+Campus+Recruiter+EY" TargetMode="External"/><Relationship Id="rId3194" Type="http://schemas.openxmlformats.org/officeDocument/2006/relationships/hyperlink" Target="https://www.google.com/search?newwindow=1&amp;ei=2MT0XrvGGM-vytMP1OyDgAY&amp;q=site%3Alinkedin.com+Mitchel+Pardes+Campus+Recruiter,+AI+&amp;+Machine+Learning+/+Quantitative+Research+J.P.+Morgan" TargetMode="External"/><Relationship Id="rId3197" Type="http://schemas.openxmlformats.org/officeDocument/2006/relationships/hyperlink" Target="https://www.google.com/search?newwindow=1&amp;ei=2MT0XrvGGM-vytMP1OyDgAY&amp;q=site%3Alinkedin.com+Crystal+Hill+Campus+Recruiter+EY" TargetMode="External"/><Relationship Id="rId3196" Type="http://schemas.openxmlformats.org/officeDocument/2006/relationships/hyperlink" Target="https://www.google.com/search?newwindow=1&amp;ei=2MT0XrvGGM-vytMP1OyDgAY&amp;q=site%3Alinkedin.com+Ana+Sofia+Silva+Asset+&amp;+Wealth+Management+Campus+Recruiter+J.P.+Morgan" TargetMode="External"/><Relationship Id="rId3199" Type="http://schemas.openxmlformats.org/officeDocument/2006/relationships/hyperlink" Target="https://www.google.com/search?newwindow=1&amp;ei=2MT0XrvGGM-vytMP1OyDgAY&amp;q=site%3Alinkedin.com+Britt+Stacy+Campus+Recruiter+EY" TargetMode="External"/><Relationship Id="rId3198" Type="http://schemas.openxmlformats.org/officeDocument/2006/relationships/hyperlink" Target="https://www.google.com/search?newwindow=1&amp;ei=2MT0XrvGGM-vytMP1OyDgAY&amp;q=site%3Alinkedin.com+Michelle+Hall+Senior+Wealth+Management+Campus+Recruiter+J.P.+Morgan" TargetMode="External"/><Relationship Id="rId3180" Type="http://schemas.openxmlformats.org/officeDocument/2006/relationships/hyperlink" Target="https://www.google.com/search?newwindow=1&amp;ei=2MT0XrvGGM-vytMP1OyDgAY&amp;q=site%3Alinkedin.com+Morgan+Liss+FSO+Assurance+Campus+Recruiter+EY" TargetMode="External"/><Relationship Id="rId3182" Type="http://schemas.openxmlformats.org/officeDocument/2006/relationships/hyperlink" Target="https://www.google.com/search?newwindow=1&amp;ei=2MT0XrvGGM-vytMP1OyDgAY&amp;q=site%3Alinkedin.com+Valerie+King+Campus+Recruiter+EY" TargetMode="External"/><Relationship Id="rId3181" Type="http://schemas.openxmlformats.org/officeDocument/2006/relationships/hyperlink" Target="https://www.google.com/search?newwindow=1&amp;ei=2MT0XrvGGM-vytMP1OyDgAY&amp;q=site%3Alinkedin.com+Caitlin+O'Shea+Sr.+University+Pipeline+Recruiter+Johnson+&amp;+Johnson" TargetMode="External"/><Relationship Id="rId3184" Type="http://schemas.openxmlformats.org/officeDocument/2006/relationships/hyperlink" Target="https://www.google.com/search?newwindow=1&amp;ei=2MT0XrvGGM-vytMP1OyDgAY&amp;q=site%3Alinkedin.com+Lindsay+Sadler+West+Region+Campus+Recruiter+EY" TargetMode="External"/><Relationship Id="rId3183" Type="http://schemas.openxmlformats.org/officeDocument/2006/relationships/hyperlink" Target="https://www.google.com/search?newwindow=1&amp;ei=2MT0XrvGGM-vytMP1OyDgAY&amp;q=site%3Alinkedin.com+Danielle+Sims+University+Recruiter+via+Kelly+OCG+Johnson+&amp;+Johnson" TargetMode="External"/><Relationship Id="rId3186" Type="http://schemas.openxmlformats.org/officeDocument/2006/relationships/hyperlink" Target="https://www.google.com/search?newwindow=1&amp;ei=2MT0XrvGGM-vytMP1OyDgAY&amp;q=site%3Alinkedin.com+Stephanie+Eckland+Campus+Recruiter+EY" TargetMode="External"/><Relationship Id="rId3185" Type="http://schemas.openxmlformats.org/officeDocument/2006/relationships/hyperlink" Target="https://www.google.com/search?newwindow=1&amp;ei=2MT0XrvGGM-vytMP1OyDgAY&amp;q=site%3Alinkedin.com+Gabriela+Ferra,+TSC,+CSP+Talent+Acquisition+Specialist,+University+Workforce+Recruiter+Johnson+&amp;+Johnson" TargetMode="External"/><Relationship Id="rId3188" Type="http://schemas.openxmlformats.org/officeDocument/2006/relationships/hyperlink" Target="https://www.google.com/search?newwindow=1&amp;ei=2MT0XrvGGM-vytMP1OyDgAY&amp;q=site%3Alinkedin.com+Chelsea+Manowczak+Campus+Recruiter+J.P.+Morgan" TargetMode="External"/><Relationship Id="rId3187" Type="http://schemas.openxmlformats.org/officeDocument/2006/relationships/hyperlink" Target="https://www.google.com/search?newwindow=1&amp;ei=2MT0XrvGGM-vytMP1OyDgAY&amp;q=site%3Alinkedin.com+Logan+McBride,+PHR,+MBA+University+Recruiter+JPL+(NASA's+Jet+Propulsion+Laboratory)" TargetMode="External"/><Relationship Id="rId3189" Type="http://schemas.openxmlformats.org/officeDocument/2006/relationships/hyperlink" Target="https://www.google.com/search?newwindow=1&amp;ei=2MT0XrvGGM-vytMP1OyDgAY&amp;q=site%3Alinkedin.com+Caroline+Hudnall+Campus+Recruiter+EY" TargetMode="External"/><Relationship Id="rId4480" Type="http://schemas.openxmlformats.org/officeDocument/2006/relationships/hyperlink" Target="https://www.google.com/search?newwindow=1&amp;ei=2MT0XrvGGM-vytMP1OyDgAY&amp;q=site%3Alinkedin.com+Molly+M.+Holt+University+Recruiter+(Talent+Scout)+-+Futureforce+Salesforce" TargetMode="External"/><Relationship Id="rId3151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4482" Type="http://schemas.openxmlformats.org/officeDocument/2006/relationships/hyperlink" Target="https://www.google.com/search?newwindow=1&amp;ei=2MT0XrvGGM-vytMP1OyDgAY&amp;q=site%3Alinkedin.com+Jennifer+Bassett-Abel+University+Recruiter+Sanofi" TargetMode="External"/><Relationship Id="rId3150" Type="http://schemas.openxmlformats.org/officeDocument/2006/relationships/hyperlink" Target="https://www.google.com/search?newwindow=1&amp;ei=2MT0XrvGGM-vytMP1OyDgAY&amp;q=site%3Alinkedin.com+Lagacia+Sims+Customer+Graphics+Software+Program+Manager+Intel+Corporation" TargetMode="External"/><Relationship Id="rId4481" Type="http://schemas.openxmlformats.org/officeDocument/2006/relationships/hyperlink" Target="https://www.google.com/search?newwindow=1&amp;ei=2MT0XrvGGM-vytMP1OyDgAY&amp;q=site%3Alinkedin.com+Eric+Mata+University+Recruiter+Sanofi" TargetMode="External"/><Relationship Id="rId3153" Type="http://schemas.openxmlformats.org/officeDocument/2006/relationships/hyperlink" Target="https://www.google.com/search?newwindow=1&amp;ei=2MT0XrvGGM-vytMP1OyDgAY&amp;q=site%3Alinkedin.com+Michael+Cvelbar+Campus+Recruiting+Manager+Intel+Corporation" TargetMode="External"/><Relationship Id="rId4484" Type="http://schemas.openxmlformats.org/officeDocument/2006/relationships/hyperlink" Target="https://www.google.com/search?newwindow=1&amp;ei=2MT0XrvGGM-vytMP1OyDgAY&amp;q=site%3Alinkedin.com+Brianne+Sullivan+University+&amp;+Diversity+Recruiter+SAP" TargetMode="External"/><Relationship Id="rId3152" Type="http://schemas.openxmlformats.org/officeDocument/2006/relationships/hyperlink" Target="https://www.google.com/search?newwindow=1&amp;ei=2MT0XrvGGM-vytMP1OyDgAY&amp;q=site%3Alinkedin.com+Amy+Keighley+Campus+Recruiter+EY" TargetMode="External"/><Relationship Id="rId4483" Type="http://schemas.openxmlformats.org/officeDocument/2006/relationships/hyperlink" Target="https://www.google.com/search?newwindow=1&amp;ei=2MT0XrvGGM-vytMP1OyDgAY&amp;q=site%3Alinkedin.com+Jermel+Green+University+Recruiter+SAP" TargetMode="External"/><Relationship Id="rId3155" Type="http://schemas.openxmlformats.org/officeDocument/2006/relationships/hyperlink" Target="https://www.google.com/search?newwindow=1&amp;ei=2MT0XrvGGM-vytMP1OyDgAY&amp;q=site%3Alinkedin.com+Mac+Carpenter+University+Recruiter+Intuit" TargetMode="External"/><Relationship Id="rId4486" Type="http://schemas.openxmlformats.org/officeDocument/2006/relationships/hyperlink" Target="https://www.google.com/search?newwindow=1&amp;ei=2MT0XrvGGM-vytMP1OyDgAY&amp;q=site%3Alinkedin.com+Juliana+Oliver+SAP+University+Recruiter+&amp;+iXp+Program+Partner+SAP+Concur" TargetMode="External"/><Relationship Id="rId3154" Type="http://schemas.openxmlformats.org/officeDocument/2006/relationships/hyperlink" Target="https://www.google.com/search?newwindow=1&amp;ei=2MT0XrvGGM-vytMP1OyDgAY&amp;q=site%3Alinkedin.com+Megan+Miniello+Driscoll+Financial+Services+Campus+Recruiter+EY" TargetMode="External"/><Relationship Id="rId4485" Type="http://schemas.openxmlformats.org/officeDocument/2006/relationships/hyperlink" Target="https://www.google.com/search?newwindow=1&amp;ei=2MT0XrvGGM-vytMP1OyDgAY&amp;q=site%3Alinkedin.com+Leigh+Desai+University+Recruiter+SAP+Concur" TargetMode="External"/><Relationship Id="rId3157" Type="http://schemas.openxmlformats.org/officeDocument/2006/relationships/hyperlink" Target="https://www.google.com/search?newwindow=1&amp;ei=2MT0XrvGGM-vytMP1OyDgAY&amp;q=site%3Alinkedin.com+Eric+Pfeiffer+University+Recruiter+Intuit" TargetMode="External"/><Relationship Id="rId4488" Type="http://schemas.openxmlformats.org/officeDocument/2006/relationships/hyperlink" Target="https://www.google.com/search?newwindow=1&amp;ei=2MT0XrvGGM-vytMP1OyDgAY&amp;q=site%3Alinkedin.com+Lindsay+Whitfield+University+Recruiter+SAS" TargetMode="External"/><Relationship Id="rId3156" Type="http://schemas.openxmlformats.org/officeDocument/2006/relationships/hyperlink" Target="https://www.google.com/search?newwindow=1&amp;ei=2MT0XrvGGM-vytMP1OyDgAY&amp;q=site%3Alinkedin.com+Ashley+Redmond+Campus+Referral+Recruiter+EY" TargetMode="External"/><Relationship Id="rId4487" Type="http://schemas.openxmlformats.org/officeDocument/2006/relationships/hyperlink" Target="https://www.google.com/search?newwindow=1&amp;ei=2MT0XrvGGM-vytMP1OyDgAY&amp;q=site%3Alinkedin.com+Madison+Cooley+SAP+iXp+University+Recruiter+SAP+Concur" TargetMode="External"/><Relationship Id="rId3159" Type="http://schemas.openxmlformats.org/officeDocument/2006/relationships/hyperlink" Target="https://www.google.com/search?newwindow=1&amp;ei=2MT0XrvGGM-vytMP1OyDgAY&amp;q=site%3Alinkedin.com+Elizabeth+Klak+University+Recruiter+Intuit" TargetMode="External"/><Relationship Id="rId3158" Type="http://schemas.openxmlformats.org/officeDocument/2006/relationships/hyperlink" Target="https://www.google.com/search?newwindow=1&amp;ei=2MT0XrvGGM-vytMP1OyDgAY&amp;q=site%3Alinkedin.com+Addison+(Goodwin)+Wilkie+Consulting+Campus+Recruiter+EY" TargetMode="External"/><Relationship Id="rId4489" Type="http://schemas.openxmlformats.org/officeDocument/2006/relationships/hyperlink" Target="https://www.google.com/search?newwindow=1&amp;ei=2MT0XrvGGM-vytMP1OyDgAY&amp;q=site%3Alinkedin.com+Travis+Knapp+Sr.+Associate+University+Recruiter+SAS" TargetMode="External"/><Relationship Id="rId3149" Type="http://schemas.openxmlformats.org/officeDocument/2006/relationships/hyperlink" Target="https://www.google.com/search?newwindow=1&amp;ei=2MT0XrvGGM-vytMP1OyDgAY&amp;q=site%3Alinkedin.com+Deanna+Ingram+College+Recruiter+/+Talent+Advisor+Intel+Corporation" TargetMode="External"/><Relationship Id="rId3140" Type="http://schemas.openxmlformats.org/officeDocument/2006/relationships/hyperlink" Target="https://www.google.com/search?newwindow=1&amp;ei=2MT0XrvGGM-vytMP1OyDgAY&amp;q=site%3Alinkedin.com+Alexandria+Perry+IT+Campus+Recruiter+Infosys" TargetMode="External"/><Relationship Id="rId4471" Type="http://schemas.openxmlformats.org/officeDocument/2006/relationships/hyperlink" Target="https://www.google.com/search?newwindow=1&amp;ei=2MT0XrvGGM-vytMP1OyDgAY&amp;q=site%3Alinkedin.com+Meera+Desai+Senior+Campus+Recruiter+RSM+US+LLP" TargetMode="External"/><Relationship Id="rId4470" Type="http://schemas.openxmlformats.org/officeDocument/2006/relationships/hyperlink" Target="https://www.google.com/search?newwindow=1&amp;ei=2MT0XrvGGM-vytMP1OyDgAY&amp;q=site%3Alinkedin.com+Kelly+Briody+Talent+Acquisition-+Senior+Campus+Recruiter+RSM+US+LLP" TargetMode="External"/><Relationship Id="rId3142" Type="http://schemas.openxmlformats.org/officeDocument/2006/relationships/hyperlink" Target="https://www.google.com/search?newwindow=1&amp;ei=2MT0XrvGGM-vytMP1OyDgAY&amp;q=site%3Alinkedin.com+Christopher+Ha+Campus+Recruiter+Infosys" TargetMode="External"/><Relationship Id="rId4473" Type="http://schemas.openxmlformats.org/officeDocument/2006/relationships/hyperlink" Target="https://www.google.com/search?newwindow=1&amp;ei=2MT0XrvGGM-vytMP1OyDgAY&amp;q=site%3Alinkedin.com+Nicolo+Enriquez+Campus+Recruiter+RSM+US+LLP" TargetMode="External"/><Relationship Id="rId3141" Type="http://schemas.openxmlformats.org/officeDocument/2006/relationships/hyperlink" Target="https://www.google.com/search?newwindow=1&amp;ei=2MT0XrvGGM-vytMP1OyDgAY&amp;q=site%3Alinkedin.com+Alyssa+Curl+Campus+Recruiter+EY" TargetMode="External"/><Relationship Id="rId4472" Type="http://schemas.openxmlformats.org/officeDocument/2006/relationships/hyperlink" Target="https://www.google.com/search?newwindow=1&amp;ei=2MT0XrvGGM-vytMP1OyDgAY&amp;q=site%3Alinkedin.com+Vivian+Chen+Senior+Campus+Recruiter+-+Audit+&amp;+Tax+RSM+US+LLP" TargetMode="External"/><Relationship Id="rId3144" Type="http://schemas.openxmlformats.org/officeDocument/2006/relationships/hyperlink" Target="https://www.google.com/search?newwindow=1&amp;ei=2MT0XrvGGM-vytMP1OyDgAY&amp;q=site%3Alinkedin.com+Nanci+Ferrari+Practice+Lead+-+Campus+Recruiting+/+Diversity+Recruting+Infosys" TargetMode="External"/><Relationship Id="rId4475" Type="http://schemas.openxmlformats.org/officeDocument/2006/relationships/hyperlink" Target="https://www.google.com/search?newwindow=1&amp;ei=2MT0XrvGGM-vytMP1OyDgAY&amp;q=site%3Alinkedin.com+Sean+Callahan-Dinish+Senior+University+Recruiter+Salesforce" TargetMode="External"/><Relationship Id="rId3143" Type="http://schemas.openxmlformats.org/officeDocument/2006/relationships/hyperlink" Target="https://www.google.com/search?newwindow=1&amp;ei=2MT0XrvGGM-vytMP1OyDgAY&amp;q=site%3Alinkedin.com+Leia+Gertos+Campus+Recruiter+EY" TargetMode="External"/><Relationship Id="rId4474" Type="http://schemas.openxmlformats.org/officeDocument/2006/relationships/hyperlink" Target="https://www.google.com/search?newwindow=1&amp;ei=2MT0XrvGGM-vytMP1OyDgAY&amp;q=site%3Alinkedin.com+Alexandra+Shillinglaw+Senior+Campus+Recruiter+RSM+US+LLP" TargetMode="External"/><Relationship Id="rId3146" Type="http://schemas.openxmlformats.org/officeDocument/2006/relationships/hyperlink" Target="https://www.google.com/search?newwindow=1&amp;ei=2MT0XrvGGM-vytMP1OyDgAY&amp;q=site%3Alinkedin.com+Erin+Kelly+Campus+Recruiter+EY" TargetMode="External"/><Relationship Id="rId4477" Type="http://schemas.openxmlformats.org/officeDocument/2006/relationships/hyperlink" Target="https://www.google.com/search?newwindow=1&amp;ei=2MT0XrvGGM-vytMP1OyDgAY&amp;q=site%3Alinkedin.com+Katherine+Schwartz+Farah+Senior+Recruiter+Salesforce" TargetMode="External"/><Relationship Id="rId3145" Type="http://schemas.openxmlformats.org/officeDocument/2006/relationships/hyperlink" Target="https://www.google.com/search?newwindow=1&amp;ei=2MT0XrvGGM-vytMP1OyDgAY&amp;q=site%3Alinkedin.com+Darren+Khong+Campus+Recruiter+Infosys" TargetMode="External"/><Relationship Id="rId4476" Type="http://schemas.openxmlformats.org/officeDocument/2006/relationships/hyperlink" Target="https://www.google.com/search?newwindow=1&amp;ei=2MT0XrvGGM-vytMP1OyDgAY&amp;q=site%3Alinkedin.com+Bobby+Nerbonne+University+Recruiter+(Futureforce)+Salesforce" TargetMode="External"/><Relationship Id="rId3148" Type="http://schemas.openxmlformats.org/officeDocument/2006/relationships/hyperlink" Target="https://www.google.com/search?newwindow=1&amp;ei=2MT0XrvGGM-vytMP1OyDgAY&amp;q=site%3Alinkedin.com+Megan+Bruce+Campus+Recruiter+EY" TargetMode="External"/><Relationship Id="rId4479" Type="http://schemas.openxmlformats.org/officeDocument/2006/relationships/hyperlink" Target="https://www.google.com/search?newwindow=1&amp;ei=2MT0XrvGGM-vytMP1OyDgAY&amp;q=site%3Alinkedin.com+Stacy+Schall+Senior+University+Recruiter+-+Futureforce+Salesforce" TargetMode="External"/><Relationship Id="rId3147" Type="http://schemas.openxmlformats.org/officeDocument/2006/relationships/hyperlink" Target="https://www.google.com/search?newwindow=1&amp;ei=2MT0XrvGGM-vytMP1OyDgAY&amp;q=site%3Alinkedin.com+Amber+G.+Campus+Recruiter+/+Talent+Acquisition+Infosys" TargetMode="External"/><Relationship Id="rId4478" Type="http://schemas.openxmlformats.org/officeDocument/2006/relationships/hyperlink" Target="https://www.google.com/search?newwindow=1&amp;ei=2MT0XrvGGM-vytMP1OyDgAY&amp;q=site%3Alinkedin.com+Emily+Shockley+Senior+University+Recruiter+Salesforce" TargetMode="External"/><Relationship Id="rId3171" Type="http://schemas.openxmlformats.org/officeDocument/2006/relationships/hyperlink" Target="https://www.google.com/search?newwindow=1&amp;ei=2MT0XrvGGM-vytMP1OyDgAY&amp;q=site%3Alinkedin.com+Rachel+Kessler+Campus+Recruiter+EY" TargetMode="External"/><Relationship Id="rId3170" Type="http://schemas.openxmlformats.org/officeDocument/2006/relationships/hyperlink" Target="https://www.google.com/search?newwindow=1&amp;ei=2MT0XrvGGM-vytMP1OyDgAY&amp;q=site%3Alinkedin.com+Erin+Kennedy+Allen,+PHR+College+Recruiter+John+Deere" TargetMode="External"/><Relationship Id="rId3173" Type="http://schemas.openxmlformats.org/officeDocument/2006/relationships/hyperlink" Target="https://www.google.com/search?newwindow=1&amp;ei=2MT0XrvGGM-vytMP1OyDgAY&amp;q=site%3Alinkedin.com+Lauren+Lilly+Campus+Recruiter+EY" TargetMode="External"/><Relationship Id="rId3172" Type="http://schemas.openxmlformats.org/officeDocument/2006/relationships/hyperlink" Target="https://www.google.com/search?newwindow=1&amp;ei=2MT0XrvGGM-vytMP1OyDgAY&amp;q=site%3Alinkedin.com+Liz+Kutzman+University+Relations+Recruiter+John+Deere" TargetMode="External"/><Relationship Id="rId3175" Type="http://schemas.openxmlformats.org/officeDocument/2006/relationships/hyperlink" Target="https://www.google.com/search?newwindow=1&amp;ei=2MT0XrvGGM-vytMP1OyDgAY&amp;q=site%3Alinkedin.com+Jennifer+Bidlingmaier+Campus+Recruiter+EY" TargetMode="External"/><Relationship Id="rId3174" Type="http://schemas.openxmlformats.org/officeDocument/2006/relationships/hyperlink" Target="https://www.google.com/search?newwindow=1&amp;ei=2MT0XrvGGM-vytMP1OyDgAY&amp;q=site%3Alinkedin.com+Mary+Ann+Lindsay+Retired+University+Relations+Recruiter+John+Deere" TargetMode="External"/><Relationship Id="rId3177" Type="http://schemas.openxmlformats.org/officeDocument/2006/relationships/hyperlink" Target="https://www.google.com/search?newwindow=1&amp;ei=2MT0XrvGGM-vytMP1OyDgAY&amp;q=site%3Alinkedin.com+Krystal+Brindley+HR+Leader,+University+Recruiting+Johnson+&amp;+Johnson" TargetMode="External"/><Relationship Id="rId3176" Type="http://schemas.openxmlformats.org/officeDocument/2006/relationships/hyperlink" Target="https://www.google.com/search?newwindow=1&amp;ei=2MT0XrvGGM-vytMP1OyDgAY&amp;q=site%3Alinkedin.com+Megan+Osterberg+University+Relations+Recruiter+John+Deere" TargetMode="External"/><Relationship Id="rId3179" Type="http://schemas.openxmlformats.org/officeDocument/2006/relationships/hyperlink" Target="https://www.google.com/search?newwindow=1&amp;ei=2MT0XrvGGM-vytMP1OyDgAY&amp;q=site%3Alinkedin.com+Theresa+Edwards+University+Recruiter+Johnson+&amp;+Johnson" TargetMode="External"/><Relationship Id="rId3178" Type="http://schemas.openxmlformats.org/officeDocument/2006/relationships/hyperlink" Target="https://www.google.com/search?newwindow=1&amp;ei=2MT0XrvGGM-vytMP1OyDgAY&amp;q=site%3Alinkedin.com+Paige+Leininger+Campus+Recruiter+EY" TargetMode="External"/><Relationship Id="rId3160" Type="http://schemas.openxmlformats.org/officeDocument/2006/relationships/hyperlink" Target="https://www.google.com/search?newwindow=1&amp;ei=2MT0XrvGGM-vytMP1OyDgAY&amp;q=site%3Alinkedin.com+Katie+Caraboa+Campus+Recruiter+EY" TargetMode="External"/><Relationship Id="rId4491" Type="http://schemas.openxmlformats.org/officeDocument/2006/relationships/hyperlink" Target="https://www.google.com/search?newwindow=1&amp;ei=2MT0XrvGGM-vytMP1OyDgAY&amp;q=site%3Alinkedin.com+Andrea+McDade+University+Recruiter+Shell" TargetMode="External"/><Relationship Id="rId4490" Type="http://schemas.openxmlformats.org/officeDocument/2006/relationships/hyperlink" Target="https://www.google.com/search?newwindow=1&amp;ei=2MT0XrvGGM-vytMP1OyDgAY&amp;q=site%3Alinkedin.com+Jennifer+Bufalini+Senior+Recruiter+Shell" TargetMode="External"/><Relationship Id="rId3162" Type="http://schemas.openxmlformats.org/officeDocument/2006/relationships/hyperlink" Target="https://www.google.com/search?newwindow=1&amp;ei=2MT0XrvGGM-vytMP1OyDgAY&amp;q=site%3Alinkedin.com+Maddie+Castro+Campus+Recruiter+EY" TargetMode="External"/><Relationship Id="rId4493" Type="http://schemas.openxmlformats.org/officeDocument/2006/relationships/hyperlink" Target="https://www.google.com/search?newwindow=1&amp;ei=2MT0XrvGGM-vytMP1OyDgAY&amp;q=site%3Alinkedin.com+Jillian+Rozek+University+Recruiting+Manager+Siemens" TargetMode="External"/><Relationship Id="rId3161" Type="http://schemas.openxmlformats.org/officeDocument/2006/relationships/hyperlink" Target="https://www.google.com/search?newwindow=1&amp;ei=2MT0XrvGGM-vytMP1OyDgAY&amp;q=site%3Alinkedin.com+Cindy+Ng+University+Recruiter+Intuit" TargetMode="External"/><Relationship Id="rId4492" Type="http://schemas.openxmlformats.org/officeDocument/2006/relationships/hyperlink" Target="https://www.google.com/search?newwindow=1&amp;ei=2MT0XrvGGM-vytMP1OyDgAY&amp;q=site%3Alinkedin.com+Ralph+Faxel+Texas+A&amp;M+CHEN+Campus+Recruiter+Shell" TargetMode="External"/><Relationship Id="rId3164" Type="http://schemas.openxmlformats.org/officeDocument/2006/relationships/hyperlink" Target="https://www.google.com/search?newwindow=1&amp;ei=2MT0XrvGGM-vytMP1OyDgAY&amp;q=site%3Alinkedin.com+Lindsay+Birtcil+University+Recruiter+Intuit" TargetMode="External"/><Relationship Id="rId4495" Type="http://schemas.openxmlformats.org/officeDocument/2006/relationships/hyperlink" Target="https://www.google.com/search?newwindow=1&amp;ei=2MT0XrvGGM-vytMP1OyDgAY&amp;q=site%3Alinkedin.com+Rina+Kotak+University+Relations+Recruiter+Siemens+Digital+Industries+Software" TargetMode="External"/><Relationship Id="rId3163" Type="http://schemas.openxmlformats.org/officeDocument/2006/relationships/hyperlink" Target="https://www.google.com/search?newwindow=1&amp;ei=2MT0XrvGGM-vytMP1OyDgAY&amp;q=site%3Alinkedin.com+Ailina+Heim+Senior+University+Recruiter+Intuit" TargetMode="External"/><Relationship Id="rId4494" Type="http://schemas.openxmlformats.org/officeDocument/2006/relationships/hyperlink" Target="https://www.google.com/search?newwindow=1&amp;ei=2MT0XrvGGM-vytMP1OyDgAY&amp;q=site%3Alinkedin.com+Jessica+Buchberger+University+Relations+Recruiter+Siemens+Digital+Industries+Software" TargetMode="External"/><Relationship Id="rId3166" Type="http://schemas.openxmlformats.org/officeDocument/2006/relationships/hyperlink" Target="https://www.google.com/search?newwindow=1&amp;ei=2MT0XrvGGM-vytMP1OyDgAY&amp;q=site%3Alinkedin.com+Margo+Garcia+Senior+University+Recruiter,+MBA+&amp;+Early+Career+Intuit" TargetMode="External"/><Relationship Id="rId4497" Type="http://schemas.openxmlformats.org/officeDocument/2006/relationships/hyperlink" Target="https://www.google.com/search?newwindow=1&amp;ei=2MT0XrvGGM-vytMP1OyDgAY&amp;q=site%3Alinkedin.com+Cooper+Kennard+College+Recruiter+State+Farm" TargetMode="External"/><Relationship Id="rId3165" Type="http://schemas.openxmlformats.org/officeDocument/2006/relationships/hyperlink" Target="https://www.google.com/search?newwindow=1&amp;ei=2MT0XrvGGM-vytMP1OyDgAY&amp;q=site%3Alinkedin.com+Hannah+Bergoon+Campus+Recruiter+EY" TargetMode="External"/><Relationship Id="rId4496" Type="http://schemas.openxmlformats.org/officeDocument/2006/relationships/hyperlink" Target="https://www.google.com/search?newwindow=1&amp;ei=2MT0XrvGGM-vytMP1OyDgAY&amp;q=site%3Alinkedin.com+Claudia+Guzman+University+Recruiter+Siemens+Healthineers" TargetMode="External"/><Relationship Id="rId3168" Type="http://schemas.openxmlformats.org/officeDocument/2006/relationships/hyperlink" Target="https://www.google.com/search?newwindow=1&amp;ei=2MT0XrvGGM-vytMP1OyDgAY&amp;q=site%3Alinkedin.com+Kacie+Kaneyuki+University+Recruiter:+Technology+Intuit" TargetMode="External"/><Relationship Id="rId4499" Type="http://schemas.openxmlformats.org/officeDocument/2006/relationships/hyperlink" Target="https://www.google.com/search?newwindow=1&amp;ei=2MT0XrvGGM-vytMP1OyDgAY&amp;q=site%3Alinkedin.com+Alexander+Kahn+NAU+College+Recruiter+State+Farm+%C2%AE" TargetMode="External"/><Relationship Id="rId3167" Type="http://schemas.openxmlformats.org/officeDocument/2006/relationships/hyperlink" Target="https://www.google.com/search?newwindow=1&amp;ei=2MT0XrvGGM-vytMP1OyDgAY&amp;q=site%3Alinkedin.com+Kati+Lavarias+Campus+Recruiter+EY" TargetMode="External"/><Relationship Id="rId4498" Type="http://schemas.openxmlformats.org/officeDocument/2006/relationships/hyperlink" Target="https://www.google.com/search?newwindow=1&amp;ei=2MT0XrvGGM-vytMP1OyDgAY&amp;q=site%3Alinkedin.com+Cody+Walls+Information+Technology+Recruiter+-+University+of+Georgia+State+Farm+%C2%AE" TargetMode="External"/><Relationship Id="rId3169" Type="http://schemas.openxmlformats.org/officeDocument/2006/relationships/hyperlink" Target="https://www.google.com/search?newwindow=1&amp;ei=2MT0XrvGGM-vytMP1OyDgAY&amp;q=site%3Alinkedin.com+Krista+Corsentino+Talent+Solutions+-+Intuit+University+Talent+Acquisition+Manager+Intuit" TargetMode="External"/><Relationship Id="rId2700" Type="http://schemas.openxmlformats.org/officeDocument/2006/relationships/hyperlink" Target="https://www.google.com/search?newwindow=1&amp;ei=2MT0XrvGGM-vytMP1OyDgAY&amp;q=site%3Alinkedin.com+MaryBeth+Allen+Campus+Recruiter+EY" TargetMode="External"/><Relationship Id="rId2701" Type="http://schemas.openxmlformats.org/officeDocument/2006/relationships/hyperlink" Target="https://www.google.com/search?newwindow=1&amp;ei=2MT0XrvGGM-vytMP1OyDgAY&amp;q=site%3Alinkedin.com+Katie+Johnson+Campus+Recruiter+Cargill" TargetMode="External"/><Relationship Id="rId2702" Type="http://schemas.openxmlformats.org/officeDocument/2006/relationships/hyperlink" Target="https://www.google.com/search?newwindow=1&amp;ei=2MT0XrvGGM-vytMP1OyDgAY&amp;q=site%3Alinkedin.com+Jordan+Gaunt+Campus+Recruiter+Senior+Associate+EY" TargetMode="External"/><Relationship Id="rId2703" Type="http://schemas.openxmlformats.org/officeDocument/2006/relationships/hyperlink" Target="https://www.google.com/search?newwindow=1&amp;ei=2MT0XrvGGM-vytMP1OyDgAY&amp;q=site%3Alinkedin.com+Whitney+Ragan+College+Recruiter+CGI" TargetMode="External"/><Relationship Id="rId2704" Type="http://schemas.openxmlformats.org/officeDocument/2006/relationships/hyperlink" Target="https://www.google.com/search?newwindow=1&amp;ei=2MT0XrvGGM-vytMP1OyDgAY&amp;q=site%3Alinkedin.com+Max+Hyland+Campus+Recruiter+EY" TargetMode="External"/><Relationship Id="rId2705" Type="http://schemas.openxmlformats.org/officeDocument/2006/relationships/hyperlink" Target="https://www.google.com/search?newwindow=1&amp;ei=2MT0XrvGGM-vytMP1OyDgAY&amp;q=site%3Alinkedin.com+Rebecca+Teti+College+Recruiter+CGI" TargetMode="External"/><Relationship Id="rId2706" Type="http://schemas.openxmlformats.org/officeDocument/2006/relationships/hyperlink" Target="https://www.google.com/search?newwindow=1&amp;ei=2MT0XrvGGM-vytMP1OyDgAY&amp;q=site%3Alinkedin.com+Kendra+Stanfill+Graduate+Campus+Recruiter+EY" TargetMode="External"/><Relationship Id="rId2707" Type="http://schemas.openxmlformats.org/officeDocument/2006/relationships/hyperlink" Target="https://www.google.com/search?newwindow=1&amp;ei=2MT0XrvGGM-vytMP1OyDgAY&amp;q=site%3Alinkedin.com+Madeline+Sills+College+Recruiter+-+US+West+CGI" TargetMode="External"/><Relationship Id="rId2708" Type="http://schemas.openxmlformats.org/officeDocument/2006/relationships/hyperlink" Target="https://www.google.com/search?newwindow=1&amp;ei=2MT0XrvGGM-vytMP1OyDgAY&amp;q=site%3Alinkedin.com+Jennifer+Garrard+Campus+Recruiter+EY" TargetMode="External"/><Relationship Id="rId2709" Type="http://schemas.openxmlformats.org/officeDocument/2006/relationships/hyperlink" Target="https://www.google.com/search?newwindow=1&amp;ei=2MT0XrvGGM-vytMP1OyDgAY&amp;q=site%3Alinkedin.com+Jordan+W.+Campus+Recruiter+EY" TargetMode="External"/><Relationship Id="rId2720" Type="http://schemas.openxmlformats.org/officeDocument/2006/relationships/hyperlink" Target="https://www.google.com/search?newwindow=1&amp;ei=2MT0XrvGGM-vytMP1OyDgAY&amp;q=site%3Alinkedin.com+Ashley+Beamish+Senior+College+Recruiter+CGI" TargetMode="External"/><Relationship Id="rId2721" Type="http://schemas.openxmlformats.org/officeDocument/2006/relationships/hyperlink" Target="https://www.google.com/search?newwindow=1&amp;ei=2MT0XrvGGM-vytMP1OyDgAY&amp;q=site%3Alinkedin.com+Darci+Curtin+Campus+Recruiter+EY" TargetMode="External"/><Relationship Id="rId2722" Type="http://schemas.openxmlformats.org/officeDocument/2006/relationships/hyperlink" Target="https://www.google.com/search?newwindow=1&amp;ei=2MT0XrvGGM-vytMP1OyDgAY&amp;q=site%3Alinkedin.com+Elizabeth+DiTroia+Campus+Recruiter+Chewy" TargetMode="External"/><Relationship Id="rId2723" Type="http://schemas.openxmlformats.org/officeDocument/2006/relationships/hyperlink" Target="https://www.google.com/search?newwindow=1&amp;ei=2MT0XrvGGM-vytMP1OyDgAY&amp;q=site%3Alinkedin.com+Jessi+Dale+Seattle+&amp;+Portland+Campus+Recruiter+-+West+Region+Diversity+and+Inclusion+Internship+(Launch)+Lead+EY" TargetMode="External"/><Relationship Id="rId2724" Type="http://schemas.openxmlformats.org/officeDocument/2006/relationships/hyperlink" Target="https://www.google.com/search?newwindow=1&amp;ei=2MT0XrvGGM-vytMP1OyDgAY&amp;q=site%3Alinkedin.com+Erin+Casey+Campus+Recruiter+Chewy" TargetMode="External"/><Relationship Id="rId2725" Type="http://schemas.openxmlformats.org/officeDocument/2006/relationships/hyperlink" Target="https://www.google.com/search?newwindow=1&amp;ei=2MT0XrvGGM-vytMP1OyDgAY&amp;q=site%3Alinkedin.com+Jennifer+Weeks+Campus+Recruiter+EY" TargetMode="External"/><Relationship Id="rId2726" Type="http://schemas.openxmlformats.org/officeDocument/2006/relationships/hyperlink" Target="https://www.google.com/search?newwindow=1&amp;ei=2MT0XrvGGM-vytMP1OyDgAY&amp;q=site%3Alinkedin.com+Erika+Howe+Carter+Sr.+Campus+Recruiter+Chewy" TargetMode="External"/><Relationship Id="rId2727" Type="http://schemas.openxmlformats.org/officeDocument/2006/relationships/hyperlink" Target="https://www.google.com/search?newwindow=1&amp;ei=2MT0XrvGGM-vytMP1OyDgAY&amp;q=site%3Alinkedin.com+Jessica+Gruber+Supervising+Associate+-+Campus+Recruiter+EY" TargetMode="External"/><Relationship Id="rId2728" Type="http://schemas.openxmlformats.org/officeDocument/2006/relationships/hyperlink" Target="https://www.google.com/search?newwindow=1&amp;ei=2MT0XrvGGM-vytMP1OyDgAY&amp;q=site%3Alinkedin.com+Jennifer+C.+Campus+Recruiter+Chewy" TargetMode="External"/><Relationship Id="rId2729" Type="http://schemas.openxmlformats.org/officeDocument/2006/relationships/hyperlink" Target="https://www.google.com/search?newwindow=1&amp;ei=2MT0XrvGGM-vytMP1OyDgAY&amp;q=site%3Alinkedin.com+Joe+Santulli+Campus+Recruiter,+Supervising+Associate+EY" TargetMode="External"/><Relationship Id="rId2710" Type="http://schemas.openxmlformats.org/officeDocument/2006/relationships/hyperlink" Target="https://www.google.com/search?newwindow=1&amp;ei=2MT0XrvGGM-vytMP1OyDgAY&amp;q=site%3Alinkedin.com+Katherine+Zehnder+College+Recruiter+CGI" TargetMode="External"/><Relationship Id="rId2711" Type="http://schemas.openxmlformats.org/officeDocument/2006/relationships/hyperlink" Target="https://www.google.com/search?newwindow=1&amp;ei=2MT0XrvGGM-vytMP1OyDgAY&amp;q=site%3Alinkedin.com+Ali+Meersman,+CPA+Campus+Recruiter+%7C+Talent+Attraction+&amp;+Acquisition+EY" TargetMode="External"/><Relationship Id="rId2712" Type="http://schemas.openxmlformats.org/officeDocument/2006/relationships/hyperlink" Target="https://www.google.com/search?newwindow=1&amp;ei=2MT0XrvGGM-vytMP1OyDgAY&amp;q=site%3Alinkedin.com+Carrie+Eggleston+College+Recruiter+CGI" TargetMode="External"/><Relationship Id="rId2713" Type="http://schemas.openxmlformats.org/officeDocument/2006/relationships/hyperlink" Target="https://www.google.com/search?newwindow=1&amp;ei=2MT0XrvGGM-vytMP1OyDgAY&amp;q=site%3Alinkedin.com+Jennifer+Voss+Campus+Recruiting+Manager+EY" TargetMode="External"/><Relationship Id="rId2714" Type="http://schemas.openxmlformats.org/officeDocument/2006/relationships/hyperlink" Target="https://www.google.com/search?newwindow=1&amp;ei=2MT0XrvGGM-vytMP1OyDgAY&amp;q=site%3Alinkedin.com+Luke+Lawson+Campus+Recruiter+CGI" TargetMode="External"/><Relationship Id="rId2715" Type="http://schemas.openxmlformats.org/officeDocument/2006/relationships/hyperlink" Target="https://www.google.com/search?newwindow=1&amp;ei=2MT0XrvGGM-vytMP1OyDgAY&amp;q=site%3Alinkedin.com+Lauren+Vujovich+Campus+Recruiter+EY" TargetMode="External"/><Relationship Id="rId2716" Type="http://schemas.openxmlformats.org/officeDocument/2006/relationships/hyperlink" Target="https://www.google.com/search?newwindow=1&amp;ei=2MT0XrvGGM-vytMP1OyDgAY&amp;q=site%3Alinkedin.com+Kristin+Rymaruk+College+Recruiting+Manager+CGI" TargetMode="External"/><Relationship Id="rId2717" Type="http://schemas.openxmlformats.org/officeDocument/2006/relationships/hyperlink" Target="https://www.google.com/search?newwindow=1&amp;ei=2MT0XrvGGM-vytMP1OyDgAY&amp;q=site%3Alinkedin.com+Beverly+Tran+Campus+Recruiter,+Senior+Associate+EY" TargetMode="External"/><Relationship Id="rId2718" Type="http://schemas.openxmlformats.org/officeDocument/2006/relationships/hyperlink" Target="https://www.google.com/search?newwindow=1&amp;ei=2MT0XrvGGM-vytMP1OyDgAY&amp;q=site%3Alinkedin.com+Heather+Fusko+College+Recruiter+CGI" TargetMode="External"/><Relationship Id="rId2719" Type="http://schemas.openxmlformats.org/officeDocument/2006/relationships/hyperlink" Target="https://www.google.com/search?newwindow=1&amp;ei=2MT0XrvGGM-vytMP1OyDgAY&amp;q=site%3Alinkedin.com+Julia+Silvestre+West+Campus+Lead+Recruiting+Coordinator+EY" TargetMode="External"/><Relationship Id="rId1455" Type="http://schemas.openxmlformats.org/officeDocument/2006/relationships/hyperlink" Target="https://www.google.com/search?newwindow=1&amp;ei=2MT0XrvGGM-vytMP1OyDgAY&amp;q=site%3Alinkedin.com+Olivia+Jaworski+Programs+Officer" TargetMode="External"/><Relationship Id="rId2786" Type="http://schemas.openxmlformats.org/officeDocument/2006/relationships/hyperlink" Target="https://www.google.com/search?newwindow=1&amp;ei=2MT0XrvGGM-vytMP1OyDgAY&amp;q=site%3Alinkedin.com+Ryan+Biega+University+Recruiter,+Design+Facebook" TargetMode="External"/><Relationship Id="rId1456" Type="http://schemas.openxmlformats.org/officeDocument/2006/relationships/hyperlink" Target="https://www.google.com/search?newwindow=1&amp;ei=2MT0XrvGGM-vytMP1OyDgAY&amp;q=site%3Alinkedin.com+John+Hopkinson+Graduate+Recruiter" TargetMode="External"/><Relationship Id="rId2787" Type="http://schemas.openxmlformats.org/officeDocument/2006/relationships/hyperlink" Target="https://www.google.com/search?newwindow=1&amp;ei=2MT0XrvGGM-vytMP1OyDgAY&amp;q=site%3Alinkedin.com+Alexandra+Mettler+University+Recruiter,+Software+Engineering+Facebook" TargetMode="External"/><Relationship Id="rId1457" Type="http://schemas.openxmlformats.org/officeDocument/2006/relationships/hyperlink" Target="https://www.google.com/search?newwindow=1&amp;ei=2MT0XrvGGM-vytMP1OyDgAY&amp;q=site%3Alinkedin.com+Marsha+Smith+PA+to+Director+of+Global+Student+Recruitment+&amp;+Admissions,+at+Keele+University" TargetMode="External"/><Relationship Id="rId2788" Type="http://schemas.openxmlformats.org/officeDocument/2006/relationships/hyperlink" Target="https://www.google.com/search?newwindow=1&amp;ei=2MT0XrvGGM-vytMP1OyDgAY&amp;q=site%3Alinkedin.com+Joyce+M.+C.+University+Recruiter+Facebook" TargetMode="External"/><Relationship Id="rId1458" Type="http://schemas.openxmlformats.org/officeDocument/2006/relationships/hyperlink" Target="https://www.google.com/search?newwindow=1&amp;ei=2MT0XrvGGM-vytMP1OyDgAY&amp;q=site%3Alinkedin.com+Ramone+Davis+International+Student+Recruiter" TargetMode="External"/><Relationship Id="rId2789" Type="http://schemas.openxmlformats.org/officeDocument/2006/relationships/hyperlink" Target="https://www.google.com/search?newwindow=1&amp;ei=2MT0XrvGGM-vytMP1OyDgAY&amp;q=site%3Alinkedin.com+Jacqueline+Waugh+Campus+Recruiter+Citi" TargetMode="External"/><Relationship Id="rId1459" Type="http://schemas.openxmlformats.org/officeDocument/2006/relationships/hyperlink" Target="https://www.google.com/search?newwindow=1&amp;ei=2MT0XrvGGM-vytMP1OyDgAY&amp;q=site%3Alinkedin.com+Jennifer+Sullivan+Senior+Manager,+National+Technology+Campus+Recruiting+Leader" TargetMode="External"/><Relationship Id="rId629" Type="http://schemas.openxmlformats.org/officeDocument/2006/relationships/hyperlink" Target="https://www.google.com/search?newwindow=1&amp;ei=2MT0XrvGGM-vytMP1OyDgAY&amp;q=site%3Alinkedin.com+Veronica+Zmudzka+University+Recruitment+Executive+Assistant" TargetMode="External"/><Relationship Id="rId624" Type="http://schemas.openxmlformats.org/officeDocument/2006/relationships/hyperlink" Target="https://www.google.com/search?newwindow=1&amp;ei=2MT0XrvGGM-vytMP1OyDgAY&amp;q=site%3Alinkedin.com+Lara+Senhen+University+Partnership+Team+Lead" TargetMode="External"/><Relationship Id="rId623" Type="http://schemas.openxmlformats.org/officeDocument/2006/relationships/hyperlink" Target="https://www.google.com/search?newwindow=1&amp;ei=2MT0XrvGGM-vytMP1OyDgAY&amp;q=site%3Alinkedin.com+Churong+Huang+Campus+Recruiting+Manager" TargetMode="External"/><Relationship Id="rId622" Type="http://schemas.openxmlformats.org/officeDocument/2006/relationships/hyperlink" Target="https://www.google.com/search?newwindow=1&amp;ei=2MT0XrvGGM-vytMP1OyDgAY&amp;q=site%3Alinkedin.com+Isel+Abdellatif+University+Partnership+and+Recruitment+Consultant" TargetMode="External"/><Relationship Id="rId621" Type="http://schemas.openxmlformats.org/officeDocument/2006/relationships/hyperlink" Target="https://www.google.com/search?newwindow=1&amp;ei=2MT0XrvGGM-vytMP1OyDgAY&amp;q=site%3Alinkedin.com+Sheldan+Bristol-Walton+University+Partnership+&amp;+Recruitment" TargetMode="External"/><Relationship Id="rId628" Type="http://schemas.openxmlformats.org/officeDocument/2006/relationships/hyperlink" Target="https://www.google.com/search?newwindow=1&amp;ei=2MT0XrvGGM-vytMP1OyDgAY&amp;q=site%3Alinkedin.com+Chris+Watts+Director+of+University+Recruitment" TargetMode="External"/><Relationship Id="rId627" Type="http://schemas.openxmlformats.org/officeDocument/2006/relationships/hyperlink" Target="https://www.google.com/search?newwindow=1&amp;ei=2MT0XrvGGM-vytMP1OyDgAY&amp;q=site%3Alinkedin.com+Sophie+Parsons+Graduate+Recruiter" TargetMode="External"/><Relationship Id="rId626" Type="http://schemas.openxmlformats.org/officeDocument/2006/relationships/hyperlink" Target="https://www.google.com/search?newwindow=1&amp;ei=2MT0XrvGGM-vytMP1OyDgAY&amp;q=site%3Alinkedin.com+Jay+Cooper+Graduate+Recruiter" TargetMode="External"/><Relationship Id="rId625" Type="http://schemas.openxmlformats.org/officeDocument/2006/relationships/hyperlink" Target="https://www.google.com/search?newwindow=1&amp;ei=2MT0XrvGGM-vytMP1OyDgAY&amp;q=site%3Alinkedin.com+Melik+Cinar+Senior+Graduate+Recruiter+and+University+Partnership+Consultant" TargetMode="External"/><Relationship Id="rId2780" Type="http://schemas.openxmlformats.org/officeDocument/2006/relationships/hyperlink" Target="https://www.google.com/search?newwindow=1&amp;ei=2MT0XrvGGM-vytMP1OyDgAY&amp;q=site%3Alinkedin.com+Seth+Radin+University+Recruiter+-+AR/VR+Facebook" TargetMode="External"/><Relationship Id="rId1450" Type="http://schemas.openxmlformats.org/officeDocument/2006/relationships/hyperlink" Target="https://www.google.com/search?newwindow=1&amp;ei=2MT0XrvGGM-vytMP1OyDgAY&amp;q=site%3Alinkedin.com+Raza+Shah+Student+Recruiter" TargetMode="External"/><Relationship Id="rId2781" Type="http://schemas.openxmlformats.org/officeDocument/2006/relationships/hyperlink" Target="https://www.google.com/search?newwindow=1&amp;ei=2MT0XrvGGM-vytMP1OyDgAY&amp;q=site%3Alinkedin.com+Eleanor+Johnson+Software+Engineer+University+Recruiter+Facebook" TargetMode="External"/><Relationship Id="rId620" Type="http://schemas.openxmlformats.org/officeDocument/2006/relationships/hyperlink" Target="https://www.google.com/search?newwindow=1&amp;ei=2MT0XrvGGM-vytMP1OyDgAY&amp;q=site%3Alinkedin.com+Molly+French+Senior+Graduate+Recruiter" TargetMode="External"/><Relationship Id="rId1451" Type="http://schemas.openxmlformats.org/officeDocument/2006/relationships/hyperlink" Target="https://www.google.com/search?newwindow=1&amp;ei=2MT0XrvGGM-vytMP1OyDgAY&amp;q=site%3Alinkedin.com+Jim+Sheridan+Managing+Director,+Global+Head+of+Tech+Campus+Recruiting" TargetMode="External"/><Relationship Id="rId2782" Type="http://schemas.openxmlformats.org/officeDocument/2006/relationships/hyperlink" Target="https://www.google.com/search?newwindow=1&amp;ei=2MT0XrvGGM-vytMP1OyDgAY&amp;q=site%3Alinkedin.com+Sivona+Blake+Assistant+Vice+President+-+Senior+Diversity+Campus+Recruiter+Citi" TargetMode="External"/><Relationship Id="rId1452" Type="http://schemas.openxmlformats.org/officeDocument/2006/relationships/hyperlink" Target="https://www.google.com/search?newwindow=1&amp;ei=2MT0XrvGGM-vytMP1OyDgAY&amp;q=site%3Alinkedin.com+Kimberly+Czarnecki+Assistant+Director,+Campus+Recruiting" TargetMode="External"/><Relationship Id="rId2783" Type="http://schemas.openxmlformats.org/officeDocument/2006/relationships/hyperlink" Target="https://www.google.com/search?newwindow=1&amp;ei=2MT0XrvGGM-vytMP1OyDgAY&amp;q=site%3Alinkedin.com+Allie+Bordeaux+University+Recruiter+%7C+Infrastructure+Foundation+Facebook" TargetMode="External"/><Relationship Id="rId1453" Type="http://schemas.openxmlformats.org/officeDocument/2006/relationships/hyperlink" Target="https://www.google.com/search?newwindow=1&amp;ei=2MT0XrvGGM-vytMP1OyDgAY&amp;q=site%3Alinkedin.com+Caitlin+Toohey+Associate+Director,+Campus+Recruiting" TargetMode="External"/><Relationship Id="rId2784" Type="http://schemas.openxmlformats.org/officeDocument/2006/relationships/hyperlink" Target="https://www.google.com/search?newwindow=1&amp;ei=2MT0XrvGGM-vytMP1OyDgAY&amp;q=site%3Alinkedin.com+Nicci+Moscuzza+University+Recruiter+Facebook" TargetMode="External"/><Relationship Id="rId1454" Type="http://schemas.openxmlformats.org/officeDocument/2006/relationships/hyperlink" Target="https://www.google.com/search?newwindow=1&amp;ei=2MT0XrvGGM-vytMP1OyDgAY&amp;q=site%3Alinkedin.com+Lynda+Jackson+Apprenticeship+and+Graduate+Recruitment+Manager" TargetMode="External"/><Relationship Id="rId2785" Type="http://schemas.openxmlformats.org/officeDocument/2006/relationships/hyperlink" Target="https://www.google.com/search?newwindow=1&amp;ei=2MT0XrvGGM-vytMP1OyDgAY&amp;q=site%3Alinkedin.com+Kim+Birch+University+Recruiter,+Global+Marketing+Solutions+&amp;+Business+Facebook" TargetMode="External"/><Relationship Id="rId1444" Type="http://schemas.openxmlformats.org/officeDocument/2006/relationships/hyperlink" Target="https://www.google.com/search?newwindow=1&amp;ei=2MT0XrvGGM-vytMP1OyDgAY&amp;q=site%3Alinkedin.com+Carmel+Doyle+Bishop+Mullock+Chair+of+Roman+Catholic+Studies+and+Director+of+Student+Programs" TargetMode="External"/><Relationship Id="rId2775" Type="http://schemas.openxmlformats.org/officeDocument/2006/relationships/hyperlink" Target="https://www.google.com/search?newwindow=1&amp;ei=2MT0XrvGGM-vytMP1OyDgAY&amp;q=site%3Alinkedin.com+Amal+S.+Diversity+Recruiter,+University+Recruiting+Facebook" TargetMode="External"/><Relationship Id="rId1445" Type="http://schemas.openxmlformats.org/officeDocument/2006/relationships/hyperlink" Target="https://www.google.com/search?newwindow=1&amp;ei=2MT0XrvGGM-vytMP1OyDgAY&amp;q=site%3Alinkedin.com+Jody+Rotchford+Student+Recruiter+for+the+Faculty+of+Engineering+and+Applied+Sciences" TargetMode="External"/><Relationship Id="rId2776" Type="http://schemas.openxmlformats.org/officeDocument/2006/relationships/hyperlink" Target="https://www.google.com/search?newwindow=1&amp;ei=2MT0XrvGGM-vytMP1OyDgAY&amp;q=site%3Alinkedin.com+Lauren+Harrison+Campus+Recruiter+-+Global+Consumer+Technology+Citi" TargetMode="External"/><Relationship Id="rId1446" Type="http://schemas.openxmlformats.org/officeDocument/2006/relationships/hyperlink" Target="https://www.google.com/search?newwindow=1&amp;ei=2MT0XrvGGM-vytMP1OyDgAY&amp;q=site%3Alinkedin.com+Kelly+James+Campus+Recruiting+Specialist" TargetMode="External"/><Relationship Id="rId2777" Type="http://schemas.openxmlformats.org/officeDocument/2006/relationships/hyperlink" Target="https://www.google.com/search?newwindow=1&amp;ei=2MT0XrvGGM-vytMP1OyDgAY&amp;q=site%3Alinkedin.com+Katie+Tenboer+University+Recruiter,+Design+Facebook" TargetMode="External"/><Relationship Id="rId1447" Type="http://schemas.openxmlformats.org/officeDocument/2006/relationships/hyperlink" Target="https://www.google.com/search?newwindow=1&amp;ei=2MT0XrvGGM-vytMP1OyDgAY&amp;q=site%3Alinkedin.com+Holly+Hoette+Assistant+Director+-+Campus+Recruiting" TargetMode="External"/><Relationship Id="rId2778" Type="http://schemas.openxmlformats.org/officeDocument/2006/relationships/hyperlink" Target="https://www.google.com/search?newwindow=1&amp;ei=2MT0XrvGGM-vytMP1OyDgAY&amp;q=site%3Alinkedin.com+Abigail+Nelson+Campus+Recruiter+Citi" TargetMode="External"/><Relationship Id="rId1448" Type="http://schemas.openxmlformats.org/officeDocument/2006/relationships/hyperlink" Target="https://www.google.com/search?newwindow=1&amp;ei=2MT0XrvGGM-vytMP1OyDgAY&amp;q=site%3Alinkedin.com+Ashley+Josephson+Campus+Recruiting+Manager+-+Consulting" TargetMode="External"/><Relationship Id="rId2779" Type="http://schemas.openxmlformats.org/officeDocument/2006/relationships/hyperlink" Target="https://www.google.com/search?newwindow=1&amp;ei=2MT0XrvGGM-vytMP1OyDgAY&amp;q=site%3Alinkedin.com+Ernesto+F.+University+Recruiter+Facebook" TargetMode="External"/><Relationship Id="rId1449" Type="http://schemas.openxmlformats.org/officeDocument/2006/relationships/hyperlink" Target="https://www.google.com/search?newwindow=1&amp;ei=2MT0XrvGGM-vytMP1OyDgAY&amp;q=site%3Alinkedin.com+Katy+Williams+Graduate+Recruiter" TargetMode="External"/><Relationship Id="rId619" Type="http://schemas.openxmlformats.org/officeDocument/2006/relationships/hyperlink" Target="https://www.google.com/search?newwindow=1&amp;ei=2MT0XrvGGM-vytMP1OyDgAY&amp;q=site%3Alinkedin.com+Oliver+Churchill+University+Recruitment+Specialist" TargetMode="External"/><Relationship Id="rId618" Type="http://schemas.openxmlformats.org/officeDocument/2006/relationships/hyperlink" Target="https://www.google.com/search?newwindow=1&amp;ei=2MT0XrvGGM-vytMP1OyDgAY&amp;q=site%3Alinkedin.com+Lindsey+Price+Campus+Recruiting+Specialist" TargetMode="External"/><Relationship Id="rId613" Type="http://schemas.openxmlformats.org/officeDocument/2006/relationships/hyperlink" Target="https://www.google.com/search?newwindow=1&amp;ei=2MT0XrvGGM-vytMP1OyDgAY&amp;q=site%3Alinkedin.com+Hannah+Monaghan+Recruitment+and+Conversion+Officer,+Lancaster+University+Management+School" TargetMode="External"/><Relationship Id="rId612" Type="http://schemas.openxmlformats.org/officeDocument/2006/relationships/hyperlink" Target="https://www.google.com/search?newwindow=1&amp;ei=2MT0XrvGGM-vytMP1OyDgAY&amp;q=site%3Alinkedin.com+Dolorez+Dumas-Aris+Campus+Recruiting+Manager" TargetMode="External"/><Relationship Id="rId611" Type="http://schemas.openxmlformats.org/officeDocument/2006/relationships/hyperlink" Target="https://www.google.com/search?newwindow=1&amp;ei=2MT0XrvGGM-vytMP1OyDgAY&amp;q=site%3Alinkedin.com+Spring+Wei-Hsuan+Su+Adult+programs+instructor" TargetMode="External"/><Relationship Id="rId610" Type="http://schemas.openxmlformats.org/officeDocument/2006/relationships/hyperlink" Target="https://www.google.com/search?newwindow=1&amp;ei=2MT0XrvGGM-vytMP1OyDgAY&amp;q=site%3Alinkedin.com+Mira+H.+Confernce+Programs+Summer+Student" TargetMode="External"/><Relationship Id="rId617" Type="http://schemas.openxmlformats.org/officeDocument/2006/relationships/hyperlink" Target="https://www.google.com/search?newwindow=1&amp;ei=2MT0XrvGGM-vytMP1OyDgAY&amp;q=site%3Alinkedin.com+Arthur+Barron+Director+Of+Student+Services" TargetMode="External"/><Relationship Id="rId616" Type="http://schemas.openxmlformats.org/officeDocument/2006/relationships/hyperlink" Target="https://www.google.com/search?newwindow=1&amp;ei=2MT0XrvGGM-vytMP1OyDgAY&amp;q=site%3Alinkedin.com+Melissa+Ventura+Vice+President+Human+Resources+-+Technology+Campus+Recruiting" TargetMode="External"/><Relationship Id="rId615" Type="http://schemas.openxmlformats.org/officeDocument/2006/relationships/hyperlink" Target="https://www.google.com/search?newwindow=1&amp;ei=2MT0XrvGGM-vytMP1OyDgAY&amp;q=site%3Alinkedin.com+Jennifer+Kaniewski+HR+&amp;+Campus+Recruiting+Manager" TargetMode="External"/><Relationship Id="rId614" Type="http://schemas.openxmlformats.org/officeDocument/2006/relationships/hyperlink" Target="https://www.google.com/search?newwindow=1&amp;ei=2MT0XrvGGM-vytMP1OyDgAY&amp;q=site%3Alinkedin.com+Yu+Wang+International+Student+Programs+Associate" TargetMode="External"/><Relationship Id="rId2770" Type="http://schemas.openxmlformats.org/officeDocument/2006/relationships/hyperlink" Target="https://www.google.com/search?newwindow=1&amp;ei=2MT0XrvGGM-vytMP1OyDgAY&amp;q=site%3Alinkedin.com+Jacqueline+Waugh+Campus+Recruiting+Manager+Citi" TargetMode="External"/><Relationship Id="rId1440" Type="http://schemas.openxmlformats.org/officeDocument/2006/relationships/hyperlink" Target="https://www.google.com/search?newwindow=1&amp;ei=2MT0XrvGGM-vytMP1OyDgAY&amp;q=site%3Alinkedin.com+Janet+Bachtel+Campus+Manager+-+University+Relations+&amp;+Recruiting" TargetMode="External"/><Relationship Id="rId2771" Type="http://schemas.openxmlformats.org/officeDocument/2006/relationships/hyperlink" Target="https://www.google.com/search?newwindow=1&amp;ei=2MT0XrvGGM-vytMP1OyDgAY&amp;q=site%3Alinkedin.com+Hillary+S.+University+Recruiter+(Software+Engineering)+Facebook" TargetMode="External"/><Relationship Id="rId1441" Type="http://schemas.openxmlformats.org/officeDocument/2006/relationships/hyperlink" Target="https://www.google.com/search?newwindow=1&amp;ei=2MT0XrvGGM-vytMP1OyDgAY&amp;q=site%3Alinkedin.com+Emily+Holden+Master+of+Science+Student" TargetMode="External"/><Relationship Id="rId2772" Type="http://schemas.openxmlformats.org/officeDocument/2006/relationships/hyperlink" Target="https://www.google.com/search?newwindow=1&amp;ei=2MT0XrvGGM-vytMP1OyDgAY&amp;q=site%3Alinkedin.com+Katherine+David+Campus+Recruiter+Citi" TargetMode="External"/><Relationship Id="rId1442" Type="http://schemas.openxmlformats.org/officeDocument/2006/relationships/hyperlink" Target="https://www.google.com/search?newwindow=1&amp;ei=2MT0XrvGGM-vytMP1OyDgAY&amp;q=site%3Alinkedin.com+Maria+Jose+Ledesma+Cardenas+International+Student+Recruiter" TargetMode="External"/><Relationship Id="rId2773" Type="http://schemas.openxmlformats.org/officeDocument/2006/relationships/hyperlink" Target="https://www.google.com/search?newwindow=1&amp;ei=2MT0XrvGGM-vytMP1OyDgAY&amp;q=site%3Alinkedin.com+Alfonso+Avila+University+Recruiter-Software+Engineering+West+Facebook" TargetMode="External"/><Relationship Id="rId1443" Type="http://schemas.openxmlformats.org/officeDocument/2006/relationships/hyperlink" Target="https://www.google.com/search?newwindow=1&amp;ei=2MT0XrvGGM-vytMP1OyDgAY&amp;q=site%3Alinkedin.com+Kent+Whitten+Co-op+Student,+Academic+Programs+Office" TargetMode="External"/><Relationship Id="rId2774" Type="http://schemas.openxmlformats.org/officeDocument/2006/relationships/hyperlink" Target="https://www.google.com/search?newwindow=1&amp;ei=2MT0XrvGGM-vytMP1OyDgAY&amp;q=site%3Alinkedin.com+Camille+Pasquier+Campus+Recruiter+Citi" TargetMode="External"/><Relationship Id="rId1477" Type="http://schemas.openxmlformats.org/officeDocument/2006/relationships/hyperlink" Target="https://www.google.com/search?newwindow=1&amp;ei=2MT0XrvGGM-vytMP1OyDgAY&amp;q=site%3Alinkedin.com+Sarah+Lisle+Lead,+Student+Programs+(International)" TargetMode="External"/><Relationship Id="rId4503" Type="http://schemas.openxmlformats.org/officeDocument/2006/relationships/hyperlink" Target="https://www.google.com/search?newwindow=1&amp;ei=2MT0XrvGGM-vytMP1OyDgAY&amp;q=site%3Alinkedin.com+Lauren+Williams+University+Recruiter+Stripe" TargetMode="External"/><Relationship Id="rId1478" Type="http://schemas.openxmlformats.org/officeDocument/2006/relationships/hyperlink" Target="https://www.google.com/search?newwindow=1&amp;ei=2MT0XrvGGM-vytMP1OyDgAY&amp;q=site%3Alinkedin.com+Celina+Gonzales+Senior+Graduate+Recruitment+and+University+Partnerships+Consultant" TargetMode="External"/><Relationship Id="rId4502" Type="http://schemas.openxmlformats.org/officeDocument/2006/relationships/hyperlink" Target="https://www.google.com/search?newwindow=1&amp;ei=2MT0XrvGGM-vytMP1OyDgAY&amp;q=site%3Alinkedin.com+Malissa+Moore+Campus+Recruiter+Steelcase" TargetMode="External"/><Relationship Id="rId1479" Type="http://schemas.openxmlformats.org/officeDocument/2006/relationships/hyperlink" Target="https://www.google.com/search?newwindow=1&amp;ei=2MT0XrvGGM-vytMP1OyDgAY&amp;q=site%3Alinkedin.com+Asmaa+Zahid+ANZ+Campus+Recruiting" TargetMode="External"/><Relationship Id="rId4505" Type="http://schemas.openxmlformats.org/officeDocument/2006/relationships/hyperlink" Target="https://www.google.com/search?newwindow=1&amp;ei=2MT0XrvGGM-vytMP1OyDgAY&amp;q=site%3Alinkedin.com+Eil%C3%ADs+Kennedy+Technical+Recruiter+(University)+-+North+America+Stripe" TargetMode="External"/><Relationship Id="rId4504" Type="http://schemas.openxmlformats.org/officeDocument/2006/relationships/hyperlink" Target="https://www.google.com/search?newwindow=1&amp;ei=2MT0XrvGGM-vytMP1OyDgAY&amp;q=site%3Alinkedin.com+Amy+Hassan+University+Recruiter+Stripe" TargetMode="External"/><Relationship Id="rId4507" Type="http://schemas.openxmlformats.org/officeDocument/2006/relationships/hyperlink" Target="https://www.google.com/search?newwindow=1&amp;ei=2MT0XrvGGM-vytMP1OyDgAY&amp;q=site%3Alinkedin.com+Danielle+Iacobelli+Senior+University+Recruiter+Stryker" TargetMode="External"/><Relationship Id="rId4506" Type="http://schemas.openxmlformats.org/officeDocument/2006/relationships/hyperlink" Target="https://www.google.com/search?newwindow=1&amp;ei=2MT0XrvGGM-vytMP1OyDgAY&amp;q=site%3Alinkedin.com+Amy+Meckes+University+Sales+Recruiter+Stryker" TargetMode="External"/><Relationship Id="rId4509" Type="http://schemas.openxmlformats.org/officeDocument/2006/relationships/hyperlink" Target="https://www.google.com/search?newwindow=1&amp;ei=2MT0XrvGGM-vytMP1OyDgAY&amp;q=site%3Alinkedin.com+Ashley+Bothman+Sr.+University+Recruiter+Stryker" TargetMode="External"/><Relationship Id="rId4508" Type="http://schemas.openxmlformats.org/officeDocument/2006/relationships/hyperlink" Target="https://www.google.com/search?newwindow=1&amp;ei=2MT0XrvGGM-vytMP1OyDgAY&amp;q=site%3Alinkedin.com+Chris+Cook+University+Recruiter+Stryker" TargetMode="External"/><Relationship Id="rId646" Type="http://schemas.openxmlformats.org/officeDocument/2006/relationships/hyperlink" Target="https://www.google.com/search?newwindow=1&amp;ei=2MT0XrvGGM-vytMP1OyDgAY&amp;q=site%3Alinkedin.com+Tatjana+Davidson+Campus+Recruiter+(EMEA)+&amp;+EMEA+Generational+/+UK+Multicultural+ERG+Champion" TargetMode="External"/><Relationship Id="rId645" Type="http://schemas.openxmlformats.org/officeDocument/2006/relationships/hyperlink" Target="https://www.google.com/search?newwindow=1&amp;ei=2MT0XrvGGM-vytMP1OyDgAY&amp;q=site%3Alinkedin.com+Taylor+Yungblut+Campus+Recruiting+Coordinator" TargetMode="External"/><Relationship Id="rId644" Type="http://schemas.openxmlformats.org/officeDocument/2006/relationships/hyperlink" Target="https://www.google.com/search?newwindow=1&amp;ei=2MT0XrvGGM-vytMP1OyDgAY&amp;q=site%3Alinkedin.com+Jared+M.+Campus+Recruiter" TargetMode="External"/><Relationship Id="rId643" Type="http://schemas.openxmlformats.org/officeDocument/2006/relationships/hyperlink" Target="https://www.google.com/search?newwindow=1&amp;ei=2MT0XrvGGM-vytMP1OyDgAY&amp;q=site%3Alinkedin.com+Cara+Pedersen,+CHRP+Associate+University+Recruitment+Specialist" TargetMode="External"/><Relationship Id="rId649" Type="http://schemas.openxmlformats.org/officeDocument/2006/relationships/hyperlink" Target="https://www.google.com/search?newwindow=1&amp;ei=2MT0XrvGGM-vytMP1OyDgAY&amp;q=site%3Alinkedin.com+Heidi+Plant+Freelance+graduate+recruiter" TargetMode="External"/><Relationship Id="rId648" Type="http://schemas.openxmlformats.org/officeDocument/2006/relationships/hyperlink" Target="https://www.google.com/search?newwindow=1&amp;ei=2MT0XrvGGM-vytMP1OyDgAY&amp;q=site%3Alinkedin.com+Justin+Fay+Graduate+Recruiter" TargetMode="External"/><Relationship Id="rId647" Type="http://schemas.openxmlformats.org/officeDocument/2006/relationships/hyperlink" Target="https://www.google.com/search?newwindow=1&amp;ei=2MT0XrvGGM-vytMP1OyDgAY&amp;q=site%3Alinkedin.com+Eugenia+Pascual+Gil+Tech+University+Graduate+Recruiter+(via+Randstad)" TargetMode="External"/><Relationship Id="rId1470" Type="http://schemas.openxmlformats.org/officeDocument/2006/relationships/hyperlink" Target="https://www.google.com/search?newwindow=1&amp;ei=2MT0XrvGGM-vytMP1OyDgAY&amp;q=site%3Alinkedin.com+Brianna+Durso+Campus+Recruiter+ANZ+&amp;+APAC+University+Relations+Specialist" TargetMode="External"/><Relationship Id="rId1471" Type="http://schemas.openxmlformats.org/officeDocument/2006/relationships/hyperlink" Target="https://www.google.com/search?newwindow=1&amp;ei=2MT0XrvGGM-vytMP1OyDgAY&amp;q=site%3Alinkedin.com+Catherine+Tsiakoulas+Graduate+Recruitment+and+University+Partnerships+Consultant" TargetMode="External"/><Relationship Id="rId1472" Type="http://schemas.openxmlformats.org/officeDocument/2006/relationships/hyperlink" Target="https://www.google.com/search?newwindow=1&amp;ei=2MT0XrvGGM-vytMP1OyDgAY&amp;q=site%3Alinkedin.com+Kym+Freedman+Campus+Recruiting" TargetMode="External"/><Relationship Id="rId642" Type="http://schemas.openxmlformats.org/officeDocument/2006/relationships/hyperlink" Target="https://www.google.com/search?newwindow=1&amp;ei=2MT0XrvGGM-vytMP1OyDgAY&amp;q=site%3Alinkedin.com+Betsy+Exley+Student+Recruiter+PSI" TargetMode="External"/><Relationship Id="rId1473" Type="http://schemas.openxmlformats.org/officeDocument/2006/relationships/hyperlink" Target="https://www.google.com/search?newwindow=1&amp;ei=2MT0XrvGGM-vytMP1OyDgAY&amp;q=site%3Alinkedin.com+Harriet+Hetherton+Campus+Recruiter+-+Senior+Consultant" TargetMode="External"/><Relationship Id="rId641" Type="http://schemas.openxmlformats.org/officeDocument/2006/relationships/hyperlink" Target="https://www.google.com/search?newwindow=1&amp;ei=2MT0XrvGGM-vytMP1OyDgAY&amp;q=site%3Alinkedin.com+Lucy+Reed+Student" TargetMode="External"/><Relationship Id="rId1474" Type="http://schemas.openxmlformats.org/officeDocument/2006/relationships/hyperlink" Target="https://www.google.com/search?newwindow=1&amp;ei=2MT0XrvGGM-vytMP1OyDgAY&amp;q=site%3Alinkedin.com+Gemma+Bowles+Graduate+Recruiter,+APAC" TargetMode="External"/><Relationship Id="rId640" Type="http://schemas.openxmlformats.org/officeDocument/2006/relationships/hyperlink" Target="https://www.google.com/search?newwindow=1&amp;ei=2MT0XrvGGM-vytMP1OyDgAY&amp;q=site%3Alinkedin.com+Chloe+Milton+Graduate+Recruiter" TargetMode="External"/><Relationship Id="rId1475" Type="http://schemas.openxmlformats.org/officeDocument/2006/relationships/hyperlink" Target="https://www.google.com/search?newwindow=1&amp;ei=2MT0XrvGGM-vytMP1OyDgAY&amp;q=site%3Alinkedin.com+Sairah+Hamid+Campus+Recruiter" TargetMode="External"/><Relationship Id="rId4501" Type="http://schemas.openxmlformats.org/officeDocument/2006/relationships/hyperlink" Target="https://www.google.com/search?newwindow=1&amp;ei=2MT0XrvGGM-vytMP1OyDgAY&amp;q=site%3Alinkedin.com+Amy+L.+Talent+Acquisition-+Lead+Campus+Recruiter+Steelcase" TargetMode="External"/><Relationship Id="rId1476" Type="http://schemas.openxmlformats.org/officeDocument/2006/relationships/hyperlink" Target="https://www.google.com/search?newwindow=1&amp;ei=2MT0XrvGGM-vytMP1OyDgAY&amp;q=site%3Alinkedin.com+Caitlin+Hargraves+Graduate+Recruitment+and+University+Partnerships" TargetMode="External"/><Relationship Id="rId4500" Type="http://schemas.openxmlformats.org/officeDocument/2006/relationships/hyperlink" Target="https://www.google.com/search?newwindow=1&amp;ei=2MT0XrvGGM-vytMP1OyDgAY&amp;q=site%3Alinkedin.com+Sydney+Gayton+Campus+Recruiter+&amp;+HR+Coordinator+Steelcase" TargetMode="External"/><Relationship Id="rId1466" Type="http://schemas.openxmlformats.org/officeDocument/2006/relationships/hyperlink" Target="https://www.google.com/search?newwindow=1&amp;ei=2MT0XrvGGM-vytMP1OyDgAY&amp;q=site%3Alinkedin.com+Haolun+Tang+HR+Campus+Recruiter" TargetMode="External"/><Relationship Id="rId2797" Type="http://schemas.openxmlformats.org/officeDocument/2006/relationships/hyperlink" Target="https://www.google.com/search?newwindow=1&amp;ei=2MT0XrvGGM-vytMP1OyDgAY&amp;q=site%3Alinkedin.com+Jessica+Cox+University+Recruiter,+Design+Facebook" TargetMode="External"/><Relationship Id="rId1467" Type="http://schemas.openxmlformats.org/officeDocument/2006/relationships/hyperlink" Target="https://www.google.com/search?newwindow=1&amp;ei=2MT0XrvGGM-vytMP1OyDgAY&amp;q=site%3Alinkedin.com+Joe+Harrison+Programs+Assistant" TargetMode="External"/><Relationship Id="rId2798" Type="http://schemas.openxmlformats.org/officeDocument/2006/relationships/hyperlink" Target="https://www.google.com/search?newwindow=1&amp;ei=2MT0XrvGGM-vytMP1OyDgAY&amp;q=site%3Alinkedin.com+Noopur+Chhabra+Technical+Recruiter,+University+Facebook" TargetMode="External"/><Relationship Id="rId1468" Type="http://schemas.openxmlformats.org/officeDocument/2006/relationships/hyperlink" Target="https://www.google.com/search?newwindow=1&amp;ei=2MT0XrvGGM-vytMP1OyDgAY&amp;q=site%3Alinkedin.com+Zuli+Posada+Senior+Campus+Recruiter" TargetMode="External"/><Relationship Id="rId2799" Type="http://schemas.openxmlformats.org/officeDocument/2006/relationships/hyperlink" Target="https://www.google.com/search?newwindow=1&amp;ei=2MT0XrvGGM-vytMP1OyDgAY&amp;q=site%3Alinkedin.com+Sydney+Horner+Senior+Recruiter,+University+Recruitment,+Full+Life-Cycle+Facebook" TargetMode="External"/><Relationship Id="rId1469" Type="http://schemas.openxmlformats.org/officeDocument/2006/relationships/hyperlink" Target="https://www.google.com/search?newwindow=1&amp;ei=2MT0XrvGGM-vytMP1OyDgAY&amp;q=site%3Alinkedin.com+Rachel+Ding+Principal+Campus+Recruiter" TargetMode="External"/><Relationship Id="rId635" Type="http://schemas.openxmlformats.org/officeDocument/2006/relationships/hyperlink" Target="https://www.google.com/search?newwindow=1&amp;ei=2MT0XrvGGM-vytMP1OyDgAY&amp;q=site%3Alinkedin.com+Adhiraj+Singh+Gill,+M.Mgt+International+Recruitment+Manager" TargetMode="External"/><Relationship Id="rId634" Type="http://schemas.openxmlformats.org/officeDocument/2006/relationships/hyperlink" Target="https://www.google.com/search?newwindow=1&amp;ei=2MT0XrvGGM-vytMP1OyDgAY&amp;q=site%3Alinkedin.com+Alex+Beeby+Graduate+Recruiter" TargetMode="External"/><Relationship Id="rId633" Type="http://schemas.openxmlformats.org/officeDocument/2006/relationships/hyperlink" Target="https://www.google.com/search?newwindow=1&amp;ei=2MT0XrvGGM-vytMP1OyDgAY&amp;q=site%3Alinkedin.com+Mahendra+Mistry+University/Academic+Partner+&amp;+Student+Recruiter+for+Higher+Education+Institutions+in+India+&amp;+Global" TargetMode="External"/><Relationship Id="rId632" Type="http://schemas.openxmlformats.org/officeDocument/2006/relationships/hyperlink" Target="https://www.google.com/search?newwindow=1&amp;ei=2MT0XrvGGM-vytMP1OyDgAY&amp;q=site%3Alinkedin.com+Frankie+Harding+Race,+Recruitment+and+Curriculm+Internship.+History+Dept.+Leeds+University" TargetMode="External"/><Relationship Id="rId639" Type="http://schemas.openxmlformats.org/officeDocument/2006/relationships/hyperlink" Target="https://www.google.com/search?newwindow=1&amp;ei=2MT0XrvGGM-vytMP1OyDgAY&amp;q=site%3Alinkedin.com+Declan+Fairey+Student+Recruitment+Data+Analysis+Trainee+at+Edge+Hill+University" TargetMode="External"/><Relationship Id="rId638" Type="http://schemas.openxmlformats.org/officeDocument/2006/relationships/hyperlink" Target="https://www.google.com/search?newwindow=1&amp;ei=2MT0XrvGGM-vytMP1OyDgAY&amp;q=site%3Alinkedin.com+Dr+Danny+Ha,+Sr.+Advisor+online+for+Startup,+Risk+Mgt,+DX+strategy,+Information+Security+Execution+Student+of+Mr.+Lee+%E6%9D%8E%E5%81%89%E5%AE%8F%E8%80%81%E5%B8%AB,+%E6%AF%9B%E7%AD%86%E8%A1%8C%E8%8D%89%E6%9B%B8,+Chinese+calligraphy" TargetMode="External"/><Relationship Id="rId637" Type="http://schemas.openxmlformats.org/officeDocument/2006/relationships/hyperlink" Target="https://www.google.com/search?newwindow=1&amp;ei=2MT0XrvGGM-vytMP1OyDgAY&amp;q=site%3Alinkedin.com+Ailsa+Mackay+Student+Recruitment+Assistant" TargetMode="External"/><Relationship Id="rId636" Type="http://schemas.openxmlformats.org/officeDocument/2006/relationships/hyperlink" Target="https://www.google.com/search?newwindow=1&amp;ei=2MT0XrvGGM-vytMP1OyDgAY&amp;q=site%3Alinkedin.com+Charlene+D+Janes+Manager,+International+Student+Services+&amp;+Programs" TargetMode="External"/><Relationship Id="rId2790" Type="http://schemas.openxmlformats.org/officeDocument/2006/relationships/hyperlink" Target="https://www.google.com/search?newwindow=1&amp;ei=2MT0XrvGGM-vytMP1OyDgAY&amp;q=site%3Alinkedin.com+Lai+Anderson+University+Recruiter,+Software+Engineering+Facebook" TargetMode="External"/><Relationship Id="rId1460" Type="http://schemas.openxmlformats.org/officeDocument/2006/relationships/hyperlink" Target="https://www.google.com/search?newwindow=1&amp;ei=2MT0XrvGGM-vytMP1OyDgAY&amp;q=site%3Alinkedin.com+Daorbhla+Smyth+Programmatic+Hiring+Recruiter" TargetMode="External"/><Relationship Id="rId2791" Type="http://schemas.openxmlformats.org/officeDocument/2006/relationships/hyperlink" Target="https://www.google.com/search?newwindow=1&amp;ei=2MT0XrvGGM-vytMP1OyDgAY&amp;q=site%3Alinkedin.com+Jarrod+F.+University+Recruiter+Facebook" TargetMode="External"/><Relationship Id="rId1461" Type="http://schemas.openxmlformats.org/officeDocument/2006/relationships/hyperlink" Target="https://www.google.com/search?newwindow=1&amp;ei=2MT0XrvGGM-vytMP1OyDgAY&amp;q=site%3Alinkedin.com+Lorna+Todd+University+Recruiter" TargetMode="External"/><Relationship Id="rId2792" Type="http://schemas.openxmlformats.org/officeDocument/2006/relationships/hyperlink" Target="https://www.google.com/search?newwindow=1&amp;ei=2MT0XrvGGM-vytMP1OyDgAY&amp;q=site%3Alinkedin.com+Molly+Seale+University+Recruiter+Facebook" TargetMode="External"/><Relationship Id="rId631" Type="http://schemas.openxmlformats.org/officeDocument/2006/relationships/hyperlink" Target="https://www.google.com/search?newwindow=1&amp;ei=2MT0XrvGGM-vytMP1OyDgAY&amp;q=site%3Alinkedin.com+Melik+Cinar+Graduate+Recruiter" TargetMode="External"/><Relationship Id="rId1462" Type="http://schemas.openxmlformats.org/officeDocument/2006/relationships/hyperlink" Target="https://www.google.com/search?newwindow=1&amp;ei=2MT0XrvGGM-vytMP1OyDgAY&amp;q=site%3Alinkedin.com+Anthea+Ip+Lead,+Campus+Recruiting+Data+Pod,+Senior+Technical+Recruiter" TargetMode="External"/><Relationship Id="rId2793" Type="http://schemas.openxmlformats.org/officeDocument/2006/relationships/hyperlink" Target="https://www.google.com/search?newwindow=1&amp;ei=2MT0XrvGGM-vytMP1OyDgAY&amp;q=site%3Alinkedin.com+Erica+Strunkey+Assistant+Vice+President+-+Senior+Campus+Recruiter+Citi" TargetMode="External"/><Relationship Id="rId630" Type="http://schemas.openxmlformats.org/officeDocument/2006/relationships/hyperlink" Target="https://www.google.com/search?newwindow=1&amp;ei=2MT0XrvGGM-vytMP1OyDgAY&amp;q=site%3Alinkedin.com+Ruby+Law+University+Recruiter" TargetMode="External"/><Relationship Id="rId1463" Type="http://schemas.openxmlformats.org/officeDocument/2006/relationships/hyperlink" Target="https://www.google.com/search?newwindow=1&amp;ei=2MT0XrvGGM-vytMP1OyDgAY&amp;q=site%3Alinkedin.com+Nathalie+Zamora+(She/Her)+Senior+Events+Program+Manager+%7C+Global+Programs+&amp;+Events+%7C+Campus+Recruiting+%7C+Talent+Acquisition" TargetMode="External"/><Relationship Id="rId2794" Type="http://schemas.openxmlformats.org/officeDocument/2006/relationships/hyperlink" Target="https://www.google.com/search?newwindow=1&amp;ei=2MT0XrvGGM-vytMP1OyDgAY&amp;q=site%3Alinkedin.com+Alyssa+Salindong+University+Recruiter+Facebook" TargetMode="External"/><Relationship Id="rId1464" Type="http://schemas.openxmlformats.org/officeDocument/2006/relationships/hyperlink" Target="https://www.google.com/search?newwindow=1&amp;ei=2MT0XrvGGM-vytMP1OyDgAY&amp;q=site%3Alinkedin.com+Michelle+Tri+College+Recruiter" TargetMode="External"/><Relationship Id="rId2795" Type="http://schemas.openxmlformats.org/officeDocument/2006/relationships/hyperlink" Target="https://www.google.com/search?newwindow=1&amp;ei=2MT0XrvGGM-vytMP1OyDgAY&amp;q=site%3Alinkedin.com+Devika+Seeraj+Assistant+Vice+President+-+Campus+Recruiter+Citi" TargetMode="External"/><Relationship Id="rId1465" Type="http://schemas.openxmlformats.org/officeDocument/2006/relationships/hyperlink" Target="https://www.google.com/search?newwindow=1&amp;ei=2MT0XrvGGM-vytMP1OyDgAY&amp;q=site%3Alinkedin.com+Dharm+Joshi+Director+Masters+Programs" TargetMode="External"/><Relationship Id="rId2796" Type="http://schemas.openxmlformats.org/officeDocument/2006/relationships/hyperlink" Target="https://www.google.com/search?newwindow=1&amp;ei=2MT0XrvGGM-vytMP1OyDgAY&amp;q=site%3Alinkedin.com+Kelly+Simon+University+Design+Recruiter+Facebook" TargetMode="External"/><Relationship Id="rId1411" Type="http://schemas.openxmlformats.org/officeDocument/2006/relationships/hyperlink" Target="https://www.google.com/search?newwindow=1&amp;ei=2MT0XrvGGM-vytMP1OyDgAY&amp;q=site%3Alinkedin.com+Cassie+Crealock+Senior+Campus+Recruiting+Specialist" TargetMode="External"/><Relationship Id="rId2742" Type="http://schemas.openxmlformats.org/officeDocument/2006/relationships/hyperlink" Target="https://www.google.com/search?newwindow=1&amp;ei=2MT0XrvGGM-vytMP1OyDgAY&amp;q=site%3Alinkedin.com+Sarai+Dennison+University+Recruiter+Facebook" TargetMode="External"/><Relationship Id="rId1412" Type="http://schemas.openxmlformats.org/officeDocument/2006/relationships/hyperlink" Target="https://www.google.com/search?newwindow=1&amp;ei=2MT0XrvGGM-vytMP1OyDgAY&amp;q=site%3Alinkedin.com+Danielle+DeShields+Lead+Recruiter+for+Undergraduate+Sales+Internships+&amp;+Diversity+NonTech+Recruiter" TargetMode="External"/><Relationship Id="rId2743" Type="http://schemas.openxmlformats.org/officeDocument/2006/relationships/hyperlink" Target="https://www.google.com/search?newwindow=1&amp;ei=2MT0XrvGGM-vytMP1OyDgAY&amp;q=site%3Alinkedin.com+Kayla+Stueland-Imo+Technical+University+Recruiter+Cisco+Meraki" TargetMode="External"/><Relationship Id="rId1413" Type="http://schemas.openxmlformats.org/officeDocument/2006/relationships/hyperlink" Target="https://www.google.com/search?newwindow=1&amp;ei=2MT0XrvGGM-vytMP1OyDgAY&amp;q=site%3Alinkedin.com+Jordan+Gobble+Student+Programs,+Recruiter+II" TargetMode="External"/><Relationship Id="rId2744" Type="http://schemas.openxmlformats.org/officeDocument/2006/relationships/hyperlink" Target="https://www.google.com/search?newwindow=1&amp;ei=2MT0XrvGGM-vytMP1OyDgAY&amp;q=site%3Alinkedin.com+Candice+Simpson+Infrastructure+University+Recruiter+Facebook" TargetMode="External"/><Relationship Id="rId1414" Type="http://schemas.openxmlformats.org/officeDocument/2006/relationships/hyperlink" Target="https://www.google.com/search?newwindow=1&amp;ei=2MT0XrvGGM-vytMP1OyDgAY&amp;q=site%3Alinkedin.com+Lydia+Gustafson,+MBA+Membership+Recruitment+Director+-+Board+Member" TargetMode="External"/><Relationship Id="rId2745" Type="http://schemas.openxmlformats.org/officeDocument/2006/relationships/hyperlink" Target="https://www.google.com/search?newwindow=1&amp;ei=2MT0XrvGGM-vytMP1OyDgAY&amp;q=site%3Alinkedin.com+Erica+Cox+College+Recruiter+Cisco+Systems" TargetMode="External"/><Relationship Id="rId1415" Type="http://schemas.openxmlformats.org/officeDocument/2006/relationships/hyperlink" Target="https://www.google.com/search?newwindow=1&amp;ei=2MT0XrvGGM-vytMP1OyDgAY&amp;q=site%3Alinkedin.com+Eddie+Verhulst+Recruiter+-+Student+Programs" TargetMode="External"/><Relationship Id="rId2746" Type="http://schemas.openxmlformats.org/officeDocument/2006/relationships/hyperlink" Target="https://www.google.com/search?newwindow=1&amp;ei=2MT0XrvGGM-vytMP1OyDgAY&amp;q=site%3Alinkedin.com+Chris+Bakes+University+Recruiter,+Artificial+Intelligence+Facebook" TargetMode="External"/><Relationship Id="rId1416" Type="http://schemas.openxmlformats.org/officeDocument/2006/relationships/hyperlink" Target="https://www.google.com/search?newwindow=1&amp;ei=2MT0XrvGGM-vytMP1OyDgAY&amp;q=site%3Alinkedin.com+Alicia+Massey+Campus+Recruiting+Coordinator" TargetMode="External"/><Relationship Id="rId2747" Type="http://schemas.openxmlformats.org/officeDocument/2006/relationships/hyperlink" Target="https://www.google.com/search?newwindow=1&amp;ei=2MT0XrvGGM-vytMP1OyDgAY&amp;q=site%3Alinkedin.com+Dawn+Harvey+Cisco+Systems++Recruiter-University+Recruiting+Cisco+Systems" TargetMode="External"/><Relationship Id="rId1417" Type="http://schemas.openxmlformats.org/officeDocument/2006/relationships/hyperlink" Target="https://www.google.com/search?newwindow=1&amp;ei=2MT0XrvGGM-vytMP1OyDgAY&amp;q=site%3Alinkedin.com+Bri+O'Connell+Sr.+Program+Manager+Global+Demand+Collection+&amp;+Forecasting+-+Student+Programs" TargetMode="External"/><Relationship Id="rId2748" Type="http://schemas.openxmlformats.org/officeDocument/2006/relationships/hyperlink" Target="https://www.google.com/search?newwindow=1&amp;ei=2MT0XrvGGM-vytMP1OyDgAY&amp;q=site%3Alinkedin.com+Donnell+Jackson+University+Recruiter+Facebook" TargetMode="External"/><Relationship Id="rId1418" Type="http://schemas.openxmlformats.org/officeDocument/2006/relationships/hyperlink" Target="https://www.google.com/search?newwindow=1&amp;ei=2MT0XrvGGM-vytMP1OyDgAY&amp;q=site%3Alinkedin.com+Ali+Garcia+Recruiter,+Student+Programs" TargetMode="External"/><Relationship Id="rId2749" Type="http://schemas.openxmlformats.org/officeDocument/2006/relationships/hyperlink" Target="https://www.google.com/search?newwindow=1&amp;ei=2MT0XrvGGM-vytMP1OyDgAY&amp;q=site%3Alinkedin.com+Jenna+Satterfield+University+Programs+Manager+Facebook" TargetMode="External"/><Relationship Id="rId1419" Type="http://schemas.openxmlformats.org/officeDocument/2006/relationships/hyperlink" Target="https://www.google.com/search?newwindow=1&amp;ei=2MT0XrvGGM-vytMP1OyDgAY&amp;q=site%3Alinkedin.com+Lindsay+Lavin,+PHR+(she/her)+Sr.+Associate,+Campus+Recruiting" TargetMode="External"/><Relationship Id="rId2740" Type="http://schemas.openxmlformats.org/officeDocument/2006/relationships/hyperlink" Target="https://www.google.com/search?newwindow=1&amp;ei=2MT0XrvGGM-vytMP1OyDgAY&amp;q=site%3Alinkedin.com+Benjamin+Pastor+University+Recruiter+-+Software+Engineering:+MIT+&amp;+Harvard+Facebook" TargetMode="External"/><Relationship Id="rId1410" Type="http://schemas.openxmlformats.org/officeDocument/2006/relationships/hyperlink" Target="https://www.google.com/search?newwindow=1&amp;ei=2MT0XrvGGM-vytMP1OyDgAY&amp;q=site%3Alinkedin.com+Jake+Johnson+Client+Lead+Recruiter" TargetMode="External"/><Relationship Id="rId2741" Type="http://schemas.openxmlformats.org/officeDocument/2006/relationships/hyperlink" Target="https://www.google.com/search?newwindow=1&amp;ei=2MT0XrvGGM-vytMP1OyDgAY&amp;q=site%3Alinkedin.com+Dawn+McLaughlin+Senior+Technical+Recruiter+Cisco" TargetMode="External"/><Relationship Id="rId1400" Type="http://schemas.openxmlformats.org/officeDocument/2006/relationships/hyperlink" Target="https://www.google.com/search?newwindow=1&amp;ei=2MT0XrvGGM-vytMP1OyDgAY&amp;q=site%3Alinkedin.com+Lidia+Hernandez+Recruiter+%7C+Student+Programs" TargetMode="External"/><Relationship Id="rId2731" Type="http://schemas.openxmlformats.org/officeDocument/2006/relationships/hyperlink" Target="https://www.google.com/search?newwindow=1&amp;ei=2MT0XrvGGM-vytMP1OyDgAY&amp;q=site%3Alinkedin.com+Lauren+Araujo+University+Recruiter+Cisco" TargetMode="External"/><Relationship Id="rId1401" Type="http://schemas.openxmlformats.org/officeDocument/2006/relationships/hyperlink" Target="https://www.google.com/search?newwindow=1&amp;ei=2MT0XrvGGM-vytMP1OyDgAY&amp;q=site%3Alinkedin.com+Alexandria+Balivet-Brown+Graduate+Research+Recruiter,+Student+Programs" TargetMode="External"/><Relationship Id="rId2732" Type="http://schemas.openxmlformats.org/officeDocument/2006/relationships/hyperlink" Target="https://www.google.com/search?newwindow=1&amp;ei=2MT0XrvGGM-vytMP1OyDgAY&amp;q=site%3Alinkedin.com+Sean+Woolford+Supervising+Associate,+Financial+Services+Organization,+Campus+Recruiting+EY" TargetMode="External"/><Relationship Id="rId1402" Type="http://schemas.openxmlformats.org/officeDocument/2006/relationships/hyperlink" Target="https://www.google.com/search?newwindow=1&amp;ei=2MT0XrvGGM-vytMP1OyDgAY&amp;q=site%3Alinkedin.com+Erin+Waldschmidt+Recruiter,+Student+Programs" TargetMode="External"/><Relationship Id="rId2733" Type="http://schemas.openxmlformats.org/officeDocument/2006/relationships/hyperlink" Target="https://www.google.com/search?newwindow=1&amp;ei=2MT0XrvGGM-vytMP1OyDgAY&amp;q=site%3Alinkedin.com+Brianna+(Bri)+Birkeness+University+Recruiter+-+Engineering+Cisco" TargetMode="External"/><Relationship Id="rId1403" Type="http://schemas.openxmlformats.org/officeDocument/2006/relationships/hyperlink" Target="https://www.google.com/search?newwindow=1&amp;ei=2MT0XrvGGM-vytMP1OyDgAY&amp;q=site%3Alinkedin.com+Kristina+Young+Recruiter,+Student+Programs" TargetMode="External"/><Relationship Id="rId2734" Type="http://schemas.openxmlformats.org/officeDocument/2006/relationships/hyperlink" Target="https://www.google.com/search?newwindow=1&amp;ei=2MT0XrvGGM-vytMP1OyDgAY&amp;q=site%3Alinkedin.com+Jacqueline+Jaszczak+Campus+Recruiter,+Talent+Attraction+and+Acquisition+EY" TargetMode="External"/><Relationship Id="rId1404" Type="http://schemas.openxmlformats.org/officeDocument/2006/relationships/hyperlink" Target="https://www.google.com/search?newwindow=1&amp;ei=2MT0XrvGGM-vytMP1OyDgAY&amp;q=site%3Alinkedin.com+Sarah+Chun-Hoon+Recruiter,+Student+Programs" TargetMode="External"/><Relationship Id="rId2735" Type="http://schemas.openxmlformats.org/officeDocument/2006/relationships/hyperlink" Target="https://www.google.com/search?newwindow=1&amp;ei=2MT0XrvGGM-vytMP1OyDgAY&amp;q=site%3Alinkedin.com+Sarah+Tegen+Supervising+Associate,+Campus+Recruiting+EY" TargetMode="External"/><Relationship Id="rId1405" Type="http://schemas.openxmlformats.org/officeDocument/2006/relationships/hyperlink" Target="https://www.google.com/search?newwindow=1&amp;ei=2MT0XrvGGM-vytMP1OyDgAY&amp;q=site%3Alinkedin.com+Erin+Creighton+Technical+University+Recruiter" TargetMode="External"/><Relationship Id="rId2736" Type="http://schemas.openxmlformats.org/officeDocument/2006/relationships/hyperlink" Target="https://www.google.com/search?newwindow=1&amp;ei=2MT0XrvGGM-vytMP1OyDgAY&amp;q=site%3Alinkedin.com+Nathaniel+L.+University+Recruiter+Cisco" TargetMode="External"/><Relationship Id="rId1406" Type="http://schemas.openxmlformats.org/officeDocument/2006/relationships/hyperlink" Target="https://www.google.com/search?newwindow=1&amp;ei=2MT0XrvGGM-vytMP1OyDgAY&amp;q=site%3Alinkedin.com+Channa+Palmer+Program+Manager,+Student+Programs" TargetMode="External"/><Relationship Id="rId2737" Type="http://schemas.openxmlformats.org/officeDocument/2006/relationships/hyperlink" Target="https://www.google.com/search?newwindow=1&amp;ei=2MT0XrvGGM-vytMP1OyDgAY&amp;q=site%3Alinkedin.com+Ali+Reiff+University+Recruiter+Facebook" TargetMode="External"/><Relationship Id="rId1407" Type="http://schemas.openxmlformats.org/officeDocument/2006/relationships/hyperlink" Target="https://www.google.com/search?newwindow=1&amp;ei=2MT0XrvGGM-vytMP1OyDgAY&amp;q=site%3Alinkedin.com+Megan+Taylor,+SHRM-CP+Recruiter,+Student+Programs" TargetMode="External"/><Relationship Id="rId2738" Type="http://schemas.openxmlformats.org/officeDocument/2006/relationships/hyperlink" Target="https://www.google.com/search?newwindow=1&amp;ei=2MT0XrvGGM-vytMP1OyDgAY&amp;q=site%3Alinkedin.com+Stephanie+Phillips+University+Recruiter+Cisco" TargetMode="External"/><Relationship Id="rId1408" Type="http://schemas.openxmlformats.org/officeDocument/2006/relationships/hyperlink" Target="https://www.google.com/search?newwindow=1&amp;ei=2MT0XrvGGM-vytMP1OyDgAY&amp;q=site%3Alinkedin.com+Amy+Siebenthaler+Technical+PhD+Recruiter+%7C+University+Recruitment" TargetMode="External"/><Relationship Id="rId2739" Type="http://schemas.openxmlformats.org/officeDocument/2006/relationships/hyperlink" Target="https://www.google.com/search?newwindow=1&amp;ei=2MT0XrvGGM-vytMP1OyDgAY&amp;q=site%3Alinkedin.com+Crystal+Wood+University+Recruiter+Facebook" TargetMode="External"/><Relationship Id="rId1409" Type="http://schemas.openxmlformats.org/officeDocument/2006/relationships/hyperlink" Target="https://www.google.com/search?newwindow=1&amp;ei=2MT0XrvGGM-vytMP1OyDgAY&amp;q=site%3Alinkedin.com+Sophie+DiDonato+Recruiter+II+-+Student+Programs" TargetMode="External"/><Relationship Id="rId2730" Type="http://schemas.openxmlformats.org/officeDocument/2006/relationships/hyperlink" Target="https://www.google.com/search?newwindow=1&amp;ei=2MT0XrvGGM-vytMP1OyDgAY&amp;q=site%3Alinkedin.com+Kelly+Kasenetz+Campus+Recruiting+EY" TargetMode="External"/><Relationship Id="rId1433" Type="http://schemas.openxmlformats.org/officeDocument/2006/relationships/hyperlink" Target="https://www.google.com/search?newwindow=1&amp;ei=2MT0XrvGGM-vytMP1OyDgAY&amp;q=site%3Alinkedin.com+Palmer+Mayer+Associate+Director,+Campus+Recruiting" TargetMode="External"/><Relationship Id="rId2764" Type="http://schemas.openxmlformats.org/officeDocument/2006/relationships/hyperlink" Target="https://www.google.com/search?newwindow=1&amp;ei=2MT0XrvGGM-vytMP1OyDgAY&amp;q=site%3Alinkedin.com+Colleen+Mullin+Campus+Recruiter+Citadel+LLC" TargetMode="External"/><Relationship Id="rId1434" Type="http://schemas.openxmlformats.org/officeDocument/2006/relationships/hyperlink" Target="https://www.google.com/search?newwindow=1&amp;ei=2MT0XrvGGM-vytMP1OyDgAY&amp;q=site%3Alinkedin.com+Melissa+Varkoly+Senior+Manager+-+Audit+Talent+Business+Advisor" TargetMode="External"/><Relationship Id="rId2765" Type="http://schemas.openxmlformats.org/officeDocument/2006/relationships/hyperlink" Target="https://www.google.com/search?newwindow=1&amp;ei=2MT0XrvGGM-vytMP1OyDgAY&amp;q=site%3Alinkedin.com+Emily+Nagele+University+Recruiter+-+SWE+Facebook" TargetMode="External"/><Relationship Id="rId1435" Type="http://schemas.openxmlformats.org/officeDocument/2006/relationships/hyperlink" Target="https://www.google.com/search?newwindow=1&amp;ei=2MT0XrvGGM-vytMP1OyDgAY&amp;q=site%3Alinkedin.com+Emily+Boston+Recruitment+Manager" TargetMode="External"/><Relationship Id="rId2766" Type="http://schemas.openxmlformats.org/officeDocument/2006/relationships/hyperlink" Target="https://www.google.com/search?newwindow=1&amp;ei=2MT0XrvGGM-vytMP1OyDgAY&amp;q=site%3Alinkedin.com+Gwendolyn+Hickey+Campus+Recruiter+-+Quantitative+Research+Citadel+LLC" TargetMode="External"/><Relationship Id="rId1436" Type="http://schemas.openxmlformats.org/officeDocument/2006/relationships/hyperlink" Target="https://www.google.com/search?newwindow=1&amp;ei=2MT0XrvGGM-vytMP1OyDgAY&amp;q=site%3Alinkedin.com+Leah+Williams+Student+Programs+Support+Officer" TargetMode="External"/><Relationship Id="rId2767" Type="http://schemas.openxmlformats.org/officeDocument/2006/relationships/hyperlink" Target="https://www.google.com/search?newwindow=1&amp;ei=2MT0XrvGGM-vytMP1OyDgAY&amp;q=site%3Alinkedin.com+Danielle+Buchenot+University+Recruiter+Facebook" TargetMode="External"/><Relationship Id="rId1437" Type="http://schemas.openxmlformats.org/officeDocument/2006/relationships/hyperlink" Target="https://www.google.com/search?newwindow=1&amp;ei=2MT0XrvGGM-vytMP1OyDgAY&amp;q=site%3Alinkedin.com+Katherine+Dong+Campus+Recruiting+Intern" TargetMode="External"/><Relationship Id="rId2768" Type="http://schemas.openxmlformats.org/officeDocument/2006/relationships/hyperlink" Target="https://www.google.com/search?newwindow=1&amp;ei=2MT0XrvGGM-vytMP1OyDgAY&amp;q=site%3Alinkedin.com+Margaret+Norman+Campus+Recruiter+Citi" TargetMode="External"/><Relationship Id="rId1438" Type="http://schemas.openxmlformats.org/officeDocument/2006/relationships/hyperlink" Target="https://www.google.com/search?newwindow=1&amp;ei=2MT0XrvGGM-vytMP1OyDgAY&amp;q=site%3Alinkedin.com+Deborah+Leach+Director,+Medical+Student+Programs" TargetMode="External"/><Relationship Id="rId2769" Type="http://schemas.openxmlformats.org/officeDocument/2006/relationships/hyperlink" Target="https://www.google.com/search?newwindow=1&amp;ei=2MT0XrvGGM-vytMP1OyDgAY&amp;q=site%3Alinkedin.com+Elizabeth+W.+Campus+Recruiter+Facebook" TargetMode="External"/><Relationship Id="rId1439" Type="http://schemas.openxmlformats.org/officeDocument/2006/relationships/hyperlink" Target="https://www.google.com/search?newwindow=1&amp;ei=2MT0XrvGGM-vytMP1OyDgAY&amp;q=site%3Alinkedin.com+Anja+Roberts+Student+Equity+Programs+Officer/+Career+Development+Practitioner" TargetMode="External"/><Relationship Id="rId609" Type="http://schemas.openxmlformats.org/officeDocument/2006/relationships/hyperlink" Target="https://www.google.com/search?newwindow=1&amp;ei=2MT0XrvGGM-vytMP1OyDgAY&amp;q=site%3Alinkedin.com+Eden+Hennessey+Manager,+Student+Centre+for+Equity,+Diversity+and+Inclusion" TargetMode="External"/><Relationship Id="rId608" Type="http://schemas.openxmlformats.org/officeDocument/2006/relationships/hyperlink" Target="https://www.google.com/search?newwindow=1&amp;ei=2MT0XrvGGM-vytMP1OyDgAY&amp;q=site%3Alinkedin.com+Janina+Robinson+Degree+Programs+Consultant" TargetMode="External"/><Relationship Id="rId607" Type="http://schemas.openxmlformats.org/officeDocument/2006/relationships/hyperlink" Target="https://www.google.com/search?newwindow=1&amp;ei=2MT0XrvGGM-vytMP1OyDgAY&amp;q=site%3Alinkedin.com+Kerri+Kudsia+College+Recruiter" TargetMode="External"/><Relationship Id="rId602" Type="http://schemas.openxmlformats.org/officeDocument/2006/relationships/hyperlink" Target="https://www.google.com/search?newwindow=1&amp;ei=2MT0XrvGGM-vytMP1OyDgAY&amp;q=site%3Alinkedin.com+Catherine+Perkins+Senior+Welfare+Officer,+Durham+University" TargetMode="External"/><Relationship Id="rId601" Type="http://schemas.openxmlformats.org/officeDocument/2006/relationships/hyperlink" Target="https://www.google.com/search?newwindow=1&amp;ei=2MT0XrvGGM-vytMP1OyDgAY&amp;q=site%3Alinkedin.com+Sam+Nicholls+History+Department+Student+Council+Co-President" TargetMode="External"/><Relationship Id="rId600" Type="http://schemas.openxmlformats.org/officeDocument/2006/relationships/hyperlink" Target="https://www.google.com/search?newwindow=1&amp;ei=2MT0XrvGGM-vytMP1OyDgAY&amp;q=site%3Alinkedin.com+Hanna+Bathurst+Coordinator:+Student+Programs+&amp;+Volunteers" TargetMode="External"/><Relationship Id="rId606" Type="http://schemas.openxmlformats.org/officeDocument/2006/relationships/hyperlink" Target="https://www.google.com/search?newwindow=1&amp;ei=2MT0XrvGGM-vytMP1OyDgAY&amp;q=site%3Alinkedin.com+Elizabeth+Arcila+International+Student+Recruiter" TargetMode="External"/><Relationship Id="rId605" Type="http://schemas.openxmlformats.org/officeDocument/2006/relationships/hyperlink" Target="https://www.google.com/search?newwindow=1&amp;ei=2MT0XrvGGM-vytMP1OyDgAY&amp;q=site%3Alinkedin.com+Paul+Shevsky+Campus+Recruiter" TargetMode="External"/><Relationship Id="rId604" Type="http://schemas.openxmlformats.org/officeDocument/2006/relationships/hyperlink" Target="https://www.google.com/search?newwindow=1&amp;ei=2MT0XrvGGM-vytMP1OyDgAY&amp;q=site%3Alinkedin.com+Leanna+Glen+Mental+Health+Student+Nurse" TargetMode="External"/><Relationship Id="rId603" Type="http://schemas.openxmlformats.org/officeDocument/2006/relationships/hyperlink" Target="https://www.google.com/search?newwindow=1&amp;ei=2MT0XrvGGM-vytMP1OyDgAY&amp;q=site%3Alinkedin.com+Yasir+Mahdi+Graduate+Recruiter" TargetMode="External"/><Relationship Id="rId2760" Type="http://schemas.openxmlformats.org/officeDocument/2006/relationships/hyperlink" Target="https://www.google.com/search?newwindow=1&amp;ei=2MT0XrvGGM-vytMP1OyDgAY&amp;q=site%3Alinkedin.com+Avianna+Goldman+Campus+Recruiter+Citadel" TargetMode="External"/><Relationship Id="rId1430" Type="http://schemas.openxmlformats.org/officeDocument/2006/relationships/hyperlink" Target="https://www.google.com/search?newwindow=1&amp;ei=2MT0XrvGGM-vytMP1OyDgAY&amp;q=site%3Alinkedin.com+Sydney+Leischner+Manager,+Campus+Recruiting" TargetMode="External"/><Relationship Id="rId2761" Type="http://schemas.openxmlformats.org/officeDocument/2006/relationships/hyperlink" Target="https://www.google.com/search?newwindow=1&amp;ei=2MT0XrvGGM-vytMP1OyDgAY&amp;q=site%3Alinkedin.com+Jessica+Y.+University+Recruiter+Facebook" TargetMode="External"/><Relationship Id="rId1431" Type="http://schemas.openxmlformats.org/officeDocument/2006/relationships/hyperlink" Target="https://www.google.com/search?newwindow=1&amp;ei=2MT0XrvGGM-vytMP1OyDgAY&amp;q=site%3Alinkedin.com+Navdeep+Bahia+Graduate+Recruiter" TargetMode="External"/><Relationship Id="rId2762" Type="http://schemas.openxmlformats.org/officeDocument/2006/relationships/hyperlink" Target="https://www.google.com/search?newwindow=1&amp;ei=2MT0XrvGGM-vytMP1OyDgAY&amp;q=site%3Alinkedin.com+Brett+Parker+Campus+Recruiter+Citadel" TargetMode="External"/><Relationship Id="rId1432" Type="http://schemas.openxmlformats.org/officeDocument/2006/relationships/hyperlink" Target="https://www.google.com/search?newwindow=1&amp;ei=2MT0XrvGGM-vytMP1OyDgAY&amp;q=site%3Alinkedin.com+Marisa+DiRocco+Manager,+Campus+Recruiting" TargetMode="External"/><Relationship Id="rId2763" Type="http://schemas.openxmlformats.org/officeDocument/2006/relationships/hyperlink" Target="https://www.google.com/search?newwindow=1&amp;ei=2MT0XrvGGM-vytMP1OyDgAY&amp;q=site%3Alinkedin.com+Rima+Akras+University+Recruiter+Facebook" TargetMode="External"/><Relationship Id="rId1422" Type="http://schemas.openxmlformats.org/officeDocument/2006/relationships/hyperlink" Target="https://www.google.com/search?newwindow=1&amp;ei=2MT0XrvGGM-vytMP1OyDgAY&amp;q=site%3Alinkedin.com+Stephanie+Park+Senior+Science+Recruiter+-+Strategic+Recruiting+Team" TargetMode="External"/><Relationship Id="rId2753" Type="http://schemas.openxmlformats.org/officeDocument/2006/relationships/hyperlink" Target="https://www.google.com/search?newwindow=1&amp;ei=2MT0XrvGGM-vytMP1OyDgAY&amp;q=site%3Alinkedin.com+Allie+McMahon+Campus+Recruiting+Manager+Citadel" TargetMode="External"/><Relationship Id="rId1423" Type="http://schemas.openxmlformats.org/officeDocument/2006/relationships/hyperlink" Target="https://www.google.com/search?newwindow=1&amp;ei=2MT0XrvGGM-vytMP1OyDgAY&amp;q=site%3Alinkedin.com+Lauren+S.+Recruiter+II,+Student+Programs" TargetMode="External"/><Relationship Id="rId2754" Type="http://schemas.openxmlformats.org/officeDocument/2006/relationships/hyperlink" Target="https://www.google.com/search?newwindow=1&amp;ei=2MT0XrvGGM-vytMP1OyDgAY&amp;q=site%3Alinkedin.com+Sarah+Bochner+University+Recruiter,+Design+Facebook" TargetMode="External"/><Relationship Id="rId1424" Type="http://schemas.openxmlformats.org/officeDocument/2006/relationships/hyperlink" Target="https://www.google.com/search?newwindow=1&amp;ei=2MT0XrvGGM-vytMP1OyDgAY&amp;q=site%3Alinkedin.com+Carly+Porter+Student+Programs,+Campus+Recruiter" TargetMode="External"/><Relationship Id="rId2755" Type="http://schemas.openxmlformats.org/officeDocument/2006/relationships/hyperlink" Target="https://www.google.com/search?newwindow=1&amp;ei=2MT0XrvGGM-vytMP1OyDgAY&amp;q=site%3Alinkedin.com+Grace+Martin+Campus+Recruiter+-+Quantitative+Research+Citadel" TargetMode="External"/><Relationship Id="rId1425" Type="http://schemas.openxmlformats.org/officeDocument/2006/relationships/hyperlink" Target="https://www.google.com/search?newwindow=1&amp;ei=2MT0XrvGGM-vytMP1OyDgAY&amp;q=site%3Alinkedin.com+Hannah+Smith+University+Recruiter+-+Northern+England,+the+Midlands+&amp;+Ireland" TargetMode="External"/><Relationship Id="rId2756" Type="http://schemas.openxmlformats.org/officeDocument/2006/relationships/hyperlink" Target="https://www.google.com/search?newwindow=1&amp;ei=2MT0XrvGGM-vytMP1OyDgAY&amp;q=site%3Alinkedin.com+Meagan+Harn+University+Recruiter,+Product+Analytics+Facebook" TargetMode="External"/><Relationship Id="rId1426" Type="http://schemas.openxmlformats.org/officeDocument/2006/relationships/hyperlink" Target="https://www.google.com/search?newwindow=1&amp;ei=2MT0XrvGGM-vytMP1OyDgAY&amp;q=site%3Alinkedin.com+Albert+Suh+University+and+College+Students+Recruiter" TargetMode="External"/><Relationship Id="rId2757" Type="http://schemas.openxmlformats.org/officeDocument/2006/relationships/hyperlink" Target="https://www.google.com/search?newwindow=1&amp;ei=2MT0XrvGGM-vytMP1OyDgAY&amp;q=site%3Alinkedin.com+Cecil+Johnson+University+Recruiter,+Diversity+Facebook" TargetMode="External"/><Relationship Id="rId1427" Type="http://schemas.openxmlformats.org/officeDocument/2006/relationships/hyperlink" Target="https://www.google.com/search?newwindow=1&amp;ei=2MT0XrvGGM-vytMP1OyDgAY&amp;q=site%3Alinkedin.com+Holly+Rezaie+Student+Recruitment+Officer+(Events)+at+The+University+of+Sheffield" TargetMode="External"/><Relationship Id="rId2758" Type="http://schemas.openxmlformats.org/officeDocument/2006/relationships/hyperlink" Target="https://www.google.com/search?newwindow=1&amp;ei=2MT0XrvGGM-vytMP1OyDgAY&amp;q=site%3Alinkedin.com+Cody+Patrina+Campus+Recruiter+Citadel" TargetMode="External"/><Relationship Id="rId1428" Type="http://schemas.openxmlformats.org/officeDocument/2006/relationships/hyperlink" Target="https://www.google.com/search?newwindow=1&amp;ei=2MT0XrvGGM-vytMP1OyDgAY&amp;q=site%3Alinkedin.com+Millie+Hodges+Graduate+Recruiter" TargetMode="External"/><Relationship Id="rId2759" Type="http://schemas.openxmlformats.org/officeDocument/2006/relationships/hyperlink" Target="https://www.google.com/search?newwindow=1&amp;ei=2MT0XrvGGM-vytMP1OyDgAY&amp;q=site%3Alinkedin.com+Jessica+Kornstein+University+Recruiter+Facebook" TargetMode="External"/><Relationship Id="rId1429" Type="http://schemas.openxmlformats.org/officeDocument/2006/relationships/hyperlink" Target="https://www.google.com/search?newwindow=1&amp;ei=2MT0XrvGGM-vytMP1OyDgAY&amp;q=site%3Alinkedin.com+Gavin+Palmer+Student+Engagement+Programs+Coordinator" TargetMode="External"/><Relationship Id="rId2750" Type="http://schemas.openxmlformats.org/officeDocument/2006/relationships/hyperlink" Target="https://www.google.com/search?newwindow=1&amp;ei=2MT0XrvGGM-vytMP1OyDgAY&amp;q=site%3Alinkedin.com+Sarah+Johnson+University+Recruiter+at+Facebook+Facebook" TargetMode="External"/><Relationship Id="rId1420" Type="http://schemas.openxmlformats.org/officeDocument/2006/relationships/hyperlink" Target="https://www.google.com/search?newwindow=1&amp;ei=2MT0XrvGGM-vytMP1OyDgAY&amp;q=site%3Alinkedin.com+Megan+Campbell+Recruiter,+Student+Programs" TargetMode="External"/><Relationship Id="rId2751" Type="http://schemas.openxmlformats.org/officeDocument/2006/relationships/hyperlink" Target="https://www.google.com/search?newwindow=1&amp;ei=2MT0XrvGGM-vytMP1OyDgAY&amp;q=site%3Alinkedin.com+Andrew+L.+Saenz+Campus+Recruiter+Citadel" TargetMode="External"/><Relationship Id="rId1421" Type="http://schemas.openxmlformats.org/officeDocument/2006/relationships/hyperlink" Target="https://www.google.com/search?newwindow=1&amp;ei=2MT0XrvGGM-vytMP1OyDgAY&amp;q=site%3Alinkedin.com+Sharon+Lim+Recruiter,+Student+Programs" TargetMode="External"/><Relationship Id="rId2752" Type="http://schemas.openxmlformats.org/officeDocument/2006/relationships/hyperlink" Target="https://www.google.com/search?newwindow=1&amp;ei=2MT0XrvGGM-vytMP1OyDgAY&amp;q=site%3Alinkedin.com+Adam+D.+Harrison,+MHRLR+University+Recruiter+Facebook" TargetMode="External"/><Relationship Id="rId3238" Type="http://schemas.openxmlformats.org/officeDocument/2006/relationships/hyperlink" Target="https://www.google.com/search?newwindow=1&amp;ei=2MT0XrvGGM-vytMP1OyDgAY&amp;q=site%3Alinkedin.com+Chris+D.+Vice+President,+NAMR+Campus+Recruiting+Ops+Manager+JPMorgan+Chase+&amp;+Co." TargetMode="External"/><Relationship Id="rId4569" Type="http://schemas.openxmlformats.org/officeDocument/2006/relationships/hyperlink" Target="https://www.google.com/search?newwindow=1&amp;ei=2MT0XrvGGM-vytMP1OyDgAY&amp;q=site%3Alinkedin.com+Lindsay+Joyner+University+Relations+Recruiting+Manager+at+Truist+Truist" TargetMode="External"/><Relationship Id="rId3237" Type="http://schemas.openxmlformats.org/officeDocument/2006/relationships/hyperlink" Target="https://www.google.com/search?newwindow=1&amp;ei=2MT0XrvGGM-vytMP1OyDgAY&amp;q=site%3Alinkedin.com+Joseph+Wehle+Campus+Recruiter+EY" TargetMode="External"/><Relationship Id="rId4568" Type="http://schemas.openxmlformats.org/officeDocument/2006/relationships/hyperlink" Target="https://www.google.com/search?newwindow=1&amp;ei=2MT0XrvGGM-vytMP1OyDgAY&amp;q=site%3Alinkedin.com+Sheria+Richardson+(She/Her)+University+Relations+Recruiter+Truist" TargetMode="External"/><Relationship Id="rId3239" Type="http://schemas.openxmlformats.org/officeDocument/2006/relationships/hyperlink" Target="https://www.google.com/search?newwindow=1&amp;ei=2MT0XrvGGM-vytMP1OyDgAY&amp;q=site%3Alinkedin.com+Sara+Jellinek+Associate,+MBA+Campus+Recruiter+JPMorgan+Chase+&amp;+Co." TargetMode="External"/><Relationship Id="rId3230" Type="http://schemas.openxmlformats.org/officeDocument/2006/relationships/hyperlink" Target="https://www.google.com/search?newwindow=1&amp;ei=2MT0XrvGGM-vytMP1OyDgAY&amp;q=site%3Alinkedin.com+Abigail+Morgan+Campus+Recruiter+-+Talent+Attraction+&amp;+Acquisition+-+Senior+Associate+EY" TargetMode="External"/><Relationship Id="rId4561" Type="http://schemas.openxmlformats.org/officeDocument/2006/relationships/hyperlink" Target="https://www.google.com/search?newwindow=1&amp;ei=2MT0XrvGGM-vytMP1OyDgAY&amp;q=site%3Alinkedin.com+Charisse+Trotman+Campus+Recruiter+Technology+The+Walt+Disney+Company" TargetMode="External"/><Relationship Id="rId4560" Type="http://schemas.openxmlformats.org/officeDocument/2006/relationships/hyperlink" Target="https://www.google.com/search?newwindow=1&amp;ei=2MT0XrvGGM-vytMP1OyDgAY&amp;q=site%3Alinkedin.com+Brittany+Barnes+Manager/Campus+Recruiter+The+Buckle" TargetMode="External"/><Relationship Id="rId3232" Type="http://schemas.openxmlformats.org/officeDocument/2006/relationships/hyperlink" Target="https://www.google.com/search?newwindow=1&amp;ei=2MT0XrvGGM-vytMP1OyDgAY&amp;q=site%3Alinkedin.com+Alexis+Polanco,+MS+Global+Markets+Lead+Recruiter,+Vice+President+JPMorgan+Chase+&amp;+Co." TargetMode="External"/><Relationship Id="rId4563" Type="http://schemas.openxmlformats.org/officeDocument/2006/relationships/hyperlink" Target="https://www.google.com/search?newwindow=1&amp;ei=2MT0XrvGGM-vytMP1OyDgAY&amp;q=site%3Alinkedin.com+Stephanie+Magana+Tech+Campus+Recruiter+The+Walt+Disney+Company" TargetMode="External"/><Relationship Id="rId3231" Type="http://schemas.openxmlformats.org/officeDocument/2006/relationships/hyperlink" Target="https://www.google.com/search?newwindow=1&amp;ei=2MT0XrvGGM-vytMP1OyDgAY&amp;q=site%3Alinkedin.com+Tori+Bezoza+Lead+Tech+Campus+Recruiter+&amp;+Campus+Process+Management+Advisor,++Software+Engineer+Program+JPMorgan+Chase+&amp;+Co." TargetMode="External"/><Relationship Id="rId4562" Type="http://schemas.openxmlformats.org/officeDocument/2006/relationships/hyperlink" Target="https://www.google.com/search?newwindow=1&amp;ei=2MT0XrvGGM-vytMP1OyDgAY&amp;q=site%3Alinkedin.com+Stephanie+Lyon+Interview+Partner/Recruiter+-+College+Programs+and+Interships+The+Walt+Disney+Company" TargetMode="External"/><Relationship Id="rId3234" Type="http://schemas.openxmlformats.org/officeDocument/2006/relationships/hyperlink" Target="https://www.google.com/search?newwindow=1&amp;ei=2MT0XrvGGM-vytMP1OyDgAY&amp;q=site%3Alinkedin.com+Chelsea+Vena+MBA+Campus+Recruiter+-+Senior+Associate+EY" TargetMode="External"/><Relationship Id="rId4565" Type="http://schemas.openxmlformats.org/officeDocument/2006/relationships/hyperlink" Target="https://www.google.com/search?newwindow=1&amp;ei=2MT0XrvGGM-vytMP1OyDgAY&amp;q=site%3Alinkedin.com+Yoshi+Takamura+Campus+Recruitment+Recruiter+-+Technology+The+Walt+Disney+Company" TargetMode="External"/><Relationship Id="rId3233" Type="http://schemas.openxmlformats.org/officeDocument/2006/relationships/hyperlink" Target="https://www.google.com/search?newwindow=1&amp;ei=2MT0XrvGGM-vytMP1OyDgAY&amp;q=site%3Alinkedin.com+Talehia+Traverso+Campus+Recruiter+for+Global+Finance+&amp;+Business+Management+Internship+Program+JPMorgan+Chase+&amp;+Co." TargetMode="External"/><Relationship Id="rId4564" Type="http://schemas.openxmlformats.org/officeDocument/2006/relationships/hyperlink" Target="https://www.google.com/search?newwindow=1&amp;ei=2MT0XrvGGM-vytMP1OyDgAY&amp;q=site%3Alinkedin.com+Tricia+Cooke+Campus+Recruiter+The+Walt+Disney+Company" TargetMode="External"/><Relationship Id="rId3236" Type="http://schemas.openxmlformats.org/officeDocument/2006/relationships/hyperlink" Target="https://www.google.com/search?newwindow=1&amp;ei=2MT0XrvGGM-vytMP1OyDgAY&amp;q=site%3Alinkedin.com+Luisa+Alona+Campus+Recruiter+JPMorgan+Chase+&amp;+Co." TargetMode="External"/><Relationship Id="rId4567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3235" Type="http://schemas.openxmlformats.org/officeDocument/2006/relationships/hyperlink" Target="https://www.google.com/search?newwindow=1&amp;ei=2MT0XrvGGM-vytMP1OyDgAY&amp;q=site%3Alinkedin.com+Charlie+Matthews+Campus+Recruiter+JPMorgan+Chase+&amp;+Co." TargetMode="External"/><Relationship Id="rId4566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3227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4558" Type="http://schemas.openxmlformats.org/officeDocument/2006/relationships/hyperlink" Target="https://www.google.com/search?newwindow=1&amp;ei=2MT0XrvGGM-vytMP1OyDgAY&amp;q=site%3Alinkedin.com+Abby+Anderson+Store+Manager/Campus+Recruiter+The+Buckle" TargetMode="External"/><Relationship Id="rId3226" Type="http://schemas.openxmlformats.org/officeDocument/2006/relationships/hyperlink" Target="https://www.google.com/search?newwindow=1&amp;ei=2MT0XrvGGM-vytMP1OyDgAY&amp;q=site%3Alinkedin.com+Sarah+Abt+Campus+Recruiting+Manager+JPMorgan+Chase+&amp;+Co." TargetMode="External"/><Relationship Id="rId4557" Type="http://schemas.openxmlformats.org/officeDocument/2006/relationships/hyperlink" Target="https://www.google.com/search?newwindow=1&amp;ei=2MT0XrvGGM-vytMP1OyDgAY&amp;q=site%3Alinkedin.com+Kalie+Dyer+Area+Manager+and+Campus+Recruiter+The+Buckle" TargetMode="External"/><Relationship Id="rId3229" Type="http://schemas.openxmlformats.org/officeDocument/2006/relationships/hyperlink" Target="https://www.google.com/search?newwindow=1&amp;ei=2MT0XrvGGM-vytMP1OyDgAY&amp;q=site%3Alinkedin.com+Vincent+Plantamura+Senior+Campus+Recruiter,+Software+Engineer+Program+JPMorgan+Chase+&amp;+Co." TargetMode="External"/><Relationship Id="rId3228" Type="http://schemas.openxmlformats.org/officeDocument/2006/relationships/hyperlink" Target="https://www.google.com/search?newwindow=1&amp;ei=2MT0XrvGGM-vytMP1OyDgAY&amp;q=site%3Alinkedin.com+Ashley+Lee+Campus+Recruiter+EY" TargetMode="External"/><Relationship Id="rId4559" Type="http://schemas.openxmlformats.org/officeDocument/2006/relationships/hyperlink" Target="https://www.google.com/search?newwindow=1&amp;ei=2MT0XrvGGM-vytMP1OyDgAY&amp;q=site%3Alinkedin.com+Brooke+Fair+Manager+and+Campus+Recruiter+The+Buckle" TargetMode="External"/><Relationship Id="rId699" Type="http://schemas.openxmlformats.org/officeDocument/2006/relationships/hyperlink" Target="https://www.google.com/search?newwindow=1&amp;ei=2MT0XrvGGM-vytMP1OyDgAY&amp;q=site%3Alinkedin.com+Abigail+Bush+University+Recruiter" TargetMode="External"/><Relationship Id="rId698" Type="http://schemas.openxmlformats.org/officeDocument/2006/relationships/hyperlink" Target="https://www.google.com/search?newwindow=1&amp;ei=2MT0XrvGGM-vytMP1OyDgAY&amp;q=site%3Alinkedin.com+Yasmeen+Khalaf+Senior+Graduate+Recruiter" TargetMode="External"/><Relationship Id="rId693" Type="http://schemas.openxmlformats.org/officeDocument/2006/relationships/hyperlink" Target="https://www.google.com/search?newwindow=1&amp;ei=2MT0XrvGGM-vytMP1OyDgAY&amp;q=site%3Alinkedin.com+Kerry+Mamongo+Assoc.CIPD+EMEA+Graduate+Recruiter" TargetMode="External"/><Relationship Id="rId4550" Type="http://schemas.openxmlformats.org/officeDocument/2006/relationships/hyperlink" Target="https://www.google.com/search?newwindow=1&amp;ei=2MT0XrvGGM-vytMP1OyDgAY&amp;q=site%3Alinkedin.com+Teron+Foster+University+Relations+Recruiter+TEKsystems" TargetMode="External"/><Relationship Id="rId692" Type="http://schemas.openxmlformats.org/officeDocument/2006/relationships/hyperlink" Target="https://www.google.com/search?newwindow=1&amp;ei=2MT0XrvGGM-vytMP1OyDgAY&amp;q=site%3Alinkedin.com+Sabrina+Lagana'+Recruiting+Partner+EMEA,+Student+Programs" TargetMode="External"/><Relationship Id="rId691" Type="http://schemas.openxmlformats.org/officeDocument/2006/relationships/hyperlink" Target="https://www.google.com/search?newwindow=1&amp;ei=2MT0XrvGGM-vytMP1OyDgAY&amp;q=site%3Alinkedin.com+Sophie+Wallis+EMEA+Campus+Recruiter+&amp;+Programme+Manager" TargetMode="External"/><Relationship Id="rId3221" Type="http://schemas.openxmlformats.org/officeDocument/2006/relationships/hyperlink" Target="https://www.google.com/search?newwindow=1&amp;ei=2MT0XrvGGM-vytMP1OyDgAY&amp;q=site%3Alinkedin.com+Jessica+Westlund+Senior+Associate-+Campus+Recruiter-+Software+Engineer+Program+JPMorgan+Chase+&amp;+Co." TargetMode="External"/><Relationship Id="rId4552" Type="http://schemas.openxmlformats.org/officeDocument/2006/relationships/hyperlink" Target="https://www.google.com/search?newwindow=1&amp;ei=2MT0XrvGGM-vytMP1OyDgAY&amp;q=site%3Alinkedin.com+Taylor+Petersen+University+Relations+Recruiter+TEKsystems" TargetMode="External"/><Relationship Id="rId690" Type="http://schemas.openxmlformats.org/officeDocument/2006/relationships/hyperlink" Target="https://www.google.com/search?newwindow=1&amp;ei=2MT0XrvGGM-vytMP1OyDgAY&amp;q=site%3Alinkedin.com+Charlotte+Sangster+University+Recruitment+Manager" TargetMode="External"/><Relationship Id="rId3220" Type="http://schemas.openxmlformats.org/officeDocument/2006/relationships/hyperlink" Target="https://www.google.com/search?newwindow=1&amp;ei=2MT0XrvGGM-vytMP1OyDgAY&amp;q=site%3Alinkedin.com+Ami+Takahashi+Campus+Recruiter+EY" TargetMode="External"/><Relationship Id="rId4551" Type="http://schemas.openxmlformats.org/officeDocument/2006/relationships/hyperlink" Target="https://www.google.com/search?newwindow=1&amp;ei=2MT0XrvGGM-vytMP1OyDgAY&amp;q=site%3Alinkedin.com+Maggie+Loya+University+Relations+Recruiter+TEKsystems" TargetMode="External"/><Relationship Id="rId697" Type="http://schemas.openxmlformats.org/officeDocument/2006/relationships/hyperlink" Target="https://www.google.com/search?newwindow=1&amp;ei=2MT0XrvGGM-vytMP1OyDgAY&amp;q=site%3Alinkedin.com+Jo+Terryn+Recruiter,+EMEA+%7C+Student+Programs" TargetMode="External"/><Relationship Id="rId3223" Type="http://schemas.openxmlformats.org/officeDocument/2006/relationships/hyperlink" Target="https://www.google.com/search?newwindow=1&amp;ei=2MT0XrvGGM-vytMP1OyDgAY&amp;q=site%3Alinkedin.com+Ritu+M.+Campus+Recruiter+EY" TargetMode="External"/><Relationship Id="rId4554" Type="http://schemas.openxmlformats.org/officeDocument/2006/relationships/hyperlink" Target="https://www.google.com/search?newwindow=1&amp;ei=2MT0XrvGGM-vytMP1OyDgAY&amp;q=site%3Alinkedin.com+Don+Dapkus+Applications+Engineering+Manager+Texas+Instruments" TargetMode="External"/><Relationship Id="rId696" Type="http://schemas.openxmlformats.org/officeDocument/2006/relationships/hyperlink" Target="https://www.google.com/search?newwindow=1&amp;ei=2MT0XrvGGM-vytMP1OyDgAY&amp;q=site%3Alinkedin.com+Kam+Vien+Recruiter,+Campus+&amp;+Lateral" TargetMode="External"/><Relationship Id="rId3222" Type="http://schemas.openxmlformats.org/officeDocument/2006/relationships/hyperlink" Target="https://www.google.com/search?newwindow=1&amp;ei=2MT0XrvGGM-vytMP1OyDgAY&amp;q=site%3Alinkedin.com+Sarah+Ocasio+Vice+President,+Campus+Recruiting+JPMorgan+Chase+&amp;+Co." TargetMode="External"/><Relationship Id="rId4553" Type="http://schemas.openxmlformats.org/officeDocument/2006/relationships/hyperlink" Target="https://www.google.com/search?newwindow=1&amp;ei=2MT0XrvGGM-vytMP1OyDgAY&amp;q=site%3Alinkedin.com+Kaitlin+Garcia+University+Relations+Recruiter+TEKsystems" TargetMode="External"/><Relationship Id="rId695" Type="http://schemas.openxmlformats.org/officeDocument/2006/relationships/hyperlink" Target="https://www.google.com/search?newwindow=1&amp;ei=2MT0XrvGGM-vytMP1OyDgAY&amp;q=site%3Alinkedin.com+Amanda+Griffith+EMEA+Campus+Recruiter+-+Corporate+Finance,+Corporate+Bank++&amp;+Campus+Engagement+(Contract)" TargetMode="External"/><Relationship Id="rId3225" Type="http://schemas.openxmlformats.org/officeDocument/2006/relationships/hyperlink" Target="https://www.google.com/search?newwindow=1&amp;ei=2MT0XrvGGM-vytMP1OyDgAY&amp;q=site%3Alinkedin.com+Bryan+Doyle+Campus+Recruiter+EY" TargetMode="External"/><Relationship Id="rId4556" Type="http://schemas.openxmlformats.org/officeDocument/2006/relationships/hyperlink" Target="https://www.google.com/search?newwindow=1&amp;ei=2MT0XrvGGM-vytMP1OyDgAY&amp;q=site%3Alinkedin.com+Terry+La+Fleur+University+of+Michigan+Recruiter+Texas+Instruments" TargetMode="External"/><Relationship Id="rId694" Type="http://schemas.openxmlformats.org/officeDocument/2006/relationships/hyperlink" Target="https://www.google.com/search?newwindow=1&amp;ei=2MT0XrvGGM-vytMP1OyDgAY&amp;q=site%3Alinkedin.com+Claire+Eason+Senior+University+Recruiter" TargetMode="External"/><Relationship Id="rId3224" Type="http://schemas.openxmlformats.org/officeDocument/2006/relationships/hyperlink" Target="https://www.google.com/search?newwindow=1&amp;ei=2MT0XrvGGM-vytMP1OyDgAY&amp;q=site%3Alinkedin.com+Dana+Deats+Campus+Recruiter+JPMorgan+Chase+&amp;+Co." TargetMode="External"/><Relationship Id="rId4555" Type="http://schemas.openxmlformats.org/officeDocument/2006/relationships/hyperlink" Target="https://www.google.com/search?newwindow=1&amp;ei=2MT0XrvGGM-vytMP1OyDgAY&amp;q=site%3Alinkedin.com+Brian+Park+Strategic+Account+Manager+Texas+Instruments" TargetMode="External"/><Relationship Id="rId3259" Type="http://schemas.openxmlformats.org/officeDocument/2006/relationships/hyperlink" Target="https://www.google.com/search?newwindow=1&amp;ei=2MT0XrvGGM-vytMP1OyDgAY&amp;q=site%3Alinkedin.com+Jennifer+Garrard+Campus+Recruiter+EY" TargetMode="External"/><Relationship Id="rId3250" Type="http://schemas.openxmlformats.org/officeDocument/2006/relationships/hyperlink" Target="https://www.google.com/search?newwindow=1&amp;ei=2MT0XrvGGM-vytMP1OyDgAY&amp;q=site%3Alinkedin.com+Jordan+Green,+MBA+Campus+Recruiter+KeyBank" TargetMode="External"/><Relationship Id="rId4581" Type="http://schemas.openxmlformats.org/officeDocument/2006/relationships/hyperlink" Target="https://www.google.com/search?newwindow=1&amp;ei=2MT0XrvGGM-vytMP1OyDgAY&amp;q=site%3Alinkedin.com+Hailey+Reed+Senior+Project+Manager+-+Campus+Recruiting+-+Non+Profit+Partners+U.S.+Bank" TargetMode="External"/><Relationship Id="rId4580" Type="http://schemas.openxmlformats.org/officeDocument/2006/relationships/hyperlink" Target="https://www.google.com/search?newwindow=1&amp;ei=2MT0XrvGGM-vytMP1OyDgAY&amp;q=site%3Alinkedin.com+Evan+Wise+Project+Manager+&amp;+Campus+Recruiter+U.S.+Bank" TargetMode="External"/><Relationship Id="rId3252" Type="http://schemas.openxmlformats.org/officeDocument/2006/relationships/hyperlink" Target="https://www.google.com/search?newwindow=1&amp;ei=2MT0XrvGGM-vytMP1OyDgAY&amp;q=site%3Alinkedin.com+Andrea+Cole+Campus+Recruiter+KeyBank" TargetMode="External"/><Relationship Id="rId4583" Type="http://schemas.openxmlformats.org/officeDocument/2006/relationships/hyperlink" Target="https://www.google.com/search?newwindow=1&amp;ei=2MT0XrvGGM-vytMP1OyDgAY&amp;q=site%3Alinkedin.com+Rachel+Schroeder+Campus+Recruiter/Internship+Program+Specialist+U.S.+Bank" TargetMode="External"/><Relationship Id="rId3251" Type="http://schemas.openxmlformats.org/officeDocument/2006/relationships/hyperlink" Target="https://www.google.com/search?newwindow=1&amp;ei=2MT0XrvGGM-vytMP1OyDgAY&amp;q=site%3Alinkedin.com+MaryBeth+Allen+Campus+Recruiter+EY" TargetMode="External"/><Relationship Id="rId4582" Type="http://schemas.openxmlformats.org/officeDocument/2006/relationships/hyperlink" Target="https://www.google.com/search?newwindow=1&amp;ei=2MT0XrvGGM-vytMP1OyDgAY&amp;q=site%3Alinkedin.com+Jessica+Chisholm+Sr.+Campus+Recruiter/Internship+Program+Manager+U.S.+Bank" TargetMode="External"/><Relationship Id="rId3254" Type="http://schemas.openxmlformats.org/officeDocument/2006/relationships/hyperlink" Target="https://www.google.com/search?newwindow=1&amp;ei=2MT0XrvGGM-vytMP1OyDgAY&amp;q=site%3Alinkedin.com+Kelsey+Knutty,+MBA+Campus+Recruiter+KeyBank" TargetMode="External"/><Relationship Id="rId4585" Type="http://schemas.openxmlformats.org/officeDocument/2006/relationships/hyperlink" Target="https://www.google.com/search?newwindow=1&amp;ei=2MT0XrvGGM-vytMP1OyDgAY&amp;q=site%3Alinkedin.com+Tiffany+Tan+Senior+University+Recruiter+Uber" TargetMode="External"/><Relationship Id="rId3253" Type="http://schemas.openxmlformats.org/officeDocument/2006/relationships/hyperlink" Target="https://www.google.com/search?newwindow=1&amp;ei=2MT0XrvGGM-vytMP1OyDgAY&amp;q=site%3Alinkedin.com+Jordan+Gaunt+Campus+Recruiter+Senior+Associate+EY" TargetMode="External"/><Relationship Id="rId4584" Type="http://schemas.openxmlformats.org/officeDocument/2006/relationships/hyperlink" Target="https://www.google.com/search?newwindow=1&amp;ei=2MT0XrvGGM-vytMP1OyDgAY&amp;q=site%3Alinkedin.com+Julie+Filonuk+Sr.+University+Recruiter+Uber" TargetMode="External"/><Relationship Id="rId3256" Type="http://schemas.openxmlformats.org/officeDocument/2006/relationships/hyperlink" Target="https://www.google.com/search?newwindow=1&amp;ei=2MT0XrvGGM-vytMP1OyDgAY&amp;q=site%3Alinkedin.com+Sheila+Byrne+Campus+Recruiter+KeyBank" TargetMode="External"/><Relationship Id="rId4587" Type="http://schemas.openxmlformats.org/officeDocument/2006/relationships/hyperlink" Target="https://www.google.com/search?newwindow=1&amp;ei=2MT0XrvGGM-vytMP1OyDgAY&amp;q=site%3Alinkedin.com+Emily+Sawyer+Senior+University+PhD+Recruiter+Uber" TargetMode="External"/><Relationship Id="rId3255" Type="http://schemas.openxmlformats.org/officeDocument/2006/relationships/hyperlink" Target="https://www.google.com/search?newwindow=1&amp;ei=2MT0XrvGGM-vytMP1OyDgAY&amp;q=site%3Alinkedin.com+Max+Hyland+Campus+Recruiter+EY" TargetMode="External"/><Relationship Id="rId4586" Type="http://schemas.openxmlformats.org/officeDocument/2006/relationships/hyperlink" Target="https://www.google.com/search?newwindow=1&amp;ei=2MT0XrvGGM-vytMP1OyDgAY&amp;q=site%3Alinkedin.com+Heather+Henderson+Sr.+University+Recruiter+Uber" TargetMode="External"/><Relationship Id="rId3258" Type="http://schemas.openxmlformats.org/officeDocument/2006/relationships/hyperlink" Target="https://www.google.com/search?newwindow=1&amp;ei=2MT0XrvGGM-vytMP1OyDgAY&amp;q=site%3Alinkedin.com+Brooke+Weber+Campus+Recruiter+KeyBank" TargetMode="External"/><Relationship Id="rId4589" Type="http://schemas.openxmlformats.org/officeDocument/2006/relationships/hyperlink" Target="https://www.google.com/search?newwindow=1&amp;ei=2MT0XrvGGM-vytMP1OyDgAY&amp;q=site%3Alinkedin.com+Meryssa+Riley+Uber+University+Recruiter+Uber" TargetMode="External"/><Relationship Id="rId3257" Type="http://schemas.openxmlformats.org/officeDocument/2006/relationships/hyperlink" Target="https://www.google.com/search?newwindow=1&amp;ei=2MT0XrvGGM-vytMP1OyDgAY&amp;q=site%3Alinkedin.com+Kendra+Stanfill+Graduate+Campus+Recruiter+EY" TargetMode="External"/><Relationship Id="rId4588" Type="http://schemas.openxmlformats.org/officeDocument/2006/relationships/hyperlink" Target="https://www.google.com/search?newwindow=1&amp;ei=2MT0XrvGGM-vytMP1OyDgAY&amp;q=site%3Alinkedin.com+Ali+R.+Senior+Technical+University+Recruiter+Uber" TargetMode="External"/><Relationship Id="rId3249" Type="http://schemas.openxmlformats.org/officeDocument/2006/relationships/hyperlink" Target="https://www.google.com/search?newwindow=1&amp;ei=2MT0XrvGGM-vytMP1OyDgAY&amp;q=site%3Alinkedin.com+Megan+Lallo+Campus+&amp;+Diversity+Recruiting+Manager+KeyBank" TargetMode="External"/><Relationship Id="rId3248" Type="http://schemas.openxmlformats.org/officeDocument/2006/relationships/hyperlink" Target="https://www.google.com/search?newwindow=1&amp;ei=2MT0XrvGGM-vytMP1OyDgAY&amp;q=site%3Alinkedin.com+Michael+Pedroza+Senior+Associate+-+Campus+Recruiter+-+HR+and+Internal+Audit+JPMorgan+Chase+&amp;+Co." TargetMode="External"/><Relationship Id="rId4579" Type="http://schemas.openxmlformats.org/officeDocument/2006/relationships/hyperlink" Target="https://www.google.com/search?newwindow=1&amp;ei=2MT0XrvGGM-vytMP1OyDgAY&amp;q=site%3Alinkedin.com+Vicky+Hidalgo+Senior+Manager+-+Campus+Recruiting+U.S.+Bank" TargetMode="External"/><Relationship Id="rId4570" Type="http://schemas.openxmlformats.org/officeDocument/2006/relationships/hyperlink" Target="https://www.google.com/search?newwindow=1&amp;ei=2MT0XrvGGM-vytMP1OyDgAY&amp;q=site%3Alinkedin.com+Letitia+Bethel-White+University+Relations+Recruiter+Truist" TargetMode="External"/><Relationship Id="rId3241" Type="http://schemas.openxmlformats.org/officeDocument/2006/relationships/hyperlink" Target="https://www.google.com/search?newwindow=1&amp;ei=2MT0XrvGGM-vytMP1OyDgAY&amp;q=site%3Alinkedin.com+Haley+Blackman+Campus+Recruiter,+Consumer+and+Community+Banking+JPMorgan+Chase+&amp;+Co." TargetMode="External"/><Relationship Id="rId4572" Type="http://schemas.openxmlformats.org/officeDocument/2006/relationships/hyperlink" Target="https://www.google.com/search?newwindow=1&amp;ei=2MT0XrvGGM-vytMP1OyDgAY&amp;q=site%3Alinkedin.com+Julie+R.+University+Recruiter+Twitter" TargetMode="External"/><Relationship Id="rId3240" Type="http://schemas.openxmlformats.org/officeDocument/2006/relationships/hyperlink" Target="https://www.google.com/search?newwindow=1&amp;ei=2MT0XrvGGM-vytMP1OyDgAY&amp;q=site%3Alinkedin.com+Katie+F.+Consulting+Campus+Recruiter+EY" TargetMode="External"/><Relationship Id="rId4571" Type="http://schemas.openxmlformats.org/officeDocument/2006/relationships/hyperlink" Target="https://www.google.com/search?newwindow=1&amp;ei=2MT0XrvGGM-vytMP1OyDgAY&amp;q=site%3Alinkedin.com+Luana+Hill+University+Recruiter+Truist" TargetMode="External"/><Relationship Id="rId3243" Type="http://schemas.openxmlformats.org/officeDocument/2006/relationships/hyperlink" Target="https://www.google.com/search?newwindow=1&amp;ei=2MT0XrvGGM-vytMP1OyDgAY&amp;q=site%3Alinkedin.com+Kathryn+Finley+Campus+Recruiter,+Asset+&amp;+Wealth+Management+JPMorgan+Chase+&amp;+Co." TargetMode="External"/><Relationship Id="rId4574" Type="http://schemas.openxmlformats.org/officeDocument/2006/relationships/hyperlink" Target="https://www.google.com/search?newwindow=1&amp;ei=2MT0XrvGGM-vytMP1OyDgAY&amp;q=site%3Alinkedin.com+Lisa+Vance+Campus+Recruiter+&amp;+Program+Manager+Two+Sigma" TargetMode="External"/><Relationship Id="rId3242" Type="http://schemas.openxmlformats.org/officeDocument/2006/relationships/hyperlink" Target="https://www.google.com/search?newwindow=1&amp;ei=2MT0XrvGGM-vytMP1OyDgAY&amp;q=site%3Alinkedin.com+Mary+Bongart+Campus+Recruiter+EY" TargetMode="External"/><Relationship Id="rId4573" Type="http://schemas.openxmlformats.org/officeDocument/2006/relationships/hyperlink" Target="https://www.google.com/search?newwindow=1&amp;ei=2MT0XrvGGM-vytMP1OyDgAY&amp;q=site%3Alinkedin.com+Rheana+De+La+Cruz+University+Recruiter+Twitter" TargetMode="External"/><Relationship Id="rId3245" Type="http://schemas.openxmlformats.org/officeDocument/2006/relationships/hyperlink" Target="https://www.google.com/search?newwindow=1&amp;ei=2MT0XrvGGM-vytMP1OyDgAY&amp;q=site%3Alinkedin.com+Tiffany+N.+Sheffield+Campus+Recruiter,+Consumer+and+Community+Bank+JPMorgan+Chase+&amp;+Co." TargetMode="External"/><Relationship Id="rId4576" Type="http://schemas.openxmlformats.org/officeDocument/2006/relationships/hyperlink" Target="https://www.google.com/search?newwindow=1&amp;ei=2MT0XrvGGM-vytMP1OyDgAY&amp;q=site%3Alinkedin.com+Bradley+Goodloe+Sr.+Campus+Recruiter/Internship+Program+Manager+U.S.+Bank" TargetMode="External"/><Relationship Id="rId3244" Type="http://schemas.openxmlformats.org/officeDocument/2006/relationships/hyperlink" Target="https://www.google.com/search?newwindow=1&amp;ei=2MT0XrvGGM-vytMP1OyDgAY&amp;q=site%3Alinkedin.com+Bryan+Ferretti+Campus+Recruiter+EY" TargetMode="External"/><Relationship Id="rId4575" Type="http://schemas.openxmlformats.org/officeDocument/2006/relationships/hyperlink" Target="https://www.google.com/search?newwindow=1&amp;ei=2MT0XrvGGM-vytMP1OyDgAY&amp;q=site%3Alinkedin.com+Haley+(Baxter)+Mandell+Software+Engineering+Campus+Recruiter+&amp;+Program+Manager+Two+Sigma" TargetMode="External"/><Relationship Id="rId3247" Type="http://schemas.openxmlformats.org/officeDocument/2006/relationships/hyperlink" Target="https://www.google.com/search?newwindow=1&amp;ei=2MT0XrvGGM-vytMP1OyDgAY&amp;q=site%3Alinkedin.com+Sema'j+Reed+Global+Finance+&amp;+Business+Management+Campus+Recruiter+JPMorgan+Chase+&amp;+Co." TargetMode="External"/><Relationship Id="rId4578" Type="http://schemas.openxmlformats.org/officeDocument/2006/relationships/hyperlink" Target="https://www.google.com/search?newwindow=1&amp;ei=2MT0XrvGGM-vytMP1OyDgAY&amp;q=site%3Alinkedin.com+Kelly+Verstat+AVP-+Senior+Campus+Recruiter+/+Internship+Program+Manager+U.S.+Bank" TargetMode="External"/><Relationship Id="rId3246" Type="http://schemas.openxmlformats.org/officeDocument/2006/relationships/hyperlink" Target="https://www.google.com/search?newwindow=1&amp;ei=2MT0XrvGGM-vytMP1OyDgAY&amp;q=site%3Alinkedin.com+Alex+Swit+Campus+Recruiter+EY" TargetMode="External"/><Relationship Id="rId4577" Type="http://schemas.openxmlformats.org/officeDocument/2006/relationships/hyperlink" Target="https://www.google.com/search?newwindow=1&amp;ei=2MT0XrvGGM-vytMP1OyDgAY&amp;q=site%3Alinkedin.com+Julian+Jordan+Campus+Recruiter+/+Internship+Program+Manager+U.S.+Bank" TargetMode="External"/><Relationship Id="rId1499" Type="http://schemas.openxmlformats.org/officeDocument/2006/relationships/hyperlink" Target="https://www.google.com/search?newwindow=1&amp;ei=2MT0XrvGGM-vytMP1OyDgAY&amp;q=site%3Alinkedin.com+Xinru+Yu+University+Tutor+(Casual)" TargetMode="External"/><Relationship Id="rId4525" Type="http://schemas.openxmlformats.org/officeDocument/2006/relationships/hyperlink" Target="https://www.google.com/search?newwindow=1&amp;ei=2MT0XrvGGM-vytMP1OyDgAY&amp;q=site%3Alinkedin.com+sara+moghadam+Group+Campus+Recruiter+Target" TargetMode="External"/><Relationship Id="rId4524" Type="http://schemas.openxmlformats.org/officeDocument/2006/relationships/hyperlink" Target="https://www.google.com/search?newwindow=1&amp;ei=2MT0XrvGGM-vytMP1OyDgAY&amp;q=site%3Alinkedin.com+John+Walsh+Campus+Recruiter+Target" TargetMode="External"/><Relationship Id="rId4527" Type="http://schemas.openxmlformats.org/officeDocument/2006/relationships/hyperlink" Target="https://www.google.com/search?newwindow=1&amp;ei=2MT0XrvGGM-vytMP1OyDgAY&amp;q=site%3Alinkedin.com+April+Voigt+Campus+and+Experienced+Recruiter+Target" TargetMode="External"/><Relationship Id="rId4526" Type="http://schemas.openxmlformats.org/officeDocument/2006/relationships/hyperlink" Target="https://www.google.com/search?newwindow=1&amp;ei=2MT0XrvGGM-vytMP1OyDgAY&amp;q=site%3Alinkedin.com+Amy+Hayes+Executive+Team+Leader-+Logistics/Campus+Recruiter+D446+Target" TargetMode="External"/><Relationship Id="rId4529" Type="http://schemas.openxmlformats.org/officeDocument/2006/relationships/hyperlink" Target="https://www.google.com/search?newwindow=1&amp;ei=2MT0XrvGGM-vytMP1OyDgAY&amp;q=site%3Alinkedin.com+Andi+Christenson+Lead+Executive+Recruiter+Target" TargetMode="External"/><Relationship Id="rId4528" Type="http://schemas.openxmlformats.org/officeDocument/2006/relationships/hyperlink" Target="https://www.google.com/search?newwindow=1&amp;ei=2MT0XrvGGM-vytMP1OyDgAY&amp;q=site%3Alinkedin.com+Zavier+Lewis+Executive+Recruiter+Target" TargetMode="External"/><Relationship Id="rId668" Type="http://schemas.openxmlformats.org/officeDocument/2006/relationships/hyperlink" Target="https://www.google.com/search?newwindow=1&amp;ei=2MT0XrvGGM-vytMP1OyDgAY&amp;q=site%3Alinkedin.com+Stefani+Zaharieva+Campus+Recruiter+EMEA" TargetMode="External"/><Relationship Id="rId667" Type="http://schemas.openxmlformats.org/officeDocument/2006/relationships/hyperlink" Target="https://www.google.com/search?newwindow=1&amp;ei=2MT0XrvGGM-vytMP1OyDgAY&amp;q=site%3Alinkedin.com+James+J.+Senior+Graduate+and+Early+Career+Recruiter" TargetMode="External"/><Relationship Id="rId666" Type="http://schemas.openxmlformats.org/officeDocument/2006/relationships/hyperlink" Target="https://www.google.com/search?newwindow=1&amp;ei=2MT0XrvGGM-vytMP1OyDgAY&amp;q=site%3Alinkedin.com+Audrey+Kerloc'h+%E2%98%81+EMEA+Campus+Recruiter" TargetMode="External"/><Relationship Id="rId665" Type="http://schemas.openxmlformats.org/officeDocument/2006/relationships/hyperlink" Target="https://www.google.com/search?newwindow=1&amp;ei=2MT0XrvGGM-vytMP1OyDgAY&amp;q=site%3Alinkedin.com+Paul+Davies+Graduate+/+PhD+Recruiter+in+Finance" TargetMode="External"/><Relationship Id="rId669" Type="http://schemas.openxmlformats.org/officeDocument/2006/relationships/hyperlink" Target="https://www.google.com/search?newwindow=1&amp;ei=2MT0XrvGGM-vytMP1OyDgAY&amp;q=site%3Alinkedin.com+Beatrice+Lupi+Campus+Recruiter+-+EMEA+Operations" TargetMode="External"/><Relationship Id="rId1490" Type="http://schemas.openxmlformats.org/officeDocument/2006/relationships/hyperlink" Target="https://www.google.com/search?newwindow=1&amp;ei=2MT0XrvGGM-vytMP1OyDgAY&amp;q=site%3Alinkedin.com+Sophie+(Marie)+Imbert,+MBA,+CCXP,+FCXP+(CX-I),+SA+Programs+Manager+-+Student+Services+Branch" TargetMode="External"/><Relationship Id="rId660" Type="http://schemas.openxmlformats.org/officeDocument/2006/relationships/hyperlink" Target="https://www.google.com/search?newwindow=1&amp;ei=2MT0XrvGGM-vytMP1OyDgAY&amp;q=site%3Alinkedin.com+Aur%C3%A9lie+HERRERO+EMEA+Campus+Recruiter+and+Programme+Manager" TargetMode="External"/><Relationship Id="rId1491" Type="http://schemas.openxmlformats.org/officeDocument/2006/relationships/hyperlink" Target="https://www.google.com/search?newwindow=1&amp;ei=2MT0XrvGGM-vytMP1OyDgAY&amp;q=site%3Alinkedin.com+Jennifer+Monis+Campus+Recruiter" TargetMode="External"/><Relationship Id="rId1492" Type="http://schemas.openxmlformats.org/officeDocument/2006/relationships/hyperlink" Target="https://www.google.com/search?newwindow=1&amp;ei=2MT0XrvGGM-vytMP1OyDgAY&amp;q=site%3Alinkedin.com+John+Tran+Student+Equity+Programs+Officer" TargetMode="External"/><Relationship Id="rId1493" Type="http://schemas.openxmlformats.org/officeDocument/2006/relationships/hyperlink" Target="https://www.google.com/search?newwindow=1&amp;ei=2MT0XrvGGM-vytMP1OyDgAY&amp;q=site%3Alinkedin.com+Madelene+Wicht+Coordinator+of+Indigenous+Student+Programs" TargetMode="External"/><Relationship Id="rId1494" Type="http://schemas.openxmlformats.org/officeDocument/2006/relationships/hyperlink" Target="https://www.google.com/search?newwindow=1&amp;ei=2MT0XrvGGM-vytMP1OyDgAY&amp;q=site%3Alinkedin.com+Crystal+McLoughlin+Student+Programs+Coordinator" TargetMode="External"/><Relationship Id="rId664" Type="http://schemas.openxmlformats.org/officeDocument/2006/relationships/hyperlink" Target="https://www.google.com/search?newwindow=1&amp;ei=2MT0XrvGGM-vytMP1OyDgAY&amp;q=site%3Alinkedin.com+Pamela+Hutton+Campus+Recruiter" TargetMode="External"/><Relationship Id="rId1495" Type="http://schemas.openxmlformats.org/officeDocument/2006/relationships/hyperlink" Target="https://www.google.com/search?newwindow=1&amp;ei=2MT0XrvGGM-vytMP1OyDgAY&amp;q=site%3Alinkedin.com+Geraldine+McNulty+National+Coordinator+Student+Programs" TargetMode="External"/><Relationship Id="rId4521" Type="http://schemas.openxmlformats.org/officeDocument/2006/relationships/hyperlink" Target="https://www.google.com/search?newwindow=1&amp;ei=2MT0XrvGGM-vytMP1OyDgAY&amp;q=site%3Alinkedin.com+Beth+Bonarrigo+Sr.+Field+Campus+Recruiter+I+Trainer+I+HR+Business+Partner+Target" TargetMode="External"/><Relationship Id="rId663" Type="http://schemas.openxmlformats.org/officeDocument/2006/relationships/hyperlink" Target="https://www.google.com/search?newwindow=1&amp;ei=2MT0XrvGGM-vytMP1OyDgAY&amp;q=site%3Alinkedin.com+Dora+Mucsi+Technical+Recruiter,+Student+Programs+for+Software+Engineering+(EMEA)" TargetMode="External"/><Relationship Id="rId1496" Type="http://schemas.openxmlformats.org/officeDocument/2006/relationships/hyperlink" Target="https://www.google.com/search?newwindow=1&amp;ei=2MT0XrvGGM-vytMP1OyDgAY&amp;q=site%3Alinkedin.com+Yara+(Yaroslava)+Vasina+Manager,+Global+Short+Programs+(Outbound+Student+Mobility)" TargetMode="External"/><Relationship Id="rId4520" Type="http://schemas.openxmlformats.org/officeDocument/2006/relationships/hyperlink" Target="https://www.google.com/search?newwindow=1&amp;ei=2MT0XrvGGM-vytMP1OyDgAY&amp;q=site%3Alinkedin.com+Kathryn+Kusa+Campus+Recruiter+Target" TargetMode="External"/><Relationship Id="rId662" Type="http://schemas.openxmlformats.org/officeDocument/2006/relationships/hyperlink" Target="https://www.google.com/search?newwindow=1&amp;ei=2MT0XrvGGM-vytMP1OyDgAY&amp;q=site%3Alinkedin.com+Jennifer+Wishart+Graduate+Recruiter" TargetMode="External"/><Relationship Id="rId1497" Type="http://schemas.openxmlformats.org/officeDocument/2006/relationships/hyperlink" Target="https://www.google.com/search?newwindow=1&amp;ei=2MT0XrvGGM-vytMP1OyDgAY&amp;q=site%3Alinkedin.com+Tilly+Lim+University+Recruitment+Specialist+-+ANZ+&amp;+SE+Asia" TargetMode="External"/><Relationship Id="rId4523" Type="http://schemas.openxmlformats.org/officeDocument/2006/relationships/hyperlink" Target="https://www.google.com/search?newwindow=1&amp;ei=2MT0XrvGGM-vytMP1OyDgAY&amp;q=site%3Alinkedin.com+Andrea+Herrald+Lead+Executive+Campus+Recruiter-Supply+Chain+Target" TargetMode="External"/><Relationship Id="rId661" Type="http://schemas.openxmlformats.org/officeDocument/2006/relationships/hyperlink" Target="https://www.google.com/search?newwindow=1&amp;ei=2MT0XrvGGM-vytMP1OyDgAY&amp;q=site%3Alinkedin.com+Vanessa+Lengfellner+Campus+Recruiter" TargetMode="External"/><Relationship Id="rId1498" Type="http://schemas.openxmlformats.org/officeDocument/2006/relationships/hyperlink" Target="https://www.google.com/search?newwindow=1&amp;ei=2MT0XrvGGM-vytMP1OyDgAY&amp;q=site%3Alinkedin.com+Emily+K.+International+Programs+Assistant" TargetMode="External"/><Relationship Id="rId4522" Type="http://schemas.openxmlformats.org/officeDocument/2006/relationships/hyperlink" Target="https://www.google.com/search?newwindow=1&amp;ei=2MT0XrvGGM-vytMP1OyDgAY&amp;q=site%3Alinkedin.com+Vanessa+Kramer+Campus+Recruiter+Target" TargetMode="External"/><Relationship Id="rId1488" Type="http://schemas.openxmlformats.org/officeDocument/2006/relationships/hyperlink" Target="https://www.google.com/search?newwindow=1&amp;ei=2MT0XrvGGM-vytMP1OyDgAY&amp;q=site%3Alinkedin.com+Dan+Lacey+Senior+Recruiting+Manager,+Sydney+Campus+Programs" TargetMode="External"/><Relationship Id="rId4514" Type="http://schemas.openxmlformats.org/officeDocument/2006/relationships/hyperlink" Target="https://www.google.com/search?newwindow=1&amp;ei=2MT0XrvGGM-vytMP1OyDgAY&amp;q=site%3Alinkedin.com+Greg+Pare+Lead+Campus+Recruiter+Target" TargetMode="External"/><Relationship Id="rId1489" Type="http://schemas.openxmlformats.org/officeDocument/2006/relationships/hyperlink" Target="https://www.google.com/search?newwindow=1&amp;ei=2MT0XrvGGM-vytMP1OyDgAY&amp;q=site%3Alinkedin.com+Montana+Middleton+Student+Engagement+Programs+Coordinator" TargetMode="External"/><Relationship Id="rId4513" Type="http://schemas.openxmlformats.org/officeDocument/2006/relationships/hyperlink" Target="https://www.google.com/search?newwindow=1&amp;ei=2MT0XrvGGM-vytMP1OyDgAY&amp;q=site%3Alinkedin.com+Remy+Crespo+Viewed+T-Mobile" TargetMode="External"/><Relationship Id="rId4516" Type="http://schemas.openxmlformats.org/officeDocument/2006/relationships/hyperlink" Target="https://www.google.com/search?newwindow=1&amp;ei=2MT0XrvGGM-vytMP1OyDgAY&amp;q=site%3Alinkedin.com+Craig+Sedoris+Campus+Recruiter+Target" TargetMode="External"/><Relationship Id="rId4515" Type="http://schemas.openxmlformats.org/officeDocument/2006/relationships/hyperlink" Target="https://www.google.com/search?newwindow=1&amp;ei=2MT0XrvGGM-vytMP1OyDgAY&amp;q=site%3Alinkedin.com+Amy+Blake+Group+Campus+Recruiter+Target" TargetMode="External"/><Relationship Id="rId4518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4517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4519" Type="http://schemas.openxmlformats.org/officeDocument/2006/relationships/hyperlink" Target="https://www.google.com/search?newwindow=1&amp;ei=2MT0XrvGGM-vytMP1OyDgAY&amp;q=site%3Alinkedin.com+Ashley+Miller+Lead+Executive+Campus+Recruiter+Target" TargetMode="External"/><Relationship Id="rId657" Type="http://schemas.openxmlformats.org/officeDocument/2006/relationships/hyperlink" Target="https://www.google.com/search?newwindow=1&amp;ei=2MT0XrvGGM-vytMP1OyDgAY&amp;q=site%3Alinkedin.com+Daniel+Vieira+International+Student+Recruiter" TargetMode="External"/><Relationship Id="rId656" Type="http://schemas.openxmlformats.org/officeDocument/2006/relationships/hyperlink" Target="https://www.google.com/search?newwindow=1&amp;ei=2MT0XrvGGM-vytMP1OyDgAY&amp;q=site%3Alinkedin.com+Hannah+Bassett+EMEA+Student+Programs,+Tech+Recruiting+Lead" TargetMode="External"/><Relationship Id="rId655" Type="http://schemas.openxmlformats.org/officeDocument/2006/relationships/hyperlink" Target="https://www.google.com/search?newwindow=1&amp;ei=2MT0XrvGGM-vytMP1OyDgAY&amp;q=site%3Alinkedin.com+Lucy+Adams,+Graduate+Recruiter+Graduate+Recruiter" TargetMode="External"/><Relationship Id="rId654" Type="http://schemas.openxmlformats.org/officeDocument/2006/relationships/hyperlink" Target="https://www.google.com/search?newwindow=1&amp;ei=2MT0XrvGGM-vytMP1OyDgAY&amp;q=site%3Alinkedin.com+Corinne+Dugdale+Graduate+Recruiter" TargetMode="External"/><Relationship Id="rId659" Type="http://schemas.openxmlformats.org/officeDocument/2006/relationships/hyperlink" Target="https://www.google.com/search?newwindow=1&amp;ei=2MT0XrvGGM-vytMP1OyDgAY&amp;q=site%3Alinkedin.com+Ivy+Kayima+University+Recruiter/Sourcer-+EMEA(Perm)" TargetMode="External"/><Relationship Id="rId658" Type="http://schemas.openxmlformats.org/officeDocument/2006/relationships/hyperlink" Target="https://www.google.com/search?newwindow=1&amp;ei=2MT0XrvGGM-vytMP1OyDgAY&amp;q=site%3Alinkedin.com+Tolu+Ogunlaiye+Senior+Graduate+Recruiter+and+University+Partnerships+Consultant" TargetMode="External"/><Relationship Id="rId1480" Type="http://schemas.openxmlformats.org/officeDocument/2006/relationships/hyperlink" Target="https://www.google.com/search?newwindow=1&amp;ei=2MT0XrvGGM-vytMP1OyDgAY&amp;q=site%3Alinkedin.com+Emily+Cooper+Campus+Recruiter+-+Senior+Consultant" TargetMode="External"/><Relationship Id="rId1481" Type="http://schemas.openxmlformats.org/officeDocument/2006/relationships/hyperlink" Target="https://www.google.com/search?newwindow=1&amp;ei=2MT0XrvGGM-vytMP1OyDgAY&amp;q=site%3Alinkedin.com+Ngaire+Young+Manager+Programs+&amp;+Projects,+Student+Services" TargetMode="External"/><Relationship Id="rId1482" Type="http://schemas.openxmlformats.org/officeDocument/2006/relationships/hyperlink" Target="https://www.google.com/search?newwindow=1&amp;ei=2MT0XrvGGM-vytMP1OyDgAY&amp;q=site%3Alinkedin.com+Kalani+Dantanarayana+University+Talent+Recruiter" TargetMode="External"/><Relationship Id="rId1483" Type="http://schemas.openxmlformats.org/officeDocument/2006/relationships/hyperlink" Target="https://www.google.com/search?newwindow=1&amp;ei=2MT0XrvGGM-vytMP1OyDgAY&amp;q=site%3Alinkedin.com+Yi+Ting+Wong+Graduate+Recruiter+&amp;+Graduate+Experience+Lead" TargetMode="External"/><Relationship Id="rId653" Type="http://schemas.openxmlformats.org/officeDocument/2006/relationships/hyperlink" Target="https://www.google.com/search?newwindow=1&amp;ei=2MT0XrvGGM-vytMP1OyDgAY&amp;q=site%3Alinkedin.com+Hannah+Jones+Early+Careers+Recruiter" TargetMode="External"/><Relationship Id="rId1484" Type="http://schemas.openxmlformats.org/officeDocument/2006/relationships/hyperlink" Target="https://www.google.com/search?newwindow=1&amp;ei=2MT0XrvGGM-vytMP1OyDgAY&amp;q=site%3Alinkedin.com+Stephanie+Archer+Senior+Campus+Recruiter,+Early+Career+Talent" TargetMode="External"/><Relationship Id="rId4510" Type="http://schemas.openxmlformats.org/officeDocument/2006/relationships/hyperlink" Target="https://www.google.com/search?newwindow=1&amp;ei=2MT0XrvGGM-vytMP1OyDgAY&amp;q=site%3Alinkedin.com+Calli+Conti+Senior+Recruiter+Stryker+Corporation" TargetMode="External"/><Relationship Id="rId652" Type="http://schemas.openxmlformats.org/officeDocument/2006/relationships/hyperlink" Target="https://www.google.com/search?newwindow=1&amp;ei=2MT0XrvGGM-vytMP1OyDgAY&amp;q=site%3Alinkedin.com+Amy+Bird+EMEA+Recruiter+(University+Recruiting)" TargetMode="External"/><Relationship Id="rId1485" Type="http://schemas.openxmlformats.org/officeDocument/2006/relationships/hyperlink" Target="https://www.google.com/search?newwindow=1&amp;ei=2MT0XrvGGM-vytMP1OyDgAY&amp;q=site%3Alinkedin.com+Adele+Charlton+University+Recruitment+Manager+-+South+East+Asia+and+Australia+and+New+Zealand" TargetMode="External"/><Relationship Id="rId651" Type="http://schemas.openxmlformats.org/officeDocument/2006/relationships/hyperlink" Target="https://www.google.com/search?newwindow=1&amp;ei=2MT0XrvGGM-vytMP1OyDgAY&amp;q=site%3Alinkedin.com+Alex+Lucy+Candidate+Services+Recruiter,+Student+Programs" TargetMode="External"/><Relationship Id="rId1486" Type="http://schemas.openxmlformats.org/officeDocument/2006/relationships/hyperlink" Target="https://www.google.com/search?newwindow=1&amp;ei=2MT0XrvGGM-vytMP1OyDgAY&amp;q=site%3Alinkedin.com+Liza+Rodger+Director+(acting)+Student+Recruitment+Division" TargetMode="External"/><Relationship Id="rId4512" Type="http://schemas.openxmlformats.org/officeDocument/2006/relationships/hyperlink" Target="https://www.google.com/search?newwindow=1&amp;ei=2MT0XrvGGM-vytMP1OyDgAY&amp;q=site%3Alinkedin.com+Brandee+Waddell+College+and+Military+Recruiter+T-Mobile" TargetMode="External"/><Relationship Id="rId650" Type="http://schemas.openxmlformats.org/officeDocument/2006/relationships/hyperlink" Target="https://www.google.com/search?newwindow=1&amp;ei=2MT0XrvGGM-vytMP1OyDgAY&amp;q=site%3Alinkedin.com+Sara+Williams+Graduate+Recruiter" TargetMode="External"/><Relationship Id="rId1487" Type="http://schemas.openxmlformats.org/officeDocument/2006/relationships/hyperlink" Target="https://www.google.com/search?newwindow=1&amp;ei=2MT0XrvGGM-vytMP1OyDgAY&amp;q=site%3Alinkedin.com+Charmaine+Lau+International+Programs+Assistant+and+Student+Activities+Officer" TargetMode="External"/><Relationship Id="rId4511" Type="http://schemas.openxmlformats.org/officeDocument/2006/relationships/hyperlink" Target="https://www.google.com/search?newwindow=1&amp;ei=2MT0XrvGGM-vytMP1OyDgAY&amp;q=site%3Alinkedin.com+Sarah+Deiter+Senior+University+Recruiter+T-Mobile" TargetMode="External"/><Relationship Id="rId3216" Type="http://schemas.openxmlformats.org/officeDocument/2006/relationships/hyperlink" Target="https://www.google.com/search?newwindow=1&amp;ei=2MT0XrvGGM-vytMP1OyDgAY&amp;q=site%3Alinkedin.com+Allie+McMahon+Commercial+Bank+Campus+Recruiter+JPMorgan+Chase+&amp;+Co." TargetMode="External"/><Relationship Id="rId4547" Type="http://schemas.openxmlformats.org/officeDocument/2006/relationships/hyperlink" Target="https://www.google.com/search?newwindow=1&amp;ei=2MT0XrvGGM-vytMP1OyDgAY&amp;q=site%3Alinkedin.com+Madhuri+Gadkari+Campus+Recruiter+Tata+Consultancy+Services" TargetMode="External"/><Relationship Id="rId3215" Type="http://schemas.openxmlformats.org/officeDocument/2006/relationships/hyperlink" Target="https://www.google.com/search?newwindow=1&amp;ei=2MT0XrvGGM-vytMP1OyDgAY&amp;q=site%3Alinkedin.com+Samantha+J.+Associate+Campus+Recruiter+JPMorgan+Chase+&amp;+Co." TargetMode="External"/><Relationship Id="rId4546" Type="http://schemas.openxmlformats.org/officeDocument/2006/relationships/hyperlink" Target="https://www.google.com/search?newwindow=1&amp;ei=2MT0XrvGGM-vytMP1OyDgAY&amp;q=site%3Alinkedin.com+Sara+Lopez+Campus+Recruiter+Target+Headquarters" TargetMode="External"/><Relationship Id="rId3218" Type="http://schemas.openxmlformats.org/officeDocument/2006/relationships/hyperlink" Target="https://www.google.com/search?newwindow=1&amp;ei=2MT0XrvGGM-vytMP1OyDgAY&amp;q=site%3Alinkedin.com+Lindsey+Sepich+Campus+Recruiter+JPMorgan+Chase+&amp;+Co." TargetMode="External"/><Relationship Id="rId4549" Type="http://schemas.openxmlformats.org/officeDocument/2006/relationships/hyperlink" Target="https://www.google.com/search?newwindow=1&amp;ei=2MT0XrvGGM-vytMP1OyDgAY&amp;q=site%3Alinkedin.com+Lauren+Peters+Senior+University+Relations+Recruiter+TEKsystems" TargetMode="External"/><Relationship Id="rId3217" Type="http://schemas.openxmlformats.org/officeDocument/2006/relationships/hyperlink" Target="https://www.google.com/search?newwindow=1&amp;ei=2MT0XrvGGM-vytMP1OyDgAY&amp;q=site%3Alinkedin.com+Drew+Ford+Campus+Recruiter+EY" TargetMode="External"/><Relationship Id="rId4548" Type="http://schemas.openxmlformats.org/officeDocument/2006/relationships/hyperlink" Target="https://www.google.com/search?newwindow=1&amp;ei=2MT0XrvGGM-vytMP1OyDgAY&amp;q=site%3Alinkedin.com+Tyler+George+Mathurin+Campus+Recruiter+Tata+Consultancy+Services" TargetMode="External"/><Relationship Id="rId3219" Type="http://schemas.openxmlformats.org/officeDocument/2006/relationships/hyperlink" Target="https://www.google.com/search?newwindow=1&amp;ei=2MT0XrvGGM-vytMP1OyDgAY&amp;q=site%3Alinkedin.com+Emily+D'Aoust+Corporate+&amp;+Investment+Bank+Campus+Recruiter+JPMorgan+Chase+&amp;+Co." TargetMode="External"/><Relationship Id="rId689" Type="http://schemas.openxmlformats.org/officeDocument/2006/relationships/hyperlink" Target="https://www.google.com/search?newwindow=1&amp;ei=2MT0XrvGGM-vytMP1OyDgAY&amp;q=site%3Alinkedin.com+Olivia+Aylett+Recruiter+-+UK+Campus+Team" TargetMode="External"/><Relationship Id="rId688" Type="http://schemas.openxmlformats.org/officeDocument/2006/relationships/hyperlink" Target="https://www.google.com/search?newwindow=1&amp;ei=2MT0XrvGGM-vytMP1OyDgAY&amp;q=site%3Alinkedin.com+Phillip+Thomas+Recruiting+Coordinator+Manager,+Student+Programs" TargetMode="External"/><Relationship Id="rId687" Type="http://schemas.openxmlformats.org/officeDocument/2006/relationships/hyperlink" Target="https://www.google.com/search?newwindow=1&amp;ei=2MT0XrvGGM-vytMP1OyDgAY&amp;q=site%3Alinkedin.com+Parshotam+S.+University+Recruiter+-+Global+Business+Sales+&amp;+Global+Technology+Sales,++EMEA" TargetMode="External"/><Relationship Id="rId682" Type="http://schemas.openxmlformats.org/officeDocument/2006/relationships/hyperlink" Target="https://www.google.com/search?newwindow=1&amp;ei=2MT0XrvGGM-vytMP1OyDgAY&amp;q=site%3Alinkedin.com+Holly+Thompson+Recruiter+-+UK+Campus" TargetMode="External"/><Relationship Id="rId681" Type="http://schemas.openxmlformats.org/officeDocument/2006/relationships/hyperlink" Target="https://www.google.com/search?newwindow=1&amp;ei=2MT0XrvGGM-vytMP1OyDgAY&amp;q=site%3Alinkedin.com+Vandressa+Picht+EMEA+Campus+Recruiter" TargetMode="External"/><Relationship Id="rId680" Type="http://schemas.openxmlformats.org/officeDocument/2006/relationships/hyperlink" Target="https://www.google.com/search?newwindow=1&amp;ei=2MT0XrvGGM-vytMP1OyDgAY&amp;q=site%3Alinkedin.com+Grace+Acquah+Regional+Lead,+EMEA+Student+Programs+Campus+Attraction+and+Engagement" TargetMode="External"/><Relationship Id="rId3210" Type="http://schemas.openxmlformats.org/officeDocument/2006/relationships/hyperlink" Target="https://www.google.com/search?newwindow=1&amp;ei=2MT0XrvGGM-vytMP1OyDgAY&amp;q=site%3Alinkedin.com+Ricardo+Contreras+Campus+Recruiter+EY" TargetMode="External"/><Relationship Id="rId4541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4540" Type="http://schemas.openxmlformats.org/officeDocument/2006/relationships/hyperlink" Target="https://www.google.com/search?newwindow=1&amp;ei=2MT0XrvGGM-vytMP1OyDgAY&amp;q=site%3Alinkedin.com+James+P.+Muldoon+Campus+Recruiter+Target" TargetMode="External"/><Relationship Id="rId686" Type="http://schemas.openxmlformats.org/officeDocument/2006/relationships/hyperlink" Target="https://www.google.com/search?newwindow=1&amp;ei=2MT0XrvGGM-vytMP1OyDgAY&amp;q=site%3Alinkedin.com+Valentina+Jambru%C5%A1i%C4%87+Graduate+Recruiter+-+IT/Operations" TargetMode="External"/><Relationship Id="rId3212" Type="http://schemas.openxmlformats.org/officeDocument/2006/relationships/hyperlink" Target="https://www.google.com/search?newwindow=1&amp;ei=2MT0XrvGGM-vytMP1OyDgAY&amp;q=site%3Alinkedin.com+Jazsmin+Watson+-+Booth+Campus+Recruiter+Senior+Associate+EY" TargetMode="External"/><Relationship Id="rId4543" Type="http://schemas.openxmlformats.org/officeDocument/2006/relationships/hyperlink" Target="https://www.google.com/search?newwindow=1&amp;ei=2MT0XrvGGM-vytMP1OyDgAY&amp;q=site%3Alinkedin.com+Victorya+Curcuro+Senior+Campus+Recruiter+Target" TargetMode="External"/><Relationship Id="rId685" Type="http://schemas.openxmlformats.org/officeDocument/2006/relationships/hyperlink" Target="https://www.google.com/search?newwindow=1&amp;ei=2MT0XrvGGM-vytMP1OyDgAY&amp;q=site%3Alinkedin.com+Elizabeth+Ogunwusi+Student+Programs+Recruitment+Coordinator" TargetMode="External"/><Relationship Id="rId3211" Type="http://schemas.openxmlformats.org/officeDocument/2006/relationships/hyperlink" Target="https://www.google.com/search?newwindow=1&amp;ei=2MT0XrvGGM-vytMP1OyDgAY&amp;q=site%3Alinkedin.com+Khevna+M.+Associate,+Campus+Recruiter+JPMorgan+Chase+&amp;+Co." TargetMode="External"/><Relationship Id="rId4542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684" Type="http://schemas.openxmlformats.org/officeDocument/2006/relationships/hyperlink" Target="https://www.google.com/search?newwindow=1&amp;ei=2MT0XrvGGM-vytMP1OyDgAY&amp;q=site%3Alinkedin.com+Thomas+Carter+Graduate+Recruiter" TargetMode="External"/><Relationship Id="rId3214" Type="http://schemas.openxmlformats.org/officeDocument/2006/relationships/hyperlink" Target="https://www.google.com/search?newwindow=1&amp;ei=2MT0XrvGGM-vytMP1OyDgAY&amp;q=site%3Alinkedin.com+Thomas+S.+Campus+Recruiter+EY" TargetMode="External"/><Relationship Id="rId4545" Type="http://schemas.openxmlformats.org/officeDocument/2006/relationships/hyperlink" Target="https://www.google.com/search?newwindow=1&amp;ei=2MT0XrvGGM-vytMP1OyDgAY&amp;q=site%3Alinkedin.com+Sarah+Fairchild+Human+Resources+Representative/Executive+and+Campus+Recruiter+Target+Corporation" TargetMode="External"/><Relationship Id="rId683" Type="http://schemas.openxmlformats.org/officeDocument/2006/relationships/hyperlink" Target="https://www.google.com/search?newwindow=1&amp;ei=2MT0XrvGGM-vytMP1OyDgAY&amp;q=site%3Alinkedin.com+Victoria+Didilica+Campus+Recruiting+%7C+Talent+Acquisition" TargetMode="External"/><Relationship Id="rId3213" Type="http://schemas.openxmlformats.org/officeDocument/2006/relationships/hyperlink" Target="https://www.google.com/search?newwindow=1&amp;ei=2MT0XrvGGM-vytMP1OyDgAY&amp;q=site%3Alinkedin.com+Emily+R.+Bishop+Campus+Recruiter+JPMorgan+Chase+&amp;+Co." TargetMode="External"/><Relationship Id="rId4544" Type="http://schemas.openxmlformats.org/officeDocument/2006/relationships/hyperlink" Target="https://www.google.com/search?newwindow=1&amp;ei=2MT0XrvGGM-vytMP1OyDgAY&amp;q=site%3Alinkedin.com+Danielle+Mork+Sr+Campus+Recruiter+-+Supply+Chain+Target" TargetMode="External"/><Relationship Id="rId3205" Type="http://schemas.openxmlformats.org/officeDocument/2006/relationships/hyperlink" Target="https://www.google.com/search?newwindow=1&amp;ei=2MT0XrvGGM-vytMP1OyDgAY&amp;q=site%3Alinkedin.com+Javan+Cross+Campus+Recruiter+-+Assurance+EY" TargetMode="External"/><Relationship Id="rId4536" Type="http://schemas.openxmlformats.org/officeDocument/2006/relationships/hyperlink" Target="https://www.google.com/search?newwindow=1&amp;ei=2MT0XrvGGM-vytMP1OyDgAY&amp;q=site%3Alinkedin.com+Pamela+McClaney+Lead+Executive+Recruiter+-+Field+Campus+Target" TargetMode="External"/><Relationship Id="rId3204" Type="http://schemas.openxmlformats.org/officeDocument/2006/relationships/hyperlink" Target="https://www.google.com/search?newwindow=1&amp;ei=2MT0XrvGGM-vytMP1OyDgAY&amp;q=site%3Alinkedin.com+Blake+Johnson+Firmwide+Diversity+Campus+Recruiting+JPMorgan+Chase+&amp;+Co." TargetMode="External"/><Relationship Id="rId4535" Type="http://schemas.openxmlformats.org/officeDocument/2006/relationships/hyperlink" Target="https://www.google.com/search?newwindow=1&amp;ei=2MT0XrvGGM-vytMP1OyDgAY&amp;q=site%3Alinkedin.com+Maya+Moss+Senior+Campus+Recruiter+Target" TargetMode="External"/><Relationship Id="rId3207" Type="http://schemas.openxmlformats.org/officeDocument/2006/relationships/hyperlink" Target="https://www.google.com/search?newwindow=1&amp;ei=2MT0XrvGGM-vytMP1OyDgAY&amp;q=site%3Alinkedin.com+Kreddow+Savetsaranee+Campus+Recruiter+EY" TargetMode="External"/><Relationship Id="rId4538" Type="http://schemas.openxmlformats.org/officeDocument/2006/relationships/hyperlink" Target="https://www.google.com/search?newwindow=1&amp;ei=2MT0XrvGGM-vytMP1OyDgAY&amp;q=site%3Alinkedin.com+Kyle+Bender+Lead+Executive+Campus+Recruiter+Target" TargetMode="External"/><Relationship Id="rId3206" Type="http://schemas.openxmlformats.org/officeDocument/2006/relationships/hyperlink" Target="https://www.google.com/search?newwindow=1&amp;ei=2MT0XrvGGM-vytMP1OyDgAY&amp;q=site%3Alinkedin.com+Samantha+Mastellone+Associate+Campus+Recruiter+JPMorgan+Chase+&amp;+Co." TargetMode="External"/><Relationship Id="rId4537" Type="http://schemas.openxmlformats.org/officeDocument/2006/relationships/hyperlink" Target="https://www.google.com/search?newwindow=1&amp;ei=2MT0XrvGGM-vytMP1OyDgAY&amp;q=site%3Alinkedin.com+Anna+Davis+Sr.+Field+Campus+Recruiter+Target" TargetMode="External"/><Relationship Id="rId3209" Type="http://schemas.openxmlformats.org/officeDocument/2006/relationships/hyperlink" Target="https://www.google.com/search?newwindow=1&amp;ei=2MT0XrvGGM-vytMP1OyDgAY&amp;q=site%3Alinkedin.com+Alexia+Sharell+Winfield+Culture+Solutions+Program+Manager+JPMorgan+Chase+&amp;+Co." TargetMode="External"/><Relationship Id="rId3208" Type="http://schemas.openxmlformats.org/officeDocument/2006/relationships/hyperlink" Target="https://www.google.com/search?newwindow=1&amp;ei=2MT0XrvGGM-vytMP1OyDgAY&amp;q=site%3Alinkedin.com+Julie+Cochran+Campus+Recruiter,+Corporate+and+Investment+Bank+JPMorgan+Chase+&amp;+Co." TargetMode="External"/><Relationship Id="rId4539" Type="http://schemas.openxmlformats.org/officeDocument/2006/relationships/hyperlink" Target="https://www.google.com/search?newwindow=1&amp;ei=2MT0XrvGGM-vytMP1OyDgAY&amp;q=site%3Alinkedin.com+Iryonna+Scruggs+Field+Campus+recruiter+Target" TargetMode="External"/><Relationship Id="rId679" Type="http://schemas.openxmlformats.org/officeDocument/2006/relationships/hyperlink" Target="https://www.google.com/search?newwindow=1&amp;ei=2MT0XrvGGM-vytMP1OyDgAY&amp;q=site%3Alinkedin.com+Rebecca+Cragoe+Campus+Recruiter" TargetMode="External"/><Relationship Id="rId678" Type="http://schemas.openxmlformats.org/officeDocument/2006/relationships/hyperlink" Target="https://www.google.com/search?newwindow=1&amp;ei=2MT0XrvGGM-vytMP1OyDgAY&amp;q=site%3Alinkedin.com+Amy+W.+Senior+Campus+Recruiter" TargetMode="External"/><Relationship Id="rId677" Type="http://schemas.openxmlformats.org/officeDocument/2006/relationships/hyperlink" Target="https://www.google.com/search?newwindow=1&amp;ei=2MT0XrvGGM-vytMP1OyDgAY&amp;q=site%3Alinkedin.com+Luke+Rogers+University+Recruiter" TargetMode="External"/><Relationship Id="rId676" Type="http://schemas.openxmlformats.org/officeDocument/2006/relationships/hyperlink" Target="https://www.google.com/search?newwindow=1&amp;ei=2MT0XrvGGM-vytMP1OyDgAY&amp;q=site%3Alinkedin.com+Neil+Shaw+Senior+Graduate+Recruiter,+Europe" TargetMode="External"/><Relationship Id="rId671" Type="http://schemas.openxmlformats.org/officeDocument/2006/relationships/hyperlink" Target="https://www.google.com/search?newwindow=1&amp;ei=2MT0XrvGGM-vytMP1OyDgAY&amp;q=site%3Alinkedin.com+Rumana+Hassan+EMEA+Engineering+Campus+Recruiter" TargetMode="External"/><Relationship Id="rId670" Type="http://schemas.openxmlformats.org/officeDocument/2006/relationships/hyperlink" Target="https://www.google.com/search?newwindow=1&amp;ei=2MT0XrvGGM-vytMP1OyDgAY&amp;q=site%3Alinkedin.com+Sarah+Scadding+(Assoc+CIPD)+Early+Careers+Recruiter+-+Campus+&amp;+Diversity" TargetMode="External"/><Relationship Id="rId4530" Type="http://schemas.openxmlformats.org/officeDocument/2006/relationships/hyperlink" Target="https://www.google.com/search?newwindow=1&amp;ei=2MT0XrvGGM-vytMP1OyDgAY&amp;q=site%3Alinkedin.com+Amanda+Luu+Senior+Campus+Recruiter+Target" TargetMode="External"/><Relationship Id="rId675" Type="http://schemas.openxmlformats.org/officeDocument/2006/relationships/hyperlink" Target="https://www.google.com/search?newwindow=1&amp;ei=2MT0XrvGGM-vytMP1OyDgAY&amp;q=site%3Alinkedin.com+Bianca+Sabatini+Candidate+Service+Recruiter,+Student+Programs" TargetMode="External"/><Relationship Id="rId3201" Type="http://schemas.openxmlformats.org/officeDocument/2006/relationships/hyperlink" Target="https://www.google.com/search?newwindow=1&amp;ei=2MT0XrvGGM-vytMP1OyDgAY&amp;q=site%3Alinkedin.com+Francesca+Jones+Campus+Recruiting+Leader+-+Financial+Services+Organization+EY" TargetMode="External"/><Relationship Id="rId4532" Type="http://schemas.openxmlformats.org/officeDocument/2006/relationships/hyperlink" Target="https://www.google.com/search?newwindow=1&amp;ei=2MT0XrvGGM-vytMP1OyDgAY&amp;q=site%3Alinkedin.com+Darielle+Gengler-Hanson+Lead+Executive+Recruiter+Target" TargetMode="External"/><Relationship Id="rId674" Type="http://schemas.openxmlformats.org/officeDocument/2006/relationships/hyperlink" Target="https://www.google.com/search?newwindow=1&amp;ei=2MT0XrvGGM-vytMP1OyDgAY&amp;q=site%3Alinkedin.com+Greg+Duffy+Senior+Campus+Recruiter+-+Capital+Markets+and+Wealth+Management" TargetMode="External"/><Relationship Id="rId3200" Type="http://schemas.openxmlformats.org/officeDocument/2006/relationships/hyperlink" Target="https://www.google.com/search?newwindow=1&amp;ei=2MT0XrvGGM-vytMP1OyDgAY&amp;q=site%3Alinkedin.com+Amy+Benton+Human+Resources,+Firmwide+Campus+Recruiting+Operations+Manager+JPMorgan+Chase" TargetMode="External"/><Relationship Id="rId4531" Type="http://schemas.openxmlformats.org/officeDocument/2006/relationships/hyperlink" Target="https://www.google.com/search?newwindow=1&amp;ei=2MT0XrvGGM-vytMP1OyDgAY&amp;q=site%3Alinkedin.com+David+Wyant+Lead+Recruiter+-+Campus+Target" TargetMode="External"/><Relationship Id="rId673" Type="http://schemas.openxmlformats.org/officeDocument/2006/relationships/hyperlink" Target="https://www.google.com/search?newwindow=1&amp;ei=2MT0XrvGGM-vytMP1OyDgAY&amp;q=site%3Alinkedin.com+Kelvin+Jones+(Abdul+Kareem)+Director+of+International,+Recruitment+(Representing+University+of+Law)" TargetMode="External"/><Relationship Id="rId3203" Type="http://schemas.openxmlformats.org/officeDocument/2006/relationships/hyperlink" Target="https://www.google.com/search?newwindow=1&amp;ei=2MT0XrvGGM-vytMP1OyDgAY&amp;q=site%3Alinkedin.com+Giselle+Abreu+Associate+Campus+Recruiter+JPMorgan+Chase+&amp;+Co." TargetMode="External"/><Relationship Id="rId4534" Type="http://schemas.openxmlformats.org/officeDocument/2006/relationships/hyperlink" Target="https://www.google.com/search?newwindow=1&amp;ei=2MT0XrvGGM-vytMP1OyDgAY&amp;q=site%3Alinkedin.com+Miranda+Wolfe+Sr.+Campus+Recruiter+Target" TargetMode="External"/><Relationship Id="rId672" Type="http://schemas.openxmlformats.org/officeDocument/2006/relationships/hyperlink" Target="https://www.google.com/search?newwindow=1&amp;ei=2MT0XrvGGM-vytMP1OyDgAY&amp;q=site%3Alinkedin.com+Eilish+McGovern+Campus+Recruitment+Coordinator+-+EMEA+Student+Programs" TargetMode="External"/><Relationship Id="rId3202" Type="http://schemas.openxmlformats.org/officeDocument/2006/relationships/hyperlink" Target="https://www.google.com/search?newwindow=1&amp;ei=2MT0XrvGGM-vytMP1OyDgAY&amp;q=site%3Alinkedin.com+Kate+Cooper+University+Relations+-+Recruiter+JPMorgan+Chase" TargetMode="External"/><Relationship Id="rId4533" Type="http://schemas.openxmlformats.org/officeDocument/2006/relationships/hyperlink" Target="https://www.google.com/search?newwindow=1&amp;ei=2MT0XrvGGM-vytMP1OyDgAY&amp;q=site%3Alinkedin.com+Ellen+Meeks+Lead+Executive+Campus+Recruiter+-+Supply+Chain+Target" TargetMode="External"/><Relationship Id="rId190" Type="http://schemas.openxmlformats.org/officeDocument/2006/relationships/hyperlink" Target="https://www.google.com/search?newwindow=1&amp;ei=2MT0XrvGGM-vytMP1OyDgAY&amp;q=site%3Alinkedin.com+Allyson+Patmore+Graduate+Recruiter+&amp;+Internship+Advisor" TargetMode="External"/><Relationship Id="rId194" Type="http://schemas.openxmlformats.org/officeDocument/2006/relationships/hyperlink" Target="https://www.google.com/search?newwindow=1&amp;ei=2MT0XrvGGM-vytMP1OyDgAY&amp;q=site%3Alinkedin.com+Jenn+H.+Student+Advisor,+Undergraduate+Programs,+Haskayne+School+of+Business" TargetMode="External"/><Relationship Id="rId193" Type="http://schemas.openxmlformats.org/officeDocument/2006/relationships/hyperlink" Target="https://www.google.com/search?newwindow=1&amp;ei=2MT0XrvGGM-vytMP1OyDgAY&amp;q=site%3Alinkedin.com+Lizelle+Igesund+Cordinator+SCMFL+Student+Programs" TargetMode="External"/><Relationship Id="rId192" Type="http://schemas.openxmlformats.org/officeDocument/2006/relationships/hyperlink" Target="https://www.google.com/search?newwindow=1&amp;ei=2MT0XrvGGM-vytMP1OyDgAY&amp;q=site%3Alinkedin.com+Jessica+Weatherhead+Supervisor,+Professional+Development+&amp;+Student+Programs" TargetMode="External"/><Relationship Id="rId191" Type="http://schemas.openxmlformats.org/officeDocument/2006/relationships/hyperlink" Target="https://www.google.com/search?newwindow=1&amp;ei=2MT0XrvGGM-vytMP1OyDgAY&amp;q=site%3Alinkedin.com+Ashley+Coss+Coordinator+of+Student+and+Associate+Programs" TargetMode="External"/><Relationship Id="rId187" Type="http://schemas.openxmlformats.org/officeDocument/2006/relationships/hyperlink" Target="https://www.google.com/search?newwindow=1&amp;ei=2MT0XrvGGM-vytMP1OyDgAY&amp;q=site%3Alinkedin.com+Maureen+Ohaya+STUDENT+SERVICES+AND+PROGRAMS+MANAGER" TargetMode="External"/><Relationship Id="rId186" Type="http://schemas.openxmlformats.org/officeDocument/2006/relationships/hyperlink" Target="https://www.google.com/search?newwindow=1&amp;ei=2MT0XrvGGM-vytMP1OyDgAY&amp;q=site%3Alinkedin.com+Aurora+Huber+Talent+Acquisition+Programs-+Summer+Student" TargetMode="External"/><Relationship Id="rId185" Type="http://schemas.openxmlformats.org/officeDocument/2006/relationships/hyperlink" Target="https://www.google.com/search?newwindow=1&amp;ei=2MT0XrvGGM-vytMP1OyDgAY&amp;q=site%3Alinkedin.com+Rob+Lyon+HR+Lead+-+Student+Programs" TargetMode="External"/><Relationship Id="rId184" Type="http://schemas.openxmlformats.org/officeDocument/2006/relationships/hyperlink" Target="https://www.google.com/search?newwindow=1&amp;ei=2MT0XrvGGM-vytMP1OyDgAY&amp;q=site%3Alinkedin.com+Annaliisa+Sando+Manager,+Student+Recruitment+and+Programs+(Alberta)" TargetMode="External"/><Relationship Id="rId189" Type="http://schemas.openxmlformats.org/officeDocument/2006/relationships/hyperlink" Target="https://www.google.com/search?newwindow=1&amp;ei=2MT0XrvGGM-vytMP1OyDgAY&amp;q=site%3Alinkedin.com+Marvinn+Antonio+Student+Support+Specialist,+Language+Programs" TargetMode="External"/><Relationship Id="rId188" Type="http://schemas.openxmlformats.org/officeDocument/2006/relationships/hyperlink" Target="https://www.google.com/search?newwindow=1&amp;ei=2MT0XrvGGM-vytMP1OyDgAY&amp;q=site%3Alinkedin.com+Anmol+Hehar+Coordinator+-+HR+&amp;+Student/Associate+Programs" TargetMode="External"/><Relationship Id="rId183" Type="http://schemas.openxmlformats.org/officeDocument/2006/relationships/hyperlink" Target="https://www.google.com/search?newwindow=1&amp;ei=2MT0XrvGGM-vytMP1OyDgAY&amp;q=site%3Alinkedin.com+Guiomar+Rouillard+Campus+Recruiter-Western+Canada" TargetMode="External"/><Relationship Id="rId182" Type="http://schemas.openxmlformats.org/officeDocument/2006/relationships/hyperlink" Target="https://www.google.com/search?newwindow=1&amp;ei=2MT0XrvGGM-vytMP1OyDgAY&amp;q=site%3Alinkedin.com+Stella+Bamurekye+International+Student+recruiter" TargetMode="External"/><Relationship Id="rId181" Type="http://schemas.openxmlformats.org/officeDocument/2006/relationships/hyperlink" Target="https://www.google.com/search?newwindow=1&amp;ei=2MT0XrvGGM-vytMP1OyDgAY&amp;q=site%3Alinkedin.com+Zi+Yu+Peng+College+Recruiter" TargetMode="External"/><Relationship Id="rId180" Type="http://schemas.openxmlformats.org/officeDocument/2006/relationships/hyperlink" Target="https://www.google.com/search?newwindow=1&amp;ei=2MT0XrvGGM-vytMP1OyDgAY&amp;q=site%3Alinkedin.com+Casey+Bryant+Campus+Recruiting+Team+Member" TargetMode="External"/><Relationship Id="rId176" Type="http://schemas.openxmlformats.org/officeDocument/2006/relationships/hyperlink" Target="https://www.google.com/search?newwindow=1&amp;ei=2MT0XrvGGM-vytMP1OyDgAY&amp;q=site%3Alinkedin.com+Aimee+Tadeo+Admission+Advisor/Student+Recruiter" TargetMode="External"/><Relationship Id="rId175" Type="http://schemas.openxmlformats.org/officeDocument/2006/relationships/hyperlink" Target="https://www.google.com/search?newwindow=1&amp;ei=2MT0XrvGGM-vytMP1OyDgAY&amp;q=site%3Alinkedin.com+Jessica+Abel+University+Recruiter,+Americas" TargetMode="External"/><Relationship Id="rId174" Type="http://schemas.openxmlformats.org/officeDocument/2006/relationships/hyperlink" Target="https://www.google.com/search?newwindow=1&amp;ei=2MT0XrvGGM-vytMP1OyDgAY&amp;q=site%3Alinkedin.com+Amanda+Pearson+Campus+Recruiter" TargetMode="External"/><Relationship Id="rId173" Type="http://schemas.openxmlformats.org/officeDocument/2006/relationships/hyperlink" Target="https://www.google.com/search?newwindow=1&amp;ei=2MT0XrvGGM-vytMP1OyDgAY&amp;q=site%3Alinkedin.com+Michael+McKinlay,+MBA+Student+Recruiter" TargetMode="External"/><Relationship Id="rId179" Type="http://schemas.openxmlformats.org/officeDocument/2006/relationships/hyperlink" Target="https://www.google.com/search?newwindow=1&amp;ei=2MT0XrvGGM-vytMP1OyDgAY&amp;q=site%3Alinkedin.com+Kasia+Sterniczuk+Talent+Attraction+Manager+-+Campus+Recruiting" TargetMode="External"/><Relationship Id="rId178" Type="http://schemas.openxmlformats.org/officeDocument/2006/relationships/hyperlink" Target="https://www.google.com/search?newwindow=1&amp;ei=2MT0XrvGGM-vytMP1OyDgAY&amp;q=site%3Alinkedin.com+Rita+Matveyenko+International+Student+Recruiter+and+Partnership+Development+Officer" TargetMode="External"/><Relationship Id="rId177" Type="http://schemas.openxmlformats.org/officeDocument/2006/relationships/hyperlink" Target="https://www.google.com/search?newwindow=1&amp;ei=2MT0XrvGGM-vytMP1OyDgAY&amp;q=site%3Alinkedin.com+Adela+Harja+University+Recruiting+Programs+Support" TargetMode="External"/><Relationship Id="rId198" Type="http://schemas.openxmlformats.org/officeDocument/2006/relationships/hyperlink" Target="https://www.google.com/search?newwindow=1&amp;ei=2MT0XrvGGM-vytMP1OyDgAY&amp;q=site%3Alinkedin.com+Steven+Ekert+Analyst,+Engineering+Campus+Recruiting" TargetMode="External"/><Relationship Id="rId197" Type="http://schemas.openxmlformats.org/officeDocument/2006/relationships/hyperlink" Target="https://www.google.com/search?newwindow=1&amp;ei=2MT0XrvGGM-vytMP1OyDgAY&amp;q=site%3Alinkedin.com+Tenzin+D+Associate+&amp;+Student+Programs+Coordinator" TargetMode="External"/><Relationship Id="rId196" Type="http://schemas.openxmlformats.org/officeDocument/2006/relationships/hyperlink" Target="https://www.google.com/search?newwindow=1&amp;ei=2MT0XrvGGM-vytMP1OyDgAY&amp;q=site%3Alinkedin.com+Brock+Robertson+Co-ordinaor,+International+Student+Programs+(Science)" TargetMode="External"/><Relationship Id="rId195" Type="http://schemas.openxmlformats.org/officeDocument/2006/relationships/hyperlink" Target="https://www.google.com/search?newwindow=1&amp;ei=2MT0XrvGGM-vytMP1OyDgAY&amp;q=site%3Alinkedin.com+Carole+Tucker+Student+Advisor,+Aboriginal+Programs+&amp;+Support+Services" TargetMode="External"/><Relationship Id="rId199" Type="http://schemas.openxmlformats.org/officeDocument/2006/relationships/hyperlink" Target="https://www.google.com/search?newwindow=1&amp;ei=2MT0XrvGGM-vytMP1OyDgAY&amp;q=site%3Alinkedin.com+Liz+Souza+Senior+Associate+-+Campus+Recruiting,+Technology" TargetMode="External"/><Relationship Id="rId150" Type="http://schemas.openxmlformats.org/officeDocument/2006/relationships/hyperlink" Target="https://www.google.com/search?newwindow=1&amp;ei=2MT0XrvGGM-vytMP1OyDgAY&amp;q=site%3Alinkedin.com+Karen+Otway+(O'Brien)+Student+Recruiter+Lead" TargetMode="External"/><Relationship Id="rId149" Type="http://schemas.openxmlformats.org/officeDocument/2006/relationships/hyperlink" Target="https://www.google.com/search?newwindow=1&amp;ei=2MT0XrvGGM-vytMP1OyDgAY&amp;q=site%3Alinkedin.com+Megan+Ryan+Student+Recruiter" TargetMode="External"/><Relationship Id="rId148" Type="http://schemas.openxmlformats.org/officeDocument/2006/relationships/hyperlink" Target="https://www.google.com/search?newwindow=1&amp;ei=2MT0XrvGGM-vytMP1OyDgAY&amp;q=site%3Alinkedin.com+Jenna+Felske+Student+Recruiter" TargetMode="External"/><Relationship Id="rId3270" Type="http://schemas.openxmlformats.org/officeDocument/2006/relationships/hyperlink" Target="https://www.google.com/search?newwindow=1&amp;ei=2MT0XrvGGM-vytMP1OyDgAY&amp;q=site%3Alinkedin.com+Angela+Bangert+Senior+Recruiter+University+Relations+Kohl's" TargetMode="External"/><Relationship Id="rId3272" Type="http://schemas.openxmlformats.org/officeDocument/2006/relationships/hyperlink" Target="https://www.google.com/search?newwindow=1&amp;ei=2MT0XrvGGM-vytMP1OyDgAY&amp;q=site%3Alinkedin.com+Eudulia+Velez+Campus+Recruiter+Kohl's" TargetMode="External"/><Relationship Id="rId3271" Type="http://schemas.openxmlformats.org/officeDocument/2006/relationships/hyperlink" Target="https://www.google.com/search?newwindow=1&amp;ei=2MT0XrvGGM-vytMP1OyDgAY&amp;q=site%3Alinkedin.com+Darci+Curtin+Campus+Recruiter+EY" TargetMode="External"/><Relationship Id="rId143" Type="http://schemas.openxmlformats.org/officeDocument/2006/relationships/hyperlink" Target="https://www.google.com/search?newwindow=1&amp;ei=2MT0XrvGGM-vytMP1OyDgAY&amp;q=site%3Alinkedin.com+Charlene+Coleman+Airbus+Group+-+Recruitment+Business+Partner+for+Airbus+Defence+and+Space+(UK)" TargetMode="External"/><Relationship Id="rId3274" Type="http://schemas.openxmlformats.org/officeDocument/2006/relationships/hyperlink" Target="https://www.google.com/search?newwindow=1&amp;ei=2MT0XrvGGM-vytMP1OyDgAY&amp;q=site%3Alinkedin.com+Ashlee+Harry+Fall+NE+Campus+Team+Recruiter+Kohl's" TargetMode="External"/><Relationship Id="rId142" Type="http://schemas.openxmlformats.org/officeDocument/2006/relationships/hyperlink" Target="https://www.google.com/search?newwindow=1&amp;ei=2MT0XrvGGM-vytMP1OyDgAY&amp;q=site%3Alinkedin.com+Natalie+Smith+Membership+&amp;+Programs+Manager" TargetMode="External"/><Relationship Id="rId3273" Type="http://schemas.openxmlformats.org/officeDocument/2006/relationships/hyperlink" Target="https://www.google.com/search?newwindow=1&amp;ei=2MT0XrvGGM-vytMP1OyDgAY&amp;q=site%3Alinkedin.com+Jessi+Dale+Seattle+&amp;+Portland+Campus+Recruiter+-+West+Region+Diversity+and+Inclusion+Internship+(Launch)+Lead+EY" TargetMode="External"/><Relationship Id="rId141" Type="http://schemas.openxmlformats.org/officeDocument/2006/relationships/hyperlink" Target="https://www.google.com/search?newwindow=1&amp;ei=2MT0XrvGGM-vytMP1OyDgAY&amp;q=site%3Alinkedin.com+Chloe+Hall+University+Recruiter" TargetMode="External"/><Relationship Id="rId3276" Type="http://schemas.openxmlformats.org/officeDocument/2006/relationships/hyperlink" Target="https://www.google.com/search?newwindow=1&amp;ei=2MT0XrvGGM-vytMP1OyDgAY&amp;q=site%3Alinkedin.com+Steven+Bothwell+Early+Talent+Campus+Recruiter+Kohl's" TargetMode="External"/><Relationship Id="rId140" Type="http://schemas.openxmlformats.org/officeDocument/2006/relationships/hyperlink" Target="https://www.google.com/search?newwindow=1&amp;ei=2MT0XrvGGM-vytMP1OyDgAY&amp;q=site%3Alinkedin.com+Owen+Gough+Graduate+Recruiter" TargetMode="External"/><Relationship Id="rId3275" Type="http://schemas.openxmlformats.org/officeDocument/2006/relationships/hyperlink" Target="https://www.google.com/search?newwindow=1&amp;ei=2MT0XrvGGM-vytMP1OyDgAY&amp;q=site%3Alinkedin.com+Jennifer+Weeks+Campus+Recruiter+EY" TargetMode="External"/><Relationship Id="rId147" Type="http://schemas.openxmlformats.org/officeDocument/2006/relationships/hyperlink" Target="https://www.google.com/search?newwindow=1&amp;ei=2MT0XrvGGM-vytMP1OyDgAY&amp;q=site%3Alinkedin.com+Lauren+Dallow+Student+Recruiter" TargetMode="External"/><Relationship Id="rId3278" Type="http://schemas.openxmlformats.org/officeDocument/2006/relationships/hyperlink" Target="https://www.google.com/search?newwindow=1&amp;ei=2MT0XrvGGM-vytMP1OyDgAY&amp;q=site%3Alinkedin.com+Carina+Hernandez+Campus+Recruiter+Kohl's" TargetMode="External"/><Relationship Id="rId146" Type="http://schemas.openxmlformats.org/officeDocument/2006/relationships/hyperlink" Target="https://www.google.com/search?newwindow=1&amp;ei=2MT0XrvGGM-vytMP1OyDgAY&amp;q=site%3Alinkedin.com+Brayden+Tielmann+Student+Recruiter" TargetMode="External"/><Relationship Id="rId3277" Type="http://schemas.openxmlformats.org/officeDocument/2006/relationships/hyperlink" Target="https://www.google.com/search?newwindow=1&amp;ei=2MT0XrvGGM-vytMP1OyDgAY&amp;q=site%3Alinkedin.com+Jessica+Gruber+Supervising+Associate+-+Campus+Recruiter+EY" TargetMode="External"/><Relationship Id="rId145" Type="http://schemas.openxmlformats.org/officeDocument/2006/relationships/hyperlink" Target="https://www.google.com/search?newwindow=1&amp;ei=2MT0XrvGGM-vytMP1OyDgAY&amp;q=site%3Alinkedin.com+Renae+Roles+Student+Recruiter-Advisor" TargetMode="External"/><Relationship Id="rId144" Type="http://schemas.openxmlformats.org/officeDocument/2006/relationships/hyperlink" Target="https://www.google.com/search?newwindow=1&amp;ei=2MT0XrvGGM-vytMP1OyDgAY&amp;q=site%3Alinkedin.com+Emily+Kandborg+International+Student+Recruiter" TargetMode="External"/><Relationship Id="rId3279" Type="http://schemas.openxmlformats.org/officeDocument/2006/relationships/hyperlink" Target="https://www.google.com/search?newwindow=1&amp;ei=2MT0XrvGGM-vytMP1OyDgAY&amp;q=site%3Alinkedin.com+Omni+Dean+Campus+Recruiting+Manager+kohl's+Department+Stores" TargetMode="External"/><Relationship Id="rId139" Type="http://schemas.openxmlformats.org/officeDocument/2006/relationships/hyperlink" Target="https://www.google.com/search?newwindow=1&amp;ei=2MT0XrvGGM-vytMP1OyDgAY&amp;q=site%3Alinkedin.com+Michaela+Tsiouva+Strategy+&amp;+Operations+Recruiter" TargetMode="External"/><Relationship Id="rId138" Type="http://schemas.openxmlformats.org/officeDocument/2006/relationships/hyperlink" Target="https://www.google.com/search?newwindow=1&amp;ei=2MT0XrvGGM-vytMP1OyDgAY&amp;q=site%3Alinkedin.com+Morgan+Elizabeth+Public+programs+assistant" TargetMode="External"/><Relationship Id="rId137" Type="http://schemas.openxmlformats.org/officeDocument/2006/relationships/hyperlink" Target="https://www.google.com/search?newwindow=1&amp;ei=2MT0XrvGGM-vytMP1OyDgAY&amp;q=site%3Alinkedin.com+Rachel+Fox+Student+Note-Taker" TargetMode="External"/><Relationship Id="rId4590" Type="http://schemas.openxmlformats.org/officeDocument/2006/relationships/hyperlink" Target="https://www.google.com/search?newwindow=1&amp;ei=2MT0XrvGGM-vytMP1OyDgAY&amp;q=site%3Alinkedin.com+Alexandra+Muller+University+Recruiter+Uber" TargetMode="External"/><Relationship Id="rId3261" Type="http://schemas.openxmlformats.org/officeDocument/2006/relationships/hyperlink" Target="https://www.google.com/search?newwindow=1&amp;ei=2MT0XrvGGM-vytMP1OyDgAY&amp;q=site%3Alinkedin.com+Jordan+W.+Campus+Recruiter+EY" TargetMode="External"/><Relationship Id="rId4592" Type="http://schemas.openxmlformats.org/officeDocument/2006/relationships/hyperlink" Target="https://www.google.com/search?newwindow=1&amp;ei=2MT0XrvGGM-vytMP1OyDgAY&amp;q=site%3Alinkedin.com+Gabrielle+Kaufman+Campus+Recruiter+UBS+Financial+Services" TargetMode="External"/><Relationship Id="rId3260" Type="http://schemas.openxmlformats.org/officeDocument/2006/relationships/hyperlink" Target="https://www.google.com/search?newwindow=1&amp;ei=2MT0XrvGGM-vytMP1OyDgAY&amp;q=site%3Alinkedin.com+Hannah+Post+College+Recruiter+-+Finance,+IT+&amp;+Marketing+Kimberly-Clark" TargetMode="External"/><Relationship Id="rId4591" Type="http://schemas.openxmlformats.org/officeDocument/2006/relationships/hyperlink" Target="https://www.google.com/search?newwindow=1&amp;ei=2MT0XrvGGM-vytMP1OyDgAY&amp;q=site%3Alinkedin.com+Annie+Clay+Campus+Recruiter+UBS" TargetMode="External"/><Relationship Id="rId132" Type="http://schemas.openxmlformats.org/officeDocument/2006/relationships/hyperlink" Target="https://www.google.com/search?newwindow=1&amp;ei=2MT0XrvGGM-vytMP1OyDgAY&amp;q=site%3Alinkedin.com+Nathan+Pugliese+The+Manager,+Strategy+&amp;+Performance,+International+Student+Programs" TargetMode="External"/><Relationship Id="rId3263" Type="http://schemas.openxmlformats.org/officeDocument/2006/relationships/hyperlink" Target="https://www.google.com/search?newwindow=1&amp;ei=2MT0XrvGGM-vytMP1OyDgAY&amp;q=site%3Alinkedin.com+Kayla+Masterson,+SHRM-+CP+College+Recruiter-+Research+&amp;+Engineering+Kimberly-Clark" TargetMode="External"/><Relationship Id="rId4594" Type="http://schemas.openxmlformats.org/officeDocument/2006/relationships/hyperlink" Target="https://www.google.com/search?newwindow=1&amp;ei=2MT0XrvGGM-vytMP1OyDgAY&amp;q=site%3Alinkedin.com+Gao+Lee+College+Recruiter+UnitedHealth+Group" TargetMode="External"/><Relationship Id="rId131" Type="http://schemas.openxmlformats.org/officeDocument/2006/relationships/hyperlink" Target="https://www.google.com/search?newwindow=1&amp;ei=2MT0XrvGGM-vytMP1OyDgAY&amp;q=site%3Alinkedin.com+Janelle+Peacock+Project+Officer+%7C+Strategy,+Quality+and+Compliance+%7C+International+Student+Programs" TargetMode="External"/><Relationship Id="rId3262" Type="http://schemas.openxmlformats.org/officeDocument/2006/relationships/hyperlink" Target="https://www.google.com/search?newwindow=1&amp;ei=2MT0XrvGGM-vytMP1OyDgAY&amp;q=site%3Alinkedin.com+Lauren+Sell+College+Recruiter+Kimberly-Clark" TargetMode="External"/><Relationship Id="rId4593" Type="http://schemas.openxmlformats.org/officeDocument/2006/relationships/hyperlink" Target="https://www.google.com/search?newwindow=1&amp;ei=2MT0XrvGGM-vytMP1OyDgAY&amp;q=site%3Alinkedin.com+Lauren+DeBowes+Assistant+Campus+Recruiter+UBS+Investment+Bank" TargetMode="External"/><Relationship Id="rId130" Type="http://schemas.openxmlformats.org/officeDocument/2006/relationships/hyperlink" Target="https://www.google.com/search?newwindow=1&amp;ei=2MT0XrvGGM-vytMP1OyDgAY&amp;q=site%3Alinkedin.com+Rowena+Robles+Manager,+State+Operations,+International+Student+Programs" TargetMode="External"/><Relationship Id="rId3265" Type="http://schemas.openxmlformats.org/officeDocument/2006/relationships/hyperlink" Target="https://www.google.com/search?newwindow=1&amp;ei=2MT0XrvGGM-vytMP1OyDgAY&amp;q=site%3Alinkedin.com+Joann+Milhaupt+College+Recruiter+-+Co-ops+and+Interns+Kimberly-Clark" TargetMode="External"/><Relationship Id="rId4596" Type="http://schemas.openxmlformats.org/officeDocument/2006/relationships/hyperlink" Target="https://www.google.com/search?newwindow=1&amp;ei=2MT0XrvGGM-vytMP1OyDgAY&amp;q=site%3Alinkedin.com+Jennifer+Coleman+University+Recruiter+Unity+Technologies" TargetMode="External"/><Relationship Id="rId3264" Type="http://schemas.openxmlformats.org/officeDocument/2006/relationships/hyperlink" Target="https://www.google.com/search?newwindow=1&amp;ei=2MT0XrvGGM-vytMP1OyDgAY&amp;q=site%3Alinkedin.com+Jennifer+Voss+Campus+Recruiting+Manager+EY" TargetMode="External"/><Relationship Id="rId4595" Type="http://schemas.openxmlformats.org/officeDocument/2006/relationships/hyperlink" Target="https://www.google.com/search?newwindow=1&amp;ei=2MT0XrvGGM-vytMP1OyDgAY&amp;q=site%3Alinkedin.com+Annie+Kennedy+Senior+College+Recruiter+UnitedHealth+Group" TargetMode="External"/><Relationship Id="rId136" Type="http://schemas.openxmlformats.org/officeDocument/2006/relationships/hyperlink" Target="https://www.google.com/search?newwindow=1&amp;ei=2MT0XrvGGM-vytMP1OyDgAY&amp;q=site%3Alinkedin.com+Jess+Schofield+Public+Programs+Assistant" TargetMode="External"/><Relationship Id="rId3267" Type="http://schemas.openxmlformats.org/officeDocument/2006/relationships/hyperlink" Target="https://www.google.com/search?newwindow=1&amp;ei=2MT0XrvGGM-vytMP1OyDgAY&amp;q=site%3Alinkedin.com+Andy+Salzwedel+College+Recruiter+Kimberly-Clark" TargetMode="External"/><Relationship Id="rId4598" Type="http://schemas.openxmlformats.org/officeDocument/2006/relationships/hyperlink" Target="https://www.google.com/search?newwindow=1&amp;ei=2MT0XrvGGM-vytMP1OyDgAY&amp;q=site%3Alinkedin.com+Christopher+Mellis+Campus+Recruiter+Verizon" TargetMode="External"/><Relationship Id="rId135" Type="http://schemas.openxmlformats.org/officeDocument/2006/relationships/hyperlink" Target="https://www.google.com/search?newwindow=1&amp;ei=2MT0XrvGGM-vytMP1OyDgAY&amp;q=site%3Alinkedin.com+Emma+Tanuvasa+Pacific+Island+Programs+Officer,+Student+Diversity+&amp;+Inclusion,+Student+Services" TargetMode="External"/><Relationship Id="rId3266" Type="http://schemas.openxmlformats.org/officeDocument/2006/relationships/hyperlink" Target="https://www.google.com/search?newwindow=1&amp;ei=2MT0XrvGGM-vytMP1OyDgAY&amp;q=site%3Alinkedin.com+Lauren+Vujovich+Campus+Recruiter+EY" TargetMode="External"/><Relationship Id="rId4597" Type="http://schemas.openxmlformats.org/officeDocument/2006/relationships/hyperlink" Target="https://www.google.com/search?newwindow=1&amp;ei=2MT0XrvGGM-vytMP1OyDgAY&amp;q=site%3Alinkedin.com+Claire+Skelly+University+Recruiter+Unity+Technologies" TargetMode="External"/><Relationship Id="rId134" Type="http://schemas.openxmlformats.org/officeDocument/2006/relationships/hyperlink" Target="https://www.google.com/search?newwindow=1&amp;ei=2MT0XrvGGM-vytMP1OyDgAY&amp;q=site%3Alinkedin.com+Heather+Yerdon+Medical+Student" TargetMode="External"/><Relationship Id="rId3269" Type="http://schemas.openxmlformats.org/officeDocument/2006/relationships/hyperlink" Target="https://www.google.com/search?newwindow=1&amp;ei=2MT0XrvGGM-vytMP1OyDgAY&amp;q=site%3Alinkedin.com+Julia+Silvestre+West+Campus+Lead+Recruiting+Coordinator+EY" TargetMode="External"/><Relationship Id="rId133" Type="http://schemas.openxmlformats.org/officeDocument/2006/relationships/hyperlink" Target="https://www.google.com/search?newwindow=1&amp;ei=2MT0XrvGGM-vytMP1OyDgAY&amp;q=site%3Alinkedin.com+Emma+Lockwood+Graduate+Program+Coordinator" TargetMode="External"/><Relationship Id="rId3268" Type="http://schemas.openxmlformats.org/officeDocument/2006/relationships/hyperlink" Target="https://www.google.com/search?newwindow=1&amp;ei=2MT0XrvGGM-vytMP1OyDgAY&amp;q=site%3Alinkedin.com+Samantha+Pierre-Alexander+Campus+Recruiter+Kohl's" TargetMode="External"/><Relationship Id="rId4599" Type="http://schemas.openxmlformats.org/officeDocument/2006/relationships/hyperlink" Target="https://www.google.com/search?newwindow=1&amp;ei=2MT0XrvGGM-vytMP1OyDgAY&amp;q=site%3Alinkedin.com+Derek+Penzort+Campus+Recruiter+Verizon" TargetMode="External"/><Relationship Id="rId172" Type="http://schemas.openxmlformats.org/officeDocument/2006/relationships/hyperlink" Target="https://www.google.com/search?newwindow=1&amp;ei=2MT0XrvGGM-vytMP1OyDgAY&amp;q=site%3Alinkedin.com+Ty+Logan+Programs+Officer" TargetMode="External"/><Relationship Id="rId171" Type="http://schemas.openxmlformats.org/officeDocument/2006/relationships/hyperlink" Target="https://www.google.com/search?newwindow=1&amp;ei=2MT0XrvGGM-vytMP1OyDgAY&amp;q=site%3Alinkedin.com+Mark+Fell+University+Recruitment+Business+Partner" TargetMode="External"/><Relationship Id="rId170" Type="http://schemas.openxmlformats.org/officeDocument/2006/relationships/hyperlink" Target="https://www.google.com/search?newwindow=1&amp;ei=2MT0XrvGGM-vytMP1OyDgAY&amp;q=site%3Alinkedin.com+Carolyn+Hanna+Coordinator,+International+Graduate+Student+Programs" TargetMode="External"/><Relationship Id="rId3290" Type="http://schemas.openxmlformats.org/officeDocument/2006/relationships/hyperlink" Target="https://www.google.com/search?newwindow=1&amp;ei=2MT0XrvGGM-vytMP1OyDgAY&amp;q=site%3Alinkedin.com+Natalie+Twilley+Assistant+Store+Manager-Operations/Childrens,+Footwear,+and+Home+Kohl's+Department+Stores" TargetMode="External"/><Relationship Id="rId3292" Type="http://schemas.openxmlformats.org/officeDocument/2006/relationships/hyperlink" Target="https://www.google.com/search?newwindow=1&amp;ei=2MT0XrvGGM-vytMP1OyDgAY&amp;q=site%3Alinkedin.com+Jeannie+LaDriere,+MBA,+CIR+Senior+University+Recruiter+Korn+Ferry+on+HPE+Account" TargetMode="External"/><Relationship Id="rId3291" Type="http://schemas.openxmlformats.org/officeDocument/2006/relationships/hyperlink" Target="https://www.google.com/search?newwindow=1&amp;ei=2MT0XrvGGM-vytMP1OyDgAY&amp;q=site%3Alinkedin.com+Sarai+Dennison+University+Recruiter+Facebook" TargetMode="External"/><Relationship Id="rId3294" Type="http://schemas.openxmlformats.org/officeDocument/2006/relationships/hyperlink" Target="https://www.google.com/search?newwindow=1&amp;ei=2MT0XrvGGM-vytMP1OyDgAY&amp;q=site%3Alinkedin.com+Sarah+Harari+Manager,+Campus+Recruiting+KPMG" TargetMode="External"/><Relationship Id="rId3293" Type="http://schemas.openxmlformats.org/officeDocument/2006/relationships/hyperlink" Target="https://www.google.com/search?newwindow=1&amp;ei=2MT0XrvGGM-vytMP1OyDgAY&amp;q=site%3Alinkedin.com+Candice+Simpson+Infrastructure+University+Recruiter+Facebook" TargetMode="External"/><Relationship Id="rId165" Type="http://schemas.openxmlformats.org/officeDocument/2006/relationships/hyperlink" Target="https://www.google.com/search?newwindow=1&amp;ei=2MT0XrvGGM-vytMP1OyDgAY&amp;q=site%3Alinkedin.com+Tessa+Briglio+Student+Affairs+Coordinator+-+Faculty+of+Applied+Sciences" TargetMode="External"/><Relationship Id="rId3296" Type="http://schemas.openxmlformats.org/officeDocument/2006/relationships/hyperlink" Target="https://www.google.com/search?newwindow=1&amp;ei=2MT0XrvGGM-vytMP1OyDgAY&amp;q=site%3Alinkedin.com+Donnell+Jackson+University+Recruiter+Facebook" TargetMode="External"/><Relationship Id="rId164" Type="http://schemas.openxmlformats.org/officeDocument/2006/relationships/hyperlink" Target="https://www.google.com/search?newwindow=1&amp;ei=2MT0XrvGGM-vytMP1OyDgAY&amp;q=site%3Alinkedin.com+Claire+Wilson+Student+Recruiter+-+Faculty+of+Science" TargetMode="External"/><Relationship Id="rId3295" Type="http://schemas.openxmlformats.org/officeDocument/2006/relationships/hyperlink" Target="https://www.google.com/search?newwindow=1&amp;ei=2MT0XrvGGM-vytMP1OyDgAY&amp;q=site%3Alinkedin.com+Li+Steinberg+Campus+Recruiting+Manager+KPMG" TargetMode="External"/><Relationship Id="rId163" Type="http://schemas.openxmlformats.org/officeDocument/2006/relationships/hyperlink" Target="https://www.google.com/search?newwindow=1&amp;ei=2MT0XrvGGM-vytMP1OyDgAY&amp;q=site%3Alinkedin.com+Allana+Davis+Student+Recruiter" TargetMode="External"/><Relationship Id="rId3298" Type="http://schemas.openxmlformats.org/officeDocument/2006/relationships/hyperlink" Target="https://www.google.com/search?newwindow=1&amp;ei=2MT0XrvGGM-vytMP1OyDgAY&amp;q=site%3Alinkedin.com+Jenna+Satterfield+University+Programs+Manager+Facebook" TargetMode="External"/><Relationship Id="rId162" Type="http://schemas.openxmlformats.org/officeDocument/2006/relationships/hyperlink" Target="https://www.google.com/search?newwindow=1&amp;ei=2MT0XrvGGM-vytMP1OyDgAY&amp;q=site%3Alinkedin.com+Jessica+Kelly-Noakes+Graduate+Recruiter+and+University+Partnerships+Consultant" TargetMode="External"/><Relationship Id="rId3297" Type="http://schemas.openxmlformats.org/officeDocument/2006/relationships/hyperlink" Target="https://www.google.com/search?newwindow=1&amp;ei=2MT0XrvGGM-vytMP1OyDgAY&amp;q=site%3Alinkedin.com+Carly+Merrell+Campus+Recruiter+KPMG" TargetMode="External"/><Relationship Id="rId169" Type="http://schemas.openxmlformats.org/officeDocument/2006/relationships/hyperlink" Target="https://www.google.com/search?newwindow=1&amp;ei=2MT0XrvGGM-vytMP1OyDgAY&amp;q=site%3Alinkedin.com+Hiroshi+Yasuoka+Recruitment,+Academic+and+Student+Affairs+Advisor,+Undergraduate+Programs,+Beedie+School+of+Business" TargetMode="External"/><Relationship Id="rId168" Type="http://schemas.openxmlformats.org/officeDocument/2006/relationships/hyperlink" Target="https://www.google.com/search?newwindow=1&amp;ei=2MT0XrvGGM-vytMP1OyDgAY&amp;q=site%3Alinkedin.com+Donna+Pistilli+Associate+&amp;+Student+Programs+Coordinator" TargetMode="External"/><Relationship Id="rId3299" Type="http://schemas.openxmlformats.org/officeDocument/2006/relationships/hyperlink" Target="https://www.google.com/search?newwindow=1&amp;ei=2MT0XrvGGM-vytMP1OyDgAY&amp;q=site%3Alinkedin.com+Danielle+Watson+Associate+Director+of+Campus+Recruiting,+Advisory+Services+KPMG" TargetMode="External"/><Relationship Id="rId167" Type="http://schemas.openxmlformats.org/officeDocument/2006/relationships/hyperlink" Target="https://www.google.com/search?newwindow=1&amp;ei=2MT0XrvGGM-vytMP1OyDgAY&amp;q=site%3Alinkedin.com+Denise+Somuah-Asamoah+Virtual+Programs+Assistant" TargetMode="External"/><Relationship Id="rId166" Type="http://schemas.openxmlformats.org/officeDocument/2006/relationships/hyperlink" Target="https://www.google.com/search?newwindow=1&amp;ei=2MT0XrvGGM-vytMP1OyDgAY&amp;q=site%3Alinkedin.com+Ashlyn+Monks+Campus+Recruiter" TargetMode="External"/><Relationship Id="rId161" Type="http://schemas.openxmlformats.org/officeDocument/2006/relationships/hyperlink" Target="https://www.google.com/search?newwindow=1&amp;ei=2MT0XrvGGM-vytMP1OyDgAY&amp;q=site%3Alinkedin.com+Kristi+Fields+Interview+Partner,+Campus+Recruiting" TargetMode="External"/><Relationship Id="rId160" Type="http://schemas.openxmlformats.org/officeDocument/2006/relationships/hyperlink" Target="https://www.google.com/search?newwindow=1&amp;ei=2MT0XrvGGM-vytMP1OyDgAY&amp;q=site%3Alinkedin.com+Gregg+Pica+Senior+Campus+Recruiting+Coordinator" TargetMode="External"/><Relationship Id="rId159" Type="http://schemas.openxmlformats.org/officeDocument/2006/relationships/hyperlink" Target="https://www.google.com/search?newwindow=1&amp;ei=2MT0XrvGGM-vytMP1OyDgAY&amp;q=site%3Alinkedin.com+Abir+Rahi+CodeNext+Student" TargetMode="External"/><Relationship Id="rId3281" Type="http://schemas.openxmlformats.org/officeDocument/2006/relationships/hyperlink" Target="https://www.google.com/search?newwindow=1&amp;ei=2MT0XrvGGM-vytMP1OyDgAY&amp;q=site%3Alinkedin.com+Gary+Wegrzyn+Digital+Campus+Recruiter+Kohl's+Department+Stores" TargetMode="External"/><Relationship Id="rId3280" Type="http://schemas.openxmlformats.org/officeDocument/2006/relationships/hyperlink" Target="https://www.google.com/search?newwindow=1&amp;ei=2MT0XrvGGM-vytMP1OyDgAY&amp;q=site%3Alinkedin.com+Kelly+Kasenetz+Campus+Recruiting+EY" TargetMode="External"/><Relationship Id="rId3283" Type="http://schemas.openxmlformats.org/officeDocument/2006/relationships/hyperlink" Target="https://www.google.com/search?newwindow=1&amp;ei=2MT0XrvGGM-vytMP1OyDgAY&amp;q=site%3Alinkedin.com+Melissa+Payne+Campus+Manager/Recruiter+Kohl's+Department+Stores" TargetMode="External"/><Relationship Id="rId3282" Type="http://schemas.openxmlformats.org/officeDocument/2006/relationships/hyperlink" Target="https://www.google.com/search?newwindow=1&amp;ei=2MT0XrvGGM-vytMP1OyDgAY&amp;q=site%3Alinkedin.com+Tori+Hoffman+Early+Talent+Recruiter+Kohl's+Department+Stores" TargetMode="External"/><Relationship Id="rId154" Type="http://schemas.openxmlformats.org/officeDocument/2006/relationships/hyperlink" Target="https://www.google.com/search?newwindow=1&amp;ei=2MT0XrvGGM-vytMP1OyDgAY&amp;q=site%3Alinkedin.com+Jessica+Franklin+Graduate+Recruiter" TargetMode="External"/><Relationship Id="rId3285" Type="http://schemas.openxmlformats.org/officeDocument/2006/relationships/hyperlink" Target="https://www.google.com/search?newwindow=1&amp;ei=2MT0XrvGGM-vytMP1OyDgAY&amp;q=site%3Alinkedin.com+Ali+Reiff+University+Recruiter+Facebook" TargetMode="External"/><Relationship Id="rId153" Type="http://schemas.openxmlformats.org/officeDocument/2006/relationships/hyperlink" Target="https://www.google.com/search?newwindow=1&amp;ei=2MT0XrvGGM-vytMP1OyDgAY&amp;q=site%3Alinkedin.com+Catherine+Camp+University+Recruiter" TargetMode="External"/><Relationship Id="rId3284" Type="http://schemas.openxmlformats.org/officeDocument/2006/relationships/hyperlink" Target="https://www.google.com/search?newwindow=1&amp;ei=2MT0XrvGGM-vytMP1OyDgAY&amp;q=site%3Alinkedin.com+Erica+Trotta+Senior+Executive+Recruiter+Kohl's+Department+Stores" TargetMode="External"/><Relationship Id="rId152" Type="http://schemas.openxmlformats.org/officeDocument/2006/relationships/hyperlink" Target="https://www.google.com/search?newwindow=1&amp;ei=2MT0XrvGGM-vytMP1OyDgAY&amp;q=site%3Alinkedin.com+Brianne+Lakeman+Co-op+Student+-+Compensation+Policy+and+Programs" TargetMode="External"/><Relationship Id="rId3287" Type="http://schemas.openxmlformats.org/officeDocument/2006/relationships/hyperlink" Target="https://www.google.com/search?newwindow=1&amp;ei=2MT0XrvGGM-vytMP1OyDgAY&amp;q=site%3Alinkedin.com+Crystal+Wood+University+Recruiter+Facebook" TargetMode="External"/><Relationship Id="rId151" Type="http://schemas.openxmlformats.org/officeDocument/2006/relationships/hyperlink" Target="https://www.google.com/search?newwindow=1&amp;ei=2MT0XrvGGM-vytMP1OyDgAY&amp;q=site%3Alinkedin.com+Halyna+Petryshyn+Student+Recruiter+-+Advisor" TargetMode="External"/><Relationship Id="rId3286" Type="http://schemas.openxmlformats.org/officeDocument/2006/relationships/hyperlink" Target="https://www.google.com/search?newwindow=1&amp;ei=2MT0XrvGGM-vytMP1OyDgAY&amp;q=site%3Alinkedin.com+Michael+Tran+Campus+Recruiter+Kohl's+Department+Stores" TargetMode="External"/><Relationship Id="rId158" Type="http://schemas.openxmlformats.org/officeDocument/2006/relationships/hyperlink" Target="https://www.google.com/search?newwindow=1&amp;ei=2MT0XrvGGM-vytMP1OyDgAY&amp;q=site%3Alinkedin.com+Missy+Miller+Consulting+Campus+Recruiting+Leader" TargetMode="External"/><Relationship Id="rId3289" Type="http://schemas.openxmlformats.org/officeDocument/2006/relationships/hyperlink" Target="https://www.google.com/search?newwindow=1&amp;ei=2MT0XrvGGM-vytMP1OyDgAY&amp;q=site%3Alinkedin.com+Benjamin+Pastor+University+Recruiter+-+Software+Engineering:+MIT+&amp;+Harvard+Facebook" TargetMode="External"/><Relationship Id="rId157" Type="http://schemas.openxmlformats.org/officeDocument/2006/relationships/hyperlink" Target="https://www.google.com/search?newwindow=1&amp;ei=2MT0XrvGGM-vytMP1OyDgAY&amp;q=site%3Alinkedin.com+Robin+Diglio+Vice+President,+Campus+Recruiting+and+Entry+Programs" TargetMode="External"/><Relationship Id="rId3288" Type="http://schemas.openxmlformats.org/officeDocument/2006/relationships/hyperlink" Target="https://www.google.com/search?newwindow=1&amp;ei=2MT0XrvGGM-vytMP1OyDgAY&amp;q=site%3Alinkedin.com+Annelisa+Melendez+On-+Campus+Recruiter+Kohl's+Department+Stores" TargetMode="External"/><Relationship Id="rId156" Type="http://schemas.openxmlformats.org/officeDocument/2006/relationships/hyperlink" Target="https://www.google.com/search?newwindow=1&amp;ei=2MT0XrvGGM-vytMP1OyDgAY&amp;q=site%3Alinkedin.com+Gregory+Lopez+Campus+recruiting+senior+specialist" TargetMode="External"/><Relationship Id="rId155" Type="http://schemas.openxmlformats.org/officeDocument/2006/relationships/hyperlink" Target="https://www.google.com/search?newwindow=1&amp;ei=2MT0XrvGGM-vytMP1OyDgAY&amp;q=site%3Alinkedin.com+Kwame+Joseph+Campus+Recruiting+Coordinator+onsite+at+Goldman+Sachs+via+ADP+RPO" TargetMode="External"/><Relationship Id="rId2820" Type="http://schemas.openxmlformats.org/officeDocument/2006/relationships/hyperlink" Target="https://www.google.com/search?newwindow=1&amp;ei=2MT0XrvGGM-vytMP1OyDgAY&amp;q=site%3Alinkedin.com+Luc%C3%ADa+Ar%C3%A9valo+Valeta+University+Recruiter,+Diversity+Facebook" TargetMode="External"/><Relationship Id="rId2821" Type="http://schemas.openxmlformats.org/officeDocument/2006/relationships/hyperlink" Target="https://www.google.com/search?newwindow=1&amp;ei=2MT0XrvGGM-vytMP1OyDgAY&amp;q=site%3Alinkedin.com+Christine+Kane+Employee+Engagement+Program+Manager+Comcast" TargetMode="External"/><Relationship Id="rId2822" Type="http://schemas.openxmlformats.org/officeDocument/2006/relationships/hyperlink" Target="https://www.google.com/search?newwindow=1&amp;ei=2MT0XrvGGM-vytMP1OyDgAY&amp;q=site%3Alinkedin.com+Urooj+S.+University+Recruiter+Facebook" TargetMode="External"/><Relationship Id="rId2823" Type="http://schemas.openxmlformats.org/officeDocument/2006/relationships/hyperlink" Target="https://www.google.com/search?newwindow=1&amp;ei=2MT0XrvGGM-vytMP1OyDgAY&amp;q=site%3Alinkedin.com+Emilio+Arias+(He/Him)+University+Recruiter+-+Production+Engineering+Facebook" TargetMode="External"/><Relationship Id="rId2824" Type="http://schemas.openxmlformats.org/officeDocument/2006/relationships/hyperlink" Target="https://www.google.com/search?newwindow=1&amp;ei=2MT0XrvGGM-vytMP1OyDgAY&amp;q=site%3Alinkedin.com+Christine+Kane+University+Relations+Campus+Recruiter+Comcast" TargetMode="External"/><Relationship Id="rId2825" Type="http://schemas.openxmlformats.org/officeDocument/2006/relationships/hyperlink" Target="https://www.google.com/search?newwindow=1&amp;ei=2MT0XrvGGM-vytMP1OyDgAY&amp;q=site%3Alinkedin.com+Lawrence+A.+Lucas+III+University+Recruiter+Facebook" TargetMode="External"/><Relationship Id="rId2826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2827" Type="http://schemas.openxmlformats.org/officeDocument/2006/relationships/hyperlink" Target="https://www.google.com/search?newwindow=1&amp;ei=2MT0XrvGGM-vytMP1OyDgAY&amp;q=site%3Alinkedin.com+Erin+Johnson+University+Recruiter,+Analytics+Facebook" TargetMode="External"/><Relationship Id="rId2828" Type="http://schemas.openxmlformats.org/officeDocument/2006/relationships/hyperlink" Target="https://www.google.com/search?newwindow=1&amp;ei=2MT0XrvGGM-vytMP1OyDgAY&amp;q=site%3Alinkedin.com+Melanie+Hunter+University+Relations+Recruiter+Comcast" TargetMode="External"/><Relationship Id="rId2829" Type="http://schemas.openxmlformats.org/officeDocument/2006/relationships/hyperlink" Target="https://www.google.com/search?newwindow=1&amp;ei=2MT0XrvGGM-vytMP1OyDgAY&amp;q=site%3Alinkedin.com+Stefanie+Chorianopoulos+Full+Cycle+University+Recruiter+Facebook" TargetMode="External"/><Relationship Id="rId2810" Type="http://schemas.openxmlformats.org/officeDocument/2006/relationships/hyperlink" Target="https://www.google.com/search?newwindow=1&amp;ei=2MT0XrvGGM-vytMP1OyDgAY&amp;q=site%3Alinkedin.com+Marina+Moreno+University+Recruiter+Facebook" TargetMode="External"/><Relationship Id="rId2811" Type="http://schemas.openxmlformats.org/officeDocument/2006/relationships/hyperlink" Target="https://www.google.com/search?newwindow=1&amp;ei=2MT0XrvGGM-vytMP1OyDgAY&amp;q=site%3Alinkedin.com+Stacey+Kubler+Lead+University+Recruiter+Citrix" TargetMode="External"/><Relationship Id="rId2812" Type="http://schemas.openxmlformats.org/officeDocument/2006/relationships/hyperlink" Target="https://www.google.com/search?newwindow=1&amp;ei=2MT0XrvGGM-vytMP1OyDgAY&amp;q=site%3Alinkedin.com+Gwen+Mahurin+University+Recruiter+Facebook" TargetMode="External"/><Relationship Id="rId2813" Type="http://schemas.openxmlformats.org/officeDocument/2006/relationships/hyperlink" Target="https://www.google.com/search?newwindow=1&amp;ei=2MT0XrvGGM-vytMP1OyDgAY&amp;q=site%3Alinkedin.com+Jacqueline+Kelley+University+Recruiter+Cognizant" TargetMode="External"/><Relationship Id="rId2814" Type="http://schemas.openxmlformats.org/officeDocument/2006/relationships/hyperlink" Target="https://www.google.com/search?newwindow=1&amp;ei=2MT0XrvGGM-vytMP1OyDgAY&amp;q=site%3Alinkedin.com+Emily+Caceres+University+Recruiter+Facebook" TargetMode="External"/><Relationship Id="rId2815" Type="http://schemas.openxmlformats.org/officeDocument/2006/relationships/hyperlink" Target="https://www.google.com/search?newwindow=1&amp;ei=2MT0XrvGGM-vytMP1OyDgAY&amp;q=site%3Alinkedin.com+Theresa+Kaufman+University+Recruiter+Facebook" TargetMode="External"/><Relationship Id="rId2816" Type="http://schemas.openxmlformats.org/officeDocument/2006/relationships/hyperlink" Target="https://www.google.com/search?newwindow=1&amp;ei=2MT0XrvGGM-vytMP1OyDgAY&amp;q=site%3Alinkedin.com+Kel+Lau+University+Recruiter+Facebook" TargetMode="External"/><Relationship Id="rId2817" Type="http://schemas.openxmlformats.org/officeDocument/2006/relationships/hyperlink" Target="https://www.google.com/search?newwindow=1&amp;ei=2MT0XrvGGM-vytMP1OyDgAY&amp;q=site%3Alinkedin.com+Rick+Dreger+University+Relations+Recruiter+Comcast" TargetMode="External"/><Relationship Id="rId2818" Type="http://schemas.openxmlformats.org/officeDocument/2006/relationships/hyperlink" Target="https://www.google.com/search?newwindow=1&amp;ei=2MT0XrvGGM-vytMP1OyDgAY&amp;q=site%3Alinkedin.com+Stephanie+Roesbery+University+Recruiter+%7C+Infrastructure+Foundation+Facebook" TargetMode="External"/><Relationship Id="rId2819" Type="http://schemas.openxmlformats.org/officeDocument/2006/relationships/hyperlink" Target="https://www.google.com/search?newwindow=1&amp;ei=2MT0XrvGGM-vytMP1OyDgAY&amp;q=site%3Alinkedin.com+Alexandra+Riley+Zullo+Senior+University+Relations+Recruiter+Comcast" TargetMode="External"/><Relationship Id="rId1510" Type="http://schemas.openxmlformats.org/officeDocument/2006/relationships/hyperlink" Target="https://www.google.com/search?newwindow=1&amp;ei=2MT0XrvGGM-vytMP1OyDgAY&amp;q=site%3Alinkedin.com+Daniel+Smith+Student+Experience+Programs+Coordinator" TargetMode="External"/><Relationship Id="rId2841" Type="http://schemas.openxmlformats.org/officeDocument/2006/relationships/hyperlink" Target="https://www.google.com/search?newwindow=1&amp;ei=2MT0XrvGGM-vytMP1OyDgAY&amp;q=site%3Alinkedin.com+Jennifer+Wilson+Campus+Recruiter+-+Investment+Banking+&amp;+Capital+Markets+Credit+Suisse" TargetMode="External"/><Relationship Id="rId1511" Type="http://schemas.openxmlformats.org/officeDocument/2006/relationships/hyperlink" Target="https://www.google.com/search?newwindow=1&amp;ei=2MT0XrvGGM-vytMP1OyDgAY&amp;q=site%3Alinkedin.com+Jillian+Black+Student+Programs+Manager" TargetMode="External"/><Relationship Id="rId2842" Type="http://schemas.openxmlformats.org/officeDocument/2006/relationships/hyperlink" Target="https://www.google.com/search?newwindow=1&amp;ei=2MT0XrvGGM-vytMP1OyDgAY&amp;q=site%3Alinkedin.com+Krystle+Sanchez+University+Recruiter+Facebook" TargetMode="External"/><Relationship Id="rId1512" Type="http://schemas.openxmlformats.org/officeDocument/2006/relationships/hyperlink" Target="https://www.google.com/search?newwindow=1&amp;ei=2MT0XrvGGM-vytMP1OyDgAY&amp;q=site%3Alinkedin.com+Akita+Sanchez+International+Student+Recruitment+Officer+at+The+University+of+Notre+Dame+Australia" TargetMode="External"/><Relationship Id="rId2843" Type="http://schemas.openxmlformats.org/officeDocument/2006/relationships/hyperlink" Target="https://www.google.com/search?newwindow=1&amp;ei=2MT0XrvGGM-vytMP1OyDgAY&amp;q=site%3Alinkedin.com+Carmen+Ng+University+Recruiter+Facebook" TargetMode="External"/><Relationship Id="rId1513" Type="http://schemas.openxmlformats.org/officeDocument/2006/relationships/hyperlink" Target="https://www.google.com/search?newwindow=1&amp;ei=2MT0XrvGGM-vytMP1OyDgAY&amp;q=site%3Alinkedin.com+Kimberley+Hammerton+International+Programs+Unit" TargetMode="External"/><Relationship Id="rId2844" Type="http://schemas.openxmlformats.org/officeDocument/2006/relationships/hyperlink" Target="https://www.google.com/search?newwindow=1&amp;ei=2MT0XrvGGM-vytMP1OyDgAY&amp;q=site%3Alinkedin.com+Kezia+Gibbs+Campus+Recruiter+Credit+Suisse" TargetMode="External"/><Relationship Id="rId1514" Type="http://schemas.openxmlformats.org/officeDocument/2006/relationships/hyperlink" Target="https://www.google.com/search?newwindow=1&amp;ei=2MT0XrvGGM-vytMP1OyDgAY&amp;q=site%3Alinkedin.com+Rachel+Coventry+Student+Programs+Assistant" TargetMode="External"/><Relationship Id="rId2845" Type="http://schemas.openxmlformats.org/officeDocument/2006/relationships/hyperlink" Target="https://www.google.com/search?newwindow=1&amp;ei=2MT0XrvGGM-vytMP1OyDgAY&amp;q=site%3Alinkedin.com+Konnie+H.+University+Recruiter+Facebook" TargetMode="External"/><Relationship Id="rId1515" Type="http://schemas.openxmlformats.org/officeDocument/2006/relationships/hyperlink" Target="https://www.google.com/search?newwindow=1&amp;ei=2MT0XrvGGM-vytMP1OyDgAY&amp;q=site%3Alinkedin.com+Jefferson+Ian+Student+Music+Programs+Officer+(K-8)" TargetMode="External"/><Relationship Id="rId2846" Type="http://schemas.openxmlformats.org/officeDocument/2006/relationships/hyperlink" Target="https://www.google.com/search?newwindow=1&amp;ei=2MT0XrvGGM-vytMP1OyDgAY&amp;q=site%3Alinkedin.com+Carly+Villa+Campus+Recruiter+Credit+Suisse" TargetMode="External"/><Relationship Id="rId1516" Type="http://schemas.openxmlformats.org/officeDocument/2006/relationships/hyperlink" Target="https://www.google.com/search?newwindow=1&amp;ei=2MT0XrvGGM-vytMP1OyDgAY&amp;q=site%3Alinkedin.com+Matthew+Durie+Director+Student+Recruitment+Charles+Sturt+University+Study+Centres" TargetMode="External"/><Relationship Id="rId2847" Type="http://schemas.openxmlformats.org/officeDocument/2006/relationships/hyperlink" Target="https://www.google.com/search?newwindow=1&amp;ei=2MT0XrvGGM-vytMP1OyDgAY&amp;q=site%3Alinkedin.com+Rodney+Aziz+Senior+Product+Manager+-+Loyalty+Platforms+Ford+Motor+Company" TargetMode="External"/><Relationship Id="rId1517" Type="http://schemas.openxmlformats.org/officeDocument/2006/relationships/hyperlink" Target="https://www.google.com/search?newwindow=1&amp;ei=2MT0XrvGGM-vytMP1OyDgAY&amp;q=site%3Alinkedin.com+Franziska+Konschak+Programs+Manager+Student+Education+&amp;+Executive+Assistant+(CPC)" TargetMode="External"/><Relationship Id="rId2848" Type="http://schemas.openxmlformats.org/officeDocument/2006/relationships/hyperlink" Target="https://www.google.com/search?newwindow=1&amp;ei=2MT0XrvGGM-vytMP1OyDgAY&amp;q=site%3Alinkedin.com+Shae+Lorenc+Campus+Recruiter+Ford+Motor+Company" TargetMode="External"/><Relationship Id="rId1518" Type="http://schemas.openxmlformats.org/officeDocument/2006/relationships/hyperlink" Target="https://www.google.com/search?newwindow=1&amp;ei=2MT0XrvGGM-vytMP1OyDgAY&amp;q=site%3Alinkedin.com+Sameeuddin+Mohammed+Technical+Recruiter" TargetMode="External"/><Relationship Id="rId2849" Type="http://schemas.openxmlformats.org/officeDocument/2006/relationships/hyperlink" Target="https://www.google.com/search?newwindow=1&amp;ei=2MT0XrvGGM-vytMP1OyDgAY&amp;q=site%3Alinkedin.com+Jill+Wormser+Campus+Recruiter+Cushman+&amp;+Wakefield" TargetMode="External"/><Relationship Id="rId1519" Type="http://schemas.openxmlformats.org/officeDocument/2006/relationships/hyperlink" Target="https://www.google.com/search?newwindow=1&amp;ei=2MT0XrvGGM-vytMP1OyDgAY&amp;q=site%3Alinkedin.com+Aimee+Vincent+Work+placement+student+-+Social+Programs+and+Services" TargetMode="External"/><Relationship Id="rId2840" Type="http://schemas.openxmlformats.org/officeDocument/2006/relationships/hyperlink" Target="https://www.google.com/search?newwindow=1&amp;ei=2MT0XrvGGM-vytMP1OyDgAY&amp;q=site%3Alinkedin.com+Melanie+Loud+Recruiter,+University+Recruiting+Facebook" TargetMode="External"/><Relationship Id="rId2830" Type="http://schemas.openxmlformats.org/officeDocument/2006/relationships/hyperlink" Target="https://www.google.com/search?newwindow=1&amp;ei=2MT0XrvGGM-vytMP1OyDgAY&amp;q=site%3Alinkedin.com+Erin+Kantner+MBA+Campus+Recruiter+&amp;+Program+Manager+Comcast" TargetMode="External"/><Relationship Id="rId1500" Type="http://schemas.openxmlformats.org/officeDocument/2006/relationships/hyperlink" Target="https://www.google.com/search?newwindow=1&amp;ei=2MT0XrvGGM-vytMP1OyDgAY&amp;q=site%3Alinkedin.com+Elly+G.+International+Student+Recruiter" TargetMode="External"/><Relationship Id="rId2831" Type="http://schemas.openxmlformats.org/officeDocument/2006/relationships/hyperlink" Target="https://www.google.com/search?newwindow=1&amp;ei=2MT0XrvGGM-vytMP1OyDgAY&amp;q=site%3Alinkedin.com+Bill+Haughney+University+Recruiter+Facebook" TargetMode="External"/><Relationship Id="rId1501" Type="http://schemas.openxmlformats.org/officeDocument/2006/relationships/hyperlink" Target="https://www.google.com/search?newwindow=1&amp;ei=2MT0XrvGGM-vytMP1OyDgAY&amp;q=site%3Alinkedin.com+Jenny+Rickard+Recruitment+Consultant+(Undergraduate)" TargetMode="External"/><Relationship Id="rId2832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1502" Type="http://schemas.openxmlformats.org/officeDocument/2006/relationships/hyperlink" Target="https://www.google.com/search?newwindow=1&amp;ei=2MT0XrvGGM-vytMP1OyDgAY&amp;q=site%3Alinkedin.com+Madhav+Raman+Student+Ambassador+-+Health+Promotion+Unit" TargetMode="External"/><Relationship Id="rId2833" Type="http://schemas.openxmlformats.org/officeDocument/2006/relationships/hyperlink" Target="https://www.google.com/search?newwindow=1&amp;ei=2MT0XrvGGM-vytMP1OyDgAY&amp;q=site%3Alinkedin.com+Scott+Flanary+Senior+University+Recruiter,+Full-Cycle+Recruiting+for+Product+and+Analytics+Facebook" TargetMode="External"/><Relationship Id="rId1503" Type="http://schemas.openxmlformats.org/officeDocument/2006/relationships/hyperlink" Target="https://www.google.com/search?newwindow=1&amp;ei=2MT0XrvGGM-vytMP1OyDgAY&amp;q=site%3Alinkedin.com+Louise+Johnston+Academic+Coordinator+for+Student+Programs" TargetMode="External"/><Relationship Id="rId2834" Type="http://schemas.openxmlformats.org/officeDocument/2006/relationships/hyperlink" Target="https://www.google.com/search?newwindow=1&amp;ei=2MT0XrvGGM-vytMP1OyDgAY&amp;q=site%3Alinkedin.com+Kyle+Pagan+Talent+Brand+Marketing+Specialist/Campus+Recruiter+Comcast" TargetMode="External"/><Relationship Id="rId1504" Type="http://schemas.openxmlformats.org/officeDocument/2006/relationships/hyperlink" Target="https://www.google.com/search?newwindow=1&amp;ei=2MT0XrvGGM-vytMP1OyDgAY&amp;q=site%3Alinkedin.com+Michael+Ormsby+Team+Lead,+Student+Development+Programs" TargetMode="External"/><Relationship Id="rId2835" Type="http://schemas.openxmlformats.org/officeDocument/2006/relationships/hyperlink" Target="https://www.google.com/search?newwindow=1&amp;ei=2MT0XrvGGM-vytMP1OyDgAY&amp;q=site%3Alinkedin.com+Hayley+Mesojednik+University+Recruiter+-+Early+Career+Facebook" TargetMode="External"/><Relationship Id="rId1505" Type="http://schemas.openxmlformats.org/officeDocument/2006/relationships/hyperlink" Target="https://www.google.com/search?newwindow=1&amp;ei=2MT0XrvGGM-vytMP1OyDgAY&amp;q=site%3Alinkedin.com+Perry+Thurston+Vice+President,+Campus+Recruiting" TargetMode="External"/><Relationship Id="rId2836" Type="http://schemas.openxmlformats.org/officeDocument/2006/relationships/hyperlink" Target="https://www.google.com/search?newwindow=1&amp;ei=2MT0XrvGGM-vytMP1OyDgAY&amp;q=site%3Alinkedin.com+Ann.+Scarp+Campus+Recruiter+Credit+Suisse" TargetMode="External"/><Relationship Id="rId1506" Type="http://schemas.openxmlformats.org/officeDocument/2006/relationships/hyperlink" Target="https://www.google.com/search?newwindow=1&amp;ei=2MT0XrvGGM-vytMP1OyDgAY&amp;q=site%3Alinkedin.com+Margaret+Borger+A/g+Head+of+Student+Wellbeing" TargetMode="External"/><Relationship Id="rId2837" Type="http://schemas.openxmlformats.org/officeDocument/2006/relationships/hyperlink" Target="https://www.google.com/search?newwindow=1&amp;ei=2MT0XrvGGM-vytMP1OyDgAY&amp;q=site%3Alinkedin.com+Laura+Amrein+University+Recruiter,+Analytics+Facebook" TargetMode="External"/><Relationship Id="rId1507" Type="http://schemas.openxmlformats.org/officeDocument/2006/relationships/hyperlink" Target="https://www.google.com/search?newwindow=1&amp;ei=2MT0XrvGGM-vytMP1OyDgAY&amp;q=site%3Alinkedin.com+Julie+Dodd+A/Operational+Coordinator,+Student+Programs" TargetMode="External"/><Relationship Id="rId2838" Type="http://schemas.openxmlformats.org/officeDocument/2006/relationships/hyperlink" Target="https://www.google.com/search?newwindow=1&amp;ei=2MT0XrvGGM-vytMP1OyDgAY&amp;q=site%3Alinkedin.com+Christina+Koike+University+Recruiter+Facebook" TargetMode="External"/><Relationship Id="rId1508" Type="http://schemas.openxmlformats.org/officeDocument/2006/relationships/hyperlink" Target="https://www.google.com/search?newwindow=1&amp;ei=2MT0XrvGGM-vytMP1OyDgAY&amp;q=site%3Alinkedin.com+Louise+Gage+Product+Owner+-+Family+and+Student+value+stream" TargetMode="External"/><Relationship Id="rId2839" Type="http://schemas.openxmlformats.org/officeDocument/2006/relationships/hyperlink" Target="https://www.google.com/search?newwindow=1&amp;ei=2MT0XrvGGM-vytMP1OyDgAY&amp;q=site%3Alinkedin.com+Allison+Group+Investment+Banking+Campus+Recruiter+Credit+Suisse" TargetMode="External"/><Relationship Id="rId1509" Type="http://schemas.openxmlformats.org/officeDocument/2006/relationships/hyperlink" Target="https://www.google.com/search?newwindow=1&amp;ei=2MT0XrvGGM-vytMP1OyDgAY&amp;q=site%3Alinkedin.com+Vicki+Tyrrell+Student+Programs+Assistant," TargetMode="External"/><Relationship Id="rId2800" Type="http://schemas.openxmlformats.org/officeDocument/2006/relationships/hyperlink" Target="https://www.google.com/search?newwindow=1&amp;ei=2MT0XrvGGM-vytMP1OyDgAY&amp;q=site%3Alinkedin.com+Rhiannon+(Anna)+C.+Campus+Recruiter+Coordinator+Citi" TargetMode="External"/><Relationship Id="rId2801" Type="http://schemas.openxmlformats.org/officeDocument/2006/relationships/hyperlink" Target="https://www.google.com/search?newwindow=1&amp;ei=2MT0XrvGGM-vytMP1OyDgAY&amp;q=site%3Alinkedin.com+Cynthia+Leu+University+Recruiter+(Infrastructure)+Facebook" TargetMode="External"/><Relationship Id="rId2802" Type="http://schemas.openxmlformats.org/officeDocument/2006/relationships/hyperlink" Target="https://www.google.com/search?newwindow=1&amp;ei=2MT0XrvGGM-vytMP1OyDgAY&amp;q=site%3Alinkedin.com+Xavien+Jackson+Campus+Recruiter+Citi" TargetMode="External"/><Relationship Id="rId2803" Type="http://schemas.openxmlformats.org/officeDocument/2006/relationships/hyperlink" Target="https://www.google.com/search?newwindow=1&amp;ei=2MT0XrvGGM-vytMP1OyDgAY&amp;q=site%3Alinkedin.com+Rima+Itani+University+Recruiter+Facebook" TargetMode="External"/><Relationship Id="rId2804" Type="http://schemas.openxmlformats.org/officeDocument/2006/relationships/hyperlink" Target="https://www.google.com/search?newwindow=1&amp;ei=2MT0XrvGGM-vytMP1OyDgAY&amp;q=site%3Alinkedin.com+Kate+Myers+Campus+Recruiter+Citigroup" TargetMode="External"/><Relationship Id="rId2805" Type="http://schemas.openxmlformats.org/officeDocument/2006/relationships/hyperlink" Target="https://www.google.com/search?newwindow=1&amp;ei=2MT0XrvGGM-vytMP1OyDgAY&amp;q=site%3Alinkedin.com+Cheriece+Williams+University+Recruiter+Facebook" TargetMode="External"/><Relationship Id="rId2806" Type="http://schemas.openxmlformats.org/officeDocument/2006/relationships/hyperlink" Target="https://www.google.com/search?newwindow=1&amp;ei=2MT0XrvGGM-vytMP1OyDgAY&amp;q=site%3Alinkedin.com+Kalli+Brooks+University+Sourcing+Recruiter+Citrix" TargetMode="External"/><Relationship Id="rId2807" Type="http://schemas.openxmlformats.org/officeDocument/2006/relationships/hyperlink" Target="https://www.google.com/search?newwindow=1&amp;ei=2MT0XrvGGM-vytMP1OyDgAY&amp;q=site%3Alinkedin.com+Kaitlin+Wilson+University+Recruiter+Facebook" TargetMode="External"/><Relationship Id="rId2808" Type="http://schemas.openxmlformats.org/officeDocument/2006/relationships/hyperlink" Target="https://www.google.com/search?newwindow=1&amp;ei=2MT0XrvGGM-vytMP1OyDgAY&amp;q=site%3Alinkedin.com+Kamor+Brown+University+Recruiter+Citrix" TargetMode="External"/><Relationship Id="rId2809" Type="http://schemas.openxmlformats.org/officeDocument/2006/relationships/hyperlink" Target="https://www.google.com/search?newwindow=1&amp;ei=2MT0XrvGGM-vytMP1OyDgAY&amp;q=site%3Alinkedin.com+Kathleen+Roberts+University+Recruiter+-+Closer+Facebook" TargetMode="External"/><Relationship Id="rId1576" Type="http://schemas.openxmlformats.org/officeDocument/2006/relationships/hyperlink" Target="https://www.google.com/search?newwindow=1&amp;ei=2MT0XrvGGM-vytMP1OyDgAY&amp;q=site%3Alinkedin.com+Alastair+Hobson+Student+Recruiter+-+Internationally+Educated+Professionals+(IEP)+-+Ontario" TargetMode="External"/><Relationship Id="rId4602" Type="http://schemas.openxmlformats.org/officeDocument/2006/relationships/hyperlink" Target="https://www.google.com/search?newwindow=1&amp;ei=2MT0XrvGGM-vytMP1OyDgAY&amp;q=site%3Alinkedin.com+Sonya+Harris+Talent+Acquisition+Campus+Recruiter+Verizon+Telematics+Inc." TargetMode="External"/><Relationship Id="rId1577" Type="http://schemas.openxmlformats.org/officeDocument/2006/relationships/hyperlink" Target="https://www.google.com/search?newwindow=1&amp;ei=2MT0XrvGGM-vytMP1OyDgAY&amp;q=site%3Alinkedin.com+Sydney+Sun,+BCom,+CHRL+Senior+Recruiter" TargetMode="External"/><Relationship Id="rId4601" Type="http://schemas.openxmlformats.org/officeDocument/2006/relationships/hyperlink" Target="https://www.google.com/search?newwindow=1&amp;ei=2MT0XrvGGM-vytMP1OyDgAY&amp;q=site%3Alinkedin.com+Kaitlynn+Moctezuma+Campus+Recruiter+Verizon" TargetMode="External"/><Relationship Id="rId1578" Type="http://schemas.openxmlformats.org/officeDocument/2006/relationships/hyperlink" Target="https://www.google.com/search?newwindow=1&amp;ei=2MT0XrvGGM-vytMP1OyDgAY&amp;q=site%3Alinkedin.com+Angel+Luo+Recruitment+and+Operations+Coordinator" TargetMode="External"/><Relationship Id="rId4604" Type="http://schemas.openxmlformats.org/officeDocument/2006/relationships/hyperlink" Target="https://www.google.com/search?newwindow=1&amp;ei=2MT0XrvGGM-vytMP1OyDgAY&amp;q=site%3Alinkedin.com+Rachel+Gardinier+University+Relations+Specialist+Viasat+Inc." TargetMode="External"/><Relationship Id="rId1579" Type="http://schemas.openxmlformats.org/officeDocument/2006/relationships/hyperlink" Target="https://www.google.com/search?newwindow=1&amp;ei=2MT0XrvGGM-vytMP1OyDgAY&amp;q=site%3Alinkedin.com+shalini+reddy+HRM+student+at+York+University" TargetMode="External"/><Relationship Id="rId4603" Type="http://schemas.openxmlformats.org/officeDocument/2006/relationships/hyperlink" Target="https://www.google.com/search?newwindow=1&amp;ei=2MT0XrvGGM-vytMP1OyDgAY&amp;q=site%3Alinkedin.com+Layne+P.+Campus+Recruiter+Verizon+Wireless" TargetMode="External"/><Relationship Id="rId4606" Type="http://schemas.openxmlformats.org/officeDocument/2006/relationships/hyperlink" Target="https://www.google.com/search?newwindow=1&amp;ei=2MT0XrvGGM-vytMP1OyDgAY&amp;q=site%3Alinkedin.com+Casey+Medina+University+Recruiter+Visa" TargetMode="External"/><Relationship Id="rId4605" Type="http://schemas.openxmlformats.org/officeDocument/2006/relationships/hyperlink" Target="https://www.google.com/search?newwindow=1&amp;ei=2MT0XrvGGM-vytMP1OyDgAY&amp;q=site%3Alinkedin.com+Emily+Allen+University+Relations+Recruiter+Viasat+Inc." TargetMode="External"/><Relationship Id="rId4608" Type="http://schemas.openxmlformats.org/officeDocument/2006/relationships/hyperlink" Target="https://www.google.com/search?newwindow=1&amp;ei=2MT0XrvGGM-vytMP1OyDgAY&amp;q=site%3Alinkedin.com+Menelik+Bekele+Technical+University+Recruiter+Visa" TargetMode="External"/><Relationship Id="rId4607" Type="http://schemas.openxmlformats.org/officeDocument/2006/relationships/hyperlink" Target="https://www.google.com/search?newwindow=1&amp;ei=2MT0XrvGGM-vytMP1OyDgAY&amp;q=site%3Alinkedin.com+Emily+Busse+University+Recruiter+Visa" TargetMode="External"/><Relationship Id="rId4609" Type="http://schemas.openxmlformats.org/officeDocument/2006/relationships/hyperlink" Target="https://www.google.com/search?newwindow=1&amp;ei=2MT0XrvGGM-vytMP1OyDgAY&amp;q=site%3Alinkedin.com+Grace+Wu+Technical+University+Recruiter+Visa" TargetMode="External"/><Relationship Id="rId987" Type="http://schemas.openxmlformats.org/officeDocument/2006/relationships/hyperlink" Target="https://www.google.com/search?newwindow=1&amp;ei=2MT0XrvGGM-vytMP1OyDgAY&amp;q=site%3Alinkedin.com+Beth+McKenna+Student+Recruitment+Officer+-+John+Molson+School+of+Business+(Graduate+Programs)" TargetMode="External"/><Relationship Id="rId986" Type="http://schemas.openxmlformats.org/officeDocument/2006/relationships/hyperlink" Target="https://www.google.com/search?newwindow=1&amp;ei=2MT0XrvGGM-vytMP1OyDgAY&amp;q=site%3Alinkedin.com+Sara+Ittukiti+College+Recruiter" TargetMode="External"/><Relationship Id="rId985" Type="http://schemas.openxmlformats.org/officeDocument/2006/relationships/hyperlink" Target="https://www.google.com/search?newwindow=1&amp;ei=2MT0XrvGGM-vytMP1OyDgAY&amp;q=site%3Alinkedin.com+Leah+Jane+Esau+Freelance+Writer,+Fact+Checker,+University+Recruitment,+Communications" TargetMode="External"/><Relationship Id="rId984" Type="http://schemas.openxmlformats.org/officeDocument/2006/relationships/hyperlink" Target="https://www.google.com/search?newwindow=1&amp;ei=2MT0XrvGGM-vytMP1OyDgAY&amp;q=site%3Alinkedin.com+Adrian+Boro+Recruiter" TargetMode="External"/><Relationship Id="rId989" Type="http://schemas.openxmlformats.org/officeDocument/2006/relationships/hyperlink" Target="https://www.google.com/search?newwindow=1&amp;ei=2MT0XrvGGM-vytMP1OyDgAY&amp;q=site%3Alinkedin.com+Julie+Brisson+Director,+Student+Programs,Associates+&amp;+Professional+Development" TargetMode="External"/><Relationship Id="rId988" Type="http://schemas.openxmlformats.org/officeDocument/2006/relationships/hyperlink" Target="https://www.google.com/search?newwindow=1&amp;ei=2MT0XrvGGM-vytMP1OyDgAY&amp;q=site%3Alinkedin.com+Alex+Megelas+Researcher+PHD+Student" TargetMode="External"/><Relationship Id="rId1570" Type="http://schemas.openxmlformats.org/officeDocument/2006/relationships/hyperlink" Target="https://www.google.com/search?newwindow=1&amp;ei=2MT0XrvGGM-vytMP1OyDgAY&amp;q=site%3Alinkedin.com+Toronto+Forensic+Institute+TFCA+College+Recruiter" TargetMode="External"/><Relationship Id="rId1571" Type="http://schemas.openxmlformats.org/officeDocument/2006/relationships/hyperlink" Target="https://www.google.com/search?newwindow=1&amp;ei=2MT0XrvGGM-vytMP1OyDgAY&amp;q=site%3Alinkedin.com+Melissa+Gansham,+CPA,+CMA+Student+Recruiter" TargetMode="External"/><Relationship Id="rId983" Type="http://schemas.openxmlformats.org/officeDocument/2006/relationships/hyperlink" Target="https://www.google.com/search?newwindow=1&amp;ei=2MT0XrvGGM-vytMP1OyDgAY&amp;q=site%3Alinkedin.com+Neish+Joelle+Student+recruiter" TargetMode="External"/><Relationship Id="rId1572" Type="http://schemas.openxmlformats.org/officeDocument/2006/relationships/hyperlink" Target="https://www.google.com/search?newwindow=1&amp;ei=2MT0XrvGGM-vytMP1OyDgAY&amp;q=site%3Alinkedin.com+Michelle+Pearlman+Foy+Senior+Director,+Talent+Acquistion+-+Campus+Recruiting+and+Career+Programs" TargetMode="External"/><Relationship Id="rId982" Type="http://schemas.openxmlformats.org/officeDocument/2006/relationships/hyperlink" Target="https://www.google.com/search?newwindow=1&amp;ei=2MT0XrvGGM-vytMP1OyDgAY&amp;q=site%3Alinkedin.com+Michael+Dosado+Men%E2%80%99s+basketball+Recruiter+at+Brandon+University" TargetMode="External"/><Relationship Id="rId1573" Type="http://schemas.openxmlformats.org/officeDocument/2006/relationships/hyperlink" Target="https://www.google.com/search?newwindow=1&amp;ei=2MT0XrvGGM-vytMP1OyDgAY&amp;q=site%3Alinkedin.com+Alexandra+Famiglietti,+CHRL+National+Advisory+Campus+Recruiting+Leader" TargetMode="External"/><Relationship Id="rId981" Type="http://schemas.openxmlformats.org/officeDocument/2006/relationships/hyperlink" Target="https://www.google.com/search?newwindow=1&amp;ei=2MT0XrvGGM-vytMP1OyDgAY&amp;q=site%3Alinkedin.com+Georgia+Sfantos+HR+Manager+-+Technology+Campus+Recruiting" TargetMode="External"/><Relationship Id="rId1574" Type="http://schemas.openxmlformats.org/officeDocument/2006/relationships/hyperlink" Target="https://www.google.com/search?newwindow=1&amp;ei=2MT0XrvGGM-vytMP1OyDgAY&amp;q=site%3Alinkedin.com+Naomi+Carmichael+Campus+Recruiter" TargetMode="External"/><Relationship Id="rId4600" Type="http://schemas.openxmlformats.org/officeDocument/2006/relationships/hyperlink" Target="https://www.google.com/search?newwindow=1&amp;ei=2MT0XrvGGM-vytMP1OyDgAY&amp;q=site%3Alinkedin.com+Al+Jackson+Campus+Recruiter+-+Talent+Acquisition+Verizon" TargetMode="External"/><Relationship Id="rId980" Type="http://schemas.openxmlformats.org/officeDocument/2006/relationships/hyperlink" Target="https://www.google.com/search?newwindow=1&amp;ei=2MT0XrvGGM-vytMP1OyDgAY&amp;q=site%3Alinkedin.com+sri+Divya+Student" TargetMode="External"/><Relationship Id="rId1575" Type="http://schemas.openxmlformats.org/officeDocument/2006/relationships/hyperlink" Target="https://www.google.com/search?newwindow=1&amp;ei=2MT0XrvGGM-vytMP1OyDgAY&amp;q=site%3Alinkedin.com+Mayumi+Washizu+International+Student+Marketer+and+Recruiter+(Japanese+Market)" TargetMode="External"/><Relationship Id="rId1565" Type="http://schemas.openxmlformats.org/officeDocument/2006/relationships/hyperlink" Target="https://www.google.com/search?newwindow=1&amp;ei=2MT0XrvGGM-vytMP1OyDgAY&amp;q=site%3Alinkedin.com+Jon+Spence+Sr.+Recruiter+-+Campus+Recruitment" TargetMode="External"/><Relationship Id="rId2896" Type="http://schemas.openxmlformats.org/officeDocument/2006/relationships/hyperlink" Target="https://www.google.com/search?newwindow=1&amp;ei=2MT0XrvGGM-vytMP1OyDgAY&amp;q=site%3Alinkedin.com+April+Doktor+Senior+University+Recruiter+Gartner" TargetMode="External"/><Relationship Id="rId1566" Type="http://schemas.openxmlformats.org/officeDocument/2006/relationships/hyperlink" Target="https://www.google.com/search?newwindow=1&amp;ei=2MT0XrvGGM-vytMP1OyDgAY&amp;q=site%3Alinkedin.com+Jodi-Anne+Buckley+Student+Recruiter" TargetMode="External"/><Relationship Id="rId2897" Type="http://schemas.openxmlformats.org/officeDocument/2006/relationships/hyperlink" Target="https://www.google.com/search?newwindow=1&amp;ei=2MT0XrvGGM-vytMP1OyDgAY&amp;q=site%3Alinkedin.com+Carly+Wenyon+Campus+Recruiter+Deloitte" TargetMode="External"/><Relationship Id="rId1567" Type="http://schemas.openxmlformats.org/officeDocument/2006/relationships/hyperlink" Target="https://www.google.com/search?newwindow=1&amp;ei=2MT0XrvGGM-vytMP1OyDgAY&amp;q=site%3Alinkedin.com+Tracy+Lutz+Senior+Campus+Recruiter,+Personal+&amp;+Business+Banking" TargetMode="External"/><Relationship Id="rId2898" Type="http://schemas.openxmlformats.org/officeDocument/2006/relationships/hyperlink" Target="https://www.google.com/search?newwindow=1&amp;ei=2MT0XrvGGM-vytMP1OyDgAY&amp;q=site%3Alinkedin.com+Kristin+LaRosa+Rotational+Campus+Recruiter+Gartner" TargetMode="External"/><Relationship Id="rId1568" Type="http://schemas.openxmlformats.org/officeDocument/2006/relationships/hyperlink" Target="https://www.google.com/search?newwindow=1&amp;ei=2MT0XrvGGM-vytMP1OyDgAY&amp;q=site%3Alinkedin.com+Sean+Baker+Director,+Student+Recruitment+at+OCAD+University" TargetMode="External"/><Relationship Id="rId2899" Type="http://schemas.openxmlformats.org/officeDocument/2006/relationships/hyperlink" Target="https://www.google.com/search?newwindow=1&amp;ei=2MT0XrvGGM-vytMP1OyDgAY&amp;q=site%3Alinkedin.com+Shawn+Lamb+Senior+Campus+Recruiter+Deloitte" TargetMode="External"/><Relationship Id="rId1569" Type="http://schemas.openxmlformats.org/officeDocument/2006/relationships/hyperlink" Target="https://www.google.com/search?newwindow=1&amp;ei=2MT0XrvGGM-vytMP1OyDgAY&amp;q=site%3Alinkedin.com+Katie+Flanagan+Junior+Campus+Recruiter" TargetMode="External"/><Relationship Id="rId976" Type="http://schemas.openxmlformats.org/officeDocument/2006/relationships/hyperlink" Target="https://www.google.com/search?newwindow=1&amp;ei=2MT0XrvGGM-vytMP1OyDgAY&amp;q=site%3Alinkedin.com+Lyndsay+Thompson+Recruiter+/+University+Relations" TargetMode="External"/><Relationship Id="rId975" Type="http://schemas.openxmlformats.org/officeDocument/2006/relationships/hyperlink" Target="https://www.google.com/search?newwindow=1&amp;ei=2MT0XrvGGM-vytMP1OyDgAY&amp;q=site%3Alinkedin.com+Carla+Simon+Student+recruiter+/+Conseill%C3%A8re+au+recrutement+des+%C3%A9tudiants" TargetMode="External"/><Relationship Id="rId974" Type="http://schemas.openxmlformats.org/officeDocument/2006/relationships/hyperlink" Target="https://www.google.com/search?newwindow=1&amp;ei=2MT0XrvGGM-vytMP1OyDgAY&amp;q=site%3Alinkedin.com+Alexandra+Fishman+VP+Marketing+&amp;+Recruitment+at+McGill+University" TargetMode="External"/><Relationship Id="rId973" Type="http://schemas.openxmlformats.org/officeDocument/2006/relationships/hyperlink" Target="https://www.google.com/search?newwindow=1&amp;ei=2MT0XrvGGM-vytMP1OyDgAY&amp;q=site%3Alinkedin.com+Heba+Alashi+Sp%C3%A9cialiste+en+recrutement+Campus+Qu%C3%A9bec/+Senior+Campus+Recruiter+Quebec" TargetMode="External"/><Relationship Id="rId979" Type="http://schemas.openxmlformats.org/officeDocument/2006/relationships/hyperlink" Target="https://www.google.com/search?newwindow=1&amp;ei=2MT0XrvGGM-vytMP1OyDgAY&amp;q=site%3Alinkedin.com+Valerie+Kruk+Technology+Campus+Recruiter+(Consultant)" TargetMode="External"/><Relationship Id="rId978" Type="http://schemas.openxmlformats.org/officeDocument/2006/relationships/hyperlink" Target="https://www.google.com/search?newwindow=1&amp;ei=2MT0XrvGGM-vytMP1OyDgAY&amp;q=site%3Alinkedin.com+sherin+Moustafa+Student+Advisor+and+Recruiter" TargetMode="External"/><Relationship Id="rId977" Type="http://schemas.openxmlformats.org/officeDocument/2006/relationships/hyperlink" Target="https://www.google.com/search?newwindow=1&amp;ei=2MT0XrvGGM-vytMP1OyDgAY&amp;q=site%3Alinkedin.com+V%C3%A9ronique+Therrien+Student+Recruiter/Conseill%C3%A8re+au+recrutement+des+%C3%A9tudiants" TargetMode="External"/><Relationship Id="rId2890" Type="http://schemas.openxmlformats.org/officeDocument/2006/relationships/hyperlink" Target="https://www.google.com/search?newwindow=1&amp;ei=2MT0XrvGGM-vytMP1OyDgAY&amp;q=site%3Alinkedin.com+Katie+Deisler+Associate+University+Recruiter+Gartner" TargetMode="External"/><Relationship Id="rId1560" Type="http://schemas.openxmlformats.org/officeDocument/2006/relationships/hyperlink" Target="https://www.google.com/search?newwindow=1&amp;ei=2MT0XrvGGM-vytMP1OyDgAY&amp;q=site%3Alinkedin.com+Ameer+Ali+University+Recruiter+&amp;+Campus+Lead,+Canada+-+Global+Talent+Acquisition" TargetMode="External"/><Relationship Id="rId2891" Type="http://schemas.openxmlformats.org/officeDocument/2006/relationships/hyperlink" Target="https://www.google.com/search?newwindow=1&amp;ei=2MT0XrvGGM-vytMP1OyDgAY&amp;q=site%3Alinkedin.com+Megan+Candee+Senior+Campus+Recruiter+Deloitte" TargetMode="External"/><Relationship Id="rId972" Type="http://schemas.openxmlformats.org/officeDocument/2006/relationships/hyperlink" Target="https://www.google.com/search?newwindow=1&amp;ei=2MT0XrvGGM-vytMP1OyDgAY&amp;q=site%3Alinkedin.com+Marjorie+Joasil+Talent+Attraction+Specialist,+National+Digital+Campus+Recruiter" TargetMode="External"/><Relationship Id="rId1561" Type="http://schemas.openxmlformats.org/officeDocument/2006/relationships/hyperlink" Target="https://www.google.com/search?newwindow=1&amp;ei=2MT0XrvGGM-vytMP1OyDgAY&amp;q=site%3Alinkedin.com+Ariane+Morency-Charbonneau+Student+Recruiter" TargetMode="External"/><Relationship Id="rId2892" Type="http://schemas.openxmlformats.org/officeDocument/2006/relationships/hyperlink" Target="https://www.google.com/search?newwindow=1&amp;ei=2MT0XrvGGM-vytMP1OyDgAY&amp;q=site%3Alinkedin.com+Anna+Longar+Associate+Director,+University+Recruiting+Gartner" TargetMode="External"/><Relationship Id="rId971" Type="http://schemas.openxmlformats.org/officeDocument/2006/relationships/hyperlink" Target="https://www.google.com/search?newwindow=1&amp;ei=2MT0XrvGGM-vytMP1OyDgAY&amp;q=site%3Alinkedin.com+Agathe+P%C3%A9russe-Desch%C3%AAnes+Talent+Acquisition+Specialist+-+Campus+&amp;+New+Grads+Recruiting" TargetMode="External"/><Relationship Id="rId1562" Type="http://schemas.openxmlformats.org/officeDocument/2006/relationships/hyperlink" Target="https://www.google.com/search?newwindow=1&amp;ei=2MT0XrvGGM-vytMP1OyDgAY&amp;q=site%3Alinkedin.com+Quynh+Dinh,+CHRP+Campus+Recruiter" TargetMode="External"/><Relationship Id="rId2893" Type="http://schemas.openxmlformats.org/officeDocument/2006/relationships/hyperlink" Target="https://www.google.com/search?newwindow=1&amp;ei=2MT0XrvGGM-vytMP1OyDgAY&amp;q=site%3Alinkedin.com+Betty+Chan+Lead+Consulting+Campus+Recruiter+Deloitte" TargetMode="External"/><Relationship Id="rId970" Type="http://schemas.openxmlformats.org/officeDocument/2006/relationships/hyperlink" Target="https://www.google.com/search?newwindow=1&amp;ei=2MT0XrvGGM-vytMP1OyDgAY&amp;q=site%3Alinkedin.com+Julie+Poirier+Campus+Recruiter,+Early+Careers" TargetMode="External"/><Relationship Id="rId1563" Type="http://schemas.openxmlformats.org/officeDocument/2006/relationships/hyperlink" Target="https://www.google.com/search?newwindow=1&amp;ei=2MT0XrvGGM-vytMP1OyDgAY&amp;q=site%3Alinkedin.com+David+Santacruz+de+la+Torre+Leads+Specialist+and+Student+Recruiter" TargetMode="External"/><Relationship Id="rId2894" Type="http://schemas.openxmlformats.org/officeDocument/2006/relationships/hyperlink" Target="https://www.google.com/search?newwindow=1&amp;ei=2MT0XrvGGM-vytMP1OyDgAY&amp;q=site%3Alinkedin.com+Olivia+Lageman+University+Recruiter+Gartner" TargetMode="External"/><Relationship Id="rId1564" Type="http://schemas.openxmlformats.org/officeDocument/2006/relationships/hyperlink" Target="https://www.google.com/search?newwindow=1&amp;ei=2MT0XrvGGM-vytMP1OyDgAY&amp;q=site%3Alinkedin.com+Nicole+Yung+Campus+Recruiter,+Business+Lead" TargetMode="External"/><Relationship Id="rId2895" Type="http://schemas.openxmlformats.org/officeDocument/2006/relationships/hyperlink" Target="https://www.google.com/search?newwindow=1&amp;ei=2MT0XrvGGM-vytMP1OyDgAY&amp;q=site%3Alinkedin.com+Sarah+Jensen+Hasenauer+Regional+Campus+Recruiting+Manager+Deloitte" TargetMode="External"/><Relationship Id="rId1598" Type="http://schemas.openxmlformats.org/officeDocument/2006/relationships/hyperlink" Target="https://www.google.com/search?newwindow=1&amp;ei=2MT0XrvGGM-vytMP1OyDgAY&amp;q=site%3Alinkedin.com+Raghav+Sharma+Senior+Finance+Associate+&amp;+Recruiter+(Indian+Student+Association)" TargetMode="External"/><Relationship Id="rId4624" Type="http://schemas.openxmlformats.org/officeDocument/2006/relationships/hyperlink" Target="https://www.google.com/search?newwindow=1&amp;ei=2MT0XrvGGM-vytMP1OyDgAY&amp;q=site%3Alinkedin.com+Bipasa+Singh+University+Recruiter+Walmart+eCommerce" TargetMode="External"/><Relationship Id="rId1599" Type="http://schemas.openxmlformats.org/officeDocument/2006/relationships/hyperlink" Target="https://www.google.com/search?newwindow=1&amp;ei=2MT0XrvGGM-vytMP1OyDgAY&amp;q=site%3Alinkedin.com+Lori+Dalton+Student+Recruiter" TargetMode="External"/><Relationship Id="rId4623" Type="http://schemas.openxmlformats.org/officeDocument/2006/relationships/hyperlink" Target="https://www.google.com/search?newwindow=1&amp;ei=2MT0XrvGGM-vytMP1OyDgAY&amp;q=site%3Alinkedin.com+Nicole+Nunno+Campus+Recruiter+Walmart+eCommerce" TargetMode="External"/><Relationship Id="rId4626" Type="http://schemas.openxmlformats.org/officeDocument/2006/relationships/hyperlink" Target="https://www.google.com/search?newwindow=1&amp;ei=2MT0XrvGGM-vytMP1OyDgAY&amp;q=site%3Alinkedin.com+Kameren+Waln+Campus+Recruiter+WarnerMedia" TargetMode="External"/><Relationship Id="rId4625" Type="http://schemas.openxmlformats.org/officeDocument/2006/relationships/hyperlink" Target="https://www.google.com/search?newwindow=1&amp;ei=2MT0XrvGGM-vytMP1OyDgAY&amp;q=site%3Alinkedin.com+Allison+D.+Williams+University+Relations+Recruiter+WarnerMedia" TargetMode="External"/><Relationship Id="rId4628" Type="http://schemas.openxmlformats.org/officeDocument/2006/relationships/hyperlink" Target="https://www.google.com/search?newwindow=1&amp;ei=2MT0XrvGGM-vytMP1OyDgAY&amp;q=site%3Alinkedin.com+Catherine+Martin+Senior+Campus+Recruiter+Wayfair" TargetMode="External"/><Relationship Id="rId4627" Type="http://schemas.openxmlformats.org/officeDocument/2006/relationships/hyperlink" Target="https://www.google.com/search?newwindow=1&amp;ei=2MT0XrvGGM-vytMP1OyDgAY&amp;q=site%3Alinkedin.com+Maureen+Gilroy+Campus+Recruiting+Manager+Wayfair" TargetMode="External"/><Relationship Id="rId4629" Type="http://schemas.openxmlformats.org/officeDocument/2006/relationships/hyperlink" Target="https://www.google.com/search?newwindow=1&amp;ei=2MT0XrvGGM-vytMP1OyDgAY&amp;q=site%3Alinkedin.com+Ali+Bradley+Campus+Recruiter+Wayfair" TargetMode="External"/><Relationship Id="rId1590" Type="http://schemas.openxmlformats.org/officeDocument/2006/relationships/hyperlink" Target="https://www.google.com/search?newwindow=1&amp;ei=2MT0XrvGGM-vytMP1OyDgAY&amp;q=site%3Alinkedin.com+Ted+Lee+Manager,+Senior+Guidance+Counsellor+/+Student+Recruiter" TargetMode="External"/><Relationship Id="rId1591" Type="http://schemas.openxmlformats.org/officeDocument/2006/relationships/hyperlink" Target="https://www.google.com/search?newwindow=1&amp;ei=2MT0XrvGGM-vytMP1OyDgAY&amp;q=site%3Alinkedin.com+Sabrina+Notarangelo+Swinden+Campus+Recruiter" TargetMode="External"/><Relationship Id="rId1592" Type="http://schemas.openxmlformats.org/officeDocument/2006/relationships/hyperlink" Target="https://www.google.com/search?newwindow=1&amp;ei=2MT0XrvGGM-vytMP1OyDgAY&amp;q=site%3Alinkedin.com+Noureddin+Lahham+Business+Developer+-+Student+recruiter+-+Immigration+advisor" TargetMode="External"/><Relationship Id="rId1593" Type="http://schemas.openxmlformats.org/officeDocument/2006/relationships/hyperlink" Target="https://www.google.com/search?newwindow=1&amp;ei=2MT0XrvGGM-vytMP1OyDgAY&amp;q=site%3Alinkedin.com+Marianne+Streete+Campus+Recruiter+-+Advisory" TargetMode="External"/><Relationship Id="rId1594" Type="http://schemas.openxmlformats.org/officeDocument/2006/relationships/hyperlink" Target="https://www.google.com/search?newwindow=1&amp;ei=2MT0XrvGGM-vytMP1OyDgAY&amp;q=site%3Alinkedin.com+Cesar+Aguilar+International+Student+Recruiter+(Coordinator+and+Sales+Rep)" TargetMode="External"/><Relationship Id="rId4620" Type="http://schemas.openxmlformats.org/officeDocument/2006/relationships/hyperlink" Target="https://www.google.com/search?newwindow=1&amp;ei=2MT0XrvGGM-vytMP1OyDgAY&amp;q=site%3Alinkedin.com+Kristin+McCarter+Campus+Recruiter+Walmart" TargetMode="External"/><Relationship Id="rId1595" Type="http://schemas.openxmlformats.org/officeDocument/2006/relationships/hyperlink" Target="https://www.google.com/search?newwindow=1&amp;ei=2MT0XrvGGM-vytMP1OyDgAY&amp;q=site%3Alinkedin.com+ALOKIK+JOSHI+Seeking+full+time+position+as+a+Student+Recruiter+or+Immigration+Case+Analyst" TargetMode="External"/><Relationship Id="rId1596" Type="http://schemas.openxmlformats.org/officeDocument/2006/relationships/hyperlink" Target="https://www.google.com/search?newwindow=1&amp;ei=2MT0XrvGGM-vytMP1OyDgAY&amp;q=site%3Alinkedin.com+Anne+Rose+Associate+Director,+University+Student+Recruitment" TargetMode="External"/><Relationship Id="rId4622" Type="http://schemas.openxmlformats.org/officeDocument/2006/relationships/hyperlink" Target="https://www.google.com/search?newwindow=1&amp;ei=2MT0XrvGGM-vytMP1OyDgAY&amp;q=site%3Alinkedin.com+Hayley+Biason+Campus+Recruiter+Walmart+eCommerce" TargetMode="External"/><Relationship Id="rId1597" Type="http://schemas.openxmlformats.org/officeDocument/2006/relationships/hyperlink" Target="https://www.google.com/search?newwindow=1&amp;ei=2MT0XrvGGM-vytMP1OyDgAY&amp;q=site%3Alinkedin.com+Rachel+Rasid+international+foreign+student+recruiter" TargetMode="External"/><Relationship Id="rId4621" Type="http://schemas.openxmlformats.org/officeDocument/2006/relationships/hyperlink" Target="https://www.google.com/search?newwindow=1&amp;ei=2MT0XrvGGM-vytMP1OyDgAY&amp;q=site%3Alinkedin.com+Jessica+Lockard+Campus+Recruiting+Manager+Walmart" TargetMode="External"/><Relationship Id="rId1587" Type="http://schemas.openxmlformats.org/officeDocument/2006/relationships/hyperlink" Target="https://www.google.com/search?newwindow=1&amp;ei=2MT0XrvGGM-vytMP1OyDgAY&amp;q=site%3Alinkedin.com+Gloria+Ma+Campus+Recruiter" TargetMode="External"/><Relationship Id="rId4613" Type="http://schemas.openxmlformats.org/officeDocument/2006/relationships/hyperlink" Target="https://www.google.com/search?newwindow=1&amp;ei=2MT0XrvGGM-vytMP1OyDgAY&amp;q=site%3Alinkedin.com+Daniel+Kim+Sr.+Technical+University+Recruiter+VMware" TargetMode="External"/><Relationship Id="rId1588" Type="http://schemas.openxmlformats.org/officeDocument/2006/relationships/hyperlink" Target="https://www.google.com/search?newwindow=1&amp;ei=2MT0XrvGGM-vytMP1OyDgAY&amp;q=site%3Alinkedin.com+Gesilene+Carvalho+International+Student+Recruiter+Specialist" TargetMode="External"/><Relationship Id="rId4612" Type="http://schemas.openxmlformats.org/officeDocument/2006/relationships/hyperlink" Target="https://www.google.com/search?newwindow=1&amp;ei=2MT0XrvGGM-vytMP1OyDgAY&amp;q=site%3Alinkedin.com+Jessica+Hoyt+University+Recruiter+VMware" TargetMode="External"/><Relationship Id="rId1589" Type="http://schemas.openxmlformats.org/officeDocument/2006/relationships/hyperlink" Target="https://www.google.com/search?newwindow=1&amp;ei=2MT0XrvGGM-vytMP1OyDgAY&amp;q=site%3Alinkedin.com+Karla+Castillo+Assistant+Recruiter" TargetMode="External"/><Relationship Id="rId4615" Type="http://schemas.openxmlformats.org/officeDocument/2006/relationships/hyperlink" Target="https://www.google.com/search?newwindow=1&amp;ei=2MT0XrvGGM-vytMP1OyDgAY&amp;q=site%3Alinkedin.com+Andrew+Kim+University+Recruiter+VMware" TargetMode="External"/><Relationship Id="rId4614" Type="http://schemas.openxmlformats.org/officeDocument/2006/relationships/hyperlink" Target="https://www.google.com/search?newwindow=1&amp;ei=2MT0XrvGGM-vytMP1OyDgAY&amp;q=site%3Alinkedin.com+Cam+Bowman+Campus+Recruiter+VMware" TargetMode="External"/><Relationship Id="rId4617" Type="http://schemas.openxmlformats.org/officeDocument/2006/relationships/hyperlink" Target="https://www.google.com/search?newwindow=1&amp;ei=2MT0XrvGGM-vytMP1OyDgAY&amp;q=site%3Alinkedin.com+Brooke+Bricker+University+Talent+Senior+Recruiter+VMware" TargetMode="External"/><Relationship Id="rId4616" Type="http://schemas.openxmlformats.org/officeDocument/2006/relationships/hyperlink" Target="https://www.google.com/search?newwindow=1&amp;ei=2MT0XrvGGM-vytMP1OyDgAY&amp;q=site%3Alinkedin.com+Stephanie+Ruiz-Schlesinger+Senior+Recruiter+VMware" TargetMode="External"/><Relationship Id="rId4619" Type="http://schemas.openxmlformats.org/officeDocument/2006/relationships/hyperlink" Target="https://www.google.com/search?newwindow=1&amp;ei=2MT0XrvGGM-vytMP1OyDgAY&amp;q=site%3Alinkedin.com+Monica+Hutchinson+Campus+Recruiter+Walmart" TargetMode="External"/><Relationship Id="rId4618" Type="http://schemas.openxmlformats.org/officeDocument/2006/relationships/hyperlink" Target="https://www.google.com/search?newwindow=1&amp;ei=2MT0XrvGGM-vytMP1OyDgAY&amp;q=site%3Alinkedin.com+Renee+MacCabe+Campus+Relations+Recruiter+Wal-Mart" TargetMode="External"/><Relationship Id="rId998" Type="http://schemas.openxmlformats.org/officeDocument/2006/relationships/hyperlink" Target="https://www.google.com/search?newwindow=1&amp;ei=2MT0XrvGGM-vytMP1OyDgAY&amp;q=site%3Alinkedin.com+Kris+Martens+College+Recruiter" TargetMode="External"/><Relationship Id="rId997" Type="http://schemas.openxmlformats.org/officeDocument/2006/relationships/hyperlink" Target="https://www.google.com/search?newwindow=1&amp;ei=2MT0XrvGGM-vytMP1OyDgAY&amp;q=site%3Alinkedin.com+Dina+Bakopanos+Assistant+Director,+MBA+and+Graduate+Programs+in+Business+Administration" TargetMode="External"/><Relationship Id="rId996" Type="http://schemas.openxmlformats.org/officeDocument/2006/relationships/hyperlink" Target="https://www.google.com/search?newwindow=1&amp;ei=2MT0XrvGGM-vytMP1OyDgAY&amp;q=site%3Alinkedin.com+Kelly+Cassidy+Student+Advisor,+MBA+Programs" TargetMode="External"/><Relationship Id="rId995" Type="http://schemas.openxmlformats.org/officeDocument/2006/relationships/hyperlink" Target="https://www.google.com/search?newwindow=1&amp;ei=2MT0XrvGGM-vytMP1OyDgAY&amp;q=site%3Alinkedin.com+Ana%C3%AFs+G.+Student+Advisor+for+M.Sc.+&amp;+Ph.D+Programs,+Office+of+the+Registrar" TargetMode="External"/><Relationship Id="rId999" Type="http://schemas.openxmlformats.org/officeDocument/2006/relationships/hyperlink" Target="https://www.google.com/search?newwindow=1&amp;ei=2MT0XrvGGM-vytMP1OyDgAY&amp;q=site%3Alinkedin.com+Kaitlin+Vance+Senior+Campus+Recruiting+Specialist" TargetMode="External"/><Relationship Id="rId990" Type="http://schemas.openxmlformats.org/officeDocument/2006/relationships/hyperlink" Target="https://www.google.com/search?newwindow=1&amp;ei=2MT0XrvGGM-vytMP1OyDgAY&amp;q=site%3Alinkedin.com+Shana+Szikman+Associate+Director,+Student+&amp;+Young+Alumni+Programs" TargetMode="External"/><Relationship Id="rId1580" Type="http://schemas.openxmlformats.org/officeDocument/2006/relationships/hyperlink" Target="https://www.google.com/search?newwindow=1&amp;ei=2MT0XrvGGM-vytMP1OyDgAY&amp;q=site%3Alinkedin.com+AOL+Toronto+International+Student+Recruiter" TargetMode="External"/><Relationship Id="rId1581" Type="http://schemas.openxmlformats.org/officeDocument/2006/relationships/hyperlink" Target="https://www.google.com/search?newwindow=1&amp;ei=2MT0XrvGGM-vytMP1OyDgAY&amp;q=site%3Alinkedin.com+Shiva+Vaghei+Recruitment+and+Admissions+Officer" TargetMode="External"/><Relationship Id="rId1582" Type="http://schemas.openxmlformats.org/officeDocument/2006/relationships/hyperlink" Target="https://www.google.com/search?newwindow=1&amp;ei=2MT0XrvGGM-vytMP1OyDgAY&amp;q=site%3Alinkedin.com+Sarah+Batley+Recreation+and+Student+Engagement+Coordinator" TargetMode="External"/><Relationship Id="rId994" Type="http://schemas.openxmlformats.org/officeDocument/2006/relationships/hyperlink" Target="https://www.google.com/search?newwindow=1&amp;ei=2MT0XrvGGM-vytMP1OyDgAY&amp;q=site%3Alinkedin.com+Lelach+Winterfeld+Student+Adviser+AEC+Programs" TargetMode="External"/><Relationship Id="rId1583" Type="http://schemas.openxmlformats.org/officeDocument/2006/relationships/hyperlink" Target="https://www.google.com/search?newwindow=1&amp;ei=2MT0XrvGGM-vytMP1OyDgAY&amp;q=site%3Alinkedin.com+Yann+Breka+Student+recruiter" TargetMode="External"/><Relationship Id="rId993" Type="http://schemas.openxmlformats.org/officeDocument/2006/relationships/hyperlink" Target="https://www.google.com/search?newwindow=1&amp;ei=2MT0XrvGGM-vytMP1OyDgAY&amp;q=site%3Alinkedin.com+Alexandra+Kaluzny+Manager,+Student+Programs+&amp;+Development+Initiatives" TargetMode="External"/><Relationship Id="rId1584" Type="http://schemas.openxmlformats.org/officeDocument/2006/relationships/hyperlink" Target="https://www.google.com/search?newwindow=1&amp;ei=2MT0XrvGGM-vytMP1OyDgAY&amp;q=site%3Alinkedin.com+Damon+McLean+Student+Recruiter" TargetMode="External"/><Relationship Id="rId992" Type="http://schemas.openxmlformats.org/officeDocument/2006/relationships/hyperlink" Target="https://www.google.com/search?newwindow=1&amp;ei=2MT0XrvGGM-vytMP1OyDgAY&amp;q=site%3Alinkedin.com+Valerie+Brodeur+Learning+Expedition+Programs+Principal+Officer+%7C+International+Activities+and+Student+Mobility" TargetMode="External"/><Relationship Id="rId1585" Type="http://schemas.openxmlformats.org/officeDocument/2006/relationships/hyperlink" Target="https://www.google.com/search?newwindow=1&amp;ei=2MT0XrvGGM-vytMP1OyDgAY&amp;q=site%3Alinkedin.com+Seher+Qureshi+Director+of+Events+-+Wilfrid+Laurier+University+Chapter" TargetMode="External"/><Relationship Id="rId4611" Type="http://schemas.openxmlformats.org/officeDocument/2006/relationships/hyperlink" Target="https://www.google.com/search?newwindow=1&amp;ei=2MT0XrvGGM-vytMP1OyDgAY&amp;q=site%3Alinkedin.com+Kristen+Taylor+University+Recruiter+VMware" TargetMode="External"/><Relationship Id="rId991" Type="http://schemas.openxmlformats.org/officeDocument/2006/relationships/hyperlink" Target="https://www.google.com/search?newwindow=1&amp;ei=2MT0XrvGGM-vytMP1OyDgAY&amp;q=site%3Alinkedin.com+Christine+D.+Student+Affairs+Administrator+-+Global+Health+Programs" TargetMode="External"/><Relationship Id="rId1586" Type="http://schemas.openxmlformats.org/officeDocument/2006/relationships/hyperlink" Target="https://www.google.com/search?newwindow=1&amp;ei=2MT0XrvGGM-vytMP1OyDgAY&amp;q=site%3Alinkedin.com+Andreea+Cotcaru+Campus+Recruiter" TargetMode="External"/><Relationship Id="rId4610" Type="http://schemas.openxmlformats.org/officeDocument/2006/relationships/hyperlink" Target="https://www.google.com/search?newwindow=1&amp;ei=2MT0XrvGGM-vytMP1OyDgAY&amp;q=site%3Alinkedin.com+Mackenzie+Fuller+Straume+University+Recruiter+Visa" TargetMode="External"/><Relationship Id="rId1532" Type="http://schemas.openxmlformats.org/officeDocument/2006/relationships/hyperlink" Target="https://www.google.com/search?newwindow=1&amp;ei=2MT0XrvGGM-vytMP1OyDgAY&amp;q=site%3Alinkedin.com+Michelle+Ashley+(She/Her)+%F0%9F%8F%B3%EF%B8%8F%E2%80%8D%F0%9F%8C%88+Founder+%7C+Career+Coach+%7C+Campus+Recruiter" TargetMode="External"/><Relationship Id="rId2863" Type="http://schemas.openxmlformats.org/officeDocument/2006/relationships/hyperlink" Target="https://www.google.com/search?newwindow=1&amp;ei=2MT0XrvGGM-vytMP1OyDgAY&amp;q=site%3Alinkedin.com+Kaitlin+Duberstein+Campus+Recruiting+Manager+Deloitte" TargetMode="External"/><Relationship Id="rId1533" Type="http://schemas.openxmlformats.org/officeDocument/2006/relationships/hyperlink" Target="https://www.google.com/search?newwindow=1&amp;ei=2MT0XrvGGM-vytMP1OyDgAY&amp;q=site%3Alinkedin.com+Dunja+Ilic+(she/her)+University+Recruiter+-+Canada" TargetMode="External"/><Relationship Id="rId2864" Type="http://schemas.openxmlformats.org/officeDocument/2006/relationships/hyperlink" Target="https://www.google.com/search?newwindow=1&amp;ei=2MT0XrvGGM-vytMP1OyDgAY&amp;q=site%3Alinkedin.com+Austin+Closs+Senior+University+Recruiter+Gartner" TargetMode="External"/><Relationship Id="rId1534" Type="http://schemas.openxmlformats.org/officeDocument/2006/relationships/hyperlink" Target="https://www.google.com/search?newwindow=1&amp;ei=2MT0XrvGGM-vytMP1OyDgAY&amp;q=site%3Alinkedin.com+Irene+Lee+Student+recruiter" TargetMode="External"/><Relationship Id="rId2865" Type="http://schemas.openxmlformats.org/officeDocument/2006/relationships/hyperlink" Target="https://www.google.com/search?newwindow=1&amp;ei=2MT0XrvGGM-vytMP1OyDgAY&amp;q=site%3Alinkedin.com+Ben+Idle+Associate+Director,+AMSE+&amp;+EMSE+Sales+Recruiting+Gartner" TargetMode="External"/><Relationship Id="rId1535" Type="http://schemas.openxmlformats.org/officeDocument/2006/relationships/hyperlink" Target="https://www.google.com/search?newwindow=1&amp;ei=2MT0XrvGGM-vytMP1OyDgAY&amp;q=site%3Alinkedin.com+Tushar+Dutt,+MBA,+CPHR+Senior+Manager,+Early+Career+Recruitment+and+University+Relations" TargetMode="External"/><Relationship Id="rId2866" Type="http://schemas.openxmlformats.org/officeDocument/2006/relationships/hyperlink" Target="https://www.google.com/search?newwindow=1&amp;ei=2MT0XrvGGM-vytMP1OyDgAY&amp;q=site%3Alinkedin.com+Wandie+Toledo+Bethune+Lead+Diversity+&amp;+Inclusion+Program+Manager+Deloitte" TargetMode="External"/><Relationship Id="rId1536" Type="http://schemas.openxmlformats.org/officeDocument/2006/relationships/hyperlink" Target="https://www.google.com/search?newwindow=1&amp;ei=2MT0XrvGGM-vytMP1OyDgAY&amp;q=site%3Alinkedin.com+Bella+Muretova+Campus+Recruiter" TargetMode="External"/><Relationship Id="rId2867" Type="http://schemas.openxmlformats.org/officeDocument/2006/relationships/hyperlink" Target="https://www.google.com/search?newwindow=1&amp;ei=2MT0XrvGGM-vytMP1OyDgAY&amp;q=site%3Alinkedin.com+Caitlin+Deltgen+University+Recruiter+Gartner" TargetMode="External"/><Relationship Id="rId1537" Type="http://schemas.openxmlformats.org/officeDocument/2006/relationships/hyperlink" Target="https://www.google.com/search?newwindow=1&amp;ei=2MT0XrvGGM-vytMP1OyDgAY&amp;q=site%3Alinkedin.com+Jahanvi+Pandit+Campus+Recruiter+-+Global+Banking+&amp;+Markets" TargetMode="External"/><Relationship Id="rId2868" Type="http://schemas.openxmlformats.org/officeDocument/2006/relationships/hyperlink" Target="https://www.google.com/search?newwindow=1&amp;ei=2MT0XrvGGM-vytMP1OyDgAY&amp;q=site%3Alinkedin.com+Caroline+Fletcher+Campus+Recruiter+Deloitte" TargetMode="External"/><Relationship Id="rId1538" Type="http://schemas.openxmlformats.org/officeDocument/2006/relationships/hyperlink" Target="https://www.google.com/search?newwindow=1&amp;ei=2MT0XrvGGM-vytMP1OyDgAY&amp;q=site%3Alinkedin.com+Natashia+Raponi+Campus+Recruiter" TargetMode="External"/><Relationship Id="rId2869" Type="http://schemas.openxmlformats.org/officeDocument/2006/relationships/hyperlink" Target="https://www.google.com/search?newwindow=1&amp;ei=2MT0XrvGGM-vytMP1OyDgAY&amp;q=site%3Alinkedin.com+Nikki+McTernan+Associate+University+Recruiter+Gartner" TargetMode="External"/><Relationship Id="rId1539" Type="http://schemas.openxmlformats.org/officeDocument/2006/relationships/hyperlink" Target="https://www.google.com/search?newwindow=1&amp;ei=2MT0XrvGGM-vytMP1OyDgAY&amp;q=site%3Alinkedin.com+Catherine+Ku+Jr.+Campus+Recruiter" TargetMode="External"/><Relationship Id="rId949" Type="http://schemas.openxmlformats.org/officeDocument/2006/relationships/hyperlink" Target="https://www.google.com/search?newwindow=1&amp;ei=2MT0XrvGGM-vytMP1OyDgAY&amp;q=site%3Alinkedin.com+Aileen+Meade+Assurance+Business+Recruiting+Manager" TargetMode="External"/><Relationship Id="rId948" Type="http://schemas.openxmlformats.org/officeDocument/2006/relationships/hyperlink" Target="https://www.google.com/search?newwindow=1&amp;ei=2MT0XrvGGM-vytMP1OyDgAY&amp;q=site%3Alinkedin.com+Kate+Bata+Campus+Recruiting+Coordinator" TargetMode="External"/><Relationship Id="rId943" Type="http://schemas.openxmlformats.org/officeDocument/2006/relationships/hyperlink" Target="https://www.google.com/search?newwindow=1&amp;ei=2MT0XrvGGM-vytMP1OyDgAY&amp;q=site%3Alinkedin.com+Nicole+Price+Executive+Assistant+&amp;+Campus+Recruiting+Coordinator" TargetMode="External"/><Relationship Id="rId942" Type="http://schemas.openxmlformats.org/officeDocument/2006/relationships/hyperlink" Target="https://www.google.com/search?newwindow=1&amp;ei=2MT0XrvGGM-vytMP1OyDgAY&amp;q=site%3Alinkedin.com+Amber+Lemieux+Senior+Campus+Recruiting+Coordinator" TargetMode="External"/><Relationship Id="rId941" Type="http://schemas.openxmlformats.org/officeDocument/2006/relationships/hyperlink" Target="https://www.google.com/search?newwindow=1&amp;ei=2MT0XrvGGM-vytMP1OyDgAY&amp;q=site%3Alinkedin.com+Michael+Clark+College+Recruiter" TargetMode="External"/><Relationship Id="rId940" Type="http://schemas.openxmlformats.org/officeDocument/2006/relationships/hyperlink" Target="https://www.google.com/search?newwindow=1&amp;ei=2MT0XrvGGM-vytMP1OyDgAY&amp;q=site%3Alinkedin.com+Jill+Laurenson+Open+University+Recruitment+%C2%A0Response+Manager" TargetMode="External"/><Relationship Id="rId947" Type="http://schemas.openxmlformats.org/officeDocument/2006/relationships/hyperlink" Target="https://www.google.com/search?newwindow=1&amp;ei=2MT0XrvGGM-vytMP1OyDgAY&amp;q=site%3Alinkedin.com+Nathan+Petroski,+SHRM-CP+Campus+Recruiting+Coordinator+-+Contract" TargetMode="External"/><Relationship Id="rId946" Type="http://schemas.openxmlformats.org/officeDocument/2006/relationships/hyperlink" Target="https://www.google.com/search?newwindow=1&amp;ei=2MT0XrvGGM-vytMP1OyDgAY&amp;q=site%3Alinkedin.com+Janel+Houston+Senior+Campus+Recruiting+Specialist" TargetMode="External"/><Relationship Id="rId945" Type="http://schemas.openxmlformats.org/officeDocument/2006/relationships/hyperlink" Target="https://www.google.com/search?newwindow=1&amp;ei=2MT0XrvGGM-vytMP1OyDgAY&amp;q=site%3Alinkedin.com+Brittany+Prather+Campus+Recruiting+Specialist" TargetMode="External"/><Relationship Id="rId944" Type="http://schemas.openxmlformats.org/officeDocument/2006/relationships/hyperlink" Target="https://www.google.com/search?newwindow=1&amp;ei=2MT0XrvGGM-vytMP1OyDgAY&amp;q=site%3Alinkedin.com+Anadelia+Garcia+Campus+Recruiting+Manager+-+Central+Region" TargetMode="External"/><Relationship Id="rId2860" Type="http://schemas.openxmlformats.org/officeDocument/2006/relationships/hyperlink" Target="https://www.google.com/search?newwindow=1&amp;ei=2MT0XrvGGM-vytMP1OyDgAY&amp;q=site%3Alinkedin.com+Jessie+King+University+Recruiter+-+Southeast+Territory+Gartner" TargetMode="External"/><Relationship Id="rId1530" Type="http://schemas.openxmlformats.org/officeDocument/2006/relationships/hyperlink" Target="https://www.google.com/search?newwindow=1&amp;ei=2MT0XrvGGM-vytMP1OyDgAY&amp;q=site%3Alinkedin.com+Catherine+Guilbault,+CRHA+Talent+Aquisition+Student+&amp;+Special+Programs+Manager" TargetMode="External"/><Relationship Id="rId2861" Type="http://schemas.openxmlformats.org/officeDocument/2006/relationships/hyperlink" Target="https://www.google.com/search?newwindow=1&amp;ei=2MT0XrvGGM-vytMP1OyDgAY&amp;q=site%3Alinkedin.com+Meredith+Sutter+Campus+Recruiting+Manager+Deloitte" TargetMode="External"/><Relationship Id="rId1531" Type="http://schemas.openxmlformats.org/officeDocument/2006/relationships/hyperlink" Target="https://www.google.com/search?newwindow=1&amp;ei=2MT0XrvGGM-vytMP1OyDgAY&amp;q=site%3Alinkedin.com+Sophie+Jenkins+Undergraduate+student" TargetMode="External"/><Relationship Id="rId2862" Type="http://schemas.openxmlformats.org/officeDocument/2006/relationships/hyperlink" Target="https://www.google.com/search?newwindow=1&amp;ei=2MT0XrvGGM-vytMP1OyDgAY&amp;q=site%3Alinkedin.com+Stephanie+Scott+Campus+Recruiter+Gartner" TargetMode="External"/><Relationship Id="rId1521" Type="http://schemas.openxmlformats.org/officeDocument/2006/relationships/hyperlink" Target="https://www.google.com/search?newwindow=1&amp;ei=2MT0XrvGGM-vytMP1OyDgAY&amp;q=site%3Alinkedin.com+Elizabeth+Dlugon+Student+Programs+Coordinator" TargetMode="External"/><Relationship Id="rId2852" Type="http://schemas.openxmlformats.org/officeDocument/2006/relationships/hyperlink" Target="https://www.google.com/search?newwindow=1&amp;ei=2MT0XrvGGM-vytMP1OyDgAY&amp;q=site%3Alinkedin.com+Katie+Flaschar+Campus+Recruiter+Cushman+&amp;+Wakefield" TargetMode="External"/><Relationship Id="rId1522" Type="http://schemas.openxmlformats.org/officeDocument/2006/relationships/hyperlink" Target="https://www.google.com/search?newwindow=1&amp;ei=2MT0XrvGGM-vytMP1OyDgAY&amp;q=site%3Alinkedin.com+Davies+Michelle+Student+Support+Coordinator+Disability+Programs" TargetMode="External"/><Relationship Id="rId2853" Type="http://schemas.openxmlformats.org/officeDocument/2006/relationships/hyperlink" Target="https://www.google.com/search?newwindow=1&amp;ei=2MT0XrvGGM-vytMP1OyDgAY&amp;q=site%3Alinkedin.com+McKenzie+Randall,+MAOL+University+Recruiter+Garmin" TargetMode="External"/><Relationship Id="rId1523" Type="http://schemas.openxmlformats.org/officeDocument/2006/relationships/hyperlink" Target="https://www.google.com/search?newwindow=1&amp;ei=2MT0XrvGGM-vytMP1OyDgAY&amp;q=site%3Alinkedin.com+Lorraine+Walker+State+Coordinator+-+Student+Welfare+Programs" TargetMode="External"/><Relationship Id="rId2854" Type="http://schemas.openxmlformats.org/officeDocument/2006/relationships/hyperlink" Target="https://www.google.com/search?newwindow=1&amp;ei=2MT0XrvGGM-vytMP1OyDgAY&amp;q=site%3Alinkedin.com+Jen+Larson+University+Relations+Recruiter+Garmin" TargetMode="External"/><Relationship Id="rId1524" Type="http://schemas.openxmlformats.org/officeDocument/2006/relationships/hyperlink" Target="https://www.google.com/search?newwindow=1&amp;ei=2MT0XrvGGM-vytMP1OyDgAY&amp;q=site%3Alinkedin.com+Della+AN+Student+Recruiter" TargetMode="External"/><Relationship Id="rId2855" Type="http://schemas.openxmlformats.org/officeDocument/2006/relationships/hyperlink" Target="https://www.google.com/search?newwindow=1&amp;ei=2MT0XrvGGM-vytMP1OyDgAY&amp;q=site%3Alinkedin.com+Caroline+Hamera-Menges+University+Relations+Recruiter+Garmin+International" TargetMode="External"/><Relationship Id="rId1525" Type="http://schemas.openxmlformats.org/officeDocument/2006/relationships/hyperlink" Target="https://www.google.com/search?newwindow=1&amp;ei=2MT0XrvGGM-vytMP1OyDgAY&amp;q=site%3Alinkedin.com+Tracey+A.+Assistant+Manager+Vocational+Programs" TargetMode="External"/><Relationship Id="rId2856" Type="http://schemas.openxmlformats.org/officeDocument/2006/relationships/hyperlink" Target="https://www.google.com/search?newwindow=1&amp;ei=2MT0XrvGGM-vytMP1OyDgAY&amp;q=site%3Alinkedin.com+Tiffany+Taylor+University+Relations+Diversity+Program+Manager+Dell" TargetMode="External"/><Relationship Id="rId1526" Type="http://schemas.openxmlformats.org/officeDocument/2006/relationships/hyperlink" Target="https://www.google.com/search?newwindow=1&amp;ei=2MT0XrvGGM-vytMP1OyDgAY&amp;q=site%3Alinkedin.com+Me+Y.+Campus+Recruiting+Manager" TargetMode="External"/><Relationship Id="rId2857" Type="http://schemas.openxmlformats.org/officeDocument/2006/relationships/hyperlink" Target="https://www.google.com/search?newwindow=1&amp;ei=2MT0XrvGGM-vytMP1OyDgAY&amp;q=site%3Alinkedin.com+Kourtney+Welch+University+Relations+Recruiter+Garmin+International" TargetMode="External"/><Relationship Id="rId1527" Type="http://schemas.openxmlformats.org/officeDocument/2006/relationships/hyperlink" Target="https://www.google.com/search?newwindow=1&amp;ei=2MT0XrvGGM-vytMP1OyDgAY&amp;q=site%3Alinkedin.com+Laura+Summers,+CPA+Senior+Associate,+Campus+Recruiting+at+KPMG+US" TargetMode="External"/><Relationship Id="rId2858" Type="http://schemas.openxmlformats.org/officeDocument/2006/relationships/hyperlink" Target="https://www.google.com/search?newwindow=1&amp;ei=2MT0XrvGGM-vytMP1OyDgAY&amp;q=site%3Alinkedin.com+Kelly+O'Connor+University+Relations+Recruiter+Garmin+International" TargetMode="External"/><Relationship Id="rId1528" Type="http://schemas.openxmlformats.org/officeDocument/2006/relationships/hyperlink" Target="https://www.google.com/search?newwindow=1&amp;ei=2MT0XrvGGM-vytMP1OyDgAY&amp;q=site%3Alinkedin.com+Jefferson+Johnson+Assistant+Director+-+Campus+Recruiting" TargetMode="External"/><Relationship Id="rId2859" Type="http://schemas.openxmlformats.org/officeDocument/2006/relationships/hyperlink" Target="https://www.google.com/search?newwindow=1&amp;ei=2MT0XrvGGM-vytMP1OyDgAY&amp;q=site%3Alinkedin.com+Elizabeth+Baldridge+University+Relations+Recruiter+Garmin+International" TargetMode="External"/><Relationship Id="rId1529" Type="http://schemas.openxmlformats.org/officeDocument/2006/relationships/hyperlink" Target="https://www.google.com/search?newwindow=1&amp;ei=2MT0XrvGGM-vytMP1OyDgAY&amp;q=site%3Alinkedin.com+Rebecca+Goldsmith+Overseas,+Graduate+and+Farm+Vet+Recruiter" TargetMode="External"/><Relationship Id="rId939" Type="http://schemas.openxmlformats.org/officeDocument/2006/relationships/hyperlink" Target="https://www.google.com/search?newwindow=1&amp;ei=2MT0XrvGGM-vytMP1OyDgAY&amp;q=site%3Alinkedin.com+Natasha+Teji+Student+Recruiter" TargetMode="External"/><Relationship Id="rId938" Type="http://schemas.openxmlformats.org/officeDocument/2006/relationships/hyperlink" Target="https://www.google.com/search?newwindow=1&amp;ei=2MT0XrvGGM-vytMP1OyDgAY&amp;q=site%3Alinkedin.com+Freda+Asare+Senior+Recruitment+&amp;+Support+Adviser+at+Open+University" TargetMode="External"/><Relationship Id="rId937" Type="http://schemas.openxmlformats.org/officeDocument/2006/relationships/hyperlink" Target="https://www.google.com/search?newwindow=1&amp;ei=2MT0XrvGGM-vytMP1OyDgAY&amp;q=site%3Alinkedin.com+Jeff+Hudgins+Principal+Talent+Acquisition+Specialist+-+Grad+Campus+Recruiting+Team" TargetMode="External"/><Relationship Id="rId932" Type="http://schemas.openxmlformats.org/officeDocument/2006/relationships/hyperlink" Target="https://www.google.com/search?newwindow=1&amp;ei=2MT0XrvGGM-vytMP1OyDgAY&amp;q=site%3Alinkedin.com+Kathryn+Roberts+Senior+Campus+Recruiting+Specialist" TargetMode="External"/><Relationship Id="rId931" Type="http://schemas.openxmlformats.org/officeDocument/2006/relationships/hyperlink" Target="https://www.google.com/search?newwindow=1&amp;ei=2MT0XrvGGM-vytMP1OyDgAY&amp;q=site%3Alinkedin.com+Laney+Williams+Senior+Associate,+Campus+Recruiting" TargetMode="External"/><Relationship Id="rId930" Type="http://schemas.openxmlformats.org/officeDocument/2006/relationships/hyperlink" Target="https://www.google.com/search?newwindow=1&amp;ei=2MT0XrvGGM-vytMP1OyDgAY&amp;q=site%3Alinkedin.com+Katie+Barber+Campus+Recruiting+Specialist" TargetMode="External"/><Relationship Id="rId936" Type="http://schemas.openxmlformats.org/officeDocument/2006/relationships/hyperlink" Target="https://www.google.com/search?newwindow=1&amp;ei=2MT0XrvGGM-vytMP1OyDgAY&amp;q=site%3Alinkedin.com+Robert+Conrad+National+Campus+Forensics+Recruiting+Leader" TargetMode="External"/><Relationship Id="rId935" Type="http://schemas.openxmlformats.org/officeDocument/2006/relationships/hyperlink" Target="https://www.google.com/search?newwindow=1&amp;ei=2MT0XrvGGM-vytMP1OyDgAY&amp;q=site%3Alinkedin.com+Federico+E.+Campus+Recruiting+Manager" TargetMode="External"/><Relationship Id="rId934" Type="http://schemas.openxmlformats.org/officeDocument/2006/relationships/hyperlink" Target="https://www.google.com/search?newwindow=1&amp;ei=2MT0XrvGGM-vytMP1OyDgAY&amp;q=site%3Alinkedin.com+Katarina+I.+Perez,+MBA+Campus+Recruiting+Specialist" TargetMode="External"/><Relationship Id="rId933" Type="http://schemas.openxmlformats.org/officeDocument/2006/relationships/hyperlink" Target="https://www.google.com/search?newwindow=1&amp;ei=2MT0XrvGGM-vytMP1OyDgAY&amp;q=site%3Alinkedin.com+Anissa+Escobar,+MSHRM+Campus+Recruiting+Coordinator" TargetMode="External"/><Relationship Id="rId2850" Type="http://schemas.openxmlformats.org/officeDocument/2006/relationships/hyperlink" Target="https://www.google.com/search?newwindow=1&amp;ei=2MT0XrvGGM-vytMP1OyDgAY&amp;q=site%3Alinkedin.com+Jessica+Ritter+LTU+Campus+Recruiter+Ford+Motor+Company" TargetMode="External"/><Relationship Id="rId1520" Type="http://schemas.openxmlformats.org/officeDocument/2006/relationships/hyperlink" Target="https://www.google.com/search?newwindow=1&amp;ei=2MT0XrvGGM-vytMP1OyDgAY&amp;q=site%3Alinkedin.com+Novi+Sugiarto+Student+Programs+Assistant" TargetMode="External"/><Relationship Id="rId2851" Type="http://schemas.openxmlformats.org/officeDocument/2006/relationships/hyperlink" Target="https://www.google.com/search?newwindow=1&amp;ei=2MT0XrvGGM-vytMP1OyDgAY&amp;q=site%3Alinkedin.com+Jack+Thomas+MSU+Campus+Recruiter+Ford+Motor+Company" TargetMode="External"/><Relationship Id="rId1554" Type="http://schemas.openxmlformats.org/officeDocument/2006/relationships/hyperlink" Target="https://www.google.com/search?newwindow=1&amp;ei=2MT0XrvGGM-vytMP1OyDgAY&amp;q=site%3Alinkedin.com+Natalie+Rutkowski+Talent+Attraction+Specialist+-+GTA+Campus+Recruiter" TargetMode="External"/><Relationship Id="rId2885" Type="http://schemas.openxmlformats.org/officeDocument/2006/relationships/hyperlink" Target="https://www.google.com/search?newwindow=1&amp;ei=2MT0XrvGGM-vytMP1OyDgAY&amp;q=site%3Alinkedin.com+Cristina+Tomasko+Campus+Recruiting+Manager+Deloitte" TargetMode="External"/><Relationship Id="rId1555" Type="http://schemas.openxmlformats.org/officeDocument/2006/relationships/hyperlink" Target="https://www.google.com/search?newwindow=1&amp;ei=2MT0XrvGGM-vytMP1OyDgAY&amp;q=site%3Alinkedin.com+Maria+Khan+Campus+Recruiting+Manager" TargetMode="External"/><Relationship Id="rId2886" Type="http://schemas.openxmlformats.org/officeDocument/2006/relationships/hyperlink" Target="https://www.google.com/search?newwindow=1&amp;ei=2MT0XrvGGM-vytMP1OyDgAY&amp;q=site%3Alinkedin.com+CJ+Giles+Senior+Recruiting+-+Global+and+Large+Enterprise+Sales+Gartner" TargetMode="External"/><Relationship Id="rId1556" Type="http://schemas.openxmlformats.org/officeDocument/2006/relationships/hyperlink" Target="https://www.google.com/search?newwindow=1&amp;ei=2MT0XrvGGM-vytMP1OyDgAY&amp;q=site%3Alinkedin.com+Vijayita+Bhardwaj+(she/her)+University+Recruitment+Coordinator" TargetMode="External"/><Relationship Id="rId2887" Type="http://schemas.openxmlformats.org/officeDocument/2006/relationships/hyperlink" Target="https://www.google.com/search?newwindow=1&amp;ei=2MT0XrvGGM-vytMP1OyDgAY&amp;q=site%3Alinkedin.com+Kristin+Mikelson+Campus+Recruiting+Manager+Deloitte" TargetMode="External"/><Relationship Id="rId1557" Type="http://schemas.openxmlformats.org/officeDocument/2006/relationships/hyperlink" Target="https://www.google.com/search?newwindow=1&amp;ei=2MT0XrvGGM-vytMP1OyDgAY&amp;q=site%3Alinkedin.com+Ghada+Tajeddine+Student+Recruiter+(Regional)+-+Internationally+Educated+Professionals" TargetMode="External"/><Relationship Id="rId2888" Type="http://schemas.openxmlformats.org/officeDocument/2006/relationships/hyperlink" Target="https://www.google.com/search?newwindow=1&amp;ei=2MT0XrvGGM-vytMP1OyDgAY&amp;q=site%3Alinkedin.com+CJ+Giles+Manager,+Campus+Recruiting+Gartner" TargetMode="External"/><Relationship Id="rId1558" Type="http://schemas.openxmlformats.org/officeDocument/2006/relationships/hyperlink" Target="https://www.google.com/search?newwindow=1&amp;ei=2MT0XrvGGM-vytMP1OyDgAY&amp;q=site%3Alinkedin.com+Jordan+Barratt+National+Campus+Recruiting+Leader" TargetMode="External"/><Relationship Id="rId2889" Type="http://schemas.openxmlformats.org/officeDocument/2006/relationships/hyperlink" Target="https://www.google.com/search?newwindow=1&amp;ei=2MT0XrvGGM-vytMP1OyDgAY&amp;q=site%3Alinkedin.com+Suzanne+Joyce+Senior+Campus+Recruiter+Deloitte" TargetMode="External"/><Relationship Id="rId1559" Type="http://schemas.openxmlformats.org/officeDocument/2006/relationships/hyperlink" Target="https://www.google.com/search?newwindow=1&amp;ei=2MT0XrvGGM-vytMP1OyDgAY&amp;q=site%3Alinkedin.com+Carolyn+Seward+Student+Recruiter" TargetMode="External"/><Relationship Id="rId965" Type="http://schemas.openxmlformats.org/officeDocument/2006/relationships/hyperlink" Target="https://www.google.com/search?newwindow=1&amp;ei=2MT0XrvGGM-vytMP1OyDgAY&amp;q=site%3Alinkedin.com+Tina+Charalambu+Graduate+Recruiter" TargetMode="External"/><Relationship Id="rId964" Type="http://schemas.openxmlformats.org/officeDocument/2006/relationships/hyperlink" Target="https://www.google.com/search?newwindow=1&amp;ei=2MT0XrvGGM-vytMP1OyDgAY&amp;q=site%3Alinkedin.com+Heather+Hines+Director,+Undergraduate+Programs+&amp;+Student+Services" TargetMode="External"/><Relationship Id="rId963" Type="http://schemas.openxmlformats.org/officeDocument/2006/relationships/hyperlink" Target="https://www.google.com/search?newwindow=1&amp;ei=2MT0XrvGGM-vytMP1OyDgAY&amp;q=site%3Alinkedin.com+Joseph+Kooliadan+Consultant+/+International+Student+Recruiter" TargetMode="External"/><Relationship Id="rId962" Type="http://schemas.openxmlformats.org/officeDocument/2006/relationships/hyperlink" Target="https://www.google.com/search?newwindow=1&amp;ei=2MT0XrvGGM-vytMP1OyDgAY&amp;q=site%3Alinkedin.com+Rebecca+Crawford+Medical+Student" TargetMode="External"/><Relationship Id="rId969" Type="http://schemas.openxmlformats.org/officeDocument/2006/relationships/hyperlink" Target="https://www.google.com/search?newwindow=1&amp;ei=2MT0XrvGGM-vytMP1OyDgAY&amp;q=site%3Alinkedin.com+Min+Seok+Kim+International+Student+Recruiter" TargetMode="External"/><Relationship Id="rId968" Type="http://schemas.openxmlformats.org/officeDocument/2006/relationships/hyperlink" Target="https://www.google.com/search?newwindow=1&amp;ei=2MT0XrvGGM-vytMP1OyDgAY&amp;q=site%3Alinkedin.com+Charline+Florestal+Campus+recruiter" TargetMode="External"/><Relationship Id="rId967" Type="http://schemas.openxmlformats.org/officeDocument/2006/relationships/hyperlink" Target="https://www.google.com/search?newwindow=1&amp;ei=2MT0XrvGGM-vytMP1OyDgAY&amp;q=site%3Alinkedin.com+Am%C3%A9lie+C%C3%B4t%C3%A9+University+Recruiter" TargetMode="External"/><Relationship Id="rId966" Type="http://schemas.openxmlformats.org/officeDocument/2006/relationships/hyperlink" Target="https://www.google.com/search?newwindow=1&amp;ei=2MT0XrvGGM-vytMP1OyDgAY&amp;q=site%3Alinkedin.com+Marilou+Bisson+Campus+Recruiter" TargetMode="External"/><Relationship Id="rId2880" Type="http://schemas.openxmlformats.org/officeDocument/2006/relationships/hyperlink" Target="https://www.google.com/search?newwindow=1&amp;ei=2MT0XrvGGM-vytMP1OyDgAY&amp;q=site%3Alinkedin.com+Kiersten+Post+University+Recruiter+Gartner" TargetMode="External"/><Relationship Id="rId961" Type="http://schemas.openxmlformats.org/officeDocument/2006/relationships/hyperlink" Target="https://www.google.com/search?newwindow=1&amp;ei=2MT0XrvGGM-vytMP1OyDgAY&amp;q=site%3Alinkedin.com+Clara+Ramirez-Orellana+Store+Recruiter/Cashier/Customer+Service" TargetMode="External"/><Relationship Id="rId1550" Type="http://schemas.openxmlformats.org/officeDocument/2006/relationships/hyperlink" Target="https://www.google.com/search?newwindow=1&amp;ei=2MT0XrvGGM-vytMP1OyDgAY&amp;q=site%3Alinkedin.com+Rahul+Gupta+International+student+Recruiter" TargetMode="External"/><Relationship Id="rId2881" Type="http://schemas.openxmlformats.org/officeDocument/2006/relationships/hyperlink" Target="https://www.google.com/search?newwindow=1&amp;ei=2MT0XrvGGM-vytMP1OyDgAY&amp;q=site%3Alinkedin.com+Kori+Kelly+Campus+Recruiting+Manager+Deloitte" TargetMode="External"/><Relationship Id="rId960" Type="http://schemas.openxmlformats.org/officeDocument/2006/relationships/hyperlink" Target="https://www.google.com/search?newwindow=1&amp;ei=2MT0XrvGGM-vytMP1OyDgAY&amp;q=site%3Alinkedin.com+Danielle+Soo+Campus+Recruiter+-+Technology+&amp;+Digital" TargetMode="External"/><Relationship Id="rId1551" Type="http://schemas.openxmlformats.org/officeDocument/2006/relationships/hyperlink" Target="https://www.google.com/search?newwindow=1&amp;ei=2MT0XrvGGM-vytMP1OyDgAY&amp;q=site%3Alinkedin.com+Sean+Mullin+Post+Secondary+Student+Recruiter" TargetMode="External"/><Relationship Id="rId2882" Type="http://schemas.openxmlformats.org/officeDocument/2006/relationships/hyperlink" Target="https://www.google.com/search?newwindow=1&amp;ei=2MT0XrvGGM-vytMP1OyDgAY&amp;q=site%3Alinkedin.com+Matthew+Duarte+University+Recruiter+Gartner" TargetMode="External"/><Relationship Id="rId1552" Type="http://schemas.openxmlformats.org/officeDocument/2006/relationships/hyperlink" Target="https://www.google.com/search?newwindow=1&amp;ei=2MT0XrvGGM-vytMP1OyDgAY&amp;q=site%3Alinkedin.com+Katie+Dutton+Campus+Recruiter+-+Wealth+Management" TargetMode="External"/><Relationship Id="rId2883" Type="http://schemas.openxmlformats.org/officeDocument/2006/relationships/hyperlink" Target="https://www.google.com/search?newwindow=1&amp;ei=2MT0XrvGGM-vytMP1OyDgAY&amp;q=site%3Alinkedin.com+Carter+McCormack+Hartung+Campus+Recruiting+Manager+Deloitte" TargetMode="External"/><Relationship Id="rId1553" Type="http://schemas.openxmlformats.org/officeDocument/2006/relationships/hyperlink" Target="https://www.google.com/search?newwindow=1&amp;ei=2MT0XrvGGM-vytMP1OyDgAY&amp;q=site%3Alinkedin.com+Jovic+Howland+Senior+Recruiter,+Campus+Recruitment,+Early+Talent+Acquisition,+Wealth+Management" TargetMode="External"/><Relationship Id="rId2884" Type="http://schemas.openxmlformats.org/officeDocument/2006/relationships/hyperlink" Target="https://www.google.com/search?newwindow=1&amp;ei=2MT0XrvGGM-vytMP1OyDgAY&amp;q=site%3Alinkedin.com+Caitlin+Seccombe+Manager,+Recruiting+Gartner" TargetMode="External"/><Relationship Id="rId1543" Type="http://schemas.openxmlformats.org/officeDocument/2006/relationships/hyperlink" Target="https://www.google.com/search?newwindow=1&amp;ei=2MT0XrvGGM-vytMP1OyDgAY&amp;q=site%3Alinkedin.com+Kari+Kabi+Campus+Recruiter" TargetMode="External"/><Relationship Id="rId2874" Type="http://schemas.openxmlformats.org/officeDocument/2006/relationships/hyperlink" Target="https://www.google.com/search?newwindow=1&amp;ei=2MT0XrvGGM-vytMP1OyDgAY&amp;q=site%3Alinkedin.com+Presley+Pender+University+Recruiter+Gartner" TargetMode="External"/><Relationship Id="rId1544" Type="http://schemas.openxmlformats.org/officeDocument/2006/relationships/hyperlink" Target="https://www.google.com/search?newwindow=1&amp;ei=2MT0XrvGGM-vytMP1OyDgAY&amp;q=site%3Alinkedin.com+Deepika+Gupta+National+Senior+Campus+Recruiter" TargetMode="External"/><Relationship Id="rId2875" Type="http://schemas.openxmlformats.org/officeDocument/2006/relationships/hyperlink" Target="https://www.google.com/search?newwindow=1&amp;ei=2MT0XrvGGM-vytMP1OyDgAY&amp;q=site%3Alinkedin.com+Milan+Sands+Campus+Recruiter+Deloitte" TargetMode="External"/><Relationship Id="rId1545" Type="http://schemas.openxmlformats.org/officeDocument/2006/relationships/hyperlink" Target="https://www.google.com/search?newwindow=1&amp;ei=2MT0XrvGGM-vytMP1OyDgAY&amp;q=site%3Alinkedin.com+Gaby+Bohus,+MBA+Director,+Technology+Career+Programs,+Campus+Recruiting+&amp;+Career+Programs,+Talent+Acquisition" TargetMode="External"/><Relationship Id="rId2876" Type="http://schemas.openxmlformats.org/officeDocument/2006/relationships/hyperlink" Target="https://www.google.com/search?newwindow=1&amp;ei=2MT0XrvGGM-vytMP1OyDgAY&amp;q=site%3Alinkedin.com+Jeff+Stencel+Team+Lead,+University+Recruiting+Gartner" TargetMode="External"/><Relationship Id="rId1546" Type="http://schemas.openxmlformats.org/officeDocument/2006/relationships/hyperlink" Target="https://www.google.com/search?newwindow=1&amp;ei=2MT0XrvGGM-vytMP1OyDgAY&amp;q=site%3Alinkedin.com+Karen+Tang+Campus+Technology+Recruiter" TargetMode="External"/><Relationship Id="rId2877" Type="http://schemas.openxmlformats.org/officeDocument/2006/relationships/hyperlink" Target="https://www.google.com/search?newwindow=1&amp;ei=2MT0XrvGGM-vytMP1OyDgAY&amp;q=site%3Alinkedin.com+Andrea+Gonso+Campus+Recruiter+Deloitte" TargetMode="External"/><Relationship Id="rId1547" Type="http://schemas.openxmlformats.org/officeDocument/2006/relationships/hyperlink" Target="https://www.google.com/search?newwindow=1&amp;ei=2MT0XrvGGM-vytMP1OyDgAY&amp;q=site%3Alinkedin.com+Maria+Miqdadi+Campus+Recruiter" TargetMode="External"/><Relationship Id="rId2878" Type="http://schemas.openxmlformats.org/officeDocument/2006/relationships/hyperlink" Target="https://www.google.com/search?newwindow=1&amp;ei=2MT0XrvGGM-vytMP1OyDgAY&amp;q=site%3Alinkedin.com+Jeff+Stencel+Senior+Campus+Recruiter+Gartner" TargetMode="External"/><Relationship Id="rId1548" Type="http://schemas.openxmlformats.org/officeDocument/2006/relationships/hyperlink" Target="https://www.google.com/search?newwindow=1&amp;ei=2MT0XrvGGM-vytMP1OyDgAY&amp;q=site%3Alinkedin.com+Laveen+Jose+Student+Recruiter" TargetMode="External"/><Relationship Id="rId2879" Type="http://schemas.openxmlformats.org/officeDocument/2006/relationships/hyperlink" Target="https://www.google.com/search?newwindow=1&amp;ei=2MT0XrvGGM-vytMP1OyDgAY&amp;q=site%3Alinkedin.com+Haley+Kuyk+Campus+Recruiter+Deloitte" TargetMode="External"/><Relationship Id="rId1549" Type="http://schemas.openxmlformats.org/officeDocument/2006/relationships/hyperlink" Target="https://www.google.com/search?newwindow=1&amp;ei=2MT0XrvGGM-vytMP1OyDgAY&amp;q=site%3Alinkedin.com+Faith+Pember+Student+Recruiter" TargetMode="External"/><Relationship Id="rId959" Type="http://schemas.openxmlformats.org/officeDocument/2006/relationships/hyperlink" Target="https://www.google.com/search?newwindow=1&amp;ei=2MT0XrvGGM-vytMP1OyDgAY&amp;q=site%3Alinkedin.com+Andy+Ranjan+Campus+Recruiter" TargetMode="External"/><Relationship Id="rId954" Type="http://schemas.openxmlformats.org/officeDocument/2006/relationships/hyperlink" Target="https://www.google.com/search?newwindow=1&amp;ei=2MT0XrvGGM-vytMP1OyDgAY&amp;q=site%3Alinkedin.com+Megan+O'Connor+Campus+Recruiting+Coordinator+-+Consulting" TargetMode="External"/><Relationship Id="rId953" Type="http://schemas.openxmlformats.org/officeDocument/2006/relationships/hyperlink" Target="https://www.google.com/search?newwindow=1&amp;ei=2MT0XrvGGM-vytMP1OyDgAY&amp;q=site%3Alinkedin.com+Shaka+Farr+Campus+Recruiting+Consultant" TargetMode="External"/><Relationship Id="rId952" Type="http://schemas.openxmlformats.org/officeDocument/2006/relationships/hyperlink" Target="https://www.google.com/search?newwindow=1&amp;ei=2MT0XrvGGM-vytMP1OyDgAY&amp;q=site%3Alinkedin.com+Lindsay+Kallenbach+Campus+Recruiting+Consultant" TargetMode="External"/><Relationship Id="rId951" Type="http://schemas.openxmlformats.org/officeDocument/2006/relationships/hyperlink" Target="https://www.google.com/search?newwindow=1&amp;ei=2MT0XrvGGM-vytMP1OyDgAY&amp;q=site%3Alinkedin.com+Laura+Smith+Sr.+Campus+Recruiting+Specialist" TargetMode="External"/><Relationship Id="rId958" Type="http://schemas.openxmlformats.org/officeDocument/2006/relationships/hyperlink" Target="https://www.google.com/search?newwindow=1&amp;ei=2MT0XrvGGM-vytMP1OyDgAY&amp;q=site%3Alinkedin.com+Giovanna+Naranjo+Senior+Global+Campus+Recruiter" TargetMode="External"/><Relationship Id="rId957" Type="http://schemas.openxmlformats.org/officeDocument/2006/relationships/hyperlink" Target="https://www.google.com/search?newwindow=1&amp;ei=2MT0XrvGGM-vytMP1OyDgAY&amp;q=site%3Alinkedin.com+Sarah+Wazir+International+Student+Recruiter,+South+Asia" TargetMode="External"/><Relationship Id="rId956" Type="http://schemas.openxmlformats.org/officeDocument/2006/relationships/hyperlink" Target="https://www.google.com/search?newwindow=1&amp;ei=2MT0XrvGGM-vytMP1OyDgAY&amp;q=site%3Alinkedin.com+Ashly+Kelley+Campus+Recruiting+Specialist" TargetMode="External"/><Relationship Id="rId955" Type="http://schemas.openxmlformats.org/officeDocument/2006/relationships/hyperlink" Target="https://www.google.com/search?newwindow=1&amp;ei=2MT0XrvGGM-vytMP1OyDgAY&amp;q=site%3Alinkedin.com+Maddie+Borwege+Senior+Associate,+Campus+Recruiting" TargetMode="External"/><Relationship Id="rId950" Type="http://schemas.openxmlformats.org/officeDocument/2006/relationships/hyperlink" Target="https://www.google.com/search?newwindow=1&amp;ei=2MT0XrvGGM-vytMP1OyDgAY&amp;q=site%3Alinkedin.com+Kurt+Peterson+Campus+Recruiting+Manager" TargetMode="External"/><Relationship Id="rId2870" Type="http://schemas.openxmlformats.org/officeDocument/2006/relationships/hyperlink" Target="https://www.google.com/search?newwindow=1&amp;ei=2MT0XrvGGM-vytMP1OyDgAY&amp;q=site%3Alinkedin.com+Jessy+Jager+Senior+Campus+Recruiter+Deloitte" TargetMode="External"/><Relationship Id="rId1540" Type="http://schemas.openxmlformats.org/officeDocument/2006/relationships/hyperlink" Target="https://www.google.com/search?newwindow=1&amp;ei=2MT0XrvGGM-vytMP1OyDgAY&amp;q=site%3Alinkedin.com+Amanda+Foey+Senior+Campus+Recruiter" TargetMode="External"/><Relationship Id="rId2871" Type="http://schemas.openxmlformats.org/officeDocument/2006/relationships/hyperlink" Target="https://www.google.com/search?newwindow=1&amp;ei=2MT0XrvGGM-vytMP1OyDgAY&amp;q=site%3Alinkedin.com+Danielle+Goldberg+Graduate+(MBA)+University+Recruiter+Gartner" TargetMode="External"/><Relationship Id="rId1541" Type="http://schemas.openxmlformats.org/officeDocument/2006/relationships/hyperlink" Target="https://www.google.com/search?newwindow=1&amp;ei=2MT0XrvGGM-vytMP1OyDgAY&amp;q=site%3Alinkedin.com+Kamila+Noble+Senior+Campus+Recruiter" TargetMode="External"/><Relationship Id="rId2872" Type="http://schemas.openxmlformats.org/officeDocument/2006/relationships/hyperlink" Target="https://www.google.com/search?newwindow=1&amp;ei=2MT0XrvGGM-vytMP1OyDgAY&amp;q=site%3Alinkedin.com+Ariel+Bailey+Campus+Recruiter+Deloitte" TargetMode="External"/><Relationship Id="rId1542" Type="http://schemas.openxmlformats.org/officeDocument/2006/relationships/hyperlink" Target="https://www.google.com/search?newwindow=1&amp;ei=2MT0XrvGGM-vytMP1OyDgAY&amp;q=site%3Alinkedin.com+Kristina+Stephan+Sr.+Campus+Recruiter+-+Technology+&amp;+Operations" TargetMode="External"/><Relationship Id="rId2873" Type="http://schemas.openxmlformats.org/officeDocument/2006/relationships/hyperlink" Target="https://www.google.com/search?newwindow=1&amp;ei=2MT0XrvGGM-vytMP1OyDgAY&amp;q=site%3Alinkedin.com+Kimberly+Embick+Campus+Recruiter+Gartner" TargetMode="External"/><Relationship Id="rId2027" Type="http://schemas.openxmlformats.org/officeDocument/2006/relationships/hyperlink" Target="https://www.google.com/search?newwindow=1&amp;ei=2MT0XrvGGM-vytMP1OyDgAY&amp;q=site%3Alinkedin.com+Mary+Cameron+Grice+Assistant+Vice+President,+Campus+Recruiter+Bank+of+America" TargetMode="External"/><Relationship Id="rId3359" Type="http://schemas.openxmlformats.org/officeDocument/2006/relationships/hyperlink" Target="https://www.google.com/search?newwindow=1&amp;ei=2MT0XrvGGM-vytMP1OyDgAY&amp;q=site%3Alinkedin.com+Jenna+R.+Campus+Recruiting+Manager+KPMG+US" TargetMode="External"/><Relationship Id="rId2028" Type="http://schemas.openxmlformats.org/officeDocument/2006/relationships/hyperlink" Target="https://www.google.com/search?newwindow=1&amp;ei=2MT0XrvGGM-vytMP1OyDgAY&amp;q=site%3Alinkedin.com+Jessie+Fredrickson+Campus+Recruiter+&amp;+Program+Manager+Bank+of+America" TargetMode="External"/><Relationship Id="rId3358" Type="http://schemas.openxmlformats.org/officeDocument/2006/relationships/hyperlink" Target="https://www.google.com/search?newwindow=1&amp;ei=2MT0XrvGGM-vytMP1OyDgAY&amp;q=site%3Alinkedin.com+Kathleen+Roberts+University+Recruiter+-+Closer+Facebook" TargetMode="External"/><Relationship Id="rId2029" Type="http://schemas.openxmlformats.org/officeDocument/2006/relationships/hyperlink" Target="https://www.google.com/search?newwindow=1&amp;ei=2MT0XrvGGM-vytMP1OyDgAY&amp;q=site%3Alinkedin.com+Amelie+Speer+Campus+Recruiter+&amp;+Intern+Program+Manager+Bank+of+America" TargetMode="External"/><Relationship Id="rId107" Type="http://schemas.openxmlformats.org/officeDocument/2006/relationships/hyperlink" Target="https://www.google.com/search?newwindow=1&amp;ei=2MT0XrvGGM-vytMP1OyDgAY&amp;q=site%3Alinkedin.com+Iesha+Smith+Student+Recruiter+Assistant" TargetMode="External"/><Relationship Id="rId106" Type="http://schemas.openxmlformats.org/officeDocument/2006/relationships/hyperlink" Target="https://www.google.com/search?newwindow=1&amp;ei=2MT0XrvGGM-vytMP1OyDgAY&amp;q=site%3Alinkedin.com+Ininder+Badwal,+CHRP+Talent+Attraction+Specialist+-+Campus+Recruiting" TargetMode="External"/><Relationship Id="rId105" Type="http://schemas.openxmlformats.org/officeDocument/2006/relationships/hyperlink" Target="https://www.google.com/search?newwindow=1&amp;ei=2MT0XrvGGM-vytMP1OyDgAY&amp;q=site%3Alinkedin.com+Olivia+Charran+Dual+credit+program+student+support+officer+(school+college+work+initiative)" TargetMode="External"/><Relationship Id="rId104" Type="http://schemas.openxmlformats.org/officeDocument/2006/relationships/hyperlink" Target="https://www.google.com/search?newwindow=1&amp;ei=2MT0XrvGGM-vytMP1OyDgAY&amp;q=site%3Alinkedin.com+Mohammed+A.+Talent+Advisor+&amp;+Graduate+Recruiter+at+Kelda+Group+Plc" TargetMode="External"/><Relationship Id="rId109" Type="http://schemas.openxmlformats.org/officeDocument/2006/relationships/hyperlink" Target="https://www.google.com/search?newwindow=1&amp;ei=2MT0XrvGGM-vytMP1OyDgAY&amp;q=site%3Alinkedin.com+Oriana+Barros+Manager,+Pathway+Programs,+Student+Recruitment+&amp;+Admissions" TargetMode="External"/><Relationship Id="rId108" Type="http://schemas.openxmlformats.org/officeDocument/2006/relationships/hyperlink" Target="https://www.google.com/search?newwindow=1&amp;ei=2MT0XrvGGM-vytMP1OyDgAY&amp;q=site%3Alinkedin.com+Rebeca+M.,+MSW,+RSW+Student+Development+Coordinator+-+Intercultural+Programs" TargetMode="External"/><Relationship Id="rId3351" Type="http://schemas.openxmlformats.org/officeDocument/2006/relationships/hyperlink" Target="https://www.google.com/search?newwindow=1&amp;ei=2MT0XrvGGM-vytMP1OyDgAY&amp;q=site%3Alinkedin.com+Jessica+Vittas+(she,+her,+hers)+Campus+Development+Manager:+Campus+Recruiting+KPMG+US" TargetMode="External"/><Relationship Id="rId2020" Type="http://schemas.openxmlformats.org/officeDocument/2006/relationships/hyperlink" Target="https://www.google.com/search?newwindow=1&amp;ei=2MT0XrvGGM-vytMP1OyDgAY&amp;q=site%3Alinkedin.com+Keiyana+Arnold+Lead+College+Recruiter+AT&amp;T" TargetMode="External"/><Relationship Id="rId3350" Type="http://schemas.openxmlformats.org/officeDocument/2006/relationships/hyperlink" Target="https://www.google.com/search?newwindow=1&amp;ei=2MT0XrvGGM-vytMP1OyDgAY&amp;q=site%3Alinkedin.com+Cynthia+Leu+University+Recruiter+(Infrastructure)+Facebook" TargetMode="External"/><Relationship Id="rId2021" Type="http://schemas.openxmlformats.org/officeDocument/2006/relationships/hyperlink" Target="https://www.google.com/search?newwindow=1&amp;ei=2MT0XrvGGM-vytMP1OyDgAY&amp;q=site%3Alinkedin.com+Brian+Poznanski+Officer-+Campus+Recruiter+Bank+of+America" TargetMode="External"/><Relationship Id="rId3353" Type="http://schemas.openxmlformats.org/officeDocument/2006/relationships/hyperlink" Target="https://www.google.com/search?newwindow=1&amp;ei=2MT0XrvGGM-vytMP1OyDgAY&amp;q=site%3Alinkedin.com+Liz+Trevor+Primary+Recruiting+Manager+for+LA/OC+Advisory:+Campus+Recruiting+KPMG+US" TargetMode="External"/><Relationship Id="rId2022" Type="http://schemas.openxmlformats.org/officeDocument/2006/relationships/hyperlink" Target="https://www.google.com/search?newwindow=1&amp;ei=2MT0XrvGGM-vytMP1OyDgAY&amp;q=site%3Alinkedin.com+Rachel+Johnson+Assistant+Vice+President;+University+Relations+Recruiter+Bank+of+America" TargetMode="External"/><Relationship Id="rId3352" Type="http://schemas.openxmlformats.org/officeDocument/2006/relationships/hyperlink" Target="https://www.google.com/search?newwindow=1&amp;ei=2MT0XrvGGM-vytMP1OyDgAY&amp;q=site%3Alinkedin.com+Rima+Itani+University+Recruiter+Facebook" TargetMode="External"/><Relationship Id="rId103" Type="http://schemas.openxmlformats.org/officeDocument/2006/relationships/hyperlink" Target="https://www.google.com/search?newwindow=1&amp;ei=2MT0XrvGGM-vytMP1OyDgAY&amp;q=site%3Alinkedin.com+Paula+J+Horton+UK/EU+Recruitment+Officer,+External+Affairs+-+University+of+Bradford+(to+September+2020)" TargetMode="External"/><Relationship Id="rId2023" Type="http://schemas.openxmlformats.org/officeDocument/2006/relationships/hyperlink" Target="https://www.google.com/search?newwindow=1&amp;ei=2MT0XrvGGM-vytMP1OyDgAY&amp;q=site%3Alinkedin.com+Abigail+Roberson+AVP,+University+Relations+Campus+Recruiter+Bank+of+America" TargetMode="External"/><Relationship Id="rId3355" Type="http://schemas.openxmlformats.org/officeDocument/2006/relationships/hyperlink" Target="https://www.google.com/search?newwindow=1&amp;ei=2MT0XrvGGM-vytMP1OyDgAY&amp;q=site%3Alinkedin.com+Jennifer+McCanty,+MBA+National+Manager,+Campus+Recruiting+KPMG+US" TargetMode="External"/><Relationship Id="rId102" Type="http://schemas.openxmlformats.org/officeDocument/2006/relationships/hyperlink" Target="https://www.google.com/search?newwindow=1&amp;ei=2MT0XrvGGM-vytMP1OyDgAY&amp;q=site%3Alinkedin.com+Bryony+Bain+Campus+Recruiting" TargetMode="External"/><Relationship Id="rId2024" Type="http://schemas.openxmlformats.org/officeDocument/2006/relationships/hyperlink" Target="https://www.google.com/search?newwindow=1&amp;ei=2MT0XrvGGM-vytMP1OyDgAY&amp;q=site%3Alinkedin.com+Alexander+Watkins,+MBA+Campus+Recruiter+&amp;+Program+Manager+(Global+Technology+&amp;+Operations)+Bank+of+America" TargetMode="External"/><Relationship Id="rId3354" Type="http://schemas.openxmlformats.org/officeDocument/2006/relationships/hyperlink" Target="https://www.google.com/search?newwindow=1&amp;ei=2MT0XrvGGM-vytMP1OyDgAY&amp;q=site%3Alinkedin.com+Cheriece+Williams+University+Recruiter+Facebook" TargetMode="External"/><Relationship Id="rId101" Type="http://schemas.openxmlformats.org/officeDocument/2006/relationships/hyperlink" Target="https://www.google.com/search?newwindow=1&amp;ei=2MT0XrvGGM-vytMP1OyDgAY&amp;q=site%3Alinkedin.com+Valeria+B.+Programs+Intern" TargetMode="External"/><Relationship Id="rId2025" Type="http://schemas.openxmlformats.org/officeDocument/2006/relationships/hyperlink" Target="https://www.google.com/search?newwindow=1&amp;ei=2MT0XrvGGM-vytMP1OyDgAY&amp;q=site%3Alinkedin.com+Vanessa+Sterling+Campus+Recruiter+Bank+of+America" TargetMode="External"/><Relationship Id="rId3357" Type="http://schemas.openxmlformats.org/officeDocument/2006/relationships/hyperlink" Target="https://www.google.com/search?newwindow=1&amp;ei=2MT0XrvGGM-vytMP1OyDgAY&amp;q=site%3Alinkedin.com+Jemima+Sloggett+Manager,+Campus+Recruiting+KPMG+US" TargetMode="External"/><Relationship Id="rId100" Type="http://schemas.openxmlformats.org/officeDocument/2006/relationships/hyperlink" Target="https://www.google.com/search?newwindow=1&amp;ei=2MT0XrvGGM-vytMP1OyDgAY&amp;q=site%3Alinkedin.com+Fedora+Maduro+Technology+Campus+Recruiter+-+Human+Resources" TargetMode="External"/><Relationship Id="rId2026" Type="http://schemas.openxmlformats.org/officeDocument/2006/relationships/hyperlink" Target="https://www.google.com/search?newwindow=1&amp;ei=2MT0XrvGGM-vytMP1OyDgAY&amp;q=site%3Alinkedin.com+Jamie+Wright+Campus+Recruiter+-+CFO+Group+Bank+of+America" TargetMode="External"/><Relationship Id="rId3356" Type="http://schemas.openxmlformats.org/officeDocument/2006/relationships/hyperlink" Target="https://www.google.com/search?newwindow=1&amp;ei=2MT0XrvGGM-vytMP1OyDgAY&amp;q=site%3Alinkedin.com+Kaitlin+Wilson+University+Recruiter+Facebook" TargetMode="External"/><Relationship Id="rId2016" Type="http://schemas.openxmlformats.org/officeDocument/2006/relationships/hyperlink" Target="https://www.google.com/search?newwindow=1&amp;ei=2MT0XrvGGM-vytMP1OyDgAY&amp;q=site%3Alinkedin.com+Mary+Rose+Moynihan+University+Relations+Recruiter+-+R&amp;D+Apple" TargetMode="External"/><Relationship Id="rId3348" Type="http://schemas.openxmlformats.org/officeDocument/2006/relationships/hyperlink" Target="https://www.google.com/search?newwindow=1&amp;ei=2MT0XrvGGM-vytMP1OyDgAY&amp;q=site%3Alinkedin.com+Lisa+Francisco+National+Manager,+Campus+Recruiting+&amp;+University+Relations+KPMG+US" TargetMode="External"/><Relationship Id="rId2017" Type="http://schemas.openxmlformats.org/officeDocument/2006/relationships/hyperlink" Target="https://www.google.com/search?newwindow=1&amp;ei=2MT0XrvGGM-vytMP1OyDgAY&amp;q=site%3Alinkedin.com+Rich+Heffernan+Sr.+College+Recruiter+AT+&amp;T" TargetMode="External"/><Relationship Id="rId3347" Type="http://schemas.openxmlformats.org/officeDocument/2006/relationships/hyperlink" Target="https://www.google.com/search?newwindow=1&amp;ei=2MT0XrvGGM-vytMP1OyDgAY&amp;q=site%3Alinkedin.com+Laurel+Miller+Stone+Associate+Director,+Campus+Recruiting+KPMG+US" TargetMode="External"/><Relationship Id="rId2018" Type="http://schemas.openxmlformats.org/officeDocument/2006/relationships/hyperlink" Target="https://www.google.com/search?newwindow=1&amp;ei=2MT0XrvGGM-vytMP1OyDgAY&amp;q=site%3Alinkedin.com+Ashley+Rich+College+Recruiter+AT&amp;T" TargetMode="External"/><Relationship Id="rId2019" Type="http://schemas.openxmlformats.org/officeDocument/2006/relationships/hyperlink" Target="https://www.google.com/search?newwindow=1&amp;ei=2MT0XrvGGM-vytMP1OyDgAY&amp;q=site%3Alinkedin.com+Claudia+Willis+Lead+College+Recruiter+AT&amp;T" TargetMode="External"/><Relationship Id="rId3349" Type="http://schemas.openxmlformats.org/officeDocument/2006/relationships/hyperlink" Target="https://www.google.com/search?newwindow=1&amp;ei=2MT0XrvGGM-vytMP1OyDgAY&amp;q=site%3Alinkedin.com+Haley+Barton+Associate+Campus+Recruiter+KPMG+US" TargetMode="External"/><Relationship Id="rId3340" Type="http://schemas.openxmlformats.org/officeDocument/2006/relationships/hyperlink" Target="https://www.google.com/search?newwindow=1&amp;ei=2MT0XrvGGM-vytMP1OyDgAY&amp;q=site%3Alinkedin.com+Kati+Hood+Associate+Director,+University+Talent+Acquisition+KPMG+US" TargetMode="External"/><Relationship Id="rId2010" Type="http://schemas.openxmlformats.org/officeDocument/2006/relationships/hyperlink" Target="https://www.google.com/search?newwindow=1&amp;ei=2MT0XrvGGM-vytMP1OyDgAY&amp;q=site%3Alinkedin.com+Woanhwa+(Winnie)+Feng+University+Relations+Recruiter+Apple" TargetMode="External"/><Relationship Id="rId3342" Type="http://schemas.openxmlformats.org/officeDocument/2006/relationships/hyperlink" Target="https://www.google.com/search?newwindow=1&amp;ei=2MT0XrvGGM-vytMP1OyDgAY&amp;q=site%3Alinkedin.com+Taylor+McKamy+Campus+Recruiting+Manager+KPMG+US" TargetMode="External"/><Relationship Id="rId2011" Type="http://schemas.openxmlformats.org/officeDocument/2006/relationships/hyperlink" Target="https://www.google.com/search?newwindow=1&amp;ei=2MT0XrvGGM-vytMP1OyDgAY&amp;q=site%3Alinkedin.com+Michelle+Glass+Sr.+Recruiter+&amp;+Global+Program+Manager,+University+Relations+Apple" TargetMode="External"/><Relationship Id="rId3341" Type="http://schemas.openxmlformats.org/officeDocument/2006/relationships/hyperlink" Target="https://www.google.com/search?newwindow=1&amp;ei=2MT0XrvGGM-vytMP1OyDgAY&amp;q=site%3Alinkedin.com+Molly+Seale+University+Recruiter+Facebook" TargetMode="External"/><Relationship Id="rId2012" Type="http://schemas.openxmlformats.org/officeDocument/2006/relationships/hyperlink" Target="https://www.google.com/search?newwindow=1&amp;ei=2MT0XrvGGM-vytMP1OyDgAY&amp;q=site%3Alinkedin.com+Gretchen+Farr+Senior+Technical+Recruiter+-++University+Relations+-+Operations+&amp;+Software+Engineering+Apple" TargetMode="External"/><Relationship Id="rId3344" Type="http://schemas.openxmlformats.org/officeDocument/2006/relationships/hyperlink" Target="https://www.google.com/search?newwindow=1&amp;ei=2MT0XrvGGM-vytMP1OyDgAY&amp;q=site%3Alinkedin.com+Hannah+Auer,+CPA+Senior+Associate+Campus+Recruiter+KPMG+US" TargetMode="External"/><Relationship Id="rId2013" Type="http://schemas.openxmlformats.org/officeDocument/2006/relationships/hyperlink" Target="https://www.google.com/search?newwindow=1&amp;ei=2MT0XrvGGM-vytMP1OyDgAY&amp;q=site%3Alinkedin.com+Cory+Johnson+University+Relations-+Software+Recruiter-+iTunes,+Core+OS,+iOS/OS+X,+Software+Engineering+Programs+Apple" TargetMode="External"/><Relationship Id="rId3343" Type="http://schemas.openxmlformats.org/officeDocument/2006/relationships/hyperlink" Target="https://www.google.com/search?newwindow=1&amp;ei=2MT0XrvGGM-vytMP1OyDgAY&amp;q=site%3Alinkedin.com+Alyssa+Salindong+University+Recruiter+Facebook" TargetMode="External"/><Relationship Id="rId2014" Type="http://schemas.openxmlformats.org/officeDocument/2006/relationships/hyperlink" Target="https://www.google.com/search?newwindow=1&amp;ei=2MT0XrvGGM-vytMP1OyDgAY&amp;q=site%3Alinkedin.com+Chanelle+Yee+University+Relations+Recruiter+Apple" TargetMode="External"/><Relationship Id="rId3346" Type="http://schemas.openxmlformats.org/officeDocument/2006/relationships/hyperlink" Target="https://www.google.com/search?newwindow=1&amp;ei=2MT0XrvGGM-vytMP1OyDgAY&amp;q=site%3Alinkedin.com+Lindsay+Herring+Campus+Recruiter+KPMG+US" TargetMode="External"/><Relationship Id="rId2015" Type="http://schemas.openxmlformats.org/officeDocument/2006/relationships/hyperlink" Target="https://www.google.com/search?newwindow=1&amp;ei=2MT0XrvGGM-vytMP1OyDgAY&amp;q=site%3Alinkedin.com+Stephanie+Parks+University+Relations+Recruiter+Apple" TargetMode="External"/><Relationship Id="rId3345" Type="http://schemas.openxmlformats.org/officeDocument/2006/relationships/hyperlink" Target="https://www.google.com/search?newwindow=1&amp;ei=2MT0XrvGGM-vytMP1OyDgAY&amp;q=site%3Alinkedin.com+Kelly+Simon+University+Design+Recruiter+Facebook" TargetMode="External"/><Relationship Id="rId2049" Type="http://schemas.openxmlformats.org/officeDocument/2006/relationships/hyperlink" Target="https://www.google.com/search?newwindow=1&amp;ei=2MT0XrvGGM-vytMP1OyDgAY&amp;q=site%3Alinkedin.com+Noelle+Mattessich+Campus+Recruiter+-+Global+Banking+and+Markets+Bank+of+America" TargetMode="External"/><Relationship Id="rId129" Type="http://schemas.openxmlformats.org/officeDocument/2006/relationships/hyperlink" Target="https://www.google.com/search?newwindow=1&amp;ei=2MT0XrvGGM-vytMP1OyDgAY&amp;q=site%3Alinkedin.com+Ann+Poiner+Director,+Academic+Programs+and+Student+Services" TargetMode="External"/><Relationship Id="rId128" Type="http://schemas.openxmlformats.org/officeDocument/2006/relationships/hyperlink" Target="https://www.google.com/search?newwindow=1&amp;ei=2MT0XrvGGM-vytMP1OyDgAY&amp;q=site%3Alinkedin.com+Anne+Shaw+Director+-+International+Student+Programs" TargetMode="External"/><Relationship Id="rId127" Type="http://schemas.openxmlformats.org/officeDocument/2006/relationships/hyperlink" Target="https://www.google.com/search?newwindow=1&amp;ei=2MT0XrvGGM-vytMP1OyDgAY&amp;q=site%3Alinkedin.com+Fiona+Hudghton+HOD+-+Languages+and+International+Student+Programs" TargetMode="External"/><Relationship Id="rId126" Type="http://schemas.openxmlformats.org/officeDocument/2006/relationships/hyperlink" Target="https://www.google.com/search?newwindow=1&amp;ei=2MT0XrvGGM-vytMP1OyDgAY&amp;q=site%3Alinkedin.com+Philippa+Douglas+Director+of+Student+Wellbeing+Programs" TargetMode="External"/><Relationship Id="rId3371" Type="http://schemas.openxmlformats.org/officeDocument/2006/relationships/hyperlink" Target="https://www.google.com/search?newwindow=1&amp;ei=2MT0XrvGGM-vytMP1OyDgAY&amp;q=site%3Alinkedin.com+Jennifer+Stoch+Associate+Campus+Recruiter+KPMG+US" TargetMode="External"/><Relationship Id="rId2040" Type="http://schemas.openxmlformats.org/officeDocument/2006/relationships/hyperlink" Target="https://www.google.com/search?newwindow=1&amp;ei=2MT0XrvGGM-vytMP1OyDgAY&amp;q=site%3Alinkedin.com+Aubrey+D.+Campus+Recruiter+-+Global+Risk+Development+Program+Bank+of+America" TargetMode="External"/><Relationship Id="rId3370" Type="http://schemas.openxmlformats.org/officeDocument/2006/relationships/hyperlink" Target="https://www.google.com/search?newwindow=1&amp;ei=2MT0XrvGGM-vytMP1OyDgAY&amp;q=site%3Alinkedin.com+Alsa+Le+Bailly+Campus+Recruiter+KPMG+US" TargetMode="External"/><Relationship Id="rId121" Type="http://schemas.openxmlformats.org/officeDocument/2006/relationships/hyperlink" Target="https://www.google.com/search?newwindow=1&amp;ei=2MT0XrvGGM-vytMP1OyDgAY&amp;q=site%3Alinkedin.com+Wendy+Gilbert+Manager,+International+Student+Programs" TargetMode="External"/><Relationship Id="rId2041" Type="http://schemas.openxmlformats.org/officeDocument/2006/relationships/hyperlink" Target="https://www.google.com/search?newwindow=1&amp;ei=2MT0XrvGGM-vytMP1OyDgAY&amp;q=site%3Alinkedin.com+Abbie+Zollinger+Campus+Recruiter+Bank+of+America" TargetMode="External"/><Relationship Id="rId3373" Type="http://schemas.openxmlformats.org/officeDocument/2006/relationships/hyperlink" Target="https://www.google.com/search?newwindow=1&amp;ei=2MT0XrvGGM-vytMP1OyDgAY&amp;q=site%3Alinkedin.com+Avery+Ching+Senior+Associate+-+Campus+Recruiter+KPMG+US" TargetMode="External"/><Relationship Id="rId120" Type="http://schemas.openxmlformats.org/officeDocument/2006/relationships/hyperlink" Target="https://www.google.com/search?newwindow=1&amp;ei=2MT0XrvGGM-vytMP1OyDgAY&amp;q=site%3Alinkedin.com+Kaylene+Hanlon+Student+Administration+Officer+-+Postgraduate+programs" TargetMode="External"/><Relationship Id="rId2042" Type="http://schemas.openxmlformats.org/officeDocument/2006/relationships/hyperlink" Target="https://www.google.com/search?newwindow=1&amp;ei=2MT0XrvGGM-vytMP1OyDgAY&amp;q=site%3Alinkedin.com+Conita+Neal+AVP+Campus+Recruiter+Bank+of+America" TargetMode="External"/><Relationship Id="rId3372" Type="http://schemas.openxmlformats.org/officeDocument/2006/relationships/hyperlink" Target="https://www.google.com/search?newwindow=1&amp;ei=2MT0XrvGGM-vytMP1OyDgAY&amp;q=site%3Alinkedin.com+Urooj+S.+University+Recruiter+Facebook" TargetMode="External"/><Relationship Id="rId2043" Type="http://schemas.openxmlformats.org/officeDocument/2006/relationships/hyperlink" Target="https://www.google.com/search?newwindow=1&amp;ei=2MT0XrvGGM-vytMP1OyDgAY&amp;q=site%3Alinkedin.com+Lindsey+Everidge+AVP-+College+Recruiter+Bank+of+America" TargetMode="External"/><Relationship Id="rId3375" Type="http://schemas.openxmlformats.org/officeDocument/2006/relationships/hyperlink" Target="https://www.google.com/search?newwindow=1&amp;ei=2MT0XrvGGM-vytMP1OyDgAY&amp;q=site%3Alinkedin.com+Naomi+Kim+Campus+Recruiting+Manager+KPMG+US" TargetMode="External"/><Relationship Id="rId2044" Type="http://schemas.openxmlformats.org/officeDocument/2006/relationships/hyperlink" Target="https://www.google.com/search?newwindow=1&amp;ei=2MT0XrvGGM-vytMP1OyDgAY&amp;q=site%3Alinkedin.com+Payal+Patel+Assistant+Vice+President,+Corporate+Recruiter+Bank+of+America" TargetMode="External"/><Relationship Id="rId3374" Type="http://schemas.openxmlformats.org/officeDocument/2006/relationships/hyperlink" Target="https://www.google.com/search?newwindow=1&amp;ei=2MT0XrvGGM-vytMP1OyDgAY&amp;q=site%3Alinkedin.com+Emilio+Arias+(He/Him)+University+Recruiter+-+Production+Engineering+Facebook" TargetMode="External"/><Relationship Id="rId125" Type="http://schemas.openxmlformats.org/officeDocument/2006/relationships/hyperlink" Target="https://www.google.com/search?newwindow=1&amp;ei=2MT0XrvGGM-vytMP1OyDgAY&amp;q=site%3Alinkedin.com+Madelein+Hawthorne+Office+Manager+and+Graduate+Recruiter" TargetMode="External"/><Relationship Id="rId2045" Type="http://schemas.openxmlformats.org/officeDocument/2006/relationships/hyperlink" Target="https://www.google.com/search?newwindow=1&amp;ei=2MT0XrvGGM-vytMP1OyDgAY&amp;q=site%3Alinkedin.com+Beth+Richard+VP,+Campus+Recruiter+Bank+of+America" TargetMode="External"/><Relationship Id="rId3377" Type="http://schemas.openxmlformats.org/officeDocument/2006/relationships/hyperlink" Target="https://www.google.com/search?newwindow=1&amp;ei=2MT0XrvGGM-vytMP1OyDgAY&amp;q=site%3Alinkedin.com+Solveig+Haugen+Campus+Recruiter+KPMG+US" TargetMode="External"/><Relationship Id="rId124" Type="http://schemas.openxmlformats.org/officeDocument/2006/relationships/hyperlink" Target="https://www.google.com/search?newwindow=1&amp;ei=2MT0XrvGGM-vytMP1OyDgAY&amp;q=site%3Alinkedin.com+Hayley+V+Support+Officer-+International+Student+Programs" TargetMode="External"/><Relationship Id="rId2046" Type="http://schemas.openxmlformats.org/officeDocument/2006/relationships/hyperlink" Target="https://www.google.com/search?newwindow=1&amp;ei=2MT0XrvGGM-vytMP1OyDgAY&amp;q=site%3Alinkedin.com+Amy+Yandell+Vice+President,+Campus+Recruiter+Bank+of+America" TargetMode="External"/><Relationship Id="rId3376" Type="http://schemas.openxmlformats.org/officeDocument/2006/relationships/hyperlink" Target="https://www.google.com/search?newwindow=1&amp;ei=2MT0XrvGGM-vytMP1OyDgAY&amp;q=site%3Alinkedin.com+Lawrence+A.+Lucas+III+University+Recruiter+Facebook" TargetMode="External"/><Relationship Id="rId123" Type="http://schemas.openxmlformats.org/officeDocument/2006/relationships/hyperlink" Target="https://www.google.com/search?newwindow=1&amp;ei=2MT0XrvGGM-vytMP1OyDgAY&amp;q=site%3Alinkedin.com+Anthea+Berry+Regional+Manager,+Recruitment+-+International+Student+Programs" TargetMode="External"/><Relationship Id="rId2047" Type="http://schemas.openxmlformats.org/officeDocument/2006/relationships/hyperlink" Target="https://www.google.com/search?newwindow=1&amp;ei=2MT0XrvGGM-vytMP1OyDgAY&amp;q=site%3Alinkedin.com+Jada+Smith+Campus+Recruiter,+Global+Corporate+&amp;+Investment+Banking+Bank+of+America" TargetMode="External"/><Relationship Id="rId3379" Type="http://schemas.openxmlformats.org/officeDocument/2006/relationships/hyperlink" Target="https://www.google.com/search?newwindow=1&amp;ei=2MT0XrvGGM-vytMP1OyDgAY&amp;q=site%3Alinkedin.com+Stefanie+Chorianopoulos+Full+Cycle+University+Recruiter+Facebook" TargetMode="External"/><Relationship Id="rId122" Type="http://schemas.openxmlformats.org/officeDocument/2006/relationships/hyperlink" Target="https://www.google.com/search?newwindow=1&amp;ei=2MT0XrvGGM-vytMP1OyDgAY&amp;q=site%3Alinkedin.com+Lydiah+Njagi+(she/+her)+Campus+Recruiter+-+Diverse+Hires" TargetMode="External"/><Relationship Id="rId2048" Type="http://schemas.openxmlformats.org/officeDocument/2006/relationships/hyperlink" Target="https://www.google.com/search?newwindow=1&amp;ei=2MT0XrvGGM-vytMP1OyDgAY&amp;q=site%3Alinkedin.com+Amanda+Hertzberg+Campus+Recruiter,+University+Relations+Bank+of+America" TargetMode="External"/><Relationship Id="rId3378" Type="http://schemas.openxmlformats.org/officeDocument/2006/relationships/hyperlink" Target="https://www.google.com/search?newwindow=1&amp;ei=2MT0XrvGGM-vytMP1OyDgAY&amp;q=site%3Alinkedin.com+Sydney+Leischner+Manager,+Campus+Recruiting+KPMG+US" TargetMode="External"/><Relationship Id="rId2038" Type="http://schemas.openxmlformats.org/officeDocument/2006/relationships/hyperlink" Target="https://www.google.com/search?newwindow=1&amp;ei=2MT0XrvGGM-vytMP1OyDgAY&amp;q=site%3Alinkedin.com+Dontia+Barrett+Assistant+Vice+President,+Diversity+Campus+Recruiter+Bank+of+America" TargetMode="External"/><Relationship Id="rId2039" Type="http://schemas.openxmlformats.org/officeDocument/2006/relationships/hyperlink" Target="https://www.google.com/search?newwindow=1&amp;ei=2MT0XrvGGM-vytMP1OyDgAY&amp;q=site%3Alinkedin.com+Richard+Long+Campus+Strategy+Recruiter+Bank+of+America" TargetMode="External"/><Relationship Id="rId3369" Type="http://schemas.openxmlformats.org/officeDocument/2006/relationships/hyperlink" Target="https://www.google.com/search?newwindow=1&amp;ei=2MT0XrvGGM-vytMP1OyDgAY&amp;q=site%3Alinkedin.com+Allison+Reams+Newman+Primary+Recruiter,+Campus+Recruiting+KPMG+US" TargetMode="External"/><Relationship Id="rId118" Type="http://schemas.openxmlformats.org/officeDocument/2006/relationships/hyperlink" Target="https://www.google.com/search?newwindow=1&amp;ei=2MT0XrvGGM-vytMP1OyDgAY&amp;q=site%3Alinkedin.com+Suzy+Bolt+Transitions+into+University+workshop." TargetMode="External"/><Relationship Id="rId117" Type="http://schemas.openxmlformats.org/officeDocument/2006/relationships/hyperlink" Target="https://www.google.com/search?newwindow=1&amp;ei=2MT0XrvGGM-vytMP1OyDgAY&amp;q=site%3Alinkedin.com+Paul+Lovegrove+CEO+UP+EU+&amp;+Chief+Recruitment+Officer+UP+Global" TargetMode="External"/><Relationship Id="rId116" Type="http://schemas.openxmlformats.org/officeDocument/2006/relationships/hyperlink" Target="https://www.google.com/search?newwindow=1&amp;ei=2MT0XrvGGM-vytMP1OyDgAY&amp;q=site%3Alinkedin.com+Josephine+F.+Graduate+and+Intern+Recruiter+-+Emerging+Talent+(via+AMS)" TargetMode="External"/><Relationship Id="rId115" Type="http://schemas.openxmlformats.org/officeDocument/2006/relationships/hyperlink" Target="https://www.google.com/search?newwindow=1&amp;ei=2MT0XrvGGM-vytMP1OyDgAY&amp;q=site%3Alinkedin.com+Michael+Warburton+University+Recruiter" TargetMode="External"/><Relationship Id="rId3360" Type="http://schemas.openxmlformats.org/officeDocument/2006/relationships/hyperlink" Target="https://www.google.com/search?newwindow=1&amp;ei=2MT0XrvGGM-vytMP1OyDgAY&amp;q=site%3Alinkedin.com+Marina+Moreno+University+Recruiter+Facebook" TargetMode="External"/><Relationship Id="rId119" Type="http://schemas.openxmlformats.org/officeDocument/2006/relationships/hyperlink" Target="https://www.google.com/search?newwindow=1&amp;ei=2MT0XrvGGM-vytMP1OyDgAY&amp;q=site%3Alinkedin.com+Louie+Webb+Recruiter" TargetMode="External"/><Relationship Id="rId110" Type="http://schemas.openxmlformats.org/officeDocument/2006/relationships/hyperlink" Target="https://www.google.com/search?newwindow=1&amp;ei=2MT0XrvGGM-vytMP1OyDgAY&amp;q=site%3Alinkedin.com+Nancy+Boyce+Student+Programs+Coordinator" TargetMode="External"/><Relationship Id="rId2030" Type="http://schemas.openxmlformats.org/officeDocument/2006/relationships/hyperlink" Target="https://www.google.com/search?newwindow=1&amp;ei=2MT0XrvGGM-vytMP1OyDgAY&amp;q=site%3Alinkedin.com+Rachel+Johnson+Assistant+Vice+President,+Program+Manager+&amp;+Campus+Recruiter+Bank+of+America" TargetMode="External"/><Relationship Id="rId3362" Type="http://schemas.openxmlformats.org/officeDocument/2006/relationships/hyperlink" Target="https://www.google.com/search?newwindow=1&amp;ei=2MT0XrvGGM-vytMP1OyDgAY&amp;q=site%3Alinkedin.com+Gwen+Mahurin+University+Recruiter+Facebook" TargetMode="External"/><Relationship Id="rId2031" Type="http://schemas.openxmlformats.org/officeDocument/2006/relationships/hyperlink" Target="https://www.google.com/search?newwindow=1&amp;ei=2MT0XrvGGM-vytMP1OyDgAY&amp;q=site%3Alinkedin.com+Dwayne+Brown+Diversity+Campus+Recruiter+Bank+of+America" TargetMode="External"/><Relationship Id="rId3361" Type="http://schemas.openxmlformats.org/officeDocument/2006/relationships/hyperlink" Target="https://www.google.com/search?newwindow=1&amp;ei=2MT0XrvGGM-vytMP1OyDgAY&amp;q=site%3Alinkedin.com+Derrick+Beggs,+PHR+CDR+KMPG+Campus+Recruiting+Manager+KPMG+US" TargetMode="External"/><Relationship Id="rId2032" Type="http://schemas.openxmlformats.org/officeDocument/2006/relationships/hyperlink" Target="https://www.google.com/search?newwindow=1&amp;ei=2MT0XrvGGM-vytMP1OyDgAY&amp;q=site%3Alinkedin.com+Danielle+Smith+Campus+Recruiter+Bank+of+America" TargetMode="External"/><Relationship Id="rId3364" Type="http://schemas.openxmlformats.org/officeDocument/2006/relationships/hyperlink" Target="https://www.google.com/search?newwindow=1&amp;ei=2MT0XrvGGM-vytMP1OyDgAY&amp;q=site%3Alinkedin.com+Emily+Caceres+University+Recruiter+Facebook" TargetMode="External"/><Relationship Id="rId2033" Type="http://schemas.openxmlformats.org/officeDocument/2006/relationships/hyperlink" Target="https://www.google.com/search?newwindow=1&amp;ei=2MT0XrvGGM-vytMP1OyDgAY&amp;q=site%3Alinkedin.com+Susan+Elworthy+Program+Manager+&amp;+Campus+Recruiter+Bank+of+America" TargetMode="External"/><Relationship Id="rId3363" Type="http://schemas.openxmlformats.org/officeDocument/2006/relationships/hyperlink" Target="https://www.google.com/search?newwindow=1&amp;ei=2MT0XrvGGM-vytMP1OyDgAY&amp;q=site%3Alinkedin.com+Becky+Paseka,+CPA+Campus+Recruiting+Manager+KPMG+US" TargetMode="External"/><Relationship Id="rId114" Type="http://schemas.openxmlformats.org/officeDocument/2006/relationships/hyperlink" Target="https://www.google.com/search?newwindow=1&amp;ei=2MT0XrvGGM-vytMP1OyDgAY&amp;q=site%3Alinkedin.com+Harley+H.+Content+Creator+&amp;+Student+Ambassador" TargetMode="External"/><Relationship Id="rId2034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3366" Type="http://schemas.openxmlformats.org/officeDocument/2006/relationships/hyperlink" Target="https://www.google.com/search?newwindow=1&amp;ei=2MT0XrvGGM-vytMP1OyDgAY&amp;q=site%3Alinkedin.com+Theresa+Kaufman+University+Recruiter+Facebook" TargetMode="External"/><Relationship Id="rId113" Type="http://schemas.openxmlformats.org/officeDocument/2006/relationships/hyperlink" Target="https://www.google.com/search?newwindow=1&amp;ei=2MT0XrvGGM-vytMP1OyDgAY&amp;q=site%3Alinkedin.com+Jacqueline+Waugh+Campus+Recruiting+Manager" TargetMode="External"/><Relationship Id="rId2035" Type="http://schemas.openxmlformats.org/officeDocument/2006/relationships/hyperlink" Target="https://www.google.com/search?newwindow=1&amp;ei=2MT0XrvGGM-vytMP1OyDgAY&amp;q=site%3Alinkedin.com+Courtney+Dickens+Campus+Recruiter+&amp;+Program+Manager+Bank+of+America" TargetMode="External"/><Relationship Id="rId3365" Type="http://schemas.openxmlformats.org/officeDocument/2006/relationships/hyperlink" Target="https://www.google.com/search?newwindow=1&amp;ei=2MT0XrvGGM-vytMP1OyDgAY&amp;q=site%3Alinkedin.com+Alicia+Mucci+(she/her/hers)+Manager,+Campus+Recruiting+KPMG+US" TargetMode="External"/><Relationship Id="rId112" Type="http://schemas.openxmlformats.org/officeDocument/2006/relationships/hyperlink" Target="https://www.google.com/search?newwindow=1&amp;ei=2MT0XrvGGM-vytMP1OyDgAY&amp;q=site%3Alinkedin.com+Sara+De+La+Cruz+Graduate+Recruiter+Specialist+at+GE+on+behalf+of+AMS" TargetMode="External"/><Relationship Id="rId2036" Type="http://schemas.openxmlformats.org/officeDocument/2006/relationships/hyperlink" Target="https://www.google.com/search?newwindow=1&amp;ei=2MT0XrvGGM-vytMP1OyDgAY&amp;q=site%3Alinkedin.com+Caroline+La+Roche+Vice+President,+Campus+Recruiter+&amp;+Program+Manager+Bank+of+America" TargetMode="External"/><Relationship Id="rId3368" Type="http://schemas.openxmlformats.org/officeDocument/2006/relationships/hyperlink" Target="https://www.google.com/search?newwindow=1&amp;ei=2MT0XrvGGM-vytMP1OyDgAY&amp;q=site%3Alinkedin.com+Kel+Lau+University+Recruiter+Facebook" TargetMode="External"/><Relationship Id="rId111" Type="http://schemas.openxmlformats.org/officeDocument/2006/relationships/hyperlink" Target="https://www.google.com/search?newwindow=1&amp;ei=2MT0XrvGGM-vytMP1OyDgAY&amp;q=site%3Alinkedin.com+Cathee+McAuley+Campus+Recruiting+Associate" TargetMode="External"/><Relationship Id="rId2037" Type="http://schemas.openxmlformats.org/officeDocument/2006/relationships/hyperlink" Target="https://www.google.com/search?newwindow=1&amp;ei=2MT0XrvGGM-vytMP1OyDgAY&amp;q=site%3Alinkedin.com+Deetra+Hill+MBA+Campus+Recruiter+and+Program+Manager+Bank+of+America" TargetMode="External"/><Relationship Id="rId3367" Type="http://schemas.openxmlformats.org/officeDocument/2006/relationships/hyperlink" Target="https://www.google.com/search?newwindow=1&amp;ei=2MT0XrvGGM-vytMP1OyDgAY&amp;q=site%3Alinkedin.com+Kate+McClain+Campus+Recruiting+Manager+KPMG+US" TargetMode="External"/><Relationship Id="rId3315" Type="http://schemas.openxmlformats.org/officeDocument/2006/relationships/hyperlink" Target="https://www.google.com/search?newwindow=1&amp;ei=2MT0XrvGGM-vytMP1OyDgAY&amp;q=site%3Alinkedin.com+Misty+Abston+Campus+Recruiter+KPMG" TargetMode="External"/><Relationship Id="rId4646" Type="http://schemas.openxmlformats.org/officeDocument/2006/relationships/hyperlink" Target="https://www.google.com/search?newwindow=1&amp;ei=2MT0XrvGGM-vytMP1OyDgAY&amp;q=site%3Alinkedin.com+Dianah+May+Campus+Recruiter+Wells+Fargo" TargetMode="External"/><Relationship Id="rId3314" Type="http://schemas.openxmlformats.org/officeDocument/2006/relationships/hyperlink" Target="https://www.google.com/search?newwindow=1&amp;ei=2MT0XrvGGM-vytMP1OyDgAY&amp;q=site%3Alinkedin.com+Danielle+Buchenot+University+Recruiter+Facebook" TargetMode="External"/><Relationship Id="rId4645" Type="http://schemas.openxmlformats.org/officeDocument/2006/relationships/hyperlink" Target="https://www.google.com/search?newwindow=1&amp;ei=2MT0XrvGGM-vytMP1OyDgAY&amp;q=site%3Alinkedin.com+Leah+Stewart+Head+of+Campus+Recruiting+Wells+Fargo" TargetMode="External"/><Relationship Id="rId3317" Type="http://schemas.openxmlformats.org/officeDocument/2006/relationships/hyperlink" Target="https://www.google.com/search?newwindow=1&amp;ei=2MT0XrvGGM-vytMP1OyDgAY&amp;q=site%3Alinkedin.com+Sandeep+Draviam+Inclusion+and+Diversity+Manager,+Campus+Recruiting+KPMG" TargetMode="External"/><Relationship Id="rId4648" Type="http://schemas.openxmlformats.org/officeDocument/2006/relationships/hyperlink" Target="https://www.google.com/search?newwindow=1&amp;ei=2MT0XrvGGM-vytMP1OyDgAY&amp;q=site%3Alinkedin.com+Jordan+McAdams+Recruiter+-+University+Programs+Wells+Fargo+Securities" TargetMode="External"/><Relationship Id="rId3316" Type="http://schemas.openxmlformats.org/officeDocument/2006/relationships/hyperlink" Target="https://www.google.com/search?newwindow=1&amp;ei=2MT0XrvGGM-vytMP1OyDgAY&amp;q=site%3Alinkedin.com+Elizabeth+W.+Campus+Recruiter+Facebook" TargetMode="External"/><Relationship Id="rId4647" Type="http://schemas.openxmlformats.org/officeDocument/2006/relationships/hyperlink" Target="https://www.google.com/search?newwindow=1&amp;ei=2MT0XrvGGM-vytMP1OyDgAY&amp;q=site%3Alinkedin.com+Marissa+Shimada+Campus+Recruiting+Consultant+Wells+Fargo" TargetMode="External"/><Relationship Id="rId3319" Type="http://schemas.openxmlformats.org/officeDocument/2006/relationships/hyperlink" Target="https://www.google.com/search?newwindow=1&amp;ei=2MT0XrvGGM-vytMP1OyDgAY&amp;q=site%3Alinkedin.com+Janelle+Huang+Primary+Recruiter,+Campus+Recruiting+KPMG" TargetMode="External"/><Relationship Id="rId3318" Type="http://schemas.openxmlformats.org/officeDocument/2006/relationships/hyperlink" Target="https://www.google.com/search?newwindow=1&amp;ei=2MT0XrvGGM-vytMP1OyDgAY&amp;q=site%3Alinkedin.com+Hillary+S.+University+Recruiter+(Software+Engineering)+Facebook" TargetMode="External"/><Relationship Id="rId4649" Type="http://schemas.openxmlformats.org/officeDocument/2006/relationships/hyperlink" Target="https://www.google.com/search?newwindow=1&amp;ei=2MT0XrvGGM-vytMP1OyDgAY&amp;q=site%3Alinkedin.com+Rob+Shanks+Undergraduate+Campus+Recruiter+Wells+Fargo+Securities" TargetMode="External"/><Relationship Id="rId4640" Type="http://schemas.openxmlformats.org/officeDocument/2006/relationships/hyperlink" Target="https://www.google.com/search?newwindow=1&amp;ei=2MT0XrvGGM-vytMP1OyDgAY&amp;q=site%3Alinkedin.com+Linda+Ma+University+Recruiter/+Intern+Program+Specialist+Waymo" TargetMode="External"/><Relationship Id="rId3311" Type="http://schemas.openxmlformats.org/officeDocument/2006/relationships/hyperlink" Target="https://www.google.com/search?newwindow=1&amp;ei=2MT0XrvGGM-vytMP1OyDgAY&amp;q=site%3Alinkedin.com+Laney+Williams+Senior+Associate,+Campus+Recruiting+KPMG" TargetMode="External"/><Relationship Id="rId4642" Type="http://schemas.openxmlformats.org/officeDocument/2006/relationships/hyperlink" Target="https://www.google.com/search?newwindow=1&amp;ei=2MT0XrvGGM-vytMP1OyDgAY&amp;q=site%3Alinkedin.com+Cathy+Amezcua+Nikrooz+Senior+Wholesale+Campus+Recruiter+Wells+Fargo" TargetMode="External"/><Relationship Id="rId3310" Type="http://schemas.openxmlformats.org/officeDocument/2006/relationships/hyperlink" Target="https://www.google.com/search?newwindow=1&amp;ei=2MT0XrvGGM-vytMP1OyDgAY&amp;q=site%3Alinkedin.com+Rima+Akras+University+Recruiter+Facebook" TargetMode="External"/><Relationship Id="rId4641" Type="http://schemas.openxmlformats.org/officeDocument/2006/relationships/hyperlink" Target="https://www.google.com/search?newwindow=1&amp;ei=2MT0XrvGGM-vytMP1OyDgAY&amp;q=site%3Alinkedin.com+Brandon+Kayhes+Campus+Recruiter+Wells+Fargo" TargetMode="External"/><Relationship Id="rId3313" Type="http://schemas.openxmlformats.org/officeDocument/2006/relationships/hyperlink" Target="https://www.google.com/search?newwindow=1&amp;ei=2MT0XrvGGM-vytMP1OyDgAY&amp;q=site%3Alinkedin.com+Doreen+Nakigudde+Campus+Recruiter+KPMG" TargetMode="External"/><Relationship Id="rId4644" Type="http://schemas.openxmlformats.org/officeDocument/2006/relationships/hyperlink" Target="https://www.google.com/search?newwindow=1&amp;ei=2MT0XrvGGM-vytMP1OyDgAY&amp;q=site%3Alinkedin.com+Jane+Johnstone+Campus+Recruiter+Wells+Fargo" TargetMode="External"/><Relationship Id="rId3312" Type="http://schemas.openxmlformats.org/officeDocument/2006/relationships/hyperlink" Target="https://www.google.com/search?newwindow=1&amp;ei=2MT0XrvGGM-vytMP1OyDgAY&amp;q=site%3Alinkedin.com+Emily+Nagele+University+Recruiter+-+SWE+Facebook" TargetMode="External"/><Relationship Id="rId4643" Type="http://schemas.openxmlformats.org/officeDocument/2006/relationships/hyperlink" Target="https://www.google.com/search?newwindow=1&amp;ei=2MT0XrvGGM-vytMP1OyDgAY&amp;q=site%3Alinkedin.com+Allison+Hill+Campus+Recruiter+Wells+Fargo" TargetMode="External"/><Relationship Id="rId3304" Type="http://schemas.openxmlformats.org/officeDocument/2006/relationships/hyperlink" Target="https://www.google.com/search?newwindow=1&amp;ei=2MT0XrvGGM-vytMP1OyDgAY&amp;q=site%3Alinkedin.com+Sara+Condino+Campus+Recruiting+Manager+KPMG" TargetMode="External"/><Relationship Id="rId4635" Type="http://schemas.openxmlformats.org/officeDocument/2006/relationships/hyperlink" Target="https://www.google.com/search?newwindow=1&amp;ei=2MT0XrvGGM-vytMP1OyDgAY&amp;q=site%3Alinkedin.com+Katie+Jones+Campus+Recruiter+II+Wayfair" TargetMode="External"/><Relationship Id="rId3303" Type="http://schemas.openxmlformats.org/officeDocument/2006/relationships/hyperlink" Target="https://www.google.com/search?newwindow=1&amp;ei=2MT0XrvGGM-vytMP1OyDgAY&amp;q=site%3Alinkedin.com+Mar%C3%ADa+De+Jes%C3%BAs+Hurtado+(she-her-hers)+Senior+Associate,+Inclusion+and+Diversity+Campus+Recruiter+KPMG" TargetMode="External"/><Relationship Id="rId4634" Type="http://schemas.openxmlformats.org/officeDocument/2006/relationships/hyperlink" Target="https://www.google.com/search?newwindow=1&amp;ei=2MT0XrvGGM-vytMP1OyDgAY&amp;q=site%3Alinkedin.com+Erica+Matos+Campus+Recruiter+Wayfair" TargetMode="External"/><Relationship Id="rId3306" Type="http://schemas.openxmlformats.org/officeDocument/2006/relationships/hyperlink" Target="https://www.google.com/search?newwindow=1&amp;ei=2MT0XrvGGM-vytMP1OyDgAY&amp;q=site%3Alinkedin.com+Jessica+Kornstein+University+Recruiter+Facebook" TargetMode="External"/><Relationship Id="rId4637" Type="http://schemas.openxmlformats.org/officeDocument/2006/relationships/hyperlink" Target="https://www.google.com/search?newwindow=1&amp;ei=2MT0XrvGGM-vytMP1OyDgAY&amp;q=site%3Alinkedin.com+Chelsea+D.+Campus+Recruiter+Wayfair" TargetMode="External"/><Relationship Id="rId3305" Type="http://schemas.openxmlformats.org/officeDocument/2006/relationships/hyperlink" Target="https://www.google.com/search?newwindow=1&amp;ei=2MT0XrvGGM-vytMP1OyDgAY&amp;q=site%3Alinkedin.com+Nicole+Yogi+Audit+Primary+Recruiter,+Campus+Recruiting+KPMG" TargetMode="External"/><Relationship Id="rId4636" Type="http://schemas.openxmlformats.org/officeDocument/2006/relationships/hyperlink" Target="https://www.google.com/search?newwindow=1&amp;ei=2MT0XrvGGM-vytMP1OyDgAY&amp;q=site%3Alinkedin.com+Megan+Williams+Campus+Recruiter+II+Wayfair" TargetMode="External"/><Relationship Id="rId3308" Type="http://schemas.openxmlformats.org/officeDocument/2006/relationships/hyperlink" Target="https://www.google.com/search?newwindow=1&amp;ei=2MT0XrvGGM-vytMP1OyDgAY&amp;q=site%3Alinkedin.com+Jessica+Y.+University+Recruiter+Facebook" TargetMode="External"/><Relationship Id="rId4639" Type="http://schemas.openxmlformats.org/officeDocument/2006/relationships/hyperlink" Target="https://www.google.com/search?newwindow=1&amp;ei=2MT0XrvGGM-vytMP1OyDgAY&amp;q=site%3Alinkedin.com+Jennifer+Clerici+University+Recruiter-+Intern+Program+Specialists+Waymo" TargetMode="External"/><Relationship Id="rId3307" Type="http://schemas.openxmlformats.org/officeDocument/2006/relationships/hyperlink" Target="https://www.google.com/search?newwindow=1&amp;ei=2MT0XrvGGM-vytMP1OyDgAY&amp;q=site%3Alinkedin.com+Natalie+Holland,+CPA+Primary+Tax+Recruiter+-+Campus+Recruiting+KPMG" TargetMode="External"/><Relationship Id="rId4638" Type="http://schemas.openxmlformats.org/officeDocument/2006/relationships/hyperlink" Target="https://www.google.com/search?newwindow=1&amp;ei=2MT0XrvGGM-vytMP1OyDgAY&amp;q=site%3Alinkedin.com+Milena+Restrepo+MBA+Campus+Recruiter+Co-op+Wayfair" TargetMode="External"/><Relationship Id="rId3309" Type="http://schemas.openxmlformats.org/officeDocument/2006/relationships/hyperlink" Target="https://www.google.com/search?newwindow=1&amp;ei=2MT0XrvGGM-vytMP1OyDgAY&amp;q=site%3Alinkedin.com+Shannon+Kaiser+Campus+Recruiting+Manager+KPMG" TargetMode="External"/><Relationship Id="rId3300" Type="http://schemas.openxmlformats.org/officeDocument/2006/relationships/hyperlink" Target="https://www.google.com/search?newwindow=1&amp;ei=2MT0XrvGGM-vytMP1OyDgAY&amp;q=site%3Alinkedin.com+Sarah+Johnson+University+Recruiter+at+Facebook+Facebook" TargetMode="External"/><Relationship Id="rId4631" Type="http://schemas.openxmlformats.org/officeDocument/2006/relationships/hyperlink" Target="https://www.google.com/search?newwindow=1&amp;ei=2MT0XrvGGM-vytMP1OyDgAY&amp;q=site%3Alinkedin.com+Carrie+Palmer+Campus+Recruiting+Program+Manager+Wayfair" TargetMode="External"/><Relationship Id="rId4630" Type="http://schemas.openxmlformats.org/officeDocument/2006/relationships/hyperlink" Target="https://www.google.com/search?newwindow=1&amp;ei=2MT0XrvGGM-vytMP1OyDgAY&amp;q=site%3Alinkedin.com+Lila+Haffey+MBA+Campus+Recruiter+Wayfair" TargetMode="External"/><Relationship Id="rId3302" Type="http://schemas.openxmlformats.org/officeDocument/2006/relationships/hyperlink" Target="https://www.google.com/search?newwindow=1&amp;ei=2MT0XrvGGM-vytMP1OyDgAY&amp;q=site%3Alinkedin.com+Kelsey+Meza+Campus+Recruiter+KPMG" TargetMode="External"/><Relationship Id="rId4633" Type="http://schemas.openxmlformats.org/officeDocument/2006/relationships/hyperlink" Target="https://www.google.com/search?newwindow=1&amp;ei=2MT0XrvGGM-vytMP1OyDgAY&amp;q=site%3Alinkedin.com+Ryan+Cantwell+Campus+Recruiter+Wayfair" TargetMode="External"/><Relationship Id="rId3301" Type="http://schemas.openxmlformats.org/officeDocument/2006/relationships/hyperlink" Target="https://www.google.com/search?newwindow=1&amp;ei=2MT0XrvGGM-vytMP1OyDgAY&amp;q=site%3Alinkedin.com+Sholon+Rucker+Manager,+Campus+Recruiting+KPMG" TargetMode="External"/><Relationship Id="rId4632" Type="http://schemas.openxmlformats.org/officeDocument/2006/relationships/hyperlink" Target="https://www.google.com/search?newwindow=1&amp;ei=2MT0XrvGGM-vytMP1OyDgAY&amp;q=site%3Alinkedin.com+Fallon+Stewart+Campus+Recruiter+Wayfair" TargetMode="External"/><Relationship Id="rId2005" Type="http://schemas.openxmlformats.org/officeDocument/2006/relationships/hyperlink" Target="https://www.google.com/search?newwindow=1&amp;ei=2MT0XrvGGM-vytMP1OyDgAY&amp;q=site%3Alinkedin.com+Ina+Williams+-+ACIR+Tech+Recruiter+/+Sourcer+Apple" TargetMode="External"/><Relationship Id="rId3337" Type="http://schemas.openxmlformats.org/officeDocument/2006/relationships/hyperlink" Target="https://www.google.com/search?newwindow=1&amp;ei=2MT0XrvGGM-vytMP1OyDgAY&amp;q=site%3Alinkedin.com+Melissa+Miller+Campus+Recruiter+KPMG+US" TargetMode="External"/><Relationship Id="rId2006" Type="http://schemas.openxmlformats.org/officeDocument/2006/relationships/hyperlink" Target="https://www.google.com/search?newwindow=1&amp;ei=2MT0XrvGGM-vytMP1OyDgAY&amp;q=site%3Alinkedin.com+Kayleigh+Bottini+University+Relations+R&amp;D+Recruiter+Apple" TargetMode="External"/><Relationship Id="rId3336" Type="http://schemas.openxmlformats.org/officeDocument/2006/relationships/hyperlink" Target="https://www.google.com/search?newwindow=1&amp;ei=2MT0XrvGGM-vytMP1OyDgAY&amp;q=site%3Alinkedin.com+Joyce+M.+C.+University+Recruiter+Facebook" TargetMode="External"/><Relationship Id="rId2007" Type="http://schemas.openxmlformats.org/officeDocument/2006/relationships/hyperlink" Target="https://www.google.com/search?newwindow=1&amp;ei=2MT0XrvGGM-vytMP1OyDgAY&amp;q=site%3Alinkedin.com+Brooke+Mannelly+University+Relations+Recruiter+Apple" TargetMode="External"/><Relationship Id="rId3339" Type="http://schemas.openxmlformats.org/officeDocument/2006/relationships/hyperlink" Target="https://www.google.com/search?newwindow=1&amp;ei=2MT0XrvGGM-vytMP1OyDgAY&amp;q=site%3Alinkedin.com+Jarrod+F.+University+Recruiter+Facebook" TargetMode="External"/><Relationship Id="rId2008" Type="http://schemas.openxmlformats.org/officeDocument/2006/relationships/hyperlink" Target="https://www.google.com/search?newwindow=1&amp;ei=2MT0XrvGGM-vytMP1OyDgAY&amp;q=site%3Alinkedin.com+Nadya+Shapiro+University+Relations+Recruiter+Apple" TargetMode="External"/><Relationship Id="rId3338" Type="http://schemas.openxmlformats.org/officeDocument/2006/relationships/hyperlink" Target="https://www.google.com/search?newwindow=1&amp;ei=2MT0XrvGGM-vytMP1OyDgAY&amp;q=site%3Alinkedin.com+Mary+Nolan+Campus+Recruiting+Manager+KPMG+US" TargetMode="External"/><Relationship Id="rId2009" Type="http://schemas.openxmlformats.org/officeDocument/2006/relationships/hyperlink" Target="https://www.google.com/search?newwindow=1&amp;ei=2MT0XrvGGM-vytMP1OyDgAY&amp;q=site%3Alinkedin.com+Joanna+Mackow+University+Relations+-+R&amp;D+Recruiter+Apple" TargetMode="External"/><Relationship Id="rId3331" Type="http://schemas.openxmlformats.org/officeDocument/2006/relationships/hyperlink" Target="https://www.google.com/search?newwindow=1&amp;ei=2MT0XrvGGM-vytMP1OyDgAY&amp;q=site%3Alinkedin.com+Nicci+Moscuzza+University+Recruiter+Facebook" TargetMode="External"/><Relationship Id="rId2000" Type="http://schemas.openxmlformats.org/officeDocument/2006/relationships/hyperlink" Target="https://www.google.com/search?newwindow=1&amp;ei=2MT0XrvGGM-vytMP1OyDgAY&amp;q=site%3Alinkedin.com+Heather+French+Senior+University+Recruiter+-+MBA+Recruiting+Lead+Apple" TargetMode="External"/><Relationship Id="rId3330" Type="http://schemas.openxmlformats.org/officeDocument/2006/relationships/hyperlink" Target="https://www.google.com/search?newwindow=1&amp;ei=2MT0XrvGGM-vytMP1OyDgAY&amp;q=site%3Alinkedin.com+Kyri+Gorges+Manager,+Campus+Recruiting+KPMG+LLP" TargetMode="External"/><Relationship Id="rId2001" Type="http://schemas.openxmlformats.org/officeDocument/2006/relationships/hyperlink" Target="https://www.google.com/search?newwindow=1&amp;ei=2MT0XrvGGM-vytMP1OyDgAY&amp;q=site%3Alinkedin.com+Dianna+Chourarath+University+Relations+Recruiter+Apple" TargetMode="External"/><Relationship Id="rId3333" Type="http://schemas.openxmlformats.org/officeDocument/2006/relationships/hyperlink" Target="https://www.google.com/search?newwindow=1&amp;ei=2MT0XrvGGM-vytMP1OyDgAY&amp;q=site%3Alinkedin.com+Delucious+Patterson+Senior+Associate,+Inclusion+and+Diversity+Campus+Recruiter+KPMG+US" TargetMode="External"/><Relationship Id="rId2002" Type="http://schemas.openxmlformats.org/officeDocument/2006/relationships/hyperlink" Target="https://www.google.com/search?newwindow=1&amp;ei=2MT0XrvGGM-vytMP1OyDgAY&amp;q=site%3Alinkedin.com+Greg+Emory+Tier+2+At+Home+Technical+Advisor+and+Mentor.++LSU+on+campus+recruiter+Apple" TargetMode="External"/><Relationship Id="rId3332" Type="http://schemas.openxmlformats.org/officeDocument/2006/relationships/hyperlink" Target="https://www.google.com/search?newwindow=1&amp;ei=2MT0XrvGGM-vytMP1OyDgAY&amp;q=site%3Alinkedin.com+Peter+Bartok+Campus+Recruiting+Manager+KPMG+LLP" TargetMode="External"/><Relationship Id="rId2003" Type="http://schemas.openxmlformats.org/officeDocument/2006/relationships/hyperlink" Target="https://www.google.com/search?newwindow=1&amp;ei=2MT0XrvGGM-vytMP1OyDgAY&amp;q=site%3Alinkedin.com+Antonio+Salinas+University+Relations+Recruiter+Apple" TargetMode="External"/><Relationship Id="rId3335" Type="http://schemas.openxmlformats.org/officeDocument/2006/relationships/hyperlink" Target="https://www.google.com/search?newwindow=1&amp;ei=2MT0XrvGGM-vytMP1OyDgAY&amp;q=site%3Alinkedin.com+Kristin+Spivey+Associate+Director,+Campus+Recruiting+KPMG+US" TargetMode="External"/><Relationship Id="rId2004" Type="http://schemas.openxmlformats.org/officeDocument/2006/relationships/hyperlink" Target="https://www.google.com/search?newwindow=1&amp;ei=2MT0XrvGGM-vytMP1OyDgAY&amp;q=site%3Alinkedin.com+Darren+Nakata+Recruiter,+University+Relations+Apple" TargetMode="External"/><Relationship Id="rId3334" Type="http://schemas.openxmlformats.org/officeDocument/2006/relationships/hyperlink" Target="https://www.google.com/search?newwindow=1&amp;ei=2MT0XrvGGM-vytMP1OyDgAY&amp;q=site%3Alinkedin.com+Jennifer+Rice+Manager,+Campus+Recruiting+KPMG+US" TargetMode="External"/><Relationship Id="rId3326" Type="http://schemas.openxmlformats.org/officeDocument/2006/relationships/hyperlink" Target="https://www.google.com/search?newwindow=1&amp;ei=2MT0XrvGGM-vytMP1OyDgAY&amp;q=site%3Alinkedin.com+Seth+Radin+University+Recruiter+-+AR/VR+Facebook" TargetMode="External"/><Relationship Id="rId3325" Type="http://schemas.openxmlformats.org/officeDocument/2006/relationships/hyperlink" Target="https://www.google.com/search?newwindow=1&amp;ei=2MT0XrvGGM-vytMP1OyDgAY&amp;q=site%3Alinkedin.com+Laura+Vitale+Manager,+Campus+Recruiting+KPMG" TargetMode="External"/><Relationship Id="rId4656" Type="http://schemas.openxmlformats.org/officeDocument/2006/relationships/drawing" Target="../drawings/drawing2.xml"/><Relationship Id="rId3328" Type="http://schemas.openxmlformats.org/officeDocument/2006/relationships/hyperlink" Target="https://www.google.com/search?newwindow=1&amp;ei=2MT0XrvGGM-vytMP1OyDgAY&amp;q=site%3Alinkedin.com+Eleanor+Johnson+Software+Engineer+University+Recruiter+Facebook" TargetMode="External"/><Relationship Id="rId3327" Type="http://schemas.openxmlformats.org/officeDocument/2006/relationships/hyperlink" Target="https://www.google.com/search?newwindow=1&amp;ei=2MT0XrvGGM-vytMP1OyDgAY&amp;q=site%3Alinkedin.com+Caitlin+Pershe+Manager+KPMG" TargetMode="External"/><Relationship Id="rId3329" Type="http://schemas.openxmlformats.org/officeDocument/2006/relationships/hyperlink" Target="https://www.google.com/search?newwindow=1&amp;ei=2MT0XrvGGM-vytMP1OyDgAY&amp;q=site%3Alinkedin.com+Renee+Blonde+Campus+Recruiting+Manager+KPMG+global" TargetMode="External"/><Relationship Id="rId3320" Type="http://schemas.openxmlformats.org/officeDocument/2006/relationships/hyperlink" Target="https://www.google.com/search?newwindow=1&amp;ei=2MT0XrvGGM-vytMP1OyDgAY&amp;q=site%3Alinkedin.com+Alfonso+Avila+University+Recruiter-Software+Engineering+West+Facebook" TargetMode="External"/><Relationship Id="rId4651" Type="http://schemas.openxmlformats.org/officeDocument/2006/relationships/hyperlink" Target="https://www.google.com/search?newwindow=1&amp;ei=2MT0XrvGGM-vytMP1OyDgAY&amp;q=site%3Alinkedin.com+Katy+Grant+MBA+Recruiter+Wells+Fargo+Securities" TargetMode="External"/><Relationship Id="rId4650" Type="http://schemas.openxmlformats.org/officeDocument/2006/relationships/hyperlink" Target="https://www.google.com/search?newwindow=1&amp;ei=2MT0XrvGGM-vytMP1OyDgAY&amp;q=site%3Alinkedin.com+Virginia+Edahl+Molan+Undergraduate+Campus+Recruiter+at+Wells+Fargo+Securities+Wells+Fargo+Securities" TargetMode="External"/><Relationship Id="rId3322" Type="http://schemas.openxmlformats.org/officeDocument/2006/relationships/hyperlink" Target="https://www.google.com/search?newwindow=1&amp;ei=2MT0XrvGGM-vytMP1OyDgAY&amp;q=site%3Alinkedin.com+Katie+Howland+Training+Manager+KPMG" TargetMode="External"/><Relationship Id="rId4653" Type="http://schemas.openxmlformats.org/officeDocument/2006/relationships/hyperlink" Target="https://www.google.com/search?newwindow=1&amp;ei=2MT0XrvGGM-vytMP1OyDgAY&amp;q=site%3Alinkedin.com+Vicky+Ho+University+Recruiter+Western+Digital" TargetMode="External"/><Relationship Id="rId3321" Type="http://schemas.openxmlformats.org/officeDocument/2006/relationships/hyperlink" Target="https://www.google.com/search?newwindow=1&amp;ei=2MT0XrvGGM-vytMP1OyDgAY&amp;q=site%3Alinkedin.com+Samantha+Daly+Associate+Campus+Recruiter+KPMG" TargetMode="External"/><Relationship Id="rId4652" Type="http://schemas.openxmlformats.org/officeDocument/2006/relationships/hyperlink" Target="https://www.google.com/search?newwindow=1&amp;ei=2MT0XrvGGM-vytMP1OyDgAY&amp;q=site%3Alinkedin.com+David+Salgado+University+Business+Recruiter+Western+Digital" TargetMode="External"/><Relationship Id="rId3324" Type="http://schemas.openxmlformats.org/officeDocument/2006/relationships/hyperlink" Target="https://www.google.com/search?newwindow=1&amp;ei=2MT0XrvGGM-vytMP1OyDgAY&amp;q=site%3Alinkedin.com+Ernesto+F.+University+Recruiter+Facebook" TargetMode="External"/><Relationship Id="rId4655" Type="http://schemas.openxmlformats.org/officeDocument/2006/relationships/hyperlink" Target="https://www.google.com/search?newwindow=1&amp;ei=2MT0XrvGGM-vytMP1OyDgAY&amp;q=site%3Alinkedin.com+Matthew+Kim+University+Recruiter+Western+Digital" TargetMode="External"/><Relationship Id="rId3323" Type="http://schemas.openxmlformats.org/officeDocument/2006/relationships/hyperlink" Target="https://www.google.com/search?newwindow=1&amp;ei=2MT0XrvGGM-vytMP1OyDgAY&amp;q=site%3Alinkedin.com+Regina+Manansala+Campus+Recruiting+Manager+KPMG" TargetMode="External"/><Relationship Id="rId4654" Type="http://schemas.openxmlformats.org/officeDocument/2006/relationships/hyperlink" Target="https://www.google.com/search?newwindow=1&amp;ei=2MT0XrvGGM-vytMP1OyDgAY&amp;q=site%3Alinkedin.com+Kristin+Parker+Lead+University+Recruiter+Western+Digital" TargetMode="External"/><Relationship Id="rId2090" Type="http://schemas.openxmlformats.org/officeDocument/2006/relationships/hyperlink" Target="https://www.google.com/search?newwindow=1&amp;ei=2MT0XrvGGM-vytMP1OyDgAY&amp;q=site%3Alinkedin.com+JAMILLA+SMITH+Sr.+Campus+Recruiter+Bloomberg+LP" TargetMode="External"/><Relationship Id="rId2091" Type="http://schemas.openxmlformats.org/officeDocument/2006/relationships/hyperlink" Target="https://www.google.com/search?newwindow=1&amp;ei=2MT0XrvGGM-vytMP1OyDgAY&amp;q=site%3Alinkedin.com+Stephanie+Santora+Campus+Recruiter+Bloomberg+LP" TargetMode="External"/><Relationship Id="rId2092" Type="http://schemas.openxmlformats.org/officeDocument/2006/relationships/hyperlink" Target="https://www.google.com/search?newwindow=1&amp;ei=2MT0XrvGGM-vytMP1OyDgAY&amp;q=site%3Alinkedin.com+Monica+D.+Engineering+Campus+&amp;+Diversity+Recruiter+Bloomberg+LP" TargetMode="External"/><Relationship Id="rId2093" Type="http://schemas.openxmlformats.org/officeDocument/2006/relationships/hyperlink" Target="https://www.google.com/search?newwindow=1&amp;ei=2MT0XrvGGM-vytMP1OyDgAY&amp;q=site%3Alinkedin.com+Justine+Bellew+Campus+Recruiter+Bloomberg+LP" TargetMode="External"/><Relationship Id="rId2094" Type="http://schemas.openxmlformats.org/officeDocument/2006/relationships/hyperlink" Target="https://www.google.com/search?newwindow=1&amp;ei=2MT0XrvGGM-vytMP1OyDgAY&amp;q=site%3Alinkedin.com+Amy+Petcoff+Engineering+Campus+Recruiter+Bloomberg+LP" TargetMode="External"/><Relationship Id="rId2095" Type="http://schemas.openxmlformats.org/officeDocument/2006/relationships/hyperlink" Target="https://www.google.com/search?newwindow=1&amp;ei=2MT0XrvGGM-vytMP1OyDgAY&amp;q=site%3Alinkedin.com+Jinny+Rhieu+Engineering+Campus+Recruiter+Bloomberg+LP" TargetMode="External"/><Relationship Id="rId2096" Type="http://schemas.openxmlformats.org/officeDocument/2006/relationships/hyperlink" Target="https://www.google.com/search?newwindow=1&amp;ei=2MT0XrvGGM-vytMP1OyDgAY&amp;q=site%3Alinkedin.com+Ashley+Redus+Engineering+Campus+Recruiter+Bloomberg+LP" TargetMode="External"/><Relationship Id="rId2097" Type="http://schemas.openxmlformats.org/officeDocument/2006/relationships/hyperlink" Target="https://www.google.com/search?newwindow=1&amp;ei=2MT0XrvGGM-vytMP1OyDgAY&amp;q=site%3Alinkedin.com+Bianca+Martinez+Engineering+Campus+Recruiter+Bloomberg+LP" TargetMode="External"/><Relationship Id="rId2098" Type="http://schemas.openxmlformats.org/officeDocument/2006/relationships/hyperlink" Target="https://www.google.com/search?newwindow=1&amp;ei=2MT0XrvGGM-vytMP1OyDgAY&amp;q=site%3Alinkedin.com+Annie+Kadets+Campus+Recruiter+Bloomberg+LP" TargetMode="External"/><Relationship Id="rId2099" Type="http://schemas.openxmlformats.org/officeDocument/2006/relationships/hyperlink" Target="https://www.google.com/search?newwindow=1&amp;ei=2MT0XrvGGM-vytMP1OyDgAY&amp;q=site%3Alinkedin.com+Alexa+Perrelli+Engineering+Campus+Recruiter+Bloomberg+LP" TargetMode="External"/><Relationship Id="rId3391" Type="http://schemas.openxmlformats.org/officeDocument/2006/relationships/hyperlink" Target="https://www.google.com/search?newwindow=1&amp;ei=2MT0XrvGGM-vytMP1OyDgAY&amp;q=site%3Alinkedin.com+Kimberly+Myers+Campus+Recruiter+Liberty+Mutual+Insurance" TargetMode="External"/><Relationship Id="rId2060" Type="http://schemas.openxmlformats.org/officeDocument/2006/relationships/hyperlink" Target="https://www.google.com/search?newwindow=1&amp;ei=2MT0XrvGGM-vytMP1OyDgAY&amp;q=site%3Alinkedin.com+Paula+Rose+Campus+Recruiter+Bank+of+America+Merrill+Lynch" TargetMode="External"/><Relationship Id="rId3390" Type="http://schemas.openxmlformats.org/officeDocument/2006/relationships/hyperlink" Target="https://www.google.com/search?newwindow=1&amp;ei=2MT0XrvGGM-vytMP1OyDgAY&amp;q=site%3Alinkedin.com+Krystle+Sanchez+University+Recruiter+Facebook" TargetMode="External"/><Relationship Id="rId2061" Type="http://schemas.openxmlformats.org/officeDocument/2006/relationships/hyperlink" Target="https://www.google.com/search?newwindow=1&amp;ei=2MT0XrvGGM-vytMP1OyDgAY&amp;q=site%3Alinkedin.com+Christie+Neuhaus+Campus+Recruiter+Bank+of+America+Merrill+Lynch" TargetMode="External"/><Relationship Id="rId3393" Type="http://schemas.openxmlformats.org/officeDocument/2006/relationships/hyperlink" Target="https://www.google.com/search?newwindow=1&amp;ei=2MT0XrvGGM-vytMP1OyDgAY&amp;q=site%3Alinkedin.com+Paige+Andrews+(she/her)+Senior+Campus+Recruiter,+Finance,+Accounting+&amp;+Investments+Liberty+Mutual+Insurance" TargetMode="External"/><Relationship Id="rId2062" Type="http://schemas.openxmlformats.org/officeDocument/2006/relationships/hyperlink" Target="https://www.google.com/search?newwindow=1&amp;ei=2MT0XrvGGM-vytMP1OyDgAY&amp;q=site%3Alinkedin.com+Brittany+Convery+Assistant+Vice+President,+Campus+Recruiter+Bank+of+America+Merrill+Lynch" TargetMode="External"/><Relationship Id="rId3392" Type="http://schemas.openxmlformats.org/officeDocument/2006/relationships/hyperlink" Target="https://www.google.com/search?newwindow=1&amp;ei=2MT0XrvGGM-vytMP1OyDgAY&amp;q=site%3Alinkedin.com+Carmen+Ng+University+Recruiter+Facebook" TargetMode="External"/><Relationship Id="rId2063" Type="http://schemas.openxmlformats.org/officeDocument/2006/relationships/hyperlink" Target="https://www.google.com/search?newwindow=1&amp;ei=2MT0XrvGGM-vytMP1OyDgAY&amp;q=site%3Alinkedin.com+Andrea+Parsley+Diversity+Campus+Recruiter+Barclays+Capital" TargetMode="External"/><Relationship Id="rId3395" Type="http://schemas.openxmlformats.org/officeDocument/2006/relationships/hyperlink" Target="https://www.google.com/search?newwindow=1&amp;ei=2MT0XrvGGM-vytMP1OyDgAY&amp;q=site%3Alinkedin.com+Lauren+Fitzgibbon+Senior+Campus+Recruiter+Liberty+Mutual+Insurance" TargetMode="External"/><Relationship Id="rId2064" Type="http://schemas.openxmlformats.org/officeDocument/2006/relationships/hyperlink" Target="https://www.google.com/search?newwindow=1&amp;ei=2MT0XrvGGM-vytMP1OyDgAY&amp;q=site%3Alinkedin.com+Courtney+Goldsmith+Associate+Campus+Recruiter+Barclays+Capital" TargetMode="External"/><Relationship Id="rId3394" Type="http://schemas.openxmlformats.org/officeDocument/2006/relationships/hyperlink" Target="https://www.google.com/search?newwindow=1&amp;ei=2MT0XrvGGM-vytMP1OyDgAY&amp;q=site%3Alinkedin.com+Konnie+H.+University+Recruiter+Facebook" TargetMode="External"/><Relationship Id="rId2065" Type="http://schemas.openxmlformats.org/officeDocument/2006/relationships/hyperlink" Target="https://www.google.com/search?newwindow=1&amp;ei=2MT0XrvGGM-vytMP1OyDgAY&amp;q=site%3Alinkedin.com+Kelly+Doyle+Campus+Recruiter+Barclays+Capital" TargetMode="External"/><Relationship Id="rId3397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2066" Type="http://schemas.openxmlformats.org/officeDocument/2006/relationships/hyperlink" Target="https://www.google.com/search?newwindow=1&amp;ei=2MT0XrvGGM-vytMP1OyDgAY&amp;q=site%3Alinkedin.com+Renee+Savino+Banking+Analyst+Campus+Recruiter+Barclays+Investment+Bank" TargetMode="External"/><Relationship Id="rId3396" Type="http://schemas.openxmlformats.org/officeDocument/2006/relationships/hyperlink" Target="https://www.google.com/search?newwindow=1&amp;ei=2MT0XrvGGM-vytMP1OyDgAY&amp;q=site%3Alinkedin.com+Rodney+Aziz+Senior+Product+Manager+-+Loyalty+Platforms+Ford+Motor+Company" TargetMode="External"/><Relationship Id="rId2067" Type="http://schemas.openxmlformats.org/officeDocument/2006/relationships/hyperlink" Target="https://www.google.com/search?newwindow=1&amp;ei=2MT0XrvGGM-vytMP1OyDgAY&amp;q=site%3Alinkedin.com+Olivia+Forte+Campus+Recruiter+BDO" TargetMode="External"/><Relationship Id="rId3399" Type="http://schemas.openxmlformats.org/officeDocument/2006/relationships/hyperlink" Target="https://www.google.com/search?newwindow=1&amp;ei=2MT0XrvGGM-vytMP1OyDgAY&amp;q=site%3Alinkedin.com+Daniel+McCarthy+Campus+Recruiter+Liberty+Mutual+Insurance" TargetMode="External"/><Relationship Id="rId2068" Type="http://schemas.openxmlformats.org/officeDocument/2006/relationships/hyperlink" Target="https://www.google.com/search?newwindow=1&amp;ei=2MT0XrvGGM-vytMP1OyDgAY&amp;q=site%3Alinkedin.com+Annie+Allred+Campus+Recruiting+Manager+BDO" TargetMode="External"/><Relationship Id="rId3398" Type="http://schemas.openxmlformats.org/officeDocument/2006/relationships/hyperlink" Target="https://www.google.com/search?newwindow=1&amp;ei=2MT0XrvGGM-vytMP1OyDgAY&amp;q=site%3Alinkedin.com+Shae+Lorenc+Campus+Recruiter+Ford+Motor+Company" TargetMode="External"/><Relationship Id="rId2069" Type="http://schemas.openxmlformats.org/officeDocument/2006/relationships/hyperlink" Target="https://www.google.com/search?newwindow=1&amp;ei=2MT0XrvGGM-vytMP1OyDgAY&amp;q=site%3Alinkedin.com+Celisse+Coppel+Campus+Recruiter+BDO" TargetMode="External"/><Relationship Id="rId3380" Type="http://schemas.openxmlformats.org/officeDocument/2006/relationships/hyperlink" Target="https://www.google.com/search?newwindow=1&amp;ei=2MT0XrvGGM-vytMP1OyDgAY&amp;q=site%3Alinkedin.com+Torie+Prothro+Campus+Recruiter+KPMG+US" TargetMode="External"/><Relationship Id="rId2050" Type="http://schemas.openxmlformats.org/officeDocument/2006/relationships/hyperlink" Target="https://www.google.com/search?newwindow=1&amp;ei=2MT0XrvGGM-vytMP1OyDgAY&amp;q=site%3Alinkedin.com+Sean+Hille+Assistant+Vice+President,+Campus+Recruiter+Bank+of+America" TargetMode="External"/><Relationship Id="rId3382" Type="http://schemas.openxmlformats.org/officeDocument/2006/relationships/hyperlink" Target="https://www.google.com/search?newwindow=1&amp;ei=2MT0XrvGGM-vytMP1OyDgAY&amp;q=site%3Alinkedin.com+Marisa+DiRocco+Manager,+Campus+Recruiting+KPMG+US" TargetMode="External"/><Relationship Id="rId2051" Type="http://schemas.openxmlformats.org/officeDocument/2006/relationships/hyperlink" Target="https://www.google.com/search?newwindow=1&amp;ei=2MT0XrvGGM-vytMP1OyDgAY&amp;q=site%3Alinkedin.com+Stephanie+Moss+Assistant+Vice+President,+Campus+Recruiter+Bank+of+America" TargetMode="External"/><Relationship Id="rId3381" Type="http://schemas.openxmlformats.org/officeDocument/2006/relationships/hyperlink" Target="https://www.google.com/search?newwindow=1&amp;ei=2MT0XrvGGM-vytMP1OyDgAY&amp;q=site%3Alinkedin.com+Bill+Haughney+University+Recruiter+Facebook" TargetMode="External"/><Relationship Id="rId2052" Type="http://schemas.openxmlformats.org/officeDocument/2006/relationships/hyperlink" Target="https://www.google.com/search?newwindow=1&amp;ei=2MT0XrvGGM-vytMP1OyDgAY&amp;q=site%3Alinkedin.com+Jessica+Sheldon+Campus+Recruiter+Bank+of+America" TargetMode="External"/><Relationship Id="rId3384" Type="http://schemas.openxmlformats.org/officeDocument/2006/relationships/hyperlink" Target="https://www.google.com/search?newwindow=1&amp;ei=2MT0XrvGGM-vytMP1OyDgAY&amp;q=site%3Alinkedin.com+Hayley+Mesojednik+University+Recruiter+-+Early+Career+Facebook" TargetMode="External"/><Relationship Id="rId2053" Type="http://schemas.openxmlformats.org/officeDocument/2006/relationships/hyperlink" Target="https://www.google.com/search?newwindow=1&amp;ei=2MT0XrvGGM-vytMP1OyDgAY&amp;q=site%3Alinkedin.com+Bryan+C.+Vice+President;+Campus+Recruiter+&amp;+Program+Manager+Bank+of+America" TargetMode="External"/><Relationship Id="rId3383" Type="http://schemas.openxmlformats.org/officeDocument/2006/relationships/hyperlink" Target="https://www.google.com/search?newwindow=1&amp;ei=2MT0XrvGGM-vytMP1OyDgAY&amp;q=site%3Alinkedin.com+Brianna+Peipert+Associate+Campus+Recruiter+KPMG+US" TargetMode="External"/><Relationship Id="rId2054" Type="http://schemas.openxmlformats.org/officeDocument/2006/relationships/hyperlink" Target="https://www.google.com/search?newwindow=1&amp;ei=2MT0XrvGGM-vytMP1OyDgAY&amp;q=site%3Alinkedin.com+Carmen+Del+Valle+Vice+President,+Diversity+Campus+Recruiter,+Global+Banking+&amp;+Markets+Bank+of+America" TargetMode="External"/><Relationship Id="rId3386" Type="http://schemas.openxmlformats.org/officeDocument/2006/relationships/hyperlink" Target="https://www.google.com/search?newwindow=1&amp;ei=2MT0XrvGGM-vytMP1OyDgAY&amp;q=site%3Alinkedin.com+Erin+Riley+Campus+Recruiting+Manager+KPMG,+LLP" TargetMode="External"/><Relationship Id="rId2055" Type="http://schemas.openxmlformats.org/officeDocument/2006/relationships/hyperlink" Target="https://www.google.com/search?newwindow=1&amp;ei=2MT0XrvGGM-vytMP1OyDgAY&amp;q=site%3Alinkedin.com+Alexa+Migton+Campus+Recruiter+Bank+of+America" TargetMode="External"/><Relationship Id="rId3385" Type="http://schemas.openxmlformats.org/officeDocument/2006/relationships/hyperlink" Target="https://www.google.com/search?newwindow=1&amp;ei=2MT0XrvGGM-vytMP1OyDgAY&amp;q=site%3Alinkedin.com+Renee+T.+Campus+Recruiting+Manager+-+Advisory+&amp;+Tax+Primary+Recruiter+KPMG+US" TargetMode="External"/><Relationship Id="rId2056" Type="http://schemas.openxmlformats.org/officeDocument/2006/relationships/hyperlink" Target="https://www.google.com/search?newwindow=1&amp;ei=2MT0XrvGGM-vytMP1OyDgAY&amp;q=site%3Alinkedin.com+Izabel+Tropnasse+Assistant+Vice+President;+MBA+Campus+Recruiter+Bank+of+America" TargetMode="External"/><Relationship Id="rId3388" Type="http://schemas.openxmlformats.org/officeDocument/2006/relationships/hyperlink" Target="https://www.google.com/search?newwindow=1&amp;ei=2MT0XrvGGM-vytMP1OyDgAY&amp;q=site%3Alinkedin.com+Meghan+Hughes+Ostrowski+Manager,+Campus+Recruiting,+Structured+Development+Programs+Liberty+Mutual+Insurance" TargetMode="External"/><Relationship Id="rId2057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3387" Type="http://schemas.openxmlformats.org/officeDocument/2006/relationships/hyperlink" Target="https://www.google.com/search?newwindow=1&amp;ei=2MT0XrvGGM-vytMP1OyDgAY&amp;q=site%3Alinkedin.com+Christina+Koike+University+Recruiter+Facebook" TargetMode="External"/><Relationship Id="rId2058" Type="http://schemas.openxmlformats.org/officeDocument/2006/relationships/hyperlink" Target="https://www.google.com/search?newwindow=1&amp;ei=2MT0XrvGGM-vytMP1OyDgAY&amp;q=site%3Alinkedin.com+Gail+Diaz+Campus+Recruiter+Bank+of+America" TargetMode="External"/><Relationship Id="rId2059" Type="http://schemas.openxmlformats.org/officeDocument/2006/relationships/hyperlink" Target="https://www.google.com/search?newwindow=1&amp;ei=2MT0XrvGGM-vytMP1OyDgAY&amp;q=site%3Alinkedin.com+Jennie+Montoya+Campus+Recruiter+Bank+of+America" TargetMode="External"/><Relationship Id="rId3389" Type="http://schemas.openxmlformats.org/officeDocument/2006/relationships/hyperlink" Target="https://www.google.com/search?newwindow=1&amp;ei=2MT0XrvGGM-vytMP1OyDgAY&amp;q=site%3Alinkedin.com+Kelly+Scott+Diversity+and+Inclusion+Program+Manager,+Campus+Recruiting+Liberty+Mutual+Insurance" TargetMode="External"/><Relationship Id="rId2080" Type="http://schemas.openxmlformats.org/officeDocument/2006/relationships/hyperlink" Target="https://www.google.com/search?newwindow=1&amp;ei=2MT0XrvGGM-vytMP1OyDgAY&amp;q=site%3Alinkedin.com+Lauren+Feaser+Campus+Recruiter/HR+BDO+USA,+LLP" TargetMode="External"/><Relationship Id="rId2081" Type="http://schemas.openxmlformats.org/officeDocument/2006/relationships/hyperlink" Target="https://www.google.com/search?newwindow=1&amp;ei=2MT0XrvGGM-vytMP1OyDgAY&amp;q=site%3Alinkedin.com+Katie+Bailey+Campus+Recruiting+Manager+BDO+USA,+LLP" TargetMode="External"/><Relationship Id="rId2082" Type="http://schemas.openxmlformats.org/officeDocument/2006/relationships/hyperlink" Target="https://www.google.com/search?newwindow=1&amp;ei=2MT0XrvGGM-vytMP1OyDgAY&amp;q=site%3Alinkedin.com+Emily+Adamowski+National+Campus+Recruiter,+Advisory+BDO+USA,+LLP" TargetMode="External"/><Relationship Id="rId2083" Type="http://schemas.openxmlformats.org/officeDocument/2006/relationships/hyperlink" Target="https://www.google.com/search?newwindow=1&amp;ei=2MT0XrvGGM-vytMP1OyDgAY&amp;q=site%3Alinkedin.com+Femi+Fagbure+Campus+Recruiter+BlackRock" TargetMode="External"/><Relationship Id="rId2084" Type="http://schemas.openxmlformats.org/officeDocument/2006/relationships/hyperlink" Target="https://www.google.com/search?newwindow=1&amp;ei=2MT0XrvGGM-vytMP1OyDgAY&amp;q=site%3Alinkedin.com+Jelicza+Thomas+Campus+Recruiter,+Associate+BlackRock" TargetMode="External"/><Relationship Id="rId2085" Type="http://schemas.openxmlformats.org/officeDocument/2006/relationships/hyperlink" Target="https://www.google.com/search?newwindow=1&amp;ei=2MT0XrvGGM-vytMP1OyDgAY&amp;q=site%3Alinkedin.com+Jade+Sims,+M.Ed.+Campus+Recruiter+BlackRock" TargetMode="External"/><Relationship Id="rId2086" Type="http://schemas.openxmlformats.org/officeDocument/2006/relationships/hyperlink" Target="https://www.google.com/search?newwindow=1&amp;ei=2MT0XrvGGM-vytMP1OyDgAY&amp;q=site%3Alinkedin.com+Danielle+Kronenfeld+Campus+Recruiter+BlackRock" TargetMode="External"/><Relationship Id="rId2087" Type="http://schemas.openxmlformats.org/officeDocument/2006/relationships/hyperlink" Target="https://www.google.com/search?newwindow=1&amp;ei=2MT0XrvGGM-vytMP1OyDgAY&amp;q=site%3Alinkedin.com+Tulsi+Patel+Associate+Campus+Recruiter+BlackRock" TargetMode="External"/><Relationship Id="rId2088" Type="http://schemas.openxmlformats.org/officeDocument/2006/relationships/hyperlink" Target="https://www.google.com/search?newwindow=1&amp;ei=2MT0XrvGGM-vytMP1OyDgAY&amp;q=site%3Alinkedin.com+Francesca+Dayre+Associate+Campus+Recruiter+BlackRock" TargetMode="External"/><Relationship Id="rId2089" Type="http://schemas.openxmlformats.org/officeDocument/2006/relationships/hyperlink" Target="https://www.google.com/search?newwindow=1&amp;ei=2MT0XrvGGM-vytMP1OyDgAY&amp;q=site%3Alinkedin.com+Claudia+Suarez+Campus+Recruiter+BlackRock" TargetMode="External"/><Relationship Id="rId2070" Type="http://schemas.openxmlformats.org/officeDocument/2006/relationships/hyperlink" Target="https://www.google.com/search?newwindow=1&amp;ei=2MT0XrvGGM-vytMP1OyDgAY&amp;q=site%3Alinkedin.com+Jenny+Araque+National+Campus+Recruiting+Manager+BDO+USA,+LLP" TargetMode="External"/><Relationship Id="rId2071" Type="http://schemas.openxmlformats.org/officeDocument/2006/relationships/hyperlink" Target="https://www.google.com/search?newwindow=1&amp;ei=2MT0XrvGGM-vytMP1OyDgAY&amp;q=site%3Alinkedin.com+Amanda+Martucci+Regional+HR+Generalist/Campus+Recruiter+BDO+USA,+LLP" TargetMode="External"/><Relationship Id="rId2072" Type="http://schemas.openxmlformats.org/officeDocument/2006/relationships/hyperlink" Target="https://www.google.com/search?newwindow=1&amp;ei=2MT0XrvGGM-vytMP1OyDgAY&amp;q=site%3Alinkedin.com+Joelle+Rosen+Campus+Recruiting+Manager+BDO+USA,+LLP" TargetMode="External"/><Relationship Id="rId2073" Type="http://schemas.openxmlformats.org/officeDocument/2006/relationships/hyperlink" Target="https://www.google.com/search?newwindow=1&amp;ei=2MT0XrvGGM-vytMP1OyDgAY&amp;q=site%3Alinkedin.com+Lindsay+Fisher+Campus+Recruiter+BDO+USA,+LLP" TargetMode="External"/><Relationship Id="rId2074" Type="http://schemas.openxmlformats.org/officeDocument/2006/relationships/hyperlink" Target="https://www.google.com/search?newwindow=1&amp;ei=2MT0XrvGGM-vytMP1OyDgAY&amp;q=site%3Alinkedin.com+Emeline+Yord%C3%A1n+Campus+Recruiter+BDO+USA,+LLP" TargetMode="External"/><Relationship Id="rId2075" Type="http://schemas.openxmlformats.org/officeDocument/2006/relationships/hyperlink" Target="https://www.google.com/search?newwindow=1&amp;ei=2MT0XrvGGM-vytMP1OyDgAY&amp;q=site%3Alinkedin.com+Brian+Vander+Lee,+CPA+Campus+Recruiting+Manager+BDO+USA,+LLP" TargetMode="External"/><Relationship Id="rId2076" Type="http://schemas.openxmlformats.org/officeDocument/2006/relationships/hyperlink" Target="https://www.google.com/search?newwindow=1&amp;ei=2MT0XrvGGM-vytMP1OyDgAY&amp;q=site%3Alinkedin.com+Amir+Mazarei+Campus+Recruiter+BDO+USA,+LLP" TargetMode="External"/><Relationship Id="rId2077" Type="http://schemas.openxmlformats.org/officeDocument/2006/relationships/hyperlink" Target="https://www.google.com/search?newwindow=1&amp;ei=2MT0XrvGGM-vytMP1OyDgAY&amp;q=site%3Alinkedin.com+Karina+Espinola+Campus+Recruiting+Manager+BDO+USA,+LLP" TargetMode="External"/><Relationship Id="rId2078" Type="http://schemas.openxmlformats.org/officeDocument/2006/relationships/hyperlink" Target="https://www.google.com/search?newwindow=1&amp;ei=2MT0XrvGGM-vytMP1OyDgAY&amp;q=site%3Alinkedin.com+Tamera+Pumphrey,+MBA,+CPA+Campus+Recruiter+BDO+USA,+LLP" TargetMode="External"/><Relationship Id="rId2079" Type="http://schemas.openxmlformats.org/officeDocument/2006/relationships/hyperlink" Target="https://www.google.com/search?newwindow=1&amp;ei=2MT0XrvGGM-vytMP1OyDgAY&amp;q=site%3Alinkedin.com+Katherine+Acuff+Campus+Recruiting+Manager+BDO+USA,+LLP" TargetMode="External"/><Relationship Id="rId2940" Type="http://schemas.openxmlformats.org/officeDocument/2006/relationships/hyperlink" Target="https://www.google.com/search?newwindow=1&amp;ei=2MT0XrvGGM-vytMP1OyDgAY&amp;q=site%3Alinkedin.com+James+++A.+Robinson+Regional+College+Recruiter+GEICO" TargetMode="External"/><Relationship Id="rId1610" Type="http://schemas.openxmlformats.org/officeDocument/2006/relationships/hyperlink" Target="https://www.google.com/search?newwindow=1&amp;ei=2MT0XrvGGM-vytMP1OyDgAY&amp;q=site%3Alinkedin.com+Nikki+Simone+Senior+Manager,+Student+Experience+and+Early+Talent+Programs" TargetMode="External"/><Relationship Id="rId2941" Type="http://schemas.openxmlformats.org/officeDocument/2006/relationships/hyperlink" Target="https://www.google.com/search?newwindow=1&amp;ei=2MT0XrvGGM-vytMP1OyDgAY&amp;q=site%3Alinkedin.com+Amanda+Willott+Campus+Recruiter+Deloitte" TargetMode="External"/><Relationship Id="rId1611" Type="http://schemas.openxmlformats.org/officeDocument/2006/relationships/hyperlink" Target="https://www.google.com/search?newwindow=1&amp;ei=2MT0XrvGGM-vytMP1OyDgAY&amp;q=site%3Alinkedin.com+Cara+Cornacchia+Interim+Director,+Student+Programs" TargetMode="External"/><Relationship Id="rId2942" Type="http://schemas.openxmlformats.org/officeDocument/2006/relationships/hyperlink" Target="https://www.google.com/search?newwindow=1&amp;ei=2MT0XrvGGM-vytMP1OyDgAY&amp;q=site%3Alinkedin.com+Marlena+Banks+Regional+College+Recruiter+GEICO" TargetMode="External"/><Relationship Id="rId1612" Type="http://schemas.openxmlformats.org/officeDocument/2006/relationships/hyperlink" Target="https://www.google.com/search?newwindow=1&amp;ei=2MT0XrvGGM-vytMP1OyDgAY&amp;q=site%3Alinkedin.com+Shirin+Salehi+Talent+Acquisition,+Student+Programs" TargetMode="External"/><Relationship Id="rId2943" Type="http://schemas.openxmlformats.org/officeDocument/2006/relationships/hyperlink" Target="https://www.google.com/search?newwindow=1&amp;ei=2MT0XrvGGM-vytMP1OyDgAY&amp;q=site%3Alinkedin.com+Emily+Kaplan+Campus+Recruiter+Deloitte" TargetMode="External"/><Relationship Id="rId1613" Type="http://schemas.openxmlformats.org/officeDocument/2006/relationships/hyperlink" Target="https://www.google.com/search?newwindow=1&amp;ei=2MT0XrvGGM-vytMP1OyDgAY&amp;q=site%3Alinkedin.com+Kim+Bonnar+Assistant+Director+of+Professional+Resources+-+Student+Programs" TargetMode="External"/><Relationship Id="rId2944" Type="http://schemas.openxmlformats.org/officeDocument/2006/relationships/hyperlink" Target="https://www.google.com/search?newwindow=1&amp;ei=2MT0XrvGGM-vytMP1OyDgAY&amp;q=site%3Alinkedin.com+Michelle+Berg+College+Recruiter+GEICO" TargetMode="External"/><Relationship Id="rId1614" Type="http://schemas.openxmlformats.org/officeDocument/2006/relationships/hyperlink" Target="https://www.google.com/search?newwindow=1&amp;ei=2MT0XrvGGM-vytMP1OyDgAY&amp;q=site%3Alinkedin.com+Shemara+D.+Manager,+Student+Programs" TargetMode="External"/><Relationship Id="rId2945" Type="http://schemas.openxmlformats.org/officeDocument/2006/relationships/hyperlink" Target="https://www.google.com/search?newwindow=1&amp;ei=2MT0XrvGGM-vytMP1OyDgAY&amp;q=site%3Alinkedin.com+Dana+Catania+Campus+Recruiting+Manager+Deloitte" TargetMode="External"/><Relationship Id="rId1615" Type="http://schemas.openxmlformats.org/officeDocument/2006/relationships/hyperlink" Target="https://www.google.com/search?newwindow=1&amp;ei=2MT0XrvGGM-vytMP1OyDgAY&amp;q=site%3Alinkedin.com+Sadia+Khan+Interim+National+Director,+Student+Programs" TargetMode="External"/><Relationship Id="rId2946" Type="http://schemas.openxmlformats.org/officeDocument/2006/relationships/hyperlink" Target="https://www.google.com/search?newwindow=1&amp;ei=2MT0XrvGGM-vytMP1OyDgAY&amp;q=site%3Alinkedin.com+Tricia+Barrios+Regional+College+Recruiter+GEICO" TargetMode="External"/><Relationship Id="rId1616" Type="http://schemas.openxmlformats.org/officeDocument/2006/relationships/hyperlink" Target="https://www.google.com/search?newwindow=1&amp;ei=2MT0XrvGGM-vytMP1OyDgAY&amp;q=site%3Alinkedin.com+Lindsay+Kantor+Director+of+Student+Programs" TargetMode="External"/><Relationship Id="rId2947" Type="http://schemas.openxmlformats.org/officeDocument/2006/relationships/hyperlink" Target="https://www.google.com/search?newwindow=1&amp;ei=2MT0XrvGGM-vytMP1OyDgAY&amp;q=site%3Alinkedin.com+Vicky+Chang+Campus+Recruiting+Manager+Deloitte" TargetMode="External"/><Relationship Id="rId907" Type="http://schemas.openxmlformats.org/officeDocument/2006/relationships/hyperlink" Target="https://www.google.com/search?newwindow=1&amp;ei=2MT0XrvGGM-vytMP1OyDgAY&amp;q=site%3Alinkedin.com+Trish+Royall+Executive+Assistant+to+the+Director,+Medical+Student+Programs,+EHCS" TargetMode="External"/><Relationship Id="rId1617" Type="http://schemas.openxmlformats.org/officeDocument/2006/relationships/hyperlink" Target="https://www.google.com/search?newwindow=1&amp;ei=2MT0XrvGGM-vytMP1OyDgAY&amp;q=site%3Alinkedin.com+Ali+Mirsky+Co-Director,+Associate+&amp;+Student+Programs" TargetMode="External"/><Relationship Id="rId2948" Type="http://schemas.openxmlformats.org/officeDocument/2006/relationships/hyperlink" Target="https://www.google.com/search?newwindow=1&amp;ei=2MT0XrvGGM-vytMP1OyDgAY&amp;q=site%3Alinkedin.com+Sarah+A.+Bonney,+MBA+Professional+Regional+College+Recruiter+GEICO" TargetMode="External"/><Relationship Id="rId906" Type="http://schemas.openxmlformats.org/officeDocument/2006/relationships/hyperlink" Target="https://www.google.com/search?newwindow=1&amp;ei=2MT0XrvGGM-vytMP1OyDgAY&amp;q=site%3Alinkedin.com+Sav+Devi+Student+and+Programs+Progress+Review+Coordinator" TargetMode="External"/><Relationship Id="rId1618" Type="http://schemas.openxmlformats.org/officeDocument/2006/relationships/hyperlink" Target="https://www.google.com/search?newwindow=1&amp;ei=2MT0XrvGGM-vytMP1OyDgAY&amp;q=site%3Alinkedin.com+Adeena+Ali+Graduate+Programs+Assistant" TargetMode="External"/><Relationship Id="rId2949" Type="http://schemas.openxmlformats.org/officeDocument/2006/relationships/hyperlink" Target="https://www.google.com/search?newwindow=1&amp;ei=2MT0XrvGGM-vytMP1OyDgAY&amp;q=site%3Alinkedin.com+Britney+(Us+Campus+Recruiting+Manager+Deloitte" TargetMode="External"/><Relationship Id="rId905" Type="http://schemas.openxmlformats.org/officeDocument/2006/relationships/hyperlink" Target="https://www.google.com/search?newwindow=1&amp;ei=2MT0XrvGGM-vytMP1OyDgAY&amp;q=site%3Alinkedin.com+Jane+McCausland+ARMI+Student+Programs+Manager" TargetMode="External"/><Relationship Id="rId1619" Type="http://schemas.openxmlformats.org/officeDocument/2006/relationships/hyperlink" Target="https://www.google.com/search?newwindow=1&amp;ei=2MT0XrvGGM-vytMP1OyDgAY&amp;q=site%3Alinkedin.com+Lynn+Thomson+Associate+and+Student+Programs+Director" TargetMode="External"/><Relationship Id="rId904" Type="http://schemas.openxmlformats.org/officeDocument/2006/relationships/hyperlink" Target="https://www.google.com/search?newwindow=1&amp;ei=2MT0XrvGGM-vytMP1OyDgAY&amp;q=site%3Alinkedin.com+Maria+L.+Student+Programs+Officer" TargetMode="External"/><Relationship Id="rId909" Type="http://schemas.openxmlformats.org/officeDocument/2006/relationships/hyperlink" Target="https://www.google.com/search?newwindow=1&amp;ei=2MT0XrvGGM-vytMP1OyDgAY&amp;q=site%3Alinkedin.com+Warwick+Padgham+Manager,+Indigenous+Student+Programs+-+Melbourne+Poche+Centre+for+Indigenous+Health" TargetMode="External"/><Relationship Id="rId908" Type="http://schemas.openxmlformats.org/officeDocument/2006/relationships/hyperlink" Target="https://www.google.com/search?newwindow=1&amp;ei=2MT0XrvGGM-vytMP1OyDgAY&amp;q=site%3Alinkedin.com+Morgan+Bett+Research+Recruiter" TargetMode="External"/><Relationship Id="rId903" Type="http://schemas.openxmlformats.org/officeDocument/2006/relationships/hyperlink" Target="https://www.google.com/search?newwindow=1&amp;ei=2MT0XrvGGM-vytMP1OyDgAY&amp;q=site%3Alinkedin.com+Leidy+Gomezaquira+Student+Engagement+Officer+-+Programs+&amp;+Events" TargetMode="External"/><Relationship Id="rId902" Type="http://schemas.openxmlformats.org/officeDocument/2006/relationships/hyperlink" Target="https://www.google.com/search?newwindow=1&amp;ei=2MT0XrvGGM-vytMP1OyDgAY&amp;q=site%3Alinkedin.com+Sarah+J.+Student+Programs+Officer" TargetMode="External"/><Relationship Id="rId901" Type="http://schemas.openxmlformats.org/officeDocument/2006/relationships/hyperlink" Target="https://www.google.com/search?newwindow=1&amp;ei=2MT0XrvGGM-vytMP1OyDgAY&amp;q=site%3Alinkedin.com+Amanda+Martin+-+International+Leadership+Impact+International+leadership+strategist+designing+programs+and+measuring+the+impact+of+leaders,+CEO" TargetMode="External"/><Relationship Id="rId900" Type="http://schemas.openxmlformats.org/officeDocument/2006/relationships/hyperlink" Target="https://www.google.com/search?newwindow=1&amp;ei=2MT0XrvGGM-vytMP1OyDgAY&amp;q=site%3Alinkedin.com+Susan+Wood+Student+programs+coordinator" TargetMode="External"/><Relationship Id="rId2930" Type="http://schemas.openxmlformats.org/officeDocument/2006/relationships/hyperlink" Target="https://www.google.com/search?newwindow=1&amp;ei=2MT0XrvGGM-vytMP1OyDgAY&amp;q=site%3Alinkedin.com+Kendra+Eakles+Regional+College+Recruiter+GEICO" TargetMode="External"/><Relationship Id="rId1600" Type="http://schemas.openxmlformats.org/officeDocument/2006/relationships/hyperlink" Target="https://www.google.com/search?newwindow=1&amp;ei=2MT0XrvGGM-vytMP1OyDgAY&amp;q=site%3Alinkedin.com+Nesana+Sriskandakumaran+Student+Recruiter" TargetMode="External"/><Relationship Id="rId2931" Type="http://schemas.openxmlformats.org/officeDocument/2006/relationships/hyperlink" Target="https://www.google.com/search?newwindow=1&amp;ei=2MT0XrvGGM-vytMP1OyDgAY&amp;q=site%3Alinkedin.com+Tyra+H.+College+Recruiter+GEICO" TargetMode="External"/><Relationship Id="rId1601" Type="http://schemas.openxmlformats.org/officeDocument/2006/relationships/hyperlink" Target="https://www.google.com/search?newwindow=1&amp;ei=2MT0XrvGGM-vytMP1OyDgAY&amp;q=site%3Alinkedin.com+YOSHITAKA+YOSHIZUMI+Student+Recruiter" TargetMode="External"/><Relationship Id="rId2932" Type="http://schemas.openxmlformats.org/officeDocument/2006/relationships/hyperlink" Target="https://www.google.com/search?newwindow=1&amp;ei=2MT0XrvGGM-vytMP1OyDgAY&amp;q=site%3Alinkedin.com+Sam+Tekl%C3%A9+Regional+College+Recruiter+GEICO" TargetMode="External"/><Relationship Id="rId1602" Type="http://schemas.openxmlformats.org/officeDocument/2006/relationships/hyperlink" Target="https://www.google.com/search?newwindow=1&amp;ei=2MT0XrvGGM-vytMP1OyDgAY&amp;q=site%3Alinkedin.com+Anderson+College+International+Student+Recruiter" TargetMode="External"/><Relationship Id="rId2933" Type="http://schemas.openxmlformats.org/officeDocument/2006/relationships/hyperlink" Target="https://www.google.com/search?newwindow=1&amp;ei=2MT0XrvGGM-vytMP1OyDgAY&amp;q=site%3Alinkedin.com+Callie+McCarthy+Campus+Recruiter+Deloitte" TargetMode="External"/><Relationship Id="rId1603" Type="http://schemas.openxmlformats.org/officeDocument/2006/relationships/hyperlink" Target="https://www.google.com/search?newwindow=1&amp;ei=2MT0XrvGGM-vytMP1OyDgAY&amp;q=site%3Alinkedin.com+Sanita+Naraine+Student" TargetMode="External"/><Relationship Id="rId2934" Type="http://schemas.openxmlformats.org/officeDocument/2006/relationships/hyperlink" Target="https://www.google.com/search?newwindow=1&amp;ei=2MT0XrvGGM-vytMP1OyDgAY&amp;q=site%3Alinkedin.com+William+Heartsill+College+Recruiter+GEICO" TargetMode="External"/><Relationship Id="rId1604" Type="http://schemas.openxmlformats.org/officeDocument/2006/relationships/hyperlink" Target="https://www.google.com/search?newwindow=1&amp;ei=2MT0XrvGGM-vytMP1OyDgAY&amp;q=site%3Alinkedin.com+Renee+Baptiste-Skyers+Sr.+University+Recruitment+Specialist+(Lead+for+Canada)" TargetMode="External"/><Relationship Id="rId2935" Type="http://schemas.openxmlformats.org/officeDocument/2006/relationships/hyperlink" Target="https://www.google.com/search?newwindow=1&amp;ei=2MT0XrvGGM-vytMP1OyDgAY&amp;q=site%3Alinkedin.com+Deanna+Washington+Campus+Recruiter+Deloitte" TargetMode="External"/><Relationship Id="rId1605" Type="http://schemas.openxmlformats.org/officeDocument/2006/relationships/hyperlink" Target="https://www.google.com/search?newwindow=1&amp;ei=2MT0XrvGGM-vytMP1OyDgAY&amp;q=site%3Alinkedin.com+vijay+singh+student" TargetMode="External"/><Relationship Id="rId2936" Type="http://schemas.openxmlformats.org/officeDocument/2006/relationships/hyperlink" Target="https://www.google.com/search?newwindow=1&amp;ei=2MT0XrvGGM-vytMP1OyDgAY&amp;q=site%3Alinkedin.com+Chelsea+Rush+Regional+College+Recruiter+GEICO" TargetMode="External"/><Relationship Id="rId1606" Type="http://schemas.openxmlformats.org/officeDocument/2006/relationships/hyperlink" Target="https://www.google.com/search?newwindow=1&amp;ei=2MT0XrvGGM-vytMP1OyDgAY&amp;q=site%3Alinkedin.com+Ashley+Heenan+Private+acting+College+Recruiter" TargetMode="External"/><Relationship Id="rId2937" Type="http://schemas.openxmlformats.org/officeDocument/2006/relationships/hyperlink" Target="https://www.google.com/search?newwindow=1&amp;ei=2MT0XrvGGM-vytMP1OyDgAY&amp;q=site%3Alinkedin.com+Alyse+Aven+Lead+Experienced+Hire+Recruiter+Deloitte" TargetMode="External"/><Relationship Id="rId1607" Type="http://schemas.openxmlformats.org/officeDocument/2006/relationships/hyperlink" Target="https://www.google.com/search?newwindow=1&amp;ei=2MT0XrvGGM-vytMP1OyDgAY&amp;q=site%3Alinkedin.com+Dreamhill+Marketing+International+Student+Recruiter" TargetMode="External"/><Relationship Id="rId2938" Type="http://schemas.openxmlformats.org/officeDocument/2006/relationships/hyperlink" Target="https://www.google.com/search?newwindow=1&amp;ei=2MT0XrvGGM-vytMP1OyDgAY&amp;q=site%3Alinkedin.com+Chelsey+Parsons+Regional+College+Recruiter+GEICO" TargetMode="External"/><Relationship Id="rId1608" Type="http://schemas.openxmlformats.org/officeDocument/2006/relationships/hyperlink" Target="https://www.google.com/search?newwindow=1&amp;ei=2MT0XrvGGM-vytMP1OyDgAY&amp;q=site%3Alinkedin.com+INDRANI+SARUKKALIGE+Finacial+Advisor,+Trainer,+Recruiter" TargetMode="External"/><Relationship Id="rId2939" Type="http://schemas.openxmlformats.org/officeDocument/2006/relationships/hyperlink" Target="https://www.google.com/search?newwindow=1&amp;ei=2MT0XrvGGM-vytMP1OyDgAY&amp;q=site%3Alinkedin.com+Megan+Eckart+College+Recruiter+GEICO" TargetMode="External"/><Relationship Id="rId1609" Type="http://schemas.openxmlformats.org/officeDocument/2006/relationships/hyperlink" Target="https://www.google.com/search?newwindow=1&amp;ei=2MT0XrvGGM-vytMP1OyDgAY&amp;q=site%3Alinkedin.com+Behnoosh+K+student+recruiter" TargetMode="External"/><Relationship Id="rId1631" Type="http://schemas.openxmlformats.org/officeDocument/2006/relationships/hyperlink" Target="https://www.google.com/search?newwindow=1&amp;ei=2MT0XrvGGM-vytMP1OyDgAY&amp;q=site%3Alinkedin.com+Heather+K.+Education+Programs+Student" TargetMode="External"/><Relationship Id="rId2962" Type="http://schemas.openxmlformats.org/officeDocument/2006/relationships/hyperlink" Target="https://www.google.com/search?newwindow=1&amp;ei=2MT0XrvGGM-vytMP1OyDgAY&amp;q=site%3Alinkedin.com+Lesley+Evans+Seattle+Regional+College+Recruiter+GEICO" TargetMode="External"/><Relationship Id="rId1632" Type="http://schemas.openxmlformats.org/officeDocument/2006/relationships/hyperlink" Target="https://www.google.com/search?newwindow=1&amp;ei=2MT0XrvGGM-vytMP1OyDgAY&amp;q=site%3Alinkedin.com+Justin+Mihaly+Co-Chair+of+Student+Senate+Caucus" TargetMode="External"/><Relationship Id="rId2963" Type="http://schemas.openxmlformats.org/officeDocument/2006/relationships/hyperlink" Target="https://www.google.com/search?newwindow=1&amp;ei=2MT0XrvGGM-vytMP1OyDgAY&amp;q=site%3Alinkedin.com+Jenni+Graham+Lead+Experienced+Recruiter+Deloitte" TargetMode="External"/><Relationship Id="rId1633" Type="http://schemas.openxmlformats.org/officeDocument/2006/relationships/hyperlink" Target="https://www.google.com/search?newwindow=1&amp;ei=2MT0XrvGGM-vytMP1OyDgAY&amp;q=site%3Alinkedin.com+Ari+Blicker+Director,+Student+&amp;+Associate+Programs" TargetMode="External"/><Relationship Id="rId2964" Type="http://schemas.openxmlformats.org/officeDocument/2006/relationships/hyperlink" Target="https://www.google.com/search?newwindow=1&amp;ei=2MT0XrvGGM-vytMP1OyDgAY&amp;q=site%3Alinkedin.com+Jared+McMillan+Northeast+College+Recruiter+GEICO" TargetMode="External"/><Relationship Id="rId1634" Type="http://schemas.openxmlformats.org/officeDocument/2006/relationships/hyperlink" Target="https://www.google.com/search?newwindow=1&amp;ei=2MT0XrvGGM-vytMP1OyDgAY&amp;q=site%3Alinkedin.com+Lewis+Waring+Summer+Student+(Manitoba+Infrastructure+-+Policy,+Programs+&amp;+Regulation)" TargetMode="External"/><Relationship Id="rId2965" Type="http://schemas.openxmlformats.org/officeDocument/2006/relationships/hyperlink" Target="https://www.google.com/search?newwindow=1&amp;ei=2MT0XrvGGM-vytMP1OyDgAY&amp;q=site%3Alinkedin.com+Melissa+Varkoly+Senior+Manager+-+Audit+Talent+Business+Advisor+Deloitte" TargetMode="External"/><Relationship Id="rId1635" Type="http://schemas.openxmlformats.org/officeDocument/2006/relationships/hyperlink" Target="https://www.google.com/search?newwindow=1&amp;ei=2MT0XrvGGM-vytMP1OyDgAY&amp;q=site%3Alinkedin.com+Kimberly+Daniels+Orientation+&amp;+Student+Life+Programs+Coordinator" TargetMode="External"/><Relationship Id="rId2966" Type="http://schemas.openxmlformats.org/officeDocument/2006/relationships/hyperlink" Target="https://www.google.com/search?newwindow=1&amp;ei=2MT0XrvGGM-vytMP1OyDgAY&amp;q=site%3Alinkedin.com+Sarah+Bergeron+Regional+Campus+Recruiter+GEICO" TargetMode="External"/><Relationship Id="rId1636" Type="http://schemas.openxmlformats.org/officeDocument/2006/relationships/hyperlink" Target="https://www.google.com/search?newwindow=1&amp;ei=2MT0XrvGGM-vytMP1OyDgAY&amp;q=site%3Alinkedin.com+Peter+Koutsokeris+Coordinator,+Orientation+&amp;+Transition+Programs" TargetMode="External"/><Relationship Id="rId2967" Type="http://schemas.openxmlformats.org/officeDocument/2006/relationships/hyperlink" Target="https://www.google.com/search?newwindow=1&amp;ei=2MT0XrvGGM-vytMP1OyDgAY&amp;q=site%3Alinkedin.com+Ashley+Josephson+Campus+Recruiting+Manager+-+Consulting+Deloitte" TargetMode="External"/><Relationship Id="rId1637" Type="http://schemas.openxmlformats.org/officeDocument/2006/relationships/hyperlink" Target="https://www.google.com/search?newwindow=1&amp;ei=2MT0XrvGGM-vytMP1OyDgAY&amp;q=site%3Alinkedin.com+Ayesha+R.+Student+Success+Programs+Assistant" TargetMode="External"/><Relationship Id="rId2968" Type="http://schemas.openxmlformats.org/officeDocument/2006/relationships/hyperlink" Target="https://www.google.com/search?newwindow=1&amp;ei=2MT0XrvGGM-vytMP1OyDgAY&amp;q=site%3Alinkedin.com+Allison+Hansen+Corporate+Campus+Recruiter+GEICO" TargetMode="External"/><Relationship Id="rId1638" Type="http://schemas.openxmlformats.org/officeDocument/2006/relationships/hyperlink" Target="https://www.google.com/search?newwindow=1&amp;ei=2MT0XrvGGM-vytMP1OyDgAY&amp;q=site%3Alinkedin.com+Claire+Fraser+Coordinator,+Student+&amp;+Legal+Professional+Programs" TargetMode="External"/><Relationship Id="rId2969" Type="http://schemas.openxmlformats.org/officeDocument/2006/relationships/hyperlink" Target="https://www.google.com/search?newwindow=1&amp;ei=2MT0XrvGGM-vytMP1OyDgAY&amp;q=site%3Alinkedin.com+Angela+Cottrell+Campus+Recruiter+Deloitte" TargetMode="External"/><Relationship Id="rId929" Type="http://schemas.openxmlformats.org/officeDocument/2006/relationships/hyperlink" Target="https://www.google.com/search?newwindow=1&amp;ei=2MT0XrvGGM-vytMP1OyDgAY&amp;q=site%3Alinkedin.com+Anita+Orr+Coordinator+-+Student+and+Programs" TargetMode="External"/><Relationship Id="rId1639" Type="http://schemas.openxmlformats.org/officeDocument/2006/relationships/hyperlink" Target="https://www.google.com/search?newwindow=1&amp;ei=2MT0XrvGGM-vytMP1OyDgAY&amp;q=site%3Alinkedin.com+Karen+Alexanian+Student+Employment+Programs+Coordinator" TargetMode="External"/><Relationship Id="rId928" Type="http://schemas.openxmlformats.org/officeDocument/2006/relationships/hyperlink" Target="https://www.google.com/search?newwindow=1&amp;ei=2MT0XrvGGM-vytMP1OyDgAY&amp;q=site%3Alinkedin.com+Rebekah+Gill+Experience+Community+Services+Program+-+Student+Supervisor" TargetMode="External"/><Relationship Id="rId927" Type="http://schemas.openxmlformats.org/officeDocument/2006/relationships/hyperlink" Target="https://www.google.com/search?newwindow=1&amp;ei=2MT0XrvGGM-vytMP1OyDgAY&amp;q=site%3Alinkedin.com+Kerryn+Wallace+Student+Recruitment" TargetMode="External"/><Relationship Id="rId926" Type="http://schemas.openxmlformats.org/officeDocument/2006/relationships/hyperlink" Target="https://www.google.com/search?newwindow=1&amp;ei=2MT0XrvGGM-vytMP1OyDgAY&amp;q=site%3Alinkedin.com+jenny+vanderzweep+Individual+Student+Programs+Coordinator" TargetMode="External"/><Relationship Id="rId921" Type="http://schemas.openxmlformats.org/officeDocument/2006/relationships/hyperlink" Target="https://www.google.com/search?newwindow=1&amp;ei=2MT0XrvGGM-vytMP1OyDgAY&amp;q=site%3Alinkedin.com+Ellen+Grouios+Program+Support+Student+Recruitment" TargetMode="External"/><Relationship Id="rId920" Type="http://schemas.openxmlformats.org/officeDocument/2006/relationships/hyperlink" Target="https://www.google.com/search?newwindow=1&amp;ei=2MT0XrvGGM-vytMP1OyDgAY&amp;q=site%3Alinkedin.com+Steven+Lingard+Coordinator+-+International+Student+Programs" TargetMode="External"/><Relationship Id="rId925" Type="http://schemas.openxmlformats.org/officeDocument/2006/relationships/hyperlink" Target="https://www.google.com/search?newwindow=1&amp;ei=2MT0XrvGGM-vytMP1OyDgAY&amp;q=site%3Alinkedin.com+Elise+Fraser+Lecturer+&amp;+Coordinator+Women's,+Men's+&amp;+Pelvic+Health+Physiotherapy+programs" TargetMode="External"/><Relationship Id="rId924" Type="http://schemas.openxmlformats.org/officeDocument/2006/relationships/hyperlink" Target="https://www.google.com/search?newwindow=1&amp;ei=2MT0XrvGGM-vytMP1OyDgAY&amp;q=site%3Alinkedin.com+Farahdiba+R+Bachtiar+Doctoral+Student" TargetMode="External"/><Relationship Id="rId923" Type="http://schemas.openxmlformats.org/officeDocument/2006/relationships/hyperlink" Target="https://www.google.com/search?newwindow=1&amp;ei=2MT0XrvGGM-vytMP1OyDgAY&amp;q=site%3Alinkedin.com+Louise+Crowe+Student+Programs+Coordinator" TargetMode="External"/><Relationship Id="rId922" Type="http://schemas.openxmlformats.org/officeDocument/2006/relationships/hyperlink" Target="https://www.google.com/search?newwindow=1&amp;ei=2MT0XrvGGM-vytMP1OyDgAY&amp;q=site%3Alinkedin.com+Sanober+Hossain+Student+Central+Hub+Coordinator" TargetMode="External"/><Relationship Id="rId2960" Type="http://schemas.openxmlformats.org/officeDocument/2006/relationships/hyperlink" Target="https://www.google.com/search?newwindow=1&amp;ei=2MT0XrvGGM-vytMP1OyDgAY&amp;q=site%3Alinkedin.com+Kathleen+Cruz+College+Recruiter+GEICO" TargetMode="External"/><Relationship Id="rId1630" Type="http://schemas.openxmlformats.org/officeDocument/2006/relationships/hyperlink" Target="https://www.google.com/search?newwindow=1&amp;ei=2MT0XrvGGM-vytMP1OyDgAY&amp;q=site%3Alinkedin.com+Heather+Kelly,+Ed.D+Executive+Director,+Student+Life+Programs+&amp;+Services,+University+of+Toronto" TargetMode="External"/><Relationship Id="rId2961" Type="http://schemas.openxmlformats.org/officeDocument/2006/relationships/hyperlink" Target="https://www.google.com/search?newwindow=1&amp;ei=2MT0XrvGGM-vytMP1OyDgAY&amp;q=site%3Alinkedin.com+Stephanie+Ryder+Campus+Recruiter+Deloitte" TargetMode="External"/><Relationship Id="rId1620" Type="http://schemas.openxmlformats.org/officeDocument/2006/relationships/hyperlink" Target="https://www.google.com/search?newwindow=1&amp;ei=2MT0XrvGGM-vytMP1OyDgAY&amp;q=site%3Alinkedin.com+Ruth+Durgy+Associate+&amp;+Student+Programs+Coordinator" TargetMode="External"/><Relationship Id="rId2951" Type="http://schemas.openxmlformats.org/officeDocument/2006/relationships/hyperlink" Target="https://www.google.com/search?newwindow=1&amp;ei=2MT0XrvGGM-vytMP1OyDgAY&amp;q=site%3Alinkedin.com+KC+Meehan+Campus+Recruiter+Deloitte" TargetMode="External"/><Relationship Id="rId1621" Type="http://schemas.openxmlformats.org/officeDocument/2006/relationships/hyperlink" Target="https://www.google.com/search?newwindow=1&amp;ei=2MT0XrvGGM-vytMP1OyDgAY&amp;q=site%3Alinkedin.com+Jenna+Nensi+Student+Researcher" TargetMode="External"/><Relationship Id="rId2952" Type="http://schemas.openxmlformats.org/officeDocument/2006/relationships/hyperlink" Target="https://www.google.com/search?newwindow=1&amp;ei=2MT0XrvGGM-vytMP1OyDgAY&amp;q=site%3Alinkedin.com+Danielle+Gallagher+Regional+College+Recruiter+GEICO" TargetMode="External"/><Relationship Id="rId1622" Type="http://schemas.openxmlformats.org/officeDocument/2006/relationships/hyperlink" Target="https://www.google.com/search?newwindow=1&amp;ei=2MT0XrvGGM-vytMP1OyDgAY&amp;q=site%3Alinkedin.com+Scott+Clarke+Associate+Director,+Student+Success+Programs,+Faculty+of+Arts+&amp;+Science" TargetMode="External"/><Relationship Id="rId2953" Type="http://schemas.openxmlformats.org/officeDocument/2006/relationships/hyperlink" Target="https://www.google.com/search?newwindow=1&amp;ei=2MT0XrvGGM-vytMP1OyDgAY&amp;q=site%3Alinkedin.com+Caroline+Grosso+Campus+Recruiter+Deloitte" TargetMode="External"/><Relationship Id="rId1623" Type="http://schemas.openxmlformats.org/officeDocument/2006/relationships/hyperlink" Target="https://www.google.com/search?newwindow=1&amp;ei=2MT0XrvGGM-vytMP1OyDgAY&amp;q=site%3Alinkedin.com+Mackenzie+P.+Student+Engagement+and+Equity+Programs+Assistant" TargetMode="External"/><Relationship Id="rId2954" Type="http://schemas.openxmlformats.org/officeDocument/2006/relationships/hyperlink" Target="https://www.google.com/search?newwindow=1&amp;ei=2MT0XrvGGM-vytMP1OyDgAY&amp;q=site%3Alinkedin.com+Cory+Wood+Regional+College+Recruiter+GEICO" TargetMode="External"/><Relationship Id="rId1624" Type="http://schemas.openxmlformats.org/officeDocument/2006/relationships/hyperlink" Target="https://www.google.com/search?newwindow=1&amp;ei=2MT0XrvGGM-vytMP1OyDgAY&amp;q=site%3Alinkedin.com+Emanuela+Varga+Intern+Exhibitions+and+Programs" TargetMode="External"/><Relationship Id="rId2955" Type="http://schemas.openxmlformats.org/officeDocument/2006/relationships/hyperlink" Target="https://www.google.com/search?newwindow=1&amp;ei=2MT0XrvGGM-vytMP1OyDgAY&amp;q=site%3Alinkedin.com+Casey+Comings+Senior+Campus+Recruiter+Deloitte" TargetMode="External"/><Relationship Id="rId1625" Type="http://schemas.openxmlformats.org/officeDocument/2006/relationships/hyperlink" Target="https://www.google.com/search?newwindow=1&amp;ei=2MT0XrvGGM-vytMP1OyDgAY&amp;q=site%3Alinkedin.com+Cheryl+Biehler+Assistant+Director,+Student+Programs+&amp;+Continuing+Legal+Education" TargetMode="External"/><Relationship Id="rId2956" Type="http://schemas.openxmlformats.org/officeDocument/2006/relationships/hyperlink" Target="https://www.google.com/search?newwindow=1&amp;ei=2MT0XrvGGM-vytMP1OyDgAY&amp;q=site%3Alinkedin.com+Beth+Moellers,+AINS+API+AIS+College+Recruiter+GEICO" TargetMode="External"/><Relationship Id="rId1626" Type="http://schemas.openxmlformats.org/officeDocument/2006/relationships/hyperlink" Target="https://www.google.com/search?newwindow=1&amp;ei=2MT0XrvGGM-vytMP1OyDgAY&amp;q=site%3Alinkedin.com+Mary+Stefanidis+Student+Success+Programs+Officer,+Faculty+of+Arts+&amp;+Science" TargetMode="External"/><Relationship Id="rId2957" Type="http://schemas.openxmlformats.org/officeDocument/2006/relationships/hyperlink" Target="https://www.google.com/search?newwindow=1&amp;ei=2MT0XrvGGM-vytMP1OyDgAY&amp;q=site%3Alinkedin.com+Catherine+Chavez+University+Recruiter+Deloitte" TargetMode="External"/><Relationship Id="rId1627" Type="http://schemas.openxmlformats.org/officeDocument/2006/relationships/hyperlink" Target="https://www.google.com/search?newwindow=1&amp;ei=2MT0XrvGGM-vytMP1OyDgAY&amp;q=site%3Alinkedin.com+Sarah+Memme+Student+Life+Coordinator,+Leadership+Programs" TargetMode="External"/><Relationship Id="rId2958" Type="http://schemas.openxmlformats.org/officeDocument/2006/relationships/hyperlink" Target="https://www.google.com/search?newwindow=1&amp;ei=2MT0XrvGGM-vytMP1OyDgAY&amp;q=site%3Alinkedin.com+Jill+Burner+Regional+College+Recruiter+GEICO" TargetMode="External"/><Relationship Id="rId918" Type="http://schemas.openxmlformats.org/officeDocument/2006/relationships/hyperlink" Target="https://www.google.com/search?newwindow=1&amp;ei=2MT0XrvGGM-vytMP1OyDgAY&amp;q=site%3Alinkedin.com+Costa+Englezos+Lecturer+in+Accounting,+Manager+of+Business+Student+Mentor+Programs" TargetMode="External"/><Relationship Id="rId1628" Type="http://schemas.openxmlformats.org/officeDocument/2006/relationships/hyperlink" Target="https://www.google.com/search?newwindow=1&amp;ei=2MT0XrvGGM-vytMP1OyDgAY&amp;q=site%3Alinkedin.com+Lisa+Weekes+Principal,+Care+and+Treatment+Programs+(Student+Services)" TargetMode="External"/><Relationship Id="rId2959" Type="http://schemas.openxmlformats.org/officeDocument/2006/relationships/hyperlink" Target="https://www.google.com/search?newwindow=1&amp;ei=2MT0XrvGGM-vytMP1OyDgAY&amp;q=site%3Alinkedin.com+Jade+Gingras+Campus+Recruiting+Specialist+Deloitte" TargetMode="External"/><Relationship Id="rId917" Type="http://schemas.openxmlformats.org/officeDocument/2006/relationships/hyperlink" Target="https://www.google.com/search?newwindow=1&amp;ei=2MT0XrvGGM-vytMP1OyDgAY&amp;q=site%3Alinkedin.com+Deb+Kane+International+Student+Programs+Officer" TargetMode="External"/><Relationship Id="rId1629" Type="http://schemas.openxmlformats.org/officeDocument/2006/relationships/hyperlink" Target="https://www.google.com/search?newwindow=1&amp;ei=2MT0XrvGGM-vytMP1OyDgAY&amp;q=site%3Alinkedin.com+Brittany+Cohen+Student+Development+Coordinator,+Career+Resources+&amp;+Online+Technology" TargetMode="External"/><Relationship Id="rId916" Type="http://schemas.openxmlformats.org/officeDocument/2006/relationships/hyperlink" Target="https://www.google.com/search?newwindow=1&amp;ei=2MT0XrvGGM-vytMP1OyDgAY&amp;q=site%3Alinkedin.com+Roula+Karakostas+Head,+Student+Recruitment+at+Deakin+University" TargetMode="External"/><Relationship Id="rId915" Type="http://schemas.openxmlformats.org/officeDocument/2006/relationships/hyperlink" Target="https://www.google.com/search?newwindow=1&amp;ei=2MT0XrvGGM-vytMP1OyDgAY&amp;q=site%3Alinkedin.com+Alana+Marriner+Student+Programs+Coordinator" TargetMode="External"/><Relationship Id="rId919" Type="http://schemas.openxmlformats.org/officeDocument/2006/relationships/hyperlink" Target="https://www.google.com/search?newwindow=1&amp;ei=2MT0XrvGGM-vytMP1OyDgAY&amp;q=site%3Alinkedin.com+Ruby+Lee+International+Student+Mobility+Programs" TargetMode="External"/><Relationship Id="rId910" Type="http://schemas.openxmlformats.org/officeDocument/2006/relationships/hyperlink" Target="https://www.google.com/search?newwindow=1&amp;ei=2MT0XrvGGM-vytMP1OyDgAY&amp;q=site%3Alinkedin.com+Mary+Rizza+Co-ordinator+-+Co-curricular+Programs+&amp;+Student+Learning" TargetMode="External"/><Relationship Id="rId914" Type="http://schemas.openxmlformats.org/officeDocument/2006/relationships/hyperlink" Target="https://www.google.com/search?newwindow=1&amp;ei=2MT0XrvGGM-vytMP1OyDgAY&amp;q=site%3Alinkedin.com+Melissa+Horvath+Student+Training+&amp;+Programs+Coordinator+-+Student+Engagement" TargetMode="External"/><Relationship Id="rId913" Type="http://schemas.openxmlformats.org/officeDocument/2006/relationships/hyperlink" Target="https://www.google.com/search?newwindow=1&amp;ei=2MT0XrvGGM-vytMP1OyDgAY&amp;q=site%3Alinkedin.com+Navya+Bala-Aiyer+Monash+Connect+Student+Officer" TargetMode="External"/><Relationship Id="rId912" Type="http://schemas.openxmlformats.org/officeDocument/2006/relationships/hyperlink" Target="https://www.google.com/search?newwindow=1&amp;ei=2MT0XrvGGM-vytMP1OyDgAY&amp;q=site%3Alinkedin.com+Katrina+D'Souza+Academic+Programs+Project+Manager,+Melbourne+Medical+School" TargetMode="External"/><Relationship Id="rId911" Type="http://schemas.openxmlformats.org/officeDocument/2006/relationships/hyperlink" Target="https://www.google.com/search?newwindow=1&amp;ei=2MT0XrvGGM-vytMP1OyDgAY&amp;q=site%3Alinkedin.com+Peter+C.+University+Online+Learning+Support+(Business+Law,+Accounting,+Management,+Economics,+Environment" TargetMode="External"/><Relationship Id="rId2950" Type="http://schemas.openxmlformats.org/officeDocument/2006/relationships/hyperlink" Target="https://www.google.com/search?newwindow=1&amp;ei=2MT0XrvGGM-vytMP1OyDgAY&amp;q=site%3Alinkedin.com+Darrius+Baker+GEICO+Diversity+and+Inclusion+Recruiter+GEICO" TargetMode="External"/><Relationship Id="rId2900" Type="http://schemas.openxmlformats.org/officeDocument/2006/relationships/hyperlink" Target="https://www.google.com/search?newwindow=1&amp;ei=2MT0XrvGGM-vytMP1OyDgAY&amp;q=site%3Alinkedin.com+Claire+McCaskey+University+Recruiter+Gartner" TargetMode="External"/><Relationship Id="rId2901" Type="http://schemas.openxmlformats.org/officeDocument/2006/relationships/hyperlink" Target="https://www.google.com/search?newwindow=1&amp;ei=2MT0XrvGGM-vytMP1OyDgAY&amp;q=site%3Alinkedin.com+Fleming+Longino+Campus+Recruiter+Deloitte" TargetMode="External"/><Relationship Id="rId2902" Type="http://schemas.openxmlformats.org/officeDocument/2006/relationships/hyperlink" Target="https://www.google.com/search?newwindow=1&amp;ei=2MT0XrvGGM-vytMP1OyDgAY&amp;q=site%3Alinkedin.com+Sarah+Dennis+Senior+University+Field+MBA+Recruiter+Gartner" TargetMode="External"/><Relationship Id="rId2903" Type="http://schemas.openxmlformats.org/officeDocument/2006/relationships/hyperlink" Target="https://www.google.com/search?newwindow=1&amp;ei=2MT0XrvGGM-vytMP1OyDgAY&amp;q=site%3Alinkedin.com+Gail+Lewis-Kelley+Campus+Recruiting+Manager+Deloitte" TargetMode="External"/><Relationship Id="rId2904" Type="http://schemas.openxmlformats.org/officeDocument/2006/relationships/hyperlink" Target="https://www.google.com/search?newwindow=1&amp;ei=2MT0XrvGGM-vytMP1OyDgAY&amp;q=site%3Alinkedin.com+Gracie+Enright+University+Recruiter,+Associate+Gartner" TargetMode="External"/><Relationship Id="rId2905" Type="http://schemas.openxmlformats.org/officeDocument/2006/relationships/hyperlink" Target="https://www.google.com/search?newwindow=1&amp;ei=2MT0XrvGGM-vytMP1OyDgAY&amp;q=site%3Alinkedin.com+Danica+DeVito+Experienced+Hire+Recruiter+Deloitte" TargetMode="External"/><Relationship Id="rId2906" Type="http://schemas.openxmlformats.org/officeDocument/2006/relationships/hyperlink" Target="https://www.google.com/search?newwindow=1&amp;ei=2MT0XrvGGM-vytMP1OyDgAY&amp;q=site%3Alinkedin.com+Jackie+Potter+Sr.+University+Recruiter+Gartner" TargetMode="External"/><Relationship Id="rId2907" Type="http://schemas.openxmlformats.org/officeDocument/2006/relationships/hyperlink" Target="https://www.google.com/search?newwindow=1&amp;ei=2MT0XrvGGM-vytMP1OyDgAY&amp;q=site%3Alinkedin.com+Amy+Curtin+Human+Capital+Recruiting+Manager+Deloitte" TargetMode="External"/><Relationship Id="rId2908" Type="http://schemas.openxmlformats.org/officeDocument/2006/relationships/hyperlink" Target="https://www.google.com/search?newwindow=1&amp;ei=2MT0XrvGGM-vytMP1OyDgAY&amp;q=site%3Alinkedin.com+Gillian+Fecht+Healthcare+Digital+FP&amp;A+Reporting+&amp;+Ops+Manager+GE" TargetMode="External"/><Relationship Id="rId2909" Type="http://schemas.openxmlformats.org/officeDocument/2006/relationships/hyperlink" Target="https://www.google.com/search?newwindow=1&amp;ei=2MT0XrvGGM-vytMP1OyDgAY&amp;q=site%3Alinkedin.com+Marie+Hoyt+Senior+Campus+Recruiter+Deloitte" TargetMode="External"/><Relationship Id="rId2920" Type="http://schemas.openxmlformats.org/officeDocument/2006/relationships/hyperlink" Target="https://www.google.com/search?newwindow=1&amp;ei=2MT0XrvGGM-vytMP1OyDgAY&amp;q=site%3Alinkedin.com+Justin+Norris+Transport+Intelligence+-+Senior+Engineering+Manager+-+Integration+Engineering+GE+Transportation" TargetMode="External"/><Relationship Id="rId2921" Type="http://schemas.openxmlformats.org/officeDocument/2006/relationships/hyperlink" Target="https://www.google.com/search?newwindow=1&amp;ei=2MT0XrvGGM-vytMP1OyDgAY&amp;q=site%3Alinkedin.com+Kerri+Oliveira+Campus+Recruiter+Deloitte" TargetMode="External"/><Relationship Id="rId2922" Type="http://schemas.openxmlformats.org/officeDocument/2006/relationships/hyperlink" Target="https://www.google.com/search?newwindow=1&amp;ei=2MT0XrvGGM-vytMP1OyDgAY&amp;q=site%3Alinkedin.com+Latrell+Tyson+College+Recruiter+GEICO" TargetMode="External"/><Relationship Id="rId2923" Type="http://schemas.openxmlformats.org/officeDocument/2006/relationships/hyperlink" Target="https://www.google.com/search?newwindow=1&amp;ei=2MT0XrvGGM-vytMP1OyDgAY&amp;q=site%3Alinkedin.com+Justine+Ramsey,+MBA+Sr.+National+College+Recruiter+GEICO" TargetMode="External"/><Relationship Id="rId2924" Type="http://schemas.openxmlformats.org/officeDocument/2006/relationships/hyperlink" Target="https://www.google.com/search?newwindow=1&amp;ei=2MT0XrvGGM-vytMP1OyDgAY&amp;q=site%3Alinkedin.com+Kelli+Bakopanos+(Speidel)+Federal+Campus+Recruiting+Senior+Manager+Deloitte" TargetMode="External"/><Relationship Id="rId2925" Type="http://schemas.openxmlformats.org/officeDocument/2006/relationships/hyperlink" Target="https://www.google.com/search?newwindow=1&amp;ei=2MT0XrvGGM-vytMP1OyDgAY&amp;q=site%3Alinkedin.com+Taylor+Beatty+Regional+Campus+Recruiter+GEICO" TargetMode="External"/><Relationship Id="rId2926" Type="http://schemas.openxmlformats.org/officeDocument/2006/relationships/hyperlink" Target="https://www.google.com/search?newwindow=1&amp;ei=2MT0XrvGGM-vytMP1OyDgAY&amp;q=site%3Alinkedin.com+Anadelia+Garcia+Campus+Recruiting+Manager+-+Central+Region+Deloitte" TargetMode="External"/><Relationship Id="rId2927" Type="http://schemas.openxmlformats.org/officeDocument/2006/relationships/hyperlink" Target="https://www.google.com/search?newwindow=1&amp;ei=2MT0XrvGGM-vytMP1OyDgAY&amp;q=site%3Alinkedin.com+Toni+Kontos+Campus+Recruiter+GEICO" TargetMode="External"/><Relationship Id="rId2928" Type="http://schemas.openxmlformats.org/officeDocument/2006/relationships/hyperlink" Target="https://www.google.com/search?newwindow=1&amp;ei=2MT0XrvGGM-vytMP1OyDgAY&amp;q=site%3Alinkedin.com+Elizabeth+Potter+Senior+University+Recruiter+Deloitte" TargetMode="External"/><Relationship Id="rId2929" Type="http://schemas.openxmlformats.org/officeDocument/2006/relationships/hyperlink" Target="https://www.google.com/search?newwindow=1&amp;ei=2MT0XrvGGM-vytMP1OyDgAY&amp;q=site%3Alinkedin.com+Melissa+Lynne,+CPCU+Recruiting+Systems+Analyst+GEICO" TargetMode="External"/><Relationship Id="rId2910" Type="http://schemas.openxmlformats.org/officeDocument/2006/relationships/hyperlink" Target="https://www.google.com/search?newwindow=1&amp;ei=2MT0XrvGGM-vytMP1OyDgAY&amp;q=site%3Alinkedin.com+Eva+(Reiter)+Jansen+Senior+Sourcing+Manager+-+NPI+Transition,+Electromechanical+Components+GE+Aviation" TargetMode="External"/><Relationship Id="rId2911" Type="http://schemas.openxmlformats.org/officeDocument/2006/relationships/hyperlink" Target="https://www.google.com/search?newwindow=1&amp;ei=2MT0XrvGGM-vytMP1OyDgAY&amp;q=site%3Alinkedin.com+Kelly+Swartzfager+Campus+Recruiter+Deloitte" TargetMode="External"/><Relationship Id="rId2912" Type="http://schemas.openxmlformats.org/officeDocument/2006/relationships/hyperlink" Target="https://www.google.com/search?newwindow=1&amp;ei=2MT0XrvGGM-vytMP1OyDgAY&amp;q=site%3Alinkedin.com+Kevin+Fritz+Region+Business+Manager,+Computed+Tomography+GE+Healthcare" TargetMode="External"/><Relationship Id="rId2913" Type="http://schemas.openxmlformats.org/officeDocument/2006/relationships/hyperlink" Target="https://www.google.com/search?newwindow=1&amp;ei=2MT0XrvGGM-vytMP1OyDgAY&amp;q=site%3Alinkedin.com+Rebecca+Maddox+Senior+Campus+Recruiter+Deloitte" TargetMode="External"/><Relationship Id="rId2914" Type="http://schemas.openxmlformats.org/officeDocument/2006/relationships/hyperlink" Target="https://www.google.com/search?newwindow=1&amp;ei=2MT0XrvGGM-vytMP1OyDgAY&amp;q=site%3Alinkedin.com+Greg+Herman+Global+Logistics+Finance+Manager+GE+Healthcare" TargetMode="External"/><Relationship Id="rId2915" Type="http://schemas.openxmlformats.org/officeDocument/2006/relationships/hyperlink" Target="https://www.google.com/search?newwindow=1&amp;ei=2MT0XrvGGM-vytMP1OyDgAY&amp;q=site%3Alinkedin.com+Amanda+Runnalls+Campus+Recruiter+Deloitte" TargetMode="External"/><Relationship Id="rId2916" Type="http://schemas.openxmlformats.org/officeDocument/2006/relationships/hyperlink" Target="https://www.google.com/search?newwindow=1&amp;ei=2MT0XrvGGM-vytMP1OyDgAY&amp;q=site%3Alinkedin.com+Argyle+Sects+Recruiter+GE+Oil+&amp;+Gas" TargetMode="External"/><Relationship Id="rId2917" Type="http://schemas.openxmlformats.org/officeDocument/2006/relationships/hyperlink" Target="https://www.google.com/search?newwindow=1&amp;ei=2MT0XrvGGM-vytMP1OyDgAY&amp;q=site%3Alinkedin.com+Dolorez+Dumas-Aris+Campus+Recruiting+Manager+Deloitte" TargetMode="External"/><Relationship Id="rId2918" Type="http://schemas.openxmlformats.org/officeDocument/2006/relationships/hyperlink" Target="https://www.google.com/search?newwindow=1&amp;ei=2MT0XrvGGM-vytMP1OyDgAY&amp;q=site%3Alinkedin.com+Susan+Moore+Senior+Product+Delivery+Manager,+Solution+Data+Architect+GE+Renewable+Energy" TargetMode="External"/><Relationship Id="rId2919" Type="http://schemas.openxmlformats.org/officeDocument/2006/relationships/hyperlink" Target="https://www.google.com/search?newwindow=1&amp;ei=2MT0XrvGGM-vytMP1OyDgAY&amp;q=site%3Alinkedin.com+Divya+Shenoy+Campus+Recruiting+Manager+Deloitte" TargetMode="External"/><Relationship Id="rId1697" Type="http://schemas.openxmlformats.org/officeDocument/2006/relationships/hyperlink" Target="https://www.google.com/search?newwindow=1&amp;ei=2MT0XrvGGM-vytMP1OyDgAY&amp;q=site%3Alinkedin.com+Bryony+Bunker+University+Recruiter" TargetMode="External"/><Relationship Id="rId1698" Type="http://schemas.openxmlformats.org/officeDocument/2006/relationships/hyperlink" Target="https://www.google.com/search?newwindow=1&amp;ei=2MT0XrvGGM-vytMP1OyDgAY&amp;q=site%3Alinkedin.com+angela+zavidei+Student+Programs+Tech+Recruiter+EMEA" TargetMode="External"/><Relationship Id="rId1699" Type="http://schemas.openxmlformats.org/officeDocument/2006/relationships/hyperlink" Target="https://www.google.com/search?newwindow=1&amp;ei=2MT0XrvGGM-vytMP1OyDgAY&amp;q=site%3Alinkedin.com+Jessica+Majevadia+EMEA+Student+Programs+Recruitment+Coordinator" TargetMode="External"/><Relationship Id="rId866" Type="http://schemas.openxmlformats.org/officeDocument/2006/relationships/hyperlink" Target="https://www.google.com/search?newwindow=1&amp;ei=2MT0XrvGGM-vytMP1OyDgAY&amp;q=site%3Alinkedin.com+Ash+Knight+Owner+/+Founder+/+Recruiter+(SaaS,+Graduate,+Sales,+Marketing+&amp;+Operations+Recruitment+&amp;+Rec2Rec)" TargetMode="External"/><Relationship Id="rId865" Type="http://schemas.openxmlformats.org/officeDocument/2006/relationships/hyperlink" Target="https://www.google.com/search?newwindow=1&amp;ei=2MT0XrvGGM-vytMP1OyDgAY&amp;q=site%3Alinkedin.com+Shannon+Healey+Permanent+Placement+Helathcare+Recruiter" TargetMode="External"/><Relationship Id="rId864" Type="http://schemas.openxmlformats.org/officeDocument/2006/relationships/hyperlink" Target="https://www.google.com/search?newwindow=1&amp;ei=2MT0XrvGGM-vytMP1OyDgAY&amp;q=site%3Alinkedin.com+Nicholas+Lloyd+Graduate+Recruitment+and+University+Partnerships" TargetMode="External"/><Relationship Id="rId863" Type="http://schemas.openxmlformats.org/officeDocument/2006/relationships/hyperlink" Target="https://www.google.com/search?newwindow=1&amp;ei=2MT0XrvGGM-vytMP1OyDgAY&amp;q=site%3Alinkedin.com+Anna+Longar+Associate+Director,+University+Recruiting" TargetMode="External"/><Relationship Id="rId869" Type="http://schemas.openxmlformats.org/officeDocument/2006/relationships/hyperlink" Target="https://www.google.com/search?newwindow=1&amp;ei=2MT0XrvGGM-vytMP1OyDgAY&amp;q=site%3Alinkedin.com+Matthew+Williamson+Head+of+University+Recruitment" TargetMode="External"/><Relationship Id="rId868" Type="http://schemas.openxmlformats.org/officeDocument/2006/relationships/hyperlink" Target="https://www.google.com/search?newwindow=1&amp;ei=2MT0XrvGGM-vytMP1OyDgAY&amp;q=site%3Alinkedin.com+Damian+Cripps+Network+Graduate+and+Apprentice+Support+Manager" TargetMode="External"/><Relationship Id="rId867" Type="http://schemas.openxmlformats.org/officeDocument/2006/relationships/hyperlink" Target="https://www.google.com/search?newwindow=1&amp;ei=2MT0XrvGGM-vytMP1OyDgAY&amp;q=site%3Alinkedin.com+Charlotte+Curle+University+Recruiter" TargetMode="External"/><Relationship Id="rId1690" Type="http://schemas.openxmlformats.org/officeDocument/2006/relationships/hyperlink" Target="https://www.google.com/search?newwindow=1&amp;ei=2MT0XrvGGM-vytMP1OyDgAY&amp;q=site%3Alinkedin.com+Mark+Gallagher+University+Graduate+Recruiter" TargetMode="External"/><Relationship Id="rId1691" Type="http://schemas.openxmlformats.org/officeDocument/2006/relationships/hyperlink" Target="https://www.google.com/search?newwindow=1&amp;ei=2MT0XrvGGM-vytMP1OyDgAY&amp;q=site%3Alinkedin.com+Lui+DelVerto+University+Recruiter" TargetMode="External"/><Relationship Id="rId1692" Type="http://schemas.openxmlformats.org/officeDocument/2006/relationships/hyperlink" Target="https://www.google.com/search?newwindow=1&amp;ei=2MT0XrvGGM-vytMP1OyDgAY&amp;q=site%3Alinkedin.com+Yahya+Safi+Graduate+Recruiter" TargetMode="External"/><Relationship Id="rId862" Type="http://schemas.openxmlformats.org/officeDocument/2006/relationships/hyperlink" Target="https://www.google.com/search?newwindow=1&amp;ei=2MT0XrvGGM-vytMP1OyDgAY&amp;q=site%3Alinkedin.com+Rene'+Newsome+Campus+Recruiting+Manager" TargetMode="External"/><Relationship Id="rId1693" Type="http://schemas.openxmlformats.org/officeDocument/2006/relationships/hyperlink" Target="https://www.google.com/search?newwindow=1&amp;ei=2MT0XrvGGM-vytMP1OyDgAY&amp;q=site%3Alinkedin.com+Olivia+Marsden+Graduate+Recruitment+Lead" TargetMode="External"/><Relationship Id="rId861" Type="http://schemas.openxmlformats.org/officeDocument/2006/relationships/hyperlink" Target="https://www.google.com/search?newwindow=1&amp;ei=2MT0XrvGGM-vytMP1OyDgAY&amp;q=site%3Alinkedin.com+Marsha+Hinckley-Christie+West+Area+Director+of+Campus+Recruiting" TargetMode="External"/><Relationship Id="rId1694" Type="http://schemas.openxmlformats.org/officeDocument/2006/relationships/hyperlink" Target="https://www.google.com/search?newwindow=1&amp;ei=2MT0XrvGGM-vytMP1OyDgAY&amp;q=site%3Alinkedin.com+Surabhi+Kapoor+Campus+Recruiter" TargetMode="External"/><Relationship Id="rId860" Type="http://schemas.openxmlformats.org/officeDocument/2006/relationships/hyperlink" Target="https://www.google.com/search?newwindow=1&amp;ei=2MT0XrvGGM-vytMP1OyDgAY&amp;q=site%3Alinkedin.com+Mike+Gunter+Campus+Recruiting" TargetMode="External"/><Relationship Id="rId1695" Type="http://schemas.openxmlformats.org/officeDocument/2006/relationships/hyperlink" Target="https://www.google.com/search?newwindow=1&amp;ei=2MT0XrvGGM-vytMP1OyDgAY&amp;q=site%3Alinkedin.com+Lisa+O'+Connell+College+Recruiter" TargetMode="External"/><Relationship Id="rId1696" Type="http://schemas.openxmlformats.org/officeDocument/2006/relationships/hyperlink" Target="https://www.google.com/search?newwindow=1&amp;ei=2MT0XrvGGM-vytMP1OyDgAY&amp;q=site%3Alinkedin.com+Charlotte+Rose+DE+&amp;+UK+Campus+Recruitment+Manager" TargetMode="External"/><Relationship Id="rId1686" Type="http://schemas.openxmlformats.org/officeDocument/2006/relationships/hyperlink" Target="https://www.google.com/search?newwindow=1&amp;ei=2MT0XrvGGM-vytMP1OyDgAY&amp;q=site%3Alinkedin.com+Lucy+Kemp+University+Recruiter" TargetMode="External"/><Relationship Id="rId1687" Type="http://schemas.openxmlformats.org/officeDocument/2006/relationships/hyperlink" Target="https://www.google.com/search?newwindow=1&amp;ei=2MT0XrvGGM-vytMP1OyDgAY&amp;q=site%3Alinkedin.com+Kouther+Husain+Graduate+Recruiter" TargetMode="External"/><Relationship Id="rId1688" Type="http://schemas.openxmlformats.org/officeDocument/2006/relationships/hyperlink" Target="https://www.google.com/search?newwindow=1&amp;ei=2MT0XrvGGM-vytMP1OyDgAY&amp;q=site%3Alinkedin.com+Jessica+Plant+University+Recruiter" TargetMode="External"/><Relationship Id="rId1689" Type="http://schemas.openxmlformats.org/officeDocument/2006/relationships/hyperlink" Target="https://www.google.com/search?newwindow=1&amp;ei=2MT0XrvGGM-vytMP1OyDgAY&amp;q=site%3Alinkedin.com+Joshua+Voisey+Graduate+Recruiter" TargetMode="External"/><Relationship Id="rId855" Type="http://schemas.openxmlformats.org/officeDocument/2006/relationships/hyperlink" Target="https://www.google.com/search?newwindow=1&amp;ei=2MT0XrvGGM-vytMP1OyDgAY&amp;q=site%3Alinkedin.com+Liz+Trevor+Primary+Recruiting+Manager+for+LA/OC+Advisory:+Campus+Recruiting" TargetMode="External"/><Relationship Id="rId854" Type="http://schemas.openxmlformats.org/officeDocument/2006/relationships/hyperlink" Target="https://www.google.com/search?newwindow=1&amp;ei=2MT0XrvGGM-vytMP1OyDgAY&amp;q=site%3Alinkedin.com+Hanna+Murphy+Campus+Recruiting+Coordinator" TargetMode="External"/><Relationship Id="rId853" Type="http://schemas.openxmlformats.org/officeDocument/2006/relationships/hyperlink" Target="https://www.google.com/search?newwindow=1&amp;ei=2MT0XrvGGM-vytMP1OyDgAY&amp;q=site%3Alinkedin.com+Sophia+Gooden+Campus+Recruiting+Specialist++%7C++Deloitte+Consulting++%7C++Technology" TargetMode="External"/><Relationship Id="rId852" Type="http://schemas.openxmlformats.org/officeDocument/2006/relationships/hyperlink" Target="https://www.google.com/search?newwindow=1&amp;ei=2MT0XrvGGM-vytMP1OyDgAY&amp;q=site%3Alinkedin.com+Jackie+Devitt+Assistant+Director+-+Campus+Recruiting" TargetMode="External"/><Relationship Id="rId859" Type="http://schemas.openxmlformats.org/officeDocument/2006/relationships/hyperlink" Target="https://www.google.com/search?newwindow=1&amp;ei=2MT0XrvGGM-vytMP1OyDgAY&amp;q=site%3Alinkedin.com+Shannon+Kaiser+Campus+Recruiting+Manager" TargetMode="External"/><Relationship Id="rId858" Type="http://schemas.openxmlformats.org/officeDocument/2006/relationships/hyperlink" Target="https://www.google.com/search?newwindow=1&amp;ei=2MT0XrvGGM-vytMP1OyDgAY&amp;q=site%3Alinkedin.com+Necia+Dunlap+Business+Unit+Coordinator" TargetMode="External"/><Relationship Id="rId857" Type="http://schemas.openxmlformats.org/officeDocument/2006/relationships/hyperlink" Target="https://www.google.com/search?newwindow=1&amp;ei=2MT0XrvGGM-vytMP1OyDgAY&amp;q=site%3Alinkedin.com+Gabriella+Campos+Mariani+Senior+Campus+Recruiting+Specialist" TargetMode="External"/><Relationship Id="rId856" Type="http://schemas.openxmlformats.org/officeDocument/2006/relationships/hyperlink" Target="https://www.google.com/search?newwindow=1&amp;ei=2MT0XrvGGM-vytMP1OyDgAY&amp;q=site%3Alinkedin.com+Angela+Wong+Pacific+Southwest+Business+Unit+Lead,+Tax+Campus+Recruiting" TargetMode="External"/><Relationship Id="rId1680" Type="http://schemas.openxmlformats.org/officeDocument/2006/relationships/hyperlink" Target="https://www.google.com/search?newwindow=1&amp;ei=2MT0XrvGGM-vytMP1OyDgAY&amp;q=site%3Alinkedin.com+Raksha+Patel+EMEA+Campus+Recruitment+Manager" TargetMode="External"/><Relationship Id="rId1681" Type="http://schemas.openxmlformats.org/officeDocument/2006/relationships/hyperlink" Target="https://www.google.com/search?newwindow=1&amp;ei=2MT0XrvGGM-vytMP1OyDgAY&amp;q=site%3Alinkedin.com+Damien+Hughes+Student+Systems+Recruiter" TargetMode="External"/><Relationship Id="rId851" Type="http://schemas.openxmlformats.org/officeDocument/2006/relationships/hyperlink" Target="https://www.google.com/search?newwindow=1&amp;ei=2MT0XrvGGM-vytMP1OyDgAY&amp;q=site%3Alinkedin.com+Laura+Tapia+Campus+Recruiting+Specialist" TargetMode="External"/><Relationship Id="rId1682" Type="http://schemas.openxmlformats.org/officeDocument/2006/relationships/hyperlink" Target="https://www.google.com/search?newwindow=1&amp;ei=2MT0XrvGGM-vytMP1OyDgAY&amp;q=site%3Alinkedin.com+TS+Tong+UK+&amp;+APAC+Graduate+Recruiter" TargetMode="External"/><Relationship Id="rId850" Type="http://schemas.openxmlformats.org/officeDocument/2006/relationships/hyperlink" Target="https://www.google.com/search?newwindow=1&amp;ei=2MT0XrvGGM-vytMP1OyDgAY&amp;q=site%3Alinkedin.com+Francesca+Jones+Campus+Recruiting+Leader+-+Financial+Services+Organization" TargetMode="External"/><Relationship Id="rId1683" Type="http://schemas.openxmlformats.org/officeDocument/2006/relationships/hyperlink" Target="https://www.google.com/search?newwindow=1&amp;ei=2MT0XrvGGM-vytMP1OyDgAY&amp;q=site%3Alinkedin.com+Matthew+Sherman+Sales+&amp;+Graduate+Recruiter" TargetMode="External"/><Relationship Id="rId1684" Type="http://schemas.openxmlformats.org/officeDocument/2006/relationships/hyperlink" Target="https://www.google.com/search?newwindow=1&amp;ei=2MT0XrvGGM-vytMP1OyDgAY&amp;q=site%3Alinkedin.com+Raj+Dhaliwal+Graduate+Recruiter" TargetMode="External"/><Relationship Id="rId1685" Type="http://schemas.openxmlformats.org/officeDocument/2006/relationships/hyperlink" Target="https://www.google.com/search?newwindow=1&amp;ei=2MT0XrvGGM-vytMP1OyDgAY&amp;q=site%3Alinkedin.com+Jamie+Cowling+Graduate+Recruiter" TargetMode="External"/><Relationship Id="rId3414" Type="http://schemas.openxmlformats.org/officeDocument/2006/relationships/hyperlink" Target="https://www.google.com/search?newwindow=1&amp;ei=2MT0XrvGGM-vytMP1OyDgAY&amp;q=site%3Alinkedin.com+Jessie+King+University+Recruiter+-+Southeast+Territory+Gartner" TargetMode="External"/><Relationship Id="rId3413" Type="http://schemas.openxmlformats.org/officeDocument/2006/relationships/hyperlink" Target="https://www.google.com/search?newwindow=1&amp;ei=2MT0XrvGGM-vytMP1OyDgAY&amp;q=site%3Alinkedin.com+Auri+Morris+Manager,+Campus+Recruiting+Liberty+Mutual+Insurance" TargetMode="External"/><Relationship Id="rId3416" Type="http://schemas.openxmlformats.org/officeDocument/2006/relationships/hyperlink" Target="https://www.google.com/search?newwindow=1&amp;ei=2MT0XrvGGM-vytMP1OyDgAY&amp;q=site%3Alinkedin.com+Stephanie+Scott+Campus+Recruiter+Gartner" TargetMode="External"/><Relationship Id="rId3415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3418" Type="http://schemas.openxmlformats.org/officeDocument/2006/relationships/hyperlink" Target="https://www.google.com/search?newwindow=1&amp;ei=2MT0XrvGGM-vytMP1OyDgAY&amp;q=site%3Alinkedin.com+Austin+Closs+Senior+University+Recruiter+Gartner" TargetMode="External"/><Relationship Id="rId3417" Type="http://schemas.openxmlformats.org/officeDocument/2006/relationships/hyperlink" Target="https://www.google.com/search?newwindow=1&amp;ei=2MT0XrvGGM-vytMP1OyDgAY&amp;q=site%3Alinkedin.com+Courtney+Capano+Campus+Recruiter,+Talent+&amp;+Enterprise+Services+Liberty+Mutual+Insurance" TargetMode="External"/><Relationship Id="rId3419" Type="http://schemas.openxmlformats.org/officeDocument/2006/relationships/hyperlink" Target="https://www.google.com/search?newwindow=1&amp;ei=2MT0XrvGGM-vytMP1OyDgAY&amp;q=site%3Alinkedin.com+Alina+Vela+Campus+Recruiter+Liberty+Mutual+Insurance" TargetMode="External"/><Relationship Id="rId888" Type="http://schemas.openxmlformats.org/officeDocument/2006/relationships/hyperlink" Target="https://www.google.com/search?newwindow=1&amp;ei=2MT0XrvGGM-vytMP1OyDgAY&amp;q=site%3Alinkedin.com+Kerry+Watson+Coordinator+of+Student+Services+(Primary+Programs)" TargetMode="External"/><Relationship Id="rId887" Type="http://schemas.openxmlformats.org/officeDocument/2006/relationships/hyperlink" Target="https://www.google.com/search?newwindow=1&amp;ei=2MT0XrvGGM-vytMP1OyDgAY&amp;q=site%3Alinkedin.com+Aaron+Hendrickson+Senior+Manager,+Campus+Recruiting" TargetMode="External"/><Relationship Id="rId886" Type="http://schemas.openxmlformats.org/officeDocument/2006/relationships/hyperlink" Target="https://www.google.com/search?newwindow=1&amp;ei=2MT0XrvGGM-vytMP1OyDgAY&amp;q=site%3Alinkedin.com+Kelli+Bakopanos+(Speidel)+Federal+Campus+Recruiting+Senior+Manager" TargetMode="External"/><Relationship Id="rId885" Type="http://schemas.openxmlformats.org/officeDocument/2006/relationships/hyperlink" Target="https://www.google.com/search?newwindow=1&amp;ei=2MT0XrvGGM-vytMP1OyDgAY&amp;q=site%3Alinkedin.com+Rheanna+Martino+Assistant+Director,+Talent+Attraction+&amp;+Acquisition+%E2%80%93+Campus+Recruiting" TargetMode="External"/><Relationship Id="rId889" Type="http://schemas.openxmlformats.org/officeDocument/2006/relationships/hyperlink" Target="https://www.google.com/search?newwindow=1&amp;ei=2MT0XrvGGM-vytMP1OyDgAY&amp;q=site%3Alinkedin.com+Maggie+Mansfield+Campus+Recruiting+Coordinator" TargetMode="External"/><Relationship Id="rId880" Type="http://schemas.openxmlformats.org/officeDocument/2006/relationships/hyperlink" Target="https://www.google.com/search?newwindow=1&amp;ei=2MT0XrvGGM-vytMP1OyDgAY&amp;q=site%3Alinkedin.com+Anuja+J.+Programs+Specialist,+Member+and+Student+Experience" TargetMode="External"/><Relationship Id="rId884" Type="http://schemas.openxmlformats.org/officeDocument/2006/relationships/hyperlink" Target="https://www.google.com/search?newwindow=1&amp;ei=2MT0XrvGGM-vytMP1OyDgAY&amp;q=site%3Alinkedin.com+De'Shay+Turner+Campus+Recruiting+Supervising+Associate" TargetMode="External"/><Relationship Id="rId3410" Type="http://schemas.openxmlformats.org/officeDocument/2006/relationships/hyperlink" Target="https://www.google.com/search?newwindow=1&amp;ei=2MT0XrvGGM-vytMP1OyDgAY&amp;q=site%3Alinkedin.com+Tiffany+Taylor+Campus+Recruiter+Liberty+Mutual+Insurance" TargetMode="External"/><Relationship Id="rId883" Type="http://schemas.openxmlformats.org/officeDocument/2006/relationships/hyperlink" Target="https://www.google.com/search?newwindow=1&amp;ei=2MT0XrvGGM-vytMP1OyDgAY&amp;q=site%3Alinkedin.com+Amanda+Moir+Internal+Recruitment+Executive+%7C+Candidate+Acquisition+Specialist+%7C+Graduate+Recruiter" TargetMode="External"/><Relationship Id="rId882" Type="http://schemas.openxmlformats.org/officeDocument/2006/relationships/hyperlink" Target="https://www.google.com/search?newwindow=1&amp;ei=2MT0XrvGGM-vytMP1OyDgAY&amp;q=site%3Alinkedin.com+Kelly+Chen+International+Student+Programs+Assistant" TargetMode="External"/><Relationship Id="rId3412" Type="http://schemas.openxmlformats.org/officeDocument/2006/relationships/hyperlink" Target="https://www.google.com/search?newwindow=1&amp;ei=2MT0XrvGGM-vytMP1OyDgAY&amp;q=site%3Alinkedin.com+Elizabeth+Baldridge+University+Relations+Recruiter+Garmin+International" TargetMode="External"/><Relationship Id="rId881" Type="http://schemas.openxmlformats.org/officeDocument/2006/relationships/hyperlink" Target="https://www.google.com/search?newwindow=1&amp;ei=2MT0XrvGGM-vytMP1OyDgAY&amp;q=site%3Alinkedin.com+Tiffany+Kwok+Placement+Student" TargetMode="External"/><Relationship Id="rId3411" Type="http://schemas.openxmlformats.org/officeDocument/2006/relationships/hyperlink" Target="https://www.google.com/search?newwindow=1&amp;ei=2MT0XrvGGM-vytMP1OyDgAY&amp;q=site%3Alinkedin.com+Ray'+Vion+Collins+Campus+Recruiter+Liberty+Mutual+Insurance" TargetMode="External"/><Relationship Id="rId3403" Type="http://schemas.openxmlformats.org/officeDocument/2006/relationships/hyperlink" Target="https://www.google.com/search?newwindow=1&amp;ei=2MT0XrvGGM-vytMP1OyDgAY&amp;q=site%3Alinkedin.com+Allison+Campbell+Campus+Recruiter+Intern+Liberty+Mutual+Insurance" TargetMode="External"/><Relationship Id="rId3402" Type="http://schemas.openxmlformats.org/officeDocument/2006/relationships/hyperlink" Target="https://www.google.com/search?newwindow=1&amp;ei=2MT0XrvGGM-vytMP1OyDgAY&amp;q=site%3Alinkedin.com+Jack+Thomas+MSU+Campus+Recruiter+Ford+Motor+Company" TargetMode="External"/><Relationship Id="rId3405" Type="http://schemas.openxmlformats.org/officeDocument/2006/relationships/hyperlink" Target="https://www.google.com/search?newwindow=1&amp;ei=2MT0XrvGGM-vytMP1OyDgAY&amp;q=site%3Alinkedin.com+Jen+Larson+University+Relations+Recruiter+Garmin" TargetMode="External"/><Relationship Id="rId3404" Type="http://schemas.openxmlformats.org/officeDocument/2006/relationships/hyperlink" Target="https://www.google.com/search?newwindow=1&amp;ei=2MT0XrvGGM-vytMP1OyDgAY&amp;q=site%3Alinkedin.com+Jacquitta+Pool+Diversity+and+Inclusion+Associate+Program+Manager,+Campus+Recruiting+Liberty+Mutual+Insurance" TargetMode="External"/><Relationship Id="rId3407" Type="http://schemas.openxmlformats.org/officeDocument/2006/relationships/hyperlink" Target="https://www.google.com/search?newwindow=1&amp;ei=2MT0XrvGGM-vytMP1OyDgAY&amp;q=site%3Alinkedin.com+Caroline+Hamera-Menges+University+Relations+Recruiter+Garmin+International" TargetMode="External"/><Relationship Id="rId3406" Type="http://schemas.openxmlformats.org/officeDocument/2006/relationships/hyperlink" Target="https://www.google.com/search?newwindow=1&amp;ei=2MT0XrvGGM-vytMP1OyDgAY&amp;q=site%3Alinkedin.com+Monica+Vesprani+Sr.+Campus+Recruiter,+Information+Technology+Liberty+Mutual+Insurance" TargetMode="External"/><Relationship Id="rId3409" Type="http://schemas.openxmlformats.org/officeDocument/2006/relationships/hyperlink" Target="https://www.google.com/search?newwindow=1&amp;ei=2MT0XrvGGM-vytMP1OyDgAY&amp;q=site%3Alinkedin.com+Kourtney+Welch+University+Relations+Recruiter+Garmin+International" TargetMode="External"/><Relationship Id="rId3408" Type="http://schemas.openxmlformats.org/officeDocument/2006/relationships/hyperlink" Target="https://www.google.com/search?newwindow=1&amp;ei=2MT0XrvGGM-vytMP1OyDgAY&amp;q=site%3Alinkedin.com+Mindy+Holt+Senior+Campus+Recruiter+I+Tech+Liberty+Mutual+Insurance" TargetMode="External"/><Relationship Id="rId877" Type="http://schemas.openxmlformats.org/officeDocument/2006/relationships/hyperlink" Target="https://www.google.com/search?newwindow=1&amp;ei=2MT0XrvGGM-vytMP1OyDgAY&amp;q=site%3Alinkedin.com+Noor+Albeldawe+Official+International+Recruitment+Representative+of+Liverpool+John+Moores+University" TargetMode="External"/><Relationship Id="rId876" Type="http://schemas.openxmlformats.org/officeDocument/2006/relationships/hyperlink" Target="https://www.google.com/search?newwindow=1&amp;ei=2MT0XrvGGM-vytMP1OyDgAY&amp;q=site%3Alinkedin.com+Stefan+Kosharevski+Recruitment+assistant+and+mental+health+project+coordinator" TargetMode="External"/><Relationship Id="rId875" Type="http://schemas.openxmlformats.org/officeDocument/2006/relationships/hyperlink" Target="https://www.google.com/search?newwindow=1&amp;ei=2MT0XrvGGM-vytMP1OyDgAY&amp;q=site%3Alinkedin.com+Rachael+Jordan+Recruitment+and+Admissions+Manager,+University+Language+Centre" TargetMode="External"/><Relationship Id="rId874" Type="http://schemas.openxmlformats.org/officeDocument/2006/relationships/hyperlink" Target="https://www.google.com/search?newwindow=1&amp;ei=2MT0XrvGGM-vytMP1OyDgAY&amp;q=site%3Alinkedin.com+Bridgewater+Graduates+Graduate+Recruiter" TargetMode="External"/><Relationship Id="rId879" Type="http://schemas.openxmlformats.org/officeDocument/2006/relationships/hyperlink" Target="https://www.google.com/search?newwindow=1&amp;ei=2MT0XrvGGM-vytMP1OyDgAY&amp;q=site%3Alinkedin.com+Jerry+Kirby+Campus+Recruiting+Representative" TargetMode="External"/><Relationship Id="rId878" Type="http://schemas.openxmlformats.org/officeDocument/2006/relationships/hyperlink" Target="https://www.google.com/search?newwindow=1&amp;ei=2MT0XrvGGM-vytMP1OyDgAY&amp;q=site%3Alinkedin.com+ian+Nuttall+Campus+Recruiting+Manager" TargetMode="External"/><Relationship Id="rId873" Type="http://schemas.openxmlformats.org/officeDocument/2006/relationships/hyperlink" Target="https://www.google.com/search?newwindow=1&amp;ei=2MT0XrvGGM-vytMP1OyDgAY&amp;q=site%3Alinkedin.com+Jessica+McDonagh+Sales+Recruiter" TargetMode="External"/><Relationship Id="rId872" Type="http://schemas.openxmlformats.org/officeDocument/2006/relationships/hyperlink" Target="https://www.google.com/search?newwindow=1&amp;ei=2MT0XrvGGM-vytMP1OyDgAY&amp;q=site%3Alinkedin.com+Ffion+Rees+Hughes+Head+of+Marketing+and+Recruitment,+University+of+Manchester+Worldwide" TargetMode="External"/><Relationship Id="rId871" Type="http://schemas.openxmlformats.org/officeDocument/2006/relationships/hyperlink" Target="https://www.google.com/search?newwindow=1&amp;ei=2MT0XrvGGM-vytMP1OyDgAY&amp;q=site%3Alinkedin.com+Tyler+Antonia+Datlen+Student+Recruiter+&amp;+Support+Advisor" TargetMode="External"/><Relationship Id="rId3401" Type="http://schemas.openxmlformats.org/officeDocument/2006/relationships/hyperlink" Target="https://www.google.com/search?newwindow=1&amp;ei=2MT0XrvGGM-vytMP1OyDgAY&amp;q=site%3Alinkedin.com+MacKenzie+Bachry+(she,+her)+Senior+Campus+Recruiter+Liberty+Mutual+Insurance" TargetMode="External"/><Relationship Id="rId870" Type="http://schemas.openxmlformats.org/officeDocument/2006/relationships/hyperlink" Target="https://www.google.com/search?newwindow=1&amp;ei=2MT0XrvGGM-vytMP1OyDgAY&amp;q=site%3Alinkedin.com+Erin+Mckelvey+University+Recruitment+Manager" TargetMode="External"/><Relationship Id="rId3400" Type="http://schemas.openxmlformats.org/officeDocument/2006/relationships/hyperlink" Target="https://www.google.com/search?newwindow=1&amp;ei=2MT0XrvGGM-vytMP1OyDgAY&amp;q=site%3Alinkedin.com+Jessica+Ritter+LTU+Campus+Recruiter+Ford+Motor+Company" TargetMode="External"/><Relationship Id="rId1653" Type="http://schemas.openxmlformats.org/officeDocument/2006/relationships/hyperlink" Target="https://www.google.com/search?newwindow=1&amp;ei=2MT0XrvGGM-vytMP1OyDgAY&amp;q=site%3Alinkedin.com+Christine+Wolf,+CHRP+Coordinator,+Student+Programs" TargetMode="External"/><Relationship Id="rId2984" Type="http://schemas.openxmlformats.org/officeDocument/2006/relationships/hyperlink" Target="https://www.google.com/search?newwindow=1&amp;ei=2MT0XrvGGM-vytMP1OyDgAY&amp;q=site%3Alinkedin.com+Abigal+Winters+Engineering+Campus+Recruiter+Goldman+Sachs" TargetMode="External"/><Relationship Id="rId1654" Type="http://schemas.openxmlformats.org/officeDocument/2006/relationships/hyperlink" Target="https://www.google.com/search?newwindow=1&amp;ei=2MT0XrvGGM-vytMP1OyDgAY&amp;q=site%3Alinkedin.com+Himanshi+Joshi+Employer+and+Student+Liaison,+Internship+Programs" TargetMode="External"/><Relationship Id="rId2985" Type="http://schemas.openxmlformats.org/officeDocument/2006/relationships/hyperlink" Target="https://www.google.com/search?newwindow=1&amp;ei=2MT0XrvGGM-vytMP1OyDgAY&amp;q=site%3Alinkedin.com+Leslie+Van+Sant+Campus+Recruiter+Deloitte+Services+LP" TargetMode="External"/><Relationship Id="rId1655" Type="http://schemas.openxmlformats.org/officeDocument/2006/relationships/hyperlink" Target="https://www.google.com/search?newwindow=1&amp;ei=2MT0XrvGGM-vytMP1OyDgAY&amp;q=site%3Alinkedin.com+Rochelle+Richards+Coordinator,+Student+and+Associate+Programs" TargetMode="External"/><Relationship Id="rId2986" Type="http://schemas.openxmlformats.org/officeDocument/2006/relationships/hyperlink" Target="https://www.google.com/search?newwindow=1&amp;ei=2MT0XrvGGM-vytMP1OyDgAY&amp;q=site%3Alinkedin.com+Rechelle+Lambert+University+Relations+Recruiter+Goldman+Sachs" TargetMode="External"/><Relationship Id="rId1656" Type="http://schemas.openxmlformats.org/officeDocument/2006/relationships/hyperlink" Target="https://www.google.com/search?newwindow=1&amp;ei=2MT0XrvGGM-vytMP1OyDgAY&amp;q=site%3Alinkedin.com+Nimisha+Mohan+Administrative+Assistant,+Community+Programs" TargetMode="External"/><Relationship Id="rId2987" Type="http://schemas.openxmlformats.org/officeDocument/2006/relationships/hyperlink" Target="https://www.google.com/search?newwindow=1&amp;ei=2MT0XrvGGM-vytMP1OyDgAY&amp;q=site%3Alinkedin.com+Bob+Warmkessel+Campus+Recruiter+Deloitte+Consulting" TargetMode="External"/><Relationship Id="rId1657" Type="http://schemas.openxmlformats.org/officeDocument/2006/relationships/hyperlink" Target="https://www.google.com/search?newwindow=1&amp;ei=2MT0XrvGGM-vytMP1OyDgAY&amp;q=site%3Alinkedin.com+Camila+Rusiecki+Health+Promotion+Programs+Practicum+Student" TargetMode="External"/><Relationship Id="rId2988" Type="http://schemas.openxmlformats.org/officeDocument/2006/relationships/hyperlink" Target="https://www.google.com/search?newwindow=1&amp;ei=2MT0XrvGGM-vytMP1OyDgAY&amp;q=site%3Alinkedin.com+Andrea+Washington,+MPS+Campus+Recruiter+-+Operations+and+Global+Markets+Goldman+Sachs" TargetMode="External"/><Relationship Id="rId1658" Type="http://schemas.openxmlformats.org/officeDocument/2006/relationships/hyperlink" Target="https://www.google.com/search?newwindow=1&amp;ei=2MT0XrvGGM-vytMP1OyDgAY&amp;q=site%3Alinkedin.com+Piyal+Sarker+IITS+Student+Helpdesk" TargetMode="External"/><Relationship Id="rId2989" Type="http://schemas.openxmlformats.org/officeDocument/2006/relationships/hyperlink" Target="https://www.google.com/search?newwindow=1&amp;ei=2MT0XrvGGM-vytMP1OyDgAY&amp;q=site%3Alinkedin.com+Allyssa+Tivis+Resource+Manager+Deloitte+Consulting" TargetMode="External"/><Relationship Id="rId1659" Type="http://schemas.openxmlformats.org/officeDocument/2006/relationships/hyperlink" Target="https://www.google.com/search?newwindow=1&amp;ei=2MT0XrvGGM-vytMP1OyDgAY&amp;q=site%3Alinkedin.com+Bayley+Tepperman+Student+Success+Coordinator+for+Faculty+of+Health+Programs" TargetMode="External"/><Relationship Id="rId829" Type="http://schemas.openxmlformats.org/officeDocument/2006/relationships/hyperlink" Target="https://www.google.com/search?newwindow=1&amp;ei=2MT0XrvGGM-vytMP1OyDgAY&amp;q=site%3Alinkedin.com+Worldwide+Student+Services+Ltd+Student+Recruiter" TargetMode="External"/><Relationship Id="rId828" Type="http://schemas.openxmlformats.org/officeDocument/2006/relationships/hyperlink" Target="https://www.google.com/search?newwindow=1&amp;ei=2MT0XrvGGM-vytMP1OyDgAY&amp;q=site%3Alinkedin.com+Tanzim+Akhtar+Graduate+Recruiter" TargetMode="External"/><Relationship Id="rId827" Type="http://schemas.openxmlformats.org/officeDocument/2006/relationships/hyperlink" Target="https://www.google.com/search?newwindow=1&amp;ei=2MT0XrvGGM-vytMP1OyDgAY&amp;q=site%3Alinkedin.com+natasha+salt+Recruiter" TargetMode="External"/><Relationship Id="rId822" Type="http://schemas.openxmlformats.org/officeDocument/2006/relationships/hyperlink" Target="https://www.google.com/search?newwindow=1&amp;ei=2MT0XrvGGM-vytMP1OyDgAY&amp;q=site%3Alinkedin.com+Rachel+Bloem+Campus+Recruiter" TargetMode="External"/><Relationship Id="rId821" Type="http://schemas.openxmlformats.org/officeDocument/2006/relationships/hyperlink" Target="https://www.google.com/search?newwindow=1&amp;ei=2MT0XrvGGM-vytMP1OyDgAY&amp;q=site%3Alinkedin.com+Nikki+Andrews+Graduate+Recruiter" TargetMode="External"/><Relationship Id="rId820" Type="http://schemas.openxmlformats.org/officeDocument/2006/relationships/hyperlink" Target="https://www.google.com/search?newwindow=1&amp;ei=2MT0XrvGGM-vytMP1OyDgAY&amp;q=site%3Alinkedin.com+Saoirse+Brewer+Campus+Recruiter" TargetMode="External"/><Relationship Id="rId826" Type="http://schemas.openxmlformats.org/officeDocument/2006/relationships/hyperlink" Target="https://www.google.com/search?newwindow=1&amp;ei=2MT0XrvGGM-vytMP1OyDgAY&amp;q=site%3Alinkedin.com+Lisa-Jane+Ryan+Graduate+Recruiter" TargetMode="External"/><Relationship Id="rId825" Type="http://schemas.openxmlformats.org/officeDocument/2006/relationships/hyperlink" Target="https://www.google.com/search?newwindow=1&amp;ei=2MT0XrvGGM-vytMP1OyDgAY&amp;q=site%3Alinkedin.com+Margot+Johnston+Graduate+Recruitment+Officer+-+Oxford+University" TargetMode="External"/><Relationship Id="rId824" Type="http://schemas.openxmlformats.org/officeDocument/2006/relationships/hyperlink" Target="https://www.google.com/search?newwindow=1&amp;ei=2MT0XrvGGM-vytMP1OyDgAY&amp;q=site%3Alinkedin.com+Maria+Da+Costa+Graduate+Recruiter" TargetMode="External"/><Relationship Id="rId823" Type="http://schemas.openxmlformats.org/officeDocument/2006/relationships/hyperlink" Target="https://www.google.com/search?newwindow=1&amp;ei=2MT0XrvGGM-vytMP1OyDgAY&amp;q=site%3Alinkedin.com+Michelle+Chenneour+Graduate+Recruiter" TargetMode="External"/><Relationship Id="rId2980" Type="http://schemas.openxmlformats.org/officeDocument/2006/relationships/hyperlink" Target="https://www.google.com/search?newwindow=1&amp;ei=2MT0XrvGGM-vytMP1OyDgAY&amp;q=site%3Alinkedin.com+Ashley+Mahone+Engineering+Campus+Recruiter+Goldman+Sachs" TargetMode="External"/><Relationship Id="rId1650" Type="http://schemas.openxmlformats.org/officeDocument/2006/relationships/hyperlink" Target="https://www.google.com/search?newwindow=1&amp;ei=2MT0XrvGGM-vytMP1OyDgAY&amp;q=site%3Alinkedin.com+Dana+Andrews+Director,+Program+Services+and+Student+Life,+Professional+MBA+&amp;+Specialized+Programs" TargetMode="External"/><Relationship Id="rId2981" Type="http://schemas.openxmlformats.org/officeDocument/2006/relationships/hyperlink" Target="https://www.google.com/search?newwindow=1&amp;ei=2MT0XrvGGM-vytMP1OyDgAY&amp;q=site%3Alinkedin.com+Erica+Johnson+Campus+Recruiting+Manager+Deloitte+LP" TargetMode="External"/><Relationship Id="rId1651" Type="http://schemas.openxmlformats.org/officeDocument/2006/relationships/hyperlink" Target="https://www.google.com/search?newwindow=1&amp;ei=2MT0XrvGGM-vytMP1OyDgAY&amp;q=site%3Alinkedin.com+Emily+Nguyen+Student+Success+Programs+Registered+Study+Group+(RSG)+Assistant" TargetMode="External"/><Relationship Id="rId2982" Type="http://schemas.openxmlformats.org/officeDocument/2006/relationships/hyperlink" Target="https://www.google.com/search?newwindow=1&amp;ei=2MT0XrvGGM-vytMP1OyDgAY&amp;q=site%3Alinkedin.com+Elizabeth+Washburn+Campus+Recruiter+%7C+Associate+Goldman+Sachs" TargetMode="External"/><Relationship Id="rId1652" Type="http://schemas.openxmlformats.org/officeDocument/2006/relationships/hyperlink" Target="https://www.google.com/search?newwindow=1&amp;ei=2MT0XrvGGM-vytMP1OyDgAY&amp;q=site%3Alinkedin.com+Ella+Bonaldi+Skate+Programs+Head+Instructor" TargetMode="External"/><Relationship Id="rId2983" Type="http://schemas.openxmlformats.org/officeDocument/2006/relationships/hyperlink" Target="https://www.google.com/search?newwindow=1&amp;ei=2MT0XrvGGM-vytMP1OyDgAY&amp;q=site%3Alinkedin.com+Suzanne+Hansler+Campus+Recruiter+Deloitte+Services+LLP" TargetMode="External"/><Relationship Id="rId1642" Type="http://schemas.openxmlformats.org/officeDocument/2006/relationships/hyperlink" Target="https://www.google.com/search?newwindow=1&amp;ei=2MT0XrvGGM-vytMP1OyDgAY&amp;q=site%3Alinkedin.com+Eleni+Skederidis+Recruitment+Manager" TargetMode="External"/><Relationship Id="rId2973" Type="http://schemas.openxmlformats.org/officeDocument/2006/relationships/hyperlink" Target="https://www.google.com/search?newwindow=1&amp;ei=2MT0XrvGGM-vytMP1OyDgAY&amp;q=site%3Alinkedin.com+Jeannie+Toscano+Regional+College+Recruiter+GEICO" TargetMode="External"/><Relationship Id="rId1643" Type="http://schemas.openxmlformats.org/officeDocument/2006/relationships/hyperlink" Target="https://www.google.com/search?newwindow=1&amp;ei=2MT0XrvGGM-vytMP1OyDgAY&amp;q=site%3Alinkedin.com+Afreen+M.+RU+Noted+and+Transition+Programs+Assistant+%7C+Student+Wellbeing,+Academic+Accommodation+Support" TargetMode="External"/><Relationship Id="rId2974" Type="http://schemas.openxmlformats.org/officeDocument/2006/relationships/hyperlink" Target="https://www.google.com/search?newwindow=1&amp;ei=2MT0XrvGGM-vytMP1OyDgAY&amp;q=site%3Alinkedin.com+Kara+Smith+Vice+President,+University+Relations+Recruiter+Goldman+Sachs" TargetMode="External"/><Relationship Id="rId1644" Type="http://schemas.openxmlformats.org/officeDocument/2006/relationships/hyperlink" Target="https://www.google.com/search?newwindow=1&amp;ei=2MT0XrvGGM-vytMP1OyDgAY&amp;q=site%3Alinkedin.com+Inez+Bertao+Executive+Assistant+to+Co-Director,+Associate+&amp;+Student+Program+/+Coordinator,+Student+Programs" TargetMode="External"/><Relationship Id="rId2975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1645" Type="http://schemas.openxmlformats.org/officeDocument/2006/relationships/hyperlink" Target="https://www.google.com/search?newwindow=1&amp;ei=2MT0XrvGGM-vytMP1OyDgAY&amp;q=site%3Alinkedin.com+Nadia+Rosemond+Assistant+Dean,+Co-Curricular+Programs+and+Student+Leadership" TargetMode="External"/><Relationship Id="rId2976" Type="http://schemas.openxmlformats.org/officeDocument/2006/relationships/hyperlink" Target="https://www.google.com/search?newwindow=1&amp;ei=2MT0XrvGGM-vytMP1OyDgAY&amp;q=site%3Alinkedin.com+Ashley+A.+Campus+Recruiter-+Global+Investment+Research+&amp;+Merchant+Banking+Divisions+Goldman+Sachs" TargetMode="External"/><Relationship Id="rId1646" Type="http://schemas.openxmlformats.org/officeDocument/2006/relationships/hyperlink" Target="https://www.google.com/search?newwindow=1&amp;ei=2MT0XrvGGM-vytMP1OyDgAY&amp;q=site%3Alinkedin.com+Natalee+Veisi+Student+Assistant,+Student+Development+Programs" TargetMode="External"/><Relationship Id="rId2977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1647" Type="http://schemas.openxmlformats.org/officeDocument/2006/relationships/hyperlink" Target="https://www.google.com/search?newwindow=1&amp;ei=2MT0XrvGGM-vytMP1OyDgAY&amp;q=site%3Alinkedin.com+Angelique+Dack+Student+Engagement+and+Equity+Programs+Assistant" TargetMode="External"/><Relationship Id="rId2978" Type="http://schemas.openxmlformats.org/officeDocument/2006/relationships/hyperlink" Target="https://www.google.com/search?newwindow=1&amp;ei=2MT0XrvGGM-vytMP1OyDgAY&amp;q=site%3Alinkedin.com+Amy+Mercedes+Pineda+Engineering+University+Relations+Recruiter+Coordinator+Goldman+Sachs" TargetMode="External"/><Relationship Id="rId1648" Type="http://schemas.openxmlformats.org/officeDocument/2006/relationships/hyperlink" Target="https://www.google.com/search?newwindow=1&amp;ei=2MT0XrvGGM-vytMP1OyDgAY&amp;q=site%3Alinkedin.com+Stephanie+Q.+School+Based+Programs+and+Placement+Student+Specialist" TargetMode="External"/><Relationship Id="rId2979" Type="http://schemas.openxmlformats.org/officeDocument/2006/relationships/hyperlink" Target="https://www.google.com/search?newwindow=1&amp;ei=2MT0XrvGGM-vytMP1OyDgAY&amp;q=site%3Alinkedin.com+Dawn+John+Northeast+Campus+Recruiting+Leader+Deloitte+&amp;+Touche" TargetMode="External"/><Relationship Id="rId1649" Type="http://schemas.openxmlformats.org/officeDocument/2006/relationships/hyperlink" Target="https://www.google.com/search?newwindow=1&amp;ei=2MT0XrvGGM-vytMP1OyDgAY&amp;q=site%3Alinkedin.com+Kendel+Chitolie+International+Student+Advisor" TargetMode="External"/><Relationship Id="rId819" Type="http://schemas.openxmlformats.org/officeDocument/2006/relationships/hyperlink" Target="https://www.google.com/search?newwindow=1&amp;ei=2MT0XrvGGM-vytMP1OyDgAY&amp;q=site%3Alinkedin.com+Neeta+Patel+Graduate+Recruiter" TargetMode="External"/><Relationship Id="rId818" Type="http://schemas.openxmlformats.org/officeDocument/2006/relationships/hyperlink" Target="https://www.google.com/search?newwindow=1&amp;ei=2MT0XrvGGM-vytMP1OyDgAY&amp;q=site%3Alinkedin.com+Priti+Patel+Graduate+Recruiter" TargetMode="External"/><Relationship Id="rId817" Type="http://schemas.openxmlformats.org/officeDocument/2006/relationships/hyperlink" Target="https://www.google.com/search?newwindow=1&amp;ei=2MT0XrvGGM-vytMP1OyDgAY&amp;q=site%3Alinkedin.com+Claire+A.+Marshall+Undergraduate+Projects+and+Programmes" TargetMode="External"/><Relationship Id="rId816" Type="http://schemas.openxmlformats.org/officeDocument/2006/relationships/hyperlink" Target="https://www.google.com/search?newwindow=1&amp;ei=2MT0XrvGGM-vytMP1OyDgAY&amp;q=site%3Alinkedin.com+Victoria+Webster+University+Recruitment+Co-ordinator" TargetMode="External"/><Relationship Id="rId811" Type="http://schemas.openxmlformats.org/officeDocument/2006/relationships/hyperlink" Target="https://www.google.com/search?newwindow=1&amp;ei=2MT0XrvGGM-vytMP1OyDgAY&amp;q=site%3Alinkedin.com+Hayley+Pinnell+Campus+Recruiter" TargetMode="External"/><Relationship Id="rId810" Type="http://schemas.openxmlformats.org/officeDocument/2006/relationships/hyperlink" Target="https://www.google.com/search?newwindow=1&amp;ei=2MT0XrvGGM-vytMP1OyDgAY&amp;q=site%3Alinkedin.com+nicole+gunn+Graduate+Recruiter" TargetMode="External"/><Relationship Id="rId815" Type="http://schemas.openxmlformats.org/officeDocument/2006/relationships/hyperlink" Target="https://www.google.com/search?newwindow=1&amp;ei=2MT0XrvGGM-vytMP1OyDgAY&amp;q=site%3Alinkedin.com+Claire+Paxton+Graduate+Recruiter" TargetMode="External"/><Relationship Id="rId814" Type="http://schemas.openxmlformats.org/officeDocument/2006/relationships/hyperlink" Target="https://www.google.com/search?newwindow=1&amp;ei=2MT0XrvGGM-vytMP1OyDgAY&amp;q=site%3Alinkedin.com+George+Sargent+Recruitment+Consultant+-+Germany" TargetMode="External"/><Relationship Id="rId813" Type="http://schemas.openxmlformats.org/officeDocument/2006/relationships/hyperlink" Target="https://www.google.com/search?newwindow=1&amp;ei=2MT0XrvGGM-vytMP1OyDgAY&amp;q=site%3Alinkedin.com+Louise+Giron+Graduate+&amp;+Analyst+Recruiter" TargetMode="External"/><Relationship Id="rId812" Type="http://schemas.openxmlformats.org/officeDocument/2006/relationships/hyperlink" Target="https://www.google.com/search?newwindow=1&amp;ei=2MT0XrvGGM-vytMP1OyDgAY&amp;q=site%3Alinkedin.com+Jane+Howard+University+Recruitment+Account+Manager" TargetMode="External"/><Relationship Id="rId2970" Type="http://schemas.openxmlformats.org/officeDocument/2006/relationships/hyperlink" Target="https://www.google.com/search?newwindow=1&amp;ei=2MT0XrvGGM-vytMP1OyDgAY&amp;q=site%3Alinkedin.com+Tyrus+Sanders+Regional+College+Recruiter+GEICO" TargetMode="External"/><Relationship Id="rId1640" Type="http://schemas.openxmlformats.org/officeDocument/2006/relationships/hyperlink" Target="https://www.google.com/search?newwindow=1&amp;ei=2MT0XrvGGM-vytMP1OyDgAY&amp;q=site%3Alinkedin.com+Rebekkah+Nighswander,+M.Ed.+Coordinator,+First+Year+Programs+(Office+of+Student+Experience+&amp;+Wellbeing)" TargetMode="External"/><Relationship Id="rId2971" Type="http://schemas.openxmlformats.org/officeDocument/2006/relationships/hyperlink" Target="https://www.google.com/search?newwindow=1&amp;ei=2MT0XrvGGM-vytMP1OyDgAY&amp;q=site%3Alinkedin.com+Mary+Alexander+College+Recruiter+GEICO" TargetMode="External"/><Relationship Id="rId1641" Type="http://schemas.openxmlformats.org/officeDocument/2006/relationships/hyperlink" Target="https://www.google.com/search?newwindow=1&amp;ei=2MT0XrvGGM-vytMP1OyDgAY&amp;q=site%3Alinkedin.com+Sophia+Orfanakos+Student+Success+Programs+Study+Groups+Assistant" TargetMode="External"/><Relationship Id="rId2972" Type="http://schemas.openxmlformats.org/officeDocument/2006/relationships/hyperlink" Target="https://www.google.com/search?newwindow=1&amp;ei=2MT0XrvGGM-vytMP1OyDgAY&amp;q=site%3Alinkedin.com+Christa+Sublett+Campus+Recruiting+Manager+Deloitte" TargetMode="External"/><Relationship Id="rId1675" Type="http://schemas.openxmlformats.org/officeDocument/2006/relationships/hyperlink" Target="https://www.google.com/search?newwindow=1&amp;ei=2MT0XrvGGM-vytMP1OyDgAY&amp;q=site%3Alinkedin.com+Nikki+Strano+Indigenous+Student+Programs+Coordinator" TargetMode="External"/><Relationship Id="rId1676" Type="http://schemas.openxmlformats.org/officeDocument/2006/relationships/hyperlink" Target="https://www.google.com/search?newwindow=1&amp;ei=2MT0XrvGGM-vytMP1OyDgAY&amp;q=site%3Alinkedin.com+Meghan+Aubert+Graduate+Recruiter" TargetMode="External"/><Relationship Id="rId1677" Type="http://schemas.openxmlformats.org/officeDocument/2006/relationships/hyperlink" Target="https://www.google.com/search?newwindow=1&amp;ei=2MT0XrvGGM-vytMP1OyDgAY&amp;q=site%3Alinkedin.com+Kathryn+Sheehan+Senior+Campus+Recruiting+Coordinator" TargetMode="External"/><Relationship Id="rId1678" Type="http://schemas.openxmlformats.org/officeDocument/2006/relationships/hyperlink" Target="https://www.google.com/search?newwindow=1&amp;ei=2MT0XrvGGM-vytMP1OyDgAY&amp;q=site%3Alinkedin.com+Tamsyn+Harris+Falmouth+University+Recruitment+and+Employability+Service+and+Consultant" TargetMode="External"/><Relationship Id="rId1679" Type="http://schemas.openxmlformats.org/officeDocument/2006/relationships/hyperlink" Target="https://www.google.com/search?newwindow=1&amp;ei=2MT0XrvGGM-vytMP1OyDgAY&amp;q=site%3Alinkedin.com+Kelly+Woodgate+Training+&amp;+Development+Manager+-+everis+University+UK" TargetMode="External"/><Relationship Id="rId849" Type="http://schemas.openxmlformats.org/officeDocument/2006/relationships/hyperlink" Target="https://www.google.com/search?newwindow=1&amp;ei=2MT0XrvGGM-vytMP1OyDgAY&amp;q=site%3Alinkedin.com+Amanda+Garcia+Southwest+Tax+Campus+Recruiting+Manager" TargetMode="External"/><Relationship Id="rId844" Type="http://schemas.openxmlformats.org/officeDocument/2006/relationships/hyperlink" Target="https://www.google.com/search?newwindow=1&amp;ei=2MT0XrvGGM-vytMP1OyDgAY&amp;q=site%3Alinkedin.com+Brittany+Cicmanec+Campus+Recruiting+Coordinator+-+Audit,+Tax,+and+Advisory" TargetMode="External"/><Relationship Id="rId843" Type="http://schemas.openxmlformats.org/officeDocument/2006/relationships/hyperlink" Target="https://www.google.com/search?newwindow=1&amp;ei=2MT0XrvGGM-vytMP1OyDgAY&amp;q=site%3Alinkedin.com+Jennifer+Cohen,+PHR+Campus+Recruiting+Manager" TargetMode="External"/><Relationship Id="rId842" Type="http://schemas.openxmlformats.org/officeDocument/2006/relationships/hyperlink" Target="https://www.google.com/search?newwindow=1&amp;ei=2MT0XrvGGM-vytMP1OyDgAY&amp;q=site%3Alinkedin.com+Yesenia+Turcios+Campus+Recruiting+Coordinator+-+Financial+Services+Organization" TargetMode="External"/><Relationship Id="rId841" Type="http://schemas.openxmlformats.org/officeDocument/2006/relationships/hyperlink" Target="https://www.google.com/search?newwindow=1&amp;ei=2MT0XrvGGM-vytMP1OyDgAY&amp;q=site%3Alinkedin.com+Maddie+Mohr+Senior+Campus+Recruiting+Associate,+Talent+Attraction+and+Acquisition" TargetMode="External"/><Relationship Id="rId848" Type="http://schemas.openxmlformats.org/officeDocument/2006/relationships/hyperlink" Target="https://www.google.com/search?newwindow=1&amp;ei=2MT0XrvGGM-vytMP1OyDgAY&amp;q=site%3Alinkedin.com+Angela+Vasquez-Delgado+West+Region+Tax+Campus+Recruiting+Lead" TargetMode="External"/><Relationship Id="rId847" Type="http://schemas.openxmlformats.org/officeDocument/2006/relationships/hyperlink" Target="https://www.google.com/search?newwindow=1&amp;ei=2MT0XrvGGM-vytMP1OyDgAY&amp;q=site%3Alinkedin.com+Sarah+Hoyos+Campus+Recruiting+Specialist" TargetMode="External"/><Relationship Id="rId846" Type="http://schemas.openxmlformats.org/officeDocument/2006/relationships/hyperlink" Target="https://www.google.com/search?newwindow=1&amp;ei=2MT0XrvGGM-vytMP1OyDgAY&amp;q=site%3Alinkedin.com+Jessica+Vittas+(she,+her,+hers)+Campus+Development+Manager:+Campus+Recruiting" TargetMode="External"/><Relationship Id="rId845" Type="http://schemas.openxmlformats.org/officeDocument/2006/relationships/hyperlink" Target="https://www.google.com/search?newwindow=1&amp;ei=2MT0XrvGGM-vytMP1OyDgAY&amp;q=site%3Alinkedin.com+Keilyn+Robinson,+MSW+Campus+Recruiting+Coordinator" TargetMode="External"/><Relationship Id="rId1670" Type="http://schemas.openxmlformats.org/officeDocument/2006/relationships/hyperlink" Target="https://www.google.com/search?newwindow=1&amp;ei=2MT0XrvGGM-vytMP1OyDgAY&amp;q=site%3Alinkedin.com+Stacey+Platt+Coordinator,+International+Student+Programs+and+Services" TargetMode="External"/><Relationship Id="rId840" Type="http://schemas.openxmlformats.org/officeDocument/2006/relationships/hyperlink" Target="https://www.google.com/search?newwindow=1&amp;ei=2MT0XrvGGM-vytMP1OyDgAY&amp;q=site%3Alinkedin.com+Rosie+Boyland+Senior+Campus+Recruiting+Specialist" TargetMode="External"/><Relationship Id="rId1671" Type="http://schemas.openxmlformats.org/officeDocument/2006/relationships/hyperlink" Target="https://www.google.com/search?newwindow=1&amp;ei=2MT0XrvGGM-vytMP1OyDgAY&amp;q=site%3Alinkedin.com+Matthew+Kinasz+Student+Supervisor" TargetMode="External"/><Relationship Id="rId1672" Type="http://schemas.openxmlformats.org/officeDocument/2006/relationships/hyperlink" Target="https://www.google.com/search?newwindow=1&amp;ei=2MT0XrvGGM-vytMP1OyDgAY&amp;q=site%3Alinkedin.com+Meghann+F.+Student+Programs+Assistant" TargetMode="External"/><Relationship Id="rId1673" Type="http://schemas.openxmlformats.org/officeDocument/2006/relationships/hyperlink" Target="https://www.google.com/search?newwindow=1&amp;ei=2MT0XrvGGM-vytMP1OyDgAY&amp;q=site%3Alinkedin.com+Marie+Scarfo+Assistant,+Academic+Programs+and+Student+Services" TargetMode="External"/><Relationship Id="rId1674" Type="http://schemas.openxmlformats.org/officeDocument/2006/relationships/hyperlink" Target="https://www.google.com/search?newwindow=1&amp;ei=2MT0XrvGGM-vytMP1OyDgAY&amp;q=site%3Alinkedin.com+Lisa+P.+Peer+Support+Worker+Harm+Reduction+Adult+Programs" TargetMode="External"/><Relationship Id="rId1664" Type="http://schemas.openxmlformats.org/officeDocument/2006/relationships/hyperlink" Target="https://www.google.com/search?newwindow=1&amp;ei=2MT0XrvGGM-vytMP1OyDgAY&amp;q=site%3Alinkedin.com+Lisa+MacSween-Stout+Student+Programs+Specialist" TargetMode="External"/><Relationship Id="rId2995" Type="http://schemas.openxmlformats.org/officeDocument/2006/relationships/hyperlink" Target="https://www.google.com/search?newwindow=1&amp;ei=2MT0XrvGGM-vytMP1OyDgAY&amp;q=site%3Alinkedin.com+Nancy+Angelica+Campus+Recruiter+Goldman+Sachs" TargetMode="External"/><Relationship Id="rId1665" Type="http://schemas.openxmlformats.org/officeDocument/2006/relationships/hyperlink" Target="https://www.google.com/search?newwindow=1&amp;ei=2MT0XrvGGM-vytMP1OyDgAY&amp;q=site%3Alinkedin.com+Jennifer+Taylor+Placement+Student" TargetMode="External"/><Relationship Id="rId2996" Type="http://schemas.openxmlformats.org/officeDocument/2006/relationships/hyperlink" Target="https://www.google.com/search?newwindow=1&amp;ei=2MT0XrvGGM-vytMP1OyDgAY&amp;q=site%3Alinkedin.com+Catherine+Casey+Senior+MBA+Campus+Recruiter+Deloitte+Consulting" TargetMode="External"/><Relationship Id="rId1666" Type="http://schemas.openxmlformats.org/officeDocument/2006/relationships/hyperlink" Target="https://www.google.com/search?newwindow=1&amp;ei=2MT0XrvGGM-vytMP1OyDgAY&amp;q=site%3Alinkedin.com+Michel+Lederman+Co-Director,+Associate+&amp;+Student+Programs" TargetMode="External"/><Relationship Id="rId2997" Type="http://schemas.openxmlformats.org/officeDocument/2006/relationships/hyperlink" Target="https://www.google.com/search?newwindow=1&amp;ei=2MT0XrvGGM-vytMP1OyDgAY&amp;q=site%3Alinkedin.com+Andrew+C.+Associate,+Engineering+Campus+Recruiter+Goldman+Sachs" TargetMode="External"/><Relationship Id="rId1667" Type="http://schemas.openxmlformats.org/officeDocument/2006/relationships/hyperlink" Target="https://www.google.com/search?newwindow=1&amp;ei=2MT0XrvGGM-vytMP1OyDgAY&amp;q=site%3Alinkedin.com+Monica+Shafik+Student+Advocacy+Coordinator" TargetMode="External"/><Relationship Id="rId2998" Type="http://schemas.openxmlformats.org/officeDocument/2006/relationships/hyperlink" Target="https://www.google.com/search?newwindow=1&amp;ei=2MT0XrvGGM-vytMP1OyDgAY&amp;q=site%3Alinkedin.com+Maria+Kichler+Campus+Recruiter+Deloitte+Consulting" TargetMode="External"/><Relationship Id="rId1668" Type="http://schemas.openxmlformats.org/officeDocument/2006/relationships/hyperlink" Target="https://www.google.com/search?newwindow=1&amp;ei=2MT0XrvGGM-vytMP1OyDgAY&amp;q=site%3Alinkedin.com+Jessica+J.+Wong,+BSc,+DC,+FCCS(C)+Assistant+Professor,+Graduate+Education+and+Research+Programs" TargetMode="External"/><Relationship Id="rId2999" Type="http://schemas.openxmlformats.org/officeDocument/2006/relationships/hyperlink" Target="https://www.google.com/search?newwindow=1&amp;ei=2MT0XrvGGM-vytMP1OyDgAY&amp;q=site%3Alinkedin.com+Hannah+Meckler+Vice+President,+Investment+Banking+Campus+Recruiter+Goldman+Sachs" TargetMode="External"/><Relationship Id="rId1669" Type="http://schemas.openxmlformats.org/officeDocument/2006/relationships/hyperlink" Target="https://www.google.com/search?newwindow=1&amp;ei=2MT0XrvGGM-vytMP1OyDgAY&amp;q=site%3Alinkedin.com+Justine+Sterling+Coordinator,+Programs+and+Services+-+Manulife+Empowering+Women+to+Employment+Project" TargetMode="External"/><Relationship Id="rId839" Type="http://schemas.openxmlformats.org/officeDocument/2006/relationships/hyperlink" Target="https://www.google.com/search?newwindow=1&amp;ei=2MT0XrvGGM-vytMP1OyDgAY&amp;q=site%3Alinkedin.com+Yasamin+Yeganeh+Campus+Recruiting+Specialist" TargetMode="External"/><Relationship Id="rId838" Type="http://schemas.openxmlformats.org/officeDocument/2006/relationships/hyperlink" Target="https://www.google.com/search?newwindow=1&amp;ei=2MT0XrvGGM-vytMP1OyDgAY&amp;q=site%3Alinkedin.com+Divya+Shenoy+Campus+Recruiting+Manager" TargetMode="External"/><Relationship Id="rId833" Type="http://schemas.openxmlformats.org/officeDocument/2006/relationships/hyperlink" Target="https://www.google.com/search?newwindow=1&amp;ei=2MT0XrvGGM-vytMP1OyDgAY&amp;q=site%3Alinkedin.com+Zaineb+Javed+Student+Recruiter" TargetMode="External"/><Relationship Id="rId832" Type="http://schemas.openxmlformats.org/officeDocument/2006/relationships/hyperlink" Target="https://www.google.com/search?newwindow=1&amp;ei=2MT0XrvGGM-vytMP1OyDgAY&amp;q=site%3Alinkedin.com+Shabaz+Ahmad+Student+Recruiter" TargetMode="External"/><Relationship Id="rId831" Type="http://schemas.openxmlformats.org/officeDocument/2006/relationships/hyperlink" Target="https://www.google.com/search?newwindow=1&amp;ei=2MT0XrvGGM-vytMP1OyDgAY&amp;q=site%3Alinkedin.com+Jocelyn+Ross+Graduate+Recruiter" TargetMode="External"/><Relationship Id="rId830" Type="http://schemas.openxmlformats.org/officeDocument/2006/relationships/hyperlink" Target="https://www.google.com/search?newwindow=1&amp;ei=2MT0XrvGGM-vytMP1OyDgAY&amp;q=site%3Alinkedin.com+Jo+Brady+" TargetMode="External"/><Relationship Id="rId837" Type="http://schemas.openxmlformats.org/officeDocument/2006/relationships/hyperlink" Target="https://www.google.com/search?newwindow=1&amp;ei=2MT0XrvGGM-vytMP1OyDgAY&amp;q=site%3Alinkedin.com+Emily+Newton+Campus+Recruiting+Associate" TargetMode="External"/><Relationship Id="rId836" Type="http://schemas.openxmlformats.org/officeDocument/2006/relationships/hyperlink" Target="https://www.google.com/search?newwindow=1&amp;ei=2MT0XrvGGM-vytMP1OyDgAY&amp;q=site%3Alinkedin.com+Denise+Y.+Graduate+Recruiter" TargetMode="External"/><Relationship Id="rId835" Type="http://schemas.openxmlformats.org/officeDocument/2006/relationships/hyperlink" Target="https://www.google.com/search?newwindow=1&amp;ei=2MT0XrvGGM-vytMP1OyDgAY&amp;q=site%3Alinkedin.com+Adz+Saleh+student+recruiter" TargetMode="External"/><Relationship Id="rId834" Type="http://schemas.openxmlformats.org/officeDocument/2006/relationships/hyperlink" Target="https://www.google.com/search?newwindow=1&amp;ei=2MT0XrvGGM-vytMP1OyDgAY&amp;q=site%3Alinkedin.com+Zulfu+Aslanli+student+recruiter" TargetMode="External"/><Relationship Id="rId2990" Type="http://schemas.openxmlformats.org/officeDocument/2006/relationships/hyperlink" Target="https://www.google.com/search?newwindow=1&amp;ei=2MT0XrvGGM-vytMP1OyDgAY&amp;q=site%3Alinkedin.com+Brielle+Johnson,+SHRM-CP+Senior+Analyst-+Campus+Recruiter+Goldman+Sachs" TargetMode="External"/><Relationship Id="rId1660" Type="http://schemas.openxmlformats.org/officeDocument/2006/relationships/hyperlink" Target="https://www.google.com/search?newwindow=1&amp;ei=2MT0XrvGGM-vytMP1OyDgAY&amp;q=site%3Alinkedin.com+Marcus+Santos+Associate+Dean+for+Undergraduate+Programs+and+Student+Affairs" TargetMode="External"/><Relationship Id="rId2991" Type="http://schemas.openxmlformats.org/officeDocument/2006/relationships/hyperlink" Target="https://www.google.com/search?newwindow=1&amp;ei=2MT0XrvGGM-vytMP1OyDgAY&amp;q=site%3Alinkedin.com+Carli+Hyatt+Campus+Recruiter+Deloitte+Consulting" TargetMode="External"/><Relationship Id="rId1661" Type="http://schemas.openxmlformats.org/officeDocument/2006/relationships/hyperlink" Target="https://www.google.com/search?newwindow=1&amp;ei=2MT0XrvGGM-vytMP1OyDgAY&amp;q=site%3Alinkedin.com+Kimberly+Russell,+CPA,+CGA+Financial+Manager,+Student+Nutrition+Programs" TargetMode="External"/><Relationship Id="rId2992" Type="http://schemas.openxmlformats.org/officeDocument/2006/relationships/hyperlink" Target="https://www.google.com/search?newwindow=1&amp;ei=2MT0XrvGGM-vytMP1OyDgAY&amp;q=site%3Alinkedin.com+Taylor+Mac+Kenzie+Campus+Recruiter+-+Vice+President+Goldman+Sachs" TargetMode="External"/><Relationship Id="rId1662" Type="http://schemas.openxmlformats.org/officeDocument/2006/relationships/hyperlink" Target="https://www.google.com/search?newwindow=1&amp;ei=2MT0XrvGGM-vytMP1OyDgAY&amp;q=site%3Alinkedin.com+Sothy+Son+Undergraduate+Programs+and+Student+Affairs" TargetMode="External"/><Relationship Id="rId2993" Type="http://schemas.openxmlformats.org/officeDocument/2006/relationships/hyperlink" Target="https://www.google.com/search?newwindow=1&amp;ei=2MT0XrvGGM-vytMP1OyDgAY&amp;q=site%3Alinkedin.com+Tracey+King+Campus+Recruiter+Coordinator+Deloitte+Consulting" TargetMode="External"/><Relationship Id="rId1663" Type="http://schemas.openxmlformats.org/officeDocument/2006/relationships/hyperlink" Target="https://www.google.com/search?newwindow=1&amp;ei=2MT0XrvGGM-vytMP1OyDgAY&amp;q=site%3Alinkedin.com+Kate+Stoehr+Graduate+Student" TargetMode="External"/><Relationship Id="rId2994" Type="http://schemas.openxmlformats.org/officeDocument/2006/relationships/hyperlink" Target="https://www.google.com/search?newwindow=1&amp;ei=2MT0XrvGGM-vytMP1OyDgAY&amp;q=site%3Alinkedin.com+Marisa+Lieberman+Associate,+Engineering+Campus+Recruiter+Goldman+Sachs" TargetMode="External"/><Relationship Id="rId2148" Type="http://schemas.openxmlformats.org/officeDocument/2006/relationships/hyperlink" Target="https://www.google.com/search?newwindow=1&amp;ei=2MT0XrvGGM-vytMP1OyDgAY&amp;q=site%3Alinkedin.com+Julia+Christakos+Process+Manager,+Campus+Recruiting+Capital+One" TargetMode="External"/><Relationship Id="rId2149" Type="http://schemas.openxmlformats.org/officeDocument/2006/relationships/hyperlink" Target="https://www.google.com/search?newwindow=1&amp;ei=2MT0XrvGGM-vytMP1OyDgAY&amp;q=site%3Alinkedin.com+Peyton+Lowery+Senior+Campus+Recruiter+-+Technology+Capital+One" TargetMode="External"/><Relationship Id="rId3479" Type="http://schemas.openxmlformats.org/officeDocument/2006/relationships/hyperlink" Target="https://www.google.com/search?newwindow=1&amp;ei=2MT0XrvGGM-vytMP1OyDgAY&amp;q=site%3Alinkedin.com+Tyra+H.+College+Recruiter+GEICO" TargetMode="External"/><Relationship Id="rId3470" Type="http://schemas.openxmlformats.org/officeDocument/2006/relationships/hyperlink" Target="https://www.google.com/search?newwindow=1&amp;ei=2MT0XrvGGM-vytMP1OyDgAY&amp;q=site%3Alinkedin.com+Alexandra+Halas+Campus+Recruiter+Lockheed+Martin" TargetMode="External"/><Relationship Id="rId2140" Type="http://schemas.openxmlformats.org/officeDocument/2006/relationships/hyperlink" Target="https://www.google.com/search?newwindow=1&amp;ei=2MT0XrvGGM-vytMP1OyDgAY&amp;q=site%3Alinkedin.com+Sahara+Marte+Campus+Recruiter+Capital+One" TargetMode="External"/><Relationship Id="rId3472" Type="http://schemas.openxmlformats.org/officeDocument/2006/relationships/hyperlink" Target="https://www.google.com/search?newwindow=1&amp;ei=2MT0XrvGGM-vytMP1OyDgAY&amp;q=site%3Alinkedin.com+Taylor+Beatty+Regional+Campus+Recruiter+GEICO" TargetMode="External"/><Relationship Id="rId2141" Type="http://schemas.openxmlformats.org/officeDocument/2006/relationships/hyperlink" Target="https://www.google.com/search?newwindow=1&amp;ei=2MT0XrvGGM-vytMP1OyDgAY&amp;q=site%3Alinkedin.com+Martha+O'Brien+Graduate+Campus+Recruiter+%7C+HR+Rotational+Program+Capital+One" TargetMode="External"/><Relationship Id="rId3471" Type="http://schemas.openxmlformats.org/officeDocument/2006/relationships/hyperlink" Target="https://www.google.com/search?newwindow=1&amp;ei=2MT0XrvGGM-vytMP1OyDgAY&amp;q=site%3Alinkedin.com+Christina+Ponzi+College+Recruiter+Lockheed+Martin" TargetMode="External"/><Relationship Id="rId2142" Type="http://schemas.openxmlformats.org/officeDocument/2006/relationships/hyperlink" Target="https://www.google.com/search?newwindow=1&amp;ei=2MT0XrvGGM-vytMP1OyDgAY&amp;q=site%3Alinkedin.com+Pablo+Briones+Campus+Recruiter+Capital+One" TargetMode="External"/><Relationship Id="rId3474" Type="http://schemas.openxmlformats.org/officeDocument/2006/relationships/hyperlink" Target="https://www.google.com/search?newwindow=1&amp;ei=2MT0XrvGGM-vytMP1OyDgAY&amp;q=site%3Alinkedin.com+Toni+Kontos+Campus+Recruiter+GEICO" TargetMode="External"/><Relationship Id="rId2143" Type="http://schemas.openxmlformats.org/officeDocument/2006/relationships/hyperlink" Target="https://www.google.com/search?newwindow=1&amp;ei=2MT0XrvGGM-vytMP1OyDgAY&amp;q=site%3Alinkedin.com+Lisa+Crouse,+CPA,+SHRM-CP+Senior+Manager+Recruiting+Capital+One" TargetMode="External"/><Relationship Id="rId3473" Type="http://schemas.openxmlformats.org/officeDocument/2006/relationships/hyperlink" Target="https://www.google.com/search?newwindow=1&amp;ei=2MT0XrvGGM-vytMP1OyDgAY&amp;q=site%3Alinkedin.com+Gregory+Caguimbal+Campus+Recruiter+Lockheed+Martin" TargetMode="External"/><Relationship Id="rId2144" Type="http://schemas.openxmlformats.org/officeDocument/2006/relationships/hyperlink" Target="https://www.google.com/search?newwindow=1&amp;ei=2MT0XrvGGM-vytMP1OyDgAY&amp;q=site%3Alinkedin.com+Kelly+Bowman+Campus+Recruiter,+Technology+(Southeast+Region)+Capital+One" TargetMode="External"/><Relationship Id="rId3476" Type="http://schemas.openxmlformats.org/officeDocument/2006/relationships/hyperlink" Target="https://www.google.com/search?newwindow=1&amp;ei=2MT0XrvGGM-vytMP1OyDgAY&amp;q=site%3Alinkedin.com+Brian+Kroll+%F0%9F%94%B9+Campus+Recruiter+with+University+Relations+&amp;+Recruiting+Lockheed+Martin" TargetMode="External"/><Relationship Id="rId2145" Type="http://schemas.openxmlformats.org/officeDocument/2006/relationships/hyperlink" Target="https://www.google.com/search?newwindow=1&amp;ei=2MT0XrvGGM-vytMP1OyDgAY&amp;q=site%3Alinkedin.com+Lauren+Cox+Campus+Recruiter+Capital+One" TargetMode="External"/><Relationship Id="rId3475" Type="http://schemas.openxmlformats.org/officeDocument/2006/relationships/hyperlink" Target="https://www.google.com/search?newwindow=1&amp;ei=2MT0XrvGGM-vytMP1OyDgAY&amp;q=site%3Alinkedin.com+Pitchaporn+Vorapipatana+College+Recruiter+Lockheed+Martin" TargetMode="External"/><Relationship Id="rId2146" Type="http://schemas.openxmlformats.org/officeDocument/2006/relationships/hyperlink" Target="https://www.google.com/search?newwindow=1&amp;ei=2MT0XrvGGM-vytMP1OyDgAY&amp;q=site%3Alinkedin.com+Tori+Compton+Campus+Recruiter+Capital+One" TargetMode="External"/><Relationship Id="rId3478" Type="http://schemas.openxmlformats.org/officeDocument/2006/relationships/hyperlink" Target="https://www.google.com/search?newwindow=1&amp;ei=2MT0XrvGGM-vytMP1OyDgAY&amp;q=site%3Alinkedin.com+Chelcey+Little+Leadership+Development+Program+Lead/+College+Recruiter+Lockheed+Martin" TargetMode="External"/><Relationship Id="rId2147" Type="http://schemas.openxmlformats.org/officeDocument/2006/relationships/hyperlink" Target="https://www.google.com/search?newwindow=1&amp;ei=2MT0XrvGGM-vytMP1OyDgAY&amp;q=site%3Alinkedin.com+Chris+Giacchi+Sr.+Manager,+Campus+Recruiting+Capital+One" TargetMode="External"/><Relationship Id="rId3477" Type="http://schemas.openxmlformats.org/officeDocument/2006/relationships/hyperlink" Target="https://www.google.com/search?newwindow=1&amp;ei=2MT0XrvGGM-vytMP1OyDgAY&amp;q=site%3Alinkedin.com+Kendra+Eakles+Regional+College+Recruiter+GEICO" TargetMode="External"/><Relationship Id="rId2137" Type="http://schemas.openxmlformats.org/officeDocument/2006/relationships/hyperlink" Target="https://www.google.com/search?newwindow=1&amp;ei=2MT0XrvGGM-vytMP1OyDgAY&amp;q=site%3Alinkedin.com+Jamar+Renfro+Campus+Recruiter+Capital+One" TargetMode="External"/><Relationship Id="rId3469" Type="http://schemas.openxmlformats.org/officeDocument/2006/relationships/hyperlink" Target="https://www.google.com/search?newwindow=1&amp;ei=2MT0XrvGGM-vytMP1OyDgAY&amp;q=site%3Alinkedin.com+Latrell+Tyson+College+Recruiter+GEICO" TargetMode="External"/><Relationship Id="rId2138" Type="http://schemas.openxmlformats.org/officeDocument/2006/relationships/hyperlink" Target="https://www.google.com/search?newwindow=1&amp;ei=2MT0XrvGGM-vytMP1OyDgAY&amp;q=site%3Alinkedin.com+Aaron+Hendrickson+Senior+Manager,+Campus+Recruiting+Capital+One" TargetMode="External"/><Relationship Id="rId3468" Type="http://schemas.openxmlformats.org/officeDocument/2006/relationships/hyperlink" Target="https://www.google.com/search?newwindow=1&amp;ei=2MT0XrvGGM-vytMP1OyDgAY&amp;q=site%3Alinkedin.com+Nicole+Foster,+M.S.+College+Recruiter+Lockheed+Martin" TargetMode="External"/><Relationship Id="rId2139" Type="http://schemas.openxmlformats.org/officeDocument/2006/relationships/hyperlink" Target="https://www.google.com/search?newwindow=1&amp;ei=2MT0XrvGGM-vytMP1OyDgAY&amp;q=site%3Alinkedin.com+Mark+Measell+Campus+Recruiter+Capital+One" TargetMode="External"/><Relationship Id="rId3461" Type="http://schemas.openxmlformats.org/officeDocument/2006/relationships/hyperlink" Target="https://www.google.com/search?newwindow=1&amp;ei=2MT0XrvGGM-vytMP1OyDgAY&amp;q=site%3Alinkedin.com+Kyle+Stai+University+Recruiter+Lockheed+Martin" TargetMode="External"/><Relationship Id="rId2130" Type="http://schemas.openxmlformats.org/officeDocument/2006/relationships/hyperlink" Target="https://www.google.com/search?newwindow=1&amp;ei=2MT0XrvGGM-vytMP1OyDgAY&amp;q=site%3Alinkedin.com+Steve+Villa+National+Campus+Recruiter+Capgemini" TargetMode="External"/><Relationship Id="rId3460" Type="http://schemas.openxmlformats.org/officeDocument/2006/relationships/hyperlink" Target="https://www.google.com/search?newwindow=1&amp;ei=2MT0XrvGGM-vytMP1OyDgAY&amp;q=site%3Alinkedin.com+Ashley+Kessens+University+Talent+Acquisition+Recruiter,+Space+Lockheed+Martin" TargetMode="External"/><Relationship Id="rId2131" Type="http://schemas.openxmlformats.org/officeDocument/2006/relationships/hyperlink" Target="https://www.google.com/search?newwindow=1&amp;ei=2MT0XrvGGM-vytMP1OyDgAY&amp;q=site%3Alinkedin.com+Ashley+Ann+Cooper+Campus+Recruiter+Capgemini+Consulting" TargetMode="External"/><Relationship Id="rId3463" Type="http://schemas.openxmlformats.org/officeDocument/2006/relationships/hyperlink" Target="https://www.google.com/search?newwindow=1&amp;ei=2MT0XrvGGM-vytMP1OyDgAY&amp;q=site%3Alinkedin.com+Jennina+Arcuri+Lead+University+Talent+Aquisition+Recruiter+Lockheed+Martin" TargetMode="External"/><Relationship Id="rId2132" Type="http://schemas.openxmlformats.org/officeDocument/2006/relationships/hyperlink" Target="https://www.google.com/search?newwindow=1&amp;ei=2MT0XrvGGM-vytMP1OyDgAY&amp;q=site%3Alinkedin.com+Sarah+Fitch+Tech+Campus+Recruiter+-+Midwest+Region+Capital+One" TargetMode="External"/><Relationship Id="rId3462" Type="http://schemas.openxmlformats.org/officeDocument/2006/relationships/hyperlink" Target="https://www.google.com/search?newwindow=1&amp;ei=2MT0XrvGGM-vytMP1OyDgAY&amp;q=site%3Alinkedin.com+Greg+Herman+Global+Logistics+Finance+Manager+GE+Healthcare" TargetMode="External"/><Relationship Id="rId2133" Type="http://schemas.openxmlformats.org/officeDocument/2006/relationships/hyperlink" Target="https://www.google.com/search?newwindow=1&amp;ei=2MT0XrvGGM-vytMP1OyDgAY&amp;q=site%3Alinkedin.com+Lauren+Wright+Campus+Recruiter+Capital+One" TargetMode="External"/><Relationship Id="rId3465" Type="http://schemas.openxmlformats.org/officeDocument/2006/relationships/hyperlink" Target="https://www.google.com/search?newwindow=1&amp;ei=2MT0XrvGGM-vytMP1OyDgAY&amp;q=site%3Alinkedin.com+Andrew+Pearlman+College+Recruiter+Lockheed+Martin" TargetMode="External"/><Relationship Id="rId2134" Type="http://schemas.openxmlformats.org/officeDocument/2006/relationships/hyperlink" Target="https://www.google.com/search?newwindow=1&amp;ei=2MT0XrvGGM-vytMP1OyDgAY&amp;q=site%3Alinkedin.com+Vanessa+Mauskapf+(CONT)+Campus+Recruiter+Capital+One" TargetMode="External"/><Relationship Id="rId3464" Type="http://schemas.openxmlformats.org/officeDocument/2006/relationships/hyperlink" Target="https://www.google.com/search?newwindow=1&amp;ei=2MT0XrvGGM-vytMP1OyDgAY&amp;q=site%3Alinkedin.com+Argyle+Sects+Recruiter+GE+Oil+&amp;+Gas" TargetMode="External"/><Relationship Id="rId2135" Type="http://schemas.openxmlformats.org/officeDocument/2006/relationships/hyperlink" Target="https://www.google.com/search?newwindow=1&amp;ei=2MT0XrvGGM-vytMP1OyDgAY&amp;q=site%3Alinkedin.com+Phylicia+Montaque+Campus+Recruiter+Capital+One" TargetMode="External"/><Relationship Id="rId3467" Type="http://schemas.openxmlformats.org/officeDocument/2006/relationships/hyperlink" Target="https://www.google.com/search?newwindow=1&amp;ei=2MT0XrvGGM-vytMP1OyDgAY&amp;q=site%3Alinkedin.com+Justin+Norris+Transport+Intelligence+-+Senior+Engineering+Manager+-+Integration+Engineering+GE+Transportation" TargetMode="External"/><Relationship Id="rId2136" Type="http://schemas.openxmlformats.org/officeDocument/2006/relationships/hyperlink" Target="https://www.google.com/search?newwindow=1&amp;ei=2MT0XrvGGM-vytMP1OyDgAY&amp;q=site%3Alinkedin.com+Eugene+Jacobs+Campus+Recruiter+Capital+One" TargetMode="External"/><Relationship Id="rId3466" Type="http://schemas.openxmlformats.org/officeDocument/2006/relationships/hyperlink" Target="https://www.google.com/search?newwindow=1&amp;ei=2MT0XrvGGM-vytMP1OyDgAY&amp;q=site%3Alinkedin.com+Matthew+Castro+Campus+Recruiter+Lockheed+Martin" TargetMode="External"/><Relationship Id="rId3490" Type="http://schemas.openxmlformats.org/officeDocument/2006/relationships/hyperlink" Target="https://www.google.com/search?newwindow=1&amp;ei=2MT0XrvGGM-vytMP1OyDgAY&amp;q=site%3Alinkedin.com+Janet+Bachtel+Campus+Manager+-+University+Relations+&amp;+Recruiting+Lockheed+Martin" TargetMode="External"/><Relationship Id="rId2160" Type="http://schemas.openxmlformats.org/officeDocument/2006/relationships/hyperlink" Target="https://www.google.com/search?newwindow=1&amp;ei=2MT0XrvGGM-vytMP1OyDgAY&amp;q=site%3Alinkedin.com+Hayley+(Ford)+Nainani+Campus+Recruiting+Manager+Capital+One" TargetMode="External"/><Relationship Id="rId3492" Type="http://schemas.openxmlformats.org/officeDocument/2006/relationships/hyperlink" Target="https://www.google.com/search?newwindow=1&amp;ei=2MT0XrvGGM-vytMP1OyDgAY&amp;q=site%3Alinkedin.com+Margaret+Ila+Christian+Campus+Recruiter+Lockheed+Martin" TargetMode="External"/><Relationship Id="rId2161" Type="http://schemas.openxmlformats.org/officeDocument/2006/relationships/hyperlink" Target="https://www.google.com/search?newwindow=1&amp;ei=2MT0XrvGGM-vytMP1OyDgAY&amp;q=site%3Alinkedin.com+Anthony+Jimenez+Tech+Recruiter+-+Campus+Recruiting+Capital+One" TargetMode="External"/><Relationship Id="rId3491" Type="http://schemas.openxmlformats.org/officeDocument/2006/relationships/hyperlink" Target="https://www.google.com/search?newwindow=1&amp;ei=2MT0XrvGGM-vytMP1OyDgAY&amp;q=site%3Alinkedin.com+James+++A.+Robinson+Regional+College+Recruiter+GEICO" TargetMode="External"/><Relationship Id="rId2162" Type="http://schemas.openxmlformats.org/officeDocument/2006/relationships/hyperlink" Target="https://www.google.com/search?newwindow=1&amp;ei=2MT0XrvGGM-vytMP1OyDgAY&amp;q=site%3Alinkedin.com+Alan+Ward+(he/him)+Campus+Recruiter+-+Enterprise+Programs+Capital+One" TargetMode="External"/><Relationship Id="rId3494" Type="http://schemas.openxmlformats.org/officeDocument/2006/relationships/hyperlink" Target="https://www.google.com/search?newwindow=1&amp;ei=2MT0XrvGGM-vytMP1OyDgAY&amp;q=site%3Alinkedin.com+Karina+Stronciu+Campus+Recruiter+Lockheed+Martin" TargetMode="External"/><Relationship Id="rId2163" Type="http://schemas.openxmlformats.org/officeDocument/2006/relationships/hyperlink" Target="https://www.google.com/search?newwindow=1&amp;ei=2MT0XrvGGM-vytMP1OyDgAY&amp;q=site%3Alinkedin.com+Nyla+Walker+Senior+Diversity+&amp;+Inclusion+Campus+Recruiter+Capital+One" TargetMode="External"/><Relationship Id="rId3493" Type="http://schemas.openxmlformats.org/officeDocument/2006/relationships/hyperlink" Target="https://www.google.com/search?newwindow=1&amp;ei=2MT0XrvGGM-vytMP1OyDgAY&amp;q=site%3Alinkedin.com+Marlena+Banks+Regional+College+Recruiter+GEICO" TargetMode="External"/><Relationship Id="rId2164" Type="http://schemas.openxmlformats.org/officeDocument/2006/relationships/hyperlink" Target="https://www.google.com/search?newwindow=1&amp;ei=2MT0XrvGGM-vytMP1OyDgAY&amp;q=site%3Alinkedin.com+Arielle+Singleton+Campus+Recruiter+Capital+One" TargetMode="External"/><Relationship Id="rId3496" Type="http://schemas.openxmlformats.org/officeDocument/2006/relationships/hyperlink" Target="https://www.google.com/search?newwindow=1&amp;ei=2MT0XrvGGM-vytMP1OyDgAY&amp;q=site%3Alinkedin.com+Iysha+Robinson,+M.A.+University+Talent+Acquisition+Recruiter+Lockheed+Martin" TargetMode="External"/><Relationship Id="rId2165" Type="http://schemas.openxmlformats.org/officeDocument/2006/relationships/hyperlink" Target="https://www.google.com/search?newwindow=1&amp;ei=2MT0XrvGGM-vytMP1OyDgAY&amp;q=site%3Alinkedin.com+Rachel+Turner+Campus+Recruiter+Capital+One" TargetMode="External"/><Relationship Id="rId3495" Type="http://schemas.openxmlformats.org/officeDocument/2006/relationships/hyperlink" Target="https://www.google.com/search?newwindow=1&amp;ei=2MT0XrvGGM-vytMP1OyDgAY&amp;q=site%3Alinkedin.com+Michelle+Berg+College+Recruiter+GEICO" TargetMode="External"/><Relationship Id="rId2166" Type="http://schemas.openxmlformats.org/officeDocument/2006/relationships/hyperlink" Target="https://www.google.com/search?newwindow=1&amp;ei=2MT0XrvGGM-vytMP1OyDgAY&amp;q=site%3Alinkedin.com+Stephanie+Wharton+Campus+Recruiter+Capital+One" TargetMode="External"/><Relationship Id="rId3498" Type="http://schemas.openxmlformats.org/officeDocument/2006/relationships/hyperlink" Target="https://www.google.com/search?newwindow=1&amp;ei=2MT0XrvGGM-vytMP1OyDgAY&amp;q=site%3Alinkedin.com+Brigette+Biagas+Campus+Recruiter+Lockheed+Martin" TargetMode="External"/><Relationship Id="rId2167" Type="http://schemas.openxmlformats.org/officeDocument/2006/relationships/hyperlink" Target="https://www.google.com/search?newwindow=1&amp;ei=2MT0XrvGGM-vytMP1OyDgAY&amp;q=site%3Alinkedin.com+Lexus+Kennedy+Operations+Manager+Cargill" TargetMode="External"/><Relationship Id="rId3497" Type="http://schemas.openxmlformats.org/officeDocument/2006/relationships/hyperlink" Target="https://www.google.com/search?newwindow=1&amp;ei=2MT0XrvGGM-vytMP1OyDgAY&amp;q=site%3Alinkedin.com+Tricia+Barrios+Regional+College+Recruiter+GEICO" TargetMode="External"/><Relationship Id="rId2168" Type="http://schemas.openxmlformats.org/officeDocument/2006/relationships/hyperlink" Target="https://www.google.com/search?newwindow=1&amp;ei=2MT0XrvGGM-vytMP1OyDgAY&amp;q=site%3Alinkedin.com+Anais+Diaz+University+Recruiter+Specialist+Cargill" TargetMode="External"/><Relationship Id="rId2169" Type="http://schemas.openxmlformats.org/officeDocument/2006/relationships/hyperlink" Target="https://www.google.com/search?newwindow=1&amp;ei=2MT0XrvGGM-vytMP1OyDgAY&amp;q=site%3Alinkedin.com+Samgwa'a+Ndifontah+University+Recruiter+Cargill" TargetMode="External"/><Relationship Id="rId3499" Type="http://schemas.openxmlformats.org/officeDocument/2006/relationships/hyperlink" Target="https://www.google.com/search?newwindow=1&amp;ei=2MT0XrvGGM-vytMP1OyDgAY&amp;q=site%3Alinkedin.com+Jessie+Jordan+College+Recruiter+Lockheed+Martin" TargetMode="External"/><Relationship Id="rId2159" Type="http://schemas.openxmlformats.org/officeDocument/2006/relationships/hyperlink" Target="https://www.google.com/search?newwindow=1&amp;ei=2MT0XrvGGM-vytMP1OyDgAY&amp;q=site%3Alinkedin.com+Kelsey+Indorf+Campus+Recruiting+Senior+Manager+Capital+One" TargetMode="External"/><Relationship Id="rId3481" Type="http://schemas.openxmlformats.org/officeDocument/2006/relationships/hyperlink" Target="https://www.google.com/search?newwindow=1&amp;ei=2MT0XrvGGM-vytMP1OyDgAY&amp;q=site%3Alinkedin.com+Sam+Tekl%C3%A9+Regional+College+Recruiter+GEICO" TargetMode="External"/><Relationship Id="rId2150" Type="http://schemas.openxmlformats.org/officeDocument/2006/relationships/hyperlink" Target="https://www.google.com/search?newwindow=1&amp;ei=2MT0XrvGGM-vytMP1OyDgAY&amp;q=site%3Alinkedin.com+Jarvis-Ricardo+Johnson,+MPA+Campus+Recruiter+Capital+One" TargetMode="External"/><Relationship Id="rId3480" Type="http://schemas.openxmlformats.org/officeDocument/2006/relationships/hyperlink" Target="https://www.google.com/search?newwindow=1&amp;ei=2MT0XrvGGM-vytMP1OyDgAY&amp;q=site%3Alinkedin.com+Nicole+Horan+College+Recruiter+Lockheed+Martin" TargetMode="External"/><Relationship Id="rId2151" Type="http://schemas.openxmlformats.org/officeDocument/2006/relationships/hyperlink" Target="https://www.google.com/search?newwindow=1&amp;ei=2MT0XrvGGM-vytMP1OyDgAY&amp;q=site%3Alinkedin.com+Meg+Stabler+Campus+Recruiter,+Business+Analyst+(Southeast+Region)+Capital+One" TargetMode="External"/><Relationship Id="rId3483" Type="http://schemas.openxmlformats.org/officeDocument/2006/relationships/hyperlink" Target="https://www.google.com/search?newwindow=1&amp;ei=2MT0XrvGGM-vytMP1OyDgAY&amp;q=site%3Alinkedin.com+William+Heartsill+College+Recruiter+GEICO" TargetMode="External"/><Relationship Id="rId2152" Type="http://schemas.openxmlformats.org/officeDocument/2006/relationships/hyperlink" Target="https://www.google.com/search?newwindow=1&amp;ei=2MT0XrvGGM-vytMP1OyDgAY&amp;q=site%3Alinkedin.com+Mary+Kate+Duncan+Campus+Recruiter+Capital+One" TargetMode="External"/><Relationship Id="rId3482" Type="http://schemas.openxmlformats.org/officeDocument/2006/relationships/hyperlink" Target="https://www.google.com/search?newwindow=1&amp;ei=2MT0XrvGGM-vytMP1OyDgAY&amp;q=site%3Alinkedin.com+Bria+Rathway+Campus+Recruiter+Lockheed+Martin" TargetMode="External"/><Relationship Id="rId2153" Type="http://schemas.openxmlformats.org/officeDocument/2006/relationships/hyperlink" Target="https://www.google.com/search?newwindow=1&amp;ei=2MT0XrvGGM-vytMP1OyDgAY&amp;q=site%3Alinkedin.com+Sarah+Bigelow+Campus+Recruiter+Capital+One" TargetMode="External"/><Relationship Id="rId3485" Type="http://schemas.openxmlformats.org/officeDocument/2006/relationships/hyperlink" Target="https://www.google.com/search?newwindow=1&amp;ei=2MT0XrvGGM-vytMP1OyDgAY&amp;q=site%3Alinkedin.com+Chelsea+Rush+Regional+College+Recruiter+GEICO" TargetMode="External"/><Relationship Id="rId2154" Type="http://schemas.openxmlformats.org/officeDocument/2006/relationships/hyperlink" Target="https://www.google.com/search?newwindow=1&amp;ei=2MT0XrvGGM-vytMP1OyDgAY&amp;q=site%3Alinkedin.com+Katie+Griffin+HR+Associate,+Analyst+Campus+Programs+Capital+One" TargetMode="External"/><Relationship Id="rId3484" Type="http://schemas.openxmlformats.org/officeDocument/2006/relationships/hyperlink" Target="https://www.google.com/search?newwindow=1&amp;ei=2MT0XrvGGM-vytMP1OyDgAY&amp;q=site%3Alinkedin.com+Sierra+Kehrer+College+Recruiter:+Global+Talent+Acquisitions+Lockheed+Martin" TargetMode="External"/><Relationship Id="rId2155" Type="http://schemas.openxmlformats.org/officeDocument/2006/relationships/hyperlink" Target="https://www.google.com/search?newwindow=1&amp;ei=2MT0XrvGGM-vytMP1OyDgAY&amp;q=site%3Alinkedin.com+Addison+Leftwich+Campus+Recruiter+Capital+One" TargetMode="External"/><Relationship Id="rId3487" Type="http://schemas.openxmlformats.org/officeDocument/2006/relationships/hyperlink" Target="https://www.google.com/search?newwindow=1&amp;ei=2MT0XrvGGM-vytMP1OyDgAY&amp;q=site%3Alinkedin.com+Chelsey+Parsons+Regional+College+Recruiter+GEICO" TargetMode="External"/><Relationship Id="rId2156" Type="http://schemas.openxmlformats.org/officeDocument/2006/relationships/hyperlink" Target="https://www.google.com/search?newwindow=1&amp;ei=2MT0XrvGGM-vytMP1OyDgAY&amp;q=site%3Alinkedin.com+Kwanza+K.+Nunn,+SPHR,+SHRM-SCP+Campus+Recruiting+Manager+Capital+One" TargetMode="External"/><Relationship Id="rId3486" Type="http://schemas.openxmlformats.org/officeDocument/2006/relationships/hyperlink" Target="https://www.google.com/search?newwindow=1&amp;ei=2MT0XrvGGM-vytMP1OyDgAY&amp;q=site%3Alinkedin.com+Leo+Faneuf+College+Talent+Acquisition+and+Diversity+Engagement+Manager+Lockheed+Martin" TargetMode="External"/><Relationship Id="rId2157" Type="http://schemas.openxmlformats.org/officeDocument/2006/relationships/hyperlink" Target="https://www.google.com/search?newwindow=1&amp;ei=2MT0XrvGGM-vytMP1OyDgAY&amp;q=site%3Alinkedin.com+Faith+Holland+Tech+Recruiter,+Campus+Recruiting+Capital+One" TargetMode="External"/><Relationship Id="rId3489" Type="http://schemas.openxmlformats.org/officeDocument/2006/relationships/hyperlink" Target="https://www.google.com/search?newwindow=1&amp;ei=2MT0XrvGGM-vytMP1OyDgAY&amp;q=site%3Alinkedin.com+Megan+Eckart+College+Recruiter+GEICO" TargetMode="External"/><Relationship Id="rId2158" Type="http://schemas.openxmlformats.org/officeDocument/2006/relationships/hyperlink" Target="https://www.google.com/search?newwindow=1&amp;ei=2MT0XrvGGM-vytMP1OyDgAY&amp;q=site%3Alinkedin.com+Monica+Diocades+Campus+Recruiter+Capital+One" TargetMode="External"/><Relationship Id="rId3488" Type="http://schemas.openxmlformats.org/officeDocument/2006/relationships/hyperlink" Target="https://www.google.com/search?newwindow=1&amp;ei=2MT0XrvGGM-vytMP1OyDgAY&amp;q=site%3Alinkedin.com+Yeneneh+Ketema+Campus+Relations+Manager+Lockheed+Martin" TargetMode="External"/><Relationship Id="rId2104" Type="http://schemas.openxmlformats.org/officeDocument/2006/relationships/hyperlink" Target="https://www.google.com/search?newwindow=1&amp;ei=2MT0XrvGGM-vytMP1OyDgAY&amp;q=site%3Alinkedin.com+Ashley+Wodarek+Lead+Technology+Campus+Recruiter+BNY+Mellon" TargetMode="External"/><Relationship Id="rId3436" Type="http://schemas.openxmlformats.org/officeDocument/2006/relationships/hyperlink" Target="https://www.google.com/search?newwindow=1&amp;ei=2MT0XrvGGM-vytMP1OyDgAY&amp;q=site%3Alinkedin.com+Matthew+Duarte+University+Recruiter+Gartner" TargetMode="External"/><Relationship Id="rId2105" Type="http://schemas.openxmlformats.org/officeDocument/2006/relationships/hyperlink" Target="https://www.google.com/search?newwindow=1&amp;ei=2MT0XrvGGM-vytMP1OyDgAY&amp;q=site%3Alinkedin.com+Kristi+Newton+Interim+Global+Head+of+Campus+Recruiting+&amp;+Emerging+Talent+Programs+BNY+Mellon" TargetMode="External"/><Relationship Id="rId3435" Type="http://schemas.openxmlformats.org/officeDocument/2006/relationships/hyperlink" Target="https://www.google.com/search?newwindow=1&amp;ei=2MT0XrvGGM-vytMP1OyDgAY&amp;q=site%3Alinkedin.com+Annie+McDonough+Campus+Recruiter+LinkedIn" TargetMode="External"/><Relationship Id="rId2106" Type="http://schemas.openxmlformats.org/officeDocument/2006/relationships/hyperlink" Target="https://www.google.com/search?newwindow=1&amp;ei=2MT0XrvGGM-vytMP1OyDgAY&amp;q=site%3Alinkedin.com+Matthew+Veseleny+Lead+Campus+Recruiter+BNY+Mellon" TargetMode="External"/><Relationship Id="rId3438" Type="http://schemas.openxmlformats.org/officeDocument/2006/relationships/hyperlink" Target="https://www.google.com/search?newwindow=1&amp;ei=2MT0XrvGGM-vytMP1OyDgAY&amp;q=site%3Alinkedin.com+David+Taylor+(he/him)+Recruiting+Manager,+Campus+Tech+LinkedIn" TargetMode="External"/><Relationship Id="rId2107" Type="http://schemas.openxmlformats.org/officeDocument/2006/relationships/hyperlink" Target="https://www.google.com/search?newwindow=1&amp;ei=2MT0XrvGGM-vytMP1OyDgAY&amp;q=site%3Alinkedin.com+Olivia+Waldron+Global+Program+Manager-+Operations+Campus+Analyst+Program+BNY+Mellon" TargetMode="External"/><Relationship Id="rId3437" Type="http://schemas.openxmlformats.org/officeDocument/2006/relationships/hyperlink" Target="https://www.google.com/search?newwindow=1&amp;ei=2MT0XrvGGM-vytMP1OyDgAY&amp;q=site%3Alinkedin.com+Trixie+Cordova+(she/her)+Campus+Recruiting+Global+Program+Manager+LinkedIn" TargetMode="External"/><Relationship Id="rId2108" Type="http://schemas.openxmlformats.org/officeDocument/2006/relationships/hyperlink" Target="https://www.google.com/search?newwindow=1&amp;ei=2MT0XrvGGM-vytMP1OyDgAY&amp;q=site%3Alinkedin.com+Mark+Lyden+College+Recruiter+Boeing" TargetMode="External"/><Relationship Id="rId2109" Type="http://schemas.openxmlformats.org/officeDocument/2006/relationships/hyperlink" Target="https://www.google.com/search?newwindow=1&amp;ei=2MT0XrvGGM-vytMP1OyDgAY&amp;q=site%3Alinkedin.com+Tamara+Shilipetar+College+Recruiter+Boeing" TargetMode="External"/><Relationship Id="rId3439" Type="http://schemas.openxmlformats.org/officeDocument/2006/relationships/hyperlink" Target="https://www.google.com/search?newwindow=1&amp;ei=2MT0XrvGGM-vytMP1OyDgAY&amp;q=site%3Alinkedin.com+CJ+Giles+Senior+Recruiting+-+Global+and+Large+Enterprise+Sales+Gartner" TargetMode="External"/><Relationship Id="rId3430" Type="http://schemas.openxmlformats.org/officeDocument/2006/relationships/hyperlink" Target="https://www.google.com/search?newwindow=1&amp;ei=2MT0XrvGGM-vytMP1OyDgAY&amp;q=site%3Alinkedin.com+Christine+Hardy+Recruiter,+Graduate+Campus+Programs+Liberty+Mutual+Insurance" TargetMode="External"/><Relationship Id="rId2100" Type="http://schemas.openxmlformats.org/officeDocument/2006/relationships/hyperlink" Target="https://www.google.com/search?newwindow=1&amp;ei=2MT0XrvGGM-vytMP1OyDgAY&amp;q=site%3Alinkedin.com+Brittany+Rodriguez+Campus+Recruiter+Bloomberg+LP" TargetMode="External"/><Relationship Id="rId3432" Type="http://schemas.openxmlformats.org/officeDocument/2006/relationships/hyperlink" Target="https://www.google.com/search?newwindow=1&amp;ei=2MT0XrvGGM-vytMP1OyDgAY&amp;q=site%3Alinkedin.com+Jeff+Stencel+Senior+Campus+Recruiter+Gartner" TargetMode="External"/><Relationship Id="rId2101" Type="http://schemas.openxmlformats.org/officeDocument/2006/relationships/hyperlink" Target="https://www.google.com/search?newwindow=1&amp;ei=2MT0XrvGGM-vytMP1OyDgAY&amp;q=site%3Alinkedin.com+Jordan+Allison+Campus+Recruiter+Bloomberg+LP" TargetMode="External"/><Relationship Id="rId3431" Type="http://schemas.openxmlformats.org/officeDocument/2006/relationships/hyperlink" Target="https://www.google.com/search?newwindow=1&amp;ei=2MT0XrvGGM-vytMP1OyDgAY&amp;q=site%3Alinkedin.com+Cam+Pezet+Senior+Campus+Recruiter+LinkedIn" TargetMode="External"/><Relationship Id="rId2102" Type="http://schemas.openxmlformats.org/officeDocument/2006/relationships/hyperlink" Target="https://www.google.com/search?newwindow=1&amp;ei=2MT0XrvGGM-vytMP1OyDgAY&amp;q=site%3Alinkedin.com+Jeena+Park+Engineering+Campus+Recruiter+Bloomberg+LP" TargetMode="External"/><Relationship Id="rId3434" Type="http://schemas.openxmlformats.org/officeDocument/2006/relationships/hyperlink" Target="https://www.google.com/search?newwindow=1&amp;ei=2MT0XrvGGM-vytMP1OyDgAY&amp;q=site%3Alinkedin.com+Kiersten+Post+University+Recruiter+Gartner" TargetMode="External"/><Relationship Id="rId2103" Type="http://schemas.openxmlformats.org/officeDocument/2006/relationships/hyperlink" Target="https://www.google.com/search?newwindow=1&amp;ei=2MT0XrvGGM-vytMP1OyDgAY&amp;q=site%3Alinkedin.com+Melissa+Ayoob,+MBA+Campus+Recruiter+BNY+Mellon" TargetMode="External"/><Relationship Id="rId3433" Type="http://schemas.openxmlformats.org/officeDocument/2006/relationships/hyperlink" Target="https://www.google.com/search?newwindow=1&amp;ei=2MT0XrvGGM-vytMP1OyDgAY&amp;q=site%3Alinkedin.com+Bri+Casner+Senior+Manager,+Global+Campus+Recruiting+LinkedIn" TargetMode="External"/><Relationship Id="rId3425" Type="http://schemas.openxmlformats.org/officeDocument/2006/relationships/hyperlink" Target="https://www.google.com/search?newwindow=1&amp;ei=2MT0XrvGGM-vytMP1OyDgAY&amp;q=site%3Alinkedin.com+Danielle+Goldberg+Graduate+(MBA)+University+Recruiter+Gartner" TargetMode="External"/><Relationship Id="rId3424" Type="http://schemas.openxmlformats.org/officeDocument/2006/relationships/hyperlink" Target="https://www.google.com/search?newwindow=1&amp;ei=2MT0XrvGGM-vytMP1OyDgAY&amp;q=site%3Alinkedin.com+Natalie+Landry+Senior+Campus+Recruiter+Liberty+Mutual+Insurance" TargetMode="External"/><Relationship Id="rId3427" Type="http://schemas.openxmlformats.org/officeDocument/2006/relationships/hyperlink" Target="https://www.google.com/search?newwindow=1&amp;ei=2MT0XrvGGM-vytMP1OyDgAY&amp;q=site%3Alinkedin.com+Kimberly+Embick+Campus+Recruiter+Gartner" TargetMode="External"/><Relationship Id="rId3426" Type="http://schemas.openxmlformats.org/officeDocument/2006/relationships/hyperlink" Target="https://www.google.com/search?newwindow=1&amp;ei=2MT0XrvGGM-vytMP1OyDgAY&amp;q=site%3Alinkedin.com+Steven+Carnevale+Campus+Recruiter+Liberty+Mutual+Insurance" TargetMode="External"/><Relationship Id="rId3429" Type="http://schemas.openxmlformats.org/officeDocument/2006/relationships/hyperlink" Target="https://www.google.com/search?newwindow=1&amp;ei=2MT0XrvGGM-vytMP1OyDgAY&amp;q=site%3Alinkedin.com+Presley+Pender+University+Recruiter+Gartner" TargetMode="External"/><Relationship Id="rId3428" Type="http://schemas.openxmlformats.org/officeDocument/2006/relationships/hyperlink" Target="https://www.google.com/search?newwindow=1&amp;ei=2MT0XrvGGM-vytMP1OyDgAY&amp;q=site%3Alinkedin.com+Alyssa+Nogueira+Campus+Recruiter+Liberty+Mutual+Insurance" TargetMode="External"/><Relationship Id="rId899" Type="http://schemas.openxmlformats.org/officeDocument/2006/relationships/hyperlink" Target="https://www.google.com/search?newwindow=1&amp;ei=2MT0XrvGGM-vytMP1OyDgAY&amp;q=site%3Alinkedin.com+Shari+Blanck+Student+Programs+Coordinator" TargetMode="External"/><Relationship Id="rId898" Type="http://schemas.openxmlformats.org/officeDocument/2006/relationships/hyperlink" Target="https://www.google.com/search?newwindow=1&amp;ei=2MT0XrvGGM-vytMP1OyDgAY&amp;q=site%3Alinkedin.com+Christina+Leahy+Manager+-+Student+Programs" TargetMode="External"/><Relationship Id="rId897" Type="http://schemas.openxmlformats.org/officeDocument/2006/relationships/hyperlink" Target="https://www.google.com/search?newwindow=1&amp;ei=2MT0XrvGGM-vytMP1OyDgAY&amp;q=site%3Alinkedin.com+Kate+Kennedy-Ripon+Senior+Student+Experience+Programs+Officer" TargetMode="External"/><Relationship Id="rId896" Type="http://schemas.openxmlformats.org/officeDocument/2006/relationships/hyperlink" Target="https://www.google.com/search?newwindow=1&amp;ei=2MT0XrvGGM-vytMP1OyDgAY&amp;q=site%3Alinkedin.com+Jill+C.+Student+Engagement+Officer+-+Programs" TargetMode="External"/><Relationship Id="rId891" Type="http://schemas.openxmlformats.org/officeDocument/2006/relationships/hyperlink" Target="https://www.google.com/search?newwindow=1&amp;ei=2MT0XrvGGM-vytMP1OyDgAY&amp;q=site%3Alinkedin.com+Anisha+Pillai+Project+Officer+%7C+Student+Engagement+and+Peer+Programs" TargetMode="External"/><Relationship Id="rId890" Type="http://schemas.openxmlformats.org/officeDocument/2006/relationships/hyperlink" Target="https://www.google.com/search?newwindow=1&amp;ei=2MT0XrvGGM-vytMP1OyDgAY&amp;q=site%3Alinkedin.com+Cristina+B.+Talent+Acquisition+Campus+Recruiter+for+PwC+Legal+and+Strategy&amp;" TargetMode="External"/><Relationship Id="rId895" Type="http://schemas.openxmlformats.org/officeDocument/2006/relationships/hyperlink" Target="https://www.google.com/search?newwindow=1&amp;ei=2MT0XrvGGM-vytMP1OyDgAY&amp;q=site%3Alinkedin.com+Maria+Nguyen+National+Coordinator+Student+Programs" TargetMode="External"/><Relationship Id="rId3421" Type="http://schemas.openxmlformats.org/officeDocument/2006/relationships/hyperlink" Target="https://www.google.com/search?newwindow=1&amp;ei=2MT0XrvGGM-vytMP1OyDgAY&amp;q=site%3Alinkedin.com+Caitlin+Deltgen+University+Recruiter+Gartner" TargetMode="External"/><Relationship Id="rId894" Type="http://schemas.openxmlformats.org/officeDocument/2006/relationships/hyperlink" Target="https://www.google.com/search?newwindow=1&amp;ei=2MT0XrvGGM-vytMP1OyDgAY&amp;q=site%3Alinkedin.com+Gina+Peele+OLY+Director+of+Student+Programs" TargetMode="External"/><Relationship Id="rId3420" Type="http://schemas.openxmlformats.org/officeDocument/2006/relationships/hyperlink" Target="https://www.google.com/search?newwindow=1&amp;ei=2MT0XrvGGM-vytMP1OyDgAY&amp;q=site%3Alinkedin.com+Amy+Ferreira+Campus+Recruiting+Manager+Liberty+Mutual+Insurance" TargetMode="External"/><Relationship Id="rId893" Type="http://schemas.openxmlformats.org/officeDocument/2006/relationships/hyperlink" Target="https://www.google.com/search?newwindow=1&amp;ei=2MT0XrvGGM-vytMP1OyDgAY&amp;q=site%3Alinkedin.com+Elizabeth+Hu+Onshore+Recruitment+-+University+Host" TargetMode="External"/><Relationship Id="rId3423" Type="http://schemas.openxmlformats.org/officeDocument/2006/relationships/hyperlink" Target="https://www.google.com/search?newwindow=1&amp;ei=2MT0XrvGGM-vytMP1OyDgAY&amp;q=site%3Alinkedin.com+Nikki+McTernan+Associate+University+Recruiter+Gartner" TargetMode="External"/><Relationship Id="rId892" Type="http://schemas.openxmlformats.org/officeDocument/2006/relationships/hyperlink" Target="https://www.google.com/search?newwindow=1&amp;ei=2MT0XrvGGM-vytMP1OyDgAY&amp;q=site%3Alinkedin.com+Amber+Sowden+Head+of+Staff+&amp;+Student+Health+and+Wellbeing+Programs" TargetMode="External"/><Relationship Id="rId3422" Type="http://schemas.openxmlformats.org/officeDocument/2006/relationships/hyperlink" Target="https://www.google.com/search?newwindow=1&amp;ei=2MT0XrvGGM-vytMP1OyDgAY&amp;q=site%3Alinkedin.com+Kayla+Wheaton+Tech+Campus+Recruiter+Liberty+Mutual+Insurance" TargetMode="External"/><Relationship Id="rId2126" Type="http://schemas.openxmlformats.org/officeDocument/2006/relationships/hyperlink" Target="https://www.google.com/search?newwindow=1&amp;ei=2MT0XrvGGM-vytMP1OyDgAY&amp;q=site%3Alinkedin.com+Kaitlyn+White+Campus+Recruiter+Capgemini" TargetMode="External"/><Relationship Id="rId3458" Type="http://schemas.openxmlformats.org/officeDocument/2006/relationships/hyperlink" Target="https://www.google.com/search?newwindow=1&amp;ei=2MT0XrvGGM-vytMP1OyDgAY&amp;q=site%3Alinkedin.com+Gillian+Fecht+Healthcare+Digital+FP&amp;A+Reporting+&amp;+Ops+Manager+GE" TargetMode="External"/><Relationship Id="rId2127" Type="http://schemas.openxmlformats.org/officeDocument/2006/relationships/hyperlink" Target="https://www.google.com/search?newwindow=1&amp;ei=2MT0XrvGGM-vytMP1OyDgAY&amp;q=site%3Alinkedin.com+Jyothi+Navaneeth+Texas+Region+Campus+Recruiter+Capgemini" TargetMode="External"/><Relationship Id="rId3457" Type="http://schemas.openxmlformats.org/officeDocument/2006/relationships/hyperlink" Target="https://www.google.com/search?newwindow=1&amp;ei=2MT0XrvGGM-vytMP1OyDgAY&amp;q=site%3Alinkedin.com+Patrick+Dinsmoor+Campus+Recruiter+Lockheed+Martin" TargetMode="External"/><Relationship Id="rId2128" Type="http://schemas.openxmlformats.org/officeDocument/2006/relationships/hyperlink" Target="https://www.google.com/search?newwindow=1&amp;ei=2MT0XrvGGM-vytMP1OyDgAY&amp;q=site%3Alinkedin.com+Anna+Acenbrak+North+America+Campus+Recruiter+Capgemini" TargetMode="External"/><Relationship Id="rId2129" Type="http://schemas.openxmlformats.org/officeDocument/2006/relationships/hyperlink" Target="https://www.google.com/search?newwindow=1&amp;ei=2MT0XrvGGM-vytMP1OyDgAY&amp;q=site%3Alinkedin.com+Kristell+Muniz+Talent+Acquisition+%7C+Diversity+&amp;+Specialty+Campus+Recruiter+Capgemini" TargetMode="External"/><Relationship Id="rId3459" Type="http://schemas.openxmlformats.org/officeDocument/2006/relationships/hyperlink" Target="https://www.google.com/search?newwindow=1&amp;ei=2MT0XrvGGM-vytMP1OyDgAY&amp;q=site%3Alinkedin.com+Tara+Hafele+College+Recruiter,+Space+Lockheed+Martin" TargetMode="External"/><Relationship Id="rId3450" Type="http://schemas.openxmlformats.org/officeDocument/2006/relationships/hyperlink" Target="https://www.google.com/search?newwindow=1&amp;ei=2MT0XrvGGM-vytMP1OyDgAY&amp;q=site%3Alinkedin.com+Emily+Ho+Project+Manager+II,+Campus+Recruiting+Operations+LinkedIn" TargetMode="External"/><Relationship Id="rId2120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3452" Type="http://schemas.openxmlformats.org/officeDocument/2006/relationships/hyperlink" Target="https://www.google.com/search?newwindow=1&amp;ei=2MT0XrvGGM-vytMP1OyDgAY&amp;q=site%3Alinkedin.com+Anthea+Ip+Lead,+Campus+Recruiting+Data+Pod,+Senior+Technical+Recruiter+LinkedIn" TargetMode="External"/><Relationship Id="rId2121" Type="http://schemas.openxmlformats.org/officeDocument/2006/relationships/hyperlink" Target="https://www.google.com/search?newwindow=1&amp;ei=2MT0XrvGGM-vytMP1OyDgAY&amp;q=site%3Alinkedin.com+Tia+Bennett+Campus+Manager,+Diversity+Recruiting+Booz+Allen+Hamilton" TargetMode="External"/><Relationship Id="rId3451" Type="http://schemas.openxmlformats.org/officeDocument/2006/relationships/hyperlink" Target="https://www.google.com/search?newwindow=1&amp;ei=2MT0XrvGGM-vytMP1OyDgAY&amp;q=site%3Alinkedin.com+Claire+McCaskey+University+Recruiter+Gartner" TargetMode="External"/><Relationship Id="rId2122" Type="http://schemas.openxmlformats.org/officeDocument/2006/relationships/hyperlink" Target="https://www.google.com/search?newwindow=1&amp;ei=2MT0XrvGGM-vytMP1OyDgAY&amp;q=site%3Alinkedin.com+Ashley+Ann+Cooper+Learning+Manager:+Architect+and+Engagement+Manager+Curriculums+Capgemini" TargetMode="External"/><Relationship Id="rId3454" Type="http://schemas.openxmlformats.org/officeDocument/2006/relationships/hyperlink" Target="https://www.google.com/search?newwindow=1&amp;ei=2MT0XrvGGM-vytMP1OyDgAY&amp;q=site%3Alinkedin.com+Tamara+Evans+College+Recruiter+Lockheed+Martin" TargetMode="External"/><Relationship Id="rId2123" Type="http://schemas.openxmlformats.org/officeDocument/2006/relationships/hyperlink" Target="https://www.google.com/search?newwindow=1&amp;ei=2MT0XrvGGM-vytMP1OyDgAY&amp;q=site%3Alinkedin.com+Mary+Colleen+Reuter+Campus+Recruiter+Capgemini" TargetMode="External"/><Relationship Id="rId3453" Type="http://schemas.openxmlformats.org/officeDocument/2006/relationships/hyperlink" Target="https://www.google.com/search?newwindow=1&amp;ei=2MT0XrvGGM-vytMP1OyDgAY&amp;q=site%3Alinkedin.com+Sarah+Dennis+Senior+University+Field+MBA+Recruiter+Gartner" TargetMode="External"/><Relationship Id="rId2124" Type="http://schemas.openxmlformats.org/officeDocument/2006/relationships/hyperlink" Target="https://www.google.com/search?newwindow=1&amp;ei=2MT0XrvGGM-vytMP1OyDgAY&amp;q=site%3Alinkedin.com+Rylee+Simpson+Nashville+Campus+Recruiter+Capgemini" TargetMode="External"/><Relationship Id="rId3456" Type="http://schemas.openxmlformats.org/officeDocument/2006/relationships/hyperlink" Target="https://www.google.com/search?newwindow=1&amp;ei=2MT0XrvGGM-vytMP1OyDgAY&amp;q=site%3Alinkedin.com+Jackie+Potter+Sr.+University+Recruiter+Gartner" TargetMode="External"/><Relationship Id="rId2125" Type="http://schemas.openxmlformats.org/officeDocument/2006/relationships/hyperlink" Target="https://www.google.com/search?newwindow=1&amp;ei=2MT0XrvGGM-vytMP1OyDgAY&amp;q=site%3Alinkedin.com+Federica+Quattrone+Chicago+&amp;+NYC+Campus+Recruiter+Capgemini" TargetMode="External"/><Relationship Id="rId3455" Type="http://schemas.openxmlformats.org/officeDocument/2006/relationships/hyperlink" Target="https://www.google.com/search?newwindow=1&amp;ei=2MT0XrvGGM-vytMP1OyDgAY&amp;q=site%3Alinkedin.com+Harmoni+Johnson+College+Recruiter+Lockheed+Martin" TargetMode="External"/><Relationship Id="rId2115" Type="http://schemas.openxmlformats.org/officeDocument/2006/relationships/hyperlink" Target="https://www.google.com/search?newwindow=1&amp;ei=2MT0XrvGGM-vytMP1OyDgAY&amp;q=site%3Alinkedin.com+Jonell+Diaz+Hanley+College+Recruiter+The+Boeing+Company" TargetMode="External"/><Relationship Id="rId3447" Type="http://schemas.openxmlformats.org/officeDocument/2006/relationships/hyperlink" Target="https://www.google.com/search?newwindow=1&amp;ei=2MT0XrvGGM-vytMP1OyDgAY&amp;q=site%3Alinkedin.com+April+Doktor+Senior+University+Recruiter+Gartner" TargetMode="External"/><Relationship Id="rId2116" Type="http://schemas.openxmlformats.org/officeDocument/2006/relationships/hyperlink" Target="https://www.google.com/search?newwindow=1&amp;ei=2MT0XrvGGM-vytMP1OyDgAY&amp;q=site%3Alinkedin.com+Irah+Dizon+College+Recruiter+Specialist+The+Boeing+Company" TargetMode="External"/><Relationship Id="rId3446" Type="http://schemas.openxmlformats.org/officeDocument/2006/relationships/hyperlink" Target="https://www.google.com/search?newwindow=1&amp;ei=2MT0XrvGGM-vytMP1OyDgAY&amp;q=site%3Alinkedin.com+Andie+Summers+Campus+Recruiter+LinkedIn" TargetMode="External"/><Relationship Id="rId2117" Type="http://schemas.openxmlformats.org/officeDocument/2006/relationships/hyperlink" Target="https://www.google.com/search?newwindow=1&amp;ei=2MT0XrvGGM-vytMP1OyDgAY&amp;q=site%3Alinkedin.com+Brittanie+Bosselait+University+Recruiter+Booz+Allen+Hamilton" TargetMode="External"/><Relationship Id="rId3449" Type="http://schemas.openxmlformats.org/officeDocument/2006/relationships/hyperlink" Target="https://www.google.com/search?newwindow=1&amp;ei=2MT0XrvGGM-vytMP1OyDgAY&amp;q=site%3Alinkedin.com+Kristin+LaRosa+Rotational+Campus+Recruiter+Gartner" TargetMode="External"/><Relationship Id="rId2118" Type="http://schemas.openxmlformats.org/officeDocument/2006/relationships/hyperlink" Target="https://www.google.com/search?newwindow=1&amp;ei=2MT0XrvGGM-vytMP1OyDgAY&amp;q=site%3Alinkedin.com+Dean+Fechner+Sr.+Manager,+Campus+Recruiting+Booz+Allen+Hamilton" TargetMode="External"/><Relationship Id="rId3448" Type="http://schemas.openxmlformats.org/officeDocument/2006/relationships/hyperlink" Target="https://www.google.com/search?newwindow=1&amp;ei=2MT0XrvGGM-vytMP1OyDgAY&amp;q=site%3Alinkedin.com+Christian+De+Luna+Campus+Business+Recruiter+LinkedIn" TargetMode="External"/><Relationship Id="rId2119" Type="http://schemas.openxmlformats.org/officeDocument/2006/relationships/hyperlink" Target="https://www.google.com/search?newwindow=1&amp;ei=2MT0XrvGGM-vytMP1OyDgAY&amp;q=site%3Alinkedin.com+Gracie+Keyser+University+Recruiting+Campus+Manager+Booz+Allen+Hamilton" TargetMode="External"/><Relationship Id="rId3441" Type="http://schemas.openxmlformats.org/officeDocument/2006/relationships/hyperlink" Target="https://www.google.com/search?newwindow=1&amp;ei=2MT0XrvGGM-vytMP1OyDgAY&amp;q=site%3Alinkedin.com+Son+Nguyen+Talent+Acquisition+Engagement+Manager,+Recruiting+for+Good+LinkedIn" TargetMode="External"/><Relationship Id="rId2110" Type="http://schemas.openxmlformats.org/officeDocument/2006/relationships/hyperlink" Target="https://www.google.com/search?newwindow=1&amp;ei=2MT0XrvGGM-vytMP1OyDgAY&amp;q=site%3Alinkedin.com+Godfrey+Anderson,+MPA+Manager,+EFS+Rates+&amp;+Overhead+Cost+Management+Boeing" TargetMode="External"/><Relationship Id="rId3440" Type="http://schemas.openxmlformats.org/officeDocument/2006/relationships/hyperlink" Target="https://www.google.com/search?newwindow=1&amp;ei=2MT0XrvGGM-vytMP1OyDgAY&amp;q=site%3Alinkedin.com+Travarus+Fauntleroy+Global+Program+Manager,+Campus+Recruiting+LinkedIn" TargetMode="External"/><Relationship Id="rId2111" Type="http://schemas.openxmlformats.org/officeDocument/2006/relationships/hyperlink" Target="https://www.google.com/search?newwindow=1&amp;ei=2MT0XrvGGM-vytMP1OyDgAY&amp;q=site%3Alinkedin.com+Daniel+Aikens+Senior+University+Recruiter+Boeing" TargetMode="External"/><Relationship Id="rId3443" Type="http://schemas.openxmlformats.org/officeDocument/2006/relationships/hyperlink" Target="https://www.google.com/search?newwindow=1&amp;ei=2MT0XrvGGM-vytMP1OyDgAY&amp;q=site%3Alinkedin.com+Ivy+Hopkins+Campus+Recruiter+LinkedIn" TargetMode="External"/><Relationship Id="rId2112" Type="http://schemas.openxmlformats.org/officeDocument/2006/relationships/hyperlink" Target="https://www.google.com/search?newwindow=1&amp;ei=2MT0XrvGGM-vytMP1OyDgAY&amp;q=site%3Alinkedin.com+Brady+Pahukoa+College+Recruiter+II+Boeing" TargetMode="External"/><Relationship Id="rId3442" Type="http://schemas.openxmlformats.org/officeDocument/2006/relationships/hyperlink" Target="https://www.google.com/search?newwindow=1&amp;ei=2MT0XrvGGM-vytMP1OyDgAY&amp;q=site%3Alinkedin.com+Katie+Deisler+Associate+University+Recruiter+Gartner" TargetMode="External"/><Relationship Id="rId2113" Type="http://schemas.openxmlformats.org/officeDocument/2006/relationships/hyperlink" Target="https://www.google.com/search?newwindow=1&amp;ei=2MT0XrvGGM-vytMP1OyDgAY&amp;q=site%3Alinkedin.com+Leslie+Benson+Enterprise+Finance+and+Strategy+Advisor+&amp;+Learning+Program+Manager+(Dual+Role)+Boeing" TargetMode="External"/><Relationship Id="rId3445" Type="http://schemas.openxmlformats.org/officeDocument/2006/relationships/hyperlink" Target="https://www.google.com/search?newwindow=1&amp;ei=2MT0XrvGGM-vytMP1OyDgAY&amp;q=site%3Alinkedin.com+Olivia+Lageman+University+Recruiter+Gartner" TargetMode="External"/><Relationship Id="rId2114" Type="http://schemas.openxmlformats.org/officeDocument/2006/relationships/hyperlink" Target="https://www.google.com/search?newwindow=1&amp;ei=2MT0XrvGGM-vytMP1OyDgAY&amp;q=site%3Alinkedin.com+John+B.+DeRoest,+MBA,+CPIM+Supply+Chain+Integrator/Analyst+/+College+Recruiter+The+Boeing+Company" TargetMode="External"/><Relationship Id="rId3444" Type="http://schemas.openxmlformats.org/officeDocument/2006/relationships/hyperlink" Target="https://www.google.com/search?newwindow=1&amp;ei=2MT0XrvGGM-vytMP1OyDgAY&amp;q=site%3Alinkedin.com+Son+Nguyen+Senior+Lead+Campus+Recruiter+LinkedIn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google.com/search?newwindow=1&amp;ei=2MT0XrvGGM-vytMP1OyDgAY&amp;q=site%3Alinkedin.com+Johanne+Brownrigg+Project+Manager+-+Student+Programs" TargetMode="External"/><Relationship Id="rId391" Type="http://schemas.openxmlformats.org/officeDocument/2006/relationships/hyperlink" Target="https://www.google.com/search?newwindow=1&amp;ei=2MT0XrvGGM-vytMP1OyDgAY&amp;q=site%3Alinkedin.com+Allison+Halfpenny+Contingent+Worker+-+Training+Programs+&amp;+Standards+-+Administration+Student" TargetMode="External"/><Relationship Id="rId390" Type="http://schemas.openxmlformats.org/officeDocument/2006/relationships/hyperlink" Target="https://www.google.com/search?newwindow=1&amp;ei=2MT0XrvGGM-vytMP1OyDgAY&amp;q=site%3Alinkedin.com+Sally+Zhao+Research+Programs+Student" TargetMode="External"/><Relationship Id="rId2180" Type="http://schemas.openxmlformats.org/officeDocument/2006/relationships/hyperlink" Target="https://www.google.com/search?newwindow=1&amp;ei=2MT0XrvGGM-vytMP1OyDgAY&amp;q=site%3Alinkedin.com+Ralfiel+Wright+University+Recruiter+Oracle" TargetMode="External"/><Relationship Id="rId2181" Type="http://schemas.openxmlformats.org/officeDocument/2006/relationships/hyperlink" Target="https://www.google.com/search?newwindow=1&amp;ei=2MT0XrvGGM-vytMP1OyDgAY&amp;q=site%3Alinkedin.com+Nicole+Holliman+College+Recruiter+Oracle" TargetMode="External"/><Relationship Id="rId2182" Type="http://schemas.openxmlformats.org/officeDocument/2006/relationships/hyperlink" Target="https://www.google.com/search?newwindow=1&amp;ei=2MT0XrvGGM-vytMP1OyDgAY&amp;q=site%3Alinkedin.com+Lauren+Martinez+College+Recruiter+Oracle" TargetMode="External"/><Relationship Id="rId2183" Type="http://schemas.openxmlformats.org/officeDocument/2006/relationships/hyperlink" Target="https://www.google.com/search?newwindow=1&amp;ei=2MT0XrvGGM-vytMP1OyDgAY&amp;q=site%3Alinkedin.com+Sophie+Jenkins+College+Recruiter+Oracle" TargetMode="External"/><Relationship Id="rId385" Type="http://schemas.openxmlformats.org/officeDocument/2006/relationships/hyperlink" Target="https://www.google.com/search?newwindow=1&amp;ei=2MT0XrvGGM-vytMP1OyDgAY&amp;q=site%3Alinkedin.com+Ty+Logan+Programs+Officer" TargetMode="External"/><Relationship Id="rId2184" Type="http://schemas.openxmlformats.org/officeDocument/2006/relationships/hyperlink" Target="https://www.google.com/search?newwindow=1&amp;ei=2MT0XrvGGM-vytMP1OyDgAY&amp;q=site%3Alinkedin.com+A.J.+Perez+College+Recruiter+Oracle" TargetMode="External"/><Relationship Id="rId384" Type="http://schemas.openxmlformats.org/officeDocument/2006/relationships/hyperlink" Target="https://www.google.com/search?newwindow=1&amp;ei=2MT0XrvGGM-vytMP1OyDgAY&amp;q=site%3Alinkedin.com+YIRAN+LIU+Campus+Recruiter" TargetMode="External"/><Relationship Id="rId2185" Type="http://schemas.openxmlformats.org/officeDocument/2006/relationships/hyperlink" Target="https://www.google.com/search?newwindow=1&amp;ei=2MT0XrvGGM-vytMP1OyDgAY&amp;q=site%3Alinkedin.com+Allyson+Dubois+Oracle+College+Recruiter+Oracle" TargetMode="External"/><Relationship Id="rId383" Type="http://schemas.openxmlformats.org/officeDocument/2006/relationships/hyperlink" Target="https://www.google.com/search?newwindow=1&amp;ei=2MT0XrvGGM-vytMP1OyDgAY&amp;q=site%3Alinkedin.com+Daorbhla+Smyth+Programmatic+Hiring+Recruiter" TargetMode="External"/><Relationship Id="rId2186" Type="http://schemas.openxmlformats.org/officeDocument/2006/relationships/hyperlink" Target="https://www.google.com/search?newwindow=1&amp;ei=2MT0XrvGGM-vytMP1OyDgAY&amp;q=site%3Alinkedin.com+Kirsten+Cole+University+Recruiter+Oracle" TargetMode="External"/><Relationship Id="rId382" Type="http://schemas.openxmlformats.org/officeDocument/2006/relationships/hyperlink" Target="https://www.google.com/search?newwindow=1&amp;ei=2MT0XrvGGM-vytMP1OyDgAY&amp;q=site%3Alinkedin.com+Bryony+Bunker+University+Recruiter" TargetMode="External"/><Relationship Id="rId2187" Type="http://schemas.openxmlformats.org/officeDocument/2006/relationships/hyperlink" Target="https://www.google.com/search?newwindow=1&amp;ei=2MT0XrvGGM-vytMP1OyDgAY&amp;q=site%3Alinkedin.com+Whitney+Anderson+Senior+Recruiter+University+Programs+PayPal" TargetMode="External"/><Relationship Id="rId389" Type="http://schemas.openxmlformats.org/officeDocument/2006/relationships/hyperlink" Target="https://www.google.com/search?newwindow=1&amp;ei=2MT0XrvGGM-vytMP1OyDgAY&amp;q=site%3Alinkedin.com+Virginia+Canning+Adult+Educator+Correctional+Programs" TargetMode="External"/><Relationship Id="rId2188" Type="http://schemas.openxmlformats.org/officeDocument/2006/relationships/hyperlink" Target="https://www.google.com/search?newwindow=1&amp;ei=2MT0XrvGGM-vytMP1OyDgAY&amp;q=site%3Alinkedin.com+Iris+Lin+University+Recruiter+PayPal" TargetMode="External"/><Relationship Id="rId388" Type="http://schemas.openxmlformats.org/officeDocument/2006/relationships/hyperlink" Target="https://www.google.com/search?newwindow=1&amp;ei=2MT0XrvGGM-vytMP1OyDgAY&amp;q=site%3Alinkedin.com+Jemal+Demeke+ABO+Blood+Typer/Student+Recruiter" TargetMode="External"/><Relationship Id="rId2189" Type="http://schemas.openxmlformats.org/officeDocument/2006/relationships/hyperlink" Target="https://www.google.com/search?newwindow=1&amp;ei=2MT0XrvGGM-vytMP1OyDgAY&amp;q=site%3Alinkedin.com+Kellyn+Creese+University+Recruiter+PayPal" TargetMode="External"/><Relationship Id="rId387" Type="http://schemas.openxmlformats.org/officeDocument/2006/relationships/hyperlink" Target="https://www.google.com/search?newwindow=1&amp;ei=2MT0XrvGGM-vytMP1OyDgAY&amp;q=site%3Alinkedin.com+Dana+Taylor+Student+Recruiter" TargetMode="External"/><Relationship Id="rId386" Type="http://schemas.openxmlformats.org/officeDocument/2006/relationships/hyperlink" Target="https://www.google.com/search?newwindow=1&amp;ei=2MT0XrvGGM-vytMP1OyDgAY&amp;q=site%3Alinkedin.com+Allana+Davis+Student+Recruiter" TargetMode="External"/><Relationship Id="rId381" Type="http://schemas.openxmlformats.org/officeDocument/2006/relationships/hyperlink" Target="https://www.google.com/search?newwindow=1&amp;ei=2MT0XrvGGM-vytMP1OyDgAY&amp;q=site%3Alinkedin.com+Diana+Ly+International+Campus+Recruiting+Manager" TargetMode="External"/><Relationship Id="rId380" Type="http://schemas.openxmlformats.org/officeDocument/2006/relationships/hyperlink" Target="https://www.google.com/search?newwindow=1&amp;ei=2MT0XrvGGM-vytMP1OyDgAY&amp;q=site%3Alinkedin.com+Aisling+Lavagna+International+Campus+Senior+Recruiter" TargetMode="External"/><Relationship Id="rId379" Type="http://schemas.openxmlformats.org/officeDocument/2006/relationships/hyperlink" Target="https://www.google.com/search?newwindow=1&amp;ei=2MT0XrvGGM-vytMP1OyDgAY&amp;q=site%3Alinkedin.com+Claire+Eason+Senior+University+Recruiter" TargetMode="External"/><Relationship Id="rId2170" Type="http://schemas.openxmlformats.org/officeDocument/2006/relationships/hyperlink" Target="https://www.google.com/search?newwindow=1&amp;ei=2MT0XrvGGM-vytMP1OyDgAY&amp;q=site%3Alinkedin.com+Tori+Tanner+Campus+Recruiter+Oliver+Wyman" TargetMode="External"/><Relationship Id="rId2171" Type="http://schemas.openxmlformats.org/officeDocument/2006/relationships/hyperlink" Target="https://www.google.com/search?newwindow=1&amp;ei=2MT0XrvGGM-vytMP1OyDgAY&amp;q=site%3Alinkedin.com+Andreea+Cotcaru+Campus+Recruiter" TargetMode="External"/><Relationship Id="rId2172" Type="http://schemas.openxmlformats.org/officeDocument/2006/relationships/hyperlink" Target="https://www.google.com/search?newwindow=1&amp;ei=2MT0XrvGGM-vytMP1OyDgAY&amp;q=site%3Alinkedin.com+Lia+Pizoli+College+Recruiter+Oracle" TargetMode="External"/><Relationship Id="rId374" Type="http://schemas.openxmlformats.org/officeDocument/2006/relationships/hyperlink" Target="https://www.google.com/search?newwindow=1&amp;ei=2MT0XrvGGM-vytMP1OyDgAY&amp;q=site%3Alinkedin.com+Brittanie+Bosselait+University+Recruiter+Booz+Allen+Hamilton" TargetMode="External"/><Relationship Id="rId2173" Type="http://schemas.openxmlformats.org/officeDocument/2006/relationships/hyperlink" Target="https://www.google.com/search?newwindow=1&amp;ei=2MT0XrvGGM-vytMP1OyDgAY&amp;q=site%3Alinkedin.com+Roxy+Wolfe+Campus+Recruiter+Oracle" TargetMode="External"/><Relationship Id="rId373" Type="http://schemas.openxmlformats.org/officeDocument/2006/relationships/hyperlink" Target="https://www.google.com/search?newwindow=1&amp;ei=2MT0XrvGGM-vytMP1OyDgAY&amp;q=site%3Alinkedin.com+Ed+Harms+University+College+Recruiter" TargetMode="External"/><Relationship Id="rId2174" Type="http://schemas.openxmlformats.org/officeDocument/2006/relationships/hyperlink" Target="https://www.google.com/search?newwindow=1&amp;ei=2MT0XrvGGM-vytMP1OyDgAY&amp;q=site%3Alinkedin.com+Andrea+Kelley+Campus+Recruiter+Oracle" TargetMode="External"/><Relationship Id="rId372" Type="http://schemas.openxmlformats.org/officeDocument/2006/relationships/hyperlink" Target="https://www.google.com/search?newwindow=1&amp;ei=2MT0XrvGGM-vytMP1OyDgAY&amp;q=site%3Alinkedin.com+Andy+Chung+Fat+Recruitment+Intern+(University+Collaborations)" TargetMode="External"/><Relationship Id="rId2175" Type="http://schemas.openxmlformats.org/officeDocument/2006/relationships/hyperlink" Target="https://www.google.com/search?newwindow=1&amp;ei=2MT0XrvGGM-vytMP1OyDgAY&amp;q=site%3Alinkedin.com+Ali+Brooks+Senior+College+Recruiter+Oracle" TargetMode="External"/><Relationship Id="rId371" Type="http://schemas.openxmlformats.org/officeDocument/2006/relationships/hyperlink" Target="https://www.google.com/search?newwindow=1&amp;ei=2MT0XrvGGM-vytMP1OyDgAY&amp;q=site%3Alinkedin.com+Irah+Dizon+College+Recruiter+Specialist+The+Boeing+Company" TargetMode="External"/><Relationship Id="rId2176" Type="http://schemas.openxmlformats.org/officeDocument/2006/relationships/hyperlink" Target="https://www.google.com/search?newwindow=1&amp;ei=2MT0XrvGGM-vytMP1OyDgAY&amp;q=site%3Alinkedin.com+Michelle+Bilodeau+College+Recruiter+Oracle" TargetMode="External"/><Relationship Id="rId378" Type="http://schemas.openxmlformats.org/officeDocument/2006/relationships/hyperlink" Target="https://www.google.com/search?newwindow=1&amp;ei=2MT0XrvGGM-vytMP1OyDgAY&amp;q=site%3Alinkedin.com+Tia+Bennett+Campus+Manager+Diversity+Recruiting+Booz+Allen+Hamilton" TargetMode="External"/><Relationship Id="rId2177" Type="http://schemas.openxmlformats.org/officeDocument/2006/relationships/hyperlink" Target="https://www.google.com/search?newwindow=1&amp;ei=2MT0XrvGGM-vytMP1OyDgAY&amp;q=site%3Alinkedin.com+Christian+Golofaro+Campus+Recruiter+Oracle" TargetMode="External"/><Relationship Id="rId377" Type="http://schemas.openxmlformats.org/officeDocument/2006/relationships/hyperlink" Target="https://www.google.com/search?newwindow=1&amp;ei=2MT0XrvGGM-vytMP1OyDgAY&amp;q=site%3Alinkedin.com+Laura+Hamilton+Executive+Recruiter+Booz+Allen+Hamilton" TargetMode="External"/><Relationship Id="rId2178" Type="http://schemas.openxmlformats.org/officeDocument/2006/relationships/hyperlink" Target="https://www.google.com/search?newwindow=1&amp;ei=2MT0XrvGGM-vytMP1OyDgAY&amp;q=site%3Alinkedin.com+Samantha+Birkel+College+Recruiter+Oracle" TargetMode="External"/><Relationship Id="rId376" Type="http://schemas.openxmlformats.org/officeDocument/2006/relationships/hyperlink" Target="https://www.google.com/search?newwindow=1&amp;ei=2MT0XrvGGM-vytMP1OyDgAY&amp;q=site%3Alinkedin.com+Gracie+Keyser+University+Recruiting+Campus+Manager+Booz+Allen+Hamilton" TargetMode="External"/><Relationship Id="rId2179" Type="http://schemas.openxmlformats.org/officeDocument/2006/relationships/hyperlink" Target="https://www.google.com/search?newwindow=1&amp;ei=2MT0XrvGGM-vytMP1OyDgAY&amp;q=site%3Alinkedin.com+Sherice+Lane+College+Recruiter+Oracle" TargetMode="External"/><Relationship Id="rId375" Type="http://schemas.openxmlformats.org/officeDocument/2006/relationships/hyperlink" Target="https://www.google.com/search?newwindow=1&amp;ei=2MT0XrvGGM-vytMP1OyDgAY&amp;q=site%3Alinkedin.com+Dean+Fechner+Sr.+Manager+Campus+Recruiting+Booz+Allen+Hamilton" TargetMode="External"/><Relationship Id="rId2190" Type="http://schemas.openxmlformats.org/officeDocument/2006/relationships/hyperlink" Target="https://www.google.com/search?newwindow=1&amp;ei=2MT0XrvGGM-vytMP1OyDgAY&amp;q=site%3Alinkedin.com+Carleen+Haydon+University+Recruiter+PayPal" TargetMode="External"/><Relationship Id="rId2191" Type="http://schemas.openxmlformats.org/officeDocument/2006/relationships/hyperlink" Target="https://www.google.com/search?newwindow=1&amp;ei=2MT0XrvGGM-vytMP1OyDgAY&amp;q=site%3Alinkedin.com+Chris+Kenny+Head+of+Sales+&amp;+Recruitment+Services+University+Partnerships" TargetMode="External"/><Relationship Id="rId2192" Type="http://schemas.openxmlformats.org/officeDocument/2006/relationships/hyperlink" Target="https://www.google.com/search?newwindow=1&amp;ei=2MT0XrvGGM-vytMP1OyDgAY&amp;q=site%3Alinkedin.com+Shireen+Loonat+University+Partnership+Recruitment+Manager" TargetMode="External"/><Relationship Id="rId2193" Type="http://schemas.openxmlformats.org/officeDocument/2006/relationships/hyperlink" Target="https://www.google.com/search?newwindow=1&amp;ei=2MT0XrvGGM-vytMP1OyDgAY&amp;q=site%3Alinkedin.com+Lucy+Williams+Campus+Recruiter" TargetMode="External"/><Relationship Id="rId2194" Type="http://schemas.openxmlformats.org/officeDocument/2006/relationships/hyperlink" Target="https://www.google.com/search?newwindow=1&amp;ei=2MT0XrvGGM-vytMP1OyDgAY&amp;q=site%3Alinkedin.com+Deana+V.+Talent+Acquistion/Campus+Recruiter+Philips" TargetMode="External"/><Relationship Id="rId396" Type="http://schemas.openxmlformats.org/officeDocument/2006/relationships/hyperlink" Target="https://www.google.com/search?newwindow=1&amp;ei=2MT0XrvGGM-vytMP1OyDgAY&amp;q=site%3Alinkedin.com+Kirsty+Smith+Graduate+Recruiter" TargetMode="External"/><Relationship Id="rId2195" Type="http://schemas.openxmlformats.org/officeDocument/2006/relationships/hyperlink" Target="https://www.google.com/search?newwindow=1&amp;ei=2MT0XrvGGM-vytMP1OyDgAY&amp;q=site%3Alinkedin.com+Theresa+Mangan+Lang+Campus+Recruiter+Philips" TargetMode="External"/><Relationship Id="rId395" Type="http://schemas.openxmlformats.org/officeDocument/2006/relationships/hyperlink" Target="https://www.google.com/search?newwindow=1&amp;ei=2MT0XrvGGM-vytMP1OyDgAY&amp;q=site%3Alinkedin.com+Lily+Marcou+Graduate+&amp;+Apprentice+Recruiter" TargetMode="External"/><Relationship Id="rId2196" Type="http://schemas.openxmlformats.org/officeDocument/2006/relationships/hyperlink" Target="https://www.google.com/search?newwindow=1&amp;ei=2MT0XrvGGM-vytMP1OyDgAY&amp;q=site%3Alinkedin.com+Melanie+Kollmai+Campus+Recruiter+Philips" TargetMode="External"/><Relationship Id="rId394" Type="http://schemas.openxmlformats.org/officeDocument/2006/relationships/hyperlink" Target="https://www.google.com/search?newwindow=1&amp;ei=2MT0XrvGGM-vytMP1OyDgAY&amp;q=site%3Alinkedin.com+Priti+Patel+Graduate+Recruiter" TargetMode="External"/><Relationship Id="rId2197" Type="http://schemas.openxmlformats.org/officeDocument/2006/relationships/hyperlink" Target="https://www.google.com/search?newwindow=1&amp;ei=2MT0XrvGGM-vytMP1OyDgAY&amp;q=site%3Alinkedin.com+Tim+G.+Downstream+Engineering+Lead+Recruiter+for+Purdue+University+Phillips+66" TargetMode="External"/><Relationship Id="rId393" Type="http://schemas.openxmlformats.org/officeDocument/2006/relationships/hyperlink" Target="https://www.google.com/search?newwindow=1&amp;ei=2MT0XrvGGM-vytMP1OyDgAY&amp;q=site%3Alinkedin.com+Paul+Kerridge+Senior+Graduate+Recruiter" TargetMode="External"/><Relationship Id="rId2198" Type="http://schemas.openxmlformats.org/officeDocument/2006/relationships/hyperlink" Target="https://www.google.com/search?newwindow=1&amp;ei=2MT0XrvGGM-vytMP1OyDgAY&amp;q=site%3Alinkedin.com+Anna+Minutello+Finance+Lead+Recruiter+University+of+Texas+Phillips+66" TargetMode="External"/><Relationship Id="rId2199" Type="http://schemas.openxmlformats.org/officeDocument/2006/relationships/hyperlink" Target="https://www.google.com/search?newwindow=1&amp;ei=2MT0XrvGGM-vytMP1OyDgAY&amp;q=site%3Alinkedin.com+Kris+McDonald+HR+Rotational+Program+Manager+Phillips-Medisize" TargetMode="External"/><Relationship Id="rId399" Type="http://schemas.openxmlformats.org/officeDocument/2006/relationships/hyperlink" Target="https://www.google.com/search?newwindow=1&amp;ei=2MT0XrvGGM-vytMP1OyDgAY&amp;q=site%3Alinkedin.com+Rylee+Simpson+Nashville+Campus+Recruiter+Capgemini" TargetMode="External"/><Relationship Id="rId398" Type="http://schemas.openxmlformats.org/officeDocument/2006/relationships/hyperlink" Target="https://www.google.com/search?newwindow=1&amp;ei=2MT0XrvGGM-vytMP1OyDgAY&amp;q=site%3Alinkedin.com+Mary+Colleen+Reuter+Campus+Recruiter+Capgemini" TargetMode="External"/><Relationship Id="rId397" Type="http://schemas.openxmlformats.org/officeDocument/2006/relationships/hyperlink" Target="https://www.google.com/search?newwindow=1&amp;ei=2MT0XrvGGM-vytMP1OyDgAY&amp;q=site%3Alinkedin.com+Ashley+Ann+Cooper+Learning+Manager:+Architect+and+Engagement+Manager+Curriculums+Capgemini" TargetMode="External"/><Relationship Id="rId1730" Type="http://schemas.openxmlformats.org/officeDocument/2006/relationships/hyperlink" Target="https://www.google.com/search?newwindow=1&amp;ei=2MT0XrvGGM-vytMP1OyDgAY&amp;q=site%3Alinkedin.com+Jessica+Bartch+Associate+Director+Campus+Recruiting" TargetMode="External"/><Relationship Id="rId1731" Type="http://schemas.openxmlformats.org/officeDocument/2006/relationships/hyperlink" Target="https://www.google.com/search?newwindow=1&amp;ei=2MT0XrvGGM-vytMP1OyDgAY&amp;q=site%3Alinkedin.com+Molli+Flynt+Associate+Director+of+Campus+Recruiting" TargetMode="External"/><Relationship Id="rId1732" Type="http://schemas.openxmlformats.org/officeDocument/2006/relationships/hyperlink" Target="https://www.google.com/search?newwindow=1&amp;ei=2MT0XrvGGM-vytMP1OyDgAY&amp;q=site%3Alinkedin.com+Janelle+Huang+Primary+Recruiter+Campus+Recruiting" TargetMode="External"/><Relationship Id="rId1733" Type="http://schemas.openxmlformats.org/officeDocument/2006/relationships/hyperlink" Target="https://www.google.com/search?newwindow=1&amp;ei=2MT0XrvGGM-vytMP1OyDgAY&amp;q=site%3Alinkedin.com+Hailey+Kaunert+Campus+Recruiting+Associate" TargetMode="External"/><Relationship Id="rId1734" Type="http://schemas.openxmlformats.org/officeDocument/2006/relationships/hyperlink" Target="https://www.google.com/search?newwindow=1&amp;ei=2MT0XrvGGM-vytMP1OyDgAY&amp;q=site%3Alinkedin.com+Melyssa+Rothstein+Campus+Recruiting+Coordinator" TargetMode="External"/><Relationship Id="rId1735" Type="http://schemas.openxmlformats.org/officeDocument/2006/relationships/hyperlink" Target="https://www.google.com/search?newwindow=1&amp;ei=2MT0XrvGGM-vytMP1OyDgAY&amp;q=site%3Alinkedin.com+Katie+Howland+Resource+Manager" TargetMode="External"/><Relationship Id="rId1736" Type="http://schemas.openxmlformats.org/officeDocument/2006/relationships/hyperlink" Target="https://www.google.com/search?newwindow=1&amp;ei=2MT0XrvGGM-vytMP1OyDgAY&amp;q=site%3Alinkedin.com+Chase+Jeanne+Campus+Recruiting+Associate" TargetMode="External"/><Relationship Id="rId1737" Type="http://schemas.openxmlformats.org/officeDocument/2006/relationships/hyperlink" Target="https://www.google.com/search?newwindow=1&amp;ei=2MT0XrvGGM-vytMP1OyDgAY&amp;q=site%3Alinkedin.com+Dawn+West+Senior+Administrative+Assistant" TargetMode="External"/><Relationship Id="rId1738" Type="http://schemas.openxmlformats.org/officeDocument/2006/relationships/hyperlink" Target="https://www.google.com/search?newwindow=1&amp;ei=2MT0XrvGGM-vytMP1OyDgAY&amp;q=site%3Alinkedin.com+Kathleen+Schaum+Executive+Director-+Campus+Recruiting+and+University+Relations" TargetMode="External"/><Relationship Id="rId1739" Type="http://schemas.openxmlformats.org/officeDocument/2006/relationships/hyperlink" Target="https://www.google.com/search?newwindow=1&amp;ei=2MT0XrvGGM-vytMP1OyDgAY&amp;q=site%3Alinkedin.com+Ashley+Naughton+CIR+Campus+Recruiting" TargetMode="External"/><Relationship Id="rId1720" Type="http://schemas.openxmlformats.org/officeDocument/2006/relationships/hyperlink" Target="https://www.google.com/search?newwindow=1&amp;ei=2MT0XrvGGM-vytMP1OyDgAY&amp;q=site%3Alinkedin.com+Natalie+Holland+CPA+Primary+Tax+Recruiter+-+Campus+Recruiting" TargetMode="External"/><Relationship Id="rId1721" Type="http://schemas.openxmlformats.org/officeDocument/2006/relationships/hyperlink" Target="https://www.google.com/search?newwindow=1&amp;ei=2MT0XrvGGM-vytMP1OyDgAY&amp;q=site%3Alinkedin.com+Angie+Adeyemo+Deal+Advisory+Intern" TargetMode="External"/><Relationship Id="rId1722" Type="http://schemas.openxmlformats.org/officeDocument/2006/relationships/hyperlink" Target="https://www.google.com/search?newwindow=1&amp;ei=2MT0XrvGGM-vytMP1OyDgAY&amp;q=site%3Alinkedin.com+Necia+Dunlap+Business+Unit+Coordinator" TargetMode="External"/><Relationship Id="rId1723" Type="http://schemas.openxmlformats.org/officeDocument/2006/relationships/hyperlink" Target="https://www.google.com/search?newwindow=1&amp;ei=2MT0XrvGGM-vytMP1OyDgAY&amp;q=site%3Alinkedin.com+Shannon+Kaiser+Campus+Recruiting+Manager" TargetMode="External"/><Relationship Id="rId1724" Type="http://schemas.openxmlformats.org/officeDocument/2006/relationships/hyperlink" Target="https://www.google.com/search?newwindow=1&amp;ei=2MT0XrvGGM-vytMP1OyDgAY&amp;q=site%3Alinkedin.com+Laney+Williams+Senior+Associate+Campus+Recruiting" TargetMode="External"/><Relationship Id="rId1725" Type="http://schemas.openxmlformats.org/officeDocument/2006/relationships/hyperlink" Target="https://www.google.com/search?newwindow=1&amp;ei=2MT0XrvGGM-vytMP1OyDgAY&amp;q=site%3Alinkedin.com+Nicole+Price+Executive+Assistant+&amp;+Campus+Recruiting+Coordinator" TargetMode="External"/><Relationship Id="rId1726" Type="http://schemas.openxmlformats.org/officeDocument/2006/relationships/hyperlink" Target="https://www.google.com/search?newwindow=1&amp;ei=2MT0XrvGGM-vytMP1OyDgAY&amp;q=site%3Alinkedin.com+Maddie+Borwege+Senior+Associate+Campus+Recruiting" TargetMode="External"/><Relationship Id="rId1727" Type="http://schemas.openxmlformats.org/officeDocument/2006/relationships/hyperlink" Target="https://www.google.com/search?newwindow=1&amp;ei=2MT0XrvGGM-vytMP1OyDgAY&amp;q=site%3Alinkedin.com+Jena+Hanlon+Associate+Campus+Recruiting" TargetMode="External"/><Relationship Id="rId1728" Type="http://schemas.openxmlformats.org/officeDocument/2006/relationships/hyperlink" Target="https://www.google.com/search?newwindow=1&amp;ei=2MT0XrvGGM-vytMP1OyDgAY&amp;q=site%3Alinkedin.com+Melissa+Martinez+Lead+Campus+Recruiting+Coordinator" TargetMode="External"/><Relationship Id="rId1729" Type="http://schemas.openxmlformats.org/officeDocument/2006/relationships/hyperlink" Target="https://www.google.com/search?newwindow=1&amp;ei=2MT0XrvGGM-vytMP1OyDgAY&amp;q=site%3Alinkedin.com+Sandeep+Draviam+Inclusion+and+Diversity+Manager+Campus+Recruiting" TargetMode="External"/><Relationship Id="rId1752" Type="http://schemas.openxmlformats.org/officeDocument/2006/relationships/hyperlink" Target="https://www.google.com/search?newwindow=1&amp;ei=2MT0XrvGGM-vytMP1OyDgAY&amp;q=site%3Alinkedin.com+Danielle+Watson+Associate+Director+of+Campus+Recruiting+Advisory+Services+KPMG" TargetMode="External"/><Relationship Id="rId1753" Type="http://schemas.openxmlformats.org/officeDocument/2006/relationships/hyperlink" Target="https://www.google.com/search?newwindow=1&amp;ei=2MT0XrvGGM-vytMP1OyDgAY&amp;q=site%3Alinkedin.com+Sholon+Rucker+Manager+Campus+Recruiting+KPMG" TargetMode="External"/><Relationship Id="rId1754" Type="http://schemas.openxmlformats.org/officeDocument/2006/relationships/hyperlink" Target="https://www.google.com/search?newwindow=1&amp;ei=2MT0XrvGGM-vytMP1OyDgAY&amp;q=site%3Alinkedin.com+Kelsey+Meza+Campus+Recruiter+KPMG" TargetMode="External"/><Relationship Id="rId1755" Type="http://schemas.openxmlformats.org/officeDocument/2006/relationships/hyperlink" Target="https://www.google.com/search?newwindow=1&amp;ei=2MT0XrvGGM-vytMP1OyDgAY&amp;q=site%3Alinkedin.com+Mar%C3%ADa+De+Jes%C3%BAs+Hurtado+(she-her-hers)+Senior+Associate+Inclusion+and+Diversity+Campus+Recruiter+KPMG" TargetMode="External"/><Relationship Id="rId1756" Type="http://schemas.openxmlformats.org/officeDocument/2006/relationships/hyperlink" Target="https://www.google.com/search?newwindow=1&amp;ei=2MT0XrvGGM-vytMP1OyDgAY&amp;q=site%3Alinkedin.com+Sara+Condino+Campus+Recruiting+Manager+KPMG" TargetMode="External"/><Relationship Id="rId1757" Type="http://schemas.openxmlformats.org/officeDocument/2006/relationships/hyperlink" Target="https://www.google.com/search?newwindow=1&amp;ei=2MT0XrvGGM-vytMP1OyDgAY&amp;q=site%3Alinkedin.com+Nicole+Yogi+Audit+Primary+Recruiter+Campus+Recruiting+KPMG" TargetMode="External"/><Relationship Id="rId1758" Type="http://schemas.openxmlformats.org/officeDocument/2006/relationships/hyperlink" Target="https://www.google.com/search?newwindow=1&amp;ei=2MT0XrvGGM-vytMP1OyDgAY&amp;q=site%3Alinkedin.com+Natalie+Holland+CPA+Primary+Tax+Recruiter+-+Campus+Recruiting+KPMG" TargetMode="External"/><Relationship Id="rId1759" Type="http://schemas.openxmlformats.org/officeDocument/2006/relationships/hyperlink" Target="https://www.google.com/search?newwindow=1&amp;ei=2MT0XrvGGM-vytMP1OyDgAY&amp;q=site%3Alinkedin.com+Shannon+Kaiser+Campus+Recruiting+Manager+KPMG" TargetMode="External"/><Relationship Id="rId1750" Type="http://schemas.openxmlformats.org/officeDocument/2006/relationships/hyperlink" Target="https://www.google.com/search?newwindow=1&amp;ei=2MT0XrvGGM-vytMP1OyDgAY&amp;q=site%3Alinkedin.com+Li+Steinberg+Campus+Recruiting+Manager+KPMG" TargetMode="External"/><Relationship Id="rId1751" Type="http://schemas.openxmlformats.org/officeDocument/2006/relationships/hyperlink" Target="https://www.google.com/search?newwindow=1&amp;ei=2MT0XrvGGM-vytMP1OyDgAY&amp;q=site%3Alinkedin.com+Carly+Merrell+Campus+Recruiter+KPMG" TargetMode="External"/><Relationship Id="rId1741" Type="http://schemas.openxmlformats.org/officeDocument/2006/relationships/hyperlink" Target="https://www.google.com/search?newwindow=1&amp;ei=2MT0XrvGGM-vytMP1OyDgAY&amp;q=site%3Alinkedin.com+Jen+McGregor+Campus+Ambassador" TargetMode="External"/><Relationship Id="rId1742" Type="http://schemas.openxmlformats.org/officeDocument/2006/relationships/hyperlink" Target="https://www.google.com/search?newwindow=1&amp;ei=2MT0XrvGGM-vytMP1OyDgAY&amp;q=site%3Alinkedin.com+Sumner+Ashley+Campus+Recruiting+Coordinator" TargetMode="External"/><Relationship Id="rId1743" Type="http://schemas.openxmlformats.org/officeDocument/2006/relationships/hyperlink" Target="https://www.google.com/search?newwindow=1&amp;ei=2MT0XrvGGM-vytMP1OyDgAY&amp;q=site%3Alinkedin.com+Palmer+Mayer+Associate+Director+Campus+Recruiting" TargetMode="External"/><Relationship Id="rId1744" Type="http://schemas.openxmlformats.org/officeDocument/2006/relationships/hyperlink" Target="https://www.google.com/search?newwindow=1&amp;ei=2MT0XrvGGM-vytMP1OyDgAY&amp;q=site%3Alinkedin.com+Katherine+Dong+Campus+Recruiting+Intern" TargetMode="External"/><Relationship Id="rId1745" Type="http://schemas.openxmlformats.org/officeDocument/2006/relationships/hyperlink" Target="https://www.google.com/search?newwindow=1&amp;ei=2MT0XrvGGM-vytMP1OyDgAY&amp;q=site%3Alinkedin.com+Caitlin+Toohey+Associate+Director+Campus+Recruiting" TargetMode="External"/><Relationship Id="rId1746" Type="http://schemas.openxmlformats.org/officeDocument/2006/relationships/hyperlink" Target="https://www.google.com/search?newwindow=1&amp;ei=2MT0XrvGGM-vytMP1OyDgAY&amp;q=site%3Alinkedin.com+Laura+Summers+CPA+Senior+Associate+Campus+Recruiting+at+KPMG+US" TargetMode="External"/><Relationship Id="rId1747" Type="http://schemas.openxmlformats.org/officeDocument/2006/relationships/hyperlink" Target="https://www.google.com/search?newwindow=1&amp;ei=2MT0XrvGGM-vytMP1OyDgAY&amp;q=site%3Alinkedin.com+Laura+Vitale+Manager+Campus+Recruiting" TargetMode="External"/><Relationship Id="rId1748" Type="http://schemas.openxmlformats.org/officeDocument/2006/relationships/hyperlink" Target="https://www.google.com/search?newwindow=1&amp;ei=2MT0XrvGGM-vytMP1OyDgAY&amp;q=site%3Alinkedin.com+Caitlin+Pershe+Manager" TargetMode="External"/><Relationship Id="rId1749" Type="http://schemas.openxmlformats.org/officeDocument/2006/relationships/hyperlink" Target="https://www.google.com/search?newwindow=1&amp;ei=2MT0XrvGGM-vytMP1OyDgAY&amp;q=site%3Alinkedin.com+Sarah+Harari+Manager+Campus+Recruiting+KPMG" TargetMode="External"/><Relationship Id="rId1740" Type="http://schemas.openxmlformats.org/officeDocument/2006/relationships/hyperlink" Target="https://www.google.com/search?newwindow=1&amp;ei=2MT0XrvGGM-vytMP1OyDgAY&amp;q=site%3Alinkedin.com+Regina+Manansala+Campus+Recruiting+Manager" TargetMode="External"/><Relationship Id="rId1710" Type="http://schemas.openxmlformats.org/officeDocument/2006/relationships/hyperlink" Target="https://www.google.com/search?newwindow=1&amp;ei=2MT0XrvGGM-vytMP1OyDgAY&amp;q=site%3Alinkedin.com+Casey+Bryant+Campus+Recruiting+Team+Member" TargetMode="External"/><Relationship Id="rId1711" Type="http://schemas.openxmlformats.org/officeDocument/2006/relationships/hyperlink" Target="https://www.google.com/search?newwindow=1&amp;ei=2MT0XrvGGM-vytMP1OyDgAY&amp;q=site%3Alinkedin.com+Elizabeth+Abboreno+Senior+Associate+Campus+Recruiting" TargetMode="External"/><Relationship Id="rId1712" Type="http://schemas.openxmlformats.org/officeDocument/2006/relationships/hyperlink" Target="https://www.google.com/search?newwindow=1&amp;ei=2MT0XrvGGM-vytMP1OyDgAY&amp;q=site%3Alinkedin.com+Danielle+Watson+Associate+Director+of+Campus+Recruiting+Advisory+Services" TargetMode="External"/><Relationship Id="rId1713" Type="http://schemas.openxmlformats.org/officeDocument/2006/relationships/hyperlink" Target="https://www.google.com/search?newwindow=1&amp;ei=2MT0XrvGGM-vytMP1OyDgAY&amp;q=site%3Alinkedin.com+Danielle+Schneck+Associate+Campus+Recruiting" TargetMode="External"/><Relationship Id="rId1714" Type="http://schemas.openxmlformats.org/officeDocument/2006/relationships/hyperlink" Target="https://www.google.com/search?newwindow=1&amp;ei=2MT0XrvGGM-vytMP1OyDgAY&amp;q=site%3Alinkedin.com+Heather+Goldman+Campus+Recruiting+Associate" TargetMode="External"/><Relationship Id="rId1715" Type="http://schemas.openxmlformats.org/officeDocument/2006/relationships/hyperlink" Target="https://www.google.com/search?newwindow=1&amp;ei=2MT0XrvGGM-vytMP1OyDgAY&amp;q=site%3Alinkedin.com+Sholon+Rucker+Associate+Director+-+Program+Management+Audit" TargetMode="External"/><Relationship Id="rId1716" Type="http://schemas.openxmlformats.org/officeDocument/2006/relationships/hyperlink" Target="https://www.google.com/search?newwindow=1&amp;ei=2MT0XrvGGM-vytMP1OyDgAY&amp;q=site%3Alinkedin.com+Sara+Condino+Campus+Recruiting+Manager" TargetMode="External"/><Relationship Id="rId1717" Type="http://schemas.openxmlformats.org/officeDocument/2006/relationships/hyperlink" Target="https://www.google.com/search?newwindow=1&amp;ei=2MT0XrvGGM-vytMP1OyDgAY&amp;q=site%3Alinkedin.com+Jackie+Fricke+Campus+Recruiting+Coordinator" TargetMode="External"/><Relationship Id="rId1718" Type="http://schemas.openxmlformats.org/officeDocument/2006/relationships/hyperlink" Target="https://www.google.com/search?newwindow=1&amp;ei=2MT0XrvGGM-vytMP1OyDgAY&amp;q=site%3Alinkedin.com+Shelby+Edmoundson+Campus+Recruiting-Senior+Associate" TargetMode="External"/><Relationship Id="rId1719" Type="http://schemas.openxmlformats.org/officeDocument/2006/relationships/hyperlink" Target="https://www.google.com/search?newwindow=1&amp;ei=2MT0XrvGGM-vytMP1OyDgAY&amp;q=site%3Alinkedin.com+Nicole+Yogi+Audit+Primary+Recruiter+Campus+Recruiting" TargetMode="External"/><Relationship Id="rId1700" Type="http://schemas.openxmlformats.org/officeDocument/2006/relationships/hyperlink" Target="https://www.google.com/search?newwindow=1&amp;ei=2MT0XrvGGM-vytMP1OyDgAY&amp;q=site%3Alinkedin.com+Annelisa+Melendez+On-+Campus+Recruiter+Kohls+Department+Stores" TargetMode="External"/><Relationship Id="rId1701" Type="http://schemas.openxmlformats.org/officeDocument/2006/relationships/hyperlink" Target="https://www.google.com/search?newwindow=1&amp;ei=2MT0XrvGGM-vytMP1OyDgAY&amp;q=site%3Alinkedin.com+Natalie+Twilley+Assistant+Store+Manager-Operations/Childrens+Footwear+and+Home+Kohl%27s+Department+Stores" TargetMode="External"/><Relationship Id="rId1702" Type="http://schemas.openxmlformats.org/officeDocument/2006/relationships/hyperlink" Target="https://www.google.com/search?newwindow=1&amp;ei=2MT0XrvGGM-vytMP1OyDgAY&amp;q=site%3Alinkedin.com+Jeannie+LaDriere+MBA+CIR+Senior+University+Recruiter+Korn+Ferry+on+HPE+Account" TargetMode="External"/><Relationship Id="rId1703" Type="http://schemas.openxmlformats.org/officeDocument/2006/relationships/hyperlink" Target="https://www.google.com/search?newwindow=1&amp;ei=2MT0XrvGGM-vytMP1OyDgAY&amp;q=site%3Alinkedin.com+Rebecca+Hennessy+Administrative+Assistant-+Campus+Recruiting+Coordinator" TargetMode="External"/><Relationship Id="rId1704" Type="http://schemas.openxmlformats.org/officeDocument/2006/relationships/hyperlink" Target="https://www.google.com/search?newwindow=1&amp;ei=2MT0XrvGGM-vytMP1OyDgAY&amp;q=site%3Alinkedin.com+Kathryn+Slaton+Associate+Director+SE+Campus+Recruiting" TargetMode="External"/><Relationship Id="rId1705" Type="http://schemas.openxmlformats.org/officeDocument/2006/relationships/hyperlink" Target="https://www.google.com/search?newwindow=1&amp;ei=2MT0XrvGGM-vytMP1OyDgAY&amp;q=site%3Alinkedin.com+Holly+Thomas+National+Director+Tax+Campus+Recruiting+Strategy+and+East+Region+Director+for+Audit+and+Tax" TargetMode="External"/><Relationship Id="rId1706" Type="http://schemas.openxmlformats.org/officeDocument/2006/relationships/hyperlink" Target="https://www.google.com/search?newwindow=1&amp;ei=2MT0XrvGGM-vytMP1OyDgAY&amp;q=site%3Alinkedin.com+Sarah+Hodges+Associate+Campus+Recruiting" TargetMode="External"/><Relationship Id="rId1707" Type="http://schemas.openxmlformats.org/officeDocument/2006/relationships/hyperlink" Target="https://www.google.com/search?newwindow=1&amp;ei=2MT0XrvGGM-vytMP1OyDgAY&amp;q=site%3Alinkedin.com+Sarah+Harari+Manager+Campus+Recruiting" TargetMode="External"/><Relationship Id="rId1708" Type="http://schemas.openxmlformats.org/officeDocument/2006/relationships/hyperlink" Target="https://www.google.com/search?newwindow=1&amp;ei=2MT0XrvGGM-vytMP1OyDgAY&amp;q=site%3Alinkedin.com+Danielle+D%27Elia+Associate+Campus+Recruiting" TargetMode="External"/><Relationship Id="rId1709" Type="http://schemas.openxmlformats.org/officeDocument/2006/relationships/hyperlink" Target="https://www.google.com/search?newwindow=1&amp;ei=2MT0XrvGGM-vytMP1OyDgAY&amp;q=site%3Alinkedin.com+Li+Steinberg+Campus+Recruiting+Manager" TargetMode="External"/><Relationship Id="rId40" Type="http://schemas.openxmlformats.org/officeDocument/2006/relationships/hyperlink" Target="https://www.google.com/search?newwindow=1&amp;ei=2MT0XrvGGM-vytMP1OyDgAY&amp;q=site%3Alinkedin.com+Caroline+Stropes+Campus+Recruiter+Accenture" TargetMode="External"/><Relationship Id="rId42" Type="http://schemas.openxmlformats.org/officeDocument/2006/relationships/hyperlink" Target="https://www.google.com/search?newwindow=1&amp;ei=2MT0XrvGGM-vytMP1OyDgAY&amp;q=site%3Alinkedin.com+Ilva+Fejzulla+Campus+Recruiter+Accenture" TargetMode="External"/><Relationship Id="rId41" Type="http://schemas.openxmlformats.org/officeDocument/2006/relationships/hyperlink" Target="https://www.google.com/search?newwindow=1&amp;ei=2MT0XrvGGM-vytMP1OyDgAY&amp;q=site%3Alinkedin.com+Krysta+Lewis+Associate+Manager+Accenture" TargetMode="External"/><Relationship Id="rId44" Type="http://schemas.openxmlformats.org/officeDocument/2006/relationships/hyperlink" Target="https://www.google.com/search?newwindow=1&amp;ei=2MT0XrvGGM-vytMP1OyDgAY&amp;q=site%3Alinkedin.com+Terrell+Johnson+Detroit+Co-Location+Lead+/+Campus+Recruiter+Accenture" TargetMode="External"/><Relationship Id="rId43" Type="http://schemas.openxmlformats.org/officeDocument/2006/relationships/hyperlink" Target="https://www.google.com/search?newwindow=1&amp;ei=2MT0XrvGGM-vytMP1OyDgAY&amp;q=site%3Alinkedin.com+Joey+Adams+Project+Manager+Business+Process+Optimization+for+Financial+Reporting+(Resources)+Accenture" TargetMode="External"/><Relationship Id="rId46" Type="http://schemas.openxmlformats.org/officeDocument/2006/relationships/hyperlink" Target="https://www.google.com/search?newwindow=1&amp;ei=2MT0XrvGGM-vytMP1OyDgAY&amp;q=site%3Alinkedin.com+Stephanie+Nevin+Campus+and+Entry+Level+Recruiter+Accenture" TargetMode="External"/><Relationship Id="rId45" Type="http://schemas.openxmlformats.org/officeDocument/2006/relationships/hyperlink" Target="https://www.google.com/search?newwindow=1&amp;ei=2MT0XrvGGM-vytMP1OyDgAY&amp;q=site%3Alinkedin.com+Robin+Ribeiro+Campus+Recruiter+Accenture" TargetMode="External"/><Relationship Id="rId48" Type="http://schemas.openxmlformats.org/officeDocument/2006/relationships/hyperlink" Target="https://www.google.com/search?newwindow=1&amp;ei=2MT0XrvGGM-vytMP1OyDgAY&amp;q=site%3Alinkedin.com+Kendrick+Harris+University+Recruiter+Accenture" TargetMode="External"/><Relationship Id="rId47" Type="http://schemas.openxmlformats.org/officeDocument/2006/relationships/hyperlink" Target="https://www.google.com/search?newwindow=1&amp;ei=2MT0XrvGGM-vytMP1OyDgAY&amp;q=site%3Alinkedin.com+Melissa+Olson+Recruiting+Associate+Manager+Accenture" TargetMode="External"/><Relationship Id="rId49" Type="http://schemas.openxmlformats.org/officeDocument/2006/relationships/hyperlink" Target="https://www.google.com/search?newwindow=1&amp;ei=2MT0XrvGGM-vytMP1OyDgAY&amp;q=site%3Alinkedin.com+Chris+Selbitschka+Recruiter+Accenture" TargetMode="External"/><Relationship Id="rId31" Type="http://schemas.openxmlformats.org/officeDocument/2006/relationships/hyperlink" Target="https://www.google.com/search?newwindow=1&amp;ei=2MT0XrvGGM-vytMP1OyDgAY&amp;q=site%3Alinkedin.com+Betsy+Davis+Senior+Campus+Recruiter+Accenture" TargetMode="External"/><Relationship Id="rId30" Type="http://schemas.openxmlformats.org/officeDocument/2006/relationships/hyperlink" Target="https://www.google.com/search?newwindow=1&amp;ei=2MT0XrvGGM-vytMP1OyDgAY&amp;q=site%3Alinkedin.com+Nicole+Bonilla+Owens+Campus+Recruiter+Accenture" TargetMode="External"/><Relationship Id="rId33" Type="http://schemas.openxmlformats.org/officeDocument/2006/relationships/hyperlink" Target="https://www.google.com/search?newwindow=1&amp;ei=2MT0XrvGGM-vytMP1OyDgAY&amp;q=site%3Alinkedin.com+Sara+Buxton+NorCal+Campus+Recruiting+Manager+Accenture" TargetMode="External"/><Relationship Id="rId32" Type="http://schemas.openxmlformats.org/officeDocument/2006/relationships/hyperlink" Target="https://www.google.com/search?newwindow=1&amp;ei=2MT0XrvGGM-vytMP1OyDgAY&amp;q=site%3Alinkedin.com+Amy+Romero+Campus+Recruiter+Accenture" TargetMode="External"/><Relationship Id="rId35" Type="http://schemas.openxmlformats.org/officeDocument/2006/relationships/hyperlink" Target="https://www.google.com/search?newwindow=1&amp;ei=2MT0XrvGGM-vytMP1OyDgAY&amp;q=site%3Alinkedin.com+Brooke+Steele+Campus+Recruiter+Accenture" TargetMode="External"/><Relationship Id="rId34" Type="http://schemas.openxmlformats.org/officeDocument/2006/relationships/hyperlink" Target="https://www.google.com/search?newwindow=1&amp;ei=2MT0XrvGGM-vytMP1OyDgAY&amp;q=site%3Alinkedin.com+Mai+C.+Maye+Sr.+Campus+Recruiter+Accenture" TargetMode="External"/><Relationship Id="rId37" Type="http://schemas.openxmlformats.org/officeDocument/2006/relationships/hyperlink" Target="https://www.google.com/search?newwindow=1&amp;ei=2MT0XrvGGM-vytMP1OyDgAY&amp;q=site%3Alinkedin.com+Ashlei+Scott+Charlotte+Location+Lead+&amp;+Campus+Recruiter+Accenture" TargetMode="External"/><Relationship Id="rId36" Type="http://schemas.openxmlformats.org/officeDocument/2006/relationships/hyperlink" Target="https://www.google.com/search?newwindow=1&amp;ei=2MT0XrvGGM-vytMP1OyDgAY&amp;q=site%3Alinkedin.com+Krystin+Crane+Campus+Recruiter+Accenture" TargetMode="External"/><Relationship Id="rId39" Type="http://schemas.openxmlformats.org/officeDocument/2006/relationships/hyperlink" Target="https://www.google.com/search?newwindow=1&amp;ei=2MT0XrvGGM-vytMP1OyDgAY&amp;q=site%3Alinkedin.com+Amy+LaPortre+Campus+Recruiter+Accenture" TargetMode="External"/><Relationship Id="rId38" Type="http://schemas.openxmlformats.org/officeDocument/2006/relationships/hyperlink" Target="https://www.google.com/search?newwindow=1&amp;ei=2MT0XrvGGM-vytMP1OyDgAY&amp;q=site%3Alinkedin.com+Linnea+Levy+Sr.+Campus+Recruiter+Accenture" TargetMode="External"/><Relationship Id="rId2203" Type="http://schemas.openxmlformats.org/officeDocument/2006/relationships/hyperlink" Target="https://www.google.com/search?newwindow=1&amp;ei=2MT0XrvGGM-vytMP1OyDgAY&amp;q=site%3Alinkedin.com+Tricia+Tran+University+Recruiter+Pinterest" TargetMode="External"/><Relationship Id="rId2204" Type="http://schemas.openxmlformats.org/officeDocument/2006/relationships/hyperlink" Target="https://www.google.com/search?newwindow=1&amp;ei=2MT0XrvGGM-vytMP1OyDgAY&amp;q=site%3Alinkedin.com+Ekta+Bathija+University+Recruiter+(PhD+Lead)+Pinterest" TargetMode="External"/><Relationship Id="rId20" Type="http://schemas.openxmlformats.org/officeDocument/2006/relationships/hyperlink" Target="https://www.google.com/search?newwindow=1&amp;ei=2MT0XrvGGM-vytMP1OyDgAY&amp;q=site%3Alinkedin.com+Asli+Pamir-Uzun+Undergrad+Strategy+Campus+Recruiting+Associate" TargetMode="External"/><Relationship Id="rId2205" Type="http://schemas.openxmlformats.org/officeDocument/2006/relationships/hyperlink" Target="https://www.google.com/search?newwindow=1&amp;ei=2MT0XrvGGM-vytMP1OyDgAY&amp;q=site%3Alinkedin.com+Robert+Conrad+National+Campus+Forensics+Recruiting+Leader" TargetMode="External"/><Relationship Id="rId2206" Type="http://schemas.openxmlformats.org/officeDocument/2006/relationships/hyperlink" Target="https://www.google.com/search?newwindow=1&amp;ei=2MT0XrvGGM-vytMP1OyDgAY&amp;q=site%3Alinkedin.com+Cathee+McAuley+Campus+Recruiting+Associate" TargetMode="External"/><Relationship Id="rId22" Type="http://schemas.openxmlformats.org/officeDocument/2006/relationships/hyperlink" Target="https://www.google.com/search?newwindow=1&amp;ei=2MT0XrvGGM-vytMP1OyDgAY&amp;q=site%3Alinkedin.com+Bridget+Malley+Campus+Recruiting+Associate" TargetMode="External"/><Relationship Id="rId2207" Type="http://schemas.openxmlformats.org/officeDocument/2006/relationships/hyperlink" Target="https://www.google.com/search?newwindow=1&amp;ei=2MT0XrvGGM-vytMP1OyDgAY&amp;q=site%3Alinkedin.com+Jennifer+Kaniewski+HR+&amp;+Campus+Recruiting+Manager" TargetMode="External"/><Relationship Id="rId21" Type="http://schemas.openxmlformats.org/officeDocument/2006/relationships/hyperlink" Target="https://www.google.com/search?newwindow=1&amp;ei=2MT0XrvGGM-vytMP1OyDgAY&amp;q=site%3Alinkedin.com+Porsha+Alexander+Strategy+Campus+Recruiting+Associate+Manager" TargetMode="External"/><Relationship Id="rId2208" Type="http://schemas.openxmlformats.org/officeDocument/2006/relationships/hyperlink" Target="https://www.google.com/search?newwindow=1&amp;ei=2MT0XrvGGM-vytMP1OyDgAY&amp;q=site%3Alinkedin.com+Rene+Newsome+Campus+Recruiting+Manager" TargetMode="External"/><Relationship Id="rId24" Type="http://schemas.openxmlformats.org/officeDocument/2006/relationships/hyperlink" Target="https://www.google.com/search?newwindow=1&amp;ei=2MT0XrvGGM-vytMP1OyDgAY&amp;q=site%3Alinkedin.com+Navdeep+Bahia+Graduate+Recruiter" TargetMode="External"/><Relationship Id="rId2209" Type="http://schemas.openxmlformats.org/officeDocument/2006/relationships/hyperlink" Target="https://www.google.com/search?newwindow=1&amp;ei=2MT0XrvGGM-vytMP1OyDgAY&amp;q=site%3Alinkedin.com+Kurt+Peterson+Campus+Recruiting+Manager" TargetMode="External"/><Relationship Id="rId23" Type="http://schemas.openxmlformats.org/officeDocument/2006/relationships/hyperlink" Target="https://www.google.com/search?newwindow=1&amp;ei=2MT0XrvGGM-vytMP1OyDgAY&amp;q=site%3Alinkedin.com+Alexandria+Richardson+HR+Career+Advisor" TargetMode="External"/><Relationship Id="rId26" Type="http://schemas.openxmlformats.org/officeDocument/2006/relationships/hyperlink" Target="https://www.google.com/search?newwindow=1&amp;ei=2MT0XrvGGM-vytMP1OyDgAY&amp;q=site%3Alinkedin.com+Naomi+Carmichael+Campus+Recruiter" TargetMode="External"/><Relationship Id="rId25" Type="http://schemas.openxmlformats.org/officeDocument/2006/relationships/hyperlink" Target="https://www.google.com/search?newwindow=1&amp;ei=2MT0XrvGGM-vytMP1OyDgAY&amp;q=site%3Alinkedin.com+Bella+Muretova+Campus+Recruiter" TargetMode="External"/><Relationship Id="rId28" Type="http://schemas.openxmlformats.org/officeDocument/2006/relationships/hyperlink" Target="https://www.google.com/search?newwindow=1&amp;ei=2MT0XrvGGM-vytMP1OyDgAY&amp;q=site%3Alinkedin.com+Melissa+Harper+Davis+MBA+Campus+Recruiter+Accenture" TargetMode="External"/><Relationship Id="rId27" Type="http://schemas.openxmlformats.org/officeDocument/2006/relationships/hyperlink" Target="https://www.google.com/search?newwindow=1&amp;ei=2MT0XrvGGM-vytMP1OyDgAY&amp;q=site%3Alinkedin.com+Brittany+Roth+Healy+Campus+Recruiting+Associate+Manager+Accenture" TargetMode="External"/><Relationship Id="rId29" Type="http://schemas.openxmlformats.org/officeDocument/2006/relationships/hyperlink" Target="https://www.google.com/search?newwindow=1&amp;ei=2MT0XrvGGM-vytMP1OyDgAY&amp;q=site%3Alinkedin.com+Catherine+Leonard+M.Ed+Campus+Recruiter+Accenture" TargetMode="External"/><Relationship Id="rId2200" Type="http://schemas.openxmlformats.org/officeDocument/2006/relationships/hyperlink" Target="https://www.google.com/search?newwindow=1&amp;ei=2MT0XrvGGM-vytMP1OyDgAY&amp;q=site%3Alinkedin.com+Ashley+Nair+University+Recruiter+Pinterest" TargetMode="External"/><Relationship Id="rId2201" Type="http://schemas.openxmlformats.org/officeDocument/2006/relationships/hyperlink" Target="https://www.google.com/search?newwindow=1&amp;ei=2MT0XrvGGM-vytMP1OyDgAY&amp;q=site%3Alinkedin.com+Deanna+Okuno+University+Recruiter+Pinterest" TargetMode="External"/><Relationship Id="rId2202" Type="http://schemas.openxmlformats.org/officeDocument/2006/relationships/hyperlink" Target="https://www.google.com/search?newwindow=1&amp;ei=2MT0XrvGGM-vytMP1OyDgAY&amp;q=site%3Alinkedin.com+Adriana+I.+Garcia+University+Recruiter+Pinterest" TargetMode="External"/><Relationship Id="rId11" Type="http://schemas.openxmlformats.org/officeDocument/2006/relationships/hyperlink" Target="https://www.google.com/search?newwindow=1&amp;ei=2MT0XrvGGM-vytMP1OyDgAY&amp;q=site%3Alinkedin.com+Samyra+Clarke+Campus+Recruiting+Operations+Lead+Accenture+Federal+Services" TargetMode="External"/><Relationship Id="rId10" Type="http://schemas.openxmlformats.org/officeDocument/2006/relationships/hyperlink" Target="https://www.google.com/search?newwindow=1&amp;ei=2MT0XrvGGM-vytMP1OyDgAY&amp;q=site%3Alinkedin.com+Joey+Adams+Business+Analyst+-+Strategic+Planning+for+COVID+Contact+Tracing+Program+(eCommerce)" TargetMode="External"/><Relationship Id="rId13" Type="http://schemas.openxmlformats.org/officeDocument/2006/relationships/hyperlink" Target="https://www.google.com/search?newwindow=1&amp;ei=2MT0XrvGGM-vytMP1OyDgAY&amp;q=site%3Alinkedin.com+Yasmeen+Khalaf+Senior+Graduate+Recruiter" TargetMode="External"/><Relationship Id="rId12" Type="http://schemas.openxmlformats.org/officeDocument/2006/relationships/hyperlink" Target="https://www.google.com/search?newwindow=1&amp;ei=2MT0XrvGGM-vytMP1OyDgAY&amp;q=site%3Alinkedin.com+Melissa+Olson+Recruiting+Associate+Manager" TargetMode="External"/><Relationship Id="rId15" Type="http://schemas.openxmlformats.org/officeDocument/2006/relationships/hyperlink" Target="https://www.google.com/search?newwindow=1&amp;ei=2MT0XrvGGM-vytMP1OyDgAY&amp;q=site%3Alinkedin.com+Charline+Florestal+Campus+recruiter" TargetMode="External"/><Relationship Id="rId14" Type="http://schemas.openxmlformats.org/officeDocument/2006/relationships/hyperlink" Target="https://www.google.com/search?newwindow=1&amp;ei=2MT0XrvGGM-vytMP1OyDgAY&amp;q=site%3Alinkedin.com+Donna+Cummings+Senior+Graduate+Recruiter+-+Technology+&amp;+Cyber+Security" TargetMode="External"/><Relationship Id="rId17" Type="http://schemas.openxmlformats.org/officeDocument/2006/relationships/hyperlink" Target="https://www.google.com/search?newwindow=1&amp;ei=2MT0XrvGGM-vytMP1OyDgAY&amp;q=site%3Alinkedin.com+Tim+Caggiano+Campus+Recruiting+Specialist" TargetMode="External"/><Relationship Id="rId16" Type="http://schemas.openxmlformats.org/officeDocument/2006/relationships/hyperlink" Target="https://www.google.com/search?newwindow=1&amp;ei=2MT0XrvGGM-vytMP1OyDgAY&amp;q=site%3Alinkedin.com+Anna+Nyzio+Campus+Recruiting+Team+Lead+-+Boston/Hartford" TargetMode="External"/><Relationship Id="rId19" Type="http://schemas.openxmlformats.org/officeDocument/2006/relationships/hyperlink" Target="https://www.google.com/search?newwindow=1&amp;ei=2MT0XrvGGM-vytMP1OyDgAY&amp;q=site%3Alinkedin.com+Courtney+Payne+Campus+Recruiting+Senior+Analyst" TargetMode="External"/><Relationship Id="rId18" Type="http://schemas.openxmlformats.org/officeDocument/2006/relationships/hyperlink" Target="https://www.google.com/search?newwindow=1&amp;ei=2MT0XrvGGM-vytMP1OyDgAY&amp;q=site%3Alinkedin.com+Courtney+Schroeder+Associate+Recruiter+-+Campus+Recruiting" TargetMode="External"/><Relationship Id="rId84" Type="http://schemas.openxmlformats.org/officeDocument/2006/relationships/hyperlink" Target="https://www.google.com/search?newwindow=1&amp;ei=2MT0XrvGGM-vytMP1OyDgAY&amp;q=site%3Alinkedin.com+Jen+Bednar+Sr.+Recruiter+Student+(University)+Programs+-+MBA" TargetMode="External"/><Relationship Id="rId1774" Type="http://schemas.openxmlformats.org/officeDocument/2006/relationships/hyperlink" Target="https://www.google.com/search?newwindow=1&amp;ei=2MT0XrvGGM-vytMP1OyDgAY&amp;q=site%3Alinkedin.com+Jennifer+Rice+Manager+Campus+Recruiting+KPMG+US" TargetMode="External"/><Relationship Id="rId83" Type="http://schemas.openxmlformats.org/officeDocument/2006/relationships/hyperlink" Target="https://www.google.com/search?newwindow=1&amp;ei=2MT0XrvGGM-vytMP1OyDgAY&amp;q=site%3Alinkedin.com+Catherine+Irvine+Campus+Recruiter+Operations+EMEA" TargetMode="External"/><Relationship Id="rId1775" Type="http://schemas.openxmlformats.org/officeDocument/2006/relationships/hyperlink" Target="https://www.google.com/search?newwindow=1&amp;ei=2MT0XrvGGM-vytMP1OyDgAY&amp;q=site%3Alinkedin.com+Kristin+Spivey+Associate+Director+Campus+Recruiting+KPMG+US" TargetMode="External"/><Relationship Id="rId86" Type="http://schemas.openxmlformats.org/officeDocument/2006/relationships/hyperlink" Target="https://www.google.com/search?newwindow=1&amp;ei=2MT0XrvGGM-vytMP1OyDgAY&amp;q=site%3Alinkedin.com+Vanessa+Lengfellner+Campus+Recruiter" TargetMode="External"/><Relationship Id="rId1776" Type="http://schemas.openxmlformats.org/officeDocument/2006/relationships/hyperlink" Target="https://www.google.com/search?newwindow=1&amp;ei=2MT0XrvGGM-vytMP1OyDgAY&amp;q=site%3Alinkedin.com+Melissa+Miller+Campus+Recruiter+KPMG+US" TargetMode="External"/><Relationship Id="rId85" Type="http://schemas.openxmlformats.org/officeDocument/2006/relationships/hyperlink" Target="https://www.google.com/search?newwindow=1&amp;ei=2MT0XrvGGM-vytMP1OyDgAY&amp;q=site%3Alinkedin.com+Alex+Lucy+Candidate+Services+Recruiter+Student+Programs" TargetMode="External"/><Relationship Id="rId1777" Type="http://schemas.openxmlformats.org/officeDocument/2006/relationships/hyperlink" Target="https://www.google.com/search?newwindow=1&amp;ei=2MT0XrvGGM-vytMP1OyDgAY&amp;q=site%3Alinkedin.com+Mary+Nolan+Campus+Recruiting+Manager+KPMG+US" TargetMode="External"/><Relationship Id="rId88" Type="http://schemas.openxmlformats.org/officeDocument/2006/relationships/hyperlink" Target="https://www.google.com/search?newwindow=1&amp;ei=2MT0XrvGGM-vytMP1OyDgAY&amp;q=site%3Alinkedin.com+Beatrice+Lupi+Campus+Recruiter+-+EMEA+Operations" TargetMode="External"/><Relationship Id="rId1778" Type="http://schemas.openxmlformats.org/officeDocument/2006/relationships/hyperlink" Target="https://www.google.com/search?newwindow=1&amp;ei=2MT0XrvGGM-vytMP1OyDgAY&amp;q=site%3Alinkedin.com+Kati+Hood+Associate+Director+University+Talent+Acquisition+KPMG+US" TargetMode="External"/><Relationship Id="rId87" Type="http://schemas.openxmlformats.org/officeDocument/2006/relationships/hyperlink" Target="https://www.google.com/search?newwindow=1&amp;ei=2MT0XrvGGM-vytMP1OyDgAY&amp;q=site%3Alinkedin.com+Dora+Mucsi+Technical+Recruiter+Student+Programs+for+Software+Engineering+(EMEA)" TargetMode="External"/><Relationship Id="rId1779" Type="http://schemas.openxmlformats.org/officeDocument/2006/relationships/hyperlink" Target="https://www.google.com/search?newwindow=1&amp;ei=2MT0XrvGGM-vytMP1OyDgAY&amp;q=site%3Alinkedin.com+Taylor+McKamy+Campus+Recruiting+Manager+KPMG+US" TargetMode="External"/><Relationship Id="rId89" Type="http://schemas.openxmlformats.org/officeDocument/2006/relationships/hyperlink" Target="https://www.google.com/search?newwindow=1&amp;ei=2MT0XrvGGM-vytMP1OyDgAY&amp;q=site%3Alinkedin.com+Eilish+McGovern+Campus+Recruitment+Coordinator+-+EMEA+Student+Programs" TargetMode="External"/><Relationship Id="rId80" Type="http://schemas.openxmlformats.org/officeDocument/2006/relationships/hyperlink" Target="https://www.google.com/search?newwindow=1&amp;ei=2MT0XrvGGM-vytMP1OyDgAY&amp;q=site%3Alinkedin.com+Candace+Gerads+Campus+Recruiter+Allstate" TargetMode="External"/><Relationship Id="rId82" Type="http://schemas.openxmlformats.org/officeDocument/2006/relationships/hyperlink" Target="https://www.google.com/search?newwindow=1&amp;ei=2MT0XrvGGM-vytMP1OyDgAY&amp;q=site%3Alinkedin.com+Molly+Haas+Recruiter+Student+Programs" TargetMode="External"/><Relationship Id="rId81" Type="http://schemas.openxmlformats.org/officeDocument/2006/relationships/hyperlink" Target="https://www.google.com/search?newwindow=1&amp;ei=2MT0XrvGGM-vytMP1OyDgAY&amp;q=site%3Alinkedin.com+Ben+Raynor+Senior+Recruiter+Student+Programs" TargetMode="External"/><Relationship Id="rId1770" Type="http://schemas.openxmlformats.org/officeDocument/2006/relationships/hyperlink" Target="https://www.google.com/search?newwindow=1&amp;ei=2MT0XrvGGM-vytMP1OyDgAY&amp;q=site%3Alinkedin.com+Renee+Blonde+Campus+Recruiting+Manager+KPMG+global" TargetMode="External"/><Relationship Id="rId1771" Type="http://schemas.openxmlformats.org/officeDocument/2006/relationships/hyperlink" Target="https://www.google.com/search?newwindow=1&amp;ei=2MT0XrvGGM-vytMP1OyDgAY&amp;q=site%3Alinkedin.com+Kyri+Gorges+Manager+Campus+Recruiting+KPMG+LLP" TargetMode="External"/><Relationship Id="rId1772" Type="http://schemas.openxmlformats.org/officeDocument/2006/relationships/hyperlink" Target="https://www.google.com/search?newwindow=1&amp;ei=2MT0XrvGGM-vytMP1OyDgAY&amp;q=site%3Alinkedin.com+Peter+Bartok+Campus+Recruiting+Manager+KPMG+LLP" TargetMode="External"/><Relationship Id="rId1773" Type="http://schemas.openxmlformats.org/officeDocument/2006/relationships/hyperlink" Target="https://www.google.com/search?newwindow=1&amp;ei=2MT0XrvGGM-vytMP1OyDgAY&amp;q=site%3Alinkedin.com+Delucious+Patterson+Senior+Associate+Inclusion+and+Diversity+Campus+Recruiter+KPMG+US" TargetMode="External"/><Relationship Id="rId73" Type="http://schemas.openxmlformats.org/officeDocument/2006/relationships/hyperlink" Target="https://www.google.com/search?newwindow=1&amp;ei=2MT0XrvGGM-vytMP1OyDgAY&amp;q=site%3Alinkedin.com+Catherine+Guilbault+CRHA+Talent+Aquisition+Student+&amp;+Special+Programs+Manager" TargetMode="External"/><Relationship Id="rId1763" Type="http://schemas.openxmlformats.org/officeDocument/2006/relationships/hyperlink" Target="https://www.google.com/search?newwindow=1&amp;ei=2MT0XrvGGM-vytMP1OyDgAY&amp;q=site%3Alinkedin.com+Sandeep+Draviam+Inclusion+and+Diversity+Manager+Campus+Recruiting+KPMG" TargetMode="External"/><Relationship Id="rId72" Type="http://schemas.openxmlformats.org/officeDocument/2006/relationships/hyperlink" Target="https://www.google.com/search?newwindow=1&amp;ei=2MT0XrvGGM-vytMP1OyDgAY&amp;q=site%3Alinkedin.com+Erin+Breslin-Garcia+Sr.+Recruiter+Campus+Recruiting+Activision" TargetMode="External"/><Relationship Id="rId1764" Type="http://schemas.openxmlformats.org/officeDocument/2006/relationships/hyperlink" Target="https://www.google.com/search?newwindow=1&amp;ei=2MT0XrvGGM-vytMP1OyDgAY&amp;q=site%3Alinkedin.com+Janelle+Huang+Primary+Recruiter+Campus+Recruiting+KPMG" TargetMode="External"/><Relationship Id="rId75" Type="http://schemas.openxmlformats.org/officeDocument/2006/relationships/hyperlink" Target="https://www.google.com/search?newwindow=1&amp;ei=2MT0XrvGGM-vytMP1OyDgAY&amp;q=site%3Alinkedin.com+JoAnne+Jean-Noel+Campus+Recruiter+Allstate" TargetMode="External"/><Relationship Id="rId1765" Type="http://schemas.openxmlformats.org/officeDocument/2006/relationships/hyperlink" Target="https://www.google.com/search?newwindow=1&amp;ei=2MT0XrvGGM-vytMP1OyDgAY&amp;q=site%3Alinkedin.com+Samantha+Daly+Associate+Campus+Recruiter+KPMG" TargetMode="External"/><Relationship Id="rId74" Type="http://schemas.openxmlformats.org/officeDocument/2006/relationships/hyperlink" Target="https://www.google.com/search?newwindow=1&amp;ei=2MT0XrvGGM-vytMP1OyDgAY&amp;q=site%3Alinkedin.com+Charlene+Coleman+Airbus+Group+-+Recruitment+Business+Partner+for+Airbus+Defence+and+Space+(UK)" TargetMode="External"/><Relationship Id="rId1766" Type="http://schemas.openxmlformats.org/officeDocument/2006/relationships/hyperlink" Target="https://www.google.com/search?newwindow=1&amp;ei=2MT0XrvGGM-vytMP1OyDgAY&amp;q=site%3Alinkedin.com+Katie+Howland+Training+Manager+KPMG" TargetMode="External"/><Relationship Id="rId77" Type="http://schemas.openxmlformats.org/officeDocument/2006/relationships/hyperlink" Target="https://www.google.com/search?newwindow=1&amp;ei=2MT0XrvGGM-vytMP1OyDgAY&amp;q=site%3Alinkedin.com+Kayla+King+MPA+Campus+Recruiter+Allstate" TargetMode="External"/><Relationship Id="rId1767" Type="http://schemas.openxmlformats.org/officeDocument/2006/relationships/hyperlink" Target="https://www.google.com/search?newwindow=1&amp;ei=2MT0XrvGGM-vytMP1OyDgAY&amp;q=site%3Alinkedin.com+Regina+Manansala+Campus+Recruiting+Manager+KPMG" TargetMode="External"/><Relationship Id="rId76" Type="http://schemas.openxmlformats.org/officeDocument/2006/relationships/hyperlink" Target="https://www.google.com/search?newwindow=1&amp;ei=2MT0XrvGGM-vytMP1OyDgAY&amp;q=site%3Alinkedin.com+David+Tarkenton+MBA+Technology+Campus+Recruiter+Allstate" TargetMode="External"/><Relationship Id="rId1768" Type="http://schemas.openxmlformats.org/officeDocument/2006/relationships/hyperlink" Target="https://www.google.com/search?newwindow=1&amp;ei=2MT0XrvGGM-vytMP1OyDgAY&amp;q=site%3Alinkedin.com+Laura+Vitale+Manager+Campus+Recruiting+KPMG" TargetMode="External"/><Relationship Id="rId79" Type="http://schemas.openxmlformats.org/officeDocument/2006/relationships/hyperlink" Target="https://www.google.com/search?newwindow=1&amp;ei=2MT0XrvGGM-vytMP1OyDgAY&amp;q=site%3Alinkedin.com+Madison+Bruchsaler+Campus+Recruiter+Allstate" TargetMode="External"/><Relationship Id="rId1769" Type="http://schemas.openxmlformats.org/officeDocument/2006/relationships/hyperlink" Target="https://www.google.com/search?newwindow=1&amp;ei=2MT0XrvGGM-vytMP1OyDgAY&amp;q=site%3Alinkedin.com+Caitlin+Pershe+Manager+KPMG" TargetMode="External"/><Relationship Id="rId78" Type="http://schemas.openxmlformats.org/officeDocument/2006/relationships/hyperlink" Target="https://www.google.com/search?newwindow=1&amp;ei=2MT0XrvGGM-vytMP1OyDgAY&amp;q=site%3Alinkedin.com+Jillian+Farrell+Campus+Recruiting+Lead+Allstate" TargetMode="External"/><Relationship Id="rId71" Type="http://schemas.openxmlformats.org/officeDocument/2006/relationships/hyperlink" Target="https://www.google.com/search?newwindow=1&amp;ei=2MT0XrvGGM-vytMP1OyDgAY&amp;q=site%3Alinkedin.com+Brandon+Moore+Senior+Campus+Recruiter+Accenture+Strategy" TargetMode="External"/><Relationship Id="rId70" Type="http://schemas.openxmlformats.org/officeDocument/2006/relationships/hyperlink" Target="https://www.google.com/search?newwindow=1&amp;ei=2MT0XrvGGM-vytMP1OyDgAY&amp;q=site%3Alinkedin.com+Lexi+Lubin+Campus+Recruiter+Accenture+Federal+Services" TargetMode="External"/><Relationship Id="rId1760" Type="http://schemas.openxmlformats.org/officeDocument/2006/relationships/hyperlink" Target="https://www.google.com/search?newwindow=1&amp;ei=2MT0XrvGGM-vytMP1OyDgAY&amp;q=site%3Alinkedin.com+Laney+Williams+Senior+Associate+Campus+Recruiting+KPMG" TargetMode="External"/><Relationship Id="rId1761" Type="http://schemas.openxmlformats.org/officeDocument/2006/relationships/hyperlink" Target="https://www.google.com/search?newwindow=1&amp;ei=2MT0XrvGGM-vytMP1OyDgAY&amp;q=site%3Alinkedin.com+Doreen+Nakigudde+Campus+Recruiter+KPMG" TargetMode="External"/><Relationship Id="rId1762" Type="http://schemas.openxmlformats.org/officeDocument/2006/relationships/hyperlink" Target="https://www.google.com/search?newwindow=1&amp;ei=2MT0XrvGGM-vytMP1OyDgAY&amp;q=site%3Alinkedin.com+Misty+Abston+Campus+Recruiter+KPMG" TargetMode="External"/><Relationship Id="rId62" Type="http://schemas.openxmlformats.org/officeDocument/2006/relationships/hyperlink" Target="https://www.google.com/search?newwindow=1&amp;ei=2MT0XrvGGM-vytMP1OyDgAY&amp;q=site%3Alinkedin.com+Keyanea+Marrow+Campus+Recruiter+Accenture" TargetMode="External"/><Relationship Id="rId1796" Type="http://schemas.openxmlformats.org/officeDocument/2006/relationships/hyperlink" Target="https://www.google.com/search?newwindow=1&amp;ei=2MT0XrvGGM-vytMP1OyDgAY&amp;q=site%3Alinkedin.com+Jennifer+Stoch+Associate+Campus+Recruiter+KPMG+US" TargetMode="External"/><Relationship Id="rId61" Type="http://schemas.openxmlformats.org/officeDocument/2006/relationships/hyperlink" Target="https://www.google.com/search?newwindow=1&amp;ei=2MT0XrvGGM-vytMP1OyDgAY&amp;q=site%3Alinkedin.com+Taylor+Spikes+Strategy+Campus+Recruiter+Accenture" TargetMode="External"/><Relationship Id="rId1797" Type="http://schemas.openxmlformats.org/officeDocument/2006/relationships/hyperlink" Target="https://www.google.com/search?newwindow=1&amp;ei=2MT0XrvGGM-vytMP1OyDgAY&amp;q=site%3Alinkedin.com+Avery+Ching+Senior+Associate+Campus+Recruiter+KPMG+US" TargetMode="External"/><Relationship Id="rId64" Type="http://schemas.openxmlformats.org/officeDocument/2006/relationships/hyperlink" Target="https://www.google.com/search?newwindow=1&amp;ei=2MT0XrvGGM-vytMP1OyDgAY&amp;q=site%3Alinkedin.com+Alejandra+Mora+Campus+Recruiter+Accenture" TargetMode="External"/><Relationship Id="rId1798" Type="http://schemas.openxmlformats.org/officeDocument/2006/relationships/hyperlink" Target="https://www.google.com/search?newwindow=1&amp;ei=2MT0XrvGGM-vytMP1OyDgAY&amp;q=site%3Alinkedin.com+Naomi+Kim+Campus+Recruiting+Manager+KPMG+US" TargetMode="External"/><Relationship Id="rId63" Type="http://schemas.openxmlformats.org/officeDocument/2006/relationships/hyperlink" Target="https://www.google.com/search?newwindow=1&amp;ei=2MT0XrvGGM-vytMP1OyDgAY&amp;q=site%3Alinkedin.com+Catherine+Halcewicz+Pleskaczewski+Campus+Recruiter+Accenture" TargetMode="External"/><Relationship Id="rId1799" Type="http://schemas.openxmlformats.org/officeDocument/2006/relationships/hyperlink" Target="https://www.google.com/search?newwindow=1&amp;ei=2MT0XrvGGM-vytMP1OyDgAY&amp;q=site%3Alinkedin.com+Solveig+Haugen+Campus+Recruiter+KPMG+US" TargetMode="External"/><Relationship Id="rId66" Type="http://schemas.openxmlformats.org/officeDocument/2006/relationships/hyperlink" Target="https://www.google.com/search?newwindow=1&amp;ei=2MT0XrvGGM-vytMP1OyDgAY&amp;q=site%3Alinkedin.com+Caroline+Shook+Campus+Recruiter+Accenture" TargetMode="External"/><Relationship Id="rId65" Type="http://schemas.openxmlformats.org/officeDocument/2006/relationships/hyperlink" Target="https://www.google.com/search?newwindow=1&amp;ei=2MT0XrvGGM-vytMP1OyDgAY&amp;q=site%3Alinkedin.com+Rory+Merrill+Campus+Recruiter+Accenture" TargetMode="External"/><Relationship Id="rId68" Type="http://schemas.openxmlformats.org/officeDocument/2006/relationships/hyperlink" Target="https://www.google.com/search?newwindow=1&amp;ei=2MT0XrvGGM-vytMP1OyDgAY&amp;q=site%3Alinkedin.com+Samantha+Meason+Campus+Recruiter+Accenture+Federal+Services" TargetMode="External"/><Relationship Id="rId67" Type="http://schemas.openxmlformats.org/officeDocument/2006/relationships/hyperlink" Target="https://www.google.com/search?newwindow=1&amp;ei=2MT0XrvGGM-vytMP1OyDgAY&amp;q=site%3Alinkedin.com+Mark+Acquaye+Diversity+Campus+Recruiter+Accenture" TargetMode="External"/><Relationship Id="rId60" Type="http://schemas.openxmlformats.org/officeDocument/2006/relationships/hyperlink" Target="https://www.google.com/search?newwindow=1&amp;ei=2MT0XrvGGM-vytMP1OyDgAY&amp;q=site%3Alinkedin.com+Porsha+Alexander+Strategy+Campus+Recruiting+Associate+Manager+Accenture" TargetMode="External"/><Relationship Id="rId69" Type="http://schemas.openxmlformats.org/officeDocument/2006/relationships/hyperlink" Target="https://www.google.com/search?newwindow=1&amp;ei=2MT0XrvGGM-vytMP1OyDgAY&amp;q=site%3Alinkedin.com+Rachel+Neuschaefer+Recruiting+Manager/Lead+Campus+and+Entry+Level+Recruitment+Accenture+Federal+Services" TargetMode="External"/><Relationship Id="rId1790" Type="http://schemas.openxmlformats.org/officeDocument/2006/relationships/hyperlink" Target="https://www.google.com/search?newwindow=1&amp;ei=2MT0XrvGGM-vytMP1OyDgAY&amp;q=site%3Alinkedin.com+Derrick+Beggs+PHR+CDR+KMPG+Campus+Recruiting+Manager+KPMG+US" TargetMode="External"/><Relationship Id="rId1791" Type="http://schemas.openxmlformats.org/officeDocument/2006/relationships/hyperlink" Target="https://www.google.com/search?newwindow=1&amp;ei=2MT0XrvGGM-vytMP1OyDgAY&amp;q=site%3Alinkedin.com+Becky+Paseka+CPA+Campus+Recruiting+Manager+KPMG+US" TargetMode="External"/><Relationship Id="rId1792" Type="http://schemas.openxmlformats.org/officeDocument/2006/relationships/hyperlink" Target="https://www.google.com/search?newwindow=1&amp;ei=2MT0XrvGGM-vytMP1OyDgAY&amp;q=site%3Alinkedin.com+Alicia+Mucci+(she/her/hers)+Manager+Campus+Recruiting+KPMG+US" TargetMode="External"/><Relationship Id="rId1793" Type="http://schemas.openxmlformats.org/officeDocument/2006/relationships/hyperlink" Target="https://www.google.com/search?newwindow=1&amp;ei=2MT0XrvGGM-vytMP1OyDgAY&amp;q=site%3Alinkedin.com+Kate+McClain+Campus+Recruiting+Manager+KPMG+US" TargetMode="External"/><Relationship Id="rId1794" Type="http://schemas.openxmlformats.org/officeDocument/2006/relationships/hyperlink" Target="https://www.google.com/search?newwindow=1&amp;ei=2MT0XrvGGM-vytMP1OyDgAY&amp;q=site%3Alinkedin.com+Allison+Reams+Newman+Primary+Recruiter+Campus+Recruiting+KPMG+US" TargetMode="External"/><Relationship Id="rId1795" Type="http://schemas.openxmlformats.org/officeDocument/2006/relationships/hyperlink" Target="https://www.google.com/search?newwindow=1&amp;ei=2MT0XrvGGM-vytMP1OyDgAY&amp;q=site%3Alinkedin.com+Alsa+Le+Bailly+Campus+Recruiter+KPMG+US" TargetMode="External"/><Relationship Id="rId51" Type="http://schemas.openxmlformats.org/officeDocument/2006/relationships/hyperlink" Target="https://www.google.com/search?newwindow=1&amp;ei=2MT0XrvGGM-vytMP1OyDgAY&amp;q=site%3Alinkedin.com+Nancy+Pham+Campus+Recruiter+Accenture" TargetMode="External"/><Relationship Id="rId1785" Type="http://schemas.openxmlformats.org/officeDocument/2006/relationships/hyperlink" Target="https://www.google.com/search?newwindow=1&amp;ei=2MT0XrvGGM-vytMP1OyDgAY&amp;q=site%3Alinkedin.com+Jessica+Vittas+(she+her+hers)+Campus+Development+Manager:+Campus+Recruiting+KPMG+US" TargetMode="External"/><Relationship Id="rId50" Type="http://schemas.openxmlformats.org/officeDocument/2006/relationships/hyperlink" Target="https://www.google.com/search?newwindow=1&amp;ei=2MT0XrvGGM-vytMP1OyDgAY&amp;q=site%3Alinkedin.com+Madeline+McCooe+Campus+Recruiter+and+Location+Lead+(Southern+California)+Accenture" TargetMode="External"/><Relationship Id="rId1786" Type="http://schemas.openxmlformats.org/officeDocument/2006/relationships/hyperlink" Target="https://www.google.com/search?newwindow=1&amp;ei=2MT0XrvGGM-vytMP1OyDgAY&amp;q=site%3Alinkedin.com+Liz+Trevor+Primary+Recruiting+Manager+for+LA/OC+Advisory:+Campus+Recruiting+KPMG+US" TargetMode="External"/><Relationship Id="rId53" Type="http://schemas.openxmlformats.org/officeDocument/2006/relationships/hyperlink" Target="https://www.google.com/search?newwindow=1&amp;ei=2MT0XrvGGM-vytMP1OyDgAY&amp;q=site%3Alinkedin.com+Alexandrea+Bittle+Campus+Recruiter+Accenture" TargetMode="External"/><Relationship Id="rId1787" Type="http://schemas.openxmlformats.org/officeDocument/2006/relationships/hyperlink" Target="https://www.google.com/search?newwindow=1&amp;ei=2MT0XrvGGM-vytMP1OyDgAY&amp;q=site%3Alinkedin.com+Jennifer+McCanty+MBA+National+Manager+Campus+Recruiting+KPMG+US" TargetMode="External"/><Relationship Id="rId52" Type="http://schemas.openxmlformats.org/officeDocument/2006/relationships/hyperlink" Target="https://www.google.com/search?newwindow=1&amp;ei=2MT0XrvGGM-vytMP1OyDgAY&amp;q=site%3Alinkedin.com+Ashley.+Vonderahe+Campus+Recruiter+Accenture" TargetMode="External"/><Relationship Id="rId1788" Type="http://schemas.openxmlformats.org/officeDocument/2006/relationships/hyperlink" Target="https://www.google.com/search?newwindow=1&amp;ei=2MT0XrvGGM-vytMP1OyDgAY&amp;q=site%3Alinkedin.com+Jemima+Sloggett+Manager+Campus+Recruiting+KPMG+US" TargetMode="External"/><Relationship Id="rId55" Type="http://schemas.openxmlformats.org/officeDocument/2006/relationships/hyperlink" Target="https://www.google.com/search?newwindow=1&amp;ei=2MT0XrvGGM-vytMP1OyDgAY&amp;q=site%3Alinkedin.com+Rachel+McGrath+Sr.+Campus+Recruiter-+Strategy+Accenture" TargetMode="External"/><Relationship Id="rId1789" Type="http://schemas.openxmlformats.org/officeDocument/2006/relationships/hyperlink" Target="https://www.google.com/search?newwindow=1&amp;ei=2MT0XrvGGM-vytMP1OyDgAY&amp;q=site%3Alinkedin.com+Jenna+R.+Campus+Recruiting+Manager+KPMG+US" TargetMode="External"/><Relationship Id="rId54" Type="http://schemas.openxmlformats.org/officeDocument/2006/relationships/hyperlink" Target="https://www.google.com/search?newwindow=1&amp;ei=2MT0XrvGGM-vytMP1OyDgAY&amp;q=site%3Alinkedin.com+Christina+Coy+Campus+Recruiter+Accenture" TargetMode="External"/><Relationship Id="rId57" Type="http://schemas.openxmlformats.org/officeDocument/2006/relationships/hyperlink" Target="https://www.google.com/search?newwindow=1&amp;ei=2MT0XrvGGM-vytMP1OyDgAY&amp;q=site%3Alinkedin.com+Elsa+Wilcox+Campus+Recruiter+Accenture" TargetMode="External"/><Relationship Id="rId56" Type="http://schemas.openxmlformats.org/officeDocument/2006/relationships/hyperlink" Target="https://www.google.com/search?newwindow=1&amp;ei=2MT0XrvGGM-vytMP1OyDgAY&amp;q=site%3Alinkedin.com+Courtney+Schroeder+Associate+Recruiter+-+Campus+Recruiting+Accenture" TargetMode="External"/><Relationship Id="rId59" Type="http://schemas.openxmlformats.org/officeDocument/2006/relationships/hyperlink" Target="https://www.google.com/search?newwindow=1&amp;ei=2MT0XrvGGM-vytMP1OyDgAY&amp;q=site%3Alinkedin.com+Jessica+Steciw+Campus+Recruiter+Accenture" TargetMode="External"/><Relationship Id="rId58" Type="http://schemas.openxmlformats.org/officeDocument/2006/relationships/hyperlink" Target="https://www.google.com/search?newwindow=1&amp;ei=2MT0XrvGGM-vytMP1OyDgAY&amp;q=site%3Alinkedin.com+Suzie+Cochran+Campus+Recruiter+Accenture" TargetMode="External"/><Relationship Id="rId1780" Type="http://schemas.openxmlformats.org/officeDocument/2006/relationships/hyperlink" Target="https://www.google.com/search?newwindow=1&amp;ei=2MT0XrvGGM-vytMP1OyDgAY&amp;q=site%3Alinkedin.com+Hannah+Auer+CPA+Senior+Associate+Campus+Recruiter+KPMG+US" TargetMode="External"/><Relationship Id="rId1781" Type="http://schemas.openxmlformats.org/officeDocument/2006/relationships/hyperlink" Target="https://www.google.com/search?newwindow=1&amp;ei=2MT0XrvGGM-vytMP1OyDgAY&amp;q=site%3Alinkedin.com+Lindsay+Herring+Campus+Recruiter+KPMG+US" TargetMode="External"/><Relationship Id="rId1782" Type="http://schemas.openxmlformats.org/officeDocument/2006/relationships/hyperlink" Target="https://www.google.com/search?newwindow=1&amp;ei=2MT0XrvGGM-vytMP1OyDgAY&amp;q=site%3Alinkedin.com+Laurel+Miller+Stone+Associate+Director+Campus+Recruiting+KPMG+US" TargetMode="External"/><Relationship Id="rId1783" Type="http://schemas.openxmlformats.org/officeDocument/2006/relationships/hyperlink" Target="https://www.google.com/search?newwindow=1&amp;ei=2MT0XrvGGM-vytMP1OyDgAY&amp;q=site%3Alinkedin.com+Lisa+Francisco+National+Manager+Campus+Recruiting+&amp;+University+Relations+KPMG+US" TargetMode="External"/><Relationship Id="rId1784" Type="http://schemas.openxmlformats.org/officeDocument/2006/relationships/hyperlink" Target="https://www.google.com/search?newwindow=1&amp;ei=2MT0XrvGGM-vytMP1OyDgAY&amp;q=site%3Alinkedin.com+Haley+Barton+Associate+Campus+Recruiter+KPMG+US" TargetMode="External"/><Relationship Id="rId2269" Type="http://schemas.openxmlformats.org/officeDocument/2006/relationships/hyperlink" Target="https://www.google.com/search?newwindow=1&amp;ei=2MT0XrvGGM-vytMP1OyDgAY&amp;q=site%3Alinkedin.com+Julie+Mims+Campus+Talent+Acquisition+Manager+PwC" TargetMode="External"/><Relationship Id="rId349" Type="http://schemas.openxmlformats.org/officeDocument/2006/relationships/hyperlink" Target="https://www.google.com/search?newwindow=1&amp;ei=2MT0XrvGGM-vytMP1OyDgAY&amp;q=site%3Alinkedin.com+Jordan+Allison+Campus+Recruiter+Bloomberg+LP" TargetMode="External"/><Relationship Id="rId348" Type="http://schemas.openxmlformats.org/officeDocument/2006/relationships/hyperlink" Target="https://www.google.com/search?newwindow=1&amp;ei=2MT0XrvGGM-vytMP1OyDgAY&amp;q=site%3Alinkedin.com+Brittany+Rodriguez+Campus+Recruiter+Bloomberg+LP" TargetMode="External"/><Relationship Id="rId347" Type="http://schemas.openxmlformats.org/officeDocument/2006/relationships/hyperlink" Target="https://www.google.com/search?newwindow=1&amp;ei=2MT0XrvGGM-vytMP1OyDgAY&amp;q=site%3Alinkedin.com+Alexa+Perrelli+Engineering+Campus+Recruiter+Bloomberg+LP" TargetMode="External"/><Relationship Id="rId346" Type="http://schemas.openxmlformats.org/officeDocument/2006/relationships/hyperlink" Target="https://www.google.com/search?newwindow=1&amp;ei=2MT0XrvGGM-vytMP1OyDgAY&amp;q=site%3Alinkedin.com+Annie+Kadets+Campus+Recruiter+Bloomberg+LP" TargetMode="External"/><Relationship Id="rId2260" Type="http://schemas.openxmlformats.org/officeDocument/2006/relationships/hyperlink" Target="https://www.google.com/search?newwindow=1&amp;ei=2MT0XrvGGM-vytMP1OyDgAY&amp;q=site%3Alinkedin.com+Corinne+Santos+Campus+Recruiter+PricewaterhouseCoopers" TargetMode="External"/><Relationship Id="rId341" Type="http://schemas.openxmlformats.org/officeDocument/2006/relationships/hyperlink" Target="https://www.google.com/search?newwindow=1&amp;ei=2MT0XrvGGM-vytMP1OyDgAY&amp;q=site%3Alinkedin.com+Justine+Bellew+Campus+Recruiter+Bloomberg+LP" TargetMode="External"/><Relationship Id="rId2261" Type="http://schemas.openxmlformats.org/officeDocument/2006/relationships/hyperlink" Target="https://www.google.com/search?newwindow=1&amp;ei=2MT0XrvGGM-vytMP1OyDgAY&amp;q=site%3Alinkedin.com+Karen+Putnam+Campus+Recruiting+Manager+PricewaterhouseCoopers" TargetMode="External"/><Relationship Id="rId340" Type="http://schemas.openxmlformats.org/officeDocument/2006/relationships/hyperlink" Target="https://www.google.com/search?newwindow=1&amp;ei=2MT0XrvGGM-vytMP1OyDgAY&amp;q=site%3Alinkedin.com+Monica+D.+Engineering+Campus+&amp;+Diversity+Recruiter+Bloomberg+LP" TargetMode="External"/><Relationship Id="rId2262" Type="http://schemas.openxmlformats.org/officeDocument/2006/relationships/hyperlink" Target="https://www.google.com/search?newwindow=1&amp;ei=2MT0XrvGGM-vytMP1OyDgAY&amp;q=site%3Alinkedin.com+Jennifer+Kaniewski+HR+&amp;+Campus+Recruiting+Manager+PricewaterhouseCoopers" TargetMode="External"/><Relationship Id="rId2263" Type="http://schemas.openxmlformats.org/officeDocument/2006/relationships/hyperlink" Target="https://www.google.com/search?newwindow=1&amp;ei=2MT0XrvGGM-vytMP1OyDgAY&amp;q=site%3Alinkedin.com+Rene+Newsome+Campus+Recruiting+Manager+PricewaterhouseCoopers" TargetMode="External"/><Relationship Id="rId2264" Type="http://schemas.openxmlformats.org/officeDocument/2006/relationships/hyperlink" Target="https://www.google.com/search?newwindow=1&amp;ei=2MT0XrvGGM-vytMP1OyDgAY&amp;q=site%3Alinkedin.com+Kurt+Peterson+Campus+Recruiting+Manager+PricewaterhouseCoopers" TargetMode="External"/><Relationship Id="rId345" Type="http://schemas.openxmlformats.org/officeDocument/2006/relationships/hyperlink" Target="https://www.google.com/search?newwindow=1&amp;ei=2MT0XrvGGM-vytMP1OyDgAY&amp;q=site%3Alinkedin.com+Bianca+Martinez+Engineering+Campus+Recruiter+Bloomberg+LP" TargetMode="External"/><Relationship Id="rId2265" Type="http://schemas.openxmlformats.org/officeDocument/2006/relationships/hyperlink" Target="https://www.google.com/search?newwindow=1&amp;ei=2MT0XrvGGM-vytMP1OyDgAY&amp;q=site%3Alinkedin.com+Angela+Helbing+Manager+of+Campus+Recruiting+PricewaterhouseCoopers" TargetMode="External"/><Relationship Id="rId344" Type="http://schemas.openxmlformats.org/officeDocument/2006/relationships/hyperlink" Target="https://www.google.com/search?newwindow=1&amp;ei=2MT0XrvGGM-vytMP1OyDgAY&amp;q=site%3Alinkedin.com+Ashley+Redus+Engineering+Campus+Recruiter+Bloomberg+LP" TargetMode="External"/><Relationship Id="rId2266" Type="http://schemas.openxmlformats.org/officeDocument/2006/relationships/hyperlink" Target="https://www.google.com/search?newwindow=1&amp;ei=2MT0XrvGGM-vytMP1OyDgAY&amp;q=site%3Alinkedin.com+Kim+Kueper+Campus+Recruiter+PricewaterhouseCoopers" TargetMode="External"/><Relationship Id="rId343" Type="http://schemas.openxmlformats.org/officeDocument/2006/relationships/hyperlink" Target="https://www.google.com/search?newwindow=1&amp;ei=2MT0XrvGGM-vytMP1OyDgAY&amp;q=site%3Alinkedin.com+Jinny+Rhieu+Engineering+Campus+Recruiter+Bloomberg+LP" TargetMode="External"/><Relationship Id="rId2267" Type="http://schemas.openxmlformats.org/officeDocument/2006/relationships/hyperlink" Target="https://www.google.com/search?newwindow=1&amp;ei=2MT0XrvGGM-vytMP1OyDgAY&amp;q=site%3Alinkedin.com+Allyson+Cowden+Campus+Recruiting+Manager+PwC" TargetMode="External"/><Relationship Id="rId342" Type="http://schemas.openxmlformats.org/officeDocument/2006/relationships/hyperlink" Target="https://www.google.com/search?newwindow=1&amp;ei=2MT0XrvGGM-vytMP1OyDgAY&amp;q=site%3Alinkedin.com+Amy+Petcoff+Engineering+Campus+Recruiter+Bloomberg+LP" TargetMode="External"/><Relationship Id="rId2268" Type="http://schemas.openxmlformats.org/officeDocument/2006/relationships/hyperlink" Target="https://www.google.com/search?newwindow=1&amp;ei=2MT0XrvGGM-vytMP1OyDgAY&amp;q=site%3Alinkedin.com+Teryl+Booth+Campus+Recruiting+Manager+PwC" TargetMode="External"/><Relationship Id="rId2258" Type="http://schemas.openxmlformats.org/officeDocument/2006/relationships/hyperlink" Target="https://www.google.com/search?newwindow=1&amp;ei=2MT0XrvGGM-vytMP1OyDgAY&amp;q=site%3Alinkedin.com+Meredith+TenHoeve+Campus+Recruiting+Manager" TargetMode="External"/><Relationship Id="rId2259" Type="http://schemas.openxmlformats.org/officeDocument/2006/relationships/hyperlink" Target="https://www.google.com/search?newwindow=1&amp;ei=2MT0XrvGGM-vytMP1OyDgAY&amp;q=site%3Alinkedin.com+Paulette+Sprigg+Business+Recruiter+Experienced+Hire+PricewaterhouseCoopers" TargetMode="External"/><Relationship Id="rId338" Type="http://schemas.openxmlformats.org/officeDocument/2006/relationships/hyperlink" Target="https://www.google.com/search?newwindow=1&amp;ei=2MT0XrvGGM-vytMP1OyDgAY&amp;q=site%3Alinkedin.com+JAMILLA+SMITH+Sr.+Campus+Recruiter+Bloomberg+LP" TargetMode="External"/><Relationship Id="rId337" Type="http://schemas.openxmlformats.org/officeDocument/2006/relationships/hyperlink" Target="https://www.google.com/search?newwindow=1&amp;ei=2MT0XrvGGM-vytMP1OyDgAY&amp;q=site%3Alinkedin.com+Sophie+Robinson+EMEA+Campus+Recruiter+and+Programme+Manager" TargetMode="External"/><Relationship Id="rId336" Type="http://schemas.openxmlformats.org/officeDocument/2006/relationships/hyperlink" Target="https://www.google.com/search?newwindow=1&amp;ei=2MT0XrvGGM-vytMP1OyDgAY&amp;q=site%3Alinkedin.com+Millie+Hodges+Graduate+Recruiter" TargetMode="External"/><Relationship Id="rId335" Type="http://schemas.openxmlformats.org/officeDocument/2006/relationships/hyperlink" Target="https://www.google.com/search?newwindow=1&amp;ei=2MT0XrvGGM-vytMP1OyDgAY&amp;q=site%3Alinkedin.com+Sean+O'Connor+Campus+Recruiting+Coordinator+Software+Engineering" TargetMode="External"/><Relationship Id="rId339" Type="http://schemas.openxmlformats.org/officeDocument/2006/relationships/hyperlink" Target="https://www.google.com/search?newwindow=1&amp;ei=2MT0XrvGGM-vytMP1OyDgAY&amp;q=site%3Alinkedin.com+Stephanie+Santora+Campus+Recruiter+Bloomberg+LP" TargetMode="External"/><Relationship Id="rId330" Type="http://schemas.openxmlformats.org/officeDocument/2006/relationships/hyperlink" Target="https://www.google.com/search?newwindow=1&amp;ei=2MT0XrvGGM-vytMP1OyDgAY&amp;q=site%3Alinkedin.com+Camille+Gonzalez+Engineering+D&amp;I+Campus+Recruiting" TargetMode="External"/><Relationship Id="rId2250" Type="http://schemas.openxmlformats.org/officeDocument/2006/relationships/hyperlink" Target="https://www.google.com/search?newwindow=1&amp;ei=2MT0XrvGGM-vytMP1OyDgAY&amp;q=site%3Alinkedin.com+Gore+Kamara+Jr.+Campus+Tax+Business+Recruiting+Associate" TargetMode="External"/><Relationship Id="rId2251" Type="http://schemas.openxmlformats.org/officeDocument/2006/relationships/hyperlink" Target="https://www.google.com/search?newwindow=1&amp;ei=2MT0XrvGGM-vytMP1OyDgAY&amp;q=site%3Alinkedin.com+Elizabeth+Agravante+CPA+Advisory+Campus+Business+Recruiting+Experienced+Associate" TargetMode="External"/><Relationship Id="rId2252" Type="http://schemas.openxmlformats.org/officeDocument/2006/relationships/hyperlink" Target="https://www.google.com/search?newwindow=1&amp;ei=2MT0XrvGGM-vytMP1OyDgAY&amp;q=site%3Alinkedin.com+Kelly+Farrell+MBA+Tax+Business+Recruiting+Manager" TargetMode="External"/><Relationship Id="rId2253" Type="http://schemas.openxmlformats.org/officeDocument/2006/relationships/hyperlink" Target="https://www.google.com/search?newwindow=1&amp;ei=2MT0XrvGGM-vytMP1OyDgAY&amp;q=site%3Alinkedin.com+Laura+Chapman+Campus+Recruiting+Senior+Manager" TargetMode="External"/><Relationship Id="rId334" Type="http://schemas.openxmlformats.org/officeDocument/2006/relationships/hyperlink" Target="https://www.google.com/search?newwindow=1&amp;ei=2MT0XrvGGM-vytMP1OyDgAY&amp;q=site%3Alinkedin.com+Jagreet+Baghasingh+Team+Lead+-+R&amp;D+Investor+Ownership" TargetMode="External"/><Relationship Id="rId2254" Type="http://schemas.openxmlformats.org/officeDocument/2006/relationships/hyperlink" Target="https://www.google.com/search?newwindow=1&amp;ei=2MT0XrvGGM-vytMP1OyDgAY&amp;q=site%3Alinkedin.com+Kassie+%27Schlegel%27+Plummer+CPA+Missouri+Market+Campus+Recruiting+Manager" TargetMode="External"/><Relationship Id="rId333" Type="http://schemas.openxmlformats.org/officeDocument/2006/relationships/hyperlink" Target="https://www.google.com/search?newwindow=1&amp;ei=2MT0XrvGGM-vytMP1OyDgAY&amp;q=site%3Alinkedin.com+Melanie+S.+Human+Resources+Intern+-+Campus+Recruiting" TargetMode="External"/><Relationship Id="rId2255" Type="http://schemas.openxmlformats.org/officeDocument/2006/relationships/hyperlink" Target="https://www.google.com/search?newwindow=1&amp;ei=2MT0XrvGGM-vytMP1OyDgAY&amp;q=site%3Alinkedin.com+Jess+Bailey+Campus+Recruiting+Manager" TargetMode="External"/><Relationship Id="rId332" Type="http://schemas.openxmlformats.org/officeDocument/2006/relationships/hyperlink" Target="https://www.google.com/search?newwindow=1&amp;ei=2MT0XrvGGM-vytMP1OyDgAY&amp;q=site%3Alinkedin.com+Rachel+Vance+Talent+Experience+Specialist:+Campus+&amp;+Entry+Level+Recruiting" TargetMode="External"/><Relationship Id="rId2256" Type="http://schemas.openxmlformats.org/officeDocument/2006/relationships/hyperlink" Target="https://www.google.com/search?newwindow=1&amp;ei=2MT0XrvGGM-vytMP1OyDgAY&amp;q=site%3Alinkedin.com+Jim+Andrus+-++SPHRSHRM-SCP+Southwest+Market+Campus+Recruiting+Lead" TargetMode="External"/><Relationship Id="rId331" Type="http://schemas.openxmlformats.org/officeDocument/2006/relationships/hyperlink" Target="https://www.google.com/search?newwindow=1&amp;ei=2MT0XrvGGM-vytMP1OyDgAY&amp;q=site%3Alinkedin.com+Trevor+Bridgepaul+Engineering+Campus+Recruiting" TargetMode="External"/><Relationship Id="rId2257" Type="http://schemas.openxmlformats.org/officeDocument/2006/relationships/hyperlink" Target="https://www.google.com/search?newwindow=1&amp;ei=2MT0XrvGGM-vytMP1OyDgAY&amp;q=site%3Alinkedin.com+Edward+Hernandez+Campus+Recruiting+Intern" TargetMode="External"/><Relationship Id="rId370" Type="http://schemas.openxmlformats.org/officeDocument/2006/relationships/hyperlink" Target="https://www.google.com/search?newwindow=1&amp;ei=2MT0XrvGGM-vytMP1OyDgAY&amp;q=site%3Alinkedin.com+Jonell+Diaz+Hanley+College+Recruiter+The+Boeing+Company" TargetMode="External"/><Relationship Id="rId369" Type="http://schemas.openxmlformats.org/officeDocument/2006/relationships/hyperlink" Target="https://www.google.com/search?newwindow=1&amp;ei=2MT0XrvGGM-vytMP1OyDgAY&amp;q=site%3Alinkedin.com+John+B.+DeRoest+MBA+CPIM+Supply+Chain+Integrator/Analyst+/+College+Recruiter+The+Boeing+Company" TargetMode="External"/><Relationship Id="rId368" Type="http://schemas.openxmlformats.org/officeDocument/2006/relationships/hyperlink" Target="https://www.google.com/search?newwindow=1&amp;ei=2MT0XrvGGM-vytMP1OyDgAY&amp;q=site%3Alinkedin.com+Leslie+Benson+Enterprise+Finance+and+Strategy+Advisor+&amp;+Learning+Program+Manager+(Dual+Role)+Boeing" TargetMode="External"/><Relationship Id="rId2280" Type="http://schemas.openxmlformats.org/officeDocument/2006/relationships/hyperlink" Target="https://www.google.com/search?newwindow=1&amp;ei=2MT0XrvGGM-vytMP1OyDgAY&amp;q=site%3Alinkedin.com+Kristina+Scutari+Campus+Recruiting+Manager+PwC" TargetMode="External"/><Relationship Id="rId2281" Type="http://schemas.openxmlformats.org/officeDocument/2006/relationships/hyperlink" Target="https://www.google.com/search?newwindow=1&amp;ei=2MT0XrvGGM-vytMP1OyDgAY&amp;q=site%3Alinkedin.com+Katie+Doerer+MBA+Campus+Recruiting+Manager+PwC" TargetMode="External"/><Relationship Id="rId2282" Type="http://schemas.openxmlformats.org/officeDocument/2006/relationships/hyperlink" Target="https://www.google.com/search?newwindow=1&amp;ei=2MT0XrvGGM-vytMP1OyDgAY&amp;q=site%3Alinkedin.com+Mandi+Folks+Campus+Recruiter+PwC" TargetMode="External"/><Relationship Id="rId363" Type="http://schemas.openxmlformats.org/officeDocument/2006/relationships/hyperlink" Target="https://www.google.com/search?newwindow=1&amp;ei=2MT0XrvGGM-vytMP1OyDgAY&amp;q=site%3Alinkedin.com+Mark+Lyden+College+Recruiter+Boeing" TargetMode="External"/><Relationship Id="rId2283" Type="http://schemas.openxmlformats.org/officeDocument/2006/relationships/hyperlink" Target="https://www.google.com/search?newwindow=1&amp;ei=2MT0XrvGGM-vytMP1OyDgAY&amp;q=site%3Alinkedin.com+Amanda+Garcia+Southwest+Tax+Campus+Recruiting+Manager+PwC" TargetMode="External"/><Relationship Id="rId362" Type="http://schemas.openxmlformats.org/officeDocument/2006/relationships/hyperlink" Target="https://www.google.com/search?newwindow=1&amp;ei=2MT0XrvGGM-vytMP1OyDgAY&amp;q=site%3Alinkedin.com+Olivia+Waldron+Global+Program+Manager-+Operations+Campus+Analyst+Program+BNY+Mellon" TargetMode="External"/><Relationship Id="rId2284" Type="http://schemas.openxmlformats.org/officeDocument/2006/relationships/hyperlink" Target="https://www.google.com/search?newwindow=1&amp;ei=2MT0XrvGGM-vytMP1OyDgAY&amp;q=site%3Alinkedin.com+Anny+Liang+Early+Talent+Campus+Recruiter+PwC" TargetMode="External"/><Relationship Id="rId361" Type="http://schemas.openxmlformats.org/officeDocument/2006/relationships/hyperlink" Target="https://www.google.com/search?newwindow=1&amp;ei=2MT0XrvGGM-vytMP1OyDgAY&amp;q=site%3Alinkedin.com+Matthew+Veseleny+Lead+Campus+Recruiter+BNY+Mellon" TargetMode="External"/><Relationship Id="rId2285" Type="http://schemas.openxmlformats.org/officeDocument/2006/relationships/hyperlink" Target="https://www.google.com/search?newwindow=1&amp;ei=2MT0XrvGGM-vytMP1OyDgAY&amp;q=site%3Alinkedin.com+Federico+E.+Campus+Recruiting+Manager+PwC" TargetMode="External"/><Relationship Id="rId360" Type="http://schemas.openxmlformats.org/officeDocument/2006/relationships/hyperlink" Target="https://www.google.com/search?newwindow=1&amp;ei=2MT0XrvGGM-vytMP1OyDgAY&amp;q=site%3Alinkedin.com+Kristi+Newton+Interim+Global+Head+of+Campus+Recruiting+&amp;+Emerging+Talent+Programs+BNY+Mellon" TargetMode="External"/><Relationship Id="rId2286" Type="http://schemas.openxmlformats.org/officeDocument/2006/relationships/hyperlink" Target="https://www.google.com/search?newwindow=1&amp;ei=2MT0XrvGGM-vytMP1OyDgAY&amp;q=site%3Alinkedin.com+Aileen+Meade+Assurance+Business+Recruiting+Manager+PwC" TargetMode="External"/><Relationship Id="rId367" Type="http://schemas.openxmlformats.org/officeDocument/2006/relationships/hyperlink" Target="https://www.google.com/search?newwindow=1&amp;ei=2MT0XrvGGM-vytMP1OyDgAY&amp;q=site%3Alinkedin.com+Brady+Pahukoa+College+Recruiter+II+Boeing" TargetMode="External"/><Relationship Id="rId2287" Type="http://schemas.openxmlformats.org/officeDocument/2006/relationships/hyperlink" Target="https://www.google.com/search?newwindow=1&amp;ei=2MT0XrvGGM-vytMP1OyDgAY&amp;q=site%3Alinkedin.com+Danielle+(.+Talent+Acquisition+Manager+PwC" TargetMode="External"/><Relationship Id="rId366" Type="http://schemas.openxmlformats.org/officeDocument/2006/relationships/hyperlink" Target="https://www.google.com/search?newwindow=1&amp;ei=2MT0XrvGGM-vytMP1OyDgAY&amp;q=site%3Alinkedin.com+Daniel+Aikens+Senior+University+Recruiter+Boeing" TargetMode="External"/><Relationship Id="rId2288" Type="http://schemas.openxmlformats.org/officeDocument/2006/relationships/hyperlink" Target="https://www.google.com/search?newwindow=1&amp;ei=2MT0XrvGGM-vytMP1OyDgAY&amp;q=site%3Alinkedin.com+Jia+C.+Campus+Recruiting+Manager+PwC" TargetMode="External"/><Relationship Id="rId365" Type="http://schemas.openxmlformats.org/officeDocument/2006/relationships/hyperlink" Target="https://www.google.com/search?newwindow=1&amp;ei=2MT0XrvGGM-vytMP1OyDgAY&amp;q=site%3Alinkedin.com+Godfrey+Anderson+MPA+Manager+EFS+Rates+&amp;+Overhead+Cost+Management+Boeing" TargetMode="External"/><Relationship Id="rId2289" Type="http://schemas.openxmlformats.org/officeDocument/2006/relationships/hyperlink" Target="https://www.google.com/search?newwindow=1&amp;ei=2MT0XrvGGM-vytMP1OyDgAY&amp;q=site%3Alinkedin.com+Kaitlin+McDermott+Hopkins+SHRM-SCP+Mid-Atlantic+Campus+Recruiting+Lead+%7C+Senior+Manager+PwC" TargetMode="External"/><Relationship Id="rId364" Type="http://schemas.openxmlformats.org/officeDocument/2006/relationships/hyperlink" Target="https://www.google.com/search?newwindow=1&amp;ei=2MT0XrvGGM-vytMP1OyDgAY&amp;q=site%3Alinkedin.com+Tamara+Shilipetar+College+Recruiter+Boeing" TargetMode="External"/><Relationship Id="rId95" Type="http://schemas.openxmlformats.org/officeDocument/2006/relationships/hyperlink" Target="https://www.google.com/search?newwindow=1&amp;ei=2MT0XrvGGM-vytMP1OyDgAY&amp;q=site%3Alinkedin.com+Jo+Terryn+Recruiter+EMEA+%7C+Student+Programs" TargetMode="External"/><Relationship Id="rId94" Type="http://schemas.openxmlformats.org/officeDocument/2006/relationships/hyperlink" Target="https://www.google.com/search?newwindow=1&amp;ei=2MT0XrvGGM-vytMP1OyDgAY&amp;q=site%3Alinkedin.com+Sabrina+Lagana'+Recruiting+Partner+EMEA+Student+Programs" TargetMode="External"/><Relationship Id="rId97" Type="http://schemas.openxmlformats.org/officeDocument/2006/relationships/hyperlink" Target="https://www.google.com/search?newwindow=1&amp;ei=2MT0XrvGGM-vytMP1OyDgAY&amp;q=site%3Alinkedin.com+Crystal+Grant+Senior+MBA+Recruiter+Student+Programs" TargetMode="External"/><Relationship Id="rId96" Type="http://schemas.openxmlformats.org/officeDocument/2006/relationships/hyperlink" Target="https://www.google.com/search?newwindow=1&amp;ei=2MT0XrvGGM-vytMP1OyDgAY&amp;q=site%3Alinkedin.com+Laura+Houghton+Project+Coordinator+-+Student+Programs" TargetMode="External"/><Relationship Id="rId99" Type="http://schemas.openxmlformats.org/officeDocument/2006/relationships/hyperlink" Target="http://indeed.com" TargetMode="External"/><Relationship Id="rId98" Type="http://schemas.openxmlformats.org/officeDocument/2006/relationships/hyperlink" Target="https://www.google.com/search?newwindow=1&amp;ei=2MT0XrvGGM-vytMP1OyDgAY&amp;q=site%3Alinkedin.com+Nita+Karavadra+Senior+Program+Manager+EMEA+Student+Programs" TargetMode="External"/><Relationship Id="rId91" Type="http://schemas.openxmlformats.org/officeDocument/2006/relationships/hyperlink" Target="https://www.google.com/search?newwindow=1&amp;ei=2MT0XrvGGM-vytMP1OyDgAY&amp;q=site%3Alinkedin.com+Grace+Acquah+Regional+Lead+EMEA+Student+Programs+Campus+Attraction+and+Engagement" TargetMode="External"/><Relationship Id="rId90" Type="http://schemas.openxmlformats.org/officeDocument/2006/relationships/hyperlink" Target="https://www.google.com/search?newwindow=1&amp;ei=2MT0XrvGGM-vytMP1OyDgAY&amp;q=site%3Alinkedin.com+Bianca+Sabatini+Candidate+Service+Recruiter+Student+Programs" TargetMode="External"/><Relationship Id="rId93" Type="http://schemas.openxmlformats.org/officeDocument/2006/relationships/hyperlink" Target="https://www.google.com/search?newwindow=1&amp;ei=2MT0XrvGGM-vytMP1OyDgAY&amp;q=site%3Alinkedin.com+Phillip+Thomas+Recruiting+Coordinator+Manager+Student+Programs" TargetMode="External"/><Relationship Id="rId92" Type="http://schemas.openxmlformats.org/officeDocument/2006/relationships/hyperlink" Target="https://www.google.com/search?newwindow=1&amp;ei=2MT0XrvGGM-vytMP1OyDgAY&amp;q=site%3Alinkedin.com+Elizabeth+Ogunwusi+Student+Programs+Recruitment+Coordinator" TargetMode="External"/><Relationship Id="rId359" Type="http://schemas.openxmlformats.org/officeDocument/2006/relationships/hyperlink" Target="https://www.google.com/search?newwindow=1&amp;ei=2MT0XrvGGM-vytMP1OyDgAY&amp;q=site%3Alinkedin.com+Ashley+Wodarek+Lead+Technology+Campus+Recruiter+BNY+Mellon" TargetMode="External"/><Relationship Id="rId358" Type="http://schemas.openxmlformats.org/officeDocument/2006/relationships/hyperlink" Target="https://www.google.com/search?newwindow=1&amp;ei=2MT0XrvGGM-vytMP1OyDgAY&amp;q=site%3Alinkedin.com+Melissa+Ayoob+MBA+Campus+Recruiter+BNY+Mellon" TargetMode="External"/><Relationship Id="rId357" Type="http://schemas.openxmlformats.org/officeDocument/2006/relationships/hyperlink" Target="https://www.google.com/search?newwindow=1&amp;ei=2MT0XrvGGM-vytMP1OyDgAY&amp;q=site%3Alinkedin.com+Mark+Nicholson+Graduate+Recruiter" TargetMode="External"/><Relationship Id="rId2270" Type="http://schemas.openxmlformats.org/officeDocument/2006/relationships/hyperlink" Target="https://www.google.com/search?newwindow=1&amp;ei=2MT0XrvGGM-vytMP1OyDgAY&amp;q=site%3Alinkedin.com+Lauren+Suttner+Campus+Recruiting+Manager+PwC" TargetMode="External"/><Relationship Id="rId2271" Type="http://schemas.openxmlformats.org/officeDocument/2006/relationships/hyperlink" Target="https://www.google.com/search?newwindow=1&amp;ei=2MT0XrvGGM-vytMP1OyDgAY&amp;q=site%3Alinkedin.com+Leanne+Vail+Campus+Recruiter+PwC" TargetMode="External"/><Relationship Id="rId352" Type="http://schemas.openxmlformats.org/officeDocument/2006/relationships/hyperlink" Target="https://www.google.com/search?newwindow=1&amp;ei=2MT0XrvGGM-vytMP1OyDgAY&amp;q=site%3Alinkedin.com+Kristina+Stephan+Sr.+Campus+Recruiter+-+Technology+&amp;+Operations" TargetMode="External"/><Relationship Id="rId2272" Type="http://schemas.openxmlformats.org/officeDocument/2006/relationships/hyperlink" Target="https://www.google.com/search?newwindow=1&amp;ei=2MT0XrvGGM-vytMP1OyDgAY&amp;q=site%3Alinkedin.com+Michael+Watkins+Manager+Campus+Recruiting+PwC" TargetMode="External"/><Relationship Id="rId351" Type="http://schemas.openxmlformats.org/officeDocument/2006/relationships/hyperlink" Target="https://www.google.com/search?newwindow=1&amp;ei=2MT0XrvGGM-vytMP1OyDgAY&amp;q=site%3Alinkedin.com+Catherine+Ku+Jr.+Campus+Recruiter" TargetMode="External"/><Relationship Id="rId2273" Type="http://schemas.openxmlformats.org/officeDocument/2006/relationships/hyperlink" Target="https://www.google.com/search?newwindow=1&amp;ei=2MT0XrvGGM-vytMP1OyDgAY&amp;q=site%3Alinkedin.com+Jen+Marshall+Campus+Recruiting+Manager+PwC" TargetMode="External"/><Relationship Id="rId350" Type="http://schemas.openxmlformats.org/officeDocument/2006/relationships/hyperlink" Target="https://www.google.com/search?newwindow=1&amp;ei=2MT0XrvGGM-vytMP1OyDgAY&amp;q=site%3Alinkedin.com+Jeena+Park+Engineering+Campus+Recruiter+Bloomberg+LP" TargetMode="External"/><Relationship Id="rId2274" Type="http://schemas.openxmlformats.org/officeDocument/2006/relationships/hyperlink" Target="https://www.google.com/search?newwindow=1&amp;ei=2MT0XrvGGM-vytMP1OyDgAY&amp;q=site%3Alinkedin.com+Anne+(Keppler)+Mayor+Talent+Acquisition+Manager+Advisory+Campus+Recruiting+PwC" TargetMode="External"/><Relationship Id="rId2275" Type="http://schemas.openxmlformats.org/officeDocument/2006/relationships/hyperlink" Target="https://www.google.com/search?newwindow=1&amp;ei=2MT0XrvGGM-vytMP1OyDgAY&amp;q=site%3Alinkedin.com+Lydia+Ghattas+Campus+Recruiter+PwC" TargetMode="External"/><Relationship Id="rId356" Type="http://schemas.openxmlformats.org/officeDocument/2006/relationships/hyperlink" Target="https://www.google.com/search?newwindow=1&amp;ei=2MT0XrvGGM-vytMP1OyDgAY&amp;q=site%3Alinkedin.com+Krystyna+Anderson+Recruiter+(Future+Talent)" TargetMode="External"/><Relationship Id="rId2276" Type="http://schemas.openxmlformats.org/officeDocument/2006/relationships/hyperlink" Target="https://www.google.com/search?newwindow=1&amp;ei=2MT0XrvGGM-vytMP1OyDgAY&amp;q=site%3Alinkedin.com+Sarah+Wagner+Campus+Recruiter+PwC" TargetMode="External"/><Relationship Id="rId355" Type="http://schemas.openxmlformats.org/officeDocument/2006/relationships/hyperlink" Target="https://www.google.com/search?newwindow=1&amp;ei=2MT0XrvGGM-vytMP1OyDgAY&amp;q=site%3Alinkedin.com+Nikki+Simone+Senior+Manager+Student+Experience+and+Early+Talent+Programs" TargetMode="External"/><Relationship Id="rId2277" Type="http://schemas.openxmlformats.org/officeDocument/2006/relationships/hyperlink" Target="https://www.google.com/search?newwindow=1&amp;ei=2MT0XrvGGM-vytMP1OyDgAY&amp;q=site%3Alinkedin.com+Lauren+Thomas+Campus+Talent+ID+Recruiter+PwC" TargetMode="External"/><Relationship Id="rId354" Type="http://schemas.openxmlformats.org/officeDocument/2006/relationships/hyperlink" Target="https://www.google.com/search?newwindow=1&amp;ei=2MT0XrvGGM-vytMP1OyDgAY&amp;q=site%3Alinkedin.com+Katie+Flanagan+Junior+Campus+Recruiter" TargetMode="External"/><Relationship Id="rId2278" Type="http://schemas.openxmlformats.org/officeDocument/2006/relationships/hyperlink" Target="https://www.google.com/search?newwindow=1&amp;ei=2MT0XrvGGM-vytMP1OyDgAY&amp;q=site%3Alinkedin.com+Ferrin+Decker+Senior+Manager+Advisory+Campus+Recruiting+PwC" TargetMode="External"/><Relationship Id="rId353" Type="http://schemas.openxmlformats.org/officeDocument/2006/relationships/hyperlink" Target="https://www.google.com/search?newwindow=1&amp;ei=2MT0XrvGGM-vytMP1OyDgAY&amp;q=site%3Alinkedin.com+Tracy+Lutz+Senior+Campus+Recruiter+Personal+&amp;+Business+Banking" TargetMode="External"/><Relationship Id="rId2279" Type="http://schemas.openxmlformats.org/officeDocument/2006/relationships/hyperlink" Target="https://www.google.com/search?newwindow=1&amp;ei=2MT0XrvGGM-vytMP1OyDgAY&amp;q=site%3Alinkedin.com+Stephanie+Angellotto+Campus+Recruiting+Manager+Southwest+&amp;+Bay+Area+NW+PwC" TargetMode="External"/><Relationship Id="rId2225" Type="http://schemas.openxmlformats.org/officeDocument/2006/relationships/hyperlink" Target="https://www.google.com/search?newwindow=1&amp;ei=2MT0XrvGGM-vytMP1OyDgAY&amp;q=site%3Alinkedin.com+Carly+Williams+National+Campus+Recruiting+Leader" TargetMode="External"/><Relationship Id="rId2226" Type="http://schemas.openxmlformats.org/officeDocument/2006/relationships/hyperlink" Target="https://www.google.com/search?newwindow=1&amp;ei=2MT0XrvGGM-vytMP1OyDgAY&amp;q=site%3Alinkedin.com+Teryl+Booth+Campus+Recruiting+Manager" TargetMode="External"/><Relationship Id="rId2227" Type="http://schemas.openxmlformats.org/officeDocument/2006/relationships/hyperlink" Target="https://www.google.com/search?newwindow=1&amp;ei=2MT0XrvGGM-vytMP1OyDgAY&amp;q=site%3Alinkedin.com+Julie+Mims+Campus+Talent+Acquisition+Manager" TargetMode="External"/><Relationship Id="rId2228" Type="http://schemas.openxmlformats.org/officeDocument/2006/relationships/hyperlink" Target="https://www.google.com/search?newwindow=1&amp;ei=2MT0XrvGGM-vytMP1OyDgAY&amp;q=site%3Alinkedin.com+Lauren+Suttner+Campus+Recruiting+Manager" TargetMode="External"/><Relationship Id="rId2229" Type="http://schemas.openxmlformats.org/officeDocument/2006/relationships/hyperlink" Target="https://www.google.com/search?newwindow=1&amp;ei=2MT0XrvGGM-vytMP1OyDgAY&amp;q=site%3Alinkedin.com+Michael+Watkins+Manager+Campus+Recruiting" TargetMode="External"/><Relationship Id="rId305" Type="http://schemas.openxmlformats.org/officeDocument/2006/relationships/hyperlink" Target="https://www.google.com/search?newwindow=1&amp;ei=2MT0XrvGGM-vytMP1OyDgAY&amp;q=site%3Alinkedin.com+Heather+Roberts+HRBP+&amp;+Director+Global+University+Recruitment+&amp;+Staffing" TargetMode="External"/><Relationship Id="rId304" Type="http://schemas.openxmlformats.org/officeDocument/2006/relationships/hyperlink" Target="https://www.google.com/search?newwindow=1&amp;ei=2MT0XrvGGM-vytMP1OyDgAY&amp;q=site%3Alinkedin.com+Cecilia+Doucette+CPA+CFE+Manager+CPA+Student+Programs" TargetMode="External"/><Relationship Id="rId303" Type="http://schemas.openxmlformats.org/officeDocument/2006/relationships/hyperlink" Target="https://www.google.com/search?newwindow=1&amp;ei=2MT0XrvGGM-vytMP1OyDgAY&amp;q=site%3Alinkedin.com+Emily+Adamowski+National+Campus+Recruiter+Advisory+BDO+USA+LLP" TargetMode="External"/><Relationship Id="rId302" Type="http://schemas.openxmlformats.org/officeDocument/2006/relationships/hyperlink" Target="https://www.google.com/search?newwindow=1&amp;ei=2MT0XrvGGM-vytMP1OyDgAY&amp;q=site%3Alinkedin.com+Katie+Bailey+Campus+Recruiting+Manager+BDO+USA+LLP" TargetMode="External"/><Relationship Id="rId309" Type="http://schemas.openxmlformats.org/officeDocument/2006/relationships/hyperlink" Target="https://www.google.com/search?newwindow=1&amp;ei=2MT0XrvGGM-vytMP1OyDgAY&amp;q=site%3Alinkedin.com+Jelicza+Thomas+Campus+Recruiter+Associate+BlackRock" TargetMode="External"/><Relationship Id="rId308" Type="http://schemas.openxmlformats.org/officeDocument/2006/relationships/hyperlink" Target="https://www.google.com/search?newwindow=1&amp;ei=2MT0XrvGGM-vytMP1OyDgAY&amp;q=site%3Alinkedin.com+Femi+Fagbure+Campus+Recruiter+BlackRock" TargetMode="External"/><Relationship Id="rId307" Type="http://schemas.openxmlformats.org/officeDocument/2006/relationships/hyperlink" Target="https://www.google.com/search?newwindow=1&amp;ei=2MT0XrvGGM-vytMP1OyDgAY&amp;q=site%3Alinkedin.com+Victoria+Didilica+Campus+Recruiting+Talent+Acquisition" TargetMode="External"/><Relationship Id="rId306" Type="http://schemas.openxmlformats.org/officeDocument/2006/relationships/hyperlink" Target="https://www.google.com/search?newwindow=1&amp;ei=2MT0XrvGGM-vytMP1OyDgAY&amp;q=site%3Alinkedin.com+Stefani+Zaharieva+Campus+Recruiter+EMEA" TargetMode="External"/><Relationship Id="rId2220" Type="http://schemas.openxmlformats.org/officeDocument/2006/relationships/hyperlink" Target="https://www.google.com/search?newwindow=1&amp;ei=2MT0XrvGGM-vytMP1OyDgAY&amp;q=site%3Alinkedin.com+Katelyn+Sypher+Campus+Recruiting+Manager+Protiviti" TargetMode="External"/><Relationship Id="rId301" Type="http://schemas.openxmlformats.org/officeDocument/2006/relationships/hyperlink" Target="https://www.google.com/search?newwindow=1&amp;ei=2MT0XrvGGM-vytMP1OyDgAY&amp;q=site%3Alinkedin.com+Lauren+Feaser+Campus+Recruiter/HR+BDO+USA+LLP" TargetMode="External"/><Relationship Id="rId2221" Type="http://schemas.openxmlformats.org/officeDocument/2006/relationships/hyperlink" Target="https://www.google.com/search?newwindow=1&amp;ei=2MT0XrvGGM-vytMP1OyDgAY&amp;q=site%3Alinkedin.com+Melissa+Miller+Campus+Recruiter+Protiviti" TargetMode="External"/><Relationship Id="rId300" Type="http://schemas.openxmlformats.org/officeDocument/2006/relationships/hyperlink" Target="https://www.google.com/search?newwindow=1&amp;ei=2MT0XrvGGM-vytMP1OyDgAY&amp;q=site%3Alinkedin.com+Katherine+Acuff+Campus+Recruiting+Manager+BDO+USA+LLP" TargetMode="External"/><Relationship Id="rId2222" Type="http://schemas.openxmlformats.org/officeDocument/2006/relationships/hyperlink" Target="https://www.google.com/search?newwindow=1&amp;ei=2MT0XrvGGM-vytMP1OyDgAY&amp;q=site%3Alinkedin.com+Kim+Winkler+Campus+Recruiting+Manager+Protiviti+Inc." TargetMode="External"/><Relationship Id="rId2223" Type="http://schemas.openxmlformats.org/officeDocument/2006/relationships/hyperlink" Target="https://www.google.com/search?newwindow=1&amp;ei=2MT0XrvGGM-vytMP1OyDgAY&amp;q=site%3Alinkedin.com+Allyson+Cowden+Campus+Recruiting+Manager" TargetMode="External"/><Relationship Id="rId2224" Type="http://schemas.openxmlformats.org/officeDocument/2006/relationships/hyperlink" Target="https://www.google.com/search?newwindow=1&amp;ei=2MT0XrvGGM-vytMP1OyDgAY&amp;q=site%3Alinkedin.com+Haley+Scudder+Talent+ID+Campus+Recruiting+Associate" TargetMode="External"/><Relationship Id="rId2214" Type="http://schemas.openxmlformats.org/officeDocument/2006/relationships/hyperlink" Target="https://www.google.com/search?newwindow=1&amp;ei=2MT0XrvGGM-vytMP1OyDgAY&amp;q=site%3Alinkedin.com+Dani+Beale+College+Recruiter-+IT+Progressive+Insurance" TargetMode="External"/><Relationship Id="rId2215" Type="http://schemas.openxmlformats.org/officeDocument/2006/relationships/hyperlink" Target="https://www.google.com/search?newwindow=1&amp;ei=2MT0XrvGGM-vytMP1OyDgAY&amp;q=site%3Alinkedin.com+Lindsey+Hojnowski+IT+College+Recruiter+Progressive+Insurance" TargetMode="External"/><Relationship Id="rId2216" Type="http://schemas.openxmlformats.org/officeDocument/2006/relationships/hyperlink" Target="https://www.google.com/search?newwindow=1&amp;ei=2MT0XrvGGM-vytMP1OyDgAY&amp;q=site%3Alinkedin.com+Samantha+Salway+College+Recruiter+Progressive+Insurance" TargetMode="External"/><Relationship Id="rId2217" Type="http://schemas.openxmlformats.org/officeDocument/2006/relationships/hyperlink" Target="https://www.google.com/search?newwindow=1&amp;ei=2MT0XrvGGM-vytMP1OyDgAY&amp;q=site%3Alinkedin.com+Aimee+Carcioppolo+IT+College+Recruiter+Progressive+Insurance" TargetMode="External"/><Relationship Id="rId2218" Type="http://schemas.openxmlformats.org/officeDocument/2006/relationships/hyperlink" Target="https://www.google.com/search?newwindow=1&amp;ei=2MT0XrvGGM-vytMP1OyDgAY&amp;q=site%3Alinkedin.com+Sarah+Williams+Campus+Recruiting+Manager+Protiviti" TargetMode="External"/><Relationship Id="rId2219" Type="http://schemas.openxmlformats.org/officeDocument/2006/relationships/hyperlink" Target="https://www.google.com/search?newwindow=1&amp;ei=2MT0XrvGGM-vytMP1OyDgAY&amp;q=site%3Alinkedin.com+Mariah+Wills+Campus+Recruiter+Protiviti" TargetMode="External"/><Relationship Id="rId2210" Type="http://schemas.openxmlformats.org/officeDocument/2006/relationships/hyperlink" Target="https://www.google.com/search?newwindow=1&amp;ei=2MT0XrvGGM-vytMP1OyDgAY&amp;q=site%3Alinkedin.com+Angela+Helbing+Manager+of+Campus+Recruiting" TargetMode="External"/><Relationship Id="rId2211" Type="http://schemas.openxmlformats.org/officeDocument/2006/relationships/hyperlink" Target="https://www.google.com/search?newwindow=1&amp;ei=2MT0XrvGGM-vytMP1OyDgAY&amp;q=site%3Alinkedin.com+Arlene+S.+Transaction+Services+/+Advisory+Campus+Recruiting" TargetMode="External"/><Relationship Id="rId2212" Type="http://schemas.openxmlformats.org/officeDocument/2006/relationships/hyperlink" Target="https://www.google.com/search?newwindow=1&amp;ei=2MT0XrvGGM-vytMP1OyDgAY&amp;q=site%3Alinkedin.com+Margaret+Murphy+Senior+Assurance+Associate+and+Campus+Recruiting" TargetMode="External"/><Relationship Id="rId2213" Type="http://schemas.openxmlformats.org/officeDocument/2006/relationships/hyperlink" Target="https://www.google.com/search?newwindow=1&amp;ei=2MT0XrvGGM-vytMP1OyDgAY&amp;q=site%3Alinkedin.com+Michelle+Lombardo+Campus+Recruiting+Senior+Associate" TargetMode="External"/><Relationship Id="rId2247" Type="http://schemas.openxmlformats.org/officeDocument/2006/relationships/hyperlink" Target="https://www.google.com/search?newwindow=1&amp;ei=2MT0XrvGGM-vytMP1OyDgAY&amp;q=site%3Alinkedin.com+Danielle+(.+Talent+Acquisition+Manager" TargetMode="External"/><Relationship Id="rId2248" Type="http://schemas.openxmlformats.org/officeDocument/2006/relationships/hyperlink" Target="https://www.google.com/search?newwindow=1&amp;ei=2MT0XrvGGM-vytMP1OyDgAY&amp;q=site%3Alinkedin.com+Jessica+Franco+New+York+Metro+Campus+Recruiting+Lead" TargetMode="External"/><Relationship Id="rId2249" Type="http://schemas.openxmlformats.org/officeDocument/2006/relationships/hyperlink" Target="https://www.google.com/search?newwindow=1&amp;ei=2MT0XrvGGM-vytMP1OyDgAY&amp;q=site%3Alinkedin.com+Kaitlin+McDermott+Hopkins+SHRM-SCP+Mid-Atlantic+Campus+Recruiting+Lead+%7C+Senior+Manager" TargetMode="External"/><Relationship Id="rId327" Type="http://schemas.openxmlformats.org/officeDocument/2006/relationships/hyperlink" Target="https://www.google.com/search?newwindow=1&amp;ei=2MT0XrvGGM-vytMP1OyDgAY&amp;q=site%3Alinkedin.com+Chris+Kalloo+Engineering+Campus+Recruiting" TargetMode="External"/><Relationship Id="rId326" Type="http://schemas.openxmlformats.org/officeDocument/2006/relationships/hyperlink" Target="https://www.google.com/search?newwindow=1&amp;ei=2MT0XrvGGM-vytMP1OyDgAY&amp;q=site%3Alinkedin.com+Lucy+Rubin+(CIPD)+Engineering+Recruitment+Lead" TargetMode="External"/><Relationship Id="rId325" Type="http://schemas.openxmlformats.org/officeDocument/2006/relationships/hyperlink" Target="https://www.google.com/search?newwindow=1&amp;ei=2MT0XrvGGM-vytMP1OyDgAY&amp;q=site%3Alinkedin.com+Rebecca+Durante+Team+Leader+-+Engineering+Campus+Recruiting" TargetMode="External"/><Relationship Id="rId324" Type="http://schemas.openxmlformats.org/officeDocument/2006/relationships/hyperlink" Target="https://www.google.com/search?newwindow=1&amp;ei=2MT0XrvGGM-vytMP1OyDgAY&amp;q=site%3Alinkedin.com+Daria+Dobrzyniecka+EMEA+Campus+Recruiter+and+Programme+Manager" TargetMode="External"/><Relationship Id="rId329" Type="http://schemas.openxmlformats.org/officeDocument/2006/relationships/hyperlink" Target="https://www.google.com/search?newwindow=1&amp;ei=2MT0XrvGGM-vytMP1OyDgAY&amp;q=site%3Alinkedin.com+Yamiley+Joseph+Engineering+Campus+Recruiting" TargetMode="External"/><Relationship Id="rId328" Type="http://schemas.openxmlformats.org/officeDocument/2006/relationships/hyperlink" Target="https://www.google.com/search?newwindow=1&amp;ei=2MT0XrvGGM-vytMP1OyDgAY&amp;q=site%3Alinkedin.com+Harun+Hasib+Campus+Recruiting+Coordinator" TargetMode="External"/><Relationship Id="rId2240" Type="http://schemas.openxmlformats.org/officeDocument/2006/relationships/hyperlink" Target="https://www.google.com/search?newwindow=1&amp;ei=2MT0XrvGGM-vytMP1OyDgAY&amp;q=site%3Alinkedin.com+Emily+Newton+Campus+Recruiting+Associate" TargetMode="External"/><Relationship Id="rId2241" Type="http://schemas.openxmlformats.org/officeDocument/2006/relationships/hyperlink" Target="https://www.google.com/search?newwindow=1&amp;ei=2MT0XrvGGM-vytMP1OyDgAY&amp;q=site%3Alinkedin.com+Angela+Vasquez-Delgado+West+Region+Tax+Campus+Recruiting+Lead" TargetMode="External"/><Relationship Id="rId2242" Type="http://schemas.openxmlformats.org/officeDocument/2006/relationships/hyperlink" Target="https://www.google.com/search?newwindow=1&amp;ei=2MT0XrvGGM-vytMP1OyDgAY&amp;q=site%3Alinkedin.com+Amanda+Garcia+Southwest+Tax+Campus+Recruiting+Manager" TargetMode="External"/><Relationship Id="rId323" Type="http://schemas.openxmlformats.org/officeDocument/2006/relationships/hyperlink" Target="https://www.google.com/search?newwindow=1&amp;ei=2MT0XrvGGM-vytMP1OyDgAY&amp;q=site%3Alinkedin.com+Bethany+Copping+Graduate+Tech+Recruiter" TargetMode="External"/><Relationship Id="rId2243" Type="http://schemas.openxmlformats.org/officeDocument/2006/relationships/hyperlink" Target="https://www.google.com/search?newwindow=1&amp;ei=2MT0XrvGGM-vytMP1OyDgAY&amp;q=site%3Alinkedin.com+Cristina+B.+Talent+Acquisition+Campus+Recruiter+for+PwC+Legal+and+Strategy&amp;" TargetMode="External"/><Relationship Id="rId322" Type="http://schemas.openxmlformats.org/officeDocument/2006/relationships/hyperlink" Target="https://www.google.com/search?newwindow=1&amp;ei=2MT0XrvGGM-vytMP1OyDgAY&amp;q=site%3Alinkedin.com+Sophie+Wallis+EMEA+Campus+Recruiter+&amp;+Programme+Manager" TargetMode="External"/><Relationship Id="rId2244" Type="http://schemas.openxmlformats.org/officeDocument/2006/relationships/hyperlink" Target="https://www.google.com/search?newwindow=1&amp;ei=2MT0XrvGGM-vytMP1OyDgAY&amp;q=site%3Alinkedin.com+Federico+E.+Campus+Recruiting+Manager" TargetMode="External"/><Relationship Id="rId321" Type="http://schemas.openxmlformats.org/officeDocument/2006/relationships/hyperlink" Target="https://www.google.com/search?newwindow=1&amp;ei=2MT0XrvGGM-vytMP1OyDgAY&amp;q=site%3Alinkedin.com+Vandressa+Picht+EMEA+Campus+Recruiter" TargetMode="External"/><Relationship Id="rId2245" Type="http://schemas.openxmlformats.org/officeDocument/2006/relationships/hyperlink" Target="https://www.google.com/search?newwindow=1&amp;ei=2MT0XrvGGM-vytMP1OyDgAY&amp;q=site%3Alinkedin.com+Aileen+Meade+Assurance+Business+Recruiting+Manager" TargetMode="External"/><Relationship Id="rId320" Type="http://schemas.openxmlformats.org/officeDocument/2006/relationships/hyperlink" Target="https://www.google.com/search?newwindow=1&amp;ei=2MT0XrvGGM-vytMP1OyDgAY&amp;q=site%3Alinkedin.com+Rumana+Hassan+EMEA+Engineering+Campus+Recruiter" TargetMode="External"/><Relationship Id="rId2246" Type="http://schemas.openxmlformats.org/officeDocument/2006/relationships/hyperlink" Target="https://www.google.com/search?newwindow=1&amp;ei=2MT0XrvGGM-vytMP1OyDgAY&amp;q=site%3Alinkedin.com+Jia+C.+Campus+Recruiting+Manager" TargetMode="External"/><Relationship Id="rId2236" Type="http://schemas.openxmlformats.org/officeDocument/2006/relationships/hyperlink" Target="https://www.google.com/search?newwindow=1&amp;ei=2MT0XrvGGM-vytMP1OyDgAY&amp;q=site%3Alinkedin.com+Danielle+Brogan+MBA+Talent+ID+Digital+Campus+Recruiting+Associate" TargetMode="External"/><Relationship Id="rId2237" Type="http://schemas.openxmlformats.org/officeDocument/2006/relationships/hyperlink" Target="https://www.google.com/search?newwindow=1&amp;ei=2MT0XrvGGM-vytMP1OyDgAY&amp;q=site%3Alinkedin.com+Kristina+Scutari+Campus+Recruiting+Manager" TargetMode="External"/><Relationship Id="rId2238" Type="http://schemas.openxmlformats.org/officeDocument/2006/relationships/hyperlink" Target="https://www.google.com/search?newwindow=1&amp;ei=2MT0XrvGGM-vytMP1OyDgAY&amp;q=site%3Alinkedin.com+Katie+Doerer+MBA+Campus+Recruiting+Manager" TargetMode="External"/><Relationship Id="rId2239" Type="http://schemas.openxmlformats.org/officeDocument/2006/relationships/hyperlink" Target="https://www.google.com/search?newwindow=1&amp;ei=2MT0XrvGGM-vytMP1OyDgAY&amp;q=site%3Alinkedin.com+Jay+Grothause+Talent+Acquisition+Campus+Recruiting+Associate" TargetMode="External"/><Relationship Id="rId316" Type="http://schemas.openxmlformats.org/officeDocument/2006/relationships/hyperlink" Target="https://www.google.com/search?newwindow=1&amp;ei=2MT0XrvGGM-vytMP1OyDgAY&amp;q=site%3Alinkedin.com+Jessica+Weatherhead+Supervisor+Professional+Development+&amp;+Student+Programs" TargetMode="External"/><Relationship Id="rId315" Type="http://schemas.openxmlformats.org/officeDocument/2006/relationships/hyperlink" Target="https://www.google.com/search?newwindow=1&amp;ei=2MT0XrvGGM-vytMP1OyDgAY&amp;q=site%3Alinkedin.com+Nancy+Boyce+Student+Programs+Coordinator" TargetMode="External"/><Relationship Id="rId314" Type="http://schemas.openxmlformats.org/officeDocument/2006/relationships/hyperlink" Target="https://www.google.com/search?newwindow=1&amp;ei=2MT0XrvGGM-vytMP1OyDgAY&amp;q=site%3Alinkedin.com+Claudia+Suarez+Campus+Recruiter+BlackRock" TargetMode="External"/><Relationship Id="rId313" Type="http://schemas.openxmlformats.org/officeDocument/2006/relationships/hyperlink" Target="https://www.google.com/search?newwindow=1&amp;ei=2MT0XrvGGM-vytMP1OyDgAY&amp;q=site%3Alinkedin.com+Francesca+Dayre+Associate+Campus+Recruiter+BlackRock" TargetMode="External"/><Relationship Id="rId319" Type="http://schemas.openxmlformats.org/officeDocument/2006/relationships/hyperlink" Target="https://www.google.com/search?newwindow=1&amp;ei=2MT0XrvGGM-vytMP1OyDgAY&amp;q=site%3Alinkedin.com+Aur%C3%A9lie+HERRERO+EMEA+Campus+Recruiter+and+Programme+Manager" TargetMode="External"/><Relationship Id="rId318" Type="http://schemas.openxmlformats.org/officeDocument/2006/relationships/hyperlink" Target="https://www.google.com/search?newwindow=1&amp;ei=2MT0XrvGGM-vytMP1OyDgAY&amp;q=site%3Alinkedin.com+Lisa+Ulker+Engineering+Campus+Recruiting+Coordinator" TargetMode="External"/><Relationship Id="rId317" Type="http://schemas.openxmlformats.org/officeDocument/2006/relationships/hyperlink" Target="https://www.google.com/search?newwindow=1&amp;ei=2MT0XrvGGM-vytMP1OyDgAY&amp;q=site%3Alinkedin.com+Julie+Brisson+Director+Student+ProgramsAssociates+&amp;+Professional+Development" TargetMode="External"/><Relationship Id="rId2230" Type="http://schemas.openxmlformats.org/officeDocument/2006/relationships/hyperlink" Target="https://www.google.com/search?newwindow=1&amp;ei=2MT0XrvGGM-vytMP1OyDgAY&amp;q=site%3Alinkedin.com+Jen+Marshall+Central+Market+Talent+Identification+Lead" TargetMode="External"/><Relationship Id="rId2231" Type="http://schemas.openxmlformats.org/officeDocument/2006/relationships/hyperlink" Target="https://www.google.com/search?newwindow=1&amp;ei=2MT0XrvGGM-vytMP1OyDgAY&amp;q=site%3Alinkedin.com+Anne+(Keppler)+Mayor+Advisory+Consumer+Markets+Talent+Consultant" TargetMode="External"/><Relationship Id="rId312" Type="http://schemas.openxmlformats.org/officeDocument/2006/relationships/hyperlink" Target="https://www.google.com/search?newwindow=1&amp;ei=2MT0XrvGGM-vytMP1OyDgAY&amp;q=site%3Alinkedin.com+Tulsi+Patel+Associate+Campus+Recruiter+BlackRock" TargetMode="External"/><Relationship Id="rId2232" Type="http://schemas.openxmlformats.org/officeDocument/2006/relationships/hyperlink" Target="https://www.google.com/search?newwindow=1&amp;ei=2MT0XrvGGM-vytMP1OyDgAY&amp;q=site%3Alinkedin.com+Leah+Young+Employer+Brand+&amp;+Marketing" TargetMode="External"/><Relationship Id="rId311" Type="http://schemas.openxmlformats.org/officeDocument/2006/relationships/hyperlink" Target="https://www.google.com/search?newwindow=1&amp;ei=2MT0XrvGGM-vytMP1OyDgAY&amp;q=site%3Alinkedin.com+Danielle+Kronenfeld+Campus+Recruiter+BlackRock" TargetMode="External"/><Relationship Id="rId2233" Type="http://schemas.openxmlformats.org/officeDocument/2006/relationships/hyperlink" Target="https://www.google.com/search?newwindow=1&amp;ei=2MT0XrvGGM-vytMP1OyDgAY&amp;q=site%3Alinkedin.com+Ferrin+Decker+Senior+Manager+Advisory+Campus+Recruiting" TargetMode="External"/><Relationship Id="rId310" Type="http://schemas.openxmlformats.org/officeDocument/2006/relationships/hyperlink" Target="https://www.google.com/search?newwindow=1&amp;ei=2MT0XrvGGM-vytMP1OyDgAY&amp;q=site%3Alinkedin.com+Jade+Sims+M.Ed.+Campus+Recruiter+BlackRock" TargetMode="External"/><Relationship Id="rId2234" Type="http://schemas.openxmlformats.org/officeDocument/2006/relationships/hyperlink" Target="https://www.google.com/search?newwindow=1&amp;ei=2MT0XrvGGM-vytMP1OyDgAY&amp;q=site%3Alinkedin.com+Stephanie+Angellotto+Campus+Recruiting+Manager+Southwest+&amp;+Bay+Area+NW" TargetMode="External"/><Relationship Id="rId2235" Type="http://schemas.openxmlformats.org/officeDocument/2006/relationships/hyperlink" Target="https://www.google.com/search?newwindow=1&amp;ei=2MT0XrvGGM-vytMP1OyDgAY&amp;q=site%3Alinkedin.com+Brad+Barry+Talent+Identification+Campus+Recruiting+Associate" TargetMode="External"/><Relationship Id="rId297" Type="http://schemas.openxmlformats.org/officeDocument/2006/relationships/hyperlink" Target="https://www.google.com/search?newwindow=1&amp;ei=2MT0XrvGGM-vytMP1OyDgAY&amp;q=site%3Alinkedin.com+Amir+Mazarei+Campus+Recruiter+BDO+USA+LLP" TargetMode="External"/><Relationship Id="rId296" Type="http://schemas.openxmlformats.org/officeDocument/2006/relationships/hyperlink" Target="https://www.google.com/search?newwindow=1&amp;ei=2MT0XrvGGM-vytMP1OyDgAY&amp;q=site%3Alinkedin.com+Brian+Vander+Lee+CPA+Campus+Recruiting+Manager+BDO+USA+LLP" TargetMode="External"/><Relationship Id="rId295" Type="http://schemas.openxmlformats.org/officeDocument/2006/relationships/hyperlink" Target="https://www.google.com/search?newwindow=1&amp;ei=2MT0XrvGGM-vytMP1OyDgAY&amp;q=site%3Alinkedin.com+Emeline+Yord%C3%A1n+Campus+Recruiter+BDO+USA+LLP" TargetMode="External"/><Relationship Id="rId294" Type="http://schemas.openxmlformats.org/officeDocument/2006/relationships/hyperlink" Target="https://www.google.com/search?newwindow=1&amp;ei=2MT0XrvGGM-vytMP1OyDgAY&amp;q=site%3Alinkedin.com+Lindsay+Fisher+Campus+Recruiter+BDO+USA+LLP" TargetMode="External"/><Relationship Id="rId299" Type="http://schemas.openxmlformats.org/officeDocument/2006/relationships/hyperlink" Target="https://www.google.com/search?newwindow=1&amp;ei=2MT0XrvGGM-vytMP1OyDgAY&amp;q=site%3Alinkedin.com+Tamera+Pumphrey+MBA+CPA+Campus+Recruiter+BDO+USA+LLP" TargetMode="External"/><Relationship Id="rId298" Type="http://schemas.openxmlformats.org/officeDocument/2006/relationships/hyperlink" Target="https://www.google.com/search?newwindow=1&amp;ei=2MT0XrvGGM-vytMP1OyDgAY&amp;q=site%3Alinkedin.com+Karina+Espinola+Campus+Recruiting+Manager+BDO+USA+LLP" TargetMode="External"/><Relationship Id="rId271" Type="http://schemas.openxmlformats.org/officeDocument/2006/relationships/hyperlink" Target="https://www.google.com/search?newwindow=1&amp;ei=2MT0XrvGGM-vytMP1OyDgAY&amp;q=site%3Alinkedin.com+Paula+Rose+Campus+Recruiter+Bank+of+America+Merrill+Lynch" TargetMode="External"/><Relationship Id="rId270" Type="http://schemas.openxmlformats.org/officeDocument/2006/relationships/hyperlink" Target="https://www.google.com/search?newwindow=1&amp;ei=2MT0XrvGGM-vytMP1OyDgAY&amp;q=site%3Alinkedin.com+Jennie+Montoya+Campus+Recruiter+Bank+of+America" TargetMode="External"/><Relationship Id="rId269" Type="http://schemas.openxmlformats.org/officeDocument/2006/relationships/hyperlink" Target="https://www.google.com/search?newwindow=1&amp;ei=2MT0XrvGGM-vytMP1OyDgAY&amp;q=site%3Alinkedin.com+Gail+Diaz+Campus+Recruiter+Bank+of+America" TargetMode="External"/><Relationship Id="rId264" Type="http://schemas.openxmlformats.org/officeDocument/2006/relationships/hyperlink" Target="https://www.google.com/search?newwindow=1&amp;ei=2MT0XrvGGM-vytMP1OyDgAY&amp;q=site%3Alinkedin.com+Bryan+C.+Vice+President+Campus+Recruiter+&amp;+Program+Manager+Bank+of+America" TargetMode="External"/><Relationship Id="rId263" Type="http://schemas.openxmlformats.org/officeDocument/2006/relationships/hyperlink" Target="https://www.google.com/search?newwindow=1&amp;ei=2MT0XrvGGM-vytMP1OyDgAY&amp;q=site%3Alinkedin.com+Jessica+Sheldon+Campus+Recruiter+Bank+of+America" TargetMode="External"/><Relationship Id="rId262" Type="http://schemas.openxmlformats.org/officeDocument/2006/relationships/hyperlink" Target="https://www.google.com/search?newwindow=1&amp;ei=2MT0XrvGGM-vytMP1OyDgAY&amp;q=site%3Alinkedin.com+Stephanie+Moss+Assistant+Vice+President+Campus+Recruiter+Bank+of+America" TargetMode="External"/><Relationship Id="rId261" Type="http://schemas.openxmlformats.org/officeDocument/2006/relationships/hyperlink" Target="https://www.google.com/search?newwindow=1&amp;ei=2MT0XrvGGM-vytMP1OyDgAY&amp;q=site%3Alinkedin.com+Sean+Hille+Assistant+Vice+President+Campus+Recruiter+Bank+of+America" TargetMode="External"/><Relationship Id="rId268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+Bank+of+America" TargetMode="External"/><Relationship Id="rId267" Type="http://schemas.openxmlformats.org/officeDocument/2006/relationships/hyperlink" Target="https://www.google.com/search?newwindow=1&amp;ei=2MT0XrvGGM-vytMP1OyDgAY&amp;q=site%3Alinkedin.com+Izabel+Tropnasse+Assistant+Vice+President+MBA+Campus+Recruiter+Bank+of+America" TargetMode="External"/><Relationship Id="rId266" Type="http://schemas.openxmlformats.org/officeDocument/2006/relationships/hyperlink" Target="https://www.google.com/search?newwindow=1&amp;ei=2MT0XrvGGM-vytMP1OyDgAY&amp;q=site%3Alinkedin.com+Alexa+Migton+Campus+Recruiter+Bank+of+America" TargetMode="External"/><Relationship Id="rId265" Type="http://schemas.openxmlformats.org/officeDocument/2006/relationships/hyperlink" Target="https://www.google.com/search?newwindow=1&amp;ei=2MT0XrvGGM-vytMP1OyDgAY&amp;q=site%3Alinkedin.com+Carmen+Del+Valle+Vice+President+Diversity+Campus+Recruiter+Global+Banking+&amp;+Markets+Bank+of+America" TargetMode="External"/><Relationship Id="rId260" Type="http://schemas.openxmlformats.org/officeDocument/2006/relationships/hyperlink" Target="https://www.google.com/search?newwindow=1&amp;ei=2MT0XrvGGM-vytMP1OyDgAY&amp;q=site%3Alinkedin.com+Noelle+Mattessich+Campus+Recruiter+-+Global+Banking+and+Markets+Bank+of+America" TargetMode="External"/><Relationship Id="rId259" Type="http://schemas.openxmlformats.org/officeDocument/2006/relationships/hyperlink" Target="https://www.google.com/search?newwindow=1&amp;ei=2MT0XrvGGM-vytMP1OyDgAY&amp;q=site%3Alinkedin.com+Amanda+Hertzberg+Campus+Recruiter+University+Relations+Bank+of+America" TargetMode="External"/><Relationship Id="rId258" Type="http://schemas.openxmlformats.org/officeDocument/2006/relationships/hyperlink" Target="https://www.google.com/search?newwindow=1&amp;ei=2MT0XrvGGM-vytMP1OyDgAY&amp;q=site%3Alinkedin.com+Jada+Smith+Campus+Recruiter+Global+Corporate+&amp;+Investment+Banking+Bank+of+America" TargetMode="External"/><Relationship Id="rId2290" Type="http://schemas.openxmlformats.org/officeDocument/2006/relationships/hyperlink" Target="https://www.google.com/search?newwindow=1&amp;ei=2MT0XrvGGM-vytMP1OyDgAY&amp;q=site%3Alinkedin.com+Kelly+Farrell+MBA+Tax+Business+Recruiting+Manager+PwC" TargetMode="External"/><Relationship Id="rId2291" Type="http://schemas.openxmlformats.org/officeDocument/2006/relationships/hyperlink" Target="https://www.google.com/search?newwindow=1&amp;ei=2MT0XrvGGM-vytMP1OyDgAY&amp;q=site%3Alinkedin.com+Shanike+Young+Campus+Recruiter+PwC" TargetMode="External"/><Relationship Id="rId2292" Type="http://schemas.openxmlformats.org/officeDocument/2006/relationships/hyperlink" Target="https://www.google.com/search?newwindow=1&amp;ei=2MT0XrvGGM-vytMP1OyDgAY&amp;q=site%3Alinkedin.com+Laura+Chapman+Campus+Recruiting+Senior+Manager+PwC" TargetMode="External"/><Relationship Id="rId2293" Type="http://schemas.openxmlformats.org/officeDocument/2006/relationships/hyperlink" Target="https://www.google.com/search?newwindow=1&amp;ei=2MT0XrvGGM-vytMP1OyDgAY&amp;q=site%3Alinkedin.com+Kassie+%27Schlegel%27+Plummer+CPA+Missouri+Market+Campus+Recruiting+Manager+PwC" TargetMode="External"/><Relationship Id="rId253" Type="http://schemas.openxmlformats.org/officeDocument/2006/relationships/hyperlink" Target="https://www.google.com/search?newwindow=1&amp;ei=2MT0XrvGGM-vytMP1OyDgAY&amp;q=site%3Alinkedin.com+Conita+Neal+AVP+Campus+Recruiter+Bank+of+America" TargetMode="External"/><Relationship Id="rId2294" Type="http://schemas.openxmlformats.org/officeDocument/2006/relationships/hyperlink" Target="https://www.google.com/search?newwindow=1&amp;ei=2MT0XrvGGM-vytMP1OyDgAY&amp;q=site%3Alinkedin.com+Jess+Bailey+Campus+Recruiting+Manager+PwC" TargetMode="External"/><Relationship Id="rId252" Type="http://schemas.openxmlformats.org/officeDocument/2006/relationships/hyperlink" Target="https://www.google.com/search?newwindow=1&amp;ei=2MT0XrvGGM-vytMP1OyDgAY&amp;q=site%3Alinkedin.com+Abbie+Zollinger+Campus+Recruiter+Bank+of+America" TargetMode="External"/><Relationship Id="rId2295" Type="http://schemas.openxmlformats.org/officeDocument/2006/relationships/hyperlink" Target="https://www.google.com/search?newwindow=1&amp;ei=2MT0XrvGGM-vytMP1OyDgAY&amp;q=site%3Alinkedin.com+Kim+Kueper+Campus+Recruiter+PwC" TargetMode="External"/><Relationship Id="rId251" Type="http://schemas.openxmlformats.org/officeDocument/2006/relationships/hyperlink" Target="https://www.google.com/search?newwindow=1&amp;ei=2MT0XrvGGM-vytMP1OyDgAY&amp;q=site%3Alinkedin.com+Aubrey+D.+Campus+Recruiter+-+Global+Risk+Development+Program+Bank+of+America" TargetMode="External"/><Relationship Id="rId2296" Type="http://schemas.openxmlformats.org/officeDocument/2006/relationships/hyperlink" Target="https://www.google.com/search?newwindow=1&amp;ei=2MT0XrvGGM-vytMP1OyDgAY&amp;q=site%3Alinkedin.com+Emily+Jones+Campus+Recruiter+PwC" TargetMode="External"/><Relationship Id="rId250" Type="http://schemas.openxmlformats.org/officeDocument/2006/relationships/hyperlink" Target="https://www.google.com/search?newwindow=1&amp;ei=2MT0XrvGGM-vytMP1OyDgAY&amp;q=site%3Alinkedin.com+Richard+Long+Campus+Strategy+Recruiter+Bank+of+America" TargetMode="External"/><Relationship Id="rId2297" Type="http://schemas.openxmlformats.org/officeDocument/2006/relationships/hyperlink" Target="https://www.google.com/search?newwindow=1&amp;ei=2MT0XrvGGM-vytMP1OyDgAY&amp;q=site%3Alinkedin.com+Meredith+TenHoeve+Campus+Recruiting+Manager+PwC" TargetMode="External"/><Relationship Id="rId257" Type="http://schemas.openxmlformats.org/officeDocument/2006/relationships/hyperlink" Target="https://www.google.com/search?newwindow=1&amp;ei=2MT0XrvGGM-vytMP1OyDgAY&amp;q=site%3Alinkedin.com+Amy+Yandell+Vice+President+Campus+Recruiter+Bank+of+America" TargetMode="External"/><Relationship Id="rId2298" Type="http://schemas.openxmlformats.org/officeDocument/2006/relationships/hyperlink" Target="https://www.google.com/search?newwindow=1&amp;ei=2MT0XrvGGM-vytMP1OyDgAY&amp;q=site%3Alinkedin.com+Lydiah+Njagi+(she/+her)+Campus+Recruiter+Diverse+Hires" TargetMode="External"/><Relationship Id="rId256" Type="http://schemas.openxmlformats.org/officeDocument/2006/relationships/hyperlink" Target="https://www.google.com/search?newwindow=1&amp;ei=2MT0XrvGGM-vytMP1OyDgAY&amp;q=site%3Alinkedin.com+Beth+Richard+VP+Campus+Recruiter+Bank+of+America" TargetMode="External"/><Relationship Id="rId2299" Type="http://schemas.openxmlformats.org/officeDocument/2006/relationships/hyperlink" Target="https://www.google.com/search?newwindow=1&amp;ei=2MT0XrvGGM-vytMP1OyDgAY&amp;q=site%3Alinkedin.com+Gloria+Ma+Campus+Recruiter" TargetMode="External"/><Relationship Id="rId255" Type="http://schemas.openxmlformats.org/officeDocument/2006/relationships/hyperlink" Target="https://www.google.com/search?newwindow=1&amp;ei=2MT0XrvGGM-vytMP1OyDgAY&amp;q=site%3Alinkedin.com+Payal+Patel+Assistant+Vice+President+Corporate+Recruiter+Bank+of+America" TargetMode="External"/><Relationship Id="rId254" Type="http://schemas.openxmlformats.org/officeDocument/2006/relationships/hyperlink" Target="https://www.google.com/search?newwindow=1&amp;ei=2MT0XrvGGM-vytMP1OyDgAY&amp;q=site%3Alinkedin.com+Lindsey+Everidge+AVP-+College+Recruiter+Bank+of+America" TargetMode="External"/><Relationship Id="rId293" Type="http://schemas.openxmlformats.org/officeDocument/2006/relationships/hyperlink" Target="https://www.google.com/search?newwindow=1&amp;ei=2MT0XrvGGM-vytMP1OyDgAY&amp;q=site%3Alinkedin.com+Joelle+Rosen+Campus+Recruiting+Manager+BDO+USA+LLP" TargetMode="External"/><Relationship Id="rId292" Type="http://schemas.openxmlformats.org/officeDocument/2006/relationships/hyperlink" Target="https://www.google.com/search?newwindow=1&amp;ei=2MT0XrvGGM-vytMP1OyDgAY&amp;q=site%3Alinkedin.com+Amanda+Martucci+Regional+HR+Generalist/Campus+Recruiter+BDO+USA+LLP" TargetMode="External"/><Relationship Id="rId291" Type="http://schemas.openxmlformats.org/officeDocument/2006/relationships/hyperlink" Target="https://www.google.com/search?newwindow=1&amp;ei=2MT0XrvGGM-vytMP1OyDgAY&amp;q=site%3Alinkedin.com+Jenny+Araque+National+Campus+Recruiting+Manager+BDO+USA+LLP" TargetMode="External"/><Relationship Id="rId290" Type="http://schemas.openxmlformats.org/officeDocument/2006/relationships/hyperlink" Target="https://www.google.com/search?newwindow=1&amp;ei=2MT0XrvGGM-vytMP1OyDgAY&amp;q=site%3Alinkedin.com+Celisse+Coppel+Campus+Recruiter+BDO" TargetMode="External"/><Relationship Id="rId286" Type="http://schemas.openxmlformats.org/officeDocument/2006/relationships/hyperlink" Target="https://www.google.com/search?newwindow=1&amp;ei=2MT0XrvGGM-vytMP1OyDgAY&amp;q=site%3Alinkedin.com+Jasmina+Bharwani+EMEA+Campus+Recruiter+-+Global+Markets" TargetMode="External"/><Relationship Id="rId285" Type="http://schemas.openxmlformats.org/officeDocument/2006/relationships/hyperlink" Target="https://www.google.com/search?newwindow=1&amp;ei=2MT0XrvGGM-vytMP1OyDgAY&amp;q=site%3Alinkedin.com+Renee+Savino+Banking+Analyst+Campus+Recruiter+Barclays+Investment+Bank" TargetMode="External"/><Relationship Id="rId284" Type="http://schemas.openxmlformats.org/officeDocument/2006/relationships/hyperlink" Target="https://www.google.com/search?newwindow=1&amp;ei=2MT0XrvGGM-vytMP1OyDgAY&amp;q=site%3Alinkedin.com+Kelly+Doyle+Campus+Recruiter+Barclays+Capital" TargetMode="External"/><Relationship Id="rId283" Type="http://schemas.openxmlformats.org/officeDocument/2006/relationships/hyperlink" Target="https://www.google.com/search?newwindow=1&amp;ei=2MT0XrvGGM-vytMP1OyDgAY&amp;q=site%3Alinkedin.com+Courtney+Goldsmith+Associate+Campus+Recruiter+Barclays+Capital" TargetMode="External"/><Relationship Id="rId289" Type="http://schemas.openxmlformats.org/officeDocument/2006/relationships/hyperlink" Target="https://www.google.com/search?newwindow=1&amp;ei=2MT0XrvGGM-vytMP1OyDgAY&amp;q=site%3Alinkedin.com+Annie+Allred+Campus+Recruiting+Manager+BDO" TargetMode="External"/><Relationship Id="rId288" Type="http://schemas.openxmlformats.org/officeDocument/2006/relationships/hyperlink" Target="https://www.google.com/search?newwindow=1&amp;ei=2MT0XrvGGM-vytMP1OyDgAY&amp;q=site%3Alinkedin.com+Olivia+Forte+Campus+Recruiter+BDO" TargetMode="External"/><Relationship Id="rId287" Type="http://schemas.openxmlformats.org/officeDocument/2006/relationships/hyperlink" Target="https://www.google.com/search?newwindow=1&amp;ei=2MT0XrvGGM-vytMP1OyDgAY&amp;q=site%3Alinkedin.com+Rachael+Pardini+Vice+President+EME+Head+of+Banking+Campus+Recruiting" TargetMode="External"/><Relationship Id="rId282" Type="http://schemas.openxmlformats.org/officeDocument/2006/relationships/hyperlink" Target="https://www.google.com/search?newwindow=1&amp;ei=2MT0XrvGGM-vytMP1OyDgAY&amp;q=site%3Alinkedin.com+Andrea+Parsley+Diversity+Campus+Recruiter+Barclays+Capital" TargetMode="External"/><Relationship Id="rId281" Type="http://schemas.openxmlformats.org/officeDocument/2006/relationships/hyperlink" Target="https://www.google.com/search?newwindow=1&amp;ei=2MT0XrvGGM-vytMP1OyDgAY&amp;q=site%3Alinkedin.com+Cleo+Wah+Graduate+Development+and+Campus+Recruiter+HR" TargetMode="External"/><Relationship Id="rId280" Type="http://schemas.openxmlformats.org/officeDocument/2006/relationships/hyperlink" Target="https://www.google.com/search?newwindow=1&amp;ei=2MT0XrvGGM-vytMP1OyDgAY&amp;q=site%3Alinkedin.com+Heather+Roberts+Assistant+Vice+President+Campus+Recruiter+Corporate+Banking+Private+Bank+Cards+&amp;+Payments" TargetMode="External"/><Relationship Id="rId275" Type="http://schemas.openxmlformats.org/officeDocument/2006/relationships/hyperlink" Target="https://www.google.com/search?newwindow=1&amp;ei=2MT0XrvGGM-vytMP1OyDgAY&amp;q=site%3Alinkedin.com+Akansha+Lal+Vice+President+-+Lead+Campus+&amp;+MBA+Recruiter+-+GCIB" TargetMode="External"/><Relationship Id="rId274" Type="http://schemas.openxmlformats.org/officeDocument/2006/relationships/hyperlink" Target="https://www.google.com/search?newwindow=1&amp;ei=2MT0XrvGGM-vytMP1OyDgAY&amp;q=site%3Alinkedin.com+Alison+Mancuso+Assistant+Vice+President+Campus+Recruiting" TargetMode="External"/><Relationship Id="rId273" Type="http://schemas.openxmlformats.org/officeDocument/2006/relationships/hyperlink" Target="https://www.google.com/search?newwindow=1&amp;ei=2MT0XrvGGM-vytMP1OyDgAY&amp;q=site%3Alinkedin.com+Brittany+Convery+Assistant+Vice+President+Campus+Recruiter+Bank+of+America+Merrill+Lynch" TargetMode="External"/><Relationship Id="rId272" Type="http://schemas.openxmlformats.org/officeDocument/2006/relationships/hyperlink" Target="https://www.google.com/search?newwindow=1&amp;ei=2MT0XrvGGM-vytMP1OyDgAY&amp;q=site%3Alinkedin.com+Christie+Neuhaus+Campus+Recruiter+Bank+of+America+Merrill+Lynch" TargetMode="External"/><Relationship Id="rId279" Type="http://schemas.openxmlformats.org/officeDocument/2006/relationships/hyperlink" Target="https://www.google.com/search?newwindow=1&amp;ei=2MT0XrvGGM-vytMP1OyDgAY&amp;q=site%3Alinkedin.com+Suhana+Anwar+Graduate+Recruiter+-+AVP" TargetMode="External"/><Relationship Id="rId278" Type="http://schemas.openxmlformats.org/officeDocument/2006/relationships/hyperlink" Target="https://www.google.com/search?newwindow=1&amp;ei=2MT0XrvGGM-vytMP1OyDgAY&amp;q=site%3Alinkedin.com+Shauna+Louise+Biggins+Banking+EMEA+Campus+Recruiter+-+Associate+Vice+President" TargetMode="External"/><Relationship Id="rId277" Type="http://schemas.openxmlformats.org/officeDocument/2006/relationships/hyperlink" Target="https://www.google.com/search?newwindow=1&amp;ei=2MT0XrvGGM-vytMP1OyDgAY&amp;q=site%3Alinkedin.com+Corinne+Dugdale+Graduate+Recruiter" TargetMode="External"/><Relationship Id="rId276" Type="http://schemas.openxmlformats.org/officeDocument/2006/relationships/hyperlink" Target="https://www.google.com/search?newwindow=1&amp;ei=2MT0XrvGGM-vytMP1OyDgAY&amp;q=site%3Alinkedin.com+jaclyn+stagg+Campus+recruiting+coordinator" TargetMode="External"/><Relationship Id="rId1851" Type="http://schemas.openxmlformats.org/officeDocument/2006/relationships/hyperlink" Target="https://www.google.com/search?newwindow=1&amp;ei=2MT0XrvGGM-vytMP1OyDgAY&amp;q=site%3Alinkedin.com+Allison+Monkman+Campus+Recruiting+Senior+Associate" TargetMode="External"/><Relationship Id="rId1852" Type="http://schemas.openxmlformats.org/officeDocument/2006/relationships/hyperlink" Target="https://www.google.com/search?newwindow=1&amp;ei=2MT0XrvGGM-vytMP1OyDgAY&amp;q=site%3Alinkedin.com+Oscar+Ventura+Penalo+Campus+Recruiting" TargetMode="External"/><Relationship Id="rId1853" Type="http://schemas.openxmlformats.org/officeDocument/2006/relationships/hyperlink" Target="https://www.google.com/search?newwindow=1&amp;ei=2MT0XrvGGM-vytMP1OyDgAY&amp;q=site%3Alinkedin.com+Alicia+Mucci+(she/her/hers)+Manager+Campus+Recruiting" TargetMode="External"/><Relationship Id="rId1854" Type="http://schemas.openxmlformats.org/officeDocument/2006/relationships/hyperlink" Target="https://www.google.com/search?newwindow=1&amp;ei=2MT0XrvGGM-vytMP1OyDgAY&amp;q=site%3Alinkedin.com+Kate+McClain+Campus+Recruiting+Manager" TargetMode="External"/><Relationship Id="rId1855" Type="http://schemas.openxmlformats.org/officeDocument/2006/relationships/hyperlink" Target="https://www.google.com/search?newwindow=1&amp;ei=2MT0XrvGGM-vytMP1OyDgAY&amp;q=site%3Alinkedin.com+Candela+Theobald+Associate+Campus+Recruiting" TargetMode="External"/><Relationship Id="rId1856" Type="http://schemas.openxmlformats.org/officeDocument/2006/relationships/hyperlink" Target="https://www.google.com/search?newwindow=1&amp;ei=2MT0XrvGGM-vytMP1OyDgAY&amp;q=site%3Alinkedin.com+Allison+Reams+Newman+Primary+Recruiter+Campus+Recruiting" TargetMode="External"/><Relationship Id="rId1857" Type="http://schemas.openxmlformats.org/officeDocument/2006/relationships/hyperlink" Target="https://www.google.com/search?newwindow=1&amp;ei=2MT0XrvGGM-vytMP1OyDgAY&amp;q=site%3Alinkedin.com+Cortney+Brazil+Campus+Recruiting" TargetMode="External"/><Relationship Id="rId1858" Type="http://schemas.openxmlformats.org/officeDocument/2006/relationships/hyperlink" Target="https://www.google.com/search?newwindow=1&amp;ei=2MT0XrvGGM-vytMP1OyDgAY&amp;q=site%3Alinkedin.com+Avery+Ching+Senior+Associate+Campus+Recruiter" TargetMode="External"/><Relationship Id="rId1859" Type="http://schemas.openxmlformats.org/officeDocument/2006/relationships/hyperlink" Target="https://www.google.com/search?newwindow=1&amp;ei=2MT0XrvGGM-vytMP1OyDgAY&amp;q=site%3Alinkedin.com+Naomi+Kim+Campus+Recruiting+Manager" TargetMode="External"/><Relationship Id="rId1850" Type="http://schemas.openxmlformats.org/officeDocument/2006/relationships/hyperlink" Target="https://www.google.com/search?newwindow=1&amp;ei=2MT0XrvGGM-vytMP1OyDgAY&amp;q=site%3Alinkedin.com+Becky+Paseka+CPA+Campus+Recruiting+Manager" TargetMode="External"/><Relationship Id="rId1840" Type="http://schemas.openxmlformats.org/officeDocument/2006/relationships/hyperlink" Target="https://www.google.com/search?newwindow=1&amp;ei=2MT0XrvGGM-vytMP1OyDgAY&amp;q=site%3Alinkedin.com+Angela+Wong+Pacific+Southwest+Business+Unit+Lead+Tax+Campus+Recruiting" TargetMode="External"/><Relationship Id="rId1841" Type="http://schemas.openxmlformats.org/officeDocument/2006/relationships/hyperlink" Target="https://www.google.com/search?newwindow=1&amp;ei=2MT0XrvGGM-vytMP1OyDgAY&amp;q=site%3Alinkedin.com+Jennifer+McCanty+MBA+National+Manager+Campus+Recruiting" TargetMode="External"/><Relationship Id="rId1842" Type="http://schemas.openxmlformats.org/officeDocument/2006/relationships/hyperlink" Target="https://www.google.com/search?newwindow=1&amp;ei=2MT0XrvGGM-vytMP1OyDgAY&amp;q=site%3Alinkedin.com+Lauren+E.+Kim+Talent+Acquisition-+Campus+Recruiting" TargetMode="External"/><Relationship Id="rId1843" Type="http://schemas.openxmlformats.org/officeDocument/2006/relationships/hyperlink" Target="https://www.google.com/search?newwindow=1&amp;ei=2MT0XrvGGM-vytMP1OyDgAY&amp;q=site%3Alinkedin.com+Mallory+Sylvester+Campus+Recruiting+Associate" TargetMode="External"/><Relationship Id="rId1844" Type="http://schemas.openxmlformats.org/officeDocument/2006/relationships/hyperlink" Target="https://www.google.com/search?newwindow=1&amp;ei=2MT0XrvGGM-vytMP1OyDgAY&amp;q=site%3Alinkedin.com+Emilie+Schneider+Campus+Recruiting+National+Senior+Associate" TargetMode="External"/><Relationship Id="rId1845" Type="http://schemas.openxmlformats.org/officeDocument/2006/relationships/hyperlink" Target="https://www.google.com/search?newwindow=1&amp;ei=2MT0XrvGGM-vytMP1OyDgAY&amp;q=site%3Alinkedin.com+Aubrey+Baier+Senior+Associate+Campus+Recruiting" TargetMode="External"/><Relationship Id="rId1846" Type="http://schemas.openxmlformats.org/officeDocument/2006/relationships/hyperlink" Target="https://www.google.com/search?newwindow=1&amp;ei=2MT0XrvGGM-vytMP1OyDgAY&amp;q=site%3Alinkedin.com+Nicole+Fritz+Director+Talent+Acquisition+Marketing" TargetMode="External"/><Relationship Id="rId1847" Type="http://schemas.openxmlformats.org/officeDocument/2006/relationships/hyperlink" Target="https://www.google.com/search?newwindow=1&amp;ei=2MT0XrvGGM-vytMP1OyDgAY&amp;q=site%3Alinkedin.com+Jemima+Sloggett+Manager+Campus+Recruiting" TargetMode="External"/><Relationship Id="rId1848" Type="http://schemas.openxmlformats.org/officeDocument/2006/relationships/hyperlink" Target="https://www.google.com/search?newwindow=1&amp;ei=2MT0XrvGGM-vytMP1OyDgAY&amp;q=site%3Alinkedin.com+Jenna+R.+Campus+Recruiting+Manager" TargetMode="External"/><Relationship Id="rId1849" Type="http://schemas.openxmlformats.org/officeDocument/2006/relationships/hyperlink" Target="https://www.google.com/search?newwindow=1&amp;ei=2MT0XrvGGM-vytMP1OyDgAY&amp;q=site%3Alinkedin.com+Derrick+Beggs+PHR+CDR+KMPG+Campus+Recruiting+Manager" TargetMode="External"/><Relationship Id="rId1873" Type="http://schemas.openxmlformats.org/officeDocument/2006/relationships/hyperlink" Target="https://www.google.com/search?newwindow=1&amp;ei=2MT0XrvGGM-vytMP1OyDgAY&amp;q=site%3Alinkedin.com+Jessica+Burke+Senior+Campus+Recruiter+Liberty+Mutual+Insurance" TargetMode="External"/><Relationship Id="rId1874" Type="http://schemas.openxmlformats.org/officeDocument/2006/relationships/hyperlink" Target="https://www.google.com/search?newwindow=1&amp;ei=2MT0XrvGGM-vytMP1OyDgAY&amp;q=site%3Alinkedin.com+Daniel+McCarthy+Campus+Recruiter+Liberty+Mutual+Insurance" TargetMode="External"/><Relationship Id="rId1875" Type="http://schemas.openxmlformats.org/officeDocument/2006/relationships/hyperlink" Target="https://www.google.com/search?newwindow=1&amp;ei=2MT0XrvGGM-vytMP1OyDgAY&amp;q=site%3Alinkedin.com+MacKenzie+Bachry+(she+her)+Senior+Campus+Recruiter+Liberty+Mutual+Insurance" TargetMode="External"/><Relationship Id="rId1876" Type="http://schemas.openxmlformats.org/officeDocument/2006/relationships/hyperlink" Target="https://www.google.com/search?newwindow=1&amp;ei=2MT0XrvGGM-vytMP1OyDgAY&amp;q=site%3Alinkedin.com+Allison+Campbell+Campus+Recruiter+Intern+Liberty+Mutual+Insurance" TargetMode="External"/><Relationship Id="rId1877" Type="http://schemas.openxmlformats.org/officeDocument/2006/relationships/hyperlink" Target="https://www.google.com/search?newwindow=1&amp;ei=2MT0XrvGGM-vytMP1OyDgAY&amp;q=site%3Alinkedin.com+Jacquitta+Pool+Diversity+and+Inclusion+Associate+Program+Manager+Campus+Recruiting+Liberty+Mutual+Insurance" TargetMode="External"/><Relationship Id="rId1878" Type="http://schemas.openxmlformats.org/officeDocument/2006/relationships/hyperlink" Target="https://www.google.com/search?newwindow=1&amp;ei=2MT0XrvGGM-vytMP1OyDgAY&amp;q=site%3Alinkedin.com+Monica+Vesprani+Sr.+Campus+Recruiter+Information+Technology+Liberty+Mutual+Insurance" TargetMode="External"/><Relationship Id="rId1879" Type="http://schemas.openxmlformats.org/officeDocument/2006/relationships/hyperlink" Target="https://www.google.com/search?newwindow=1&amp;ei=2MT0XrvGGM-vytMP1OyDgAY&amp;q=site%3Alinkedin.com+Mindy+Holt+Senior+Campus+Recruiter+I+Tech+Liberty+Mutual+Insurance" TargetMode="External"/><Relationship Id="rId1870" Type="http://schemas.openxmlformats.org/officeDocument/2006/relationships/hyperlink" Target="https://www.google.com/search?newwindow=1&amp;ei=2MT0XrvGGM-vytMP1OyDgAY&amp;q=site%3Alinkedin.com+Kimberly+Myers+Campus+Recruiter+Liberty+Mutual+Insurance" TargetMode="External"/><Relationship Id="rId1871" Type="http://schemas.openxmlformats.org/officeDocument/2006/relationships/hyperlink" Target="https://www.google.com/search?newwindow=1&amp;ei=2MT0XrvGGM-vytMP1OyDgAY&amp;q=site%3Alinkedin.com+Paige+Andrews+(she/her)+Senior+Campus+Recruiter+Finance+Accounting+&amp;+Investments+Liberty+Mutual+Insurance" TargetMode="External"/><Relationship Id="rId1872" Type="http://schemas.openxmlformats.org/officeDocument/2006/relationships/hyperlink" Target="https://www.google.com/search?newwindow=1&amp;ei=2MT0XrvGGM-vytMP1OyDgAY&amp;q=site%3Alinkedin.com+Lauren+Fitzgibbon+Senior+Campus+Recruiter+Liberty+Mutual+Insurance" TargetMode="External"/><Relationship Id="rId1862" Type="http://schemas.openxmlformats.org/officeDocument/2006/relationships/hyperlink" Target="https://www.google.com/search?newwindow=1&amp;ei=2MT0XrvGGM-vytMP1OyDgAY&amp;q=site%3Alinkedin.com+Marisa+DiRocco+Manager+Campus+Recruiting" TargetMode="External"/><Relationship Id="rId1863" Type="http://schemas.openxmlformats.org/officeDocument/2006/relationships/hyperlink" Target="https://www.google.com/search?newwindow=1&amp;ei=2MT0XrvGGM-vytMP1OyDgAY&amp;q=site%3Alinkedin.com+Tara+Parandak+Campus+Recruiting+Ambassador" TargetMode="External"/><Relationship Id="rId1864" Type="http://schemas.openxmlformats.org/officeDocument/2006/relationships/hyperlink" Target="https://www.google.com/search?newwindow=1&amp;ei=2MT0XrvGGM-vytMP1OyDgAY&amp;q=site%3Alinkedin.com+Nicole+Floyd+Associate+Campus+Recruiting" TargetMode="External"/><Relationship Id="rId1865" Type="http://schemas.openxmlformats.org/officeDocument/2006/relationships/hyperlink" Target="https://www.google.com/search?newwindow=1&amp;ei=2MT0XrvGGM-vytMP1OyDgAY&amp;q=site%3Alinkedin.com+Laura+Schneiders+Campus+Recruiting+Coordinator" TargetMode="External"/><Relationship Id="rId1866" Type="http://schemas.openxmlformats.org/officeDocument/2006/relationships/hyperlink" Target="https://www.google.com/search?newwindow=1&amp;ei=2MT0XrvGGM-vytMP1OyDgAY&amp;q=site%3Alinkedin.com+Renee+T.+Campus+Recruiting+Manager+Advisory+&amp;+Tax+Primary+Recruiter" TargetMode="External"/><Relationship Id="rId1867" Type="http://schemas.openxmlformats.org/officeDocument/2006/relationships/hyperlink" Target="https://www.google.com/search?newwindow=1&amp;ei=2MT0XrvGGM-vytMP1OyDgAY&amp;q=site%3Alinkedin.com+Erin+Riley+Campus+Recruiting+Manager" TargetMode="External"/><Relationship Id="rId1868" Type="http://schemas.openxmlformats.org/officeDocument/2006/relationships/hyperlink" Target="https://www.google.com/search?newwindow=1&amp;ei=2MT0XrvGGM-vytMP1OyDgAY&amp;q=site%3Alinkedin.com+Meghan+Hughes+Ostrowski+Manager+Campus+Recruiting+Structured+Development+Programs+Liberty+Mutual+Insurance" TargetMode="External"/><Relationship Id="rId1869" Type="http://schemas.openxmlformats.org/officeDocument/2006/relationships/hyperlink" Target="https://www.google.com/search?newwindow=1&amp;ei=2MT0XrvGGM-vytMP1OyDgAY&amp;q=site%3Alinkedin.com+Kelly+Scott+Diversity+and+Inclusion+Program+Manager+Campus+Recruiting+Liberty+Mutual+Insurance" TargetMode="External"/><Relationship Id="rId1860" Type="http://schemas.openxmlformats.org/officeDocument/2006/relationships/hyperlink" Target="https://www.google.com/search?newwindow=1&amp;ei=2MT0XrvGGM-vytMP1OyDgAY&amp;q=site%3Alinkedin.com+Lindsay+Lavin+PHR+(she/her)+Sr.+Associate+Campus+Recruiting" TargetMode="External"/><Relationship Id="rId1861" Type="http://schemas.openxmlformats.org/officeDocument/2006/relationships/hyperlink" Target="https://www.google.com/search?newwindow=1&amp;ei=2MT0XrvGGM-vytMP1OyDgAY&amp;q=site%3Alinkedin.com+Sydney+Leischner+Manager+Campus+Recruiting" TargetMode="External"/><Relationship Id="rId1810" Type="http://schemas.openxmlformats.org/officeDocument/2006/relationships/hyperlink" Target="https://www.google.com/search?newwindow=1&amp;ei=2MT0XrvGGM-vytMP1OyDgAY&amp;q=site%3Alinkedin.com+Stacey+McMillan+Talent+Attraction+Campus+Recruiter" TargetMode="External"/><Relationship Id="rId1811" Type="http://schemas.openxmlformats.org/officeDocument/2006/relationships/hyperlink" Target="https://www.google.com/search?newwindow=1&amp;ei=2MT0XrvGGM-vytMP1OyDgAY&amp;q=site%3Alinkedin.com+Moya+Firth+Campus+Resource+Campus+Recruiting" TargetMode="External"/><Relationship Id="rId1812" Type="http://schemas.openxmlformats.org/officeDocument/2006/relationships/hyperlink" Target="https://www.google.com/search?newwindow=1&amp;ei=2MT0XrvGGM-vytMP1OyDgAY&amp;q=site%3Alinkedin.com+Natalie+Rutkowski+Talent+Attraction+Specialist+GTA+Campus+Recruiter" TargetMode="External"/><Relationship Id="rId1813" Type="http://schemas.openxmlformats.org/officeDocument/2006/relationships/hyperlink" Target="https://www.google.com/search?newwindow=1&amp;ei=2MT0XrvGGM-vytMP1OyDgAY&amp;q=site%3Alinkedin.com+Renee+Blonde+Campus+Recruiting+Manager" TargetMode="External"/><Relationship Id="rId1814" Type="http://schemas.openxmlformats.org/officeDocument/2006/relationships/hyperlink" Target="https://www.google.com/search?newwindow=1&amp;ei=2MT0XrvGGM-vytMP1OyDgAY&amp;q=site%3Alinkedin.com+Michelle+Ferguson+National+Associate+Campus+Recruiting+Internal+Operations" TargetMode="External"/><Relationship Id="rId1815" Type="http://schemas.openxmlformats.org/officeDocument/2006/relationships/hyperlink" Target="https://www.google.com/search?newwindow=1&amp;ei=2MT0XrvGGM-vytMP1OyDgAY&amp;q=site%3Alinkedin.com+Jessica+Maurer+Associate+Director+Campus+Recruiting" TargetMode="External"/><Relationship Id="rId1816" Type="http://schemas.openxmlformats.org/officeDocument/2006/relationships/hyperlink" Target="https://www.google.com/search?newwindow=1&amp;ei=2MT0XrvGGM-vytMP1OyDgAY&amp;q=site%3Alinkedin.com+Kyri+Gorges+Manager+Campus+Recruiting" TargetMode="External"/><Relationship Id="rId1817" Type="http://schemas.openxmlformats.org/officeDocument/2006/relationships/hyperlink" Target="https://www.google.com/search?newwindow=1&amp;ei=2MT0XrvGGM-vytMP1OyDgAY&amp;q=site%3Alinkedin.com+Marsha+Hinckley-Christie+West+Area+Director+of+Campus+Recruiting" TargetMode="External"/><Relationship Id="rId1818" Type="http://schemas.openxmlformats.org/officeDocument/2006/relationships/hyperlink" Target="https://www.google.com/search?newwindow=1&amp;ei=2MT0XrvGGM-vytMP1OyDgAY&amp;q=site%3Alinkedin.com+Bette+Kozlowski+Director+Campus+Recruiting" TargetMode="External"/><Relationship Id="rId1819" Type="http://schemas.openxmlformats.org/officeDocument/2006/relationships/hyperlink" Target="https://www.google.com/search?newwindow=1&amp;ei=2MT0XrvGGM-vytMP1OyDgAY&amp;q=site%3Alinkedin.com+Peter+Bartok+Campus+Recruiting+Manager" TargetMode="External"/><Relationship Id="rId1800" Type="http://schemas.openxmlformats.org/officeDocument/2006/relationships/hyperlink" Target="https://www.google.com/search?newwindow=1&amp;ei=2MT0XrvGGM-vytMP1OyDgAY&amp;q=site%3Alinkedin.com+Sydney+Leischner+Manager+Campus+Recruiting+KPMG+US" TargetMode="External"/><Relationship Id="rId1801" Type="http://schemas.openxmlformats.org/officeDocument/2006/relationships/hyperlink" Target="https://www.google.com/search?newwindow=1&amp;ei=2MT0XrvGGM-vytMP1OyDgAY&amp;q=site%3Alinkedin.com+Torie+Prothro+Campus+Recruiter+KPMG+US" TargetMode="External"/><Relationship Id="rId1802" Type="http://schemas.openxmlformats.org/officeDocument/2006/relationships/hyperlink" Target="https://www.google.com/search?newwindow=1&amp;ei=2MT0XrvGGM-vytMP1OyDgAY&amp;q=site%3Alinkedin.com+Marisa+DiRocco+Manager+Campus+Recruiting+KPMG+US" TargetMode="External"/><Relationship Id="rId1803" Type="http://schemas.openxmlformats.org/officeDocument/2006/relationships/hyperlink" Target="https://www.google.com/search?newwindow=1&amp;ei=2MT0XrvGGM-vytMP1OyDgAY&amp;q=site%3Alinkedin.com+Brianna+Peipert+Associate+Campus+Recruiter+KPMG+US" TargetMode="External"/><Relationship Id="rId1804" Type="http://schemas.openxmlformats.org/officeDocument/2006/relationships/hyperlink" Target="https://www.google.com/search?newwindow=1&amp;ei=2MT0XrvGGM-vytMP1OyDgAY&amp;q=site%3Alinkedin.com+Renee+T.+Campus+Recruiting+Manager+Advisory+&amp;+Tax+Primary+Recruiter+KPMG+US" TargetMode="External"/><Relationship Id="rId1805" Type="http://schemas.openxmlformats.org/officeDocument/2006/relationships/hyperlink" Target="https://www.google.com/search?newwindow=1&amp;ei=2MT0XrvGGM-vytMP1OyDgAY&amp;q=site%3Alinkedin.com+Erin+Riley+Campus+Recruiting+Manager+KPMG+LLP" TargetMode="External"/><Relationship Id="rId1806" Type="http://schemas.openxmlformats.org/officeDocument/2006/relationships/hyperlink" Target="https://www.google.com/search?newwindow=1&amp;ei=2MT0XrvGGM-vytMP1OyDgAY&amp;q=site%3Alinkedin.com+Ininder+Badwal+CHRP+Talent+Attraction+Specialist+-+Campus+Recruiting" TargetMode="External"/><Relationship Id="rId1807" Type="http://schemas.openxmlformats.org/officeDocument/2006/relationships/hyperlink" Target="https://www.google.com/search?newwindow=1&amp;ei=2MT0XrvGGM-vytMP1OyDgAY&amp;q=site%3Alinkedin.com+Kasia+Sterniczuk+Talent+Attraction+Manager+Campus+Recruiting" TargetMode="External"/><Relationship Id="rId1808" Type="http://schemas.openxmlformats.org/officeDocument/2006/relationships/hyperlink" Target="https://www.google.com/search?newwindow=1&amp;ei=2MT0XrvGGM-vytMP1OyDgAY&amp;q=site%3Alinkedin.com+Ozench+Ibrahim+Lead+Executive+Partner+Campus+Recruiting" TargetMode="External"/><Relationship Id="rId1809" Type="http://schemas.openxmlformats.org/officeDocument/2006/relationships/hyperlink" Target="https://www.google.com/search?newwindow=1&amp;ei=2MT0XrvGGM-vytMP1OyDgAY&amp;q=site%3Alinkedin.com+Marjorie+Joasil+Talent+Attraction+Specialist+National+Digital+Campus+Recruiter" TargetMode="External"/><Relationship Id="rId1830" Type="http://schemas.openxmlformats.org/officeDocument/2006/relationships/hyperlink" Target="https://www.google.com/search?newwindow=1&amp;ei=2MT0XrvGGM-vytMP1OyDgAY&amp;q=site%3Alinkedin.com+Nicole+King+Campus+Recruiting" TargetMode="External"/><Relationship Id="rId1831" Type="http://schemas.openxmlformats.org/officeDocument/2006/relationships/hyperlink" Target="https://www.google.com/search?newwindow=1&amp;ei=2MT0XrvGGM-vytMP1OyDgAY&amp;q=site%3Alinkedin.com+Taylor+McKamy+Campus+Recruiting+Manager" TargetMode="External"/><Relationship Id="rId1832" Type="http://schemas.openxmlformats.org/officeDocument/2006/relationships/hyperlink" Target="https://www.google.com/search?newwindow=1&amp;ei=2MT0XrvGGM-vytMP1OyDgAY&amp;q=site%3Alinkedin.com+Lynsey+Dinovo+Associate+Director+Campus+Recruiting" TargetMode="External"/><Relationship Id="rId1833" Type="http://schemas.openxmlformats.org/officeDocument/2006/relationships/hyperlink" Target="https://www.google.com/search?newwindow=1&amp;ei=2MT0XrvGGM-vytMP1OyDgAY&amp;q=site%3Alinkedin.com+Erin+Rasey+Campus+Recruiting+Senior+Associate" TargetMode="External"/><Relationship Id="rId1834" Type="http://schemas.openxmlformats.org/officeDocument/2006/relationships/hyperlink" Target="https://www.google.com/search?newwindow=1&amp;ei=2MT0XrvGGM-vytMP1OyDgAY&amp;q=site%3Alinkedin.com+Laurel+Miller+Stone+Associate+Director+Campus+Recruiting" TargetMode="External"/><Relationship Id="rId1835" Type="http://schemas.openxmlformats.org/officeDocument/2006/relationships/hyperlink" Target="https://www.google.com/search?newwindow=1&amp;ei=2MT0XrvGGM-vytMP1OyDgAY&amp;q=site%3Alinkedin.com+Lisa+Francisco+National+Manager+Campus+Recruiting+&amp;+University+Relations" TargetMode="External"/><Relationship Id="rId1836" Type="http://schemas.openxmlformats.org/officeDocument/2006/relationships/hyperlink" Target="https://www.google.com/search?newwindow=1&amp;ei=2MT0XrvGGM-vytMP1OyDgAY&amp;q=site%3Alinkedin.com+Mia+Friederich+Campus+Recruiting+Coordinator" TargetMode="External"/><Relationship Id="rId1837" Type="http://schemas.openxmlformats.org/officeDocument/2006/relationships/hyperlink" Target="https://www.google.com/search?newwindow=1&amp;ei=2MT0XrvGGM-vytMP1OyDgAY&amp;q=site%3Alinkedin.com+Didi+Itauma+Associate+Area+Campus+Recruiting+Coordinator" TargetMode="External"/><Relationship Id="rId1838" Type="http://schemas.openxmlformats.org/officeDocument/2006/relationships/hyperlink" Target="https://www.google.com/search?newwindow=1&amp;ei=2MT0XrvGGM-vytMP1OyDgAY&amp;q=site%3Alinkedin.com+Jessica+Vittas+(she+her+hers)+Campus+Development+Manager:+Campus+Recruiting" TargetMode="External"/><Relationship Id="rId1839" Type="http://schemas.openxmlformats.org/officeDocument/2006/relationships/hyperlink" Target="https://www.google.com/search?newwindow=1&amp;ei=2MT0XrvGGM-vytMP1OyDgAY&amp;q=site%3Alinkedin.com+Liz+Trevor+Primary+Recruiting+Manager+for+LA/OC+Advisory:+Campus+Recruiting" TargetMode="External"/><Relationship Id="rId1820" Type="http://schemas.openxmlformats.org/officeDocument/2006/relationships/hyperlink" Target="https://www.google.com/search?newwindow=1&amp;ei=2MT0XrvGGM-vytMP1OyDgAY&amp;q=site%3Alinkedin.com+Gwendolyn+Reddy+Director+National+Campus+Recruiting" TargetMode="External"/><Relationship Id="rId1821" Type="http://schemas.openxmlformats.org/officeDocument/2006/relationships/hyperlink" Target="https://www.google.com/search?newwindow=1&amp;ei=2MT0XrvGGM-vytMP1OyDgAY&amp;q=site%3Alinkedin.com+Jennifer+Rice+Manager+Campus+Recruiting" TargetMode="External"/><Relationship Id="rId1822" Type="http://schemas.openxmlformats.org/officeDocument/2006/relationships/hyperlink" Target="https://www.google.com/search?newwindow=1&amp;ei=2MT0XrvGGM-vytMP1OyDgAY&amp;q=site%3Alinkedin.com+Kristin+Spivey+Associate+Director+Campus+Recruiting" TargetMode="External"/><Relationship Id="rId1823" Type="http://schemas.openxmlformats.org/officeDocument/2006/relationships/hyperlink" Target="https://www.google.com/search?newwindow=1&amp;ei=2MT0XrvGGM-vytMP1OyDgAY&amp;q=site%3Alinkedin.com+Jessica+Hardeman+National+Associate+Director+Campus+Recruiting+Operations" TargetMode="External"/><Relationship Id="rId1824" Type="http://schemas.openxmlformats.org/officeDocument/2006/relationships/hyperlink" Target="https://www.google.com/search?newwindow=1&amp;ei=2MT0XrvGGM-vytMP1OyDgAY&amp;q=site%3Alinkedin.com+Jane+Adeosun+Associate+Campus+Recruiting" TargetMode="External"/><Relationship Id="rId1825" Type="http://schemas.openxmlformats.org/officeDocument/2006/relationships/hyperlink" Target="https://www.google.com/search?newwindow=1&amp;ei=2MT0XrvGGM-vytMP1OyDgAY&amp;q=site%3Alinkedin.com+Thienan+Dang+Senior+Associate+Campus+Recruiting" TargetMode="External"/><Relationship Id="rId1826" Type="http://schemas.openxmlformats.org/officeDocument/2006/relationships/hyperlink" Target="https://www.google.com/search?newwindow=1&amp;ei=2MT0XrvGGM-vytMP1OyDgAY&amp;q=site%3Alinkedin.com+Brittany+Cuevas+Senior+Associate+Campus+Recruiting" TargetMode="External"/><Relationship Id="rId1827" Type="http://schemas.openxmlformats.org/officeDocument/2006/relationships/hyperlink" Target="https://www.google.com/search?newwindow=1&amp;ei=2MT0XrvGGM-vytMP1OyDgAY&amp;q=site%3Alinkedin.com+Christopher+Mann+Senior+Associate+Campus+Recruiting" TargetMode="External"/><Relationship Id="rId1828" Type="http://schemas.openxmlformats.org/officeDocument/2006/relationships/hyperlink" Target="https://www.google.com/search?newwindow=1&amp;ei=2MT0XrvGGM-vytMP1OyDgAY&amp;q=site%3Alinkedin.com+Mary+Nolan+Campus+Recruiting+Manager" TargetMode="External"/><Relationship Id="rId1829" Type="http://schemas.openxmlformats.org/officeDocument/2006/relationships/hyperlink" Target="https://www.google.com/search?newwindow=1&amp;ei=2MT0XrvGGM-vytMP1OyDgAY&amp;q=site%3Alinkedin.com+Kati+Hood+Associate+Director+University+Talent+Acquisition" TargetMode="External"/><Relationship Id="rId2302" Type="http://schemas.openxmlformats.org/officeDocument/2006/relationships/hyperlink" Target="https://www.google.com/search?newwindow=1&amp;ei=2MT0XrvGGM-vytMP1OyDgAY&amp;q=site%3Alinkedin.com+Tatiana+Messersmith+University+Recruiter+Qualtrics" TargetMode="External"/><Relationship Id="rId2303" Type="http://schemas.openxmlformats.org/officeDocument/2006/relationships/hyperlink" Target="https://www.google.com/search?newwindow=1&amp;ei=2MT0XrvGGM-vytMP1OyDgAY&amp;q=site%3Alinkedin.com+Sara+Cho+Technical+University+Recruiter+Qualtrics" TargetMode="External"/><Relationship Id="rId2304" Type="http://schemas.openxmlformats.org/officeDocument/2006/relationships/hyperlink" Target="https://www.google.com/search?newwindow=1&amp;ei=2MT0XrvGGM-vytMP1OyDgAY&amp;q=site%3Alinkedin.com+Millie+Charnley+Recruiter+Support+Coordinator" TargetMode="External"/><Relationship Id="rId2305" Type="http://schemas.openxmlformats.org/officeDocument/2006/relationships/hyperlink" Target="https://www.google.com/search?newwindow=1&amp;ei=2MT0XrvGGM-vytMP1OyDgAY&amp;q=site%3Alinkedin.com+Sonia+Mathur+Graduate+Recruiter" TargetMode="External"/><Relationship Id="rId2306" Type="http://schemas.openxmlformats.org/officeDocument/2006/relationships/hyperlink" Target="https://www.google.com/search?newwindow=1&amp;ei=2MT0XrvGGM-vytMP1OyDgAY&amp;q=site%3Alinkedin.com+Brigid+Sullivan+University+Programs+Recruiter+Raytheon" TargetMode="External"/><Relationship Id="rId2307" Type="http://schemas.openxmlformats.org/officeDocument/2006/relationships/hyperlink" Target="https://www.google.com/search?newwindow=1&amp;ei=2MT0XrvGGM-vytMP1OyDgAY&amp;q=site%3Alinkedin.com+Michelle+Ciak+University+Programs+Recruiter+Raytheon" TargetMode="External"/><Relationship Id="rId2308" Type="http://schemas.openxmlformats.org/officeDocument/2006/relationships/hyperlink" Target="https://www.google.com/search?newwindow=1&amp;ei=2MT0XrvGGM-vytMP1OyDgAY&amp;q=site%3Alinkedin.com+Jennifer+Smyth+Recruiter+Raytheon" TargetMode="External"/><Relationship Id="rId2309" Type="http://schemas.openxmlformats.org/officeDocument/2006/relationships/hyperlink" Target="https://www.google.com/search?newwindow=1&amp;ei=2MT0XrvGGM-vytMP1OyDgAY&amp;q=site%3Alinkedin.com+Katie+Tuthill+University+Programs+Recruiter+Raytheon" TargetMode="External"/><Relationship Id="rId2300" Type="http://schemas.openxmlformats.org/officeDocument/2006/relationships/hyperlink" Target="https://www.google.com/search?newwindow=1&amp;ei=2MT0XrvGGM-vytMP1OyDgAY&amp;q=site%3Alinkedin.com+Harmony+Rose+Morkve+University+Recruiter+Qualtrics" TargetMode="External"/><Relationship Id="rId2301" Type="http://schemas.openxmlformats.org/officeDocument/2006/relationships/hyperlink" Target="https://www.google.com/search?newwindow=1&amp;ei=2MT0XrvGGM-vytMP1OyDgAY&amp;q=site%3Alinkedin.com+Sarah+Brewster+Technical+University+Recruiter+Qualtrics" TargetMode="External"/><Relationship Id="rId2324" Type="http://schemas.openxmlformats.org/officeDocument/2006/relationships/hyperlink" Target="https://www.google.com/search?newwindow=1&amp;ei=2MT0XrvGGM-vytMP1OyDgAY&amp;q=site%3Alinkedin.com+Greg+Duffy+Senior+Campus+Recruiter+Capital+Markets+and+Wealth+Management" TargetMode="External"/><Relationship Id="rId2325" Type="http://schemas.openxmlformats.org/officeDocument/2006/relationships/hyperlink" Target="https://www.google.com/search?newwindow=1&amp;ei=2MT0XrvGGM-vytMP1OyDgAY&amp;q=site%3Alinkedin.com+Saliha+Ahmadi+Campus+Recruiter" TargetMode="External"/><Relationship Id="rId2326" Type="http://schemas.openxmlformats.org/officeDocument/2006/relationships/hyperlink" Target="https://www.google.com/search?newwindow=1&amp;ei=2MT0XrvGGM-vytMP1OyDgAY&amp;q=site%3Alinkedin.com+Alvin+Hui+University+Recruiter+&amp;+Program+Manager+Robinhood" TargetMode="External"/><Relationship Id="rId2327" Type="http://schemas.openxmlformats.org/officeDocument/2006/relationships/hyperlink" Target="https://www.google.com/search?newwindow=1&amp;ei=2MT0XrvGGM-vytMP1OyDgAY&amp;q=site%3Alinkedin.com+Andrew+Yeung+Senior+University+Recruiter+Robinhood" TargetMode="External"/><Relationship Id="rId2328" Type="http://schemas.openxmlformats.org/officeDocument/2006/relationships/hyperlink" Target="https://www.google.com/search?newwindow=1&amp;ei=2MT0XrvGGM-vytMP1OyDgAY&amp;q=site%3Alinkedin.com+Sam+Lee+University+Recruiter+Robinhood" TargetMode="External"/><Relationship Id="rId2329" Type="http://schemas.openxmlformats.org/officeDocument/2006/relationships/hyperlink" Target="https://www.google.com/search?newwindow=1&amp;ei=2MT0XrvGGM-vytMP1OyDgAY&amp;q=site%3Alinkedin.com+Tiffany+Siu+University+Recruiter+Robinhood" TargetMode="External"/><Relationship Id="rId2320" Type="http://schemas.openxmlformats.org/officeDocument/2006/relationships/hyperlink" Target="https://www.google.com/search?newwindow=1&amp;ei=2MT0XrvGGM-vytMP1OyDgAY&amp;q=site%3Alinkedin.com+Amy+Rosenblum+University+Programs+Recruiter+Raytheon+Technologies" TargetMode="External"/><Relationship Id="rId2321" Type="http://schemas.openxmlformats.org/officeDocument/2006/relationships/hyperlink" Target="https://www.google.com/search?newwindow=1&amp;ei=2MT0XrvGGM-vytMP1OyDgAY&amp;q=site%3Alinkedin.com+Rebecca+Cragoe+Campus+Recruiter" TargetMode="External"/><Relationship Id="rId2322" Type="http://schemas.openxmlformats.org/officeDocument/2006/relationships/hyperlink" Target="https://www.google.com/search?newwindow=1&amp;ei=2MT0XrvGGM-vytMP1OyDgAY&amp;q=site%3Alinkedin.com+Heba+Alashi+Sp%C3%A9cialiste+en+recrutement+Campus+Qu%C3%A9bec/+Senior+Campus+Recruiter+Quebec" TargetMode="External"/><Relationship Id="rId2323" Type="http://schemas.openxmlformats.org/officeDocument/2006/relationships/hyperlink" Target="https://www.google.com/search?newwindow=1&amp;ei=2MT0XrvGGM-vytMP1OyDgAY&amp;q=site%3Alinkedin.com+Jovic+Howland+Senior+Recruiter+Campus+Recruitment+Early+Talent+Acquisition+Wealth+Management" TargetMode="External"/><Relationship Id="rId2313" Type="http://schemas.openxmlformats.org/officeDocument/2006/relationships/hyperlink" Target="https://www.google.com/search?newwindow=1&amp;ei=2MT0XrvGGM-vytMP1OyDgAY&amp;q=site%3Alinkedin.com+Jennifer+Rhodes+University+Programs+Recruiter+Raytheon" TargetMode="External"/><Relationship Id="rId2314" Type="http://schemas.openxmlformats.org/officeDocument/2006/relationships/hyperlink" Target="https://www.google.com/search?newwindow=1&amp;ei=2MT0XrvGGM-vytMP1OyDgAY&amp;q=site%3Alinkedin.com+Carolyn+Murwin+MS+Sr.+Employment+Recruiter+Raytheon+Missiles+&amp;+Defense" TargetMode="External"/><Relationship Id="rId2315" Type="http://schemas.openxmlformats.org/officeDocument/2006/relationships/hyperlink" Target="https://www.google.com/search?newwindow=1&amp;ei=2MT0XrvGGM-vytMP1OyDgAY&amp;q=site%3Alinkedin.com+Lexi+Casarez+University+Programs+Recruiter+at+Raytheon+Missiles+&amp;+Defense+Raytheon+Missiles+&amp;+Defense" TargetMode="External"/><Relationship Id="rId2316" Type="http://schemas.openxmlformats.org/officeDocument/2006/relationships/hyperlink" Target="https://www.google.com/search?newwindow=1&amp;ei=2MT0XrvGGM-vytMP1OyDgAY&amp;q=site%3Alinkedin.com+Hazel+Y.+Lopez+University+Programs+Recruiter+Raytheon+Technologies" TargetMode="External"/><Relationship Id="rId2317" Type="http://schemas.openxmlformats.org/officeDocument/2006/relationships/hyperlink" Target="https://www.google.com/search?newwindow=1&amp;ei=2MT0XrvGGM-vytMP1OyDgAY&amp;q=site%3Alinkedin.com+Erin+Pruitt+University+Programs+Recruiter+Raytheon+Intelligence+and+Space+Raytheon+Technologies" TargetMode="External"/><Relationship Id="rId2318" Type="http://schemas.openxmlformats.org/officeDocument/2006/relationships/hyperlink" Target="https://www.google.com/search?newwindow=1&amp;ei=2MT0XrvGGM-vytMP1OyDgAY&amp;q=site%3Alinkedin.com+LaToya+Johnson+University+Programs+Recruiter+Raytheon+Technologies" TargetMode="External"/><Relationship Id="rId2319" Type="http://schemas.openxmlformats.org/officeDocument/2006/relationships/hyperlink" Target="https://www.google.com/search?newwindow=1&amp;ei=2MT0XrvGGM-vytMP1OyDgAY&amp;q=site%3Alinkedin.com+Kevin+Lohmeier+Campus+Recruiting+Manager+University+of+Arizona+Raytheon+Technologies" TargetMode="External"/><Relationship Id="rId2310" Type="http://schemas.openxmlformats.org/officeDocument/2006/relationships/hyperlink" Target="https://www.google.com/search?newwindow=1&amp;ei=2MT0XrvGGM-vytMP1OyDgAY&amp;q=site%3Alinkedin.com+Richard+DeStefano+University+Programs+Manager+Raytheon" TargetMode="External"/><Relationship Id="rId2311" Type="http://schemas.openxmlformats.org/officeDocument/2006/relationships/hyperlink" Target="https://www.google.com/search?newwindow=1&amp;ei=2MT0XrvGGM-vytMP1OyDgAY&amp;q=site%3Alinkedin.com+Celine+Dye+University+Programs+Recruiter+Raytheon" TargetMode="External"/><Relationship Id="rId2312" Type="http://schemas.openxmlformats.org/officeDocument/2006/relationships/hyperlink" Target="https://www.google.com/search?newwindow=1&amp;ei=2MT0XrvGGM-vytMP1OyDgAY&amp;q=site%3Alinkedin.com+Curtis+Sargent+University+Programs+Recruiter+Raytheon" TargetMode="External"/><Relationship Id="rId1895" Type="http://schemas.openxmlformats.org/officeDocument/2006/relationships/hyperlink" Target="https://www.google.com/search?newwindow=1&amp;ei=2MT0XrvGGM-vytMP1OyDgAY&amp;q=site%3Alinkedin.com+Bri+Casner+Senior+Manager+Global+Campus+Recruiting" TargetMode="External"/><Relationship Id="rId1896" Type="http://schemas.openxmlformats.org/officeDocument/2006/relationships/hyperlink" Target="https://www.google.com/search?newwindow=1&amp;ei=2MT0XrvGGM-vytMP1OyDgAY&amp;q=site%3Alinkedin.com+Jared+Jusi+Campus+Recruiting+Coordinator" TargetMode="External"/><Relationship Id="rId1897" Type="http://schemas.openxmlformats.org/officeDocument/2006/relationships/hyperlink" Target="https://www.google.com/search?newwindow=1&amp;ei=2MT0XrvGGM-vytMP1OyDgAY&amp;q=site%3Alinkedin.com+Trixie+Cordova+(she/her)+Campus+Recruiting+Global+Program+Manager" TargetMode="External"/><Relationship Id="rId1898" Type="http://schemas.openxmlformats.org/officeDocument/2006/relationships/hyperlink" Target="https://www.google.com/search?newwindow=1&amp;ei=2MT0XrvGGM-vytMP1OyDgAY&amp;q=site%3Alinkedin.com+Travarus+Fauntleroy+Global+Program+Manager+Campus+Recruiting" TargetMode="External"/><Relationship Id="rId1899" Type="http://schemas.openxmlformats.org/officeDocument/2006/relationships/hyperlink" Target="https://www.google.com/search?newwindow=1&amp;ei=2MT0XrvGGM-vytMP1OyDgAY&amp;q=site%3Alinkedin.com+Emily+Ho+Project+Manager+II+Campus+Recruiting+Operations" TargetMode="External"/><Relationship Id="rId1890" Type="http://schemas.openxmlformats.org/officeDocument/2006/relationships/hyperlink" Target="https://www.google.com/search?newwindow=1&amp;ei=2MT0XrvGGM-vytMP1OyDgAY&amp;q=site%3Alinkedin.com+Alyssa+Nogueira+Campus+Recruiter+Liberty+Mutual+Insurance" TargetMode="External"/><Relationship Id="rId1891" Type="http://schemas.openxmlformats.org/officeDocument/2006/relationships/hyperlink" Target="https://www.google.com/search?newwindow=1&amp;ei=2MT0XrvGGM-vytMP1OyDgAY&amp;q=site%3Alinkedin.com+Christine+Hardy+Recruiter+Graduate+Campus+Programs+Liberty+Mutual+Insurance" TargetMode="External"/><Relationship Id="rId1892" Type="http://schemas.openxmlformats.org/officeDocument/2006/relationships/hyperlink" Target="https://www.google.com/search?newwindow=1&amp;ei=2MT0XrvGGM-vytMP1OyDgAY&amp;q=site%3Alinkedin.com+Emily+Campana+Director+Global+Campus+Recruiting" TargetMode="External"/><Relationship Id="rId1893" Type="http://schemas.openxmlformats.org/officeDocument/2006/relationships/hyperlink" Target="https://www.google.com/search?newwindow=1&amp;ei=2MT0XrvGGM-vytMP1OyDgAY&amp;q=site%3Alinkedin.com+Sofia+DiPaolo+Campus+Recruiting+Coordinator" TargetMode="External"/><Relationship Id="rId1894" Type="http://schemas.openxmlformats.org/officeDocument/2006/relationships/hyperlink" Target="https://www.google.com/search?newwindow=1&amp;ei=2MT0XrvGGM-vytMP1OyDgAY&amp;q=site%3Alinkedin.com+Tamara+Enriquez+M.A.+(She/Her)+Campus+Recruiting+%7C+Intern+Programs+&amp;+Operations+-+Event+Coordinator" TargetMode="External"/><Relationship Id="rId1884" Type="http://schemas.openxmlformats.org/officeDocument/2006/relationships/hyperlink" Target="https://www.google.com/search?newwindow=1&amp;ei=2MT0XrvGGM-vytMP1OyDgAY&amp;q=site%3Alinkedin.com+Courtney+Capano+Campus+Recruiter+Talent+&amp;+Enterprise+Services+Liberty+Mutual+Insurance" TargetMode="External"/><Relationship Id="rId1885" Type="http://schemas.openxmlformats.org/officeDocument/2006/relationships/hyperlink" Target="https://www.google.com/search?newwindow=1&amp;ei=2MT0XrvGGM-vytMP1OyDgAY&amp;q=site%3Alinkedin.com+Alina+Vela+Campus+Recruiter+Liberty+Mutual+Insurance" TargetMode="External"/><Relationship Id="rId1886" Type="http://schemas.openxmlformats.org/officeDocument/2006/relationships/hyperlink" Target="https://www.google.com/search?newwindow=1&amp;ei=2MT0XrvGGM-vytMP1OyDgAY&amp;q=site%3Alinkedin.com+Amy+Ferreira+Campus+Recruiting+Manager+Liberty+Mutual+Insurance" TargetMode="External"/><Relationship Id="rId1887" Type="http://schemas.openxmlformats.org/officeDocument/2006/relationships/hyperlink" Target="https://www.google.com/search?newwindow=1&amp;ei=2MT0XrvGGM-vytMP1OyDgAY&amp;q=site%3Alinkedin.com+Kayla+Wheaton+Tech+Campus+Recruiter+Liberty+Mutual+Insurance" TargetMode="External"/><Relationship Id="rId1888" Type="http://schemas.openxmlformats.org/officeDocument/2006/relationships/hyperlink" Target="https://www.google.com/search?newwindow=1&amp;ei=2MT0XrvGGM-vytMP1OyDgAY&amp;q=site%3Alinkedin.com+Natalie+Landry+Senior+Campus+Recruiter+Liberty+Mutual+Insurance" TargetMode="External"/><Relationship Id="rId1889" Type="http://schemas.openxmlformats.org/officeDocument/2006/relationships/hyperlink" Target="https://www.google.com/search?newwindow=1&amp;ei=2MT0XrvGGM-vytMP1OyDgAY&amp;q=site%3Alinkedin.com+Steven+Carnevale+Campus+Recruiter+Liberty+Mutual+Insurance" TargetMode="External"/><Relationship Id="rId1880" Type="http://schemas.openxmlformats.org/officeDocument/2006/relationships/hyperlink" Target="https://www.google.com/search?newwindow=1&amp;ei=2MT0XrvGGM-vytMP1OyDgAY&amp;q=site%3Alinkedin.com+Tiffany+Taylor+Campus+Recruiter+Liberty+Mutual+Insurance" TargetMode="External"/><Relationship Id="rId1881" Type="http://schemas.openxmlformats.org/officeDocument/2006/relationships/hyperlink" Target="https://www.google.com/search?newwindow=1&amp;ei=2MT0XrvGGM-vytMP1OyDgAY&amp;q=site%3Alinkedin.com+Ray+Vion+Collins+Campus+Recruiter+Liberty+Mutual+Insurance" TargetMode="External"/><Relationship Id="rId1882" Type="http://schemas.openxmlformats.org/officeDocument/2006/relationships/hyperlink" Target="https://www.google.com/search?newwindow=1&amp;ei=2MT0XrvGGM-vytMP1OyDgAY&amp;q=site%3Alinkedin.com+Auri+Morris+Manager+Campus+Recruiting+Liberty+Mutual+Insurance" TargetMode="External"/><Relationship Id="rId1883" Type="http://schemas.openxmlformats.org/officeDocument/2006/relationships/hyperlink" Target="https://www.google.com/search?newwindow=1&amp;ei=2MT0XrvGGM-vytMP1OyDgAY&amp;q=site%3Alinkedin.com+PJ+Macom+Senior+Campus+Recruiter+Liberty+Mutual+Insurance" TargetMode="External"/><Relationship Id="rId1059" Type="http://schemas.openxmlformats.org/officeDocument/2006/relationships/hyperlink" Target="https://www.google.com/search?newwindow=1&amp;ei=2MT0XrvGGM-vytMP1OyDgAY&amp;q=site%3Alinkedin.com+Nichole+Howarth+Campus+Recruiter+Rotating+Talent+Advisor+Supervising+Associate+EY" TargetMode="External"/><Relationship Id="rId228" Type="http://schemas.openxmlformats.org/officeDocument/2006/relationships/hyperlink" Target="https://www.google.com/search?newwindow=1&amp;ei=2MT0XrvGGM-vytMP1OyDgAY&amp;q=site%3Alinkedin.com+Joanna+Morrison+Vice+President+Global+Technology+&amp;+Operations+Campus+Recruiter" TargetMode="External"/><Relationship Id="rId227" Type="http://schemas.openxmlformats.org/officeDocument/2006/relationships/hyperlink" Target="https://www.google.com/search?newwindow=1&amp;ei=2MT0XrvGGM-vytMP1OyDgAY&amp;q=site%3Alinkedin.com+Manasi+Nagaokar+MHRM+Campus+Recruiting+Coordinator" TargetMode="External"/><Relationship Id="rId226" Type="http://schemas.openxmlformats.org/officeDocument/2006/relationships/hyperlink" Target="https://www.google.com/search?newwindow=1&amp;ei=2MT0XrvGGM-vytMP1OyDgAY&amp;q=site%3Alinkedin.com+David+Busshart+College+Recruiter" TargetMode="External"/><Relationship Id="rId225" Type="http://schemas.openxmlformats.org/officeDocument/2006/relationships/hyperlink" Target="https://www.google.com/search?newwindow=1&amp;ei=2MT0XrvGGM-vytMP1OyDgAY&amp;q=site%3Alinkedin.com+Pamela+Benavente+Campus+Recruiting+Coordinator" TargetMode="External"/><Relationship Id="rId2380" Type="http://schemas.openxmlformats.org/officeDocument/2006/relationships/hyperlink" Target="https://www.google.com/search?newwindow=1&amp;ei=2MT0XrvGGM-vytMP1OyDgAY&amp;q=site%3Alinkedin.com+Lindsay+Whitfield+University+Recruiter+SAS" TargetMode="External"/><Relationship Id="rId229" Type="http://schemas.openxmlformats.org/officeDocument/2006/relationships/hyperlink" Target="https://www.google.com/search?newwindow=1&amp;ei=2MT0XrvGGM-vytMP1OyDgAY&amp;q=site%3Alinkedin.com+Heather+VanDerheyden+Campus+Recruiting+-+Assistant+Vice+President" TargetMode="External"/><Relationship Id="rId1050" Type="http://schemas.openxmlformats.org/officeDocument/2006/relationships/hyperlink" Target="https://www.google.com/search?newwindow=1&amp;ei=2MT0XrvGGM-vytMP1OyDgAY&amp;q=site%3Alinkedin.com+Jessica+(Gutman)+Lefkowitz+Campus+Recruiter+Talent+Attraction+&amp;+Acquisition+EY" TargetMode="External"/><Relationship Id="rId2381" Type="http://schemas.openxmlformats.org/officeDocument/2006/relationships/hyperlink" Target="https://www.google.com/search?newwindow=1&amp;ei=2MT0XrvGGM-vytMP1OyDgAY&amp;q=site%3Alinkedin.com+Travis+Knapp+Sr.+Associate+University+Recruiter+SAS" TargetMode="External"/><Relationship Id="rId220" Type="http://schemas.openxmlformats.org/officeDocument/2006/relationships/hyperlink" Target="https://www.google.com/search?newwindow=1&amp;ei=2MT0XrvGGM-vytMP1OyDgAY&amp;q=site%3Alinkedin.com+Dan+Lacey+Senior+Recruiting+Manager+Sydney+Campus+Programs" TargetMode="External"/><Relationship Id="rId1051" Type="http://schemas.openxmlformats.org/officeDocument/2006/relationships/hyperlink" Target="https://www.google.com/search?newwindow=1&amp;ei=2MT0XrvGGM-vytMP1OyDgAY&amp;q=site%3Alinkedin.com+Joseph+Wehle+Campus+Recruiter+EY" TargetMode="External"/><Relationship Id="rId2382" Type="http://schemas.openxmlformats.org/officeDocument/2006/relationships/hyperlink" Target="https://www.google.com/search?newwindow=1&amp;ei=2MT0XrvGGM-vytMP1OyDgAY&amp;q=site%3Alinkedin.com+Thomas+Ilett+Recruitment+and+University+Relations+Manager+Europe" TargetMode="External"/><Relationship Id="rId1052" Type="http://schemas.openxmlformats.org/officeDocument/2006/relationships/hyperlink" Target="https://www.google.com/search?newwindow=1&amp;ei=2MT0XrvGGM-vytMP1OyDgAY&amp;q=site%3Alinkedin.com+Katherine+Infante+Senior+Associate+Campus+Recruiter+EY" TargetMode="External"/><Relationship Id="rId2383" Type="http://schemas.openxmlformats.org/officeDocument/2006/relationships/hyperlink" Target="https://www.google.com/search?newwindow=1&amp;ei=2MT0XrvGGM-vytMP1OyDgAY&amp;q=site%3Alinkedin.com+Denise+Jackson+Project+Manager+University+Relations+&amp;+Recruitment+Communications+(6-month+contract)" TargetMode="External"/><Relationship Id="rId1053" Type="http://schemas.openxmlformats.org/officeDocument/2006/relationships/hyperlink" Target="https://www.google.com/search?newwindow=1&amp;ei=2MT0XrvGGM-vytMP1OyDgAY&amp;q=site%3Alinkedin.com+Katie+F.+Consulting+Campus+Recruiter+EY" TargetMode="External"/><Relationship Id="rId2384" Type="http://schemas.openxmlformats.org/officeDocument/2006/relationships/hyperlink" Target="https://www.google.com/search?newwindow=1&amp;ei=2MT0XrvGGM-vytMP1OyDgAY&amp;q=site%3Alinkedin.com+Ana+Moaz+Campus+Recruiting+Manager+Commercial+&amp;+Canadian+Banking+(Secondment)" TargetMode="External"/><Relationship Id="rId1054" Type="http://schemas.openxmlformats.org/officeDocument/2006/relationships/hyperlink" Target="https://www.google.com/search?newwindow=1&amp;ei=2MT0XrvGGM-vytMP1OyDgAY&amp;q=site%3Alinkedin.com+Mary+Bongart+Campus+Recruiter+EY" TargetMode="External"/><Relationship Id="rId2385" Type="http://schemas.openxmlformats.org/officeDocument/2006/relationships/hyperlink" Target="https://www.google.com/search?newwindow=1&amp;ei=2MT0XrvGGM-vytMP1OyDgAY&amp;q=site%3Alinkedin.com+Arina+Levko+Sr.+Manager+Canadian+University+Recruitment" TargetMode="External"/><Relationship Id="rId224" Type="http://schemas.openxmlformats.org/officeDocument/2006/relationships/hyperlink" Target="https://www.google.com/search?newwindow=1&amp;ei=2MT0XrvGGM-vytMP1OyDgAY&amp;q=site%3Alinkedin.com+Danielle+Smith+Campus+Recruiter" TargetMode="External"/><Relationship Id="rId1055" Type="http://schemas.openxmlformats.org/officeDocument/2006/relationships/hyperlink" Target="https://www.google.com/search?newwindow=1&amp;ei=2MT0XrvGGM-vytMP1OyDgAY&amp;q=site%3Alinkedin.com+Bryan+Ferretti+Campus+Recruiter+EY" TargetMode="External"/><Relationship Id="rId2386" Type="http://schemas.openxmlformats.org/officeDocument/2006/relationships/hyperlink" Target="https://www.google.com/search?newwindow=1&amp;ei=2MT0XrvGGM-vytMP1OyDgAY&amp;q=site%3Alinkedin.com+Jasleen+Subherwal+Campus+Recruiter+Strategic+Functions" TargetMode="External"/><Relationship Id="rId223" Type="http://schemas.openxmlformats.org/officeDocument/2006/relationships/hyperlink" Target="https://www.google.com/search?newwindow=1&amp;ei=2MT0XrvGGM-vytMP1OyDgAY&amp;q=site%3Alinkedin.com+Molly+Leonard+Campus+Recruiting+Coordinator" TargetMode="External"/><Relationship Id="rId1056" Type="http://schemas.openxmlformats.org/officeDocument/2006/relationships/hyperlink" Target="https://www.google.com/search?newwindow=1&amp;ei=2MT0XrvGGM-vytMP1OyDgAY&amp;q=site%3Alinkedin.com+Alex+Swit+Campus+Recruiter+EY" TargetMode="External"/><Relationship Id="rId2387" Type="http://schemas.openxmlformats.org/officeDocument/2006/relationships/hyperlink" Target="https://www.google.com/search?newwindow=1&amp;ei=2MT0XrvGGM-vytMP1OyDgAY&amp;q=site%3Alinkedin.com+Danielle+Soo+Campus+Recruiter+Technology+&amp;+Digital" TargetMode="External"/><Relationship Id="rId222" Type="http://schemas.openxmlformats.org/officeDocument/2006/relationships/hyperlink" Target="https://www.google.com/search?newwindow=1&amp;ei=2MT0XrvGGM-vytMP1OyDgAY&amp;q=site%3Alinkedin.com+Eleni+Skederidis+Recruitment+Manager" TargetMode="External"/><Relationship Id="rId1057" Type="http://schemas.openxmlformats.org/officeDocument/2006/relationships/hyperlink" Target="https://www.google.com/search?newwindow=1&amp;ei=2MT0XrvGGM-vytMP1OyDgAY&amp;q=site%3Alinkedin.com+Christine+Brennan+Campus+Referral+Recruiter+Talent+Attraction+and+Acquisition+(TA%C2%B2)+EY" TargetMode="External"/><Relationship Id="rId2388" Type="http://schemas.openxmlformats.org/officeDocument/2006/relationships/hyperlink" Target="https://www.google.com/search?newwindow=1&amp;ei=2MT0XrvGGM-vytMP1OyDgAY&amp;q=site%3Alinkedin.com+Jahanvi+Pandit+Campus+Recruiter+Global+Banking+&amp;+Markets" TargetMode="External"/><Relationship Id="rId221" Type="http://schemas.openxmlformats.org/officeDocument/2006/relationships/hyperlink" Target="https://www.google.com/search?newwindow=1&amp;ei=2MT0XrvGGM-vytMP1OyDgAY&amp;q=site%3Alinkedin.com+Julie+Pritchard+Graduate+and+Apprentice+Recruiter" TargetMode="External"/><Relationship Id="rId1058" Type="http://schemas.openxmlformats.org/officeDocument/2006/relationships/hyperlink" Target="https://www.google.com/search?newwindow=1&amp;ei=2MT0XrvGGM-vytMP1OyDgAY&amp;q=site%3Alinkedin.com+Abby+Motson+Campus+Recruiter+(Advisory+Cybersecurity)+EY" TargetMode="External"/><Relationship Id="rId2389" Type="http://schemas.openxmlformats.org/officeDocument/2006/relationships/hyperlink" Target="https://www.google.com/search?newwindow=1&amp;ei=2MT0XrvGGM-vytMP1OyDgAY&amp;q=site%3Alinkedin.com+Katie+Dutton+Campus+Recruiter+Wealth+Management" TargetMode="External"/><Relationship Id="rId1048" Type="http://schemas.openxmlformats.org/officeDocument/2006/relationships/hyperlink" Target="https://www.google.com/search?newwindow=1&amp;ei=2MT0XrvGGM-vytMP1OyDgAY&amp;q=site%3Alinkedin.com+Carolyn+Duffett+Talent+Attraction+&amp;+Acquisition+Campus+Recruiter+EY" TargetMode="External"/><Relationship Id="rId2379" Type="http://schemas.openxmlformats.org/officeDocument/2006/relationships/hyperlink" Target="https://www.google.com/search?newwindow=1&amp;ei=2MT0XrvGGM-vytMP1OyDgAY&amp;q=site%3Alinkedin.com+Madison+Cooley+SAP+iXp+University+Recruiter+SAP+Concur" TargetMode="External"/><Relationship Id="rId1049" Type="http://schemas.openxmlformats.org/officeDocument/2006/relationships/hyperlink" Target="https://www.google.com/search?newwindow=1&amp;ei=2MT0XrvGGM-vytMP1OyDgAY&amp;q=site%3Alinkedin.com+Chelsea+Vena+MBA+Campus+Recruiter+-+Senior+Associate+EY" TargetMode="External"/><Relationship Id="rId217" Type="http://schemas.openxmlformats.org/officeDocument/2006/relationships/hyperlink" Target="https://www.google.com/search?newwindow=1&amp;ei=2MT0XrvGGM-vytMP1OyDgAY&amp;q=site%3Alinkedin.com+Zuli+Posada+Senior+Campus+Recruiter" TargetMode="External"/><Relationship Id="rId216" Type="http://schemas.openxmlformats.org/officeDocument/2006/relationships/hyperlink" Target="https://www.google.com/search?newwindow=1&amp;ei=2MT0XrvGGM-vytMP1OyDgAY&amp;q=site%3Alinkedin.com+Keiyana+Arnold+Lead+College+Recruiter+AT&amp;T" TargetMode="External"/><Relationship Id="rId215" Type="http://schemas.openxmlformats.org/officeDocument/2006/relationships/hyperlink" Target="https://www.google.com/search?newwindow=1&amp;ei=2MT0XrvGGM-vytMP1OyDgAY&amp;q=site%3Alinkedin.com+Claudia+Willis+Lead+College+Recruiter+AT&amp;T" TargetMode="External"/><Relationship Id="rId214" Type="http://schemas.openxmlformats.org/officeDocument/2006/relationships/hyperlink" Target="https://www.google.com/search?newwindow=1&amp;ei=2MT0XrvGGM-vytMP1OyDgAY&amp;q=site%3Alinkedin.com+Ashley+Rich+College+Recruiter+AT&amp;T" TargetMode="External"/><Relationship Id="rId219" Type="http://schemas.openxmlformats.org/officeDocument/2006/relationships/hyperlink" Target="https://www.google.com/search?newwindow=1&amp;ei=2MT0XrvGGM-vytMP1OyDgAY&amp;q=site%3Alinkedin.com+Stephanie+Archer+Senior+Campus+Recruiter+Early+Career+Talent" TargetMode="External"/><Relationship Id="rId218" Type="http://schemas.openxmlformats.org/officeDocument/2006/relationships/hyperlink" Target="https://www.google.com/search?newwindow=1&amp;ei=2MT0XrvGGM-vytMP1OyDgAY&amp;q=site%3Alinkedin.com+Rachel+Ding+Principal+Campus+Recruiter" TargetMode="External"/><Relationship Id="rId2370" Type="http://schemas.openxmlformats.org/officeDocument/2006/relationships/hyperlink" Target="https://www.google.com/search?newwindow=1&amp;ei=2MT0XrvGGM-vytMP1OyDgAY&amp;q=site%3Alinkedin.com+Stacy+Schall+Senior+University+Recruiter+Futureforce+Salesforce" TargetMode="External"/><Relationship Id="rId1040" Type="http://schemas.openxmlformats.org/officeDocument/2006/relationships/hyperlink" Target="https://www.google.com/search?newwindow=1&amp;ei=2MT0XrvGGM-vytMP1OyDgAY&amp;q=site%3Alinkedin.com+Ami+Takahashi+Campus+Recruiter+EY" TargetMode="External"/><Relationship Id="rId2371" Type="http://schemas.openxmlformats.org/officeDocument/2006/relationships/hyperlink" Target="https://www.google.com/search?newwindow=1&amp;ei=2MT0XrvGGM-vytMP1OyDgAY&amp;q=site%3Alinkedin.com+Molly+M.+Holt+University+Recruiter+(Talent+Scout)+Futureforce+Salesforce" TargetMode="External"/><Relationship Id="rId1041" Type="http://schemas.openxmlformats.org/officeDocument/2006/relationships/hyperlink" Target="https://www.google.com/search?newwindow=1&amp;ei=2MT0XrvGGM-vytMP1OyDgAY&amp;q=site%3Alinkedin.com+Allison+Maron+Senior+Associate+Campus+Recruiter+EY" TargetMode="External"/><Relationship Id="rId2372" Type="http://schemas.openxmlformats.org/officeDocument/2006/relationships/hyperlink" Target="https://www.google.com/search?newwindow=1&amp;ei=2MT0XrvGGM-vytMP1OyDgAY&amp;q=site%3Alinkedin.com+Shweta+Gaikar+University+Recruitment" TargetMode="External"/><Relationship Id="rId1042" Type="http://schemas.openxmlformats.org/officeDocument/2006/relationships/hyperlink" Target="https://www.google.com/search?newwindow=1&amp;ei=2MT0XrvGGM-vytMP1OyDgAY&amp;q=site%3Alinkedin.com+Ritu+M.+Campus+Recruiter+EY" TargetMode="External"/><Relationship Id="rId2373" Type="http://schemas.openxmlformats.org/officeDocument/2006/relationships/hyperlink" Target="https://www.google.com/search?newwindow=1&amp;ei=2MT0XrvGGM-vytMP1OyDgAY&amp;q=site%3Alinkedin.com+Eric+Mata+University+Recruiter+Sanofi" TargetMode="External"/><Relationship Id="rId1043" Type="http://schemas.openxmlformats.org/officeDocument/2006/relationships/hyperlink" Target="https://www.google.com/search?newwindow=1&amp;ei=2MT0XrvGGM-vytMP1OyDgAY&amp;q=site%3Alinkedin.com+Bryan+Doyle+Campus+Recruiter+EY" TargetMode="External"/><Relationship Id="rId2374" Type="http://schemas.openxmlformats.org/officeDocument/2006/relationships/hyperlink" Target="https://www.google.com/search?newwindow=1&amp;ei=2MT0XrvGGM-vytMP1OyDgAY&amp;q=site%3Alinkedin.com+Jennifer+Bassett-Abel+University+Recruiter+Sanofi" TargetMode="External"/><Relationship Id="rId213" Type="http://schemas.openxmlformats.org/officeDocument/2006/relationships/hyperlink" Target="https://www.google.com/search?newwindow=1&amp;ei=2MT0XrvGGM-vytMP1OyDgAY&amp;q=site%3Alinkedin.com+Rich+Heffernan+Sr.+College+Recruiter+AT+&amp;T" TargetMode="External"/><Relationship Id="rId1044" Type="http://schemas.openxmlformats.org/officeDocument/2006/relationships/hyperlink" Target="https://www.google.com/search?newwindow=1&amp;ei=2MT0XrvGGM-vytMP1OyDgAY&amp;q=site%3Alinkedin.com+Cori+Fitzpatrick-Rosario+Campus+Recruiter+Transaction+Advisory+Services+and+Campus+Relationship+Manager+for+Cornell+EY" TargetMode="External"/><Relationship Id="rId2375" Type="http://schemas.openxmlformats.org/officeDocument/2006/relationships/hyperlink" Target="https://www.google.com/search?newwindow=1&amp;ei=2MT0XrvGGM-vytMP1OyDgAY&amp;q=site%3Alinkedin.com+Jermel+Green+University+Recruiter+SAP" TargetMode="External"/><Relationship Id="rId212" Type="http://schemas.openxmlformats.org/officeDocument/2006/relationships/hyperlink" Target="https://www.google.com/search?newwindow=1&amp;ei=2MT0XrvGGM-vytMP1OyDgAY&amp;q=site%3Alinkedin.com+Mary+Rose+Moynihan+University+Relations+Recruiter+-+R&amp;D+Apple" TargetMode="External"/><Relationship Id="rId1045" Type="http://schemas.openxmlformats.org/officeDocument/2006/relationships/hyperlink" Target="https://www.google.com/search?newwindow=1&amp;ei=2MT0XrvGGM-vytMP1OyDgAY&amp;q=site%3Alinkedin.com+Ashley+Lee+Campus+Recruiter+EY" TargetMode="External"/><Relationship Id="rId2376" Type="http://schemas.openxmlformats.org/officeDocument/2006/relationships/hyperlink" Target="https://www.google.com/search?newwindow=1&amp;ei=2MT0XrvGGM-vytMP1OyDgAY&amp;q=site%3Alinkedin.com+Brianne+Sullivan+University+&amp;+Diversity+Recruiter+SAP" TargetMode="External"/><Relationship Id="rId211" Type="http://schemas.openxmlformats.org/officeDocument/2006/relationships/hyperlink" Target="https://www.google.com/search?newwindow=1&amp;ei=2MT0XrvGGM-vytMP1OyDgAY&amp;q=site%3Alinkedin.com+Stephanie+Parks+University+Relations+Recruiter+Apple" TargetMode="External"/><Relationship Id="rId1046" Type="http://schemas.openxmlformats.org/officeDocument/2006/relationships/hyperlink" Target="https://www.google.com/search?newwindow=1&amp;ei=2MT0XrvGGM-vytMP1OyDgAY&amp;q=site%3Alinkedin.com+Abigail+Morgan+Campus+Recruiter+-+Talent+Attraction+&amp;+Acquisition+-+Senior+Associate+EY" TargetMode="External"/><Relationship Id="rId2377" Type="http://schemas.openxmlformats.org/officeDocument/2006/relationships/hyperlink" Target="https://www.google.com/search?newwindow=1&amp;ei=2MT0XrvGGM-vytMP1OyDgAY&amp;q=site%3Alinkedin.com+Leigh+Desai+University+Recruiter+SAP+Concur" TargetMode="External"/><Relationship Id="rId210" Type="http://schemas.openxmlformats.org/officeDocument/2006/relationships/hyperlink" Target="https://www.google.com/search?newwindow=1&amp;ei=2MT0XrvGGM-vytMP1OyDgAY&amp;q=site%3Alinkedin.com+Chanelle+Yee+University+Relations+Recruiter+Apple" TargetMode="External"/><Relationship Id="rId1047" Type="http://schemas.openxmlformats.org/officeDocument/2006/relationships/hyperlink" Target="https://www.google.com/search?newwindow=1&amp;ei=2MT0XrvGGM-vytMP1OyDgAY&amp;q=site%3Alinkedin.com+Adrianne+Dias+Campus+Recruiter+(National+Tax)+Supervising+Associate+EY" TargetMode="External"/><Relationship Id="rId2378" Type="http://schemas.openxmlformats.org/officeDocument/2006/relationships/hyperlink" Target="https://www.google.com/search?newwindow=1&amp;ei=2MT0XrvGGM-vytMP1OyDgAY&amp;q=site%3Alinkedin.com+Juliana+Oliver+SAP+University+Recruiter+&amp;+iXp+Program+Partner+SAP+Concur" TargetMode="External"/><Relationship Id="rId249" Type="http://schemas.openxmlformats.org/officeDocument/2006/relationships/hyperlink" Target="https://www.google.com/search?newwindow=1&amp;ei=2MT0XrvGGM-vytMP1OyDgAY&amp;q=site%3Alinkedin.com+Dontia+Barrett+Assistant+Vice+President+Diversity+Campus+Recruiter+Bank+of+America" TargetMode="External"/><Relationship Id="rId248" Type="http://schemas.openxmlformats.org/officeDocument/2006/relationships/hyperlink" Target="https://www.google.com/search?newwindow=1&amp;ei=2MT0XrvGGM-vytMP1OyDgAY&amp;q=site%3Alinkedin.com+Deetra+Hill+MBA+Campus+Recruiter+and+Program+Manager+Bank+of+America" TargetMode="External"/><Relationship Id="rId247" Type="http://schemas.openxmlformats.org/officeDocument/2006/relationships/hyperlink" Target="https://www.google.com/search?newwindow=1&amp;ei=2MT0XrvGGM-vytMP1OyDgAY&amp;q=site%3Alinkedin.com+Caroline+La+Roche+Vice+President+Campus+Recruiter+&amp;+Program+Manager+Bank+of+America" TargetMode="External"/><Relationship Id="rId1070" Type="http://schemas.openxmlformats.org/officeDocument/2006/relationships/hyperlink" Target="https://www.google.com/search?newwindow=1&amp;ei=2MT0XrvGGM-vytMP1OyDgAY&amp;q=site%3Alinkedin.com+Julia+Silvestre+West+Campus+Lead+Recruiting+Coordinator+EY" TargetMode="External"/><Relationship Id="rId1071" Type="http://schemas.openxmlformats.org/officeDocument/2006/relationships/hyperlink" Target="https://www.google.com/search?newwindow=1&amp;ei=2MT0XrvGGM-vytMP1OyDgAY&amp;q=site%3Alinkedin.com+Darci+Curtin+Campus+Recruiter+EY" TargetMode="External"/><Relationship Id="rId1072" Type="http://schemas.openxmlformats.org/officeDocument/2006/relationships/hyperlink" Target="https://www.google.com/search?newwindow=1&amp;ei=2MT0XrvGGM-vytMP1OyDgAY&amp;q=site%3Alinkedin.com+Jessi+Dale+Seattle+&amp;+Portland+Campus+Recruiter+-+West+Region+Diversity+and+Inclusion+Internship+(Launch)+Lead+EY" TargetMode="External"/><Relationship Id="rId242" Type="http://schemas.openxmlformats.org/officeDocument/2006/relationships/hyperlink" Target="https://www.google.com/search?newwindow=1&amp;ei=2MT0XrvGGM-vytMP1OyDgAY&amp;q=site%3Alinkedin.com+Dwayne+Brown+Diversity+Campus+Recruiter+Bank+of+America" TargetMode="External"/><Relationship Id="rId1073" Type="http://schemas.openxmlformats.org/officeDocument/2006/relationships/hyperlink" Target="https://www.google.com/search?newwindow=1&amp;ei=2MT0XrvGGM-vytMP1OyDgAY&amp;q=site%3Alinkedin.com+Jennifer+Weeks+Campus+Recruiter+EY" TargetMode="External"/><Relationship Id="rId241" Type="http://schemas.openxmlformats.org/officeDocument/2006/relationships/hyperlink" Target="https://www.google.com/search?newwindow=1&amp;ei=2MT0XrvGGM-vytMP1OyDgAY&amp;q=site%3Alinkedin.com+Rachel+Johnson+Assistant+Vice+President+Program+Manager+&amp;+Campus+Recruiter+Bank+of+America" TargetMode="External"/><Relationship Id="rId1074" Type="http://schemas.openxmlformats.org/officeDocument/2006/relationships/hyperlink" Target="https://www.google.com/search?newwindow=1&amp;ei=2MT0XrvGGM-vytMP1OyDgAY&amp;q=site%3Alinkedin.com+Jessica+Gruber+Supervising+Associate+-+Campus+Recruiter+EY" TargetMode="External"/><Relationship Id="rId240" Type="http://schemas.openxmlformats.org/officeDocument/2006/relationships/hyperlink" Target="https://www.google.com/search?newwindow=1&amp;ei=2MT0XrvGGM-vytMP1OyDgAY&amp;q=site%3Alinkedin.com+Amelie+Speer+Campus+Recruiter+&amp;+Intern+Program+Manager+Bank+of+America" TargetMode="External"/><Relationship Id="rId1075" Type="http://schemas.openxmlformats.org/officeDocument/2006/relationships/hyperlink" Target="https://www.google.com/search?newwindow=1&amp;ei=2MT0XrvGGM-vytMP1OyDgAY&amp;q=site%3Alinkedin.com+Joe+Santulli+Campus+Recruiter+Supervising+Associate+EY" TargetMode="External"/><Relationship Id="rId1076" Type="http://schemas.openxmlformats.org/officeDocument/2006/relationships/hyperlink" Target="https://www.google.com/search?newwindow=1&amp;ei=2MT0XrvGGM-vytMP1OyDgAY&amp;q=site%3Alinkedin.com+Kelly+Kasenetz+Campus+Recruiting+EY" TargetMode="External"/><Relationship Id="rId246" Type="http://schemas.openxmlformats.org/officeDocument/2006/relationships/hyperlink" Target="https://www.google.com/search?newwindow=1&amp;ei=2MT0XrvGGM-vytMP1OyDgAY&amp;q=site%3Alinkedin.com+Courtney+Dickens+Campus+Recruiter+&amp;+Program+Manager+Bank+of+America" TargetMode="External"/><Relationship Id="rId1077" Type="http://schemas.openxmlformats.org/officeDocument/2006/relationships/hyperlink" Target="https://www.google.com/search?newwindow=1&amp;ei=2MT0XrvGGM-vytMP1OyDgAY&amp;q=site%3Alinkedin.com+Sean+Woolford+Supervising+Associate+Financial+Services+Organization+Campus+Recruiting+EY" TargetMode="External"/><Relationship Id="rId245" Type="http://schemas.openxmlformats.org/officeDocument/2006/relationships/hyperlink" Target="https://www.google.com/search?newwindow=1&amp;ei=2MT0XrvGGM-vytMP1OyDgAY&amp;q=site%3Alinkedin.com+David+Busshart+College+Recruiter+Bank+of+America" TargetMode="External"/><Relationship Id="rId1078" Type="http://schemas.openxmlformats.org/officeDocument/2006/relationships/hyperlink" Target="https://www.google.com/search?newwindow=1&amp;ei=2MT0XrvGGM-vytMP1OyDgAY&amp;q=site%3Alinkedin.com+Jacqueline+Jaszczak+Campus+Recruiter+Talent+Attraction+and+Acquisition+EY" TargetMode="External"/><Relationship Id="rId244" Type="http://schemas.openxmlformats.org/officeDocument/2006/relationships/hyperlink" Target="https://www.google.com/search?newwindow=1&amp;ei=2MT0XrvGGM-vytMP1OyDgAY&amp;q=site%3Alinkedin.com+Susan+Elworthy+Program+Manager+&amp;+Campus+Recruiter+Bank+of+America" TargetMode="External"/><Relationship Id="rId1079" Type="http://schemas.openxmlformats.org/officeDocument/2006/relationships/hyperlink" Target="https://www.google.com/search?newwindow=1&amp;ei=2MT0XrvGGM-vytMP1OyDgAY&amp;q=site%3Alinkedin.com+Sarah+Tegen+Supervising+Associate+Campus+Recruiting+EY" TargetMode="External"/><Relationship Id="rId243" Type="http://schemas.openxmlformats.org/officeDocument/2006/relationships/hyperlink" Target="https://www.google.com/search?newwindow=1&amp;ei=2MT0XrvGGM-vytMP1OyDgAY&amp;q=site%3Alinkedin.com+Danielle+Smith+Campus+Recruiter+Bank+of+America" TargetMode="External"/><Relationship Id="rId239" Type="http://schemas.openxmlformats.org/officeDocument/2006/relationships/hyperlink" Target="https://www.google.com/search?newwindow=1&amp;ei=2MT0XrvGGM-vytMP1OyDgAY&amp;q=site%3Alinkedin.com+Jessie+Fredrickson+Campus+Recruiter+&amp;+Program+Manager+Bank+of+America" TargetMode="External"/><Relationship Id="rId238" Type="http://schemas.openxmlformats.org/officeDocument/2006/relationships/hyperlink" Target="https://www.google.com/search?newwindow=1&amp;ei=2MT0XrvGGM-vytMP1OyDgAY&amp;q=site%3Alinkedin.com+Mary+Cameron+Grice+Assistant+Vice+President+Campus+Recruiter+Bank+of+America" TargetMode="External"/><Relationship Id="rId237" Type="http://schemas.openxmlformats.org/officeDocument/2006/relationships/hyperlink" Target="https://www.google.com/search?newwindow=1&amp;ei=2MT0XrvGGM-vytMP1OyDgAY&amp;q=site%3Alinkedin.com+Jamie+Wright+Campus+Recruiter+-+CFO+Group+Bank+of+America" TargetMode="External"/><Relationship Id="rId236" Type="http://schemas.openxmlformats.org/officeDocument/2006/relationships/hyperlink" Target="https://www.google.com/search?newwindow=1&amp;ei=2MT0XrvGGM-vytMP1OyDgAY&amp;q=site%3Alinkedin.com+Vanessa+Sterling+Campus+Recruiter+Bank+of+America" TargetMode="External"/><Relationship Id="rId2390" Type="http://schemas.openxmlformats.org/officeDocument/2006/relationships/hyperlink" Target="https://www.google.com/search?newwindow=1&amp;ei=2MT0XrvGGM-vytMP1OyDgAY&amp;q=site%3Alinkedin.com+Allyson+Patmore+Graduate+Recruiter+&amp;+Internship+Advisor" TargetMode="External"/><Relationship Id="rId1060" Type="http://schemas.openxmlformats.org/officeDocument/2006/relationships/hyperlink" Target="https://www.google.com/search?newwindow=1&amp;ei=2MT0XrvGGM-vytMP1OyDgAY&amp;q=site%3Alinkedin.com+MaryBeth+Allen+Campus+Recruiter+EY" TargetMode="External"/><Relationship Id="rId2391" Type="http://schemas.openxmlformats.org/officeDocument/2006/relationships/hyperlink" Target="https://www.google.com/search?newwindow=1&amp;ei=2MT0XrvGGM-vytMP1OyDgAY&amp;q=site%3Alinkedin.com+Jennifer+Bufalini+Senior+Recruiter+Shell" TargetMode="External"/><Relationship Id="rId1061" Type="http://schemas.openxmlformats.org/officeDocument/2006/relationships/hyperlink" Target="https://www.google.com/search?newwindow=1&amp;ei=2MT0XrvGGM-vytMP1OyDgAY&amp;q=site%3Alinkedin.com+Jordan+Gaunt+Campus+Recruiter+Senior+Associate+EY" TargetMode="External"/><Relationship Id="rId2392" Type="http://schemas.openxmlformats.org/officeDocument/2006/relationships/hyperlink" Target="https://www.google.com/search?newwindow=1&amp;ei=2MT0XrvGGM-vytMP1OyDgAY&amp;q=site%3Alinkedin.com+Leandra+Grant+MBA+Lead+Procurement+Manager+Shell" TargetMode="External"/><Relationship Id="rId231" Type="http://schemas.openxmlformats.org/officeDocument/2006/relationships/hyperlink" Target="https://www.google.com/search?newwindow=1&amp;ei=2MT0XrvGGM-vytMP1OyDgAY&amp;q=site%3Alinkedin.com+Natalie+Choe+Vice+President+-+Diversity+Campus+Recruiting+&amp;+Veterans+Associate+Recruiter/Program+Manager" TargetMode="External"/><Relationship Id="rId1062" Type="http://schemas.openxmlformats.org/officeDocument/2006/relationships/hyperlink" Target="https://www.google.com/search?newwindow=1&amp;ei=2MT0XrvGGM-vytMP1OyDgAY&amp;q=site%3Alinkedin.com+Max+Hyland+Campus+Recruiter+EY" TargetMode="External"/><Relationship Id="rId2393" Type="http://schemas.openxmlformats.org/officeDocument/2006/relationships/hyperlink" Target="https://www.google.com/search?newwindow=1&amp;ei=2MT0XrvGGM-vytMP1OyDgAY&amp;q=site%3Alinkedin.com+Andrea+McDade+University+Recruiter+Shell" TargetMode="External"/><Relationship Id="rId230" Type="http://schemas.openxmlformats.org/officeDocument/2006/relationships/hyperlink" Target="https://www.google.com/search?newwindow=1&amp;ei=2MT0XrvGGM-vytMP1OyDgAY&amp;q=site%3Alinkedin.com+Elizabeth+Schoentube+Senior+Vice+President+Head+of+Campus+Recruiting+&amp;+Program+Management" TargetMode="External"/><Relationship Id="rId1063" Type="http://schemas.openxmlformats.org/officeDocument/2006/relationships/hyperlink" Target="https://www.google.com/search?newwindow=1&amp;ei=2MT0XrvGGM-vytMP1OyDgAY&amp;q=site%3Alinkedin.com+Kendra+Stanfill+Graduate+Campus+Recruiter+EY" TargetMode="External"/><Relationship Id="rId2394" Type="http://schemas.openxmlformats.org/officeDocument/2006/relationships/hyperlink" Target="https://www.google.com/search?newwindow=1&amp;ei=2MT0XrvGGM-vytMP1OyDgAY&amp;q=site%3Alinkedin.com+Candice+Mitchell+MBA+SHRM-CP+University+Recruiter+Shell" TargetMode="External"/><Relationship Id="rId1064" Type="http://schemas.openxmlformats.org/officeDocument/2006/relationships/hyperlink" Target="https://www.google.com/search?newwindow=1&amp;ei=2MT0XrvGGM-vytMP1OyDgAY&amp;q=site%3Alinkedin.com+Jennifer+Garrard+Campus+Recruiter+EY" TargetMode="External"/><Relationship Id="rId2395" Type="http://schemas.openxmlformats.org/officeDocument/2006/relationships/hyperlink" Target="https://www.google.com/search?newwindow=1&amp;ei=2MT0XrvGGM-vytMP1OyDgAY&amp;q=site%3Alinkedin.com+Mary+Slater+Business+Excellence+Manager+Shell+TechWorks+Shell" TargetMode="External"/><Relationship Id="rId1065" Type="http://schemas.openxmlformats.org/officeDocument/2006/relationships/hyperlink" Target="https://www.google.com/search?newwindow=1&amp;ei=2MT0XrvGGM-vytMP1OyDgAY&amp;q=site%3Alinkedin.com+Jordan+W.+Campus+Recruiter+EY" TargetMode="External"/><Relationship Id="rId2396" Type="http://schemas.openxmlformats.org/officeDocument/2006/relationships/hyperlink" Target="https://www.google.com/search?newwindow=1&amp;ei=2MT0XrvGGM-vytMP1OyDgAY&amp;q=site%3Alinkedin.com+Ralph+Faxel+Texas+A&amp;M+CHEN+Campus+Recruiter+Shell" TargetMode="External"/><Relationship Id="rId235" Type="http://schemas.openxmlformats.org/officeDocument/2006/relationships/hyperlink" Target="https://www.google.com/search?newwindow=1&amp;ei=2MT0XrvGGM-vytMP1OyDgAY&amp;q=site%3Alinkedin.com+Alexander+Watkins+MBA+Campus+Recruiter+&amp;+Program+Manager+(Global+Technology+&amp;+Operations)+Bank+of+America" TargetMode="External"/><Relationship Id="rId1066" Type="http://schemas.openxmlformats.org/officeDocument/2006/relationships/hyperlink" Target="https://www.google.com/search?newwindow=1&amp;ei=2MT0XrvGGM-vytMP1OyDgAY&amp;q=site%3Alinkedin.com+Ali+Meersman+CPA+Campus+Recruiter+%7C+Talent+Attraction+&amp;+Acquisition+EY" TargetMode="External"/><Relationship Id="rId2397" Type="http://schemas.openxmlformats.org/officeDocument/2006/relationships/hyperlink" Target="https://www.google.com/search?newwindow=1&amp;ei=2MT0XrvGGM-vytMP1OyDgAY&amp;q=site%3Alinkedin.com+Paul+Shevsky+Campus+Recruiter" TargetMode="External"/><Relationship Id="rId234" Type="http://schemas.openxmlformats.org/officeDocument/2006/relationships/hyperlink" Target="https://www.google.com/search?newwindow=1&amp;ei=2MT0XrvGGM-vytMP1OyDgAY&amp;q=site%3Alinkedin.com+Abigail+Roberson+AVP+University+Relations+Campus+Recruiter+Bank+of+America" TargetMode="External"/><Relationship Id="rId1067" Type="http://schemas.openxmlformats.org/officeDocument/2006/relationships/hyperlink" Target="https://www.google.com/search?newwindow=1&amp;ei=2MT0XrvGGM-vytMP1OyDgAY&amp;q=site%3Alinkedin.com+Jennifer+Voss+Campus+Recruiting+Manager+EY" TargetMode="External"/><Relationship Id="rId2398" Type="http://schemas.openxmlformats.org/officeDocument/2006/relationships/hyperlink" Target="https://www.google.com/search?newwindow=1&amp;ei=2MT0XrvGGM-vytMP1OyDgAY&amp;q=site%3Alinkedin.com+Briana+Raasio+MBA+PMP+College+Recruiter+Siemens" TargetMode="External"/><Relationship Id="rId233" Type="http://schemas.openxmlformats.org/officeDocument/2006/relationships/hyperlink" Target="https://www.google.com/search?newwindow=1&amp;ei=2MT0XrvGGM-vytMP1OyDgAY&amp;q=site%3Alinkedin.com+Rachel+Johnson+Assistant+Vice+President+University+Relations+Recruiter+Bank+of+America" TargetMode="External"/><Relationship Id="rId1068" Type="http://schemas.openxmlformats.org/officeDocument/2006/relationships/hyperlink" Target="https://www.google.com/search?newwindow=1&amp;ei=2MT0XrvGGM-vytMP1OyDgAY&amp;q=site%3Alinkedin.com+Lauren+Vujovich+Campus+Recruiter+EY" TargetMode="External"/><Relationship Id="rId2399" Type="http://schemas.openxmlformats.org/officeDocument/2006/relationships/hyperlink" Target="https://www.google.com/search?newwindow=1&amp;ei=2MT0XrvGGM-vytMP1OyDgAY&amp;q=site%3Alinkedin.com+Jillian+Rozek+University+Recruiting+Manager+Siemens" TargetMode="External"/><Relationship Id="rId232" Type="http://schemas.openxmlformats.org/officeDocument/2006/relationships/hyperlink" Target="https://www.google.com/search?newwindow=1&amp;ei=2MT0XrvGGM-vytMP1OyDgAY&amp;q=site%3Alinkedin.com+Brian+Poznanski+Officer-+Campus+Recruiter+Bank+of+America" TargetMode="External"/><Relationship Id="rId1069" Type="http://schemas.openxmlformats.org/officeDocument/2006/relationships/hyperlink" Target="https://www.google.com/search?newwindow=1&amp;ei=2MT0XrvGGM-vytMP1OyDgAY&amp;q=site%3Alinkedin.com+Beverly+Tran+Campus+Recruiter+Senior+Associate+EY" TargetMode="External"/><Relationship Id="rId1015" Type="http://schemas.openxmlformats.org/officeDocument/2006/relationships/hyperlink" Target="https://www.google.com/search?newwindow=1&amp;ei=2MT0XrvGGM-vytMP1OyDgAY&amp;q=site%3Alinkedin.com+Kristen+(Miller)+Goldman+Campus+Recruiter+Assistant+Director+EY" TargetMode="External"/><Relationship Id="rId2346" Type="http://schemas.openxmlformats.org/officeDocument/2006/relationships/hyperlink" Target="https://www.google.com/search?newwindow=1&amp;ei=2MT0XrvGGM-vytMP1OyDgAY&amp;q=site%3Alinkedin.com+Erika+DiGuilio+Senior+Campus+Recruiter+RSM+US+LLP" TargetMode="External"/><Relationship Id="rId1016" Type="http://schemas.openxmlformats.org/officeDocument/2006/relationships/hyperlink" Target="https://www.google.com/search?newwindow=1&amp;ei=2MT0XrvGGM-vytMP1OyDgAY&amp;q=site%3Alinkedin.com+Paige+Leininger+Campus+Recruiter+EY" TargetMode="External"/><Relationship Id="rId2347" Type="http://schemas.openxmlformats.org/officeDocument/2006/relationships/hyperlink" Target="https://www.google.com/search?newwindow=1&amp;ei=2MT0XrvGGM-vytMP1OyDgAY&amp;q=site%3Alinkedin.com+Shalyce+Adamson+Senior+Campus+Recruiter+RSM+US+LLP" TargetMode="External"/><Relationship Id="rId1017" Type="http://schemas.openxmlformats.org/officeDocument/2006/relationships/hyperlink" Target="https://www.google.com/search?newwindow=1&amp;ei=2MT0XrvGGM-vytMP1OyDgAY&amp;q=site%3Alinkedin.com+Morgan+Liss+FSO+Assurance+Campus+Recruiter+EY" TargetMode="External"/><Relationship Id="rId2348" Type="http://schemas.openxmlformats.org/officeDocument/2006/relationships/hyperlink" Target="https://www.google.com/search?newwindow=1&amp;ei=2MT0XrvGGM-vytMP1OyDgAY&amp;q=site%3Alinkedin.com+Selam+Solomon+Senior+Campus+Recruiter+RSM+US+LLP" TargetMode="External"/><Relationship Id="rId1018" Type="http://schemas.openxmlformats.org/officeDocument/2006/relationships/hyperlink" Target="https://www.google.com/search?newwindow=1&amp;ei=2MT0XrvGGM-vytMP1OyDgAY&amp;q=site%3Alinkedin.com+Valerie+King+Campus+Recruiter+EY" TargetMode="External"/><Relationship Id="rId2349" Type="http://schemas.openxmlformats.org/officeDocument/2006/relationships/hyperlink" Target="https://www.google.com/search?newwindow=1&amp;ei=2MT0XrvGGM-vytMP1OyDgAY&amp;q=site%3Alinkedin.com+Aviva+Werde+Senior+Campus+Recruiter+-+Talent+Acquisition+Tax+++Audit+RSM+US+LLP" TargetMode="External"/><Relationship Id="rId1019" Type="http://schemas.openxmlformats.org/officeDocument/2006/relationships/hyperlink" Target="https://www.google.com/search?newwindow=1&amp;ei=2MT0XrvGGM-vytMP1OyDgAY&amp;q=site%3Alinkedin.com+Lindsay+Sadler+West+Region+Campus+Recruiter+EY" TargetMode="External"/><Relationship Id="rId2340" Type="http://schemas.openxmlformats.org/officeDocument/2006/relationships/hyperlink" Target="https://www.google.com/search?newwindow=1&amp;ei=2MT0XrvGGM-vytMP1OyDgAY&amp;q=site%3Alinkedin.com+Cori+Moore+CPA+Senior+Campus+Recruiter+RSM+US+LLP" TargetMode="External"/><Relationship Id="rId1010" Type="http://schemas.openxmlformats.org/officeDocument/2006/relationships/hyperlink" Target="https://www.google.com/search?newwindow=1&amp;ei=2MT0XrvGGM-vytMP1OyDgAY&amp;q=site%3Alinkedin.com+Brighid+Jensen+US+Campus+Recruiting+Associate+Director+-+Transformation+Project+Leader+EY" TargetMode="External"/><Relationship Id="rId2341" Type="http://schemas.openxmlformats.org/officeDocument/2006/relationships/hyperlink" Target="https://www.google.com/search?newwindow=1&amp;ei=2MT0XrvGGM-vytMP1OyDgAY&amp;q=site%3Alinkedin.com+Ina+Abraham+Senior+Campus+Recruiter+RSM+US+LLP" TargetMode="External"/><Relationship Id="rId1011" Type="http://schemas.openxmlformats.org/officeDocument/2006/relationships/hyperlink" Target="https://www.google.com/search?newwindow=1&amp;ei=2MT0XrvGGM-vytMP1OyDgAY&amp;q=site%3Alinkedin.com+Scott+Dai+Senior+Manager+Business+Strategy+&amp;+Consulting+EY" TargetMode="External"/><Relationship Id="rId2342" Type="http://schemas.openxmlformats.org/officeDocument/2006/relationships/hyperlink" Target="https://www.google.com/search?newwindow=1&amp;ei=2MT0XrvGGM-vytMP1OyDgAY&amp;q=site%3Alinkedin.com+Maeve+OConnor+Senior+Campus+Recruiter+RSM+US+LLP" TargetMode="External"/><Relationship Id="rId1012" Type="http://schemas.openxmlformats.org/officeDocument/2006/relationships/hyperlink" Target="https://www.google.com/search?newwindow=1&amp;ei=2MT0XrvGGM-vytMP1OyDgAY&amp;q=site%3Alinkedin.com+Rachel+Kessler+Campus+Recruiter+EY" TargetMode="External"/><Relationship Id="rId2343" Type="http://schemas.openxmlformats.org/officeDocument/2006/relationships/hyperlink" Target="https://www.google.com/search?newwindow=1&amp;ei=2MT0XrvGGM-vytMP1OyDgAY&amp;q=site%3Alinkedin.com+Raymond+Reyes+Sr.+Campus+Recruiter+RSM+US+LLP" TargetMode="External"/><Relationship Id="rId1013" Type="http://schemas.openxmlformats.org/officeDocument/2006/relationships/hyperlink" Target="https://www.google.com/search?newwindow=1&amp;ei=2MT0XrvGGM-vytMP1OyDgAY&amp;q=site%3Alinkedin.com+Lauren+Lilly+Campus+Recruiter+EY" TargetMode="External"/><Relationship Id="rId2344" Type="http://schemas.openxmlformats.org/officeDocument/2006/relationships/hyperlink" Target="https://www.google.com/search?newwindow=1&amp;ei=2MT0XrvGGM-vytMP1OyDgAY&amp;q=site%3Alinkedin.com+Allison+Cenci+Campus+Recruiter+RSM+US+LLP" TargetMode="External"/><Relationship Id="rId1014" Type="http://schemas.openxmlformats.org/officeDocument/2006/relationships/hyperlink" Target="https://www.google.com/search?newwindow=1&amp;ei=2MT0XrvGGM-vytMP1OyDgAY&amp;q=site%3Alinkedin.com+Jennifer+Bidlingmaier+Campus+Recruiter+EY" TargetMode="External"/><Relationship Id="rId2345" Type="http://schemas.openxmlformats.org/officeDocument/2006/relationships/hyperlink" Target="https://www.google.com/search?newwindow=1&amp;ei=2MT0XrvGGM-vytMP1OyDgAY&amp;q=site%3Alinkedin.com+Makenzie+Kate+Kocurek+Campus+Recruiter+RSM+US+LLP" TargetMode="External"/><Relationship Id="rId1004" Type="http://schemas.openxmlformats.org/officeDocument/2006/relationships/hyperlink" Target="https://www.google.com/search?newwindow=1&amp;ei=2MT0XrvGGM-vytMP1OyDgAY&amp;q=site%3Alinkedin.com+Addison+(Goodwin)+Wilkie+Consulting+Campus+Recruiter+EY" TargetMode="External"/><Relationship Id="rId2335" Type="http://schemas.openxmlformats.org/officeDocument/2006/relationships/hyperlink" Target="https://www.google.com/search?newwindow=1&amp;ei=2MT0XrvGGM-vytMP1OyDgAY&amp;q=site%3Alinkedin.com+Amber+Campbell+Talent+Acquisition+Senior+Campus+Recruiter+RSM+US+LLP" TargetMode="External"/><Relationship Id="rId1005" Type="http://schemas.openxmlformats.org/officeDocument/2006/relationships/hyperlink" Target="https://www.google.com/search?newwindow=1&amp;ei=2MT0XrvGGM-vytMP1OyDgAY&amp;q=site%3Alinkedin.com+Katie+Caraboa+Campus+Recruiter+EY" TargetMode="External"/><Relationship Id="rId2336" Type="http://schemas.openxmlformats.org/officeDocument/2006/relationships/hyperlink" Target="https://www.google.com/search?newwindow=1&amp;ei=2MT0XrvGGM-vytMP1OyDgAY&amp;q=site%3Alinkedin.com+Aimee+Williams+Sr.+Campus+Recruiter+RSM+US+LLP" TargetMode="External"/><Relationship Id="rId1006" Type="http://schemas.openxmlformats.org/officeDocument/2006/relationships/hyperlink" Target="https://www.google.com/search?newwindow=1&amp;ei=2MT0XrvGGM-vytMP1OyDgAY&amp;q=site%3Alinkedin.com+Maddie+Castro+Campus+Recruiter+EY" TargetMode="External"/><Relationship Id="rId2337" Type="http://schemas.openxmlformats.org/officeDocument/2006/relationships/hyperlink" Target="https://www.google.com/search?newwindow=1&amp;ei=2MT0XrvGGM-vytMP1OyDgAY&amp;q=site%3Alinkedin.com+Leah+Gordon+Sr.+Campus+Recruiter+RSM+US+LLP" TargetMode="External"/><Relationship Id="rId1007" Type="http://schemas.openxmlformats.org/officeDocument/2006/relationships/hyperlink" Target="https://www.google.com/search?newwindow=1&amp;ei=2MT0XrvGGM-vytMP1OyDgAY&amp;q=site%3Alinkedin.com+Carol+Nielsen+Campus+Recruiter+(Rotational+Talent+Advisor)+Supervising+Associate+EY" TargetMode="External"/><Relationship Id="rId2338" Type="http://schemas.openxmlformats.org/officeDocument/2006/relationships/hyperlink" Target="https://www.google.com/search?newwindow=1&amp;ei=2MT0XrvGGM-vytMP1OyDgAY&amp;q=site%3Alinkedin.com+Tara+Skrla+Consulting+Campus+Recruiter+Senior+Associate+RSM+US+LLP" TargetMode="External"/><Relationship Id="rId1008" Type="http://schemas.openxmlformats.org/officeDocument/2006/relationships/hyperlink" Target="https://www.google.com/search?newwindow=1&amp;ei=2MT0XrvGGM-vytMP1OyDgAY&amp;q=site%3Alinkedin.com+Hannah+Bergoon+Campus+Recruiter+EY" TargetMode="External"/><Relationship Id="rId2339" Type="http://schemas.openxmlformats.org/officeDocument/2006/relationships/hyperlink" Target="https://www.google.com/search?newwindow=1&amp;ei=2MT0XrvGGM-vytMP1OyDgAY&amp;q=site%3Alinkedin.com+Tricia+Raper+Senior+Campus+Recruiter+RSM+US+LLP" TargetMode="External"/><Relationship Id="rId1009" Type="http://schemas.openxmlformats.org/officeDocument/2006/relationships/hyperlink" Target="https://www.google.com/search?newwindow=1&amp;ei=2MT0XrvGGM-vytMP1OyDgAY&amp;q=site%3Alinkedin.com+Kati+Lavarias+Campus+Recruiter+EY" TargetMode="External"/><Relationship Id="rId2330" Type="http://schemas.openxmlformats.org/officeDocument/2006/relationships/hyperlink" Target="https://www.google.com/search?newwindow=1&amp;ei=2MT0XrvGGM-vytMP1OyDgAY&amp;q=site%3Alinkedin.com+John+Hopkinson+Graduate+Recruiter" TargetMode="External"/><Relationship Id="rId1000" Type="http://schemas.openxmlformats.org/officeDocument/2006/relationships/hyperlink" Target="https://www.google.com/search?newwindow=1&amp;ei=2MT0XrvGGM-vytMP1OyDgAY&amp;q=site%3Alinkedin.com+Emily+Deering+Campus+Recruiter+Supervising+Associate+EY" TargetMode="External"/><Relationship Id="rId2331" Type="http://schemas.openxmlformats.org/officeDocument/2006/relationships/hyperlink" Target="https://www.google.com/search?newwindow=1&amp;ei=2MT0XrvGGM-vytMP1OyDgAY&amp;q=site%3Alinkedin.com+Daniel+Booth+(pronouns+-+he+him)+National+Campus+Recruiting+Lead" TargetMode="External"/><Relationship Id="rId1001" Type="http://schemas.openxmlformats.org/officeDocument/2006/relationships/hyperlink" Target="https://www.google.com/search?newwindow=1&amp;ei=2MT0XrvGGM-vytMP1OyDgAY&amp;q=site%3Alinkedin.com+Amy+Keighley+Campus+Recruiter+EY" TargetMode="External"/><Relationship Id="rId2332" Type="http://schemas.openxmlformats.org/officeDocument/2006/relationships/hyperlink" Target="https://www.google.com/search?newwindow=1&amp;ei=2MT0XrvGGM-vytMP1OyDgAY&amp;q=site%3Alinkedin.com+Amanda+Foey+Senior+Campus+Recruiter" TargetMode="External"/><Relationship Id="rId1002" Type="http://schemas.openxmlformats.org/officeDocument/2006/relationships/hyperlink" Target="https://www.google.com/search?newwindow=1&amp;ei=2MT0XrvGGM-vytMP1OyDgAY&amp;q=site%3Alinkedin.com+Megan+Miniello+Driscoll+Financial+Services+Campus+Recruiter+EY" TargetMode="External"/><Relationship Id="rId2333" Type="http://schemas.openxmlformats.org/officeDocument/2006/relationships/hyperlink" Target="https://www.google.com/search?newwindow=1&amp;ei=2MT0XrvGGM-vytMP1OyDgAY&amp;q=site%3Alinkedin.com+Shanna+Naeole+Senior+Campus+Recruiter+RSM+US+LLP" TargetMode="External"/><Relationship Id="rId1003" Type="http://schemas.openxmlformats.org/officeDocument/2006/relationships/hyperlink" Target="https://www.google.com/search?newwindow=1&amp;ei=2MT0XrvGGM-vytMP1OyDgAY&amp;q=site%3Alinkedin.com+Ashley+Redmond+Campus+Referral+Recruiter+EY" TargetMode="External"/><Relationship Id="rId2334" Type="http://schemas.openxmlformats.org/officeDocument/2006/relationships/hyperlink" Target="https://www.google.com/search?newwindow=1&amp;ei=2MT0XrvGGM-vytMP1OyDgAY&amp;q=site%3Alinkedin.com+Hayley+Johnson+Sr.+Campus+Recruiter+Audit+&amp;+Tax+RSM+US+LLP" TargetMode="External"/><Relationship Id="rId1037" Type="http://schemas.openxmlformats.org/officeDocument/2006/relationships/hyperlink" Target="https://www.google.com/search?newwindow=1&amp;ei=2MT0XrvGGM-vytMP1OyDgAY&amp;q=site%3Alinkedin.com+Renee+Morrison+CPA+Campus+Recruiter+EY" TargetMode="External"/><Relationship Id="rId2368" Type="http://schemas.openxmlformats.org/officeDocument/2006/relationships/hyperlink" Target="https://www.google.com/search?newwindow=1&amp;ei=2MT0XrvGGM-vytMP1OyDgAY&amp;q=site%3Alinkedin.com+Kaitlyn+Partridge+Senior+Technical+Recruiter+Futureforce+University+Recruiting+Salesforce" TargetMode="External"/><Relationship Id="rId1038" Type="http://schemas.openxmlformats.org/officeDocument/2006/relationships/hyperlink" Target="https://www.google.com/search?newwindow=1&amp;ei=2MT0XrvGGM-vytMP1OyDgAY&amp;q=site%3Alinkedin.com+Drew+Ford+Campus+Recruiter+EY" TargetMode="External"/><Relationship Id="rId2369" Type="http://schemas.openxmlformats.org/officeDocument/2006/relationships/hyperlink" Target="https://www.google.com/search?newwindow=1&amp;ei=2MT0XrvGGM-vytMP1OyDgAY&amp;q=site%3Alinkedin.com+Emily+Shockley+Senior+University+Recruiter+Salesforce" TargetMode="External"/><Relationship Id="rId1039" Type="http://schemas.openxmlformats.org/officeDocument/2006/relationships/hyperlink" Target="https://www.google.com/search?newwindow=1&amp;ei=2MT0XrvGGM-vytMP1OyDgAY&amp;q=site%3Alinkedin.com+Emily+Dorsey+Perno+Assistant+Director+Campus+Recruiting+-+Tax+EY" TargetMode="External"/><Relationship Id="rId206" Type="http://schemas.openxmlformats.org/officeDocument/2006/relationships/hyperlink" Target="https://www.google.com/search?newwindow=1&amp;ei=2MT0XrvGGM-vytMP1OyDgAY&amp;q=site%3Alinkedin.com+Woanhwa+(Winnie)+Feng+University+Relations+Recruiter+Apple" TargetMode="External"/><Relationship Id="rId205" Type="http://schemas.openxmlformats.org/officeDocument/2006/relationships/hyperlink" Target="https://www.google.com/search?newwindow=1&amp;ei=2MT0XrvGGM-vytMP1OyDgAY&amp;q=site%3Alinkedin.com+Joanna+Mackow+University+Relations+-+R&amp;D+Recruiter+Apple" TargetMode="External"/><Relationship Id="rId204" Type="http://schemas.openxmlformats.org/officeDocument/2006/relationships/hyperlink" Target="https://www.google.com/search?newwindow=1&amp;ei=2MT0XrvGGM-vytMP1OyDgAY&amp;q=site%3Alinkedin.com+Nadya+Shapiro+University+Relations+Recruiter+Apple" TargetMode="External"/><Relationship Id="rId203" Type="http://schemas.openxmlformats.org/officeDocument/2006/relationships/hyperlink" Target="https://www.google.com/search?newwindow=1&amp;ei=2MT0XrvGGM-vytMP1OyDgAY&amp;q=site%3Alinkedin.com+Brooke+Mannelly+University+Relations+Recruiter+Apple" TargetMode="External"/><Relationship Id="rId209" Type="http://schemas.openxmlformats.org/officeDocument/2006/relationships/hyperlink" Target="https://www.google.com/search?newwindow=1&amp;ei=2MT0XrvGGM-vytMP1OyDgAY&amp;q=site%3Alinkedin.com+Cory+Johnson+University+Relations-+Software+Recruiter-+iTunes+Core+OS+iOS/OS+X+Software+Engineering+Programs+Apple" TargetMode="External"/><Relationship Id="rId208" Type="http://schemas.openxmlformats.org/officeDocument/2006/relationships/hyperlink" Target="https://www.google.com/search?newwindow=1&amp;ei=2MT0XrvGGM-vytMP1OyDgAY&amp;q=site%3Alinkedin.com+Gretchen+Farr+Senior+Technical+Recruiter+-++University+Relations+-+Operations+&amp;+Software+Engineering+Apple" TargetMode="External"/><Relationship Id="rId207" Type="http://schemas.openxmlformats.org/officeDocument/2006/relationships/hyperlink" Target="https://www.google.com/search?newwindow=1&amp;ei=2MT0XrvGGM-vytMP1OyDgAY&amp;q=site%3Alinkedin.com+Michelle+Glass+Sr.+Recruiter+&amp;+Global+Program+Manager+University+Relations+Apple" TargetMode="External"/><Relationship Id="rId2360" Type="http://schemas.openxmlformats.org/officeDocument/2006/relationships/hyperlink" Target="https://www.google.com/search?newwindow=1&amp;ei=2MT0XrvGGM-vytMP1OyDgAY&amp;q=site%3Alinkedin.com+Emma+Evans+Senior+FutureForce+University+Recruiter+EMEA" TargetMode="External"/><Relationship Id="rId1030" Type="http://schemas.openxmlformats.org/officeDocument/2006/relationships/hyperlink" Target="https://www.google.com/search?newwindow=1&amp;ei=2MT0XrvGGM-vytMP1OyDgAY&amp;q=site%3Alinkedin.com+Emily+Zoller+Assistant+Director+Financial+Services+Campus+Recruiter+EY" TargetMode="External"/><Relationship Id="rId2361" Type="http://schemas.openxmlformats.org/officeDocument/2006/relationships/hyperlink" Target="https://www.google.com/search?newwindow=1&amp;ei=2MT0XrvGGM-vytMP1OyDgAY&amp;q=site%3Alinkedin.com+Caroline+Waack+EMEA+University+Recruiter" TargetMode="External"/><Relationship Id="rId1031" Type="http://schemas.openxmlformats.org/officeDocument/2006/relationships/hyperlink" Target="https://www.google.com/search?newwindow=1&amp;ei=2MT0XrvGGM-vytMP1OyDgAY&amp;q=site%3Alinkedin.com+Javan+Cross+Campus+Recruiter+-+Assurance+EY" TargetMode="External"/><Relationship Id="rId2362" Type="http://schemas.openxmlformats.org/officeDocument/2006/relationships/hyperlink" Target="https://www.google.com/search?newwindow=1&amp;ei=2MT0XrvGGM-vytMP1OyDgAY&amp;q=site%3Alinkedin.com+Asmaa+Zahid+ANZ+Campus+Recruiting" TargetMode="External"/><Relationship Id="rId1032" Type="http://schemas.openxmlformats.org/officeDocument/2006/relationships/hyperlink" Target="https://www.google.com/search?newwindow=1&amp;ei=2MT0XrvGGM-vytMP1OyDgAY&amp;q=site%3Alinkedin.com+Kreddow+Savetsaranee+Campus+Recruiter+EY" TargetMode="External"/><Relationship Id="rId2363" Type="http://schemas.openxmlformats.org/officeDocument/2006/relationships/hyperlink" Target="https://www.google.com/search?newwindow=1&amp;ei=2MT0XrvGGM-vytMP1OyDgAY&amp;q=site%3Alinkedin.com+Sean+Callahan-Dinish+Senior+University+Recruiter+Salesforce" TargetMode="External"/><Relationship Id="rId202" Type="http://schemas.openxmlformats.org/officeDocument/2006/relationships/hyperlink" Target="https://www.google.com/search?newwindow=1&amp;ei=2MT0XrvGGM-vytMP1OyDgAY&amp;q=site%3Alinkedin.com+Kayleigh+Bottini+University+Relations+R&amp;D+Recruiter+Apple" TargetMode="External"/><Relationship Id="rId1033" Type="http://schemas.openxmlformats.org/officeDocument/2006/relationships/hyperlink" Target="https://www.google.com/search?newwindow=1&amp;ei=2MT0XrvGGM-vytMP1OyDgAY&amp;q=site%3Alinkedin.com+Ashley+P.+Campus+Recruiter+Talent+Attraction+&amp;+Acquisition+EY" TargetMode="External"/><Relationship Id="rId2364" Type="http://schemas.openxmlformats.org/officeDocument/2006/relationships/hyperlink" Target="https://www.google.com/search?newwindow=1&amp;ei=2MT0XrvGGM-vytMP1OyDgAY&amp;q=site%3Alinkedin.com+Sarah+Reid+Senior+University+Tech+Recruiter+Futureforce+Salesforce" TargetMode="External"/><Relationship Id="rId201" Type="http://schemas.openxmlformats.org/officeDocument/2006/relationships/hyperlink" Target="https://www.google.com/search?newwindow=1&amp;ei=2MT0XrvGGM-vytMP1OyDgAY&amp;q=site%3Alinkedin.com+Ina+Williams+-+ACIR+Tech+Recruiter+/+Sourcer+Apple" TargetMode="External"/><Relationship Id="rId1034" Type="http://schemas.openxmlformats.org/officeDocument/2006/relationships/hyperlink" Target="https://www.google.com/search?newwindow=1&amp;ei=2MT0XrvGGM-vytMP1OyDgAY&amp;q=site%3Alinkedin.com+Ricardo+Contreras+Campus+Recruiter+EY" TargetMode="External"/><Relationship Id="rId2365" Type="http://schemas.openxmlformats.org/officeDocument/2006/relationships/hyperlink" Target="https://www.google.com/search?newwindow=1&amp;ei=2MT0XrvGGM-vytMP1OyDgAY&amp;q=site%3Alinkedin.com+Ben+Amerault+Senior+Campus+Recruiting+Talent+Scout+Recruiter+Salesforce" TargetMode="External"/><Relationship Id="rId200" Type="http://schemas.openxmlformats.org/officeDocument/2006/relationships/hyperlink" Target="https://www.google.com/search?newwindow=1&amp;ei=2MT0XrvGGM-vytMP1OyDgAY&amp;q=site%3Alinkedin.com+Darren+Nakata+Recruiter+University+Relations+Apple" TargetMode="External"/><Relationship Id="rId1035" Type="http://schemas.openxmlformats.org/officeDocument/2006/relationships/hyperlink" Target="https://www.google.com/search?newwindow=1&amp;ei=2MT0XrvGGM-vytMP1OyDgAY&amp;q=site%3Alinkedin.com+Jazsmin+Watson+-+Booth+Campus+Recruiter+Senior+Associate+EY" TargetMode="External"/><Relationship Id="rId2366" Type="http://schemas.openxmlformats.org/officeDocument/2006/relationships/hyperlink" Target="https://www.google.com/search?newwindow=1&amp;ei=2MT0XrvGGM-vytMP1OyDgAY&amp;q=site%3Alinkedin.com+Bobby+Nerbonne+University+Recruiter+(Futureforce)+Salesforce" TargetMode="External"/><Relationship Id="rId1036" Type="http://schemas.openxmlformats.org/officeDocument/2006/relationships/hyperlink" Target="https://www.google.com/search?newwindow=1&amp;ei=2MT0XrvGGM-vytMP1OyDgAY&amp;q=site%3Alinkedin.com+Thomas+S.+Campus+Recruiter+EY" TargetMode="External"/><Relationship Id="rId2367" Type="http://schemas.openxmlformats.org/officeDocument/2006/relationships/hyperlink" Target="https://www.google.com/search?newwindow=1&amp;ei=2MT0XrvGGM-vytMP1OyDgAY&amp;q=site%3Alinkedin.com+Katherine+Schwartz+Farah+Senior+Recruiter+Salesforce" TargetMode="External"/><Relationship Id="rId1026" Type="http://schemas.openxmlformats.org/officeDocument/2006/relationships/hyperlink" Target="https://www.google.com/search?newwindow=1&amp;ei=2MT0XrvGGM-vytMP1OyDgAY&amp;q=site%3Alinkedin.com+Crystal+Hill+Campus+Recruiter+EY" TargetMode="External"/><Relationship Id="rId2357" Type="http://schemas.openxmlformats.org/officeDocument/2006/relationships/hyperlink" Target="https://www.google.com/search?newwindow=1&amp;ei=2MT0XrvGGM-vytMP1OyDgAY&amp;q=site%3Alinkedin.com+Alexandra+Shillinglaw+Senior+Campus+Recruiter+RSM+US+LLP" TargetMode="External"/><Relationship Id="rId1027" Type="http://schemas.openxmlformats.org/officeDocument/2006/relationships/hyperlink" Target="https://www.google.com/search?newwindow=1&amp;ei=2MT0XrvGGM-vytMP1OyDgAY&amp;q=site%3Alinkedin.com+Britt+Stacy+Campus+Recruiter+EY" TargetMode="External"/><Relationship Id="rId2358" Type="http://schemas.openxmlformats.org/officeDocument/2006/relationships/hyperlink" Target="https://www.google.com/search?newwindow=1&amp;ei=2MT0XrvGGM-vytMP1OyDgAY&amp;q=site%3Alinkedin.com+Ben+Amerault+Senior+Campus+Recruiting+Talent+Scout+Recruiter" TargetMode="External"/><Relationship Id="rId1028" Type="http://schemas.openxmlformats.org/officeDocument/2006/relationships/hyperlink" Target="https://www.google.com/search?newwindow=1&amp;ei=2MT0XrvGGM-vytMP1OyDgAY&amp;q=site%3Alinkedin.com+Francesca+Jones+Campus+Recruiting+Leader+-+Financial+Services+Organization+EY" TargetMode="External"/><Relationship Id="rId2359" Type="http://schemas.openxmlformats.org/officeDocument/2006/relationships/hyperlink" Target="https://www.google.com/search?newwindow=1&amp;ei=2MT0XrvGGM-vytMP1OyDgAY&amp;q=site%3Alinkedin.com+Pippa+W.+Senior+Recruiter+Futureforce+University+Recruiting" TargetMode="External"/><Relationship Id="rId1029" Type="http://schemas.openxmlformats.org/officeDocument/2006/relationships/hyperlink" Target="https://www.google.com/search?newwindow=1&amp;ei=2MT0XrvGGM-vytMP1OyDgAY&amp;q=site%3Alinkedin.com+Jenell+Griffin+Supervisory+Associate+Campus+Recruiter+EY" TargetMode="External"/><Relationship Id="rId2350" Type="http://schemas.openxmlformats.org/officeDocument/2006/relationships/hyperlink" Target="https://www.google.com/search?newwindow=1&amp;ei=2MT0XrvGGM-vytMP1OyDgAY&amp;q=site%3Alinkedin.com+Jenny+Wild+Senior+Campus+Recruiter+RSM+US+LLP" TargetMode="External"/><Relationship Id="rId1020" Type="http://schemas.openxmlformats.org/officeDocument/2006/relationships/hyperlink" Target="https://www.google.com/search?newwindow=1&amp;ei=2MT0XrvGGM-vytMP1OyDgAY&amp;q=site%3Alinkedin.com+Stephanie+Eckland+Campus+Recruiter+EY" TargetMode="External"/><Relationship Id="rId2351" Type="http://schemas.openxmlformats.org/officeDocument/2006/relationships/hyperlink" Target="https://www.google.com/search?newwindow=1&amp;ei=2MT0XrvGGM-vytMP1OyDgAY&amp;q=site%3Alinkedin.com+Kelly+Briody+Talent+Acquisition-+Senior+Campus+Recruiter+RSM+US+LLP" TargetMode="External"/><Relationship Id="rId1021" Type="http://schemas.openxmlformats.org/officeDocument/2006/relationships/hyperlink" Target="https://www.google.com/search?newwindow=1&amp;ei=2MT0XrvGGM-vytMP1OyDgAY&amp;q=site%3Alinkedin.com+Daniela+McLoad+Campus+Recruiter+Supervising+Associate+EY" TargetMode="External"/><Relationship Id="rId2352" Type="http://schemas.openxmlformats.org/officeDocument/2006/relationships/hyperlink" Target="https://www.google.com/search?newwindow=1&amp;ei=2MT0XrvGGM-vytMP1OyDgAY&amp;q=site%3Alinkedin.com+Deana+Welsch+MSEd.+Talent+Acquisition+Manager+-+Campus+Recruiting+RSM+US+LLP" TargetMode="External"/><Relationship Id="rId1022" Type="http://schemas.openxmlformats.org/officeDocument/2006/relationships/hyperlink" Target="https://www.google.com/search?newwindow=1&amp;ei=2MT0XrvGGM-vytMP1OyDgAY&amp;q=site%3Alinkedin.com+Caroline+Hudnall+Campus+Recruiter+EY" TargetMode="External"/><Relationship Id="rId2353" Type="http://schemas.openxmlformats.org/officeDocument/2006/relationships/hyperlink" Target="https://www.google.com/search?newwindow=1&amp;ei=2MT0XrvGGM-vytMP1OyDgAY&amp;q=site%3Alinkedin.com+Kasey+Noble+Campus+Recruiter+Senior+Associate+RSM+US+LLP" TargetMode="External"/><Relationship Id="rId1023" Type="http://schemas.openxmlformats.org/officeDocument/2006/relationships/hyperlink" Target="https://www.google.com/search?newwindow=1&amp;ei=2MT0XrvGGM-vytMP1OyDgAY&amp;q=site%3Alinkedin.com+Maricarolyn+Stith+Campus+Recruiter+EY" TargetMode="External"/><Relationship Id="rId2354" Type="http://schemas.openxmlformats.org/officeDocument/2006/relationships/hyperlink" Target="https://www.google.com/search?newwindow=1&amp;ei=2MT0XrvGGM-vytMP1OyDgAY&amp;q=site%3Alinkedin.com+Meera+Desai+Senior+Campus+Recruiter+RSM+US+LLP" TargetMode="External"/><Relationship Id="rId1024" Type="http://schemas.openxmlformats.org/officeDocument/2006/relationships/hyperlink" Target="https://www.google.com/search?newwindow=1&amp;ei=2MT0XrvGGM-vytMP1OyDgAY&amp;q=site%3Alinkedin.com+Monica+Zeno+Campus+Recruiter+-+Senior+Associate+-+FSO+EY" TargetMode="External"/><Relationship Id="rId2355" Type="http://schemas.openxmlformats.org/officeDocument/2006/relationships/hyperlink" Target="https://www.google.com/search?newwindow=1&amp;ei=2MT0XrvGGM-vytMP1OyDgAY&amp;q=site%3Alinkedin.com+Vivian+Chen+Senior+Campus+Recruiter+Audit+&amp;+Tax+RSM+US+LLP" TargetMode="External"/><Relationship Id="rId1025" Type="http://schemas.openxmlformats.org/officeDocument/2006/relationships/hyperlink" Target="https://www.google.com/search?newwindow=1&amp;ei=2MT0XrvGGM-vytMP1OyDgAY&amp;q=site%3Alinkedin.com+Hannah+Daluga+Campus+Recruiter+EY" TargetMode="External"/><Relationship Id="rId2356" Type="http://schemas.openxmlformats.org/officeDocument/2006/relationships/hyperlink" Target="https://www.google.com/search?newwindow=1&amp;ei=2MT0XrvGGM-vytMP1OyDgAY&amp;q=site%3Alinkedin.com+Nicolo+Enriquez+Campus+Recruiter+RSM+US+LLP" TargetMode="External"/><Relationship Id="rId1910" Type="http://schemas.openxmlformats.org/officeDocument/2006/relationships/hyperlink" Target="https://www.google.com/search?newwindow=1&amp;ei=2MT0XrvGGM-vytMP1OyDgAY&amp;q=site%3Alinkedin.com+Son+Nguyen+Senior+Lead+Campus+Recruiter+LinkedIn" TargetMode="External"/><Relationship Id="rId1911" Type="http://schemas.openxmlformats.org/officeDocument/2006/relationships/hyperlink" Target="https://www.google.com/search?newwindow=1&amp;ei=2MT0XrvGGM-vytMP1OyDgAY&amp;q=site%3Alinkedin.com+Andie+Summers+Campus+Recruiter+LinkedIn" TargetMode="External"/><Relationship Id="rId1912" Type="http://schemas.openxmlformats.org/officeDocument/2006/relationships/hyperlink" Target="https://www.google.com/search?newwindow=1&amp;ei=2MT0XrvGGM-vytMP1OyDgAY&amp;q=site%3Alinkedin.com+Christian+De+Luna+Campus+Business+Recruiter+LinkedIn" TargetMode="External"/><Relationship Id="rId1913" Type="http://schemas.openxmlformats.org/officeDocument/2006/relationships/hyperlink" Target="https://www.google.com/search?newwindow=1&amp;ei=2MT0XrvGGM-vytMP1OyDgAY&amp;q=site%3Alinkedin.com+Emily+Ho+Project+Manager+II+Campus+Recruiting+Operations+LinkedIn" TargetMode="External"/><Relationship Id="rId1914" Type="http://schemas.openxmlformats.org/officeDocument/2006/relationships/hyperlink" Target="https://www.google.com/search?newwindow=1&amp;ei=2MT0XrvGGM-vytMP1OyDgAY&amp;q=site%3Alinkedin.com+Anthea+Ip+Lead+Campus+Recruiting+Data+Pod+Senior+Technical+Recruiter+LinkedIn" TargetMode="External"/><Relationship Id="rId1915" Type="http://schemas.openxmlformats.org/officeDocument/2006/relationships/hyperlink" Target="https://www.google.com/search?newwindow=1&amp;ei=2MT0XrvGGM-vytMP1OyDgAY&amp;q=site%3Alinkedin.com+Jerry+Kirby+Campus+Recruiting+Representative" TargetMode="External"/><Relationship Id="rId1916" Type="http://schemas.openxmlformats.org/officeDocument/2006/relationships/hyperlink" Target="https://www.google.com/search?newwindow=1&amp;ei=2MT0XrvGGM-vytMP1OyDgAY&amp;q=site%3Alinkedin.com+Margaret+Walker+Campus+Recruiting+Rep" TargetMode="External"/><Relationship Id="rId1917" Type="http://schemas.openxmlformats.org/officeDocument/2006/relationships/hyperlink" Target="https://www.google.com/search?newwindow=1&amp;ei=2MT0XrvGGM-vytMP1OyDgAY&amp;q=site%3Alinkedin.com+Margaret+Walker+Campus+Recruiting+Representative" TargetMode="External"/><Relationship Id="rId1918" Type="http://schemas.openxmlformats.org/officeDocument/2006/relationships/hyperlink" Target="https://www.google.com/search?newwindow=1&amp;ei=2MT0XrvGGM-vytMP1OyDgAY&amp;q=site%3Alinkedin.com+Brian+Kroll+%F0%9F%94%B9+Campus+Recruiter+with+University+Relations+&amp;+Recruiting" TargetMode="External"/><Relationship Id="rId1919" Type="http://schemas.openxmlformats.org/officeDocument/2006/relationships/hyperlink" Target="https://www.google.com/search?newwindow=1&amp;ei=2MT0XrvGGM-vytMP1OyDgAY&amp;q=site%3Alinkedin.com+Robert+Leonetti+MBA+MFC+BA+Portfolio+Team+Lead+-+Talent+Acquisition+-+University+Relations+&amp;+Recruitment+Partner" TargetMode="External"/><Relationship Id="rId1900" Type="http://schemas.openxmlformats.org/officeDocument/2006/relationships/hyperlink" Target="https://www.google.com/search?newwindow=1&amp;ei=2MT0XrvGGM-vytMP1OyDgAY&amp;q=site%3Alinkedin.com+Anthea+Ip+Lead+Campus+Recruiting+Data+Pod+Senior+Technical+Recruiter" TargetMode="External"/><Relationship Id="rId1901" Type="http://schemas.openxmlformats.org/officeDocument/2006/relationships/hyperlink" Target="https://www.google.com/search?newwindow=1&amp;ei=2MT0XrvGGM-vytMP1OyDgAY&amp;q=site%3Alinkedin.com+Nathalie+Zamora+(She/Her)+Senior+Events+Program+Manager+Global+Programs+&amp;+Events+Campus+Recruiting+Talent+Acquisition" TargetMode="External"/><Relationship Id="rId1902" Type="http://schemas.openxmlformats.org/officeDocument/2006/relationships/hyperlink" Target="https://www.google.com/search?newwindow=1&amp;ei=2MT0XrvGGM-vytMP1OyDgAY&amp;q=site%3Alinkedin.com+Cam+Pezet+Senior+Campus+Recruiter+LinkedIn" TargetMode="External"/><Relationship Id="rId1903" Type="http://schemas.openxmlformats.org/officeDocument/2006/relationships/hyperlink" Target="https://www.google.com/search?newwindow=1&amp;ei=2MT0XrvGGM-vytMP1OyDgAY&amp;q=site%3Alinkedin.com+Bri+Casner+Senior+Manager+Global+Campus+Recruiting+LinkedIn" TargetMode="External"/><Relationship Id="rId1904" Type="http://schemas.openxmlformats.org/officeDocument/2006/relationships/hyperlink" Target="https://www.google.com/search?newwindow=1&amp;ei=2MT0XrvGGM-vytMP1OyDgAY&amp;q=site%3Alinkedin.com+Annie+McDonough+Campus+Recruiter+LinkedIn" TargetMode="External"/><Relationship Id="rId1905" Type="http://schemas.openxmlformats.org/officeDocument/2006/relationships/hyperlink" Target="https://www.google.com/search?newwindow=1&amp;ei=2MT0XrvGGM-vytMP1OyDgAY&amp;q=site%3Alinkedin.com+Trixie+Cordova+(she/her)+Campus+Recruiting+Global+Program+Manager+LinkedIn" TargetMode="External"/><Relationship Id="rId1906" Type="http://schemas.openxmlformats.org/officeDocument/2006/relationships/hyperlink" Target="https://www.google.com/search?newwindow=1&amp;ei=2MT0XrvGGM-vytMP1OyDgAY&amp;q=site%3Alinkedin.com+David+Taylor+(he/him)+Recruiting+Manager+Campus+Tech+LinkedIn" TargetMode="External"/><Relationship Id="rId1907" Type="http://schemas.openxmlformats.org/officeDocument/2006/relationships/hyperlink" Target="https://www.google.com/search?newwindow=1&amp;ei=2MT0XrvGGM-vytMP1OyDgAY&amp;q=site%3Alinkedin.com+Travarus+Fauntleroy+Global+Program+Manager+Campus+Recruiting+LinkedIn" TargetMode="External"/><Relationship Id="rId1908" Type="http://schemas.openxmlformats.org/officeDocument/2006/relationships/hyperlink" Target="https://www.google.com/search?newwindow=1&amp;ei=2MT0XrvGGM-vytMP1OyDgAY&amp;q=site%3Alinkedin.com+Son+Nguyen+Talent+Acquisition+Engagement+Manager+Recruiting+for+Good+LinkedIn" TargetMode="External"/><Relationship Id="rId1909" Type="http://schemas.openxmlformats.org/officeDocument/2006/relationships/hyperlink" Target="https://www.google.com/search?newwindow=1&amp;ei=2MT0XrvGGM-vytMP1OyDgAY&amp;q=site%3Alinkedin.com+Ivy+Hopkins+Campus+Recruiter+LinkedIn" TargetMode="External"/><Relationship Id="rId1090" Type="http://schemas.openxmlformats.org/officeDocument/2006/relationships/hyperlink" Target="https://www.google.com/search?newwindow=1&amp;ei=2MT0XrvGGM-vytMP1OyDgAY&amp;q=site%3Alinkedin.com+Barbara+Nee+Center+of+Excellence+-+Campus+Recruiting+Field+Strategy+Leader" TargetMode="External"/><Relationship Id="rId1091" Type="http://schemas.openxmlformats.org/officeDocument/2006/relationships/hyperlink" Target="https://www.google.com/search?newwindow=1&amp;ei=2MT0XrvGGM-vytMP1OyDgAY&amp;q=site%3Alinkedin.com+Kylie+Mendonca+Campus+Recruiting+Coordinator" TargetMode="External"/><Relationship Id="rId1092" Type="http://schemas.openxmlformats.org/officeDocument/2006/relationships/hyperlink" Target="https://www.google.com/search?newwindow=1&amp;ei=2MT0XrvGGM-vytMP1OyDgAY&amp;q=site%3Alinkedin.com+Brianne+Campbell+Financial+Services+Campus+Recruiting+Associate+Director" TargetMode="External"/><Relationship Id="rId1093" Type="http://schemas.openxmlformats.org/officeDocument/2006/relationships/hyperlink" Target="https://www.google.com/search?newwindow=1&amp;ei=2MT0XrvGGM-vytMP1OyDgAY&amp;q=site%3Alinkedin.com+Amanda+Pearson+Campus+Recruiter" TargetMode="External"/><Relationship Id="rId1094" Type="http://schemas.openxmlformats.org/officeDocument/2006/relationships/hyperlink" Target="https://www.google.com/search?newwindow=1&amp;ei=2MT0XrvGGM-vytMP1OyDgAY&amp;q=site%3Alinkedin.com+Pavit+S.+Arora+Campus+Recruiting+Specialist" TargetMode="External"/><Relationship Id="rId1095" Type="http://schemas.openxmlformats.org/officeDocument/2006/relationships/hyperlink" Target="https://www.google.com/search?newwindow=1&amp;ei=2MT0XrvGGM-vytMP1OyDgAY&amp;q=site%3Alinkedin.com+Claire+Hall+Senior+Associate+Campus+Recruiting" TargetMode="External"/><Relationship Id="rId1096" Type="http://schemas.openxmlformats.org/officeDocument/2006/relationships/hyperlink" Target="https://www.google.com/search?newwindow=1&amp;ei=2MT0XrvGGM-vytMP1OyDgAY&amp;q=site%3Alinkedin.com+Cameron+Thomasson+Campus+Recruiting+Coordinator" TargetMode="External"/><Relationship Id="rId1097" Type="http://schemas.openxmlformats.org/officeDocument/2006/relationships/hyperlink" Target="https://www.google.com/search?newwindow=1&amp;ei=2MT0XrvGGM-vytMP1OyDgAY&amp;q=site%3Alinkedin.com+Fawn+Price+National+Tax+Campus+Recruiting+Leader+Assistant+Director" TargetMode="External"/><Relationship Id="rId1098" Type="http://schemas.openxmlformats.org/officeDocument/2006/relationships/hyperlink" Target="https://www.google.com/search?newwindow=1&amp;ei=2MT0XrvGGM-vytMP1OyDgAY&amp;q=site%3Alinkedin.com+Crissy+Hartman+Campus+Recruiting+Coordinator" TargetMode="External"/><Relationship Id="rId1099" Type="http://schemas.openxmlformats.org/officeDocument/2006/relationships/hyperlink" Target="https://www.google.com/search?newwindow=1&amp;ei=2MT0XrvGGM-vytMP1OyDgAY&amp;q=site%3Alinkedin.com+Erin+Green+Campus+Recruiting+Manager" TargetMode="External"/><Relationship Id="rId1080" Type="http://schemas.openxmlformats.org/officeDocument/2006/relationships/hyperlink" Target="https://www.google.com/search?newwindow=1&amp;ei=2MT0XrvGGM-vytMP1OyDgAY&amp;q=site%3Alinkedin.com+Guiomar+Rouillard+Campus+Recruiter-Western+Canada" TargetMode="External"/><Relationship Id="rId1081" Type="http://schemas.openxmlformats.org/officeDocument/2006/relationships/hyperlink" Target="https://www.google.com/search?newwindow=1&amp;ei=2MT0XrvGGM-vytMP1OyDgAY&amp;q=site%3Alinkedin.com+Natasha+Stough+Campus+Recruiting+Leader" TargetMode="External"/><Relationship Id="rId1082" Type="http://schemas.openxmlformats.org/officeDocument/2006/relationships/hyperlink" Target="https://www.google.com/search?newwindow=1&amp;ei=2MT0XrvGGM-vytMP1OyDgAY&amp;q=site%3Alinkedin.com+Amanda+Carr+Campus+Recruiting+Assistant" TargetMode="External"/><Relationship Id="rId1083" Type="http://schemas.openxmlformats.org/officeDocument/2006/relationships/hyperlink" Target="https://www.google.com/search?newwindow=1&amp;ei=2MT0XrvGGM-vytMP1OyDgAY&amp;q=site%3Alinkedin.com+Shahista+Bhimani+Campus+Recruiting+Coordinator-+US+East" TargetMode="External"/><Relationship Id="rId1084" Type="http://schemas.openxmlformats.org/officeDocument/2006/relationships/hyperlink" Target="https://www.google.com/search?newwindow=1&amp;ei=2MT0XrvGGM-vytMP1OyDgAY&amp;q=site%3Alinkedin.com+Elise+Scott+Assistant+Director+Campus+Recruiting" TargetMode="External"/><Relationship Id="rId1085" Type="http://schemas.openxmlformats.org/officeDocument/2006/relationships/hyperlink" Target="https://www.google.com/search?newwindow=1&amp;ei=2MT0XrvGGM-vytMP1OyDgAY&amp;q=site%3Alinkedin.com+Lauren+Nelson+Assistant+Director+Campus+Recruiting" TargetMode="External"/><Relationship Id="rId1086" Type="http://schemas.openxmlformats.org/officeDocument/2006/relationships/hyperlink" Target="https://www.google.com/search?newwindow=1&amp;ei=2MT0XrvGGM-vytMP1OyDgAY&amp;q=site%3Alinkedin.com+Laura+Gallagher+EY+US-Central+Region+Campus+Recruiting+Leader" TargetMode="External"/><Relationship Id="rId1087" Type="http://schemas.openxmlformats.org/officeDocument/2006/relationships/hyperlink" Target="https://www.google.com/search?newwindow=1&amp;ei=2MT0XrvGGM-vytMP1OyDgAY&amp;q=site%3Alinkedin.com+Megan+Carter+CPA+Senior+Associate+EY+Talent+Acquisition+and+Attraction+Campus+Recruiting" TargetMode="External"/><Relationship Id="rId1088" Type="http://schemas.openxmlformats.org/officeDocument/2006/relationships/hyperlink" Target="https://www.google.com/search?newwindow=1&amp;ei=2MT0XrvGGM-vytMP1OyDgAY&amp;q=site%3Alinkedin.com+Ryan+ONeil+Campus+Recruiting+Coordinator" TargetMode="External"/><Relationship Id="rId1089" Type="http://schemas.openxmlformats.org/officeDocument/2006/relationships/hyperlink" Target="https://www.google.com/search?newwindow=1&amp;ei=2MT0XrvGGM-vytMP1OyDgAY&amp;q=site%3Alinkedin.com+Jessica+Hart+Campus+Recruiting+Coordinator+Co-Op" TargetMode="External"/><Relationship Id="rId1972" Type="http://schemas.openxmlformats.org/officeDocument/2006/relationships/hyperlink" Target="https://www.google.com/search?newwindow=1&amp;ei=2MT0XrvGGM-vytMP1OyDgAY&amp;q=site%3Alinkedin.com+Verlandy+Michel+MBA+Recruiter" TargetMode="External"/><Relationship Id="rId1973" Type="http://schemas.openxmlformats.org/officeDocument/2006/relationships/hyperlink" Target="https://www.google.com/search?newwindow=1&amp;ei=2MT0XrvGGM-vytMP1OyDgAY&amp;q=site%3Alinkedin.com+Ioana+Tanase+Recruitment+Account+Manager+for+EMEA+University+Engineering" TargetMode="External"/><Relationship Id="rId1974" Type="http://schemas.openxmlformats.org/officeDocument/2006/relationships/hyperlink" Target="https://www.google.com/search?newwindow=1&amp;ei=2MT0XrvGGM-vytMP1OyDgAY&amp;q=site%3Alinkedin.com+Maggie+Bott+Technical+Recruiter+Student+Veterans+++Security+Clearance+Opportunities+for+University+Students" TargetMode="External"/><Relationship Id="rId1975" Type="http://schemas.openxmlformats.org/officeDocument/2006/relationships/hyperlink" Target="https://www.google.com/search?newwindow=1&amp;ei=2MT0XrvGGM-vytMP1OyDgAY&amp;q=site%3Alinkedin.com+Eddie+Garcilazo+Technical+Recruiter+l+University+Recruitment" TargetMode="External"/><Relationship Id="rId1976" Type="http://schemas.openxmlformats.org/officeDocument/2006/relationships/hyperlink" Target="https://www.google.com/search?newwindow=1&amp;ei=2MT0XrvGGM-vytMP1OyDgAY&amp;q=site%3Alinkedin.com+Erin+Creighton+Technical+University+Recruiter" TargetMode="External"/><Relationship Id="rId1977" Type="http://schemas.openxmlformats.org/officeDocument/2006/relationships/hyperlink" Target="https://www.google.com/search?newwindow=1&amp;ei=2MT0XrvGGM-vytMP1OyDgAY&amp;q=site%3Alinkedin.com+Amy+Siebenthaler+Technical+PhD+Recruiter+University+Recruitment" TargetMode="External"/><Relationship Id="rId1978" Type="http://schemas.openxmlformats.org/officeDocument/2006/relationships/hyperlink" Target="https://www.google.com/search?newwindow=1&amp;ei=2MT0XrvGGM-vytMP1OyDgAY&amp;q=site%3Alinkedin.com+Leyla+N.+University+Recruiter+(Closer)+Microsoft" TargetMode="External"/><Relationship Id="rId1979" Type="http://schemas.openxmlformats.org/officeDocument/2006/relationships/hyperlink" Target="https://www.google.com/search?newwindow=1&amp;ei=2MT0XrvGGM-vytMP1OyDgAY&amp;q=site%3Alinkedin.com+Julie+Moskalenko+University+Recruiter+Microsoft" TargetMode="External"/><Relationship Id="rId1970" Type="http://schemas.openxmlformats.org/officeDocument/2006/relationships/hyperlink" Target="https://www.google.com/search?newwindow=1&amp;ei=2MT0XrvGGM-vytMP1OyDgAY&amp;q=site%3Alinkedin.com+Tanzim+Akhtar+Graduate+Recruiter" TargetMode="External"/><Relationship Id="rId1971" Type="http://schemas.openxmlformats.org/officeDocument/2006/relationships/hyperlink" Target="https://www.google.com/search?newwindow=1&amp;ei=2MT0XrvGGM-vytMP1OyDgAY&amp;q=site%3Alinkedin.com+Daria+Kimerina+European+MBA+University+Recruiter" TargetMode="External"/><Relationship Id="rId1961" Type="http://schemas.openxmlformats.org/officeDocument/2006/relationships/hyperlink" Target="https://www.google.com/search?newwindow=1&amp;ei=2MT0XrvGGM-vytMP1OyDgAY&amp;q=site%3Alinkedin.com+Kyle+Scobee+Campus+Sourcing+Recruiter+McKinsey+&amp;+Company" TargetMode="External"/><Relationship Id="rId1962" Type="http://schemas.openxmlformats.org/officeDocument/2006/relationships/hyperlink" Target="https://www.google.com/search?newwindow=1&amp;ei=2MT0XrvGGM-vytMP1OyDgAY&amp;q=site%3Alinkedin.com+Lauren+B.+Campus+Recruiter+Engineering+Covering+Colorado+&amp;+East+Coast+Region+Medtronic" TargetMode="External"/><Relationship Id="rId1963" Type="http://schemas.openxmlformats.org/officeDocument/2006/relationships/hyperlink" Target="https://www.google.com/search?newwindow=1&amp;ei=2MT0XrvGGM-vytMP1OyDgAY&amp;q=site%3Alinkedin.com+Doris+Ng+Senior+Campus+Recruiter+Engineering+Medtronic" TargetMode="External"/><Relationship Id="rId1964" Type="http://schemas.openxmlformats.org/officeDocument/2006/relationships/hyperlink" Target="https://www.google.com/search?newwindow=1&amp;ei=2MT0XrvGGM-vytMP1OyDgAY&amp;q=site%3Alinkedin.com+Melissa+Kloubec+Engineering+Campus+Recruiting+Manager+Medtronic" TargetMode="External"/><Relationship Id="rId1965" Type="http://schemas.openxmlformats.org/officeDocument/2006/relationships/hyperlink" Target="https://www.google.com/search?newwindow=1&amp;ei=2MT0XrvGGM-vytMP1OyDgAY&amp;q=site%3Alinkedin.com+Alicia+Gutierrez+MA-HRIR+Campus+Recruiter+-+Engineering+Midwest+Region+Medtronic" TargetMode="External"/><Relationship Id="rId1966" Type="http://schemas.openxmlformats.org/officeDocument/2006/relationships/hyperlink" Target="https://www.google.com/search?newwindow=1&amp;ei=2MT0XrvGGM-vytMP1OyDgAY&amp;q=site%3Alinkedin.com+Sami+Graves+Campus+Recruiter+Supply+Chain+&amp;+Undergraduate+Campus+Recruitment+Medtronic" TargetMode="External"/><Relationship Id="rId1967" Type="http://schemas.openxmlformats.org/officeDocument/2006/relationships/hyperlink" Target="https://www.google.com/search?newwindow=1&amp;ei=2MT0XrvGGM-vytMP1OyDgAY&amp;q=site%3Alinkedin.com+Madisson+DeLisle+%F0%9F%90%98+Campus+Recruiting+Manager+memoryBlue" TargetMode="External"/><Relationship Id="rId1968" Type="http://schemas.openxmlformats.org/officeDocument/2006/relationships/hyperlink" Target="https://www.google.com/search?newwindow=1&amp;ei=2MT0XrvGGM-vytMP1OyDgAY&amp;q=site%3Alinkedin.com+Becca+Bullard+Campus+Recruiting+Manager+memoryBlue" TargetMode="External"/><Relationship Id="rId1969" Type="http://schemas.openxmlformats.org/officeDocument/2006/relationships/hyperlink" Target="https://www.google.com/search?newwindow=1&amp;ei=2MT0XrvGGM-vytMP1OyDgAY&amp;q=site%3Alinkedin.com+Libby+Galatis+Campus+Recruiting+Manager+memoryBlue" TargetMode="External"/><Relationship Id="rId1960" Type="http://schemas.openxmlformats.org/officeDocument/2006/relationships/hyperlink" Target="https://www.google.com/search?newwindow=1&amp;ei=2MT0XrvGGM-vytMP1OyDgAY&amp;q=site%3Alinkedin.com+Colleen+DiGiambattista+Executive+Recruiter+Campus+and+Experienced+Hire+Recruiting+McKinsey+&amp;+Company" TargetMode="External"/><Relationship Id="rId1994" Type="http://schemas.openxmlformats.org/officeDocument/2006/relationships/hyperlink" Target="https://www.google.com/search?newwindow=1&amp;ei=2MT0XrvGGM-vytMP1OyDgAY&amp;q=site%3Alinkedin.com+Shelly+Forsberg+University+Recruiter+Microsoft" TargetMode="External"/><Relationship Id="rId1995" Type="http://schemas.openxmlformats.org/officeDocument/2006/relationships/hyperlink" Target="https://www.google.com/search?newwindow=1&amp;ei=2MT0XrvGGM-vytMP1OyDgAY&amp;q=site%3Alinkedin.com+Maggie+Bott+Technical+Recruiter+Student+Veterans+++Security+Clearance+Opportunities+for+University+Students+Microsoft" TargetMode="External"/><Relationship Id="rId1996" Type="http://schemas.openxmlformats.org/officeDocument/2006/relationships/hyperlink" Target="https://www.google.com/search?newwindow=1&amp;ei=2MT0XrvGGM-vytMP1OyDgAY&amp;q=site%3Alinkedin.com+Caitlin+Gonzales+University+Recruiter+Microsoft" TargetMode="External"/><Relationship Id="rId1997" Type="http://schemas.openxmlformats.org/officeDocument/2006/relationships/hyperlink" Target="https://www.google.com/search?newwindow=1&amp;ei=2MT0XrvGGM-vytMP1OyDgAY&amp;q=site%3Alinkedin.com+Kamara+Swaby+University+Recruiter+Microsoft" TargetMode="External"/><Relationship Id="rId1998" Type="http://schemas.openxmlformats.org/officeDocument/2006/relationships/hyperlink" Target="https://www.google.com/search?newwindow=1&amp;ei=2MT0XrvGGM-vytMP1OyDgAY&amp;q=site%3Alinkedin.com+Sarah+Gordon+Talent+Sourcer+Pivotal+Recruiting+Microsoft" TargetMode="External"/><Relationship Id="rId1999" Type="http://schemas.openxmlformats.org/officeDocument/2006/relationships/hyperlink" Target="https://www.google.com/search?newwindow=1&amp;ei=2MT0XrvGGM-vytMP1OyDgAY&amp;q=site%3Alinkedin.com+Catrina+Chen+University+Recruiter+Microsoft" TargetMode="External"/><Relationship Id="rId1990" Type="http://schemas.openxmlformats.org/officeDocument/2006/relationships/hyperlink" Target="https://www.google.com/search?newwindow=1&amp;ei=2MT0XrvGGM-vytMP1OyDgAY&amp;q=site%3Alinkedin.com+Meredith+Bogguess+University+Recruiter+Microsoft" TargetMode="External"/><Relationship Id="rId1991" Type="http://schemas.openxmlformats.org/officeDocument/2006/relationships/hyperlink" Target="https://www.google.com/search?newwindow=1&amp;ei=2MT0XrvGGM-vytMP1OyDgAY&amp;q=site%3Alinkedin.com+Faviola+Zu%C3%B1iga+CDR+Hispanic+Serving+Institutions+Hub+%7C+Technical+University+Recruiter+Microsoft" TargetMode="External"/><Relationship Id="rId1992" Type="http://schemas.openxmlformats.org/officeDocument/2006/relationships/hyperlink" Target="https://www.google.com/search?newwindow=1&amp;ei=2MT0XrvGGM-vytMP1OyDgAY&amp;q=site%3Alinkedin.com+Gretchen+Tristan+University+Recruiter+Microsoft" TargetMode="External"/><Relationship Id="rId1993" Type="http://schemas.openxmlformats.org/officeDocument/2006/relationships/hyperlink" Target="https://www.google.com/search?newwindow=1&amp;ei=2MT0XrvGGM-vytMP1OyDgAY&amp;q=site%3Alinkedin.com+rose+jay+Campus+Recruiter+Microsoft" TargetMode="External"/><Relationship Id="rId1983" Type="http://schemas.openxmlformats.org/officeDocument/2006/relationships/hyperlink" Target="https://www.google.com/search?newwindow=1&amp;ei=2MT0XrvGGM-vytMP1OyDgAY&amp;q=site%3Alinkedin.com+Erin+Odell+University+Recruiter+Microsoft" TargetMode="External"/><Relationship Id="rId1984" Type="http://schemas.openxmlformats.org/officeDocument/2006/relationships/hyperlink" Target="https://www.google.com/search?newwindow=1&amp;ei=2MT0XrvGGM-vytMP1OyDgAY&amp;q=site%3Alinkedin.com+Jessica+Nguyen+University+Recruiter+Microsoft" TargetMode="External"/><Relationship Id="rId1985" Type="http://schemas.openxmlformats.org/officeDocument/2006/relationships/hyperlink" Target="https://www.google.com/search?newwindow=1&amp;ei=2MT0XrvGGM-vytMP1OyDgAY&amp;q=site%3Alinkedin.com+Andrea+Adams+University+Recruiter+Microsoft" TargetMode="External"/><Relationship Id="rId1986" Type="http://schemas.openxmlformats.org/officeDocument/2006/relationships/hyperlink" Target="https://www.google.com/search?newwindow=1&amp;ei=2MT0XrvGGM-vytMP1OyDgAY&amp;q=site%3Alinkedin.com+Aaron+Mickelsen+Technical+Recruiter+University+Team+Microsoft" TargetMode="External"/><Relationship Id="rId1987" Type="http://schemas.openxmlformats.org/officeDocument/2006/relationships/hyperlink" Target="https://www.google.com/search?newwindow=1&amp;ei=2MT0XrvGGM-vytMP1OyDgAY&amp;q=site%3Alinkedin.com+Andrea+Maurer+University+Recruiter+Microsoft" TargetMode="External"/><Relationship Id="rId1988" Type="http://schemas.openxmlformats.org/officeDocument/2006/relationships/hyperlink" Target="https://www.google.com/search?newwindow=1&amp;ei=2MT0XrvGGM-vytMP1OyDgAY&amp;q=site%3Alinkedin.com+Franco+Bulaon+University+Recruiter+Microsoft" TargetMode="External"/><Relationship Id="rId1989" Type="http://schemas.openxmlformats.org/officeDocument/2006/relationships/hyperlink" Target="https://www.google.com/search?newwindow=1&amp;ei=2MT0XrvGGM-vytMP1OyDgAY&amp;q=site%3Alinkedin.com+Damon+Coupe+University+Recruiter+Microsoft" TargetMode="External"/><Relationship Id="rId1980" Type="http://schemas.openxmlformats.org/officeDocument/2006/relationships/hyperlink" Target="https://www.google.com/search?newwindow=1&amp;ei=2MT0XrvGGM-vytMP1OyDgAY&amp;q=site%3Alinkedin.com+Elizabeth+Alhondra+Arredon+Mier+University+Recruiter+Microsoft" TargetMode="External"/><Relationship Id="rId1981" Type="http://schemas.openxmlformats.org/officeDocument/2006/relationships/hyperlink" Target="https://www.google.com/search?newwindow=1&amp;ei=2MT0XrvGGM-vytMP1OyDgAY&amp;q=site%3Alinkedin.com+Kelsey+Grunigen+University+Recruiter+Microsoft" TargetMode="External"/><Relationship Id="rId1982" Type="http://schemas.openxmlformats.org/officeDocument/2006/relationships/hyperlink" Target="https://www.google.com/search?newwindow=1&amp;ei=2MT0XrvGGM-vytMP1OyDgAY&amp;q=site%3Alinkedin.com+Abby+Newton+Technical+Recruiter+Microsoft" TargetMode="External"/><Relationship Id="rId1930" Type="http://schemas.openxmlformats.org/officeDocument/2006/relationships/hyperlink" Target="https://www.google.com/search?newwindow=1&amp;ei=2MT0XrvGGM-vytMP1OyDgAY&amp;q=site%3Alinkedin.com+Matthew+Castro+Campus+Recruiter+Lockheed+Martin" TargetMode="External"/><Relationship Id="rId1931" Type="http://schemas.openxmlformats.org/officeDocument/2006/relationships/hyperlink" Target="https://www.google.com/search?newwindow=1&amp;ei=2MT0XrvGGM-vytMP1OyDgAY&amp;q=site%3Alinkedin.com+Nicole+Foster+M.S.+College+Recruiter+Lockheed+Martin" TargetMode="External"/><Relationship Id="rId1932" Type="http://schemas.openxmlformats.org/officeDocument/2006/relationships/hyperlink" Target="https://www.google.com/search?newwindow=1&amp;ei=2MT0XrvGGM-vytMP1OyDgAY&amp;q=site%3Alinkedin.com+Alexandra+Halas+Campus+Recruiter+Lockheed+Martin" TargetMode="External"/><Relationship Id="rId1933" Type="http://schemas.openxmlformats.org/officeDocument/2006/relationships/hyperlink" Target="https://www.google.com/search?newwindow=1&amp;ei=2MT0XrvGGM-vytMP1OyDgAY&amp;q=site%3Alinkedin.com+Christina+Ponzi+College+Recruiter+Lockheed+Martin" TargetMode="External"/><Relationship Id="rId1934" Type="http://schemas.openxmlformats.org/officeDocument/2006/relationships/hyperlink" Target="https://www.google.com/search?newwindow=1&amp;ei=2MT0XrvGGM-vytMP1OyDgAY&amp;q=site%3Alinkedin.com+Gregory+Caguimbal+Campus+Recruiter+Lockheed+Martin" TargetMode="External"/><Relationship Id="rId1935" Type="http://schemas.openxmlformats.org/officeDocument/2006/relationships/hyperlink" Target="https://www.google.com/search?newwindow=1&amp;ei=2MT0XrvGGM-vytMP1OyDgAY&amp;q=site%3Alinkedin.com+Pitchaporn+Vorapipatana+College+Recruiter+Lockheed+Martin" TargetMode="External"/><Relationship Id="rId1936" Type="http://schemas.openxmlformats.org/officeDocument/2006/relationships/hyperlink" Target="https://www.google.com/search?newwindow=1&amp;ei=2MT0XrvGGM-vytMP1OyDgAY&amp;q=site%3Alinkedin.com+Brian+Kroll+%F0%9F%94%B9+Campus+Recruiter+with+University+Relations+&amp;+Recruiting+Lockheed+Martin" TargetMode="External"/><Relationship Id="rId1937" Type="http://schemas.openxmlformats.org/officeDocument/2006/relationships/hyperlink" Target="https://www.google.com/search?newwindow=1&amp;ei=2MT0XrvGGM-vytMP1OyDgAY&amp;q=site%3Alinkedin.com+Chelcey+Little+Leadership+Development+Program+Lead/+College+Recruiter+Lockheed+Martin" TargetMode="External"/><Relationship Id="rId1938" Type="http://schemas.openxmlformats.org/officeDocument/2006/relationships/hyperlink" Target="https://www.google.com/search?newwindow=1&amp;ei=2MT0XrvGGM-vytMP1OyDgAY&amp;q=site%3Alinkedin.com+Nicole+Horan+College+Recruiter+Lockheed+Martin" TargetMode="External"/><Relationship Id="rId1939" Type="http://schemas.openxmlformats.org/officeDocument/2006/relationships/hyperlink" Target="https://www.google.com/search?newwindow=1&amp;ei=2MT0XrvGGM-vytMP1OyDgAY&amp;q=site%3Alinkedin.com+Bria+Rathway+Campus+Recruiter+Lockheed+Martin" TargetMode="External"/><Relationship Id="rId1920" Type="http://schemas.openxmlformats.org/officeDocument/2006/relationships/hyperlink" Target="https://www.google.com/search?newwindow=1&amp;ei=2MT0XrvGGM-vytMP1OyDgAY&amp;q=site%3Alinkedin.com+beverly+walker+Campus+Recruiting+Representative" TargetMode="External"/><Relationship Id="rId1921" Type="http://schemas.openxmlformats.org/officeDocument/2006/relationships/hyperlink" Target="https://www.google.com/search?newwindow=1&amp;ei=2MT0XrvGGM-vytMP1OyDgAY&amp;q=site%3Alinkedin.com+Janet+Bachtel+Campus+Manager+University+Relations+&amp;+Recruiting" TargetMode="External"/><Relationship Id="rId1922" Type="http://schemas.openxmlformats.org/officeDocument/2006/relationships/hyperlink" Target="https://www.google.com/search?newwindow=1&amp;ei=2MT0XrvGGM-vytMP1OyDgAY&amp;q=site%3Alinkedin.com+Tamara+Evans+College+Recruiter+Lockheed+Martin" TargetMode="External"/><Relationship Id="rId1923" Type="http://schemas.openxmlformats.org/officeDocument/2006/relationships/hyperlink" Target="https://www.google.com/search?newwindow=1&amp;ei=2MT0XrvGGM-vytMP1OyDgAY&amp;q=site%3Alinkedin.com+Harmoni+Johnson+College+Recruiter+Lockheed+Martin" TargetMode="External"/><Relationship Id="rId1924" Type="http://schemas.openxmlformats.org/officeDocument/2006/relationships/hyperlink" Target="https://www.google.com/search?newwindow=1&amp;ei=2MT0XrvGGM-vytMP1OyDgAY&amp;q=site%3Alinkedin.com+Patrick+Dinsmoor+Campus+Recruiter+Lockheed+Martin" TargetMode="External"/><Relationship Id="rId1925" Type="http://schemas.openxmlformats.org/officeDocument/2006/relationships/hyperlink" Target="https://www.google.com/search?newwindow=1&amp;ei=2MT0XrvGGM-vytMP1OyDgAY&amp;q=site%3Alinkedin.com+Tara+Hafele+College+Recruiter+Space+Lockheed+Martin" TargetMode="External"/><Relationship Id="rId1926" Type="http://schemas.openxmlformats.org/officeDocument/2006/relationships/hyperlink" Target="https://www.google.com/search?newwindow=1&amp;ei=2MT0XrvGGM-vytMP1OyDgAY&amp;q=site%3Alinkedin.com+Ashley+Kessens+University+Talent+Acquisition+Recruiter+Space+Lockheed+Martin" TargetMode="External"/><Relationship Id="rId1927" Type="http://schemas.openxmlformats.org/officeDocument/2006/relationships/hyperlink" Target="https://www.google.com/search?newwindow=1&amp;ei=2MT0XrvGGM-vytMP1OyDgAY&amp;q=site%3Alinkedin.com+Kyle+Stai+University+Recruiter+Lockheed+Martin" TargetMode="External"/><Relationship Id="rId1928" Type="http://schemas.openxmlformats.org/officeDocument/2006/relationships/hyperlink" Target="https://www.google.com/search?newwindow=1&amp;ei=2MT0XrvGGM-vytMP1OyDgAY&amp;q=site%3Alinkedin.com+Jennina+Arcuri+Lead+University+Talent+Aquisition+Recruiter+Lockheed+Martin" TargetMode="External"/><Relationship Id="rId1929" Type="http://schemas.openxmlformats.org/officeDocument/2006/relationships/hyperlink" Target="https://www.google.com/search?newwindow=1&amp;ei=2MT0XrvGGM-vytMP1OyDgAY&amp;q=site%3Alinkedin.com+Andrew+Pearlman+College+Recruiter+Lockheed+Martin" TargetMode="External"/><Relationship Id="rId1950" Type="http://schemas.openxmlformats.org/officeDocument/2006/relationships/hyperlink" Target="https://www.google.com/search?newwindow=1&amp;ei=2MT0XrvGGM-vytMP1OyDgAY&amp;q=site%3Alinkedin.com+Courtney+Chacon+University+Recruiter+Lyft" TargetMode="External"/><Relationship Id="rId1951" Type="http://schemas.openxmlformats.org/officeDocument/2006/relationships/hyperlink" Target="https://www.google.com/search?newwindow=1&amp;ei=2MT0XrvGGM-vytMP1OyDgAY&amp;q=site%3Alinkedin.com+Tim+Romanoff+Lyft+University+Recruiter+Lyft" TargetMode="External"/><Relationship Id="rId1952" Type="http://schemas.openxmlformats.org/officeDocument/2006/relationships/hyperlink" Target="https://www.google.com/search?newwindow=1&amp;ei=2MT0XrvGGM-vytMP1OyDgAY&amp;q=site%3Alinkedin.com+Aimee+Everest+EMEA+Campus+Recruiter+Graduate+Programme+&amp;+Early+Years+hiring+now!" TargetMode="External"/><Relationship Id="rId1953" Type="http://schemas.openxmlformats.org/officeDocument/2006/relationships/hyperlink" Target="https://www.google.com/search?newwindow=1&amp;ei=2MT0XrvGGM-vytMP1OyDgAY&amp;q=site%3Alinkedin.com+Donna+Pistilli+Associate+&amp;+Student+Programs+Coordinator" TargetMode="External"/><Relationship Id="rId1954" Type="http://schemas.openxmlformats.org/officeDocument/2006/relationships/hyperlink" Target="https://www.google.com/search?newwindow=1&amp;ei=2MT0XrvGGM-vytMP1OyDgAY&amp;q=site%3Alinkedin.com+Tenzin+D+Associate+&amp;+Student+Programs+Coordinator" TargetMode="External"/><Relationship Id="rId1955" Type="http://schemas.openxmlformats.org/officeDocument/2006/relationships/hyperlink" Target="https://www.google.com/search?newwindow=1&amp;ei=2MT0XrvGGM-vytMP1OyDgAY&amp;q=site%3Alinkedin.com+Alysia+Isidro+Student+Programs+Coordinator" TargetMode="External"/><Relationship Id="rId1956" Type="http://schemas.openxmlformats.org/officeDocument/2006/relationships/hyperlink" Target="https://www.google.com/search?newwindow=1&amp;ei=2MT0XrvGGM-vytMP1OyDgAY&amp;q=site%3Alinkedin.com+Holly+Thompson+Recruiter+UK+Campus" TargetMode="External"/><Relationship Id="rId1957" Type="http://schemas.openxmlformats.org/officeDocument/2006/relationships/hyperlink" Target="https://www.google.com/search?newwindow=1&amp;ei=2MT0XrvGGM-vytMP1OyDgAY&amp;q=site%3Alinkedin.com+Olivia+Aylett+Recruiter+UK+Campus+Team" TargetMode="External"/><Relationship Id="rId1958" Type="http://schemas.openxmlformats.org/officeDocument/2006/relationships/hyperlink" Target="https://www.google.com/search?newwindow=1&amp;ei=2MT0XrvGGM-vytMP1OyDgAY&amp;q=site%3Alinkedin.com+Emily+Haseldine+Lead+Recruiter+UK+Campus" TargetMode="External"/><Relationship Id="rId1959" Type="http://schemas.openxmlformats.org/officeDocument/2006/relationships/hyperlink" Target="https://www.google.com/search?newwindow=1&amp;ei=2MT0XrvGGM-vytMP1OyDgAY&amp;q=site%3Alinkedin.com+Lorraine+Little+Interim+Global+Campus+Recruiting+Lead+Global+Support+Services" TargetMode="External"/><Relationship Id="rId1940" Type="http://schemas.openxmlformats.org/officeDocument/2006/relationships/hyperlink" Target="https://www.google.com/search?newwindow=1&amp;ei=2MT0XrvGGM-vytMP1OyDgAY&amp;q=site%3Alinkedin.com+Sierra+Kehrer+College+Recruiter:+Global+Talent+Acquisitions+Lockheed+Martin" TargetMode="External"/><Relationship Id="rId1941" Type="http://schemas.openxmlformats.org/officeDocument/2006/relationships/hyperlink" Target="https://www.google.com/search?newwindow=1&amp;ei=2MT0XrvGGM-vytMP1OyDgAY&amp;q=site%3Alinkedin.com+Leo+Faneuf+College+Talent+Acquisition+and+Diversity+Engagement+Manager+Lockheed+Martin" TargetMode="External"/><Relationship Id="rId1942" Type="http://schemas.openxmlformats.org/officeDocument/2006/relationships/hyperlink" Target="https://www.google.com/search?newwindow=1&amp;ei=2MT0XrvGGM-vytMP1OyDgAY&amp;q=site%3Alinkedin.com+Yeneneh+Ketema+Campus+Relations+Manager+Lockheed+Martin" TargetMode="External"/><Relationship Id="rId1943" Type="http://schemas.openxmlformats.org/officeDocument/2006/relationships/hyperlink" Target="https://www.google.com/search?newwindow=1&amp;ei=2MT0XrvGGM-vytMP1OyDgAY&amp;q=site%3Alinkedin.com+Janet+Bachtel+Campus+Manager+University+Relations+&amp;+Recruiting+Lockheed+Martin" TargetMode="External"/><Relationship Id="rId1944" Type="http://schemas.openxmlformats.org/officeDocument/2006/relationships/hyperlink" Target="https://www.google.com/search?newwindow=1&amp;ei=2MT0XrvGGM-vytMP1OyDgAY&amp;q=site%3Alinkedin.com+Margaret+Ila+Christian+Campus+Recruiter+Lockheed+Martin" TargetMode="External"/><Relationship Id="rId1945" Type="http://schemas.openxmlformats.org/officeDocument/2006/relationships/hyperlink" Target="https://www.google.com/search?newwindow=1&amp;ei=2MT0XrvGGM-vytMP1OyDgAY&amp;q=site%3Alinkedin.com+Karina+Stronciu+Campus+Recruiter+Lockheed+Martin" TargetMode="External"/><Relationship Id="rId1946" Type="http://schemas.openxmlformats.org/officeDocument/2006/relationships/hyperlink" Target="https://www.google.com/search?newwindow=1&amp;ei=2MT0XrvGGM-vytMP1OyDgAY&amp;q=site%3Alinkedin.com+Iysha+Robinson+M.A.+University+Talent+Acquisition+Recruiter+Lockheed+Martin" TargetMode="External"/><Relationship Id="rId1947" Type="http://schemas.openxmlformats.org/officeDocument/2006/relationships/hyperlink" Target="https://www.google.com/search?newwindow=1&amp;ei=2MT0XrvGGM-vytMP1OyDgAY&amp;q=site%3Alinkedin.com+Brigette+Biagas+Campus+Recruiter+Lockheed+Martin" TargetMode="External"/><Relationship Id="rId1948" Type="http://schemas.openxmlformats.org/officeDocument/2006/relationships/hyperlink" Target="https://www.google.com/search?newwindow=1&amp;ei=2MT0XrvGGM-vytMP1OyDgAY&amp;q=site%3Alinkedin.com+Jessie+Jordan+College+Recruiter+Lockheed+Martin" TargetMode="External"/><Relationship Id="rId1949" Type="http://schemas.openxmlformats.org/officeDocument/2006/relationships/hyperlink" Target="https://www.google.com/search?newwindow=1&amp;ei=2MT0XrvGGM-vytMP1OyDgAY&amp;q=site%3Alinkedin.com+Vivian+Chen+Technical+University+Recruiter+Lyft" TargetMode="External"/><Relationship Id="rId2423" Type="http://schemas.openxmlformats.org/officeDocument/2006/relationships/hyperlink" Target="https://www.google.com/search?newwindow=1&amp;ei=2MT0XrvGGM-vytMP1OyDgAY&amp;q=site%3Alinkedin.com+Cody+Walls+Information+Technology+Recruiter+University+of+Georgia+State+Farm+%C2%AE" TargetMode="External"/><Relationship Id="rId2424" Type="http://schemas.openxmlformats.org/officeDocument/2006/relationships/hyperlink" Target="https://www.google.com/search?newwindow=1&amp;ei=2MT0XrvGGM-vytMP1OyDgAY&amp;q=site%3Alinkedin.com+Alexander+Kahn+NAU+College+Recruiter+State+Farm+%C2%AE" TargetMode="External"/><Relationship Id="rId2425" Type="http://schemas.openxmlformats.org/officeDocument/2006/relationships/hyperlink" Target="https://www.google.com/search?newwindow=1&amp;ei=2MT0XrvGGM-vytMP1OyDgAY&amp;q=site%3Alinkedin.com+Ron+Pittman+CLU%C2%AE+College+Relations+Recruiter+State+Farm+Insurance" TargetMode="External"/><Relationship Id="rId2426" Type="http://schemas.openxmlformats.org/officeDocument/2006/relationships/hyperlink" Target="https://www.google.com/search?newwindow=1&amp;ei=2MT0XrvGGM-vytMP1OyDgAY&amp;q=site%3Alinkedin.com+Sydney+Gayton+Campus+Recruiter+&amp;+HR+Coordinator+Steelcase" TargetMode="External"/><Relationship Id="rId2427" Type="http://schemas.openxmlformats.org/officeDocument/2006/relationships/hyperlink" Target="https://www.google.com/search?newwindow=1&amp;ei=2MT0XrvGGM-vytMP1OyDgAY&amp;q=site%3Alinkedin.com+Amy+L.+Talent+Acquisition-+Lead+Campus+Recruiter+Steelcase" TargetMode="External"/><Relationship Id="rId2428" Type="http://schemas.openxmlformats.org/officeDocument/2006/relationships/hyperlink" Target="https://www.google.com/search?newwindow=1&amp;ei=2MT0XrvGGM-vytMP1OyDgAY&amp;q=site%3Alinkedin.com+Malissa+Moore+Campus+Recruiter+Steelcase" TargetMode="External"/><Relationship Id="rId2429" Type="http://schemas.openxmlformats.org/officeDocument/2006/relationships/hyperlink" Target="https://www.google.com/search?newwindow=1&amp;ei=2MT0XrvGGM-vytMP1OyDgAY&amp;q=site%3Alinkedin.com+Dawn+Cottreau+Director+Student+&amp;+Paralegal+Programs" TargetMode="External"/><Relationship Id="rId509" Type="http://schemas.openxmlformats.org/officeDocument/2006/relationships/hyperlink" Target="https://www.google.com/search?newwindow=1&amp;ei=2MT0XrvGGM-vytMP1OyDgAY&amp;q=site%3Alinkedin.com+Betsy+Exley+Student+Recruiter+PSI" TargetMode="External"/><Relationship Id="rId508" Type="http://schemas.openxmlformats.org/officeDocument/2006/relationships/hyperlink" Target="https://www.google.com/search?newwindow=1&amp;ei=2MT0XrvGGM-vytMP1OyDgAY&amp;q=site%3Alinkedin.com+Ashley+Beamish+Senior+College+Recruiter+CGI" TargetMode="External"/><Relationship Id="rId503" Type="http://schemas.openxmlformats.org/officeDocument/2006/relationships/hyperlink" Target="https://www.google.com/search?newwindow=1&amp;ei=2MT0XrvGGM-vytMP1OyDgAY&amp;q=site%3Alinkedin.com+Katherine+Zehnder+College+Recruiter+CGI" TargetMode="External"/><Relationship Id="rId502" Type="http://schemas.openxmlformats.org/officeDocument/2006/relationships/hyperlink" Target="https://www.google.com/search?newwindow=1&amp;ei=2MT0XrvGGM-vytMP1OyDgAY&amp;q=site%3Alinkedin.com+Anne+Marie+Swanson+(she/her/hers)+PMP+U.S.+STEM@CGI+Manager+CGI" TargetMode="External"/><Relationship Id="rId501" Type="http://schemas.openxmlformats.org/officeDocument/2006/relationships/hyperlink" Target="https://www.google.com/search?newwindow=1&amp;ei=2MT0XrvGGM-vytMP1OyDgAY&amp;q=site%3Alinkedin.com+Madeline+Sills+College+Recruiter+-+US+West+CGI" TargetMode="External"/><Relationship Id="rId500" Type="http://schemas.openxmlformats.org/officeDocument/2006/relationships/hyperlink" Target="https://www.google.com/search?newwindow=1&amp;ei=2MT0XrvGGM-vytMP1OyDgAY&amp;q=site%3Alinkedin.com+Rebecca+Teti+College+Recruiter+CGI" TargetMode="External"/><Relationship Id="rId507" Type="http://schemas.openxmlformats.org/officeDocument/2006/relationships/hyperlink" Target="https://www.google.com/search?newwindow=1&amp;ei=2MT0XrvGGM-vytMP1OyDgAY&amp;q=site%3Alinkedin.com+Heather+Fusko+College+Recruiter+CGI" TargetMode="External"/><Relationship Id="rId506" Type="http://schemas.openxmlformats.org/officeDocument/2006/relationships/hyperlink" Target="https://www.google.com/search?newwindow=1&amp;ei=2MT0XrvGGM-vytMP1OyDgAY&amp;q=site%3Alinkedin.com+Kristin+Rymaruk+College+Recruiting+Manager+CGI" TargetMode="External"/><Relationship Id="rId505" Type="http://schemas.openxmlformats.org/officeDocument/2006/relationships/hyperlink" Target="https://www.google.com/search?newwindow=1&amp;ei=2MT0XrvGGM-vytMP1OyDgAY&amp;q=site%3Alinkedin.com+Luke+Lawson+Campus+Recruiter+CGI" TargetMode="External"/><Relationship Id="rId504" Type="http://schemas.openxmlformats.org/officeDocument/2006/relationships/hyperlink" Target="https://www.google.com/search?newwindow=1&amp;ei=2MT0XrvGGM-vytMP1OyDgAY&amp;q=site%3Alinkedin.com+Carrie+Eggleston+College+Recruiter+CGI" TargetMode="External"/><Relationship Id="rId2420" Type="http://schemas.openxmlformats.org/officeDocument/2006/relationships/hyperlink" Target="https://www.google.com/search?newwindow=1&amp;ei=2MT0XrvGGM-vytMP1OyDgAY&amp;q=site%3Alinkedin.com+Andy+Ranjan+Campus+Recruiter" TargetMode="External"/><Relationship Id="rId2421" Type="http://schemas.openxmlformats.org/officeDocument/2006/relationships/hyperlink" Target="https://www.google.com/search?newwindow=1&amp;ei=2MT0XrvGGM-vytMP1OyDgAY&amp;q=site%3Alinkedin.com+Mark+Onikoyi+Senior+Campus+Recruiter+EMEA" TargetMode="External"/><Relationship Id="rId2422" Type="http://schemas.openxmlformats.org/officeDocument/2006/relationships/hyperlink" Target="https://www.google.com/search?newwindow=1&amp;ei=2MT0XrvGGM-vytMP1OyDgAY&amp;q=site%3Alinkedin.com+Cooper+Kennard+College+Recruiter+State+Farm" TargetMode="External"/><Relationship Id="rId2412" Type="http://schemas.openxmlformats.org/officeDocument/2006/relationships/hyperlink" Target="https://www.google.com/search?newwindow=1&amp;ei=2MT0XrvGGM-vytMP1OyDgAY&amp;q=site%3Alinkedin.com+Ben+Lee+Undergraduate+Advisor+&amp;+Recruiter" TargetMode="External"/><Relationship Id="rId2413" Type="http://schemas.openxmlformats.org/officeDocument/2006/relationships/hyperlink" Target="https://www.google.com/search?newwindow=1&amp;ei=2MT0XrvGGM-vytMP1OyDgAY&amp;q=site%3Alinkedin.com+Hanna+J.+L.+International+Student+Advisor+Programs+and+Settlement" TargetMode="External"/><Relationship Id="rId2414" Type="http://schemas.openxmlformats.org/officeDocument/2006/relationships/hyperlink" Target="https://www.google.com/search?newwindow=1&amp;ei=2MT0XrvGGM-vytMP1OyDgAY&amp;q=site%3Alinkedin.com+Courtney+Apps+MBA+Undergraduate+Advisor+&amp;+Recruiter+-+Political+Science" TargetMode="External"/><Relationship Id="rId2415" Type="http://schemas.openxmlformats.org/officeDocument/2006/relationships/hyperlink" Target="https://www.google.com/search?newwindow=1&amp;ei=2MT0XrvGGM-vytMP1OyDgAY&amp;q=site%3Alinkedin.com+Gabriel+Sauro+Undergraduate+Advisor+&amp;+Recruiter+(School+of+Criminology)" TargetMode="External"/><Relationship Id="rId2416" Type="http://schemas.openxmlformats.org/officeDocument/2006/relationships/hyperlink" Target="https://www.google.com/search?newwindow=1&amp;ei=2MT0XrvGGM-vytMP1OyDgAY&amp;q=site%3Alinkedin.com+Jessie+C.+Academic+Programs+Coordinator+School+of+Computing+Science" TargetMode="External"/><Relationship Id="rId2417" Type="http://schemas.openxmlformats.org/officeDocument/2006/relationships/hyperlink" Target="https://www.google.com/search?newwindow=1&amp;ei=2MT0XrvGGM-vytMP1OyDgAY&amp;q=site%3Alinkedin.com+Alexis+Vanderveen+Special+Programs+Advisor+and+Recruiter+Faculty+of+Education" TargetMode="External"/><Relationship Id="rId2418" Type="http://schemas.openxmlformats.org/officeDocument/2006/relationships/hyperlink" Target="https://www.google.com/search?newwindow=1&amp;ei=2MT0XrvGGM-vytMP1OyDgAY&amp;q=site%3Alinkedin.com+Lindsey+Butterworth+Student+Recruiter" TargetMode="External"/><Relationship Id="rId2419" Type="http://schemas.openxmlformats.org/officeDocument/2006/relationships/hyperlink" Target="https://www.google.com/search?newwindow=1&amp;ei=2MT0XrvGGM-vytMP1OyDgAY&amp;q=site%3Alinkedin.com+Giovanna+Naranjo+Senior+Global+Campus+Recruiter" TargetMode="External"/><Relationship Id="rId2410" Type="http://schemas.openxmlformats.org/officeDocument/2006/relationships/hyperlink" Target="https://www.google.com/search?newwindow=1&amp;ei=2MT0XrvGGM-vytMP1OyDgAY&amp;q=site%3Alinkedin.com+Michelle+Tri+College+Recruiter" TargetMode="External"/><Relationship Id="rId2411" Type="http://schemas.openxmlformats.org/officeDocument/2006/relationships/hyperlink" Target="https://www.google.com/search?newwindow=1&amp;ei=2MT0XrvGGM-vytMP1OyDgAY&amp;q=site%3Alinkedin.com+Jacquie+Sinclair+Marketing+Coordinator+&amp;+International+Student+Recruiter" TargetMode="External"/><Relationship Id="rId1114" Type="http://schemas.openxmlformats.org/officeDocument/2006/relationships/hyperlink" Target="https://www.google.com/search?newwindow=1&amp;ei=2MT0XrvGGM-vytMP1OyDgAY&amp;q=site%3Alinkedin.com+Lisa+Severino+Campus+Recruiting+Coordinator" TargetMode="External"/><Relationship Id="rId2445" Type="http://schemas.openxmlformats.org/officeDocument/2006/relationships/hyperlink" Target="https://www.google.com/search?newwindow=1&amp;ei=2MT0XrvGGM-vytMP1OyDgAY&amp;q=site%3Alinkedin.com+Maryam+Goharinejad+Campus+Recruiting+Consultant" TargetMode="External"/><Relationship Id="rId1115" Type="http://schemas.openxmlformats.org/officeDocument/2006/relationships/hyperlink" Target="https://www.google.com/search?newwindow=1&amp;ei=2MT0XrvGGM-vytMP1OyDgAY&amp;q=site%3Alinkedin.com+Katie+Caraboa+Campus+Recruiter" TargetMode="External"/><Relationship Id="rId2446" Type="http://schemas.openxmlformats.org/officeDocument/2006/relationships/hyperlink" Target="https://www.google.com/search?newwindow=1&amp;ei=2MT0XrvGGM-vytMP1OyDgAY&amp;q=site%3Alinkedin.com+Taylor+Yungblut+Campus+Recruiting+Coordinator" TargetMode="External"/><Relationship Id="rId1116" Type="http://schemas.openxmlformats.org/officeDocument/2006/relationships/hyperlink" Target="https://www.google.com/search?newwindow=1&amp;ei=2MT0XrvGGM-vytMP1OyDgAY&amp;q=site%3Alinkedin.com+Kristen+Dorsey+Campus+Recruiting+Coordinator" TargetMode="External"/><Relationship Id="rId2447" Type="http://schemas.openxmlformats.org/officeDocument/2006/relationships/hyperlink" Target="https://www.google.com/search?newwindow=1&amp;ei=2MT0XrvGGM-vytMP1OyDgAY&amp;q=site%3Alinkedin.com+Aurora+Huber+Talent+Acquisition+Programs-+Summer+Student" TargetMode="External"/><Relationship Id="rId1117" Type="http://schemas.openxmlformats.org/officeDocument/2006/relationships/hyperlink" Target="https://www.google.com/search?newwindow=1&amp;ei=2MT0XrvGGM-vytMP1OyDgAY&amp;q=site%3Alinkedin.com+Dennis+Chavarria+Campus+Recruiting+Coordinator" TargetMode="External"/><Relationship Id="rId2448" Type="http://schemas.openxmlformats.org/officeDocument/2006/relationships/hyperlink" Target="https://www.google.com/search?newwindow=1&amp;ei=2MT0XrvGGM-vytMP1OyDgAY&amp;q=site%3Alinkedin.com+Lizelle+Igesund+Cordinator+SCMFL+Student+Programs" TargetMode="External"/><Relationship Id="rId1118" Type="http://schemas.openxmlformats.org/officeDocument/2006/relationships/hyperlink" Target="https://www.google.com/search?newwindow=1&amp;ei=2MT0XrvGGM-vytMP1OyDgAY&amp;q=site%3Alinkedin.com+Brittany+Barker+Campus+Recruiting+Coordinator" TargetMode="External"/><Relationship Id="rId2449" Type="http://schemas.openxmlformats.org/officeDocument/2006/relationships/hyperlink" Target="https://www.google.com/search?newwindow=1&amp;ei=2MT0XrvGGM-vytMP1OyDgAY&amp;q=site%3Alinkedin.com+Sean+Lynott+MBA+CDR+Senior+Campus+Recruiter" TargetMode="External"/><Relationship Id="rId1119" Type="http://schemas.openxmlformats.org/officeDocument/2006/relationships/hyperlink" Target="https://www.google.com/search?newwindow=1&amp;ei=2MT0XrvGGM-vytMP1OyDgAY&amp;q=site%3Alinkedin.com+Lisa+Fite+Campus+Recruiting+Coordinator" TargetMode="External"/><Relationship Id="rId525" Type="http://schemas.openxmlformats.org/officeDocument/2006/relationships/hyperlink" Target="https://www.google.com/search?newwindow=1&amp;ei=2MT0XrvGGM-vytMP1OyDgAY&amp;q=site%3Alinkedin.com+Jennifer+C.+Campus+Recruiter+Chewy" TargetMode="External"/><Relationship Id="rId524" Type="http://schemas.openxmlformats.org/officeDocument/2006/relationships/hyperlink" Target="https://www.google.com/search?newwindow=1&amp;ei=2MT0XrvGGM-vytMP1OyDgAY&amp;q=site%3Alinkedin.com+Erika+Howe+Carter+Sr.+Campus+Recruiter+Chewy" TargetMode="External"/><Relationship Id="rId523" Type="http://schemas.openxmlformats.org/officeDocument/2006/relationships/hyperlink" Target="https://www.google.com/search?newwindow=1&amp;ei=2MT0XrvGGM-vytMP1OyDgAY&amp;q=site%3Alinkedin.com+Erin+Casey+Campus+Recruiter+Chewy" TargetMode="External"/><Relationship Id="rId522" Type="http://schemas.openxmlformats.org/officeDocument/2006/relationships/hyperlink" Target="https://www.google.com/search?newwindow=1&amp;ei=2MT0XrvGGM-vytMP1OyDgAY&amp;q=site%3Alinkedin.com+Elizabeth+DiTroia+Campus+Recruiter+Chewy" TargetMode="External"/><Relationship Id="rId529" Type="http://schemas.openxmlformats.org/officeDocument/2006/relationships/hyperlink" Target="https://www.google.com/search?newwindow=1&amp;ei=2MT0XrvGGM-vytMP1OyDgAY&amp;q=site%3Alinkedin.com+Mark+Fell+University+Recruitment+Business+Partner" TargetMode="External"/><Relationship Id="rId528" Type="http://schemas.openxmlformats.org/officeDocument/2006/relationships/hyperlink" Target="https://www.google.com/search?newwindow=1&amp;ei=2MT0XrvGGM-vytMP1OyDgAY&amp;q=site%3Alinkedin.com+Michelle+Pearlman+Foy+Senior+Director+Talent+Acquistion+-+Campus+Recruiting+and+Career+Programs" TargetMode="External"/><Relationship Id="rId527" Type="http://schemas.openxmlformats.org/officeDocument/2006/relationships/hyperlink" Target="https://www.google.com/search?newwindow=1&amp;ei=2MT0XrvGGM-vytMP1OyDgAY&amp;q=site%3Alinkedin.com+Gaby+Bohus+MBA+Director+Technology+Career+Programs+Campus+Recruiting+&amp;+Career+Programs+Talent+Acquisition" TargetMode="External"/><Relationship Id="rId526" Type="http://schemas.openxmlformats.org/officeDocument/2006/relationships/hyperlink" Target="https://www.google.com/search?newwindow=1&amp;ei=2MT0XrvGGM-vytMP1OyDgAY&amp;q=site%3Alinkedin.com+Dante+Cunningham+Recruiting+Manager+Campus+Recruiting+-+Diversity+Equity+&amp;+Inclusion+Chewy" TargetMode="External"/><Relationship Id="rId2440" Type="http://schemas.openxmlformats.org/officeDocument/2006/relationships/hyperlink" Target="https://www.google.com/search?newwindow=1&amp;ei=2MT0XrvGGM-vytMP1OyDgAY&amp;q=site%3Alinkedin.com+Danielle+Iacobelli+Senior+University+Recruiter+Stryker" TargetMode="External"/><Relationship Id="rId521" Type="http://schemas.openxmlformats.org/officeDocument/2006/relationships/hyperlink" Target="https://www.google.com/search?newwindow=1&amp;ei=2MT0XrvGGM-vytMP1OyDgAY&amp;q=site%3Alinkedin.com+Lori+Dalton+Student+Recruiter" TargetMode="External"/><Relationship Id="rId1110" Type="http://schemas.openxmlformats.org/officeDocument/2006/relationships/hyperlink" Target="https://www.google.com/search?newwindow=1&amp;ei=2MT0XrvGGM-vytMP1OyDgAY&amp;q=site%3Alinkedin.com+Ali+Strohm+Assistant+Director+-+Campus+Recruiting+CPA+PHR" TargetMode="External"/><Relationship Id="rId2441" Type="http://schemas.openxmlformats.org/officeDocument/2006/relationships/hyperlink" Target="https://www.google.com/search?newwindow=1&amp;ei=2MT0XrvGGM-vytMP1OyDgAY&amp;q=site%3Alinkedin.com+Jill+Pearrow+SHRM-CP+University+Recruiter+Stryker" TargetMode="External"/><Relationship Id="rId520" Type="http://schemas.openxmlformats.org/officeDocument/2006/relationships/hyperlink" Target="https://www.google.com/search?newwindow=1&amp;ei=2MT0XrvGGM-vytMP1OyDgAY&amp;q=site%3Alinkedin.com+Alastair+Hobson+Student+Recruiter+-+Internationally+Educated+Professionals+(IEP)+-+Ontario" TargetMode="External"/><Relationship Id="rId1111" Type="http://schemas.openxmlformats.org/officeDocument/2006/relationships/hyperlink" Target="https://www.google.com/search?newwindow=1&amp;ei=2MT0XrvGGM-vytMP1OyDgAY&amp;q=site%3Alinkedin.com+Danielle+Porter+Campus+Recruiting+Coordinator" TargetMode="External"/><Relationship Id="rId2442" Type="http://schemas.openxmlformats.org/officeDocument/2006/relationships/hyperlink" Target="https://www.google.com/search?newwindow=1&amp;ei=2MT0XrvGGM-vytMP1OyDgAY&amp;q=site%3Alinkedin.com+Chris+Cook+University+Recruiter+Stryker" TargetMode="External"/><Relationship Id="rId1112" Type="http://schemas.openxmlformats.org/officeDocument/2006/relationships/hyperlink" Target="https://www.google.com/search?newwindow=1&amp;ei=2MT0XrvGGM-vytMP1OyDgAY&amp;q=site%3Alinkedin.com+Erika+DiCresce+Campus+Recruiting+Operations+Specialist" TargetMode="External"/><Relationship Id="rId2443" Type="http://schemas.openxmlformats.org/officeDocument/2006/relationships/hyperlink" Target="https://www.google.com/search?newwindow=1&amp;ei=2MT0XrvGGM-vytMP1OyDgAY&amp;q=site%3Alinkedin.com+Ashley+Bothman+Sr.+University+Recruiter+Stryker" TargetMode="External"/><Relationship Id="rId1113" Type="http://schemas.openxmlformats.org/officeDocument/2006/relationships/hyperlink" Target="https://www.google.com/search?newwindow=1&amp;ei=2MT0XrvGGM-vytMP1OyDgAY&amp;q=site%3Alinkedin.com+Diana+Vanucci+Assistant+Director+Brand+Marketing+and+Communications+Leader+-+US+Campus+Recruiting" TargetMode="External"/><Relationship Id="rId2444" Type="http://schemas.openxmlformats.org/officeDocument/2006/relationships/hyperlink" Target="https://www.google.com/search?newwindow=1&amp;ei=2MT0XrvGGM-vytMP1OyDgAY&amp;q=site%3Alinkedin.com+Calli+Conti+Senior+Recruiter+Stryker+Corporation" TargetMode="External"/><Relationship Id="rId1103" Type="http://schemas.openxmlformats.org/officeDocument/2006/relationships/hyperlink" Target="https://www.google.com/search?newwindow=1&amp;ei=2MT0XrvGGM-vytMP1OyDgAY&amp;q=site%3Alinkedin.com+Ariana+Tomasula+FSO+Campus+Recruiting+Coordinator" TargetMode="External"/><Relationship Id="rId2434" Type="http://schemas.openxmlformats.org/officeDocument/2006/relationships/hyperlink" Target="https://www.google.com/search?newwindow=1&amp;ei=2MT0XrvGGM-vytMP1OyDgAY&amp;q=site%3Alinkedin.com+Lisa+Sidhu+Associate+Director+Associate+and+Student+Programs" TargetMode="External"/><Relationship Id="rId1104" Type="http://schemas.openxmlformats.org/officeDocument/2006/relationships/hyperlink" Target="https://www.google.com/search?newwindow=1&amp;ei=2MT0XrvGGM-vytMP1OyDgAY&amp;q=site%3Alinkedin.com+Amy+Fondell+Campus+Recruiting+Field+Leader+Talent+Attraction+&amp;+Acquisition+at+EY" TargetMode="External"/><Relationship Id="rId2435" Type="http://schemas.openxmlformats.org/officeDocument/2006/relationships/hyperlink" Target="https://www.google.com/search?newwindow=1&amp;ei=2MT0XrvGGM-vytMP1OyDgAY&amp;q=site%3Alinkedin.com+Carol+Chestnut+Director+Associate+&amp;+Student+Programs" TargetMode="External"/><Relationship Id="rId1105" Type="http://schemas.openxmlformats.org/officeDocument/2006/relationships/hyperlink" Target="https://www.google.com/search?newwindow=1&amp;ei=2MT0XrvGGM-vytMP1OyDgAY&amp;q=site%3Alinkedin.com+Jill+Wilson+Campus+Recruiting+Market+Segment+Lead" TargetMode="External"/><Relationship Id="rId2436" Type="http://schemas.openxmlformats.org/officeDocument/2006/relationships/hyperlink" Target="https://www.google.com/search?newwindow=1&amp;ei=2MT0XrvGGM-vytMP1OyDgAY&amp;q=site%3Alinkedin.com+Lauren+Williams+University+Recruiter+Stripe" TargetMode="External"/><Relationship Id="rId1106" Type="http://schemas.openxmlformats.org/officeDocument/2006/relationships/hyperlink" Target="https://www.google.com/search?newwindow=1&amp;ei=2MT0XrvGGM-vytMP1OyDgAY&amp;q=site%3Alinkedin.com+Natalie+Schoonover+Campus+Recruiting+Leader" TargetMode="External"/><Relationship Id="rId2437" Type="http://schemas.openxmlformats.org/officeDocument/2006/relationships/hyperlink" Target="https://www.google.com/search?newwindow=1&amp;ei=2MT0XrvGGM-vytMP1OyDgAY&amp;q=site%3Alinkedin.com+Amy+Hassan+University+Recruiter+Stripe" TargetMode="External"/><Relationship Id="rId1107" Type="http://schemas.openxmlformats.org/officeDocument/2006/relationships/hyperlink" Target="https://www.google.com/search?newwindow=1&amp;ei=2MT0XrvGGM-vytMP1OyDgAY&amp;q=site%3Alinkedin.com+Elise+E+Grover+Campus+Recruiting+Coordinator" TargetMode="External"/><Relationship Id="rId2438" Type="http://schemas.openxmlformats.org/officeDocument/2006/relationships/hyperlink" Target="https://www.google.com/search?newwindow=1&amp;ei=2MT0XrvGGM-vytMP1OyDgAY&amp;q=site%3Alinkedin.com+Eil%C3%ADs+Kennedy+Technical+Recruiter+(University)+North+America+Stripe" TargetMode="External"/><Relationship Id="rId1108" Type="http://schemas.openxmlformats.org/officeDocument/2006/relationships/hyperlink" Target="https://www.google.com/search?newwindow=1&amp;ei=2MT0XrvGGM-vytMP1OyDgAY&amp;q=site%3Alinkedin.com+Christal+Shillingford+Assistant+Director+US-West+Diversity+&amp;+Inclusiveness+Campus+Recruiting+Lead" TargetMode="External"/><Relationship Id="rId2439" Type="http://schemas.openxmlformats.org/officeDocument/2006/relationships/hyperlink" Target="https://www.google.com/search?newwindow=1&amp;ei=2MT0XrvGGM-vytMP1OyDgAY&amp;q=site%3Alinkedin.com+Amy+Meckes+University+Sales+Recruiter+Stryker" TargetMode="External"/><Relationship Id="rId1109" Type="http://schemas.openxmlformats.org/officeDocument/2006/relationships/hyperlink" Target="https://www.google.com/search?newwindow=1&amp;ei=2MT0XrvGGM-vytMP1OyDgAY&amp;q=site%3Alinkedin.com+Emma+Laura+Campus+Recruiting+Coordinator" TargetMode="External"/><Relationship Id="rId519" Type="http://schemas.openxmlformats.org/officeDocument/2006/relationships/hyperlink" Target="https://www.google.com/search?newwindow=1&amp;ei=2MT0XrvGGM-vytMP1OyDgAY&amp;q=site%3Alinkedin.com+Melissa+Gansham+CPA+CMA+Student+Recruiter" TargetMode="External"/><Relationship Id="rId514" Type="http://schemas.openxmlformats.org/officeDocument/2006/relationships/hyperlink" Target="https://www.google.com/search?newwindow=1&amp;ei=2MT0XrvGGM-vytMP1OyDgAY&amp;q=site%3Alinkedin.com+Sean+Mullin+Post+Secondary+Student+Recruiter" TargetMode="External"/><Relationship Id="rId513" Type="http://schemas.openxmlformats.org/officeDocument/2006/relationships/hyperlink" Target="https://www.google.com/search?newwindow=1&amp;ei=2MT0XrvGGM-vytMP1OyDgAY&amp;q=site%3Alinkedin.com+Faith+Pember+Student+Recruiter" TargetMode="External"/><Relationship Id="rId512" Type="http://schemas.openxmlformats.org/officeDocument/2006/relationships/hyperlink" Target="https://www.google.com/search?newwindow=1&amp;ei=2MT0XrvGGM-vytMP1OyDgAY&amp;q=site%3Alinkedin.com+Laveen+Jose+Student+Recruiter" TargetMode="External"/><Relationship Id="rId511" Type="http://schemas.openxmlformats.org/officeDocument/2006/relationships/hyperlink" Target="https://www.google.com/search?newwindow=1&amp;ei=2MT0XrvGGM-vytMP1OyDgAY&amp;q=site%3Alinkedin.com+Gloria+Annable+PSI+Student+Recruiter+Eastern+Ontario" TargetMode="External"/><Relationship Id="rId518" Type="http://schemas.openxmlformats.org/officeDocument/2006/relationships/hyperlink" Target="https://www.google.com/search?newwindow=1&amp;ei=2MT0XrvGGM-vytMP1OyDgAY&amp;q=site%3Alinkedin.com+Jodi-Anne+Buckley+Student+Recruiter" TargetMode="External"/><Relationship Id="rId517" Type="http://schemas.openxmlformats.org/officeDocument/2006/relationships/hyperlink" Target="https://www.google.com/search?newwindow=1&amp;ei=2MT0XrvGGM-vytMP1OyDgAY&amp;q=site%3Alinkedin.com+Ariane+Morency-Charbonneau+Student+Recruiter" TargetMode="External"/><Relationship Id="rId516" Type="http://schemas.openxmlformats.org/officeDocument/2006/relationships/hyperlink" Target="https://www.google.com/search?newwindow=1&amp;ei=2MT0XrvGGM-vytMP1OyDgAY&amp;q=site%3Alinkedin.com+Carolyn+Seward+Student+Recruiter" TargetMode="External"/><Relationship Id="rId515" Type="http://schemas.openxmlformats.org/officeDocument/2006/relationships/hyperlink" Target="https://www.google.com/search?newwindow=1&amp;ei=2MT0XrvGGM-vytMP1OyDgAY&amp;q=site%3Alinkedin.com+Ghada+Tajeddine+Student+Recruiter+(Regional)+-+Internationally+Educated+Professionals" TargetMode="External"/><Relationship Id="rId510" Type="http://schemas.openxmlformats.org/officeDocument/2006/relationships/hyperlink" Target="https://www.google.com/search?newwindow=1&amp;ei=2MT0XrvGGM-vytMP1OyDgAY&amp;q=site%3Alinkedin.com+Anuja+J.+Programs+Specialist+Member+and+Student+Experience" TargetMode="External"/><Relationship Id="rId2430" Type="http://schemas.openxmlformats.org/officeDocument/2006/relationships/hyperlink" Target="https://www.google.com/search?newwindow=1&amp;ei=2MT0XrvGGM-vytMP1OyDgAY&amp;q=site%3Alinkedin.com+Janet+Zed+Coordinator+Student+Programs+and+Lawyer+Development" TargetMode="External"/><Relationship Id="rId1100" Type="http://schemas.openxmlformats.org/officeDocument/2006/relationships/hyperlink" Target="https://www.google.com/search?newwindow=1&amp;ei=2MT0XrvGGM-vytMP1OyDgAY&amp;q=site%3Alinkedin.com+Stephanie+Loftus+aPHR+Campus+Recruiting+Coordinator" TargetMode="External"/><Relationship Id="rId2431" Type="http://schemas.openxmlformats.org/officeDocument/2006/relationships/hyperlink" Target="https://www.google.com/search?newwindow=1&amp;ei=2MT0XrvGGM-vytMP1OyDgAY&amp;q=site%3Alinkedin.com+Natasha+Bhimji+Director+of+Student+Programs" TargetMode="External"/><Relationship Id="rId1101" Type="http://schemas.openxmlformats.org/officeDocument/2006/relationships/hyperlink" Target="https://www.google.com/search?newwindow=1&amp;ei=2MT0XrvGGM-vytMP1OyDgAY&amp;q=site%3Alinkedin.com+Celeste+Benton+Rotational+Talent+Advisor+Supervising+Associate+Campus+Recruiting" TargetMode="External"/><Relationship Id="rId2432" Type="http://schemas.openxmlformats.org/officeDocument/2006/relationships/hyperlink" Target="https://www.google.com/search?newwindow=1&amp;ei=2MT0XrvGGM-vytMP1OyDgAY&amp;q=site%3Alinkedin.com+Cara+Cornacchia+Interim+Director+Student+Programs" TargetMode="External"/><Relationship Id="rId1102" Type="http://schemas.openxmlformats.org/officeDocument/2006/relationships/hyperlink" Target="https://www.google.com/search?newwindow=1&amp;ei=2MT0XrvGGM-vytMP1OyDgAY&amp;q=site%3Alinkedin.com+Samara+R.+Campus+Recruiting+Coordinator" TargetMode="External"/><Relationship Id="rId2433" Type="http://schemas.openxmlformats.org/officeDocument/2006/relationships/hyperlink" Target="https://www.google.com/search?newwindow=1&amp;ei=2MT0XrvGGM-vytMP1OyDgAY&amp;q=site%3Alinkedin.com+Claire+Fraser+Coordinator+Student+&amp;+Legal+Professional+Programs" TargetMode="External"/><Relationship Id="rId2401" Type="http://schemas.openxmlformats.org/officeDocument/2006/relationships/hyperlink" Target="https://www.google.com/search?newwindow=1&amp;ei=2MT0XrvGGM-vytMP1OyDgAY&amp;q=site%3Alinkedin.com+Rina+Kotak+University+Relations+Recruiter+Siemens+Digital+Industries+Software" TargetMode="External"/><Relationship Id="rId2402" Type="http://schemas.openxmlformats.org/officeDocument/2006/relationships/hyperlink" Target="https://www.google.com/search?newwindow=1&amp;ei=2MT0XrvGGM-vytMP1OyDgAY&amp;q=site%3Alinkedin.com+Claudia+Guzman+University+Recruiter+Siemens+Healthineers" TargetMode="External"/><Relationship Id="rId2403" Type="http://schemas.openxmlformats.org/officeDocument/2006/relationships/hyperlink" Target="https://www.google.com/search?newwindow=1&amp;ei=2MT0XrvGGM-vytMP1OyDgAY&amp;q=site%3Alinkedin.com+Claire+Wilson+Student+Recruiter+Faculty+of+Science" TargetMode="External"/><Relationship Id="rId2404" Type="http://schemas.openxmlformats.org/officeDocument/2006/relationships/hyperlink" Target="https://www.google.com/search?newwindow=1&amp;ei=2MT0XrvGGM-vytMP1OyDgAY&amp;q=site%3Alinkedin.com+Tessa+Briglio+Student+Affairs+Coordinator+Faculty+of+Applied+Sciences" TargetMode="External"/><Relationship Id="rId2405" Type="http://schemas.openxmlformats.org/officeDocument/2006/relationships/hyperlink" Target="https://www.google.com/search?newwindow=1&amp;ei=2MT0XrvGGM-vytMP1OyDgAY&amp;q=site%3Alinkedin.com+Hiroshi+Yasuoka+Recruitment+Academic+and+Student+Affairs+Advisor+Undergraduate+Programs+Beedie+School+of+Business" TargetMode="External"/><Relationship Id="rId2406" Type="http://schemas.openxmlformats.org/officeDocument/2006/relationships/hyperlink" Target="https://www.google.com/search?newwindow=1&amp;ei=2MT0XrvGGM-vytMP1OyDgAY&amp;q=site%3Alinkedin.com+Carolyn+Hanna+Coordinator+International+Graduate+Student+Programs" TargetMode="External"/><Relationship Id="rId2407" Type="http://schemas.openxmlformats.org/officeDocument/2006/relationships/hyperlink" Target="https://www.google.com/search?newwindow=1&amp;ei=2MT0XrvGGM-vytMP1OyDgAY&amp;q=site%3Alinkedin.com+Zed+Chia+Undergraduate+Advisor+&amp;+Recruiter" TargetMode="External"/><Relationship Id="rId2408" Type="http://schemas.openxmlformats.org/officeDocument/2006/relationships/hyperlink" Target="https://www.google.com/search?newwindow=1&amp;ei=2MT0XrvGGM-vytMP1OyDgAY&amp;q=site%3Alinkedin.com+Wendy+Norman+Associate+Director+Student+Engagement+Programs" TargetMode="External"/><Relationship Id="rId2409" Type="http://schemas.openxmlformats.org/officeDocument/2006/relationships/hyperlink" Target="https://www.google.com/search?newwindow=1&amp;ei=2MT0XrvGGM-vytMP1OyDgAY&amp;q=site%3Alinkedin.com+Heather+Gawenda+Student+Recruiter" TargetMode="External"/><Relationship Id="rId2400" Type="http://schemas.openxmlformats.org/officeDocument/2006/relationships/hyperlink" Target="https://www.google.com/search?newwindow=1&amp;ei=2MT0XrvGGM-vytMP1OyDgAY&amp;q=site%3Alinkedin.com+Jessica+Buchberger+University+Relations+Recruiter+Siemens+Digital+Industries+Software" TargetMode="External"/><Relationship Id="rId590" Type="http://schemas.openxmlformats.org/officeDocument/2006/relationships/hyperlink" Target="https://www.google.com/search?newwindow=1&amp;ei=2MT0XrvGGM-vytMP1OyDgAY&amp;q=site%3Alinkedin.com+Jennifer+Lynch+Assistant+Vice+President+Senior+Recruiter+Campus+Recruiting+-+Sales+&amp;+Trading+Citi" TargetMode="External"/><Relationship Id="rId589" Type="http://schemas.openxmlformats.org/officeDocument/2006/relationships/hyperlink" Target="https://www.google.com/search?newwindow=1&amp;ei=2MT0XrvGGM-vytMP1OyDgAY&amp;q=site%3Alinkedin.com+Devika+Seeraj+Assistant+Vice+President+-+Campus+Recruiter+Citi" TargetMode="External"/><Relationship Id="rId588" Type="http://schemas.openxmlformats.org/officeDocument/2006/relationships/hyperlink" Target="https://www.google.com/search?newwindow=1&amp;ei=2MT0XrvGGM-vytMP1OyDgAY&amp;q=site%3Alinkedin.com+Erica+Strunkey+Assistant+Vice+President+-+Senior+Campus+Recruiter+Citi" TargetMode="External"/><Relationship Id="rId1170" Type="http://schemas.openxmlformats.org/officeDocument/2006/relationships/hyperlink" Target="https://www.google.com/search?newwindow=1&amp;ei=2MT0XrvGGM-vytMP1OyDgAY&amp;q=site%3Alinkedin.com+Joni+Fisher+Campus+Recruiting+Field+Operations+Lead" TargetMode="External"/><Relationship Id="rId1171" Type="http://schemas.openxmlformats.org/officeDocument/2006/relationships/hyperlink" Target="https://www.google.com/search?newwindow=1&amp;ei=2MT0XrvGGM-vytMP1OyDgAY&amp;q=site%3Alinkedin.com+Casey+Richard+Senior+Campus+Recruiting+Associate+Talent+Attraction+and+Acquisition" TargetMode="External"/><Relationship Id="rId583" Type="http://schemas.openxmlformats.org/officeDocument/2006/relationships/hyperlink" Target="https://www.google.com/search?newwindow=1&amp;ei=2MT0XrvGGM-vytMP1OyDgAY&amp;q=site%3Alinkedin.com+Emily+White+(Rodgers)+Assistant+Vice+President+Campus+Recruiter+-+Banking+Capital+Markets+&amp;+Advisory+Citi" TargetMode="External"/><Relationship Id="rId1172" Type="http://schemas.openxmlformats.org/officeDocument/2006/relationships/hyperlink" Target="https://www.google.com/search?newwindow=1&amp;ei=2MT0XrvGGM-vytMP1OyDgAY&amp;q=site%3Alinkedin.com+Jennifer+Voss+Campus+Recruiting+Manager" TargetMode="External"/><Relationship Id="rId582" Type="http://schemas.openxmlformats.org/officeDocument/2006/relationships/hyperlink" Target="https://www.google.com/search?newwindow=1&amp;ei=2MT0XrvGGM-vytMP1OyDgAY&amp;q=site%3Alinkedin.com+Megan+Franklin+AVP+Campus+Program+Manager+and+Recruiter+Citi" TargetMode="External"/><Relationship Id="rId1173" Type="http://schemas.openxmlformats.org/officeDocument/2006/relationships/hyperlink" Target="https://www.google.com/search?newwindow=1&amp;ei=2MT0XrvGGM-vytMP1OyDgAY&amp;q=site%3Alinkedin.com+Julia+Silvestre+West+Campus+Lead+Recruiting+Coordinator" TargetMode="External"/><Relationship Id="rId581" Type="http://schemas.openxmlformats.org/officeDocument/2006/relationships/hyperlink" Target="https://www.google.com/search?newwindow=1&amp;ei=2MT0XrvGGM-vytMP1OyDgAY&amp;q=site%3Alinkedin.com+Lauren+Cooley+Assistant+Vice+President+MBA+Campus+Recruiter+and+HR+Program+Manager+for+Investment+Banking+Citi" TargetMode="External"/><Relationship Id="rId1174" Type="http://schemas.openxmlformats.org/officeDocument/2006/relationships/hyperlink" Target="https://www.google.com/search?newwindow=1&amp;ei=2MT0XrvGGM-vytMP1OyDgAY&amp;q=site%3Alinkedin.com+Jessica+Gonzalez+Campus+Recruiting+Coordinator" TargetMode="External"/><Relationship Id="rId580" Type="http://schemas.openxmlformats.org/officeDocument/2006/relationships/hyperlink" Target="https://www.google.com/search?newwindow=1&amp;ei=2MT0XrvGGM-vytMP1OyDgAY&amp;q=site%3Alinkedin.com+Sarah+Glaser+Assistant+Vice+President+Campus+Recruiter+Citi" TargetMode="External"/><Relationship Id="rId1175" Type="http://schemas.openxmlformats.org/officeDocument/2006/relationships/hyperlink" Target="https://www.google.com/search?newwindow=1&amp;ei=2MT0XrvGGM-vytMP1OyDgAY&amp;q=site%3Alinkedin.com+Melissa+Haugrud+CPA+CA+Campus+Recruiter" TargetMode="External"/><Relationship Id="rId587" Type="http://schemas.openxmlformats.org/officeDocument/2006/relationships/hyperlink" Target="https://www.google.com/search?newwindow=1&amp;ei=2MT0XrvGGM-vytMP1OyDgAY&amp;q=site%3Alinkedin.com+Samantha+Robins+Vice+President+Technology+Campus+Recruiting+Manager+at+Citi+Citi" TargetMode="External"/><Relationship Id="rId1176" Type="http://schemas.openxmlformats.org/officeDocument/2006/relationships/hyperlink" Target="https://www.google.com/search?newwindow=1&amp;ei=2MT0XrvGGM-vytMP1OyDgAY&amp;q=site%3Alinkedin.com+Alicia+Massey+Campus+Recruiting+Coordinator" TargetMode="External"/><Relationship Id="rId586" Type="http://schemas.openxmlformats.org/officeDocument/2006/relationships/hyperlink" Target="https://www.google.com/search?newwindow=1&amp;ei=2MT0XrvGGM-vytMP1OyDgAY&amp;q=site%3Alinkedin.com+Yesenia+Gomez+Vice+President+Campus+Diversity+Recruiting+Manager+Citi" TargetMode="External"/><Relationship Id="rId1177" Type="http://schemas.openxmlformats.org/officeDocument/2006/relationships/hyperlink" Target="https://www.google.com/search?newwindow=1&amp;ei=2MT0XrvGGM-vytMP1OyDgAY&amp;q=site%3Alinkedin.com+Kimberly+Czarnecki+Assistant+Director+Campus+Recruiting" TargetMode="External"/><Relationship Id="rId585" Type="http://schemas.openxmlformats.org/officeDocument/2006/relationships/hyperlink" Target="https://www.google.com/search?newwindow=1&amp;ei=2MT0XrvGGM-vytMP1OyDgAY&amp;q=site%3Alinkedin.com+Jacqueline+Waugh+Campus+Recruiter+Citi" TargetMode="External"/><Relationship Id="rId1178" Type="http://schemas.openxmlformats.org/officeDocument/2006/relationships/hyperlink" Target="https://www.google.com/search?newwindow=1&amp;ei=2MT0XrvGGM-vytMP1OyDgAY&amp;q=site%3Alinkedin.com+Harriet+Hetherton+Campus+Recruiter+-+Senior+Consultant" TargetMode="External"/><Relationship Id="rId584" Type="http://schemas.openxmlformats.org/officeDocument/2006/relationships/hyperlink" Target="https://www.google.com/search?newwindow=1&amp;ei=2MT0XrvGGM-vytMP1OyDgAY&amp;q=site%3Alinkedin.com+Emily+Bilotta+Assistant+Vice+President+Campus+Recruiter+&amp;+Program+Manager+Citi" TargetMode="External"/><Relationship Id="rId1179" Type="http://schemas.openxmlformats.org/officeDocument/2006/relationships/hyperlink" Target="https://www.google.com/search?newwindow=1&amp;ei=2MT0XrvGGM-vytMP1OyDgAY&amp;q=site%3Alinkedin.com+Emily+Cooper+Campus+Recruiter+-+Senior+Consultant" TargetMode="External"/><Relationship Id="rId1169" Type="http://schemas.openxmlformats.org/officeDocument/2006/relationships/hyperlink" Target="https://www.google.com/search?newwindow=1&amp;ei=2MT0XrvGGM-vytMP1OyDgAY&amp;q=site%3Alinkedin.com+Kendra+Stanfill+Graduate+Campus+Recruiter" TargetMode="External"/><Relationship Id="rId579" Type="http://schemas.openxmlformats.org/officeDocument/2006/relationships/hyperlink" Target="https://www.google.com/search?newwindow=1&amp;ei=2MT0XrvGGM-vytMP1OyDgAY&amp;q=site%3Alinkedin.com+Sivona+Blake+Assistant+Vice+President+-+Senior+Diversity+Campus+Recruiter+Citi" TargetMode="External"/><Relationship Id="rId578" Type="http://schemas.openxmlformats.org/officeDocument/2006/relationships/hyperlink" Target="https://www.google.com/search?newwindow=1&amp;ei=2MT0XrvGGM-vytMP1OyDgAY&amp;q=site%3Alinkedin.com+Emily+Bilotta+Vice+President+Head+of+University+Relations+Citi" TargetMode="External"/><Relationship Id="rId577" Type="http://schemas.openxmlformats.org/officeDocument/2006/relationships/hyperlink" Target="https://www.google.com/search?newwindow=1&amp;ei=2MT0XrvGGM-vytMP1OyDgAY&amp;q=site%3Alinkedin.com+Tiffany+Palacios+Hawkins+Campus+Recruiting+Manager+Global+Functions+Citi" TargetMode="External"/><Relationship Id="rId2490" Type="http://schemas.openxmlformats.org/officeDocument/2006/relationships/hyperlink" Target="https://www.google.com/search?newwindow=1&amp;ei=2MT0XrvGGM-vytMP1OyDgAY&amp;q=site%3Alinkedin.com+Sara+Lopez+Campus+Recruiter+Target+Headquarters" TargetMode="External"/><Relationship Id="rId1160" Type="http://schemas.openxmlformats.org/officeDocument/2006/relationships/hyperlink" Target="https://www.google.com/search?newwindow=1&amp;ei=2MT0XrvGGM-vytMP1OyDgAY&amp;q=site%3Alinkedin.com+Yasmeen+Marques+Campus+Recruiting+Coordinator" TargetMode="External"/><Relationship Id="rId2491" Type="http://schemas.openxmlformats.org/officeDocument/2006/relationships/hyperlink" Target="https://www.google.com/search?newwindow=1&amp;ei=2MT0XrvGGM-vytMP1OyDgAY&amp;q=site%3Alinkedin.com+Laura+Smith+Sr.+Campus+Recruiting+Specialist" TargetMode="External"/><Relationship Id="rId572" Type="http://schemas.openxmlformats.org/officeDocument/2006/relationships/hyperlink" Target="https://www.google.com/search?newwindow=1&amp;ei=2MT0XrvGGM-vytMP1OyDgAY&amp;q=site%3Alinkedin.com+Jacqueline+Waugh+Campus+Recruiting+Manager+Citi" TargetMode="External"/><Relationship Id="rId1161" Type="http://schemas.openxmlformats.org/officeDocument/2006/relationships/hyperlink" Target="https://www.google.com/search?newwindow=1&amp;ei=2MT0XrvGGM-vytMP1OyDgAY&amp;q=site%3Alinkedin.com+Kristina+Liphardt+Director+Campus+Recruiting+Leader" TargetMode="External"/><Relationship Id="rId2492" Type="http://schemas.openxmlformats.org/officeDocument/2006/relationships/hyperlink" Target="https://www.google.com/search?newwindow=1&amp;ei=2MT0XrvGGM-vytMP1OyDgAY&amp;q=site%3Alinkedin.com+Madhuri+Gadkari+Campus+Recruiter+Tata+Consultancy+Services" TargetMode="External"/><Relationship Id="rId571" Type="http://schemas.openxmlformats.org/officeDocument/2006/relationships/hyperlink" Target="https://www.google.com/search?newwindow=1&amp;ei=2MT0XrvGGM-vytMP1OyDgAY&amp;q=site%3Alinkedin.com+Margaret+Norman+Campus+Recruiter+Citi" TargetMode="External"/><Relationship Id="rId1162" Type="http://schemas.openxmlformats.org/officeDocument/2006/relationships/hyperlink" Target="https://www.google.com/search?newwindow=1&amp;ei=2MT0XrvGGM-vytMP1OyDgAY&amp;q=site%3Alinkedin.com+Ashley+Green+Campus+Recruiting+Coordinator" TargetMode="External"/><Relationship Id="rId2493" Type="http://schemas.openxmlformats.org/officeDocument/2006/relationships/hyperlink" Target="https://www.google.com/search?newwindow=1&amp;ei=2MT0XrvGGM-vytMP1OyDgAY&amp;q=site%3Alinkedin.com+Tyler+George+Mathurin+Campus+Recruiter+Tata+Consultancy+Services" TargetMode="External"/><Relationship Id="rId570" Type="http://schemas.openxmlformats.org/officeDocument/2006/relationships/hyperlink" Target="https://www.google.com/search?newwindow=1&amp;ei=2MT0XrvGGM-vytMP1OyDgAY&amp;q=site%3Alinkedin.com+Hannah+Deakin+EMEA+Campus+Lead+Recruiter" TargetMode="External"/><Relationship Id="rId1163" Type="http://schemas.openxmlformats.org/officeDocument/2006/relationships/hyperlink" Target="https://www.google.com/search?newwindow=1&amp;ei=2MT0XrvGGM-vytMP1OyDgAY&amp;q=site%3Alinkedin.com+Catherine+McKellar+Campus+Recruiter" TargetMode="External"/><Relationship Id="rId2494" Type="http://schemas.openxmlformats.org/officeDocument/2006/relationships/hyperlink" Target="https://www.google.com/search?newwindow=1&amp;ei=2MT0XrvGGM-vytMP1OyDgAY&amp;q=site%3Alinkedin.com+Joe+Leos+Jr.+PHR+SHRM+CP+Campus+Recruiter+Tata+Consultancy+Services" TargetMode="External"/><Relationship Id="rId1164" Type="http://schemas.openxmlformats.org/officeDocument/2006/relationships/hyperlink" Target="https://www.google.com/search?newwindow=1&amp;ei=2MT0XrvGGM-vytMP1OyDgAY&amp;q=site%3Alinkedin.com+Kristen+Spiridon+Campus+Recruiting" TargetMode="External"/><Relationship Id="rId2495" Type="http://schemas.openxmlformats.org/officeDocument/2006/relationships/hyperlink" Target="https://www.google.com/search?newwindow=1&amp;ei=2MT0XrvGGM-vytMP1OyDgAY&amp;q=site%3Alinkedin.com+Jon+Spence+Sr.+Recruiter+-+Campus+Recruitment" TargetMode="External"/><Relationship Id="rId576" Type="http://schemas.openxmlformats.org/officeDocument/2006/relationships/hyperlink" Target="https://www.google.com/search?newwindow=1&amp;ei=2MT0XrvGGM-vytMP1OyDgAY&amp;q=site%3Alinkedin.com+Abigail+Nelson+Campus+Recruiter+Citi" TargetMode="External"/><Relationship Id="rId1165" Type="http://schemas.openxmlformats.org/officeDocument/2006/relationships/hyperlink" Target="https://www.google.com/search?newwindow=1&amp;ei=2MT0XrvGGM-vytMP1OyDgAY&amp;q=site%3Alinkedin.com+Alexandra+Barbacane+Campus+Recruiting" TargetMode="External"/><Relationship Id="rId2496" Type="http://schemas.openxmlformats.org/officeDocument/2006/relationships/hyperlink" Target="https://www.google.com/search?newwindow=1&amp;ei=2MT0XrvGGM-vytMP1OyDgAY&amp;q=site%3Alinkedin.com+Melissa+Homer+Early+Talent+Recruiter" TargetMode="External"/><Relationship Id="rId575" Type="http://schemas.openxmlformats.org/officeDocument/2006/relationships/hyperlink" Target="https://www.google.com/search?newwindow=1&amp;ei=2MT0XrvGGM-vytMP1OyDgAY&amp;q=site%3Alinkedin.com+Lauren+Harrison+Campus+Recruiter+-+Global+Consumer+Technology+Citi" TargetMode="External"/><Relationship Id="rId1166" Type="http://schemas.openxmlformats.org/officeDocument/2006/relationships/hyperlink" Target="https://www.google.com/search?newwindow=1&amp;ei=2MT0XrvGGM-vytMP1OyDgAY&amp;q=site%3Alinkedin.com+Mary+Bongart+Campus+Recruiter" TargetMode="External"/><Relationship Id="rId2497" Type="http://schemas.openxmlformats.org/officeDocument/2006/relationships/hyperlink" Target="https://www.google.com/search?newwindow=1&amp;ei=2MT0XrvGGM-vytMP1OyDgAY&amp;q=site%3Alinkedin.com+Carrie-Ellen+Mitchell+University+Recruiter" TargetMode="External"/><Relationship Id="rId574" Type="http://schemas.openxmlformats.org/officeDocument/2006/relationships/hyperlink" Target="https://www.google.com/search?newwindow=1&amp;ei=2MT0XrvGGM-vytMP1OyDgAY&amp;q=site%3Alinkedin.com+Camille+Pasquier+Campus+Recruiter+Citi" TargetMode="External"/><Relationship Id="rId1167" Type="http://schemas.openxmlformats.org/officeDocument/2006/relationships/hyperlink" Target="https://www.google.com/search?newwindow=1&amp;ei=2MT0XrvGGM-vytMP1OyDgAY&amp;q=site%3Alinkedin.com+Kelly+Nolan+Campus+Recruiting+Coordinator" TargetMode="External"/><Relationship Id="rId2498" Type="http://schemas.openxmlformats.org/officeDocument/2006/relationships/hyperlink" Target="https://www.google.com/search?newwindow=1&amp;ei=2MT0XrvGGM-vytMP1OyDgAY&amp;q=site%3Alinkedin.com+Chloe+Hall+University+Recruiter" TargetMode="External"/><Relationship Id="rId573" Type="http://schemas.openxmlformats.org/officeDocument/2006/relationships/hyperlink" Target="https://www.google.com/search?newwindow=1&amp;ei=2MT0XrvGGM-vytMP1OyDgAY&amp;q=site%3Alinkedin.com+Katherine+David+Campus+Recruiter+Citi" TargetMode="External"/><Relationship Id="rId1168" Type="http://schemas.openxmlformats.org/officeDocument/2006/relationships/hyperlink" Target="https://www.google.com/search?newwindow=1&amp;ei=2MT0XrvGGM-vytMP1OyDgAY&amp;q=site%3Alinkedin.com+Meg+Struble+National+Consulting+Campus+Recruiting+Lead+Assistant+Director" TargetMode="External"/><Relationship Id="rId2499" Type="http://schemas.openxmlformats.org/officeDocument/2006/relationships/hyperlink" Target="https://www.google.com/search?newwindow=1&amp;ei=2MT0XrvGGM-vytMP1OyDgAY&amp;q=site%3Alinkedin.com+Catherine+Camp+University+Recruiter" TargetMode="External"/><Relationship Id="rId1190" Type="http://schemas.openxmlformats.org/officeDocument/2006/relationships/hyperlink" Target="https://www.google.com/search?newwindow=1&amp;ei=2MT0XrvGGM-vytMP1OyDgAY&amp;q=site%3Alinkedin.com+Angela+Sorrell+Director+US+Campus+Recruiting+Leader--Transaction+and+Strategy+at+Ernst+&amp;+Young+LLP" TargetMode="External"/><Relationship Id="rId1191" Type="http://schemas.openxmlformats.org/officeDocument/2006/relationships/hyperlink" Target="https://www.google.com/search?newwindow=1&amp;ei=2MT0XrvGGM-vytMP1OyDgAY&amp;q=site%3Alinkedin.com+Gloria+Huh+Campus+Recruiting+Coordinator" TargetMode="External"/><Relationship Id="rId1192" Type="http://schemas.openxmlformats.org/officeDocument/2006/relationships/hyperlink" Target="https://www.google.com/search?newwindow=1&amp;ei=2MT0XrvGGM-vytMP1OyDgAY&amp;q=site%3Alinkedin.com+Kelly+Kasenetz+Campus+Recruiting" TargetMode="External"/><Relationship Id="rId1193" Type="http://schemas.openxmlformats.org/officeDocument/2006/relationships/hyperlink" Target="https://www.google.com/search?newwindow=1&amp;ei=2MT0XrvGGM-vytMP1OyDgAY&amp;q=site%3Alinkedin.com+Debbie+Bhermi+Student+Recruiter" TargetMode="External"/><Relationship Id="rId1194" Type="http://schemas.openxmlformats.org/officeDocument/2006/relationships/hyperlink" Target="https://www.google.com/search?newwindow=1&amp;ei=2MT0XrvGGM-vytMP1OyDgAY&amp;q=site%3Alinkedin.com+Sarah+Tegen+Supervising+Associate+Campus+Recruiting" TargetMode="External"/><Relationship Id="rId1195" Type="http://schemas.openxmlformats.org/officeDocument/2006/relationships/hyperlink" Target="https://www.google.com/search?newwindow=1&amp;ei=2MT0XrvGGM-vytMP1OyDgAY&amp;q=site%3Alinkedin.com+Daisy+Hoops+Data+Scientist" TargetMode="External"/><Relationship Id="rId1196" Type="http://schemas.openxmlformats.org/officeDocument/2006/relationships/hyperlink" Target="https://www.google.com/search?newwindow=1&amp;ei=2MT0XrvGGM-vytMP1OyDgAY&amp;q=site%3Alinkedin.com+Claire+Williams+Technical+University+Recruiter+EMEA+-+Software+Engineers" TargetMode="External"/><Relationship Id="rId1197" Type="http://schemas.openxmlformats.org/officeDocument/2006/relationships/hyperlink" Target="https://www.google.com/search?newwindow=1&amp;ei=2MT0XrvGGM-vytMP1OyDgAY&amp;q=site%3Alinkedin.com+George+Duff+University+Recruitment+Coordinator" TargetMode="External"/><Relationship Id="rId1198" Type="http://schemas.openxmlformats.org/officeDocument/2006/relationships/hyperlink" Target="https://www.google.com/search?newwindow=1&amp;ei=2MT0XrvGGM-vytMP1OyDgAY&amp;q=site%3Alinkedin.com+Kuldip+Bhathal+Graduate+Recruiter" TargetMode="External"/><Relationship Id="rId1199" Type="http://schemas.openxmlformats.org/officeDocument/2006/relationships/hyperlink" Target="https://www.google.com/search?newwindow=1&amp;ei=2MT0XrvGGM-vytMP1OyDgAY&amp;q=site%3Alinkedin.com+Emily+Horton+University+Recruiter" TargetMode="External"/><Relationship Id="rId599" Type="http://schemas.openxmlformats.org/officeDocument/2006/relationships/hyperlink" Target="https://www.google.com/search?newwindow=1&amp;ei=2MT0XrvGGM-vytMP1OyDgAY&amp;q=site%3Alinkedin.com+Stacey+Kubler+Lead+University+Recruiter+Citrix" TargetMode="External"/><Relationship Id="rId1180" Type="http://schemas.openxmlformats.org/officeDocument/2006/relationships/hyperlink" Target="https://www.google.com/search?newwindow=1&amp;ei=2MT0XrvGGM-vytMP1OyDgAY&amp;q=site%3Alinkedin.com+Jefferson+Johnson+Assistant+Director+-+Campus+Recruiting" TargetMode="External"/><Relationship Id="rId1181" Type="http://schemas.openxmlformats.org/officeDocument/2006/relationships/hyperlink" Target="https://www.google.com/search?newwindow=1&amp;ei=2MT0XrvGGM-vytMP1OyDgAY&amp;q=site%3Alinkedin.com+Jordan+Barratt+National+Campus+Recruiting+Leader" TargetMode="External"/><Relationship Id="rId1182" Type="http://schemas.openxmlformats.org/officeDocument/2006/relationships/hyperlink" Target="https://www.google.com/search?newwindow=1&amp;ei=2MT0XrvGGM-vytMP1OyDgAY&amp;q=site%3Alinkedin.com+Quynh+Dinh+CHRP+Campus+Recruiter" TargetMode="External"/><Relationship Id="rId594" Type="http://schemas.openxmlformats.org/officeDocument/2006/relationships/hyperlink" Target="https://www.google.com/search?newwindow=1&amp;ei=2MT0XrvGGM-vytMP1OyDgAY&amp;q=site%3Alinkedin.com+Xavien+Jackson+Campus+Recruiter+Citi" TargetMode="External"/><Relationship Id="rId1183" Type="http://schemas.openxmlformats.org/officeDocument/2006/relationships/hyperlink" Target="https://www.google.com/search?newwindow=1&amp;ei=2MT0XrvGGM-vytMP1OyDgAY&amp;q=site%3Alinkedin.com+Alexandra+Famiglietti+CHRL+National+Advisory+Campus+Recruiting+Leader" TargetMode="External"/><Relationship Id="rId593" Type="http://schemas.openxmlformats.org/officeDocument/2006/relationships/hyperlink" Target="https://www.google.com/search?newwindow=1&amp;ei=2MT0XrvGGM-vytMP1OyDgAY&amp;q=site%3Alinkedin.com+Rhiannon+(Anna)+C.+Campus+Recruiter+Coordinator+Citi" TargetMode="External"/><Relationship Id="rId1184" Type="http://schemas.openxmlformats.org/officeDocument/2006/relationships/hyperlink" Target="https://www.google.com/search?newwindow=1&amp;ei=2MT0XrvGGM-vytMP1OyDgAY&amp;q=site%3Alinkedin.com+Sabrina+Notarangelo+Swinden+Campus+Recruiter" TargetMode="External"/><Relationship Id="rId592" Type="http://schemas.openxmlformats.org/officeDocument/2006/relationships/hyperlink" Target="https://www.google.com/search?newwindow=1&amp;ei=2MT0XrvGGM-vytMP1OyDgAY&amp;q=site%3Alinkedin.com+Michelle+D'Erario+Assistant+Vice+President+Campus+Recruiter+Citi" TargetMode="External"/><Relationship Id="rId1185" Type="http://schemas.openxmlformats.org/officeDocument/2006/relationships/hyperlink" Target="https://www.google.com/search?newwindow=1&amp;ei=2MT0XrvGGM-vytMP1OyDgAY&amp;q=site%3Alinkedin.com+Marianne+Streete+Campus+Recruiter+-+Advisory" TargetMode="External"/><Relationship Id="rId591" Type="http://schemas.openxmlformats.org/officeDocument/2006/relationships/hyperlink" Target="https://www.google.com/search?newwindow=1&amp;ei=2MT0XrvGGM-vytMP1OyDgAY&amp;q=site%3Alinkedin.com+Danielle+Sirubi+Assistant+Vice+President+Campus+Recruiter+-+Banking+Capital+Markets+&amp;+Advisory+Citi" TargetMode="External"/><Relationship Id="rId1186" Type="http://schemas.openxmlformats.org/officeDocument/2006/relationships/hyperlink" Target="https://www.google.com/search?newwindow=1&amp;ei=2MT0XrvGGM-vytMP1OyDgAY&amp;q=site%3Alinkedin.com+Gurpreet+Dhillon+Campus+Recruiting+Lead-Western+Canada" TargetMode="External"/><Relationship Id="rId598" Type="http://schemas.openxmlformats.org/officeDocument/2006/relationships/hyperlink" Target="https://www.google.com/search?newwindow=1&amp;ei=2MT0XrvGGM-vytMP1OyDgAY&amp;q=site%3Alinkedin.com+Amy+Grant+University+Recruiter+Americas+Engineering+Citrix" TargetMode="External"/><Relationship Id="rId1187" Type="http://schemas.openxmlformats.org/officeDocument/2006/relationships/hyperlink" Target="https://www.google.com/search?newwindow=1&amp;ei=2MT0XrvGGM-vytMP1OyDgAY&amp;q=site%3Alinkedin.com+Nicole+Sullivan+Campus+Recruiting" TargetMode="External"/><Relationship Id="rId597" Type="http://schemas.openxmlformats.org/officeDocument/2006/relationships/hyperlink" Target="https://www.google.com/search?newwindow=1&amp;ei=2MT0XrvGGM-vytMP1OyDgAY&amp;q=site%3Alinkedin.com+Kamor+Brown+University+Recruiter+Citrix" TargetMode="External"/><Relationship Id="rId1188" Type="http://schemas.openxmlformats.org/officeDocument/2006/relationships/hyperlink" Target="https://www.google.com/search?newwindow=1&amp;ei=2MT0XrvGGM-vytMP1OyDgAY&amp;q=site%3Alinkedin.com+Lolita+Hill+Supervising+Associate+Campus+Recruiting" TargetMode="External"/><Relationship Id="rId596" Type="http://schemas.openxmlformats.org/officeDocument/2006/relationships/hyperlink" Target="https://www.google.com/search?newwindow=1&amp;ei=2MT0XrvGGM-vytMP1OyDgAY&amp;q=site%3Alinkedin.com+Kalli+Brooks+University+Sourcing+Recruiter+Citrix" TargetMode="External"/><Relationship Id="rId1189" Type="http://schemas.openxmlformats.org/officeDocument/2006/relationships/hyperlink" Target="https://www.google.com/search?newwindow=1&amp;ei=2MT0XrvGGM-vytMP1OyDgAY&amp;q=site%3Alinkedin.com+Sean+Woolford+Supervising+Associate+Financial+Services+Organization+Campus+Recruiting" TargetMode="External"/><Relationship Id="rId595" Type="http://schemas.openxmlformats.org/officeDocument/2006/relationships/hyperlink" Target="https://www.google.com/search?newwindow=1&amp;ei=2MT0XrvGGM-vytMP1OyDgAY&amp;q=site%3Alinkedin.com+Kate+Myers+Campus+Recruiter+Citigroup" TargetMode="External"/><Relationship Id="rId1136" Type="http://schemas.openxmlformats.org/officeDocument/2006/relationships/hyperlink" Target="https://www.google.com/search?newwindow=1&amp;ei=2MT0XrvGGM-vytMP1OyDgAY&amp;q=site%3Alinkedin.com+Roshni+Naik+Campus+Recruiting+Coordinator" TargetMode="External"/><Relationship Id="rId2467" Type="http://schemas.openxmlformats.org/officeDocument/2006/relationships/hyperlink" Target="https://www.google.com/search?newwindow=1&amp;ei=2MT0XrvGGM-vytMP1OyDgAY&amp;q=site%3Alinkedin.com+John+Walsh+Campus+Recruiter+Target" TargetMode="External"/><Relationship Id="rId1137" Type="http://schemas.openxmlformats.org/officeDocument/2006/relationships/hyperlink" Target="https://www.google.com/search?newwindow=1&amp;ei=2MT0XrvGGM-vytMP1OyDgAY&amp;q=site%3Alinkedin.com+Maddie+Mohr+Senior+Campus+Recruiting+Associate+Talent+Attraction+and+Acquisition" TargetMode="External"/><Relationship Id="rId2468" Type="http://schemas.openxmlformats.org/officeDocument/2006/relationships/hyperlink" Target="https://www.google.com/search?newwindow=1&amp;ei=2MT0XrvGGM-vytMP1OyDgAY&amp;q=site%3Alinkedin.com+sara+moghadam+Group+Campus+Recruiter+Target" TargetMode="External"/><Relationship Id="rId1138" Type="http://schemas.openxmlformats.org/officeDocument/2006/relationships/hyperlink" Target="https://www.google.com/search?newwindow=1&amp;ei=2MT0XrvGGM-vytMP1OyDgAY&amp;q=site%3Alinkedin.com+Yesenia+Turcios+Campus+Recruiting+Coordinator+-+Financial+Services+Organization" TargetMode="External"/><Relationship Id="rId2469" Type="http://schemas.openxmlformats.org/officeDocument/2006/relationships/hyperlink" Target="https://www.google.com/search?newwindow=1&amp;ei=2MT0XrvGGM-vytMP1OyDgAY&amp;q=site%3Alinkedin.com+Amy+Hayes+Executive+Team+Leader-+Logistics/Campus+Recruiter+D446+Target" TargetMode="External"/><Relationship Id="rId1139" Type="http://schemas.openxmlformats.org/officeDocument/2006/relationships/hyperlink" Target="https://www.google.com/search?newwindow=1&amp;ei=2MT0XrvGGM-vytMP1OyDgAY&amp;q=site%3Alinkedin.com+Keilyn+Robinson+MSW+Campus+Recruiting+Coordinator" TargetMode="External"/><Relationship Id="rId547" Type="http://schemas.openxmlformats.org/officeDocument/2006/relationships/hyperlink" Target="https://www.google.com/search?newwindow=1&amp;ei=2MT0XrvGGM-vytMP1OyDgAY&amp;q=site%3Alinkedin.com+Andrew+L.+Saenz+Campus+Recruiter+Citadel" TargetMode="External"/><Relationship Id="rId546" Type="http://schemas.openxmlformats.org/officeDocument/2006/relationships/hyperlink" Target="https://www.google.com/search?newwindow=1&amp;ei=2MT0XrvGGM-vytMP1OyDgAY&amp;q=site%3Alinkedin.com+Anna+Curtis+(Assoc+CIPD)+Europe+Lead+Campus+Recruiter" TargetMode="External"/><Relationship Id="rId545" Type="http://schemas.openxmlformats.org/officeDocument/2006/relationships/hyperlink" Target="https://www.google.com/search?newwindow=1&amp;ei=2MT0XrvGGM-vytMP1OyDgAY&amp;q=site%3Alinkedin.com+Dawn+Johnson+College+Recruiter+Cisco+Systems+Inc." TargetMode="External"/><Relationship Id="rId544" Type="http://schemas.openxmlformats.org/officeDocument/2006/relationships/hyperlink" Target="https://www.google.com/search?newwindow=1&amp;ei=2MT0XrvGGM-vytMP1OyDgAY&amp;q=site%3Alinkedin.com+Jill+Decker+University+Recruiter+Cisco+Systems+Inc." TargetMode="External"/><Relationship Id="rId549" Type="http://schemas.openxmlformats.org/officeDocument/2006/relationships/hyperlink" Target="https://www.google.com/search?newwindow=1&amp;ei=2MT0XrvGGM-vytMP1OyDgAY&amp;q=site%3Alinkedin.com+Grace+Martin+Campus+Recruiter+-+Quantitative+Research+Citadel" TargetMode="External"/><Relationship Id="rId548" Type="http://schemas.openxmlformats.org/officeDocument/2006/relationships/hyperlink" Target="https://www.google.com/search?newwindow=1&amp;ei=2MT0XrvGGM-vytMP1OyDgAY&amp;q=site%3Alinkedin.com+Allie+McMahon+Campus+Recruiting+Manager+Citadel" TargetMode="External"/><Relationship Id="rId2460" Type="http://schemas.openxmlformats.org/officeDocument/2006/relationships/hyperlink" Target="https://www.google.com/search?newwindow=1&amp;ei=2MT0XrvGGM-vytMP1OyDgAY&amp;q=site%3Alinkedin.com+Craig+Sedoris+Campus+Recruiter+Target" TargetMode="External"/><Relationship Id="rId1130" Type="http://schemas.openxmlformats.org/officeDocument/2006/relationships/hyperlink" Target="https://www.google.com/search?newwindow=1&amp;ei=2MT0XrvGGM-vytMP1OyDgAY&amp;q=site%3Alinkedin.com+Jay+Preston+Office+Managing+Partner" TargetMode="External"/><Relationship Id="rId2461" Type="http://schemas.openxmlformats.org/officeDocument/2006/relationships/hyperlink" Target="https://www.google.com/search?newwindow=1&amp;ei=2MT0XrvGGM-vytMP1OyDgAY&amp;q=site%3Alinkedin.com+MaRyia+Jones+Campus+Recruiter/Business+College+Leader+Target" TargetMode="External"/><Relationship Id="rId1131" Type="http://schemas.openxmlformats.org/officeDocument/2006/relationships/hyperlink" Target="https://www.google.com/search?newwindow=1&amp;ei=2MT0XrvGGM-vytMP1OyDgAY&amp;q=site%3Alinkedin.com+Morgan+Liss+FSO+Assurance+Campus+Recruiter" TargetMode="External"/><Relationship Id="rId2462" Type="http://schemas.openxmlformats.org/officeDocument/2006/relationships/hyperlink" Target="https://www.google.com/search?newwindow=1&amp;ei=2MT0XrvGGM-vytMP1OyDgAY&amp;q=site%3Alinkedin.com+Ashley+Miller+Lead+Executive+Campus+Recruiter+Target" TargetMode="External"/><Relationship Id="rId543" Type="http://schemas.openxmlformats.org/officeDocument/2006/relationships/hyperlink" Target="https://www.google.com/search?newwindow=1&amp;ei=2MT0XrvGGM-vytMP1OyDgAY&amp;q=site%3Alinkedin.com+Dawn+Harvey+Cisco+Systems++Recruiter-University+Recruiting+Cisco+Systems" TargetMode="External"/><Relationship Id="rId1132" Type="http://schemas.openxmlformats.org/officeDocument/2006/relationships/hyperlink" Target="https://www.google.com/search?newwindow=1&amp;ei=2MT0XrvGGM-vytMP1OyDgAY&amp;q=site%3Alinkedin.com+Sydney+Ziober+Campus+Recruiting+Coordinator" TargetMode="External"/><Relationship Id="rId2463" Type="http://schemas.openxmlformats.org/officeDocument/2006/relationships/hyperlink" Target="https://www.google.com/search?newwindow=1&amp;ei=2MT0XrvGGM-vytMP1OyDgAY&amp;q=site%3Alinkedin.com+Kathryn+Kusa+Campus+Recruiter+Target" TargetMode="External"/><Relationship Id="rId542" Type="http://schemas.openxmlformats.org/officeDocument/2006/relationships/hyperlink" Target="https://www.google.com/search?newwindow=1&amp;ei=2MT0XrvGGM-vytMP1OyDgAY&amp;q=site%3Alinkedin.com+Erica+Cox+College+Recruiter+Cisco+Systems" TargetMode="External"/><Relationship Id="rId1133" Type="http://schemas.openxmlformats.org/officeDocument/2006/relationships/hyperlink" Target="https://www.google.com/search?newwindow=1&amp;ei=2MT0XrvGGM-vytMP1OyDgAY&amp;q=site%3Alinkedin.com+Taylor+Lyons+Campus+Recruiting+Coordinator" TargetMode="External"/><Relationship Id="rId2464" Type="http://schemas.openxmlformats.org/officeDocument/2006/relationships/hyperlink" Target="https://www.google.com/search?newwindow=1&amp;ei=2MT0XrvGGM-vytMP1OyDgAY&amp;q=site%3Alinkedin.com+Beth+Bonarrigo+Sr.+Field+Campus+Recruiter+I+Trainer+I+HR+Business+Partner+Target" TargetMode="External"/><Relationship Id="rId541" Type="http://schemas.openxmlformats.org/officeDocument/2006/relationships/hyperlink" Target="https://www.google.com/search?newwindow=1&amp;ei=2MT0XrvGGM-vytMP1OyDgAY&amp;q=site%3Alinkedin.com+Kayla+Stueland-Imo+Technical+University+Recruiter+Cisco+Meraki" TargetMode="External"/><Relationship Id="rId1134" Type="http://schemas.openxmlformats.org/officeDocument/2006/relationships/hyperlink" Target="https://www.google.com/search?newwindow=1&amp;ei=2MT0XrvGGM-vytMP1OyDgAY&amp;q=site%3Alinkedin.com+Eliza+Coleman+Assistant+Director+Americas+Technology+Consultant+Campus+Recruiting+Operations" TargetMode="External"/><Relationship Id="rId2465" Type="http://schemas.openxmlformats.org/officeDocument/2006/relationships/hyperlink" Target="https://www.google.com/search?newwindow=1&amp;ei=2MT0XrvGGM-vytMP1OyDgAY&amp;q=site%3Alinkedin.com+Vanessa+Kramer+Campus+Recruiter+Target" TargetMode="External"/><Relationship Id="rId540" Type="http://schemas.openxmlformats.org/officeDocument/2006/relationships/hyperlink" Target="https://www.google.com/search?newwindow=1&amp;ei=2MT0XrvGGM-vytMP1OyDgAY&amp;q=site%3Alinkedin.com+Dawn+McLaughlin+Senior+Technical+Recruiter+Cisco" TargetMode="External"/><Relationship Id="rId1135" Type="http://schemas.openxmlformats.org/officeDocument/2006/relationships/hyperlink" Target="https://www.google.com/search?newwindow=1&amp;ei=2MT0XrvGGM-vytMP1OyDgAY&amp;q=site%3Alinkedin.com+Mary+Kohr+Campus+Recruiting+Coordinator" TargetMode="External"/><Relationship Id="rId2466" Type="http://schemas.openxmlformats.org/officeDocument/2006/relationships/hyperlink" Target="https://www.google.com/search?newwindow=1&amp;ei=2MT0XrvGGM-vytMP1OyDgAY&amp;q=site%3Alinkedin.com+Andrea+Herrald+Lead+Executive+Campus+Recruiter-Supply+Chain+Target" TargetMode="External"/><Relationship Id="rId1125" Type="http://schemas.openxmlformats.org/officeDocument/2006/relationships/hyperlink" Target="https://www.google.com/search?newwindow=1&amp;ei=2MT0XrvGGM-vytMP1OyDgAY&amp;q=site%3Alinkedin.com+Derek+Winkler+People+Advisory+Services+-+Americas+COO+for+Global+Immigration+and+Business+Traveler+Services" TargetMode="External"/><Relationship Id="rId2456" Type="http://schemas.openxmlformats.org/officeDocument/2006/relationships/hyperlink" Target="https://www.google.com/search?newwindow=1&amp;ei=2MT0XrvGGM-vytMP1OyDgAY&amp;q=site%3Alinkedin.com+Sophie+(Marie)+Imbert+MBA+CCXP+FCXP+(CX-I)+SA+Programs+Manager+-+Student+Services+Branch" TargetMode="External"/><Relationship Id="rId1126" Type="http://schemas.openxmlformats.org/officeDocument/2006/relationships/hyperlink" Target="https://www.google.com/search?newwindow=1&amp;ei=2MT0XrvGGM-vytMP1OyDgAY&amp;q=site%3Alinkedin.com+Taryn+Talbert+Campus+Recruiting+Coordinator" TargetMode="External"/><Relationship Id="rId2457" Type="http://schemas.openxmlformats.org/officeDocument/2006/relationships/hyperlink" Target="https://www.google.com/search?newwindow=1&amp;ei=2MT0XrvGGM-vytMP1OyDgAY&amp;q=site%3Alinkedin.com+Michael+Wager+Front+End+Supervisor" TargetMode="External"/><Relationship Id="rId1127" Type="http://schemas.openxmlformats.org/officeDocument/2006/relationships/hyperlink" Target="https://www.google.com/search?newwindow=1&amp;ei=2MT0XrvGGM-vytMP1OyDgAY&amp;q=site%3Alinkedin.com+Jennifer+N.+Campus+Recruiting" TargetMode="External"/><Relationship Id="rId2458" Type="http://schemas.openxmlformats.org/officeDocument/2006/relationships/hyperlink" Target="https://www.google.com/search?newwindow=1&amp;ei=2MT0XrvGGM-vytMP1OyDgAY&amp;q=site%3Alinkedin.com+Greg+Pare+Lead+Campus+Recruiter+Target" TargetMode="External"/><Relationship Id="rId1128" Type="http://schemas.openxmlformats.org/officeDocument/2006/relationships/hyperlink" Target="https://www.google.com/search?newwindow=1&amp;ei=2MT0XrvGGM-vytMP1OyDgAY&amp;q=site%3Alinkedin.com+Rebecca+Venner+Campus+Recruiting+Coordinator" TargetMode="External"/><Relationship Id="rId2459" Type="http://schemas.openxmlformats.org/officeDocument/2006/relationships/hyperlink" Target="https://www.google.com/search?newwindow=1&amp;ei=2MT0XrvGGM-vytMP1OyDgAY&amp;q=site%3Alinkedin.com+Amy+Blake+Group+Campus+Recruiter+Target" TargetMode="External"/><Relationship Id="rId1129" Type="http://schemas.openxmlformats.org/officeDocument/2006/relationships/hyperlink" Target="https://www.google.com/search?newwindow=1&amp;ei=2MT0XrvGGM-vytMP1OyDgAY&amp;q=site%3Alinkedin.com+Annarose+Christakos+Campus+Recruiting+Coordinator" TargetMode="External"/><Relationship Id="rId536" Type="http://schemas.openxmlformats.org/officeDocument/2006/relationships/hyperlink" Target="https://www.google.com/search?newwindow=1&amp;ei=2MT0XrvGGM-vytMP1OyDgAY&amp;q=site%3Alinkedin.com+Michelle+OConnell+University+Recruiter+Cisco" TargetMode="External"/><Relationship Id="rId535" Type="http://schemas.openxmlformats.org/officeDocument/2006/relationships/hyperlink" Target="https://www.google.com/search?newwindow=1&amp;ei=2MT0XrvGGM-vytMP1OyDgAY&amp;q=site%3Alinkedin.com+Brianna+(Bri)+Birkeness+University+Recruiter+-+Engineering+Cisco" TargetMode="External"/><Relationship Id="rId534" Type="http://schemas.openxmlformats.org/officeDocument/2006/relationships/hyperlink" Target="https://www.google.com/search?newwindow=1&amp;ei=2MT0XrvGGM-vytMP1OyDgAY&amp;q=site%3Alinkedin.com+Lauren+Araujo+University+Recruiter+Cisco" TargetMode="External"/><Relationship Id="rId533" Type="http://schemas.openxmlformats.org/officeDocument/2006/relationships/hyperlink" Target="https://www.google.com/search?newwindow=1&amp;ei=2MT0XrvGGM-vytMP1OyDgAY&amp;q=site%3Alinkedin.com+Jamie+Cowling+Graduate+Recruiter" TargetMode="External"/><Relationship Id="rId539" Type="http://schemas.openxmlformats.org/officeDocument/2006/relationships/hyperlink" Target="https://www.google.com/search?newwindow=1&amp;ei=2MT0XrvGGM-vytMP1OyDgAY&amp;q=site%3Alinkedin.com+Dawn+McLaughlin+University+Recruiting+Lead+Engineering+Cisco" TargetMode="External"/><Relationship Id="rId538" Type="http://schemas.openxmlformats.org/officeDocument/2006/relationships/hyperlink" Target="https://www.google.com/search?newwindow=1&amp;ei=2MT0XrvGGM-vytMP1OyDgAY&amp;q=site%3Alinkedin.com+Stephanie+Phillips+University+Recruiter+Cisco" TargetMode="External"/><Relationship Id="rId537" Type="http://schemas.openxmlformats.org/officeDocument/2006/relationships/hyperlink" Target="https://www.google.com/search?newwindow=1&amp;ei=2MT0XrvGGM-vytMP1OyDgAY&amp;q=site%3Alinkedin.com+Nathaniel+L.+University+Recruiter+Cisco" TargetMode="External"/><Relationship Id="rId2450" Type="http://schemas.openxmlformats.org/officeDocument/2006/relationships/hyperlink" Target="https://www.google.com/search?newwindow=1&amp;ei=2MT0XrvGGM-vytMP1OyDgAY&amp;q=site%3Alinkedin.com+Sarah+Deiter+Senior+University+Recruiter+T-Mobile" TargetMode="External"/><Relationship Id="rId1120" Type="http://schemas.openxmlformats.org/officeDocument/2006/relationships/hyperlink" Target="https://www.google.com/search?newwindow=1&amp;ei=2MT0XrvGGM-vytMP1OyDgAY&amp;q=site%3Alinkedin.com+Amanda+Summey+Graduate+(MBA)+Campus+Recruiting+-+Consulting" TargetMode="External"/><Relationship Id="rId2451" Type="http://schemas.openxmlformats.org/officeDocument/2006/relationships/hyperlink" Target="https://www.google.com/search?newwindow=1&amp;ei=2MT0XrvGGM-vytMP1OyDgAY&amp;q=site%3Alinkedin.com+Brandee+Waddell+College+and+Military+Recruiter+T-Mobile" TargetMode="External"/><Relationship Id="rId532" Type="http://schemas.openxmlformats.org/officeDocument/2006/relationships/hyperlink" Target="https://www.google.com/search?newwindow=1&amp;ei=2MT0XrvGGM-vytMP1OyDgAY&amp;q=site%3Alinkedin.com+Tilly+Lim+University+Recruitment+Specialist+-+ANZ+&amp;+SE+Asia" TargetMode="External"/><Relationship Id="rId1121" Type="http://schemas.openxmlformats.org/officeDocument/2006/relationships/hyperlink" Target="https://www.google.com/search?newwindow=1&amp;ei=2MT0XrvGGM-vytMP1OyDgAY&amp;q=site%3Alinkedin.com+Anneliese+Schumacher+West+Region+Campus+Recruiting+Director" TargetMode="External"/><Relationship Id="rId2452" Type="http://schemas.openxmlformats.org/officeDocument/2006/relationships/hyperlink" Target="https://www.google.com/search?newwindow=1&amp;ei=2MT0XrvGGM-vytMP1OyDgAY&amp;q=site%3Alinkedin.com+Remy+Crespo+Viewed+T-Mobile" TargetMode="External"/><Relationship Id="rId531" Type="http://schemas.openxmlformats.org/officeDocument/2006/relationships/hyperlink" Target="https://www.google.com/search?newwindow=1&amp;ei=2MT0XrvGGM-vytMP1OyDgAY&amp;q=site%3Alinkedin.com+Adele+Charlton+University+Recruitment+Manager+-+South+East+Asia+and+Australia+and+New+Zealand" TargetMode="External"/><Relationship Id="rId1122" Type="http://schemas.openxmlformats.org/officeDocument/2006/relationships/hyperlink" Target="https://www.google.com/search?newwindow=1&amp;ei=2MT0XrvGGM-vytMP1OyDgAY&amp;q=site%3Alinkedin.com+Brittany+Almendrales+Campus+Recruiting+Coordinator" TargetMode="External"/><Relationship Id="rId2453" Type="http://schemas.openxmlformats.org/officeDocument/2006/relationships/hyperlink" Target="https://www.google.com/search?newwindow=1&amp;ei=2MT0XrvGGM-vytMP1OyDgAY&amp;q=site%3Alinkedin.com+Wendy+Moore+Teacher+Aboriginal+Health+Programs" TargetMode="External"/><Relationship Id="rId530" Type="http://schemas.openxmlformats.org/officeDocument/2006/relationships/hyperlink" Target="https://www.google.com/search?newwindow=1&amp;ei=2MT0XrvGGM-vytMP1OyDgAY&amp;q=site%3Alinkedin.com+Phill+Haig+University+Recruitment+Business+Partner+-+Sales+&amp;+CX+(Global)" TargetMode="External"/><Relationship Id="rId1123" Type="http://schemas.openxmlformats.org/officeDocument/2006/relationships/hyperlink" Target="https://www.google.com/search?newwindow=1&amp;ei=2MT0XrvGGM-vytMP1OyDgAY&amp;q=site%3Alinkedin.com+Scott+Dai+Senior+Manager+Business+Strategy+&amp;+Consulting" TargetMode="External"/><Relationship Id="rId2454" Type="http://schemas.openxmlformats.org/officeDocument/2006/relationships/hyperlink" Target="https://www.google.com/search?newwindow=1&amp;ei=2MT0XrvGGM-vytMP1OyDgAY&amp;q=site%3Alinkedin.com+Elaine.+McBride+Manager+International+Student+Programs+TAFE+NSW+Riverina+Institute" TargetMode="External"/><Relationship Id="rId1124" Type="http://schemas.openxmlformats.org/officeDocument/2006/relationships/hyperlink" Target="https://www.google.com/search?newwindow=1&amp;ei=2MT0XrvGGM-vytMP1OyDgAY&amp;q=site%3Alinkedin.com+Brighid+Jensen+US+Campus+Recruiting+Associate+Director+-+Transformation+Project+Leader" TargetMode="External"/><Relationship Id="rId2455" Type="http://schemas.openxmlformats.org/officeDocument/2006/relationships/hyperlink" Target="https://www.google.com/search?newwindow=1&amp;ei=2MT0XrvGGM-vytMP1OyDgAY&amp;q=site%3Alinkedin.com+Ngaire+Young+Manager+Programs+&amp;+Projects+Student+Services" TargetMode="External"/><Relationship Id="rId1158" Type="http://schemas.openxmlformats.org/officeDocument/2006/relationships/hyperlink" Target="https://www.google.com/search?newwindow=1&amp;ei=2MT0XrvGGM-vytMP1OyDgAY&amp;q=site%3Alinkedin.com+Joe+Maturando+Director+of+Campus+Recruiting+Northeast+Region" TargetMode="External"/><Relationship Id="rId2489" Type="http://schemas.openxmlformats.org/officeDocument/2006/relationships/hyperlink" Target="https://www.google.com/search?newwindow=1&amp;ei=2MT0XrvGGM-vytMP1OyDgAY&amp;q=site%3Alinkedin.com+Sarah+Fairchild+Human+Resources+Representative/Executive+and+Campus+Recruiter+Target+Corporation" TargetMode="External"/><Relationship Id="rId1159" Type="http://schemas.openxmlformats.org/officeDocument/2006/relationships/hyperlink" Target="https://www.google.com/search?newwindow=1&amp;ei=2MT0XrvGGM-vytMP1OyDgAY&amp;q=site%3Alinkedin.com+Christine+Sexton+Campus+Recruiting++Americas+Talent+Team" TargetMode="External"/><Relationship Id="rId569" Type="http://schemas.openxmlformats.org/officeDocument/2006/relationships/hyperlink" Target="https://www.google.com/search?newwindow=1&amp;ei=2MT0XrvGGM-vytMP1OyDgAY&amp;q=site%3Alinkedin.com+Karen+Tang+Campus+Technology+Recruiter" TargetMode="External"/><Relationship Id="rId568" Type="http://schemas.openxmlformats.org/officeDocument/2006/relationships/hyperlink" Target="https://www.google.com/search?newwindow=1&amp;ei=2MT0XrvGGM-vytMP1OyDgAY&amp;q=site%3Alinkedin.com+Brianna+Durso+Campus+Recruiter+ANZ+&amp;+APAC+University+Relations+Specialist" TargetMode="External"/><Relationship Id="rId567" Type="http://schemas.openxmlformats.org/officeDocument/2006/relationships/hyperlink" Target="https://www.google.com/search?newwindow=1&amp;ei=2MT0XrvGGM-vytMP1OyDgAY&amp;q=site%3Alinkedin.com+Lisa+James+Human+Resources" TargetMode="External"/><Relationship Id="rId566" Type="http://schemas.openxmlformats.org/officeDocument/2006/relationships/hyperlink" Target="https://www.google.com/search?newwindow=1&amp;ei=2MT0XrvGGM-vytMP1OyDgAY&amp;q=site%3Alinkedin.com+Katy+Y.+Campus+Recruiting+Coordinator+&amp;+Operations+Analyst" TargetMode="External"/><Relationship Id="rId2480" Type="http://schemas.openxmlformats.org/officeDocument/2006/relationships/hyperlink" Target="https://www.google.com/search?newwindow=1&amp;ei=2MT0XrvGGM-vytMP1OyDgAY&amp;q=site%3Alinkedin.com+Pamela+McClaney+Lead+Executive+Recruiter+-+Field+Campus+Target" TargetMode="External"/><Relationship Id="rId561" Type="http://schemas.openxmlformats.org/officeDocument/2006/relationships/hyperlink" Target="https://www.google.com/search?newwindow=1&amp;ei=2MT0XrvGGM-vytMP1OyDgAY&amp;q=site%3Alinkedin.com+Chen+Murugiah+Assistant+Vice+President+-+Lead+Campus+Recruiter" TargetMode="External"/><Relationship Id="rId1150" Type="http://schemas.openxmlformats.org/officeDocument/2006/relationships/hyperlink" Target="https://www.google.com/search?newwindow=1&amp;ei=2MT0XrvGGM-vytMP1OyDgAY&amp;q=site%3Alinkedin.com+Emily+Dorsey+Perno+Assistant+Director+Campus+Recruiting+-+Tax" TargetMode="External"/><Relationship Id="rId2481" Type="http://schemas.openxmlformats.org/officeDocument/2006/relationships/hyperlink" Target="https://www.google.com/search?newwindow=1&amp;ei=2MT0XrvGGM-vytMP1OyDgAY&amp;q=site%3Alinkedin.com+Anna+Davis+Sr.+Field+Campus+Recruiter+Target" TargetMode="External"/><Relationship Id="rId560" Type="http://schemas.openxmlformats.org/officeDocument/2006/relationships/hyperlink" Target="https://www.google.com/search?newwindow=1&amp;ei=2MT0XrvGGM-vytMP1OyDgAY&amp;q=site%3Alinkedin.com+Pilar+T.+P%C3%A9rez-Griffo+Ja%C3%A9n+EMEA+-+Graduate+Recruiter+-+BCMA" TargetMode="External"/><Relationship Id="rId1151" Type="http://schemas.openxmlformats.org/officeDocument/2006/relationships/hyperlink" Target="https://www.google.com/search?newwindow=1&amp;ei=2MT0XrvGGM-vytMP1OyDgAY&amp;q=site%3Alinkedin.com+Nicole+Griffith+Associate+Director+Financial+Services+Campus+Recruiting" TargetMode="External"/><Relationship Id="rId2482" Type="http://schemas.openxmlformats.org/officeDocument/2006/relationships/hyperlink" Target="https://www.google.com/search?newwindow=1&amp;ei=2MT0XrvGGM-vytMP1OyDgAY&amp;q=site%3Alinkedin.com+Kyle+Bender+Lead+Executive+Campus+Recruiter+Target" TargetMode="External"/><Relationship Id="rId1152" Type="http://schemas.openxmlformats.org/officeDocument/2006/relationships/hyperlink" Target="https://www.google.com/search?newwindow=1&amp;ei=2MT0XrvGGM-vytMP1OyDgAY&amp;q=site%3Alinkedin.com+Jali+Henry+Graduate+Campus+Recruiting+Coordinator" TargetMode="External"/><Relationship Id="rId2483" Type="http://schemas.openxmlformats.org/officeDocument/2006/relationships/hyperlink" Target="https://www.google.com/search?newwindow=1&amp;ei=2MT0XrvGGM-vytMP1OyDgAY&amp;q=site%3Alinkedin.com+Iryonna+Scruggs+Field+Campus+recruiter+Target" TargetMode="External"/><Relationship Id="rId1153" Type="http://schemas.openxmlformats.org/officeDocument/2006/relationships/hyperlink" Target="https://www.google.com/search?newwindow=1&amp;ei=2MT0XrvGGM-vytMP1OyDgAY&amp;q=site%3Alinkedin.com+Shany+Feliz+Campus+Recruiting+Coordinator" TargetMode="External"/><Relationship Id="rId2484" Type="http://schemas.openxmlformats.org/officeDocument/2006/relationships/hyperlink" Target="https://www.google.com/search?newwindow=1&amp;ei=2MT0XrvGGM-vytMP1OyDgAY&amp;q=site%3Alinkedin.com+James+P.+Muldoon+Campus+Recruiter+Target" TargetMode="External"/><Relationship Id="rId565" Type="http://schemas.openxmlformats.org/officeDocument/2006/relationships/hyperlink" Target="https://www.google.com/search?newwindow=1&amp;ei=2MT0XrvGGM-vytMP1OyDgAY&amp;q=site%3Alinkedin.com+Samantha+Robins+Vice+President+Technology+Campus+Recruiting+Manager+at+Citi" TargetMode="External"/><Relationship Id="rId1154" Type="http://schemas.openxmlformats.org/officeDocument/2006/relationships/hyperlink" Target="https://www.google.com/search?newwindow=1&amp;ei=2MT0XrvGGM-vytMP1OyDgAY&amp;q=site%3Alinkedin.com+Brianna+Whitney+Campus+Recruiting+Coordinator" TargetMode="External"/><Relationship Id="rId2485" Type="http://schemas.openxmlformats.org/officeDocument/2006/relationships/hyperlink" Target="https://www.google.com/search?newwindow=1&amp;ei=2MT0XrvGGM-vytMP1OyDgAY&amp;q=site%3Alinkedin.com+Parker+Dunbar+Temple+University+Campus+Recruiter+Target" TargetMode="External"/><Relationship Id="rId564" Type="http://schemas.openxmlformats.org/officeDocument/2006/relationships/hyperlink" Target="https://www.google.com/search?newwindow=1&amp;ei=2MT0XrvGGM-vytMP1OyDgAY&amp;q=site%3Alinkedin.com+Tiffany+Palacios+Hawkins+Campus+Recruiting+Manager+Global+Functions" TargetMode="External"/><Relationship Id="rId1155" Type="http://schemas.openxmlformats.org/officeDocument/2006/relationships/hyperlink" Target="https://www.google.com/search?newwindow=1&amp;ei=2MT0XrvGGM-vytMP1OyDgAY&amp;q=site%3Alinkedin.com+Madison+Philips+Campus+Recruiting+Coordinator" TargetMode="External"/><Relationship Id="rId2486" Type="http://schemas.openxmlformats.org/officeDocument/2006/relationships/hyperlink" Target="https://www.google.com/search?newwindow=1&amp;ei=2MT0XrvGGM-vytMP1OyDgAY&amp;q=site%3Alinkedin.com+Victorya+Curcuro+Senior+Campus+Recruiter+Target" TargetMode="External"/><Relationship Id="rId563" Type="http://schemas.openxmlformats.org/officeDocument/2006/relationships/hyperlink" Target="https://www.google.com/search?newwindow=1&amp;ei=2MT0XrvGGM-vytMP1OyDgAY&amp;q=site%3Alinkedin.com+Jennifer+Lynch+Assistant+Vice+President+Senior+Recruiter+Campus+Recruiting+-+Sales+&amp;+Trading" TargetMode="External"/><Relationship Id="rId1156" Type="http://schemas.openxmlformats.org/officeDocument/2006/relationships/hyperlink" Target="https://www.google.com/search?newwindow=1&amp;ei=2MT0XrvGGM-vytMP1OyDgAY&amp;q=site%3Alinkedin.com+Lauren+Harris+Assistant+Director+US-East+Campus+Recruiting" TargetMode="External"/><Relationship Id="rId2487" Type="http://schemas.openxmlformats.org/officeDocument/2006/relationships/hyperlink" Target="https://www.google.com/search?newwindow=1&amp;ei=2MT0XrvGGM-vytMP1OyDgAY&amp;q=site%3Alinkedin.com+Jenn.Bass+(T1400)+Pharmacy+College+Recruiter+Pharmacist+Target" TargetMode="External"/><Relationship Id="rId562" Type="http://schemas.openxmlformats.org/officeDocument/2006/relationships/hyperlink" Target="https://www.google.com/search?newwindow=1&amp;ei=2MT0XrvGGM-vytMP1OyDgAY&amp;q=site%3Alinkedin.com+Yesenia+Gomez+Vice+President+Campus+Diversity+Recruiting+Manager" TargetMode="External"/><Relationship Id="rId1157" Type="http://schemas.openxmlformats.org/officeDocument/2006/relationships/hyperlink" Target="https://www.google.com/search?newwindow=1&amp;ei=2MT0XrvGGM-vytMP1OyDgAY&amp;q=site%3Alinkedin.com+Caitlin+Gallant+Campus+Recruiting" TargetMode="External"/><Relationship Id="rId2488" Type="http://schemas.openxmlformats.org/officeDocument/2006/relationships/hyperlink" Target="https://www.google.com/search?newwindow=1&amp;ei=2MT0XrvGGM-vytMP1OyDgAY&amp;q=site%3Alinkedin.com+Danielle+Mork+Sr+Campus+Recruiter+-+Supply+Chain+Target" TargetMode="External"/><Relationship Id="rId1147" Type="http://schemas.openxmlformats.org/officeDocument/2006/relationships/hyperlink" Target="https://www.google.com/search?newwindow=1&amp;ei=2MT0XrvGGM-vytMP1OyDgAY&amp;q=site%3Alinkedin.com+Kate+Bata+Campus+Recruiting+Coordinator" TargetMode="External"/><Relationship Id="rId2478" Type="http://schemas.openxmlformats.org/officeDocument/2006/relationships/hyperlink" Target="https://www.google.com/search?newwindow=1&amp;ei=2MT0XrvGGM-vytMP1OyDgAY&amp;q=site%3Alinkedin.com+Maya+Moss+Senior+Campus+Recruiter+Target" TargetMode="External"/><Relationship Id="rId1148" Type="http://schemas.openxmlformats.org/officeDocument/2006/relationships/hyperlink" Target="https://www.google.com/search?newwindow=1&amp;ei=2MT0XrvGGM-vytMP1OyDgAY&amp;q=site%3Alinkedin.com+Wes+Barrow+US+East+&amp;+Financial+Services+Campus+Recruiting" TargetMode="External"/><Relationship Id="rId2479" Type="http://schemas.openxmlformats.org/officeDocument/2006/relationships/hyperlink" Target="https://www.google.com/search?newwindow=1&amp;ei=2MT0XrvGGM-vytMP1OyDgAY&amp;q=site%3Alinkedin.com+Jennifer+Castrodale+Sr.+Recruiter+Campus+Supply+Chain+Target" TargetMode="External"/><Relationship Id="rId1149" Type="http://schemas.openxmlformats.org/officeDocument/2006/relationships/hyperlink" Target="https://www.google.com/search?newwindow=1&amp;ei=2MT0XrvGGM-vytMP1OyDgAY&amp;q=site%3Alinkedin.com+Renee+Morrison+CPA+Campus+Recruiter" TargetMode="External"/><Relationship Id="rId558" Type="http://schemas.openxmlformats.org/officeDocument/2006/relationships/hyperlink" Target="https://www.google.com/search?newwindow=1&amp;ei=2MT0XrvGGM-vytMP1OyDgAY&amp;q=site%3Alinkedin.com+Veronica+Pickard+AVP+Human+Resources+-+Campus+Program+Lead" TargetMode="External"/><Relationship Id="rId557" Type="http://schemas.openxmlformats.org/officeDocument/2006/relationships/hyperlink" Target="https://www.google.com/search?newwindow=1&amp;ei=2MT0XrvGGM-vytMP1OyDgAY&amp;q=site%3Alinkedin.com+Gregory+Lopez+Campus+recruiting+senior+specialist" TargetMode="External"/><Relationship Id="rId556" Type="http://schemas.openxmlformats.org/officeDocument/2006/relationships/hyperlink" Target="https://www.google.com/search?newwindow=1&amp;ei=2MT0XrvGGM-vytMP1OyDgAY&amp;q=site%3Alinkedin.com+Jacqueline+Waugh+Campus+Recruiting+Manager" TargetMode="External"/><Relationship Id="rId555" Type="http://schemas.openxmlformats.org/officeDocument/2006/relationships/hyperlink" Target="https://www.google.com/search?newwindow=1&amp;ei=2MT0XrvGGM-vytMP1OyDgAY&amp;q=site%3Alinkedin.com+Gwendolyn+Hickey+Campus+Recruiter+-+Quantitative+Research+Citadel+LLC" TargetMode="External"/><Relationship Id="rId559" Type="http://schemas.openxmlformats.org/officeDocument/2006/relationships/hyperlink" Target="https://www.google.com/search?newwindow=1&amp;ei=2MT0XrvGGM-vytMP1OyDgAY&amp;q=site%3Alinkedin.com+Dan+Hawkinson+Campus+Recruiting+Specialist" TargetMode="External"/><Relationship Id="rId550" Type="http://schemas.openxmlformats.org/officeDocument/2006/relationships/hyperlink" Target="https://www.google.com/search?newwindow=1&amp;ei=2MT0XrvGGM-vytMP1OyDgAY&amp;q=site%3Alinkedin.com+Erin+Bergano+Manager+Trading+Campus+Recruiting+Citadel" TargetMode="External"/><Relationship Id="rId2470" Type="http://schemas.openxmlformats.org/officeDocument/2006/relationships/hyperlink" Target="https://www.google.com/search?newwindow=1&amp;ei=2MT0XrvGGM-vytMP1OyDgAY&amp;q=site%3Alinkedin.com+April+Voigt+Campus+and+Experienced+Recruiter+Target" TargetMode="External"/><Relationship Id="rId1140" Type="http://schemas.openxmlformats.org/officeDocument/2006/relationships/hyperlink" Target="https://www.google.com/search?newwindow=1&amp;ei=2MT0XrvGGM-vytMP1OyDgAY&amp;q=site%3Alinkedin.com+Francesca+Jones+Campus+Recruiting+Leader+-+Financial+Services+Organization" TargetMode="External"/><Relationship Id="rId2471" Type="http://schemas.openxmlformats.org/officeDocument/2006/relationships/hyperlink" Target="https://www.google.com/search?newwindow=1&amp;ei=2MT0XrvGGM-vytMP1OyDgAY&amp;q=site%3Alinkedin.com+Zavier+Lewis+Executive+Recruiter+Target" TargetMode="External"/><Relationship Id="rId1141" Type="http://schemas.openxmlformats.org/officeDocument/2006/relationships/hyperlink" Target="https://www.google.com/search?newwindow=1&amp;ei=2MT0XrvGGM-vytMP1OyDgAY&amp;q=site%3Alinkedin.com+Jackie+Devitt+Assistant+Director+-+Campus+Recruiting" TargetMode="External"/><Relationship Id="rId2472" Type="http://schemas.openxmlformats.org/officeDocument/2006/relationships/hyperlink" Target="https://www.google.com/search?newwindow=1&amp;ei=2MT0XrvGGM-vytMP1OyDgAY&amp;q=site%3Alinkedin.com+Andi+Christenson+Lead+Executive+Recruiter+Target" TargetMode="External"/><Relationship Id="rId1142" Type="http://schemas.openxmlformats.org/officeDocument/2006/relationships/hyperlink" Target="https://www.google.com/search?newwindow=1&amp;ei=2MT0XrvGGM-vytMP1OyDgAY&amp;q=site%3Alinkedin.com+Hanna+Murphy+Campus+Recruiting+Coordinator" TargetMode="External"/><Relationship Id="rId2473" Type="http://schemas.openxmlformats.org/officeDocument/2006/relationships/hyperlink" Target="https://www.google.com/search?newwindow=1&amp;ei=2MT0XrvGGM-vytMP1OyDgAY&amp;q=site%3Alinkedin.com+Amanda+Luu+Senior+Campus+Recruiter+Target" TargetMode="External"/><Relationship Id="rId554" Type="http://schemas.openxmlformats.org/officeDocument/2006/relationships/hyperlink" Target="https://www.google.com/search?newwindow=1&amp;ei=2MT0XrvGGM-vytMP1OyDgAY&amp;q=site%3Alinkedin.com+Colleen+Mullin+Campus+Recruiter+Citadel+LLC" TargetMode="External"/><Relationship Id="rId1143" Type="http://schemas.openxmlformats.org/officeDocument/2006/relationships/hyperlink" Target="https://www.google.com/search?newwindow=1&amp;ei=2MT0XrvGGM-vytMP1OyDgAY&amp;q=site%3Alinkedin.com+DeShay+Turner+Campus+Recruiting+Supervising+Associate" TargetMode="External"/><Relationship Id="rId2474" Type="http://schemas.openxmlformats.org/officeDocument/2006/relationships/hyperlink" Target="https://www.google.com/search?newwindow=1&amp;ei=2MT0XrvGGM-vytMP1OyDgAY&amp;q=site%3Alinkedin.com+David+Wyant+Lead+Recruiter+-+Campus+Target" TargetMode="External"/><Relationship Id="rId553" Type="http://schemas.openxmlformats.org/officeDocument/2006/relationships/hyperlink" Target="https://www.google.com/search?newwindow=1&amp;ei=2MT0XrvGGM-vytMP1OyDgAY&amp;q=site%3Alinkedin.com+Brett+Parker+Campus+Recruiter+Citadel" TargetMode="External"/><Relationship Id="rId1144" Type="http://schemas.openxmlformats.org/officeDocument/2006/relationships/hyperlink" Target="https://www.google.com/search?newwindow=1&amp;ei=2MT0XrvGGM-vytMP1OyDgAY&amp;q=site%3Alinkedin.com+Rheanna+Martino+Assistant+Director+Talent+Attraction+&amp;+Acquisition+%E2%80%93+Campus+Recruiting" TargetMode="External"/><Relationship Id="rId2475" Type="http://schemas.openxmlformats.org/officeDocument/2006/relationships/hyperlink" Target="https://www.google.com/search?newwindow=1&amp;ei=2MT0XrvGGM-vytMP1OyDgAY&amp;q=site%3Alinkedin.com+Darielle+Gengler-Hanson+Lead+Executive+Recruiter+Target" TargetMode="External"/><Relationship Id="rId552" Type="http://schemas.openxmlformats.org/officeDocument/2006/relationships/hyperlink" Target="https://www.google.com/search?newwindow=1&amp;ei=2MT0XrvGGM-vytMP1OyDgAY&amp;q=site%3Alinkedin.com+Avianna+Goldman+Campus+Recruiter+Citadel" TargetMode="External"/><Relationship Id="rId1145" Type="http://schemas.openxmlformats.org/officeDocument/2006/relationships/hyperlink" Target="https://www.google.com/search?newwindow=1&amp;ei=2MT0XrvGGM-vytMP1OyDgAY&amp;q=site%3Alinkedin.com+Maggie+Mansfield+Campus+Recruiting+Coordinator" TargetMode="External"/><Relationship Id="rId2476" Type="http://schemas.openxmlformats.org/officeDocument/2006/relationships/hyperlink" Target="https://www.google.com/search?newwindow=1&amp;ei=2MT0XrvGGM-vytMP1OyDgAY&amp;q=site%3Alinkedin.com+Ellen+Meeks+Lead+Executive+Campus+Recruiter+-+Supply+Chain+Target" TargetMode="External"/><Relationship Id="rId551" Type="http://schemas.openxmlformats.org/officeDocument/2006/relationships/hyperlink" Target="https://www.google.com/search?newwindow=1&amp;ei=2MT0XrvGGM-vytMP1OyDgAY&amp;q=site%3Alinkedin.com+Cody+Patrina+Campus+Recruiter+Citadel" TargetMode="External"/><Relationship Id="rId1146" Type="http://schemas.openxmlformats.org/officeDocument/2006/relationships/hyperlink" Target="https://www.google.com/search?newwindow=1&amp;ei=2MT0XrvGGM-vytMP1OyDgAY&amp;q=site%3Alinkedin.com+Nathan+Petroski+SHRM-CP+Campus+Recruiting+Coordinator+-+Contract" TargetMode="External"/><Relationship Id="rId2477" Type="http://schemas.openxmlformats.org/officeDocument/2006/relationships/hyperlink" Target="https://www.google.com/search?newwindow=1&amp;ei=2MT0XrvGGM-vytMP1OyDgAY&amp;q=site%3Alinkedin.com+Miranda+Wolfe+Sr.+Campus+Recruiter+Target" TargetMode="External"/><Relationship Id="rId495" Type="http://schemas.openxmlformats.org/officeDocument/2006/relationships/hyperlink" Target="https://www.google.com/search?newwindow=1&amp;ei=2MT0XrvGGM-vytMP1OyDgAY&amp;q=site%3Alinkedin.com+Fiona+Wright+Student+and+Public+Programs+Coordinator" TargetMode="External"/><Relationship Id="rId494" Type="http://schemas.openxmlformats.org/officeDocument/2006/relationships/hyperlink" Target="https://www.google.com/search?newwindow=1&amp;ei=2MT0XrvGGM-vytMP1OyDgAY&amp;q=site%3Alinkedin.com+Aurora+O.+Indigenous+Student+Programs+Assistant" TargetMode="External"/><Relationship Id="rId493" Type="http://schemas.openxmlformats.org/officeDocument/2006/relationships/hyperlink" Target="https://www.google.com/search?newwindow=1&amp;ei=2MT0XrvGGM-vytMP1OyDgAY&amp;q=site%3Alinkedin.com+Chiara+Webb+New+Student+Programs+and+Activites+Coorindator+at+Carleton+University" TargetMode="External"/><Relationship Id="rId492" Type="http://schemas.openxmlformats.org/officeDocument/2006/relationships/hyperlink" Target="https://www.google.com/search?newwindow=1&amp;ei=2MT0XrvGGM-vytMP1OyDgAY&amp;q=site%3Alinkedin.com+Niamh+O'Shea+Intercultural+Programs+Coordinator+International+Student+Services+Office" TargetMode="External"/><Relationship Id="rId499" Type="http://schemas.openxmlformats.org/officeDocument/2006/relationships/hyperlink" Target="https://www.google.com/search?newwindow=1&amp;ei=2MT0XrvGGM-vytMP1OyDgAY&amp;q=site%3Alinkedin.com+Whitney+Ragan+College+Recruiter+CGI" TargetMode="External"/><Relationship Id="rId498" Type="http://schemas.openxmlformats.org/officeDocument/2006/relationships/hyperlink" Target="https://www.google.com/search?newwindow=1&amp;ei=2MT0XrvGGM-vytMP1OyDgAY&amp;q=site%3Alinkedin.com+Kira+Geisterfer-Black+Student+Employment+Programs+Assistant" TargetMode="External"/><Relationship Id="rId497" Type="http://schemas.openxmlformats.org/officeDocument/2006/relationships/hyperlink" Target="https://www.google.com/search?newwindow=1&amp;ei=2MT0XrvGGM-vytMP1OyDgAY&amp;q=site%3Alinkedin.com+Lorraine+Anderson+Student+Employment+Programs+Co-op+and+Career+Services" TargetMode="External"/><Relationship Id="rId496" Type="http://schemas.openxmlformats.org/officeDocument/2006/relationships/hyperlink" Target="https://www.google.com/search?newwindow=1&amp;ei=2MT0XrvGGM-vytMP1OyDgAY&amp;q=site%3Alinkedin.com+Tatianna+Burnett+Undergraduate+Recruiter" TargetMode="External"/><Relationship Id="rId1213" Type="http://schemas.openxmlformats.org/officeDocument/2006/relationships/hyperlink" Target="https://www.google.com/search?newwindow=1&amp;ei=2MT0XrvGGM-vytMP1OyDgAY&amp;q=site%3Alinkedin.com+Chris+Bakes+University+Recruiter+Artificial+Intelligence+Facebook" TargetMode="External"/><Relationship Id="rId2544" Type="http://schemas.openxmlformats.org/officeDocument/2006/relationships/hyperlink" Target="https://www.google.com/search?newwindow=1&amp;ei=2MT0XrvGGM-vytMP1OyDgAY&amp;q=site%3Alinkedin.com+Tawnya+Boelter+Campus+Recruiter+The+Buckle+Inc." TargetMode="External"/><Relationship Id="rId1214" Type="http://schemas.openxmlformats.org/officeDocument/2006/relationships/hyperlink" Target="https://www.google.com/search?newwindow=1&amp;ei=2MT0XrvGGM-vytMP1OyDgAY&amp;q=site%3Alinkedin.com+Donnell+Jackson+University+Recruiter+Facebook" TargetMode="External"/><Relationship Id="rId2545" Type="http://schemas.openxmlformats.org/officeDocument/2006/relationships/hyperlink" Target="https://www.google.com/search?newwindow=1&amp;ei=2MT0XrvGGM-vytMP1OyDgAY&amp;q=site%3Alinkedin.com+Jessica+Kaelin+Store+Manager/+Area+Manager/+Campus+Recruiter+The+Buckle+Inc." TargetMode="External"/><Relationship Id="rId1215" Type="http://schemas.openxmlformats.org/officeDocument/2006/relationships/hyperlink" Target="https://www.google.com/search?newwindow=1&amp;ei=2MT0XrvGGM-vytMP1OyDgAY&amp;q=site%3Alinkedin.com+Jenna+Satterfield+University+Programs+Manager+Facebook" TargetMode="External"/><Relationship Id="rId2546" Type="http://schemas.openxmlformats.org/officeDocument/2006/relationships/hyperlink" Target="https://www.google.com/search?newwindow=1&amp;ei=2MT0XrvGGM-vytMP1OyDgAY&amp;q=site%3Alinkedin.com+Kristi+Fields+Interview+Partner+Campus+Recruiting" TargetMode="External"/><Relationship Id="rId1216" Type="http://schemas.openxmlformats.org/officeDocument/2006/relationships/hyperlink" Target="https://www.google.com/search?newwindow=1&amp;ei=2MT0XrvGGM-vytMP1OyDgAY&amp;q=site%3Alinkedin.com+Sarah+Johnson+University+Recruiter+at+Facebook+Facebook" TargetMode="External"/><Relationship Id="rId2547" Type="http://schemas.openxmlformats.org/officeDocument/2006/relationships/hyperlink" Target="https://www.google.com/search?newwindow=1&amp;ei=2MT0XrvGGM-vytMP1OyDgAY&amp;q=site%3Alinkedin.com+Kristi+Breen+Vice+President+Disney+International+and+Campus+Recruiting+Disney+Cruise+LIne+Recruiting" TargetMode="External"/><Relationship Id="rId1217" Type="http://schemas.openxmlformats.org/officeDocument/2006/relationships/hyperlink" Target="https://www.google.com/search?newwindow=1&amp;ei=2MT0XrvGGM-vytMP1OyDgAY&amp;q=site%3Alinkedin.com+Adam+D.+Harrison+MHRLR+University+Recruiter+Facebook" TargetMode="External"/><Relationship Id="rId2548" Type="http://schemas.openxmlformats.org/officeDocument/2006/relationships/hyperlink" Target="https://www.google.com/search?newwindow=1&amp;ei=2MT0XrvGGM-vytMP1OyDgAY&amp;q=site%3Alinkedin.com+Amy+Sanchez+Sr.+Recruiter+Campus+Recruitment+The+Walt+Disney+Company" TargetMode="External"/><Relationship Id="rId1218" Type="http://schemas.openxmlformats.org/officeDocument/2006/relationships/hyperlink" Target="https://www.google.com/search?newwindow=1&amp;ei=2MT0XrvGGM-vytMP1OyDgAY&amp;q=site%3Alinkedin.com+Sarah+Bochner+University+Recruiter+Design+Facebook" TargetMode="External"/><Relationship Id="rId2549" Type="http://schemas.openxmlformats.org/officeDocument/2006/relationships/hyperlink" Target="https://www.google.com/search?newwindow=1&amp;ei=2MT0XrvGGM-vytMP1OyDgAY&amp;q=site%3Alinkedin.com+Jamie+O.+Recruiter+College+Recruiting+Manager+on+Duty+Point+of+Contact+The+Walt+Disney+Company" TargetMode="External"/><Relationship Id="rId1219" Type="http://schemas.openxmlformats.org/officeDocument/2006/relationships/hyperlink" Target="https://www.google.com/search?newwindow=1&amp;ei=2MT0XrvGGM-vytMP1OyDgAY&amp;q=site%3Alinkedin.com+Meagan+Harn+University+Recruiter+Product+Analytics+Facebook" TargetMode="External"/><Relationship Id="rId2540" Type="http://schemas.openxmlformats.org/officeDocument/2006/relationships/hyperlink" Target="https://www.google.com/search?newwindow=1&amp;ei=2MT0XrvGGM-vytMP1OyDgAY&amp;q=site%3Alinkedin.com+Taylor+Scruggs+UNT+Campus+Recruiter+The+Buckle+Inc." TargetMode="External"/><Relationship Id="rId1210" Type="http://schemas.openxmlformats.org/officeDocument/2006/relationships/hyperlink" Target="https://www.google.com/search?newwindow=1&amp;ei=2MT0XrvGGM-vytMP1OyDgAY&amp;q=site%3Alinkedin.com+Benjamin+Pastor+University+Recruiter+-+Software+Engineering:+MIT+&amp;+Harvard+Facebook" TargetMode="External"/><Relationship Id="rId2541" Type="http://schemas.openxmlformats.org/officeDocument/2006/relationships/hyperlink" Target="https://www.google.com/search?newwindow=1&amp;ei=2MT0XrvGGM-vytMP1OyDgAY&amp;q=site%3Alinkedin.com+Tori+Taylor+Sales+Manager+and+Campus+Recruiter+-+Dallas+The+Buckle+Inc." TargetMode="External"/><Relationship Id="rId1211" Type="http://schemas.openxmlformats.org/officeDocument/2006/relationships/hyperlink" Target="https://www.google.com/search?newwindow=1&amp;ei=2MT0XrvGGM-vytMP1OyDgAY&amp;q=site%3Alinkedin.com+Sarai+Dennison+University+Recruiter+Facebook" TargetMode="External"/><Relationship Id="rId2542" Type="http://schemas.openxmlformats.org/officeDocument/2006/relationships/hyperlink" Target="https://www.google.com/search?newwindow=1&amp;ei=2MT0XrvGGM-vytMP1OyDgAY&amp;q=site%3Alinkedin.com+Wade+Harville+Store+Manager+++Campus+Recruiter+(Denton+Texas)+The+Buckle+Inc." TargetMode="External"/><Relationship Id="rId1212" Type="http://schemas.openxmlformats.org/officeDocument/2006/relationships/hyperlink" Target="https://www.google.com/search?newwindow=1&amp;ei=2MT0XrvGGM-vytMP1OyDgAY&amp;q=site%3Alinkedin.com+Candice+Simpson+Infrastructure+University+Recruiter+Facebook" TargetMode="External"/><Relationship Id="rId2543" Type="http://schemas.openxmlformats.org/officeDocument/2006/relationships/hyperlink" Target="https://www.google.com/search?newwindow=1&amp;ei=2MT0XrvGGM-vytMP1OyDgAY&amp;q=site%3Alinkedin.com+Natasha+Gutierrez+Co+Manager+The+Buckle+Inc." TargetMode="External"/><Relationship Id="rId1202" Type="http://schemas.openxmlformats.org/officeDocument/2006/relationships/hyperlink" Target="https://www.google.com/search?newwindow=1&amp;ei=2MT0XrvGGM-vytMP1OyDgAY&amp;q=site%3Alinkedin.com+Carmen+Wan+Full+Cycle+University+Recruiter+Software+Engineering+EMEA" TargetMode="External"/><Relationship Id="rId2533" Type="http://schemas.openxmlformats.org/officeDocument/2006/relationships/hyperlink" Target="https://www.google.com/search?newwindow=1&amp;ei=2MT0XrvGGM-vytMP1OyDgAY&amp;q=site%3Alinkedin.com+Kalie+Dyer+Area+Manager+and+Campus+Recruiter+The+Buckle" TargetMode="External"/><Relationship Id="rId1203" Type="http://schemas.openxmlformats.org/officeDocument/2006/relationships/hyperlink" Target="https://www.google.com/search?newwindow=1&amp;ei=2MT0XrvGGM-vytMP1OyDgAY&amp;q=site%3Alinkedin.com+Sydney+Horner+Senior+Recruiter+University+Recruitment+Full+Life-Cycle" TargetMode="External"/><Relationship Id="rId2534" Type="http://schemas.openxmlformats.org/officeDocument/2006/relationships/hyperlink" Target="https://www.google.com/search?newwindow=1&amp;ei=2MT0XrvGGM-vytMP1OyDgAY&amp;q=site%3Alinkedin.com+Abby+Anderson+Store+Manager/Campus+Recruiter+The+Buckle" TargetMode="External"/><Relationship Id="rId1204" Type="http://schemas.openxmlformats.org/officeDocument/2006/relationships/hyperlink" Target="https://www.google.com/search?newwindow=1&amp;ei=2MT0XrvGGM-vytMP1OyDgAY&amp;q=site%3Alinkedin.com+Lucy+Kemp+University+Recruiter" TargetMode="External"/><Relationship Id="rId2535" Type="http://schemas.openxmlformats.org/officeDocument/2006/relationships/hyperlink" Target="https://www.google.com/search?newwindow=1&amp;ei=2MT0XrvGGM-vytMP1OyDgAY&amp;q=site%3Alinkedin.com+Brooke+Fair+Manager+and+Campus+Recruiter+The+Buckle" TargetMode="External"/><Relationship Id="rId1205" Type="http://schemas.openxmlformats.org/officeDocument/2006/relationships/hyperlink" Target="https://www.google.com/search?newwindow=1&amp;ei=2MT0XrvGGM-vytMP1OyDgAY&amp;q=site%3Alinkedin.com+Jessica+Plant+University+Recruiter" TargetMode="External"/><Relationship Id="rId2536" Type="http://schemas.openxmlformats.org/officeDocument/2006/relationships/hyperlink" Target="https://www.google.com/search?newwindow=1&amp;ei=2MT0XrvGGM-vytMP1OyDgAY&amp;q=site%3Alinkedin.com+Brittany+Barnes+Manager/Campus+Recruiter+The+Buckle" TargetMode="External"/><Relationship Id="rId1206" Type="http://schemas.openxmlformats.org/officeDocument/2006/relationships/hyperlink" Target="https://www.google.com/search?newwindow=1&amp;ei=2MT0XrvGGM-vytMP1OyDgAY&amp;q=site%3Alinkedin.com+Michelle+Kiersey+University+Recruitment" TargetMode="External"/><Relationship Id="rId2537" Type="http://schemas.openxmlformats.org/officeDocument/2006/relationships/hyperlink" Target="https://www.google.com/search?newwindow=1&amp;ei=2MT0XrvGGM-vytMP1OyDgAY&amp;q=site%3Alinkedin.com+Courtney+McKenzie+Area+Manager+and+Campus+Recruiter+The+Buckle+Inc." TargetMode="External"/><Relationship Id="rId1207" Type="http://schemas.openxmlformats.org/officeDocument/2006/relationships/hyperlink" Target="https://www.google.com/search?newwindow=1&amp;ei=2MT0XrvGGM-vytMP1OyDgAY&amp;q=site%3Alinkedin.com+Pal+Trivedi+University+Recruitment" TargetMode="External"/><Relationship Id="rId2538" Type="http://schemas.openxmlformats.org/officeDocument/2006/relationships/hyperlink" Target="https://www.google.com/search?newwindow=1&amp;ei=2MT0XrvGGM-vytMP1OyDgAY&amp;q=site%3Alinkedin.com+Joel+Custer+Area+Manager+and+Regional+Campus+Recruiter+The+Buckle+Inc." TargetMode="External"/><Relationship Id="rId1208" Type="http://schemas.openxmlformats.org/officeDocument/2006/relationships/hyperlink" Target="https://www.google.com/search?newwindow=1&amp;ei=2MT0XrvGGM-vytMP1OyDgAY&amp;q=site%3Alinkedin.com+Ali+Reiff+University+Recruiter+Facebook" TargetMode="External"/><Relationship Id="rId2539" Type="http://schemas.openxmlformats.org/officeDocument/2006/relationships/hyperlink" Target="https://www.google.com/search?newwindow=1&amp;ei=2MT0XrvGGM-vytMP1OyDgAY&amp;q=site%3Alinkedin.com+Andrea+Simmons+Area+Manager+Campus+recruiter+Buckle+select+stylist+The+Buckle+Inc." TargetMode="External"/><Relationship Id="rId1209" Type="http://schemas.openxmlformats.org/officeDocument/2006/relationships/hyperlink" Target="https://www.google.com/search?newwindow=1&amp;ei=2MT0XrvGGM-vytMP1OyDgAY&amp;q=site%3Alinkedin.com+Crystal+Wood+University+Recruiter+Facebook" TargetMode="External"/><Relationship Id="rId2530" Type="http://schemas.openxmlformats.org/officeDocument/2006/relationships/hyperlink" Target="https://www.google.com/search?newwindow=1&amp;ei=2MT0XrvGGM-vytMP1OyDgAY&amp;q=site%3Alinkedin.com+Terry+La+Fleur+University+of+Michigan+Recruiter+Texas+Instruments" TargetMode="External"/><Relationship Id="rId1200" Type="http://schemas.openxmlformats.org/officeDocument/2006/relationships/hyperlink" Target="https://www.google.com/search?newwindow=1&amp;ei=2MT0XrvGGM-vytMP1OyDgAY&amp;q=site%3Alinkedin.com+Kate+Lewis+University+Recruiter" TargetMode="External"/><Relationship Id="rId2531" Type="http://schemas.openxmlformats.org/officeDocument/2006/relationships/hyperlink" Target="https://www.google.com/search?newwindow=1&amp;ei=2MT0XrvGGM-vytMP1OyDgAY&amp;q=site%3Alinkedin.com+Catherine+Robinson+University+Recruiter" TargetMode="External"/><Relationship Id="rId1201" Type="http://schemas.openxmlformats.org/officeDocument/2006/relationships/hyperlink" Target="https://www.google.com/search?newwindow=1&amp;ei=2MT0XrvGGM-vytMP1OyDgAY&amp;q=site%3Alinkedin.com+Harriet+Phillips+University+Recruiter" TargetMode="External"/><Relationship Id="rId2532" Type="http://schemas.openxmlformats.org/officeDocument/2006/relationships/hyperlink" Target="https://www.google.com/search?newwindow=1&amp;ei=2MT0XrvGGM-vytMP1OyDgAY&amp;q=site%3Alinkedin.com+Ashley+Dartnell+Head+of+International+Campus+Recruiting" TargetMode="External"/><Relationship Id="rId1235" Type="http://schemas.openxmlformats.org/officeDocument/2006/relationships/hyperlink" Target="https://www.google.com/search?newwindow=1&amp;ei=2MT0XrvGGM-vytMP1OyDgAY&amp;q=site%3Alinkedin.com+Nicci+Moscuzza+University+Recruiter+Facebook" TargetMode="External"/><Relationship Id="rId2566" Type="http://schemas.openxmlformats.org/officeDocument/2006/relationships/hyperlink" Target="https://www.google.com/search?newwindow=1&amp;ei=2MT0XrvGGM-vytMP1OyDgAY&amp;q=site%3Alinkedin.com+Sarah+Blair+Associate+Recruiter+Campus+Recruitment+The+Walt+Disney+Company" TargetMode="External"/><Relationship Id="rId1236" Type="http://schemas.openxmlformats.org/officeDocument/2006/relationships/hyperlink" Target="https://www.google.com/search?newwindow=1&amp;ei=2MT0XrvGGM-vytMP1OyDgAY&amp;q=site%3Alinkedin.com+Kim+Birch+University+Recruiter+Global+Marketing+Solutions+&amp;+Business+Facebook" TargetMode="External"/><Relationship Id="rId2567" Type="http://schemas.openxmlformats.org/officeDocument/2006/relationships/hyperlink" Target="https://www.google.com/search?newwindow=1&amp;ei=2MT0XrvGGM-vytMP1OyDgAY&amp;q=site%3Alinkedin.com+Tessa+Miller+Disney+College+Program+Campus+Recruiter+Walt+Disney+Company" TargetMode="External"/><Relationship Id="rId1237" Type="http://schemas.openxmlformats.org/officeDocument/2006/relationships/hyperlink" Target="https://www.google.com/search?newwindow=1&amp;ei=2MT0XrvGGM-vytMP1OyDgAY&amp;q=site%3Alinkedin.com+Ryan+Biega+University+Recruiter+Design+Facebook" TargetMode="External"/><Relationship Id="rId2568" Type="http://schemas.openxmlformats.org/officeDocument/2006/relationships/hyperlink" Target="https://www.google.com/search?newwindow=1&amp;ei=2MT0XrvGGM-vytMP1OyDgAY&amp;q=site%3Alinkedin.com+Joanne+OBrien+Graduate+Recruiter" TargetMode="External"/><Relationship Id="rId1238" Type="http://schemas.openxmlformats.org/officeDocument/2006/relationships/hyperlink" Target="https://www.google.com/search?newwindow=1&amp;ei=2MT0XrvGGM-vytMP1OyDgAY&amp;q=site%3Alinkedin.com+Alexandra+Mettler+University+Recruiter+Software+Engineering+Facebook" TargetMode="External"/><Relationship Id="rId2569" Type="http://schemas.openxmlformats.org/officeDocument/2006/relationships/hyperlink" Target="https://www.google.com/search?newwindow=1&amp;ei=2MT0XrvGGM-vytMP1OyDgAY&amp;q=site%3Alinkedin.com+Yi+Ting+Wong+Graduate+Recruiter+&amp;+Graduate+Experience+Lead" TargetMode="External"/><Relationship Id="rId1239" Type="http://schemas.openxmlformats.org/officeDocument/2006/relationships/hyperlink" Target="https://www.google.com/search?newwindow=1&amp;ei=2MT0XrvGGM-vytMP1OyDgAY&amp;q=site%3Alinkedin.com+Joyce+M.+C.+University+Recruiter+Facebook" TargetMode="External"/><Relationship Id="rId409" Type="http://schemas.openxmlformats.org/officeDocument/2006/relationships/hyperlink" Target="https://www.google.com/search?newwindow=1&amp;ei=2MT0XrvGGM-vytMP1OyDgAY&amp;q=site%3Alinkedin.com+Taiesha+Olden+Campus+Recruiting+Coordinator+Diversity+&amp;+Early+Engagement+Events" TargetMode="External"/><Relationship Id="rId404" Type="http://schemas.openxmlformats.org/officeDocument/2006/relationships/hyperlink" Target="https://www.google.com/search?newwindow=1&amp;ei=2MT0XrvGGM-vytMP1OyDgAY&amp;q=site%3Alinkedin.com+Kristell+Muniz+Talent+Acquisition+Diversity+&amp;+Specialty+Campus+Recruiter+Capgemini" TargetMode="External"/><Relationship Id="rId403" Type="http://schemas.openxmlformats.org/officeDocument/2006/relationships/hyperlink" Target="https://www.google.com/search?newwindow=1&amp;ei=2MT0XrvGGM-vytMP1OyDgAY&amp;q=site%3Alinkedin.com+Anna+Acenbrak+North+America+Campus+Recruiter+Capgemini" TargetMode="External"/><Relationship Id="rId402" Type="http://schemas.openxmlformats.org/officeDocument/2006/relationships/hyperlink" Target="https://www.google.com/search?newwindow=1&amp;ei=2MT0XrvGGM-vytMP1OyDgAY&amp;q=site%3Alinkedin.com+Jyothi+Navaneeth+Texas+Region+Campus+Recruiter+Capgemini" TargetMode="External"/><Relationship Id="rId401" Type="http://schemas.openxmlformats.org/officeDocument/2006/relationships/hyperlink" Target="https://www.google.com/search?newwindow=1&amp;ei=2MT0XrvGGM-vytMP1OyDgAY&amp;q=site%3Alinkedin.com+Kaitlyn+White+Campus+Recruiter+Capgemini" TargetMode="External"/><Relationship Id="rId408" Type="http://schemas.openxmlformats.org/officeDocument/2006/relationships/hyperlink" Target="https://www.google.com/search?newwindow=1&amp;ei=2MT0XrvGGM-vytMP1OyDgAY&amp;q=site%3Alinkedin.com+Tierra+Carter+MBA+Campus+Recruiting+Coordinator+Diversity+&amp;+Early+Engagement+Events" TargetMode="External"/><Relationship Id="rId407" Type="http://schemas.openxmlformats.org/officeDocument/2006/relationships/hyperlink" Target="https://www.google.com/search?newwindow=1&amp;ei=2MT0XrvGGM-vytMP1OyDgAY&amp;q=site%3Alinkedin.com+Liz+Souza+Senior+Associate+-+Campus+Recruiting+Technology" TargetMode="External"/><Relationship Id="rId406" Type="http://schemas.openxmlformats.org/officeDocument/2006/relationships/hyperlink" Target="https://www.google.com/search?newwindow=1&amp;ei=2MT0XrvGGM-vytMP1OyDgAY&amp;q=site%3Alinkedin.com+Ashley+Ann+Cooper+Campus+Recruiter+Capgemini+Consulting" TargetMode="External"/><Relationship Id="rId405" Type="http://schemas.openxmlformats.org/officeDocument/2006/relationships/hyperlink" Target="https://www.google.com/search?newwindow=1&amp;ei=2MT0XrvGGM-vytMP1OyDgAY&amp;q=site%3Alinkedin.com+Steve+Villa+National+Campus+Recruiter+Capgemini" TargetMode="External"/><Relationship Id="rId2560" Type="http://schemas.openxmlformats.org/officeDocument/2006/relationships/hyperlink" Target="https://www.google.com/search?newwindow=1&amp;ei=2MT0XrvGGM-vytMP1OyDgAY&amp;q=site%3Alinkedin.com+Cathy+O%27Brien+SHRM-CP+PHR+CIR+Sr.+Recruiter+Disney+Campus+Recruitment+The+Walt+Disney+Company" TargetMode="External"/><Relationship Id="rId1230" Type="http://schemas.openxmlformats.org/officeDocument/2006/relationships/hyperlink" Target="https://www.google.com/search?newwindow=1&amp;ei=2MT0XrvGGM-vytMP1OyDgAY&amp;q=site%3Alinkedin.com+Katie+Tenboer+University+Recruiter+Design+Facebook" TargetMode="External"/><Relationship Id="rId2561" Type="http://schemas.openxmlformats.org/officeDocument/2006/relationships/hyperlink" Target="https://www.google.com/search?newwindow=1&amp;ei=2MT0XrvGGM-vytMP1OyDgAY&amp;q=site%3Alinkedin.com+Danielle+Smith+Recruiter+Disney+College+Program+The+Walt+Disney+Company" TargetMode="External"/><Relationship Id="rId400" Type="http://schemas.openxmlformats.org/officeDocument/2006/relationships/hyperlink" Target="https://www.google.com/search?newwindow=1&amp;ei=2MT0XrvGGM-vytMP1OyDgAY&amp;q=site%3Alinkedin.com+Federica+Quattrone+Chicago+&amp;+NYC+Campus+Recruiter+Capgemini" TargetMode="External"/><Relationship Id="rId1231" Type="http://schemas.openxmlformats.org/officeDocument/2006/relationships/hyperlink" Target="https://www.google.com/search?newwindow=1&amp;ei=2MT0XrvGGM-vytMP1OyDgAY&amp;q=site%3Alinkedin.com+Ernesto+F.+University+Recruiter+Facebook" TargetMode="External"/><Relationship Id="rId2562" Type="http://schemas.openxmlformats.org/officeDocument/2006/relationships/hyperlink" Target="https://www.google.com/search?newwindow=1&amp;ei=2MT0XrvGGM-vytMP1OyDgAY&amp;q=site%3Alinkedin.com+Claire+G.+Bradley+College+Recruiter+Event+Management+Professional+Community+Outreach+in+the+Recruiting+Field+The+Walt+Disney+Company" TargetMode="External"/><Relationship Id="rId1232" Type="http://schemas.openxmlformats.org/officeDocument/2006/relationships/hyperlink" Target="https://www.google.com/search?newwindow=1&amp;ei=2MT0XrvGGM-vytMP1OyDgAY&amp;q=site%3Alinkedin.com+Seth+Radin+University+Recruiter+-+AR/VR+Facebook" TargetMode="External"/><Relationship Id="rId2563" Type="http://schemas.openxmlformats.org/officeDocument/2006/relationships/hyperlink" Target="https://www.google.com/search?newwindow=1&amp;ei=2MT0XrvGGM-vytMP1OyDgAY&amp;q=site%3Alinkedin.com+Sandra+Almond+SHRM-SCP+Campus+Recruiter+The+Walt+Disney+Company" TargetMode="External"/><Relationship Id="rId1233" Type="http://schemas.openxmlformats.org/officeDocument/2006/relationships/hyperlink" Target="https://www.google.com/search?newwindow=1&amp;ei=2MT0XrvGGM-vytMP1OyDgAY&amp;q=site%3Alinkedin.com+Eleanor+Johnson+Software+Engineer+University+Recruiter+Facebook" TargetMode="External"/><Relationship Id="rId2564" Type="http://schemas.openxmlformats.org/officeDocument/2006/relationships/hyperlink" Target="https://www.google.com/search?newwindow=1&amp;ei=2MT0XrvGGM-vytMP1OyDgAY&amp;q=site%3Alinkedin.com+Yoshi+Takamura+Campus+Recruitment+Recruiter+-+Technology+The+Walt+Disney+Company" TargetMode="External"/><Relationship Id="rId1234" Type="http://schemas.openxmlformats.org/officeDocument/2006/relationships/hyperlink" Target="https://www.google.com/search?newwindow=1&amp;ei=2MT0XrvGGM-vytMP1OyDgAY&amp;q=site%3Alinkedin.com+Allie+Bordeaux+University+Recruiter+Infrastructure+Foundation+Facebook" TargetMode="External"/><Relationship Id="rId2565" Type="http://schemas.openxmlformats.org/officeDocument/2006/relationships/hyperlink" Target="https://www.google.com/search?newwindow=1&amp;ei=2MT0XrvGGM-vytMP1OyDgAY&amp;q=site%3Alinkedin.com+Khalifah+Nailor+Recruiter+Disney+Campus+Recruitment+The+Walt+Disney+Company" TargetMode="External"/><Relationship Id="rId1224" Type="http://schemas.openxmlformats.org/officeDocument/2006/relationships/hyperlink" Target="https://www.google.com/search?newwindow=1&amp;ei=2MT0XrvGGM-vytMP1OyDgAY&amp;q=site%3Alinkedin.com+Emily+Nagele+University+Recruiter+-+SWE+Facebook" TargetMode="External"/><Relationship Id="rId2555" Type="http://schemas.openxmlformats.org/officeDocument/2006/relationships/hyperlink" Target="https://www.google.com/search?newwindow=1&amp;ei=2MT0XrvGGM-vytMP1OyDgAY&amp;q=site%3Alinkedin.com+Elaine+Dillard+Senior+Recruiter+Disney+Campus+Recruitment+The+Walt+Disney+Company" TargetMode="External"/><Relationship Id="rId1225" Type="http://schemas.openxmlformats.org/officeDocument/2006/relationships/hyperlink" Target="https://www.google.com/search?newwindow=1&amp;ei=2MT0XrvGGM-vytMP1OyDgAY&amp;q=site%3Alinkedin.com+Danielle+Buchenot+University+Recruiter+Facebook" TargetMode="External"/><Relationship Id="rId2556" Type="http://schemas.openxmlformats.org/officeDocument/2006/relationships/hyperlink" Target="https://www.google.com/search?newwindow=1&amp;ei=2MT0XrvGGM-vytMP1OyDgAY&amp;q=site%3Alinkedin.com+Suzanna+Camacho+Recruiter+Campus+Recruitment+The+Walt+Disney+Company" TargetMode="External"/><Relationship Id="rId1226" Type="http://schemas.openxmlformats.org/officeDocument/2006/relationships/hyperlink" Target="https://www.google.com/search?newwindow=1&amp;ei=2MT0XrvGGM-vytMP1OyDgAY&amp;q=site%3Alinkedin.com+Elizabeth+W.+Campus+Recruiter+Facebook" TargetMode="External"/><Relationship Id="rId2557" Type="http://schemas.openxmlformats.org/officeDocument/2006/relationships/hyperlink" Target="https://www.google.com/search?newwindow=1&amp;ei=2MT0XrvGGM-vytMP1OyDgAY&amp;q=site%3Alinkedin.com+Amy+Bennett+Senior+Recruiter+Campus+Recruitment+The+Walt+Disney+Company" TargetMode="External"/><Relationship Id="rId1227" Type="http://schemas.openxmlformats.org/officeDocument/2006/relationships/hyperlink" Target="https://www.google.com/search?newwindow=1&amp;ei=2MT0XrvGGM-vytMP1OyDgAY&amp;q=site%3Alinkedin.com+Hillary+S.+University+Recruiter+(Software+Engineering)+Facebook" TargetMode="External"/><Relationship Id="rId2558" Type="http://schemas.openxmlformats.org/officeDocument/2006/relationships/hyperlink" Target="https://www.google.com/search?newwindow=1&amp;ei=2MT0XrvGGM-vytMP1OyDgAY&amp;q=site%3Alinkedin.com+Tricia+Cooke+Campus+Recruiter+The+Walt+Disney+Company" TargetMode="External"/><Relationship Id="rId1228" Type="http://schemas.openxmlformats.org/officeDocument/2006/relationships/hyperlink" Target="https://www.google.com/search?newwindow=1&amp;ei=2MT0XrvGGM-vytMP1OyDgAY&amp;q=site%3Alinkedin.com+Alfonso+Avila+University+Recruiter-Software+Engineering+West+Facebook" TargetMode="External"/><Relationship Id="rId2559" Type="http://schemas.openxmlformats.org/officeDocument/2006/relationships/hyperlink" Target="https://www.google.com/search?newwindow=1&amp;ei=2MT0XrvGGM-vytMP1OyDgAY&amp;q=site%3Alinkedin.com+Kate+Perrine+Recruiter+Disney+Campus+Recruitment+The+Walt+Disney+Company" TargetMode="External"/><Relationship Id="rId1229" Type="http://schemas.openxmlformats.org/officeDocument/2006/relationships/hyperlink" Target="https://www.google.com/search?newwindow=1&amp;ei=2MT0XrvGGM-vytMP1OyDgAY&amp;q=site%3Alinkedin.com+Amal+S.+Diversity+Recruiter+University+Recruiting+Facebook" TargetMode="External"/><Relationship Id="rId2550" Type="http://schemas.openxmlformats.org/officeDocument/2006/relationships/hyperlink" Target="https://www.google.com/search?newwindow=1&amp;ei=2MT0XrvGGM-vytMP1OyDgAY&amp;q=site%3Alinkedin.com+Charisse+Trotman+Campus+Recruiter+Technology+The+Walt+Disney+Company" TargetMode="External"/><Relationship Id="rId1220" Type="http://schemas.openxmlformats.org/officeDocument/2006/relationships/hyperlink" Target="https://www.google.com/search?newwindow=1&amp;ei=2MT0XrvGGM-vytMP1OyDgAY&amp;q=site%3Alinkedin.com+Cecil+Johnson+University+Recruiter+Diversity+Facebook" TargetMode="External"/><Relationship Id="rId2551" Type="http://schemas.openxmlformats.org/officeDocument/2006/relationships/hyperlink" Target="https://www.google.com/search?newwindow=1&amp;ei=2MT0XrvGGM-vytMP1OyDgAY&amp;q=site%3Alinkedin.com+Stephanie+Lyon+Interview+Partner/Recruiter+-+College+Programs+and+Interships+The+Walt+Disney+Company" TargetMode="External"/><Relationship Id="rId1221" Type="http://schemas.openxmlformats.org/officeDocument/2006/relationships/hyperlink" Target="https://www.google.com/search?newwindow=1&amp;ei=2MT0XrvGGM-vytMP1OyDgAY&amp;q=site%3Alinkedin.com+Jessica+Kornstein+University+Recruiter+Facebook" TargetMode="External"/><Relationship Id="rId2552" Type="http://schemas.openxmlformats.org/officeDocument/2006/relationships/hyperlink" Target="https://www.google.com/search?newwindow=1&amp;ei=2MT0XrvGGM-vytMP1OyDgAY&amp;q=site%3Alinkedin.com+Melanie+Sebastian+Associate+Recruiter+Campus+Programs+The+Walt+Disney+Company" TargetMode="External"/><Relationship Id="rId1222" Type="http://schemas.openxmlformats.org/officeDocument/2006/relationships/hyperlink" Target="https://www.google.com/search?newwindow=1&amp;ei=2MT0XrvGGM-vytMP1OyDgAY&amp;q=site%3Alinkedin.com+Jessica+Y.+University+Recruiter+Facebook" TargetMode="External"/><Relationship Id="rId2553" Type="http://schemas.openxmlformats.org/officeDocument/2006/relationships/hyperlink" Target="https://www.google.com/search?newwindow=1&amp;ei=2MT0XrvGGM-vytMP1OyDgAY&amp;q=site%3Alinkedin.com+Stephanie+Magana+Tech+Campus+Recruiter+The+Walt+Disney+Company" TargetMode="External"/><Relationship Id="rId1223" Type="http://schemas.openxmlformats.org/officeDocument/2006/relationships/hyperlink" Target="https://www.google.com/search?newwindow=1&amp;ei=2MT0XrvGGM-vytMP1OyDgAY&amp;q=site%3Alinkedin.com+Rima+Akras+University+Recruiter+Facebook" TargetMode="External"/><Relationship Id="rId2554" Type="http://schemas.openxmlformats.org/officeDocument/2006/relationships/hyperlink" Target="https://www.google.com/search?newwindow=1&amp;ei=2MT0XrvGGM-vytMP1OyDgAY&amp;q=site%3Alinkedin.com+Dani+Michael+Sr.+Technical+Recruiter+Disney+Campus+Recruitment+The+Walt+Disney+Company" TargetMode="External"/><Relationship Id="rId2500" Type="http://schemas.openxmlformats.org/officeDocument/2006/relationships/hyperlink" Target="https://www.google.com/search?newwindow=1&amp;ei=2MT0XrvGGM-vytMP1OyDgAY&amp;q=site%3Alinkedin.com+Gabriella+Ragno+Graduate+Recruiter" TargetMode="External"/><Relationship Id="rId2501" Type="http://schemas.openxmlformats.org/officeDocument/2006/relationships/hyperlink" Target="https://www.google.com/search?newwindow=1&amp;ei=2MT0XrvGGM-vytMP1OyDgAY&amp;q=site%3Alinkedin.com+Tom+Young+University+Recruitment+Manager" TargetMode="External"/><Relationship Id="rId2502" Type="http://schemas.openxmlformats.org/officeDocument/2006/relationships/hyperlink" Target="https://www.google.com/search?newwindow=1&amp;ei=2MT0XrvGGM-vytMP1OyDgAY&amp;q=site%3Alinkedin.com+Ruby+Law+University+Recruiter" TargetMode="External"/><Relationship Id="rId2503" Type="http://schemas.openxmlformats.org/officeDocument/2006/relationships/hyperlink" Target="https://www.google.com/search?newwindow=1&amp;ei=2MT0XrvGGM-vytMP1OyDgAY&amp;q=site%3Alinkedin.com+Charlotte+Sangster+University+Recruitment+Manager" TargetMode="External"/><Relationship Id="rId2504" Type="http://schemas.openxmlformats.org/officeDocument/2006/relationships/hyperlink" Target="https://www.google.com/search?newwindow=1&amp;ei=2MT0XrvGGM-vytMP1OyDgAY&amp;q=site%3Alinkedin.com+Abigail+Bush+University+Recruiter" TargetMode="External"/><Relationship Id="rId2505" Type="http://schemas.openxmlformats.org/officeDocument/2006/relationships/hyperlink" Target="https://www.google.com/search?newwindow=1&amp;ei=2MT0XrvGGM-vytMP1OyDgAY&amp;q=site%3Alinkedin.com+Harriet+Willis+Undergraduate+Programmes+Recruiter" TargetMode="External"/><Relationship Id="rId2506" Type="http://schemas.openxmlformats.org/officeDocument/2006/relationships/hyperlink" Target="https://www.google.com/search?newwindow=1&amp;ei=2MT0XrvGGM-vytMP1OyDgAY&amp;q=site%3Alinkedin.com+Lorna+Culpin+University+Recruitment+Manager" TargetMode="External"/><Relationship Id="rId2507" Type="http://schemas.openxmlformats.org/officeDocument/2006/relationships/hyperlink" Target="https://www.google.com/search?newwindow=1&amp;ei=2MT0XrvGGM-vytMP1OyDgAY&amp;q=site%3Alinkedin.com+Tom+Cole+Graduate+Recruitment+Officer+-+University+of+Oxford" TargetMode="External"/><Relationship Id="rId2508" Type="http://schemas.openxmlformats.org/officeDocument/2006/relationships/hyperlink" Target="https://www.google.com/search?newwindow=1&amp;ei=2MT0XrvGGM-vytMP1OyDgAY&amp;q=site%3Alinkedin.com+Claire+A.+Marshall+Undergraduate+Projects+and+Programmes" TargetMode="External"/><Relationship Id="rId2509" Type="http://schemas.openxmlformats.org/officeDocument/2006/relationships/hyperlink" Target="https://www.google.com/search?newwindow=1&amp;ei=2MT0XrvGGM-vytMP1OyDgAY&amp;q=site%3Alinkedin.com+Margot+Johnston+Graduate+Recruitment+Officer+-+Oxford+University" TargetMode="External"/><Relationship Id="rId2522" Type="http://schemas.openxmlformats.org/officeDocument/2006/relationships/hyperlink" Target="https://www.google.com/search?newwindow=1&amp;ei=2MT0XrvGGM-vytMP1OyDgAY&amp;q=site%3Alinkedin.com+SeRon+Leary+Intern+IT+Recruiter+TEKsystems" TargetMode="External"/><Relationship Id="rId2523" Type="http://schemas.openxmlformats.org/officeDocument/2006/relationships/hyperlink" Target="https://www.google.com/search?newwindow=1&amp;ei=2MT0XrvGGM-vytMP1OyDgAY&amp;q=site%3Alinkedin.com+Maggie+Loya+University+Relations+Recruiter+TEKsystems" TargetMode="External"/><Relationship Id="rId2524" Type="http://schemas.openxmlformats.org/officeDocument/2006/relationships/hyperlink" Target="https://www.google.com/search?newwindow=1&amp;ei=2MT0XrvGGM-vytMP1OyDgAY&amp;q=site%3Alinkedin.com+Taylor+Petersen+University+Relations+Recruiter+TEKsystems" TargetMode="External"/><Relationship Id="rId2525" Type="http://schemas.openxmlformats.org/officeDocument/2006/relationships/hyperlink" Target="https://www.google.com/search?newwindow=1&amp;ei=2MT0XrvGGM-vytMP1OyDgAY&amp;q=site%3Alinkedin.com+Kaitlin+Garcia+University+Relations+Recruiter+TEKsystems" TargetMode="External"/><Relationship Id="rId2526" Type="http://schemas.openxmlformats.org/officeDocument/2006/relationships/hyperlink" Target="https://www.google.com/search?newwindow=1&amp;ei=2MT0XrvGGM-vytMP1OyDgAY&amp;q=site%3Alinkedin.com+Ashlyn+Monks+Campus+Recruiter" TargetMode="External"/><Relationship Id="rId2527" Type="http://schemas.openxmlformats.org/officeDocument/2006/relationships/hyperlink" Target="https://www.google.com/search?newwindow=1&amp;ei=2MT0XrvGGM-vytMP1OyDgAY&amp;q=site%3Alinkedin.com+Lynda+Jackson+Apprenticeship+and+Graduate+Recruitment+Manager" TargetMode="External"/><Relationship Id="rId2528" Type="http://schemas.openxmlformats.org/officeDocument/2006/relationships/hyperlink" Target="https://www.google.com/search?newwindow=1&amp;ei=2MT0XrvGGM-vytMP1OyDgAY&amp;q=site%3Alinkedin.com+Don+Dapkus+Applications+Engineering+Manager+Texas+Instruments" TargetMode="External"/><Relationship Id="rId2529" Type="http://schemas.openxmlformats.org/officeDocument/2006/relationships/hyperlink" Target="https://www.google.com/search?newwindow=1&amp;ei=2MT0XrvGGM-vytMP1OyDgAY&amp;q=site%3Alinkedin.com+Brian+Park+Strategic+Account+Manager+Texas+Instruments" TargetMode="External"/><Relationship Id="rId2520" Type="http://schemas.openxmlformats.org/officeDocument/2006/relationships/hyperlink" Target="https://www.google.com/search?newwindow=1&amp;ei=2MT0XrvGGM-vytMP1OyDgAY&amp;q=site%3Alinkedin.com+Lauren+Peters+Senior+University+Relations+Recruiter+TEKsystems" TargetMode="External"/><Relationship Id="rId2521" Type="http://schemas.openxmlformats.org/officeDocument/2006/relationships/hyperlink" Target="https://www.google.com/search?newwindow=1&amp;ei=2MT0XrvGGM-vytMP1OyDgAY&amp;q=site%3Alinkedin.com+Teron+Foster+University+Relations+Recruiter+TEKsystems" TargetMode="External"/><Relationship Id="rId2511" Type="http://schemas.openxmlformats.org/officeDocument/2006/relationships/hyperlink" Target="https://www.google.com/search?newwindow=1&amp;ei=2MT0XrvGGM-vytMP1OyDgAY&amp;q=site%3Alinkedin.com+Matthew+Williamson+Head+of+University+Recruitment" TargetMode="External"/><Relationship Id="rId2512" Type="http://schemas.openxmlformats.org/officeDocument/2006/relationships/hyperlink" Target="https://www.google.com/search?newwindow=1&amp;ei=2MT0XrvGGM-vytMP1OyDgAY&amp;q=site%3Alinkedin.com+Erin+Mckelvey+University+Recruitment+Manager" TargetMode="External"/><Relationship Id="rId2513" Type="http://schemas.openxmlformats.org/officeDocument/2006/relationships/hyperlink" Target="https://www.google.com/search?newwindow=1&amp;ei=2MT0XrvGGM-vytMP1OyDgAY&amp;q=site%3Alinkedin.com+Sophie+Thompson+University+Recruiter" TargetMode="External"/><Relationship Id="rId2514" Type="http://schemas.openxmlformats.org/officeDocument/2006/relationships/hyperlink" Target="https://www.google.com/search?newwindow=1&amp;ei=2MT0XrvGGM-vytMP1OyDgAY&amp;q=site%3Alinkedin.com+Hannah+Smith+University+Recruiter+-+Northern+England+the+Midlands+&amp;+Ireland" TargetMode="External"/><Relationship Id="rId2515" Type="http://schemas.openxmlformats.org/officeDocument/2006/relationships/hyperlink" Target="https://www.google.com/search?newwindow=1&amp;ei=2MT0XrvGGM-vytMP1OyDgAY&amp;q=site%3Alinkedin.com+Lui+DelVerto+University+Recruiter" TargetMode="External"/><Relationship Id="rId2516" Type="http://schemas.openxmlformats.org/officeDocument/2006/relationships/hyperlink" Target="https://www.google.com/search?newwindow=1&amp;ei=2MT0XrvGGM-vytMP1OyDgAY&amp;q=site%3Alinkedin.com+Abi+Fields+University+Recruiter" TargetMode="External"/><Relationship Id="rId2517" Type="http://schemas.openxmlformats.org/officeDocument/2006/relationships/hyperlink" Target="https://www.google.com/search?newwindow=1&amp;ei=2MT0XrvGGM-vytMP1OyDgAY&amp;q=site%3Alinkedin.com+Sophie+Bond+University+Recruiter" TargetMode="External"/><Relationship Id="rId2518" Type="http://schemas.openxmlformats.org/officeDocument/2006/relationships/hyperlink" Target="https://www.google.com/search?newwindow=1&amp;ei=2MT0XrvGGM-vytMP1OyDgAY&amp;q=site%3Alinkedin.com+Sacha+Tyler+University+Recruiter" TargetMode="External"/><Relationship Id="rId2519" Type="http://schemas.openxmlformats.org/officeDocument/2006/relationships/hyperlink" Target="https://www.google.com/search?newwindow=1&amp;ei=2MT0XrvGGM-vytMP1OyDgAY&amp;q=site%3Alinkedin.com+Kate+Weaver+University+Recruiter" TargetMode="External"/><Relationship Id="rId2510" Type="http://schemas.openxmlformats.org/officeDocument/2006/relationships/hyperlink" Target="https://www.google.com/search?newwindow=1&amp;ei=2MT0XrvGGM-vytMP1OyDgAY&amp;q=site%3Alinkedin.com+Charlotte+Curle+University+Recruiter" TargetMode="External"/><Relationship Id="rId469" Type="http://schemas.openxmlformats.org/officeDocument/2006/relationships/hyperlink" Target="https://www.google.com/search?newwindow=1&amp;ei=2MT0XrvGGM-vytMP1OyDgAY&amp;q=site%3Alinkedin.com+Monica+Diocades+Campus+Recruiter+Capital+One" TargetMode="External"/><Relationship Id="rId468" Type="http://schemas.openxmlformats.org/officeDocument/2006/relationships/hyperlink" Target="https://www.google.com/search?newwindow=1&amp;ei=2MT0XrvGGM-vytMP1OyDgAY&amp;q=site%3Alinkedin.com+Faith+Holland+Tech+Recruiter+Campus+Recruiting+Capital+One" TargetMode="External"/><Relationship Id="rId467" Type="http://schemas.openxmlformats.org/officeDocument/2006/relationships/hyperlink" Target="https://www.google.com/search?newwindow=1&amp;ei=2MT0XrvGGM-vytMP1OyDgAY&amp;q=site%3Alinkedin.com+Kwanza+K.+Nunn+SPHR+SHRM-SCP+Campus+Recruiting+Manager+Capital+One" TargetMode="External"/><Relationship Id="rId1290" Type="http://schemas.openxmlformats.org/officeDocument/2006/relationships/hyperlink" Target="https://www.google.com/search?newwindow=1&amp;ei=2MT0XrvGGM-vytMP1OyDgAY&amp;q=site%3Alinkedin.com+Melik+Cinar+Graduate+Recruiter" TargetMode="External"/><Relationship Id="rId1291" Type="http://schemas.openxmlformats.org/officeDocument/2006/relationships/hyperlink" Target="https://www.google.com/search?newwindow=1&amp;ei=2MT0XrvGGM-vytMP1OyDgAY&amp;q=site%3Alinkedin.com+Tolu+Ogunlaiye+Senior+Graduate+Recruiter+and+University+Partnerships+Consultant" TargetMode="External"/><Relationship Id="rId1292" Type="http://schemas.openxmlformats.org/officeDocument/2006/relationships/hyperlink" Target="https://www.google.com/search?newwindow=1&amp;ei=2MT0XrvGGM-vytMP1OyDgAY&amp;q=site%3Alinkedin.com+Edward+Chatfield+Graduate+Recruitment+and+University+Partnerships+Consultant" TargetMode="External"/><Relationship Id="rId462" Type="http://schemas.openxmlformats.org/officeDocument/2006/relationships/hyperlink" Target="https://www.google.com/search?newwindow=1&amp;ei=2MT0XrvGGM-vytMP1OyDgAY&amp;q=site%3Alinkedin.com+Meg+Stabler+Campus+Recruiter+Business+Analyst+(Southeast+Region)+Capital+One" TargetMode="External"/><Relationship Id="rId1293" Type="http://schemas.openxmlformats.org/officeDocument/2006/relationships/hyperlink" Target="https://www.google.com/search?newwindow=1&amp;ei=2MT0XrvGGM-vytMP1OyDgAY&amp;q=site%3Alinkedin.com+Kane+Willmott-Kalokoh+Graduate+Recruiter" TargetMode="External"/><Relationship Id="rId461" Type="http://schemas.openxmlformats.org/officeDocument/2006/relationships/hyperlink" Target="https://www.google.com/search?newwindow=1&amp;ei=2MT0XrvGGM-vytMP1OyDgAY&amp;q=site%3Alinkedin.com+Jarvis-Ricardo+Johnson+MPA+Campus+Recruiter+Capital+One" TargetMode="External"/><Relationship Id="rId1294" Type="http://schemas.openxmlformats.org/officeDocument/2006/relationships/hyperlink" Target="https://www.google.com/search?newwindow=1&amp;ei=2MT0XrvGGM-vytMP1OyDgAY&amp;q=site%3Alinkedin.com+Krystal+Gabriel+Senior+Graduate+Recruiter" TargetMode="External"/><Relationship Id="rId460" Type="http://schemas.openxmlformats.org/officeDocument/2006/relationships/hyperlink" Target="https://www.google.com/search?newwindow=1&amp;ei=2MT0XrvGGM-vytMP1OyDgAY&amp;q=site%3Alinkedin.com+Peyton+Lowery+Senior+Campus+Recruiter+-+Technology+Capital+One" TargetMode="External"/><Relationship Id="rId1295" Type="http://schemas.openxmlformats.org/officeDocument/2006/relationships/hyperlink" Target="https://www.google.com/search?newwindow=1&amp;ei=2MT0XrvGGM-vytMP1OyDgAY&amp;q=site%3Alinkedin.com+Nicholas+Lloyd+Graduate+Recruitment+and+University+Partnerships" TargetMode="External"/><Relationship Id="rId1296" Type="http://schemas.openxmlformats.org/officeDocument/2006/relationships/hyperlink" Target="https://www.google.com/search?newwindow=1&amp;ei=2MT0XrvGGM-vytMP1OyDgAY&amp;q=site%3Alinkedin.com+Catherine+Tsiakoulas+Graduate+Recruitment+and+University+Partnerships+Consultant" TargetMode="External"/><Relationship Id="rId466" Type="http://schemas.openxmlformats.org/officeDocument/2006/relationships/hyperlink" Target="https://www.google.com/search?newwindow=1&amp;ei=2MT0XrvGGM-vytMP1OyDgAY&amp;q=site%3Alinkedin.com+Addison+Leftwich+Campus+Recruiter+Capital+One" TargetMode="External"/><Relationship Id="rId1297" Type="http://schemas.openxmlformats.org/officeDocument/2006/relationships/hyperlink" Target="https://www.google.com/search?newwindow=1&amp;ei=2MT0XrvGGM-vytMP1OyDgAY&amp;q=site%3Alinkedin.com+Caitlin+Hargraves+Graduate+Recruitment+and+University+Partnerships" TargetMode="External"/><Relationship Id="rId465" Type="http://schemas.openxmlformats.org/officeDocument/2006/relationships/hyperlink" Target="https://www.google.com/search?newwindow=1&amp;ei=2MT0XrvGGM-vytMP1OyDgAY&amp;q=site%3Alinkedin.com+Katie+Griffin+HR+Associate+Analyst+Campus+Programs+Capital+One" TargetMode="External"/><Relationship Id="rId1298" Type="http://schemas.openxmlformats.org/officeDocument/2006/relationships/hyperlink" Target="https://www.google.com/search?newwindow=1&amp;ei=2MT0XrvGGM-vytMP1OyDgAY&amp;q=site%3Alinkedin.com+Celina+Gonzales+Senior+Graduate+Recruitment+and+University+Partnerships+Consultant" TargetMode="External"/><Relationship Id="rId464" Type="http://schemas.openxmlformats.org/officeDocument/2006/relationships/hyperlink" Target="https://www.google.com/search?newwindow=1&amp;ei=2MT0XrvGGM-vytMP1OyDgAY&amp;q=site%3Alinkedin.com+Sarah+Bigelow+Campus+Recruiter+Capital+One" TargetMode="External"/><Relationship Id="rId1299" Type="http://schemas.openxmlformats.org/officeDocument/2006/relationships/hyperlink" Target="https://www.google.com/search?newwindow=1&amp;ei=2MT0XrvGGM-vytMP1OyDgAY&amp;q=site%3Alinkedin.com+Meghan+Aubert+Graduate+Recruiter" TargetMode="External"/><Relationship Id="rId463" Type="http://schemas.openxmlformats.org/officeDocument/2006/relationships/hyperlink" Target="https://www.google.com/search?newwindow=1&amp;ei=2MT0XrvGGM-vytMP1OyDgAY&amp;q=site%3Alinkedin.com+Mary+Kate+Duncan+Campus+Recruiter+Capital+One" TargetMode="External"/><Relationship Id="rId459" Type="http://schemas.openxmlformats.org/officeDocument/2006/relationships/hyperlink" Target="https://www.google.com/search?newwindow=1&amp;ei=2MT0XrvGGM-vytMP1OyDgAY&amp;q=site%3Alinkedin.com+Julia+Christakos+Process+Manager+Campus+Recruiting+Capital+One" TargetMode="External"/><Relationship Id="rId458" Type="http://schemas.openxmlformats.org/officeDocument/2006/relationships/hyperlink" Target="https://www.google.com/search?newwindow=1&amp;ei=2MT0XrvGGM-vytMP1OyDgAY&amp;q=site%3Alinkedin.com+Chris+Giacchi+Sr.+Manager+Campus+Recruiting+Capital+One" TargetMode="External"/><Relationship Id="rId457" Type="http://schemas.openxmlformats.org/officeDocument/2006/relationships/hyperlink" Target="https://www.google.com/search?newwindow=1&amp;ei=2MT0XrvGGM-vytMP1OyDgAY&amp;q=site%3Alinkedin.com+Tori+Compton+Campus+Recruiter+Capital+One" TargetMode="External"/><Relationship Id="rId456" Type="http://schemas.openxmlformats.org/officeDocument/2006/relationships/hyperlink" Target="https://www.google.com/search?newwindow=1&amp;ei=2MT0XrvGGM-vytMP1OyDgAY&amp;q=site%3Alinkedin.com+Lauren+Cox+Campus+Recruiter+Capital+One" TargetMode="External"/><Relationship Id="rId1280" Type="http://schemas.openxmlformats.org/officeDocument/2006/relationships/hyperlink" Target="https://www.google.com/search?newwindow=1&amp;ei=2MT0XrvGGM-vytMP1OyDgAY&amp;q=site%3Alinkedin.com+Alasdair+McKenzie+University+Partnerships+Consultant+&amp;+Graduate+Recruiter" TargetMode="External"/><Relationship Id="rId1281" Type="http://schemas.openxmlformats.org/officeDocument/2006/relationships/hyperlink" Target="https://www.google.com/search?newwindow=1&amp;ei=2MT0XrvGGM-vytMP1OyDgAY&amp;q=site%3Alinkedin.com+Andrew+Alexander+Graduate+Recruiter" TargetMode="External"/><Relationship Id="rId451" Type="http://schemas.openxmlformats.org/officeDocument/2006/relationships/hyperlink" Target="https://www.google.com/search?newwindow=1&amp;ei=2MT0XrvGGM-vytMP1OyDgAY&amp;q=site%3Alinkedin.com+Sahara+Marte+Campus+Recruiter+Capital+One" TargetMode="External"/><Relationship Id="rId1282" Type="http://schemas.openxmlformats.org/officeDocument/2006/relationships/hyperlink" Target="https://www.google.com/search?newwindow=1&amp;ei=2MT0XrvGGM-vytMP1OyDgAY&amp;q=site%3Alinkedin.com+Vicki+Mok+Senior+UK&amp;APAC+Graduate+Recruiter" TargetMode="External"/><Relationship Id="rId450" Type="http://schemas.openxmlformats.org/officeDocument/2006/relationships/hyperlink" Target="https://www.google.com/search?newwindow=1&amp;ei=2MT0XrvGGM-vytMP1OyDgAY&amp;q=site%3Alinkedin.com+Mark+Measell+Campus+Recruiter+Capital+One" TargetMode="External"/><Relationship Id="rId1283" Type="http://schemas.openxmlformats.org/officeDocument/2006/relationships/hyperlink" Target="https://www.google.com/search?newwindow=1&amp;ei=2MT0XrvGGM-vytMP1OyDgAY&amp;q=site%3Alinkedin.com+Molly+French+Senior+Graduate+Recruiter" TargetMode="External"/><Relationship Id="rId1284" Type="http://schemas.openxmlformats.org/officeDocument/2006/relationships/hyperlink" Target="https://www.google.com/search?newwindow=1&amp;ei=2MT0XrvGGM-vytMP1OyDgAY&amp;q=site%3Alinkedin.com+Sheldan+Bristol-Walton+University+Partnership+&amp;+Recruitment" TargetMode="External"/><Relationship Id="rId1285" Type="http://schemas.openxmlformats.org/officeDocument/2006/relationships/hyperlink" Target="https://www.google.com/search?newwindow=1&amp;ei=2MT0XrvGGM-vytMP1OyDgAY&amp;q=site%3Alinkedin.com+Isel+Abdellatif+University+Partnership+and+Recruitment+Consultant" TargetMode="External"/><Relationship Id="rId455" Type="http://schemas.openxmlformats.org/officeDocument/2006/relationships/hyperlink" Target="https://www.google.com/search?newwindow=1&amp;ei=2MT0XrvGGM-vytMP1OyDgAY&amp;q=site%3Alinkedin.com+Kelly+Bowman+Campus+Recruiter+Technology+(Southeast+Region)+Capital+One" TargetMode="External"/><Relationship Id="rId1286" Type="http://schemas.openxmlformats.org/officeDocument/2006/relationships/hyperlink" Target="https://www.google.com/search?newwindow=1&amp;ei=2MT0XrvGGM-vytMP1OyDgAY&amp;q=site%3Alinkedin.com+Lara+Senhen+University+Partnership+Team+Lead" TargetMode="External"/><Relationship Id="rId454" Type="http://schemas.openxmlformats.org/officeDocument/2006/relationships/hyperlink" Target="https://www.google.com/search?newwindow=1&amp;ei=2MT0XrvGGM-vytMP1OyDgAY&amp;q=site%3Alinkedin.com+Lisa+Crouse+CPA+SHRM-CP+Senior+Manager+Recruiting+Capital+One" TargetMode="External"/><Relationship Id="rId1287" Type="http://schemas.openxmlformats.org/officeDocument/2006/relationships/hyperlink" Target="https://www.google.com/search?newwindow=1&amp;ei=2MT0XrvGGM-vytMP1OyDgAY&amp;q=site%3Alinkedin.com+Melik+Cinar+Senior+Graduate+Recruiter+and+University+Partnership+Consultant" TargetMode="External"/><Relationship Id="rId453" Type="http://schemas.openxmlformats.org/officeDocument/2006/relationships/hyperlink" Target="https://www.google.com/search?newwindow=1&amp;ei=2MT0XrvGGM-vytMP1OyDgAY&amp;q=site%3Alinkedin.com+Pablo+Briones+Campus+Recruiter+Capital+One" TargetMode="External"/><Relationship Id="rId1288" Type="http://schemas.openxmlformats.org/officeDocument/2006/relationships/hyperlink" Target="https://www.google.com/search?newwindow=1&amp;ei=2MT0XrvGGM-vytMP1OyDgAY&amp;q=site%3Alinkedin.com+Jay+Cooper+Graduate+Recruiter" TargetMode="External"/><Relationship Id="rId452" Type="http://schemas.openxmlformats.org/officeDocument/2006/relationships/hyperlink" Target="https://www.google.com/search?newwindow=1&amp;ei=2MT0XrvGGM-vytMP1OyDgAY&amp;q=site%3Alinkedin.com+Martha+OBrien+Graduate+Campus+Recruiter+%7C+HR+Rotational+Program+Capital+One" TargetMode="External"/><Relationship Id="rId1289" Type="http://schemas.openxmlformats.org/officeDocument/2006/relationships/hyperlink" Target="https://www.google.com/search?newwindow=1&amp;ei=2MT0XrvGGM-vytMP1OyDgAY&amp;q=site%3Alinkedin.com+Sophie+Parsons+Graduate+Recruiter" TargetMode="External"/><Relationship Id="rId491" Type="http://schemas.openxmlformats.org/officeDocument/2006/relationships/hyperlink" Target="https://www.google.com/search?newwindow=1&amp;ei=2MT0XrvGGM-vytMP1OyDgAY&amp;q=site%3Alinkedin.com+Emeline+Auguste+Administrative+Assistant+-+Diversity+Equity+and+Community+Programs" TargetMode="External"/><Relationship Id="rId490" Type="http://schemas.openxmlformats.org/officeDocument/2006/relationships/hyperlink" Target="https://www.google.com/search?newwindow=1&amp;ei=2MT0XrvGGM-vytMP1OyDgAY&amp;q=site%3Alinkedin.com+Grace+Haime+New+Student+Programs+and+Activities+Coordinator+Student+Experience+Office" TargetMode="External"/><Relationship Id="rId489" Type="http://schemas.openxmlformats.org/officeDocument/2006/relationships/hyperlink" Target="https://www.google.com/search?newwindow=1&amp;ei=2MT0XrvGGM-vytMP1OyDgAY&amp;q=site%3Alinkedin.com+Adedoyin+Kolade+International+Internship+and+Student+Employment+Programs+Assistant" TargetMode="External"/><Relationship Id="rId484" Type="http://schemas.openxmlformats.org/officeDocument/2006/relationships/hyperlink" Target="https://www.google.com/search?newwindow=1&amp;ei=2MT0XrvGGM-vytMP1OyDgAY&amp;q=site%3Alinkedin.com+Katie+Johnson+Campus+Recruiter+Cargill" TargetMode="External"/><Relationship Id="rId483" Type="http://schemas.openxmlformats.org/officeDocument/2006/relationships/hyperlink" Target="https://www.google.com/search?newwindow=1&amp;ei=2MT0XrvGGM-vytMP1OyDgAY&amp;q=site%3Alinkedin.com+Jill+Spohn+M.A.+H.R.M.+University+Recruiting+Specialist+Cargill" TargetMode="External"/><Relationship Id="rId482" Type="http://schemas.openxmlformats.org/officeDocument/2006/relationships/hyperlink" Target="https://www.google.com/search?newwindow=1&amp;ei=2MT0XrvGGM-vytMP1OyDgAY&amp;q=site%3Alinkedin.com+Megan+Thomas+Associate+University+Recruiter+Cargill" TargetMode="External"/><Relationship Id="rId481" Type="http://schemas.openxmlformats.org/officeDocument/2006/relationships/hyperlink" Target="https://www.google.com/search?newwindow=1&amp;ei=2MT0XrvGGM-vytMP1OyDgAY&amp;q=site%3Alinkedin.com+Samgwaa+Ndifontah+University+Recruiter+Cargill" TargetMode="External"/><Relationship Id="rId488" Type="http://schemas.openxmlformats.org/officeDocument/2006/relationships/hyperlink" Target="https://www.google.com/search?newwindow=1&amp;ei=2MT0XrvGGM-vytMP1OyDgAY&amp;q=site%3Alinkedin.com+Sarah+Mather-Sabourin+Manager+of+Student+Employment+Programs+and+Partnership+Development" TargetMode="External"/><Relationship Id="rId487" Type="http://schemas.openxmlformats.org/officeDocument/2006/relationships/hyperlink" Target="https://www.google.com/search?newwindow=1&amp;ei=2MT0XrvGGM-vytMP1OyDgAY&amp;q=site%3Alinkedin.com+Amanda+Hodgson+ACT+to+Employ+and+Student+Employment+Programs+Coordinator" TargetMode="External"/><Relationship Id="rId486" Type="http://schemas.openxmlformats.org/officeDocument/2006/relationships/hyperlink" Target="https://www.google.com/search?newwindow=1&amp;ei=2MT0XrvGGM-vytMP1OyDgAY&amp;q=site%3Alinkedin.com+Jean+Mullan+Former+Director+(Retired)+Undergraduate+Recruitment+Carleton+University" TargetMode="External"/><Relationship Id="rId485" Type="http://schemas.openxmlformats.org/officeDocument/2006/relationships/hyperlink" Target="https://www.google.com/search?newwindow=1&amp;ei=2MT0XrvGGM-vytMP1OyDgAY&amp;q=site%3Alinkedin.com+Nicole+Kitchen+Undergraduate+Recruitment+Officer" TargetMode="External"/><Relationship Id="rId480" Type="http://schemas.openxmlformats.org/officeDocument/2006/relationships/hyperlink" Target="https://www.google.com/search?newwindow=1&amp;ei=2MT0XrvGGM-vytMP1OyDgAY&amp;q=site%3Alinkedin.com+Anais+Diaz+University+Recruiter+Specialist+Cargill" TargetMode="External"/><Relationship Id="rId479" Type="http://schemas.openxmlformats.org/officeDocument/2006/relationships/hyperlink" Target="https://www.google.com/search?newwindow=1&amp;ei=2MT0XrvGGM-vytMP1OyDgAY&amp;q=site%3Alinkedin.com+Lexus+Kennedy+Operations+Manager+Cargill" TargetMode="External"/><Relationship Id="rId478" Type="http://schemas.openxmlformats.org/officeDocument/2006/relationships/hyperlink" Target="https://www.google.com/search?newwindow=1&amp;ei=2MT0XrvGGM-vytMP1OyDgAY&amp;q=site%3Alinkedin.com+Cara+Pedersen+CHRP+Associate+University+Recruitment+Specialist" TargetMode="External"/><Relationship Id="rId473" Type="http://schemas.openxmlformats.org/officeDocument/2006/relationships/hyperlink" Target="https://www.google.com/search?newwindow=1&amp;ei=2MT0XrvGGM-vytMP1OyDgAY&amp;q=site%3Alinkedin.com+Alan+Ward+(he/him)+Campus+Recruiter+-+Enterprise+Programs+Capital+One" TargetMode="External"/><Relationship Id="rId472" Type="http://schemas.openxmlformats.org/officeDocument/2006/relationships/hyperlink" Target="https://www.google.com/search?newwindow=1&amp;ei=2MT0XrvGGM-vytMP1OyDgAY&amp;q=site%3Alinkedin.com+Anthony+Jimenez+Tech+Recruiter+-+Campus+Recruiting+Capital+One" TargetMode="External"/><Relationship Id="rId471" Type="http://schemas.openxmlformats.org/officeDocument/2006/relationships/hyperlink" Target="https://www.google.com/search?newwindow=1&amp;ei=2MT0XrvGGM-vytMP1OyDgAY&amp;q=site%3Alinkedin.com+Hayley+(Ford)+Nainani+Campus+Recruiting+Manager+Capital+One" TargetMode="External"/><Relationship Id="rId470" Type="http://schemas.openxmlformats.org/officeDocument/2006/relationships/hyperlink" Target="https://www.google.com/search?newwindow=1&amp;ei=2MT0XrvGGM-vytMP1OyDgAY&amp;q=site%3Alinkedin.com+Kelsey+Indorf+Campus+Recruiting+Senior+Manager+Capital+One" TargetMode="External"/><Relationship Id="rId477" Type="http://schemas.openxmlformats.org/officeDocument/2006/relationships/hyperlink" Target="https://www.google.com/search?newwindow=1&amp;ei=2MT0XrvGGM-vytMP1OyDgAY&amp;q=site%3Alinkedin.com+Stephanie+Wharton+Campus+Recruiter+Capital+One" TargetMode="External"/><Relationship Id="rId476" Type="http://schemas.openxmlformats.org/officeDocument/2006/relationships/hyperlink" Target="https://www.google.com/search?newwindow=1&amp;ei=2MT0XrvGGM-vytMP1OyDgAY&amp;q=site%3Alinkedin.com+Rachel+Turner+Campus+Recruiter+Capital+One" TargetMode="External"/><Relationship Id="rId475" Type="http://schemas.openxmlformats.org/officeDocument/2006/relationships/hyperlink" Target="https://www.google.com/search?newwindow=1&amp;ei=2MT0XrvGGM-vytMP1OyDgAY&amp;q=site%3Alinkedin.com+Arielle+Singleton+Campus+Recruiter+Capital+One" TargetMode="External"/><Relationship Id="rId474" Type="http://schemas.openxmlformats.org/officeDocument/2006/relationships/hyperlink" Target="https://www.google.com/search?newwindow=1&amp;ei=2MT0XrvGGM-vytMP1OyDgAY&amp;q=site%3Alinkedin.com+Nyla+Walker+Senior+Diversity+&amp;+Inclusion+Campus+Recruiter+Capital+One" TargetMode="External"/><Relationship Id="rId1257" Type="http://schemas.openxmlformats.org/officeDocument/2006/relationships/hyperlink" Target="https://www.google.com/search?newwindow=1&amp;ei=2MT0XrvGGM-vytMP1OyDgAY&amp;q=site%3Alinkedin.com+Kel+Lau+University+Recruiter+Facebook" TargetMode="External"/><Relationship Id="rId2588" Type="http://schemas.openxmlformats.org/officeDocument/2006/relationships/hyperlink" Target="https://www.google.com/search?newwindow=1&amp;ei=2MT0XrvGGM-vytMP1OyDgAY&amp;q=site%3Alinkedin.com+Evan+Wise+Project+Manager+&amp;+Campus+Recruiter+U.S.+Bank" TargetMode="External"/><Relationship Id="rId1258" Type="http://schemas.openxmlformats.org/officeDocument/2006/relationships/hyperlink" Target="https://www.google.com/search?newwindow=1&amp;ei=2MT0XrvGGM-vytMP1OyDgAY&amp;q=site%3Alinkedin.com+Stephanie+Roesbery+University+Recruiter+Infrastructure+Foundation+Facebook" TargetMode="External"/><Relationship Id="rId2589" Type="http://schemas.openxmlformats.org/officeDocument/2006/relationships/hyperlink" Target="https://www.google.com/search?newwindow=1&amp;ei=2MT0XrvGGM-vytMP1OyDgAY&amp;q=site%3Alinkedin.com+Cindy+Kuehl+Officer+Campus+Recruiter+&amp;+Internship+Program+Manager+U.S.+Bank" TargetMode="External"/><Relationship Id="rId1259" Type="http://schemas.openxmlformats.org/officeDocument/2006/relationships/hyperlink" Target="https://www.google.com/search?newwindow=1&amp;ei=2MT0XrvGGM-vytMP1OyDgAY&amp;q=site%3Alinkedin.com+Luc%C3%ADa+Ar%C3%A9valo+Valeta+University+Recruiter+Diversity+Facebook" TargetMode="External"/><Relationship Id="rId426" Type="http://schemas.openxmlformats.org/officeDocument/2006/relationships/hyperlink" Target="https://www.google.com/search?newwindow=1&amp;ei=2MT0XrvGGM-vytMP1OyDgAY&amp;q=site%3Alinkedin.com+Darlene+Kipphut+Senior+Associate+Campus+Recruiting+Data+Analysis" TargetMode="External"/><Relationship Id="rId425" Type="http://schemas.openxmlformats.org/officeDocument/2006/relationships/hyperlink" Target="https://www.google.com/search?newwindow=1&amp;ei=2MT0XrvGGM-vytMP1OyDgAY&amp;q=site%3Alinkedin.com+Lisa+Crouse+CPA+SHRM-CP+Senior+Manager+Recruiting" TargetMode="External"/><Relationship Id="rId424" Type="http://schemas.openxmlformats.org/officeDocument/2006/relationships/hyperlink" Target="https://www.google.com/search?newwindow=1&amp;ei=2MT0XrvGGM-vytMP1OyDgAY&amp;q=site%3Alinkedin.com+Chiara+Arch+Campus+Recruiting+Strategist+D&amp;I+&amp;+National+Partnerships+at+Capital+One" TargetMode="External"/><Relationship Id="rId423" Type="http://schemas.openxmlformats.org/officeDocument/2006/relationships/hyperlink" Target="https://www.google.com/search?newwindow=1&amp;ei=2MT0XrvGGM-vytMP1OyDgAY&amp;q=site%3Alinkedin.com+Julia+Christakos+Process+Manager+Campus+Recruiting" TargetMode="External"/><Relationship Id="rId429" Type="http://schemas.openxmlformats.org/officeDocument/2006/relationships/hyperlink" Target="https://www.google.com/search?newwindow=1&amp;ei=2MT0XrvGGM-vytMP1OyDgAY&amp;q=site%3Alinkedin.com+Nicole+Yung+Campus+Recruiter+Business+Lead" TargetMode="External"/><Relationship Id="rId428" Type="http://schemas.openxmlformats.org/officeDocument/2006/relationships/hyperlink" Target="https://www.google.com/search?newwindow=1&amp;ei=2MT0XrvGGM-vytMP1OyDgAY&amp;q=site%3Alinkedin.com+Maria+Khan+Campus+Recruiting+Manager" TargetMode="External"/><Relationship Id="rId427" Type="http://schemas.openxmlformats.org/officeDocument/2006/relationships/hyperlink" Target="https://www.google.com/search?newwindow=1&amp;ei=2MT0XrvGGM-vytMP1OyDgAY&amp;q=site%3Alinkedin.com+Janine+%22Nina%22+Morton+Director+Head+of+Graduate+Campus+Recruiting+&amp;+Development+Programs" TargetMode="External"/><Relationship Id="rId2580" Type="http://schemas.openxmlformats.org/officeDocument/2006/relationships/hyperlink" Target="https://www.google.com/search?newwindow=1&amp;ei=2MT0XrvGGM-vytMP1OyDgAY&amp;q=site%3Alinkedin.com+Shay+Billeci+University+Recruiter+Non-Eng+&amp;+MBA+Twitter" TargetMode="External"/><Relationship Id="rId1250" Type="http://schemas.openxmlformats.org/officeDocument/2006/relationships/hyperlink" Target="https://www.google.com/search?newwindow=1&amp;ei=2MT0XrvGGM-vytMP1OyDgAY&amp;q=site%3Alinkedin.com+Cheriece+Williams+University+Recruiter+Facebook" TargetMode="External"/><Relationship Id="rId2581" Type="http://schemas.openxmlformats.org/officeDocument/2006/relationships/hyperlink" Target="https://www.google.com/search?newwindow=1&amp;ei=2MT0XrvGGM-vytMP1OyDgAY&amp;q=site%3Alinkedin.com+Thandar+Pe%C3%B1a+Campus+Recruiting+Manager+Quantitative+Research+Two+Sigma" TargetMode="External"/><Relationship Id="rId1251" Type="http://schemas.openxmlformats.org/officeDocument/2006/relationships/hyperlink" Target="https://www.google.com/search?newwindow=1&amp;ei=2MT0XrvGGM-vytMP1OyDgAY&amp;q=site%3Alinkedin.com+Kaitlin+Wilson+University+Recruiter+Facebook" TargetMode="External"/><Relationship Id="rId2582" Type="http://schemas.openxmlformats.org/officeDocument/2006/relationships/hyperlink" Target="https://www.google.com/search?newwindow=1&amp;ei=2MT0XrvGGM-vytMP1OyDgAY&amp;q=site%3Alinkedin.com+Lisa+Vance+Campus+Recruiter+&amp;+Program+Manager+Two+Sigma" TargetMode="External"/><Relationship Id="rId1252" Type="http://schemas.openxmlformats.org/officeDocument/2006/relationships/hyperlink" Target="https://www.google.com/search?newwindow=1&amp;ei=2MT0XrvGGM-vytMP1OyDgAY&amp;q=site%3Alinkedin.com+Kathleen+Roberts+University+Recruiter+-+Closer+Facebook" TargetMode="External"/><Relationship Id="rId2583" Type="http://schemas.openxmlformats.org/officeDocument/2006/relationships/hyperlink" Target="https://www.google.com/search?newwindow=1&amp;ei=2MT0XrvGGM-vytMP1OyDgAY&amp;q=site%3Alinkedin.com+Haley+(Baxter)+Mandell+Software+Engineering+Campus+Recruiter+&amp;+Program+Manager+Two+Sigma" TargetMode="External"/><Relationship Id="rId422" Type="http://schemas.openxmlformats.org/officeDocument/2006/relationships/hyperlink" Target="https://www.google.com/search?newwindow=1&amp;ei=2MT0XrvGGM-vytMP1OyDgAY&amp;q=site%3Alinkedin.com+Chris+Giacchi+Human+Resource+Consultant+for+Brand+Workplace+Solutions+Supplier+Management+and+Security" TargetMode="External"/><Relationship Id="rId1253" Type="http://schemas.openxmlformats.org/officeDocument/2006/relationships/hyperlink" Target="https://www.google.com/search?newwindow=1&amp;ei=2MT0XrvGGM-vytMP1OyDgAY&amp;q=site%3Alinkedin.com+Marina+Moreno+University+Recruiter+Facebook" TargetMode="External"/><Relationship Id="rId2584" Type="http://schemas.openxmlformats.org/officeDocument/2006/relationships/hyperlink" Target="https://www.google.com/search?newwindow=1&amp;ei=2MT0XrvGGM-vytMP1OyDgAY&amp;q=site%3Alinkedin.com+Bradley+Goodloe+Sr.+Campus+Recruiter/Internship+Program+Manager+U.S.+Bank" TargetMode="External"/><Relationship Id="rId421" Type="http://schemas.openxmlformats.org/officeDocument/2006/relationships/hyperlink" Target="https://www.google.com/search?newwindow=1&amp;ei=2MT0XrvGGM-vytMP1OyDgAY&amp;q=site%3Alinkedin.com+Mary+Kate+Duncan+Campus+Recruiter" TargetMode="External"/><Relationship Id="rId1254" Type="http://schemas.openxmlformats.org/officeDocument/2006/relationships/hyperlink" Target="https://www.google.com/search?newwindow=1&amp;ei=2MT0XrvGGM-vytMP1OyDgAY&amp;q=site%3Alinkedin.com+Gwen+Mahurin+University+Recruiter+Facebook" TargetMode="External"/><Relationship Id="rId2585" Type="http://schemas.openxmlformats.org/officeDocument/2006/relationships/hyperlink" Target="https://www.google.com/search?newwindow=1&amp;ei=2MT0XrvGGM-vytMP1OyDgAY&amp;q=site%3Alinkedin.com+Julian+Jordan+Campus+Recruiter+/+Internship+Program+Manager+U.S.+Bank" TargetMode="External"/><Relationship Id="rId420" Type="http://schemas.openxmlformats.org/officeDocument/2006/relationships/hyperlink" Target="https://www.google.com/search?newwindow=1&amp;ei=2MT0XrvGGM-vytMP1OyDgAY&amp;q=site%3Alinkedin.com+Christina+Mitchell+Principal+HR+Coordinator+Campus+Recruiting" TargetMode="External"/><Relationship Id="rId1255" Type="http://schemas.openxmlformats.org/officeDocument/2006/relationships/hyperlink" Target="https://www.google.com/search?newwindow=1&amp;ei=2MT0XrvGGM-vytMP1OyDgAY&amp;q=site%3Alinkedin.com+Emily+Caceres+University+Recruiter+Facebook" TargetMode="External"/><Relationship Id="rId2586" Type="http://schemas.openxmlformats.org/officeDocument/2006/relationships/hyperlink" Target="https://www.google.com/search?newwindow=1&amp;ei=2MT0XrvGGM-vytMP1OyDgAY&amp;q=site%3Alinkedin.com+Kelly+Verstat+AVP-+Senior+Campus+Recruiter+/+Internship+Program+Manager+U.S.+Bank" TargetMode="External"/><Relationship Id="rId1256" Type="http://schemas.openxmlformats.org/officeDocument/2006/relationships/hyperlink" Target="https://www.google.com/search?newwindow=1&amp;ei=2MT0XrvGGM-vytMP1OyDgAY&amp;q=site%3Alinkedin.com+Theresa+Kaufman+University+Recruiter+Facebook" TargetMode="External"/><Relationship Id="rId2587" Type="http://schemas.openxmlformats.org/officeDocument/2006/relationships/hyperlink" Target="https://www.google.com/search?newwindow=1&amp;ei=2MT0XrvGGM-vytMP1OyDgAY&amp;q=site%3Alinkedin.com+Vicky+Hidalgo+Senior+Manager+Campus+Recruiting+U.S.+Bank" TargetMode="External"/><Relationship Id="rId1246" Type="http://schemas.openxmlformats.org/officeDocument/2006/relationships/hyperlink" Target="https://www.google.com/search?newwindow=1&amp;ei=2MT0XrvGGM-vytMP1OyDgAY&amp;q=site%3Alinkedin.com+Noopur+Chhabra+Technical+Recruiter+University+Facebook" TargetMode="External"/><Relationship Id="rId2577" Type="http://schemas.openxmlformats.org/officeDocument/2006/relationships/hyperlink" Target="https://www.google.com/search?newwindow=1&amp;ei=2MT0XrvGGM-vytMP1OyDgAY&amp;q=site%3Alinkedin.com+Julie+R.+University+Recruiter+Twitter" TargetMode="External"/><Relationship Id="rId1247" Type="http://schemas.openxmlformats.org/officeDocument/2006/relationships/hyperlink" Target="https://www.google.com/search?newwindow=1&amp;ei=2MT0XrvGGM-vytMP1OyDgAY&amp;q=site%3Alinkedin.com+Sydney+Horner+Senior+Recruiter+University+Recruitment+Full+Life-Cycle+Facebook" TargetMode="External"/><Relationship Id="rId2578" Type="http://schemas.openxmlformats.org/officeDocument/2006/relationships/hyperlink" Target="https://www.google.com/search?newwindow=1&amp;ei=2MT0XrvGGM-vytMP1OyDgAY&amp;q=site%3Alinkedin.com+Rheana+De+La+Cruz+University+Recruiter+Twitter" TargetMode="External"/><Relationship Id="rId1248" Type="http://schemas.openxmlformats.org/officeDocument/2006/relationships/hyperlink" Target="https://www.google.com/search?newwindow=1&amp;ei=2MT0XrvGGM-vytMP1OyDgAY&amp;q=site%3Alinkedin.com+Cynthia+Leu+University+Recruiter+(Infrastructure)+Facebook" TargetMode="External"/><Relationship Id="rId2579" Type="http://schemas.openxmlformats.org/officeDocument/2006/relationships/hyperlink" Target="https://www.google.com/search?newwindow=1&amp;ei=2MT0XrvGGM-vytMP1OyDgAY&amp;q=site%3Alinkedin.com+Lauren+Zabel+University+Recruiter+%7C+Engineering+Product+Design+and+Research+Twitter" TargetMode="External"/><Relationship Id="rId1249" Type="http://schemas.openxmlformats.org/officeDocument/2006/relationships/hyperlink" Target="https://www.google.com/search?newwindow=1&amp;ei=2MT0XrvGGM-vytMP1OyDgAY&amp;q=site%3Alinkedin.com+Rima+Itani+University+Recruiter+Facebook" TargetMode="External"/><Relationship Id="rId415" Type="http://schemas.openxmlformats.org/officeDocument/2006/relationships/hyperlink" Target="https://www.google.com/search?newwindow=1&amp;ei=2MT0XrvGGM-vytMP1OyDgAY&amp;q=site%3Alinkedin.com+Courtney+McLemore+CDR+Campus+DIB+Recruiting+Strategy+Lead+First+Generation+College+Students" TargetMode="External"/><Relationship Id="rId414" Type="http://schemas.openxmlformats.org/officeDocument/2006/relationships/hyperlink" Target="https://www.google.com/search?newwindow=1&amp;ei=2MT0XrvGGM-vytMP1OyDgAY&amp;q=site%3Alinkedin.com+Olwen+Watson+Senior+Campus+Recruiter+-+Talent+Acquisition" TargetMode="External"/><Relationship Id="rId413" Type="http://schemas.openxmlformats.org/officeDocument/2006/relationships/hyperlink" Target="https://www.google.com/search?newwindow=1&amp;ei=2MT0XrvGGM-vytMP1OyDgAY&amp;q=site%3Alinkedin.com+Kaitlyn+Kilduff+Recruiting+Lead+-+Graduate+Campus+Internship+(GCi)+Data+Science+Program" TargetMode="External"/><Relationship Id="rId412" Type="http://schemas.openxmlformats.org/officeDocument/2006/relationships/hyperlink" Target="https://www.google.com/search?newwindow=1&amp;ei=2MT0XrvGGM-vytMP1OyDgAY&amp;q=site%3Alinkedin.com+Jeff+Hudgins+Principal+Talent+Acquisition+Specialist+-+Grad+Campus+Recruiting+Team" TargetMode="External"/><Relationship Id="rId419" Type="http://schemas.openxmlformats.org/officeDocument/2006/relationships/hyperlink" Target="https://www.google.com/search?newwindow=1&amp;ei=2MT0XrvGGM-vytMP1OyDgAY&amp;q=site%3Alinkedin.com+Carolyn+Holman+Campus+Recruiting" TargetMode="External"/><Relationship Id="rId418" Type="http://schemas.openxmlformats.org/officeDocument/2006/relationships/hyperlink" Target="https://www.google.com/search?newwindow=1&amp;ei=2MT0XrvGGM-vytMP1OyDgAY&amp;q=site%3Alinkedin.com+Kate+Schade+Senior+HR+Associate+Campus+Recruiting+Lead+-+Strategy+Consulting+Group" TargetMode="External"/><Relationship Id="rId417" Type="http://schemas.openxmlformats.org/officeDocument/2006/relationships/hyperlink" Target="https://www.google.com/search?newwindow=1&amp;ei=2MT0XrvGGM-vytMP1OyDgAY&amp;q=site%3Alinkedin.com+Stephanie+Paul+Director+Campus+Recruiting" TargetMode="External"/><Relationship Id="rId416" Type="http://schemas.openxmlformats.org/officeDocument/2006/relationships/hyperlink" Target="https://www.google.com/search?newwindow=1&amp;ei=2MT0XrvGGM-vytMP1OyDgAY&amp;q=site%3Alinkedin.com+Paige+Kelley+Business+Analyst+Recruiting+Lead" TargetMode="External"/><Relationship Id="rId2570" Type="http://schemas.openxmlformats.org/officeDocument/2006/relationships/hyperlink" Target="https://www.google.com/search?newwindow=1&amp;ei=2MT0XrvGGM-vytMP1OyDgAY&amp;q=site%3Alinkedin.com+Melissa+Coggins+Sr.+Campus+Recruiter+University+Relations+Truist" TargetMode="External"/><Relationship Id="rId1240" Type="http://schemas.openxmlformats.org/officeDocument/2006/relationships/hyperlink" Target="https://www.google.com/search?newwindow=1&amp;ei=2MT0XrvGGM-vytMP1OyDgAY&amp;q=site%3Alinkedin.com+Lai+Anderson+University+Recruiter+Software+Engineering+Facebook" TargetMode="External"/><Relationship Id="rId2571" Type="http://schemas.openxmlformats.org/officeDocument/2006/relationships/hyperlink" Target="https://www.google.com/search?newwindow=1&amp;ei=2MT0XrvGGM-vytMP1OyDgAY&amp;q=site%3Alinkedin.com+Sheria+Richardson+(She/Her)+University+Relations+Recruiter+Truist" TargetMode="External"/><Relationship Id="rId1241" Type="http://schemas.openxmlformats.org/officeDocument/2006/relationships/hyperlink" Target="https://www.google.com/search?newwindow=1&amp;ei=2MT0XrvGGM-vytMP1OyDgAY&amp;q=site%3Alinkedin.com+Jarrod+F.+University+Recruiter+Facebook" TargetMode="External"/><Relationship Id="rId2572" Type="http://schemas.openxmlformats.org/officeDocument/2006/relationships/hyperlink" Target="https://www.google.com/search?newwindow=1&amp;ei=2MT0XrvGGM-vytMP1OyDgAY&amp;q=site%3Alinkedin.com+Lindsay+Joyner+University+Relations+Recruiting+Manager+at+Truist+Truist" TargetMode="External"/><Relationship Id="rId411" Type="http://schemas.openxmlformats.org/officeDocument/2006/relationships/hyperlink" Target="https://www.google.com/search?newwindow=1&amp;ei=2MT0XrvGGM-vytMP1OyDgAY&amp;q=site%3Alinkedin.com+Aaron+Hendrickson+Senior+Manager+Campus+Recruiting" TargetMode="External"/><Relationship Id="rId1242" Type="http://schemas.openxmlformats.org/officeDocument/2006/relationships/hyperlink" Target="https://www.google.com/search?newwindow=1&amp;ei=2MT0XrvGGM-vytMP1OyDgAY&amp;q=site%3Alinkedin.com+Molly+Seale+University+Recruiter+Facebook" TargetMode="External"/><Relationship Id="rId2573" Type="http://schemas.openxmlformats.org/officeDocument/2006/relationships/hyperlink" Target="https://www.google.com/search?newwindow=1&amp;ei=2MT0XrvGGM-vytMP1OyDgAY&amp;q=site%3Alinkedin.com+Letitia+Bethel-White+University+Relations+Recruiter+Truist" TargetMode="External"/><Relationship Id="rId410" Type="http://schemas.openxmlformats.org/officeDocument/2006/relationships/hyperlink" Target="https://www.google.com/search?newwindow=1&amp;ei=2MT0XrvGGM-vytMP1OyDgAY&amp;q=site%3Alinkedin.com+Kim+Mariani+MBA+Campus+Recruiting+Coordinator" TargetMode="External"/><Relationship Id="rId1243" Type="http://schemas.openxmlformats.org/officeDocument/2006/relationships/hyperlink" Target="https://www.google.com/search?newwindow=1&amp;ei=2MT0XrvGGM-vytMP1OyDgAY&amp;q=site%3Alinkedin.com+Alyssa+Salindong+University+Recruiter+Facebook" TargetMode="External"/><Relationship Id="rId2574" Type="http://schemas.openxmlformats.org/officeDocument/2006/relationships/hyperlink" Target="https://www.google.com/search?newwindow=1&amp;ei=2MT0XrvGGM-vytMP1OyDgAY&amp;q=site%3Alinkedin.com+Luana+Hill+University+Recruiter+Truist" TargetMode="External"/><Relationship Id="rId1244" Type="http://schemas.openxmlformats.org/officeDocument/2006/relationships/hyperlink" Target="https://www.google.com/search?newwindow=1&amp;ei=2MT0XrvGGM-vytMP1OyDgAY&amp;q=site%3Alinkedin.com+Kelly+Simon+University+Design+Recruiter+Facebook" TargetMode="External"/><Relationship Id="rId2575" Type="http://schemas.openxmlformats.org/officeDocument/2006/relationships/hyperlink" Target="https://www.google.com/search?newwindow=1&amp;ei=2MT0XrvGGM-vytMP1OyDgAY&amp;q=site%3Alinkedin.com+Colin+McCurry+M.A.+University+Relations+Recruiter+Truist" TargetMode="External"/><Relationship Id="rId1245" Type="http://schemas.openxmlformats.org/officeDocument/2006/relationships/hyperlink" Target="https://www.google.com/search?newwindow=1&amp;ei=2MT0XrvGGM-vytMP1OyDgAY&amp;q=site%3Alinkedin.com+Jessica+Cox+University+Recruiter+Design+Facebook" TargetMode="External"/><Relationship Id="rId2576" Type="http://schemas.openxmlformats.org/officeDocument/2006/relationships/hyperlink" Target="https://www.google.com/search?newwindow=1&amp;ei=2MT0XrvGGM-vytMP1OyDgAY&amp;q=site%3Alinkedin.com+Saira+Mohammed+EMEA+University+Recruiter" TargetMode="External"/><Relationship Id="rId1279" Type="http://schemas.openxmlformats.org/officeDocument/2006/relationships/hyperlink" Target="https://www.google.com/search?newwindow=1&amp;ei=2MT0XrvGGM-vytMP1OyDgAY&amp;q=site%3Alinkedin.com+Fiona+McKerral+Senior+University+Partnerships+Recruiter" TargetMode="External"/><Relationship Id="rId448" Type="http://schemas.openxmlformats.org/officeDocument/2006/relationships/hyperlink" Target="https://www.google.com/search?newwindow=1&amp;ei=2MT0XrvGGM-vytMP1OyDgAY&amp;q=site%3Alinkedin.com+Jamar+Renfro+Campus+Recruiter+Capital+One" TargetMode="External"/><Relationship Id="rId447" Type="http://schemas.openxmlformats.org/officeDocument/2006/relationships/hyperlink" Target="https://www.google.com/search?newwindow=1&amp;ei=2MT0XrvGGM-vytMP1OyDgAY&amp;q=site%3Alinkedin.com+Eugene+Jacobs+Campus+Recruiter+Capital+One" TargetMode="External"/><Relationship Id="rId446" Type="http://schemas.openxmlformats.org/officeDocument/2006/relationships/hyperlink" Target="https://www.google.com/search?newwindow=1&amp;ei=2MT0XrvGGM-vytMP1OyDgAY&amp;q=site%3Alinkedin.com+Phylicia+Montaque+Campus+Recruiter+Capital+One" TargetMode="External"/><Relationship Id="rId445" Type="http://schemas.openxmlformats.org/officeDocument/2006/relationships/hyperlink" Target="https://www.google.com/search?newwindow=1&amp;ei=2MT0XrvGGM-vytMP1OyDgAY&amp;q=site%3Alinkedin.com+Vanessa+Mauskapf+(CONT)+Campus+Recruiter+Capital+One" TargetMode="External"/><Relationship Id="rId449" Type="http://schemas.openxmlformats.org/officeDocument/2006/relationships/hyperlink" Target="https://www.google.com/search?newwindow=1&amp;ei=2MT0XrvGGM-vytMP1OyDgAY&amp;q=site%3Alinkedin.com+Aaron+Hendrickson+Senior+Manager+Campus+Recruiting+Capital+One" TargetMode="External"/><Relationship Id="rId1270" Type="http://schemas.openxmlformats.org/officeDocument/2006/relationships/hyperlink" Target="https://www.google.com/search?newwindow=1&amp;ei=2MT0XrvGGM-vytMP1OyDgAY&amp;q=site%3Alinkedin.com+Melanie+Loud+Recruiter+University+Recruiting+Facebook" TargetMode="External"/><Relationship Id="rId440" Type="http://schemas.openxmlformats.org/officeDocument/2006/relationships/hyperlink" Target="https://www.google.com/search?newwindow=1&amp;ei=2MT0XrvGGM-vytMP1OyDgAY&amp;q=site%3Alinkedin.com+Laura+Borak+Director+Analyst+Campus+Recruiting+&amp;+Programs" TargetMode="External"/><Relationship Id="rId1271" Type="http://schemas.openxmlformats.org/officeDocument/2006/relationships/hyperlink" Target="https://www.google.com/search?newwindow=1&amp;ei=2MT0XrvGGM-vytMP1OyDgAY&amp;q=site%3Alinkedin.com+Krystle+Sanchez+University+Recruiter+Facebook" TargetMode="External"/><Relationship Id="rId1272" Type="http://schemas.openxmlformats.org/officeDocument/2006/relationships/hyperlink" Target="https://www.google.com/search?newwindow=1&amp;ei=2MT0XrvGGM-vytMP1OyDgAY&amp;q=site%3Alinkedin.com+Carmen+Ng+University+Recruiter+Facebook" TargetMode="External"/><Relationship Id="rId1273" Type="http://schemas.openxmlformats.org/officeDocument/2006/relationships/hyperlink" Target="https://www.google.com/search?newwindow=1&amp;ei=2MT0XrvGGM-vytMP1OyDgAY&amp;q=site%3Alinkedin.com+Konnie+H.+University+Recruiter+Facebook" TargetMode="External"/><Relationship Id="rId1274" Type="http://schemas.openxmlformats.org/officeDocument/2006/relationships/hyperlink" Target="https://www.google.com/search?newwindow=1&amp;ei=2MT0XrvGGM-vytMP1OyDgAY&amp;q=site%3Alinkedin.com+Julie+Angus+Regional+Recruitment+Manager" TargetMode="External"/><Relationship Id="rId444" Type="http://schemas.openxmlformats.org/officeDocument/2006/relationships/hyperlink" Target="https://www.google.com/search?newwindow=1&amp;ei=2MT0XrvGGM-vytMP1OyDgAY&amp;q=site%3Alinkedin.com+Lauren+Wright+Campus+Recruiter+Capital+One" TargetMode="External"/><Relationship Id="rId1275" Type="http://schemas.openxmlformats.org/officeDocument/2006/relationships/hyperlink" Target="https://www.google.com/search?newwindow=1&amp;ei=2MT0XrvGGM-vytMP1OyDgAY&amp;q=site%3Alinkedin.com+Jessica+Franklin+Graduate+Recruiter" TargetMode="External"/><Relationship Id="rId443" Type="http://schemas.openxmlformats.org/officeDocument/2006/relationships/hyperlink" Target="https://www.google.com/search?newwindow=1&amp;ei=2MT0XrvGGM-vytMP1OyDgAY&amp;q=site%3Alinkedin.com+Sarah+Fitch+Tech+Campus+Recruiter+-+Midwest+Region+Capital+One" TargetMode="External"/><Relationship Id="rId1276" Type="http://schemas.openxmlformats.org/officeDocument/2006/relationships/hyperlink" Target="https://www.google.com/search?newwindow=1&amp;ei=2MT0XrvGGM-vytMP1OyDgAY&amp;q=site%3Alinkedin.com+Jessica+Kelly-Noakes+Graduate+Recruiter+and+University+Partnerships+Consultant" TargetMode="External"/><Relationship Id="rId442" Type="http://schemas.openxmlformats.org/officeDocument/2006/relationships/hyperlink" Target="https://www.google.com/search?newwindow=1&amp;ei=2MT0XrvGGM-vytMP1OyDgAY&amp;q=site%3Alinkedin.com+Andre+Johnson+Senior+Associate+-+Campus+Recruiting" TargetMode="External"/><Relationship Id="rId1277" Type="http://schemas.openxmlformats.org/officeDocument/2006/relationships/hyperlink" Target="https://www.google.com/search?newwindow=1&amp;ei=2MT0XrvGGM-vytMP1OyDgAY&amp;q=site%3Alinkedin.com+Anoosha+Mahmood+Graduate+Recruiter" TargetMode="External"/><Relationship Id="rId441" Type="http://schemas.openxmlformats.org/officeDocument/2006/relationships/hyperlink" Target="https://www.google.com/search?newwindow=1&amp;ei=2MT0XrvGGM-vytMP1OyDgAY&amp;q=site%3Alinkedin.com+Hayley+(Ford)+Nainani+Campus+Recruiting+Manager" TargetMode="External"/><Relationship Id="rId1278" Type="http://schemas.openxmlformats.org/officeDocument/2006/relationships/hyperlink" Target="https://www.google.com/search?newwindow=1&amp;ei=2MT0XrvGGM-vytMP1OyDgAY&amp;q=site%3Alinkedin.com+Rebecca+Usher+Graduate+Recruiter" TargetMode="External"/><Relationship Id="rId1268" Type="http://schemas.openxmlformats.org/officeDocument/2006/relationships/hyperlink" Target="https://www.google.com/search?newwindow=1&amp;ei=2MT0XrvGGM-vytMP1OyDgAY&amp;q=site%3Alinkedin.com+Laura+Amrein+University+Recruiter+Analytics+Facebook" TargetMode="External"/><Relationship Id="rId2599" Type="http://schemas.openxmlformats.org/officeDocument/2006/relationships/hyperlink" Target="https://www.google.com/search?newwindow=1&amp;ei=2MT0XrvGGM-vytMP1OyDgAY&amp;q=site%3Alinkedin.com+Ali+R.+Senior+Technical+University+Recruiter+Uber" TargetMode="External"/><Relationship Id="rId1269" Type="http://schemas.openxmlformats.org/officeDocument/2006/relationships/hyperlink" Target="https://www.google.com/search?newwindow=1&amp;ei=2MT0XrvGGM-vytMP1OyDgAY&amp;q=site%3Alinkedin.com+Christina+Koike+University+Recruiter+Facebook" TargetMode="External"/><Relationship Id="rId437" Type="http://schemas.openxmlformats.org/officeDocument/2006/relationships/hyperlink" Target="https://www.google.com/search?newwindow=1&amp;ei=2MT0XrvGGM-vytMP1OyDgAY&amp;q=site%3Alinkedin.com+Isabel+Rose+Kadiri+Analyst+Campus+Recruiting+&amp;+Programs+Human+Resources+Rotational+Program+Associate" TargetMode="External"/><Relationship Id="rId436" Type="http://schemas.openxmlformats.org/officeDocument/2006/relationships/hyperlink" Target="https://www.google.com/search?newwindow=1&amp;ei=2MT0XrvGGM-vytMP1OyDgAY&amp;q=site%3Alinkedin.com+Cinthia+Lopez+Senior+Director+Human+Resources+Head+of+Campus+Recruiting+and+Programs" TargetMode="External"/><Relationship Id="rId435" Type="http://schemas.openxmlformats.org/officeDocument/2006/relationships/hyperlink" Target="https://www.google.com/search?newwindow=1&amp;ei=2MT0XrvGGM-vytMP1OyDgAY&amp;q=site%3Alinkedin.com+Chelsea+Bruchs+Mid-Atlantic+/+Carolina+Regional+Events+Lead+Campus+Recruiting" TargetMode="External"/><Relationship Id="rId434" Type="http://schemas.openxmlformats.org/officeDocument/2006/relationships/hyperlink" Target="https://www.google.com/search?newwindow=1&amp;ei=2MT0XrvGGM-vytMP1OyDgAY&amp;q=site%3Alinkedin.com+Kelsey+Marshall+Campus+Recruiting" TargetMode="External"/><Relationship Id="rId439" Type="http://schemas.openxmlformats.org/officeDocument/2006/relationships/hyperlink" Target="https://www.google.com/search?newwindow=1&amp;ei=2MT0XrvGGM-vytMP1OyDgAY&amp;q=site%3Alinkedin.com+Kelsey+Indorf+Campus+Recruiting+Senior+Manager" TargetMode="External"/><Relationship Id="rId438" Type="http://schemas.openxmlformats.org/officeDocument/2006/relationships/hyperlink" Target="https://www.google.com/search?newwindow=1&amp;ei=2MT0XrvGGM-vytMP1OyDgAY&amp;q=site%3Alinkedin.com+Shayda+Tavakoli+Principal+Coordinator+Campus+Recruiting" TargetMode="External"/><Relationship Id="rId2590" Type="http://schemas.openxmlformats.org/officeDocument/2006/relationships/hyperlink" Target="https://www.google.com/search?newwindow=1&amp;ei=2MT0XrvGGM-vytMP1OyDgAY&amp;q=site%3Alinkedin.com+Hailey+Reed+Senior+Project+Manager+Campus+Recruiting+Non+Profit+Partners+U.S.+Bank" TargetMode="External"/><Relationship Id="rId1260" Type="http://schemas.openxmlformats.org/officeDocument/2006/relationships/hyperlink" Target="https://www.google.com/search?newwindow=1&amp;ei=2MT0XrvGGM-vytMP1OyDgAY&amp;q=site%3Alinkedin.com+Urooj+S.+University+Recruiter+Facebook" TargetMode="External"/><Relationship Id="rId2591" Type="http://schemas.openxmlformats.org/officeDocument/2006/relationships/hyperlink" Target="https://www.google.com/search?newwindow=1&amp;ei=2MT0XrvGGM-vytMP1OyDgAY&amp;q=site%3Alinkedin.com+Jessica+Chisholm+Sr.+Campus+Recruiter/Internship+Program+Manager+U.S.+Bank" TargetMode="External"/><Relationship Id="rId1261" Type="http://schemas.openxmlformats.org/officeDocument/2006/relationships/hyperlink" Target="https://www.google.com/search?newwindow=1&amp;ei=2MT0XrvGGM-vytMP1OyDgAY&amp;q=site%3Alinkedin.com+Emilio+Arias+(He/Him)+University+Recruiter+-+Production+Engineering+Facebook" TargetMode="External"/><Relationship Id="rId2592" Type="http://schemas.openxmlformats.org/officeDocument/2006/relationships/hyperlink" Target="https://www.google.com/search?newwindow=1&amp;ei=2MT0XrvGGM-vytMP1OyDgAY&amp;q=site%3Alinkedin.com+Wendy+Blocker+CDR+AVP+Senior+Campus+Recruiting+Manager+U.S.+Bank" TargetMode="External"/><Relationship Id="rId1262" Type="http://schemas.openxmlformats.org/officeDocument/2006/relationships/hyperlink" Target="https://www.google.com/search?newwindow=1&amp;ei=2MT0XrvGGM-vytMP1OyDgAY&amp;q=site%3Alinkedin.com+Lawrence+A.+Lucas+III+University+Recruiter+Facebook" TargetMode="External"/><Relationship Id="rId2593" Type="http://schemas.openxmlformats.org/officeDocument/2006/relationships/hyperlink" Target="https://www.google.com/search?newwindow=1&amp;ei=2MT0XrvGGM-vytMP1OyDgAY&amp;q=site%3Alinkedin.com+Rachel+Schroeder+Campus+Recruiter/Internship+Program+Specialist+U.S.+Bank" TargetMode="External"/><Relationship Id="rId1263" Type="http://schemas.openxmlformats.org/officeDocument/2006/relationships/hyperlink" Target="https://www.google.com/search?newwindow=1&amp;ei=2MT0XrvGGM-vytMP1OyDgAY&amp;q=site%3Alinkedin.com+Erin+Johnson+University+Recruiter+Analytics+Facebook" TargetMode="External"/><Relationship Id="rId2594" Type="http://schemas.openxmlformats.org/officeDocument/2006/relationships/hyperlink" Target="https://www.google.com/search?newwindow=1&amp;ei=2MT0XrvGGM-vytMP1OyDgAY&amp;q=site%3Alinkedin.com+Julie+Filonuk+Sr.+University+Recruiter+Uber" TargetMode="External"/><Relationship Id="rId433" Type="http://schemas.openxmlformats.org/officeDocument/2006/relationships/hyperlink" Target="https://www.google.com/search?newwindow=1&amp;ei=2MT0XrvGGM-vytMP1OyDgAY&amp;q=site%3Alinkedin.com+Anthony+Jimenez+Tech+Recruiter+-+Campus+Recruiting" TargetMode="External"/><Relationship Id="rId1264" Type="http://schemas.openxmlformats.org/officeDocument/2006/relationships/hyperlink" Target="https://www.google.com/search?newwindow=1&amp;ei=2MT0XrvGGM-vytMP1OyDgAY&amp;q=site%3Alinkedin.com+Stefanie+Chorianopoulos+Full+Cycle+University+Recruiter+Facebook" TargetMode="External"/><Relationship Id="rId2595" Type="http://schemas.openxmlformats.org/officeDocument/2006/relationships/hyperlink" Target="https://www.google.com/search?newwindow=1&amp;ei=2MT0XrvGGM-vytMP1OyDgAY&amp;q=site%3Alinkedin.com+Tiffany+Tan+Senior+University+Recruiter+Uber" TargetMode="External"/><Relationship Id="rId432" Type="http://schemas.openxmlformats.org/officeDocument/2006/relationships/hyperlink" Target="https://www.google.com/search?newwindow=1&amp;ei=2MT0XrvGGM-vytMP1OyDgAY&amp;q=site%3Alinkedin.com+Kristopher+(Kris)+Corey+(he/him/they)+Campus+Recruiting+Coordinator" TargetMode="External"/><Relationship Id="rId1265" Type="http://schemas.openxmlformats.org/officeDocument/2006/relationships/hyperlink" Target="https://www.google.com/search?newwindow=1&amp;ei=2MT0XrvGGM-vytMP1OyDgAY&amp;q=site%3Alinkedin.com+Bill+Haughney+University+Recruiter+Facebook" TargetMode="External"/><Relationship Id="rId2596" Type="http://schemas.openxmlformats.org/officeDocument/2006/relationships/hyperlink" Target="https://www.google.com/search?newwindow=1&amp;ei=2MT0XrvGGM-vytMP1OyDgAY&amp;q=site%3Alinkedin.com+Angie+Luo+Senior+University+Recruiter+Uber+ATG+Uber" TargetMode="External"/><Relationship Id="rId431" Type="http://schemas.openxmlformats.org/officeDocument/2006/relationships/hyperlink" Target="https://www.google.com/search?newwindow=1&amp;ei=2MT0XrvGGM-vytMP1OyDgAY&amp;q=site%3Alinkedin.com+Kwanza+K.+Nunn+SPHR+SHRM-SCP+Campus+Recruiting+Manager" TargetMode="External"/><Relationship Id="rId1266" Type="http://schemas.openxmlformats.org/officeDocument/2006/relationships/hyperlink" Target="https://www.google.com/search?newwindow=1&amp;ei=2MT0XrvGGM-vytMP1OyDgAY&amp;q=site%3Alinkedin.com+Scott+Flanary+Senior+University+Recruiter+Full-Cycle+Recruiting+for+Product+and+Analytics+Facebook" TargetMode="External"/><Relationship Id="rId2597" Type="http://schemas.openxmlformats.org/officeDocument/2006/relationships/hyperlink" Target="https://www.google.com/search?newwindow=1&amp;ei=2MT0XrvGGM-vytMP1OyDgAY&amp;q=site%3Alinkedin.com+Heather+Henderson+Sr.+University+Recruiter+Uber" TargetMode="External"/><Relationship Id="rId430" Type="http://schemas.openxmlformats.org/officeDocument/2006/relationships/hyperlink" Target="https://www.google.com/search?newwindow=1&amp;ei=2MT0XrvGGM-vytMP1OyDgAY&amp;q=site%3Alinkedin.com+Faith+Holland+Tech+Recruiter+Campus+Recruiting" TargetMode="External"/><Relationship Id="rId1267" Type="http://schemas.openxmlformats.org/officeDocument/2006/relationships/hyperlink" Target="https://www.google.com/search?newwindow=1&amp;ei=2MT0XrvGGM-vytMP1OyDgAY&amp;q=site%3Alinkedin.com+Hayley+Mesojednik+University+Recruiter+-+Early+Career+Facebook" TargetMode="External"/><Relationship Id="rId2598" Type="http://schemas.openxmlformats.org/officeDocument/2006/relationships/hyperlink" Target="https://www.google.com/search?newwindow=1&amp;ei=2MT0XrvGGM-vytMP1OyDgAY&amp;q=site%3Alinkedin.com+Emily+Sawyer+Senior+University+PhD+Recruiter+Uber" TargetMode="External"/><Relationship Id="rId1" Type="http://schemas.openxmlformats.org/officeDocument/2006/relationships/hyperlink" Target="https://www.google.com/search?newwindow=1&amp;ei=2MT0XrvGGM-vytMP1OyDgAY&amp;q=site%3Alinkedin.com+Kilsis+Saint-Hilaire+Student+Veteran+Recruiter" TargetMode="External"/><Relationship Id="rId2" Type="http://schemas.openxmlformats.org/officeDocument/2006/relationships/hyperlink" Target="https://www.google.com/search?newwindow=1&amp;ei=2MT0XrvGGM-vytMP1OyDgAY&amp;q=site%3Alinkedin.com+Brittany+Roth+Healy+Campus+Recruiting+Associate+Manager" TargetMode="External"/><Relationship Id="rId3" Type="http://schemas.openxmlformats.org/officeDocument/2006/relationships/hyperlink" Target="https://www.google.com/search?newwindow=1&amp;ei=2MT0XrvGGM-vytMP1OyDgAY&amp;q=site%3Alinkedin.com+Betsy+Davis+Senior+Campus+Recruiter" TargetMode="External"/><Relationship Id="rId4" Type="http://schemas.openxmlformats.org/officeDocument/2006/relationships/hyperlink" Target="https://www.google.com/search?newwindow=1&amp;ei=2MT0XrvGGM-vytMP1OyDgAY&amp;q=site%3Alinkedin.com+Sara+Buxton+NorCal+Campus+Recruiting+Manager" TargetMode="External"/><Relationship Id="rId9" Type="http://schemas.openxmlformats.org/officeDocument/2006/relationships/hyperlink" Target="https://www.google.com/search?newwindow=1&amp;ei=2MT0XrvGGM-vytMP1OyDgAY&amp;q=site%3Alinkedin.com+Megan+Pavalock+Large+Campus+Team+Lead" TargetMode="External"/><Relationship Id="rId5" Type="http://schemas.openxmlformats.org/officeDocument/2006/relationships/hyperlink" Target="https://www.google.com/search?newwindow=1&amp;ei=2MT0XrvGGM-vytMP1OyDgAY&amp;q=site%3Alinkedin.com+Emily+Graves+McWatty+Campus+Recruiting+Southeast+Region+Co-Lead/Campus+Recruiting+Operations+Lead" TargetMode="External"/><Relationship Id="rId6" Type="http://schemas.openxmlformats.org/officeDocument/2006/relationships/hyperlink" Target="https://www.google.com/search?newwindow=1&amp;ei=2MT0XrvGGM-vytMP1OyDgAY&amp;q=site%3Alinkedin.com+Ashleigh+Butler+Senior+Campus+Recruiting+Analyst" TargetMode="External"/><Relationship Id="rId7" Type="http://schemas.openxmlformats.org/officeDocument/2006/relationships/hyperlink" Target="https://www.google.com/search?newwindow=1&amp;ei=2MT0XrvGGM-vytMP1OyDgAY&amp;q=site%3Alinkedin.com+Krysta+Lewis+Associate+Manager" TargetMode="External"/><Relationship Id="rId8" Type="http://schemas.openxmlformats.org/officeDocument/2006/relationships/hyperlink" Target="https://www.google.com/search?newwindow=1&amp;ei=2MT0XrvGGM-vytMP1OyDgAY&amp;q=site%3Alinkedin.com+Shannon+Gyarmathy+Campus+Recruiting+Location+Lead" TargetMode="External"/><Relationship Id="rId2600" Type="http://schemas.openxmlformats.org/officeDocument/2006/relationships/hyperlink" Target="https://www.google.com/search?newwindow=1&amp;ei=2MT0XrvGGM-vytMP1OyDgAY&amp;q=site%3Alinkedin.com+Meryssa+Riley+Uber+University+Recruiter+Uber" TargetMode="External"/><Relationship Id="rId2601" Type="http://schemas.openxmlformats.org/officeDocument/2006/relationships/hyperlink" Target="https://www.google.com/search?newwindow=1&amp;ei=2MT0XrvGGM-vytMP1OyDgAY&amp;q=site%3Alinkedin.com+Alexandra+Muller+University+Recruiter+Uber" TargetMode="External"/><Relationship Id="rId2602" Type="http://schemas.openxmlformats.org/officeDocument/2006/relationships/hyperlink" Target="https://www.google.com/search?newwindow=1&amp;ei=2MT0XrvGGM-vytMP1OyDgAY&amp;q=site%3Alinkedin.com+Anna+OKeefe+Campus+Recruiting+Coordinator/Junior+Recruiter+UBS" TargetMode="External"/><Relationship Id="rId2603" Type="http://schemas.openxmlformats.org/officeDocument/2006/relationships/hyperlink" Target="https://www.google.com/search?newwindow=1&amp;ei=2MT0XrvGGM-vytMP1OyDgAY&amp;q=site%3Alinkedin.com+Annie+Clay+Campus+Recruiter+UBS" TargetMode="External"/><Relationship Id="rId2604" Type="http://schemas.openxmlformats.org/officeDocument/2006/relationships/hyperlink" Target="https://www.google.com/search?newwindow=1&amp;ei=2MT0XrvGGM-vytMP1OyDgAY&amp;q=site%3Alinkedin.com+Gabrielle+Kaufman+Campus+Recruiter+UBS+Financial+Services" TargetMode="External"/><Relationship Id="rId2605" Type="http://schemas.openxmlformats.org/officeDocument/2006/relationships/hyperlink" Target="https://www.google.com/search?newwindow=1&amp;ei=2MT0XrvGGM-vytMP1OyDgAY&amp;q=site%3Alinkedin.com+Lauren+DeBowes+Assistant+Campus+Recruiter+UBS+Investment+Bank" TargetMode="External"/><Relationship Id="rId2606" Type="http://schemas.openxmlformats.org/officeDocument/2006/relationships/hyperlink" Target="https://www.google.com/search?newwindow=1&amp;ei=2MT0XrvGGM-vytMP1OyDgAY&amp;q=site%3Alinkedin.com+Jill+Westberg+Associate+Director+Early+Careers+Recruitment+&amp;+Campus+Engagement+UnitedHealth+Group" TargetMode="External"/><Relationship Id="rId808" Type="http://schemas.openxmlformats.org/officeDocument/2006/relationships/hyperlink" Target="https://www.google.com/search?newwindow=1&amp;ei=2MT0XrvGGM-vytMP1OyDgAY&amp;q=site%3Alinkedin.com+Kori+Kelly+Campus+Recruiting+Manager+Deloitte" TargetMode="External"/><Relationship Id="rId2607" Type="http://schemas.openxmlformats.org/officeDocument/2006/relationships/hyperlink" Target="https://www.google.com/search?newwindow=1&amp;ei=2MT0XrvGGM-vytMP1OyDgAY&amp;q=site%3Alinkedin.com+Anna+Muhovich+M.A.+College+Recruiter+UnitedHealth+Group" TargetMode="External"/><Relationship Id="rId807" Type="http://schemas.openxmlformats.org/officeDocument/2006/relationships/hyperlink" Target="https://www.google.com/search?newwindow=1&amp;ei=2MT0XrvGGM-vytMP1OyDgAY&amp;q=site%3Alinkedin.com+Haley+Kuyk+Campus+Recruiter+Deloitte" TargetMode="External"/><Relationship Id="rId2608" Type="http://schemas.openxmlformats.org/officeDocument/2006/relationships/hyperlink" Target="https://www.google.com/search?newwindow=1&amp;ei=2MT0XrvGGM-vytMP1OyDgAY&amp;q=site%3Alinkedin.com+Gao+Lee+College+Recruiter+UnitedHealth+Group" TargetMode="External"/><Relationship Id="rId806" Type="http://schemas.openxmlformats.org/officeDocument/2006/relationships/hyperlink" Target="https://www.google.com/search?newwindow=1&amp;ei=2MT0XrvGGM-vytMP1OyDgAY&amp;q=site%3Alinkedin.com+Andrea+Gonso+Campus+Recruiter+Deloitte" TargetMode="External"/><Relationship Id="rId2609" Type="http://schemas.openxmlformats.org/officeDocument/2006/relationships/hyperlink" Target="https://www.google.com/search?newwindow=1&amp;ei=2MT0XrvGGM-vytMP1OyDgAY&amp;q=site%3Alinkedin.com+Annie+Kennedy+Senior+College+Recruiter+UnitedHealth+Group" TargetMode="External"/><Relationship Id="rId805" Type="http://schemas.openxmlformats.org/officeDocument/2006/relationships/hyperlink" Target="https://www.google.com/search?newwindow=1&amp;ei=2MT0XrvGGM-vytMP1OyDgAY&amp;q=site%3Alinkedin.com+Milan+Sands+Campus+Recruiter+Deloitte" TargetMode="External"/><Relationship Id="rId809" Type="http://schemas.openxmlformats.org/officeDocument/2006/relationships/hyperlink" Target="https://www.google.com/search?newwindow=1&amp;ei=2MT0XrvGGM-vytMP1OyDgAY&amp;q=site%3Alinkedin.com+Carter+McCormack+Hartung+Campus+Recruiting+Manager+Deloitte" TargetMode="External"/><Relationship Id="rId800" Type="http://schemas.openxmlformats.org/officeDocument/2006/relationships/hyperlink" Target="https://www.google.com/search?newwindow=1&amp;ei=2MT0XrvGGM-vytMP1OyDgAY&amp;q=site%3Alinkedin.com+Wandie+Toledo+Bethune+Lead+Diversity+&amp;+Inclusion+Program+Manager+Deloitte" TargetMode="External"/><Relationship Id="rId804" Type="http://schemas.openxmlformats.org/officeDocument/2006/relationships/hyperlink" Target="https://www.google.com/search?newwindow=1&amp;ei=2MT0XrvGGM-vytMP1OyDgAY&amp;q=site%3Alinkedin.com+Lisa+Twomey+PHR+Manager+Consulting+Campus+Recruiting+Deloitte" TargetMode="External"/><Relationship Id="rId803" Type="http://schemas.openxmlformats.org/officeDocument/2006/relationships/hyperlink" Target="https://www.google.com/search?newwindow=1&amp;ei=2MT0XrvGGM-vytMP1OyDgAY&amp;q=site%3Alinkedin.com+Ariel+Bailey+Campus+Recruiter+Deloitte" TargetMode="External"/><Relationship Id="rId802" Type="http://schemas.openxmlformats.org/officeDocument/2006/relationships/hyperlink" Target="https://www.google.com/search?newwindow=1&amp;ei=2MT0XrvGGM-vytMP1OyDgAY&amp;q=site%3Alinkedin.com+Jessy+Jager+Senior+Campus+Recruiter+Deloitte" TargetMode="External"/><Relationship Id="rId801" Type="http://schemas.openxmlformats.org/officeDocument/2006/relationships/hyperlink" Target="https://www.google.com/search?newwindow=1&amp;ei=2MT0XrvGGM-vytMP1OyDgAY&amp;q=site%3Alinkedin.com+Caroline+Fletcher+Campus+Recruiter+Deloitte" TargetMode="External"/><Relationship Id="rId1334" Type="http://schemas.openxmlformats.org/officeDocument/2006/relationships/hyperlink" Target="https://www.google.com/search?newwindow=1&amp;ei=2MT0XrvGGM-vytMP1OyDgAY&amp;q=site%3Alinkedin.com+Caitlin+Seccombe+Manager+Recruiting+Gartner" TargetMode="External"/><Relationship Id="rId2665" Type="http://schemas.openxmlformats.org/officeDocument/2006/relationships/hyperlink" Target="https://www.google.com/search?newwindow=1&amp;ei=2MT0XrvGGM-vytMP1OyDgAY&amp;q=site%3Alinkedin.com+Nicole+Nunno+Campus+Recruiter+Walmart+eCommerce" TargetMode="External"/><Relationship Id="rId1335" Type="http://schemas.openxmlformats.org/officeDocument/2006/relationships/hyperlink" Target="https://www.google.com/search?newwindow=1&amp;ei=2MT0XrvGGM-vytMP1OyDgAY&amp;q=site%3Alinkedin.com+CJ+Giles+Senior+Recruiting+-+Global+and+Large+Enterprise+Sales+Gartner" TargetMode="External"/><Relationship Id="rId2666" Type="http://schemas.openxmlformats.org/officeDocument/2006/relationships/hyperlink" Target="https://www.google.com/search?newwindow=1&amp;ei=2MT0XrvGGM-vytMP1OyDgAY&amp;q=site%3Alinkedin.com+Lauren+Graham+Campus+Diversity+and+Inclusion+Programs+Recruiter+Walmart+eCommerce" TargetMode="External"/><Relationship Id="rId1336" Type="http://schemas.openxmlformats.org/officeDocument/2006/relationships/hyperlink" Target="https://www.google.com/search?newwindow=1&amp;ei=2MT0XrvGGM-vytMP1OyDgAY&amp;q=site%3Alinkedin.com+CJ+Giles+Manager+Campus+Recruiting+Gartner" TargetMode="External"/><Relationship Id="rId2667" Type="http://schemas.openxmlformats.org/officeDocument/2006/relationships/hyperlink" Target="https://www.google.com/search?newwindow=1&amp;ei=2MT0XrvGGM-vytMP1OyDgAY&amp;q=site%3Alinkedin.com+Bipasa+Singh+University+Recruiter+Walmart+eCommerce" TargetMode="External"/><Relationship Id="rId1337" Type="http://schemas.openxmlformats.org/officeDocument/2006/relationships/hyperlink" Target="https://www.google.com/search?newwindow=1&amp;ei=2MT0XrvGGM-vytMP1OyDgAY&amp;q=site%3Alinkedin.com+Katie+Deisler+Associate+University+Recruiter+Gartner" TargetMode="External"/><Relationship Id="rId2668" Type="http://schemas.openxmlformats.org/officeDocument/2006/relationships/hyperlink" Target="https://www.google.com/search?newwindow=1&amp;ei=2MT0XrvGGM-vytMP1OyDgAY&amp;q=site%3Alinkedin.com+Allison+D.+Williams+University+Relations+Recruiter+WarnerMedia" TargetMode="External"/><Relationship Id="rId1338" Type="http://schemas.openxmlformats.org/officeDocument/2006/relationships/hyperlink" Target="https://www.google.com/search?newwindow=1&amp;ei=2MT0XrvGGM-vytMP1OyDgAY&amp;q=site%3Alinkedin.com+Anna+Longar+Associate+Director+University+Recruiting+Gartner" TargetMode="External"/><Relationship Id="rId2669" Type="http://schemas.openxmlformats.org/officeDocument/2006/relationships/hyperlink" Target="https://www.google.com/search?newwindow=1&amp;ei=2MT0XrvGGM-vytMP1OyDgAY&amp;q=site%3Alinkedin.com+Kameren+Waln+Campus+Recruiter+WarnerMedia" TargetMode="External"/><Relationship Id="rId1339" Type="http://schemas.openxmlformats.org/officeDocument/2006/relationships/hyperlink" Target="https://www.google.com/search?newwindow=1&amp;ei=2MT0XrvGGM-vytMP1OyDgAY&amp;q=site%3Alinkedin.com+Olivia+Lageman+University+Recruiter+Gartner" TargetMode="External"/><Relationship Id="rId745" Type="http://schemas.openxmlformats.org/officeDocument/2006/relationships/hyperlink" Target="https://www.google.com/search?newwindow=1&amp;ei=2MT0XrvGGM-vytMP1OyDgAY&amp;q=site%3Alinkedin.com+Ashley+Hyde+MS+SPHR+Manager+Performance+Management" TargetMode="External"/><Relationship Id="rId744" Type="http://schemas.openxmlformats.org/officeDocument/2006/relationships/hyperlink" Target="https://www.google.com/search?newwindow=1&amp;ei=2MT0XrvGGM-vytMP1OyDgAY&amp;q=site%3Alinkedin.com+Angela+Marchesi+Cherry+National+Deloitte+Risk+and+Financial+Advisory+Campus+Recruiting+Leader" TargetMode="External"/><Relationship Id="rId743" Type="http://schemas.openxmlformats.org/officeDocument/2006/relationships/hyperlink" Target="https://www.google.com/search?newwindow=1&amp;ei=2MT0XrvGGM-vytMP1OyDgAY&amp;q=site%3Alinkedin.com+Shannon+Rennie+Campus+Recruiting+Specialist" TargetMode="External"/><Relationship Id="rId742" Type="http://schemas.openxmlformats.org/officeDocument/2006/relationships/hyperlink" Target="https://www.google.com/search?newwindow=1&amp;ei=2MT0XrvGGM-vytMP1OyDgAY&amp;q=site%3Alinkedin.com+Karen+Burke+Campus+Recruiting+Coordinator" TargetMode="External"/><Relationship Id="rId749" Type="http://schemas.openxmlformats.org/officeDocument/2006/relationships/hyperlink" Target="https://www.google.com/search?newwindow=1&amp;ei=2MT0XrvGGM-vytMP1OyDgAY&amp;q=site%3Alinkedin.com+Kelli+Shimizu+Campus+Recruiting+Specialist" TargetMode="External"/><Relationship Id="rId748" Type="http://schemas.openxmlformats.org/officeDocument/2006/relationships/hyperlink" Target="https://www.google.com/search?newwindow=1&amp;ei=2MT0XrvGGM-vytMP1OyDgAY&amp;q=site%3Alinkedin.com+Megan+Boyer+Campus+Recruiting+Specialist" TargetMode="External"/><Relationship Id="rId747" Type="http://schemas.openxmlformats.org/officeDocument/2006/relationships/hyperlink" Target="https://www.google.com/search?newwindow=1&amp;ei=2MT0XrvGGM-vytMP1OyDgAY&amp;q=site%3Alinkedin.com+Ali+Accumanno+Griffin+Lead+Campus+Recruiting+Specialist" TargetMode="External"/><Relationship Id="rId746" Type="http://schemas.openxmlformats.org/officeDocument/2006/relationships/hyperlink" Target="https://www.google.com/search?newwindow=1&amp;ei=2MT0XrvGGM-vytMP1OyDgAY&amp;q=site%3Alinkedin.com+Alyse+Aven+Lead+Experienced+Hire+Recruiter" TargetMode="External"/><Relationship Id="rId2660" Type="http://schemas.openxmlformats.org/officeDocument/2006/relationships/hyperlink" Target="https://www.google.com/search?newwindow=1&amp;ei=2MT0XrvGGM-vytMP1OyDgAY&amp;q=site%3Alinkedin.com+Deanne+Smith+Regional+Manager+Healthcare+Recruiting+&amp;+Campus+Relations+Walmart" TargetMode="External"/><Relationship Id="rId741" Type="http://schemas.openxmlformats.org/officeDocument/2006/relationships/hyperlink" Target="https://www.google.com/search?newwindow=1&amp;ei=2MT0XrvGGM-vytMP1OyDgAY&amp;q=site%3Alinkedin.com+Jacqueline+DeFrancesco+Campus+Recruiting+Specailist" TargetMode="External"/><Relationship Id="rId1330" Type="http://schemas.openxmlformats.org/officeDocument/2006/relationships/hyperlink" Target="https://www.google.com/search?newwindow=1&amp;ei=2MT0XrvGGM-vytMP1OyDgAY&amp;q=site%3Alinkedin.com+Jeff+Stencel+Team+Lead+University+Recruiting+Gartner" TargetMode="External"/><Relationship Id="rId2661" Type="http://schemas.openxmlformats.org/officeDocument/2006/relationships/hyperlink" Target="https://www.google.com/search?newwindow=1&amp;ei=2MT0XrvGGM-vytMP1OyDgAY&amp;q=site%3Alinkedin.com+Allison+Atwell+Program+Manager+Campus+Recruiting+Diversity+Initiatives+Walmart" TargetMode="External"/><Relationship Id="rId740" Type="http://schemas.openxmlformats.org/officeDocument/2006/relationships/hyperlink" Target="https://www.google.com/search?newwindow=1&amp;ei=2MT0XrvGGM-vytMP1OyDgAY&amp;q=site%3Alinkedin.com+Rita+DiLeo+Tomann+MBA+National+Campus+Recruiting+Lead" TargetMode="External"/><Relationship Id="rId1331" Type="http://schemas.openxmlformats.org/officeDocument/2006/relationships/hyperlink" Target="https://www.google.com/search?newwindow=1&amp;ei=2MT0XrvGGM-vytMP1OyDgAY&amp;q=site%3Alinkedin.com+Jeff+Stencel+Senior+Campus+Recruiter+Gartner" TargetMode="External"/><Relationship Id="rId2662" Type="http://schemas.openxmlformats.org/officeDocument/2006/relationships/hyperlink" Target="https://www.google.com/search?newwindow=1&amp;ei=2MT0XrvGGM-vytMP1OyDgAY&amp;q=site%3Alinkedin.com+Kevin+Rose+Senior+Manager+Campus+Recruiting+Walmart" TargetMode="External"/><Relationship Id="rId1332" Type="http://schemas.openxmlformats.org/officeDocument/2006/relationships/hyperlink" Target="https://www.google.com/search?newwindow=1&amp;ei=2MT0XrvGGM-vytMP1OyDgAY&amp;q=site%3Alinkedin.com+Kiersten+Post+University+Recruiter+Gartner" TargetMode="External"/><Relationship Id="rId2663" Type="http://schemas.openxmlformats.org/officeDocument/2006/relationships/hyperlink" Target="https://www.google.com/search?newwindow=1&amp;ei=2MT0XrvGGM-vytMP1OyDgAY&amp;q=site%3Alinkedin.com+Jessica+Lockard+Campus+Recruiting+Manager+Walmart" TargetMode="External"/><Relationship Id="rId1333" Type="http://schemas.openxmlformats.org/officeDocument/2006/relationships/hyperlink" Target="https://www.google.com/search?newwindow=1&amp;ei=2MT0XrvGGM-vytMP1OyDgAY&amp;q=site%3Alinkedin.com+Matthew+Duarte+University+Recruiter+Gartner" TargetMode="External"/><Relationship Id="rId2664" Type="http://schemas.openxmlformats.org/officeDocument/2006/relationships/hyperlink" Target="https://www.google.com/search?newwindow=1&amp;ei=2MT0XrvGGM-vytMP1OyDgAY&amp;q=site%3Alinkedin.com+Hayley+Biason+Campus+Recruiter+Walmart+eCommerce" TargetMode="External"/><Relationship Id="rId1323" Type="http://schemas.openxmlformats.org/officeDocument/2006/relationships/hyperlink" Target="https://www.google.com/search?newwindow=1&amp;ei=2MT0XrvGGM-vytMP1OyDgAY&amp;q=site%3Alinkedin.com+Austin+Closs+Senior+University+Recruiter+Gartner" TargetMode="External"/><Relationship Id="rId2654" Type="http://schemas.openxmlformats.org/officeDocument/2006/relationships/hyperlink" Target="https://www.google.com/search?newwindow=1&amp;ei=2MT0XrvGGM-vytMP1OyDgAY&amp;q=site%3Alinkedin.com+Molly+Gregware+Head+of+Tech+Campus+Recruiting" TargetMode="External"/><Relationship Id="rId1324" Type="http://schemas.openxmlformats.org/officeDocument/2006/relationships/hyperlink" Target="https://www.google.com/search?newwindow=1&amp;ei=2MT0XrvGGM-vytMP1OyDgAY&amp;q=site%3Alinkedin.com+Ben+Idle+Associate+Director+AMSE+&amp;+EMSE+Sales+Recruiting+Gartner" TargetMode="External"/><Relationship Id="rId2655" Type="http://schemas.openxmlformats.org/officeDocument/2006/relationships/hyperlink" Target="https://www.google.com/search?newwindow=1&amp;ei=2MT0XrvGGM-vytMP1OyDgAY&amp;q=site%3Alinkedin.com+Renee+MacCabe+Campus+Relations+Recruiter+Wal-Mart" TargetMode="External"/><Relationship Id="rId1325" Type="http://schemas.openxmlformats.org/officeDocument/2006/relationships/hyperlink" Target="https://www.google.com/search?newwindow=1&amp;ei=2MT0XrvGGM-vytMP1OyDgAY&amp;q=site%3Alinkedin.com+Caitlin+Deltgen+University+Recruiter+Gartner" TargetMode="External"/><Relationship Id="rId2656" Type="http://schemas.openxmlformats.org/officeDocument/2006/relationships/hyperlink" Target="https://www.google.com/search?newwindow=1&amp;ei=2MT0XrvGGM-vytMP1OyDgAY&amp;q=site%3Alinkedin.com+Jason+Hudson+Campus+Recruiter+Wal-Mart+Stores+Inc." TargetMode="External"/><Relationship Id="rId1326" Type="http://schemas.openxmlformats.org/officeDocument/2006/relationships/hyperlink" Target="https://www.google.com/search?newwindow=1&amp;ei=2MT0XrvGGM-vytMP1OyDgAY&amp;q=site%3Alinkedin.com+Nikki+McTernan+Associate+University+Recruiter+Gartner" TargetMode="External"/><Relationship Id="rId2657" Type="http://schemas.openxmlformats.org/officeDocument/2006/relationships/hyperlink" Target="https://www.google.com/search?newwindow=1&amp;ei=2MT0XrvGGM-vytMP1OyDgAY&amp;q=site%3Alinkedin.com+Diane+Cook+PMP+Project+Manager+II+Campus+Recruiting+Walmart" TargetMode="External"/><Relationship Id="rId1327" Type="http://schemas.openxmlformats.org/officeDocument/2006/relationships/hyperlink" Target="https://www.google.com/search?newwindow=1&amp;ei=2MT0XrvGGM-vytMP1OyDgAY&amp;q=site%3Alinkedin.com+Danielle+Goldberg+Graduate+(MBA)+University+Recruiter+Gartner" TargetMode="External"/><Relationship Id="rId2658" Type="http://schemas.openxmlformats.org/officeDocument/2006/relationships/hyperlink" Target="https://www.google.com/search?newwindow=1&amp;ei=2MT0XrvGGM-vytMP1OyDgAY&amp;q=site%3Alinkedin.com+Monica+Hutchinson+Campus+Recruiter+Walmart" TargetMode="External"/><Relationship Id="rId1328" Type="http://schemas.openxmlformats.org/officeDocument/2006/relationships/hyperlink" Target="https://www.google.com/search?newwindow=1&amp;ei=2MT0XrvGGM-vytMP1OyDgAY&amp;q=site%3Alinkedin.com+Kimberly+Embick+Campus+Recruiter+Gartner" TargetMode="External"/><Relationship Id="rId2659" Type="http://schemas.openxmlformats.org/officeDocument/2006/relationships/hyperlink" Target="https://www.google.com/search?newwindow=1&amp;ei=2MT0XrvGGM-vytMP1OyDgAY&amp;q=site%3Alinkedin.com+Kristin+McCarter+Campus+Recruiter+Walmart" TargetMode="External"/><Relationship Id="rId1329" Type="http://schemas.openxmlformats.org/officeDocument/2006/relationships/hyperlink" Target="https://www.google.com/search?newwindow=1&amp;ei=2MT0XrvGGM-vytMP1OyDgAY&amp;q=site%3Alinkedin.com+Presley+Pender+University+Recruiter+Gartner" TargetMode="External"/><Relationship Id="rId739" Type="http://schemas.openxmlformats.org/officeDocument/2006/relationships/hyperlink" Target="https://www.google.com/search?newwindow=1&amp;ei=2MT0XrvGGM-vytMP1OyDgAY&amp;q=site%3Alinkedin.com+Jeremy+Carrine+Campus+Recruiting+Manager+East+Region" TargetMode="External"/><Relationship Id="rId734" Type="http://schemas.openxmlformats.org/officeDocument/2006/relationships/hyperlink" Target="https://www.google.com/search?newwindow=1&amp;ei=2MT0XrvGGM-vytMP1OyDgAY&amp;q=site%3Alinkedin.com+Jenna+Sobel+Senior+Campus+Recruiting+Coordinator" TargetMode="External"/><Relationship Id="rId733" Type="http://schemas.openxmlformats.org/officeDocument/2006/relationships/hyperlink" Target="https://www.google.com/search?newwindow=1&amp;ei=2MT0XrvGGM-vytMP1OyDgAY&amp;q=site%3Alinkedin.com+Gabby+Ordaz+Campus+Recruiting+Specialist" TargetMode="External"/><Relationship Id="rId732" Type="http://schemas.openxmlformats.org/officeDocument/2006/relationships/hyperlink" Target="https://www.google.com/search?newwindow=1&amp;ei=2MT0XrvGGM-vytMP1OyDgAY&amp;q=site%3Alinkedin.com+Taylor+Caldwell+Campus+Recruiting+Specialist" TargetMode="External"/><Relationship Id="rId731" Type="http://schemas.openxmlformats.org/officeDocument/2006/relationships/hyperlink" Target="https://www.google.com/search?newwindow=1&amp;ei=2MT0XrvGGM-vytMP1OyDgAY&amp;q=site%3Alinkedin.com+Allison+Renner+Campus+Recruiting+Specialist" TargetMode="External"/><Relationship Id="rId738" Type="http://schemas.openxmlformats.org/officeDocument/2006/relationships/hyperlink" Target="https://www.google.com/search?newwindow=1&amp;ei=2MT0XrvGGM-vytMP1OyDgAY&amp;q=site%3Alinkedin.com+Katie+Long+SHRM-CP+PHR+Campus+Recruiting+Manager" TargetMode="External"/><Relationship Id="rId737" Type="http://schemas.openxmlformats.org/officeDocument/2006/relationships/hyperlink" Target="https://www.google.com/search?newwindow=1&amp;ei=2MT0XrvGGM-vytMP1OyDgAY&amp;q=site%3Alinkedin.com+Gregory+Schwartz+Campus+Recruiting+Specialist" TargetMode="External"/><Relationship Id="rId736" Type="http://schemas.openxmlformats.org/officeDocument/2006/relationships/hyperlink" Target="https://www.google.com/search?newwindow=1&amp;ei=2MT0XrvGGM-vytMP1OyDgAY&amp;q=site%3Alinkedin.com+Laura+Schmidt+Campus+Recruiting+Specialist" TargetMode="External"/><Relationship Id="rId735" Type="http://schemas.openxmlformats.org/officeDocument/2006/relationships/hyperlink" Target="https://www.google.com/search?newwindow=1&amp;ei=2MT0XrvGGM-vytMP1OyDgAY&amp;q=site%3Alinkedin.com+Lauren+Cardia+Senior+Campus+Recruiting+Specialist" TargetMode="External"/><Relationship Id="rId730" Type="http://schemas.openxmlformats.org/officeDocument/2006/relationships/hyperlink" Target="https://www.google.com/search?newwindow=1&amp;ei=2MT0XrvGGM-vytMP1OyDgAY&amp;q=site%3Alinkedin.com+Demetrio+Ornelas+Campus+Recruiting+Coordinator+at+Deloitte" TargetMode="External"/><Relationship Id="rId2650" Type="http://schemas.openxmlformats.org/officeDocument/2006/relationships/hyperlink" Target="https://www.google.com/search?newwindow=1&amp;ei=2MT0XrvGGM-vytMP1OyDgAY&amp;q=site%3Alinkedin.com+Hannah+Wolff+Campus+Recruiting+Lead" TargetMode="External"/><Relationship Id="rId1320" Type="http://schemas.openxmlformats.org/officeDocument/2006/relationships/hyperlink" Target="https://www.google.com/search?newwindow=1&amp;ei=2MT0XrvGGM-vytMP1OyDgAY&amp;q=site%3Alinkedin.com+Anna+Longar+Associate+Director+University+Recruiting" TargetMode="External"/><Relationship Id="rId2651" Type="http://schemas.openxmlformats.org/officeDocument/2006/relationships/hyperlink" Target="https://www.google.com/search?newwindow=1&amp;ei=2MT0XrvGGM-vytMP1OyDgAY&amp;q=site%3Alinkedin.com+Kevin+Rose+Senior+Manager+Campus+Recruiting" TargetMode="External"/><Relationship Id="rId1321" Type="http://schemas.openxmlformats.org/officeDocument/2006/relationships/hyperlink" Target="https://www.google.com/search?newwindow=1&amp;ei=2MT0XrvGGM-vytMP1OyDgAY&amp;q=site%3Alinkedin.com+Jessie+King+University+Recruiter+-+Southeast+Territory+Gartner" TargetMode="External"/><Relationship Id="rId2652" Type="http://schemas.openxmlformats.org/officeDocument/2006/relationships/hyperlink" Target="https://www.google.com/search?newwindow=1&amp;ei=2MT0XrvGGM-vytMP1OyDgAY&amp;q=site%3Alinkedin.com+Jessica+Lockard+Campus+Recruiting+Manager" TargetMode="External"/><Relationship Id="rId1322" Type="http://schemas.openxmlformats.org/officeDocument/2006/relationships/hyperlink" Target="https://www.google.com/search?newwindow=1&amp;ei=2MT0XrvGGM-vytMP1OyDgAY&amp;q=site%3Alinkedin.com+Stephanie+Scott+Campus+Recruiter+Gartner" TargetMode="External"/><Relationship Id="rId2653" Type="http://schemas.openxmlformats.org/officeDocument/2006/relationships/hyperlink" Target="https://www.google.com/search?newwindow=1&amp;ei=2MT0XrvGGM-vytMP1OyDgAY&amp;q=site%3Alinkedin.com+Kevin+Chirino+Campus+Recruiting+Lead" TargetMode="External"/><Relationship Id="rId1356" Type="http://schemas.openxmlformats.org/officeDocument/2006/relationships/hyperlink" Target="https://www.google.com/search?newwindow=1&amp;ei=2MT0XrvGGM-vytMP1OyDgAY&amp;q=site%3Alinkedin.com+Justine+Ramsey+MBA+Sr.+National+College+Recruiter+GEICO" TargetMode="External"/><Relationship Id="rId2687" Type="http://schemas.openxmlformats.org/officeDocument/2006/relationships/hyperlink" Target="https://www.google.com/search?newwindow=1&amp;ei=2MT0XrvGGM-vytMP1OyDgAY&amp;q=site%3Alinkedin.com+Erica+Matos+Campus+Recruiter+Wayfair" TargetMode="External"/><Relationship Id="rId1357" Type="http://schemas.openxmlformats.org/officeDocument/2006/relationships/hyperlink" Target="https://www.google.com/search?newwindow=1&amp;ei=2MT0XrvGGM-vytMP1OyDgAY&amp;q=site%3Alinkedin.com+Taylor+Beatty+Regional+Campus+Recruiter+GEICO" TargetMode="External"/><Relationship Id="rId2688" Type="http://schemas.openxmlformats.org/officeDocument/2006/relationships/hyperlink" Target="https://www.google.com/search?newwindow=1&amp;ei=2MT0XrvGGM-vytMP1OyDgAY&amp;q=site%3Alinkedin.com+Katie+Jones+Campus+Recruiter+II+Wayfair" TargetMode="External"/><Relationship Id="rId1358" Type="http://schemas.openxmlformats.org/officeDocument/2006/relationships/hyperlink" Target="https://www.google.com/search?newwindow=1&amp;ei=2MT0XrvGGM-vytMP1OyDgAY&amp;q=site%3Alinkedin.com+Toni+Kontos+Campus+Recruiter+GEICO" TargetMode="External"/><Relationship Id="rId2689" Type="http://schemas.openxmlformats.org/officeDocument/2006/relationships/hyperlink" Target="https://www.google.com/search?newwindow=1&amp;ei=2MT0XrvGGM-vytMP1OyDgAY&amp;q=site%3Alinkedin.com+Megan+Williams+Campus+Recruiter+II+Wayfair" TargetMode="External"/><Relationship Id="rId1359" Type="http://schemas.openxmlformats.org/officeDocument/2006/relationships/hyperlink" Target="https://www.google.com/search?newwindow=1&amp;ei=2MT0XrvGGM-vytMP1OyDgAY&amp;q=site%3Alinkedin.com+Melissa+Lynne+CPCU+Recruiting+Systems+Analyst+GEICO" TargetMode="External"/><Relationship Id="rId767" Type="http://schemas.openxmlformats.org/officeDocument/2006/relationships/hyperlink" Target="https://www.google.com/search?newwindow=1&amp;ei=2MT0XrvGGM-vytMP1OyDgAY&amp;q=site%3Alinkedin.com+Sarah+Moynier+Campus+Recruiting+Specialist" TargetMode="External"/><Relationship Id="rId766" Type="http://schemas.openxmlformats.org/officeDocument/2006/relationships/hyperlink" Target="https://www.google.com/search?newwindow=1&amp;ei=2MT0XrvGGM-vytMP1OyDgAY&amp;q=site%3Alinkedin.com+Nicole+Rosario+Senior+Campus+Recruiting+Specialist" TargetMode="External"/><Relationship Id="rId765" Type="http://schemas.openxmlformats.org/officeDocument/2006/relationships/hyperlink" Target="https://www.google.com/search?newwindow=1&amp;ei=2MT0XrvGGM-vytMP1OyDgAY&amp;q=site%3Alinkedin.com+Dana+Catania+Campus+Recruiting+Manager" TargetMode="External"/><Relationship Id="rId764" Type="http://schemas.openxmlformats.org/officeDocument/2006/relationships/hyperlink" Target="https://www.google.com/search?newwindow=1&amp;ei=2MT0XrvGGM-vytMP1OyDgAY&amp;q=site%3Alinkedin.com+Laura+Valentine+Campus+Recruiting+Coordinator" TargetMode="External"/><Relationship Id="rId769" Type="http://schemas.openxmlformats.org/officeDocument/2006/relationships/hyperlink" Target="https://www.google.com/search?newwindow=1&amp;ei=2MT0XrvGGM-vytMP1OyDgAY&amp;q=site%3Alinkedin.com+Vicky+Chang+Campus+Recruiting+Manager" TargetMode="External"/><Relationship Id="rId768" Type="http://schemas.openxmlformats.org/officeDocument/2006/relationships/hyperlink" Target="https://www.google.com/search?newwindow=1&amp;ei=2MT0XrvGGM-vytMP1OyDgAY&amp;q=site%3Alinkedin.com+Lauren+Yu+Campus+Recruiting+Specialist" TargetMode="External"/><Relationship Id="rId2680" Type="http://schemas.openxmlformats.org/officeDocument/2006/relationships/hyperlink" Target="https://www.google.com/search?newwindow=1&amp;ei=2MT0XrvGGM-vytMP1OyDgAY&amp;q=site%3Alinkedin.com+Monica+Baldwin+Recruiting+Manager+Campus+&amp;+Programmatic+Hiring+(Manager-Level+Hiring)+Wayfair" TargetMode="External"/><Relationship Id="rId1350" Type="http://schemas.openxmlformats.org/officeDocument/2006/relationships/hyperlink" Target="https://www.google.com/search?newwindow=1&amp;ei=2MT0XrvGGM-vytMP1OyDgAY&amp;q=site%3Alinkedin.com+Greg+Herman+Global+Logistics+Finance+Manager+GE+Healthcare" TargetMode="External"/><Relationship Id="rId2681" Type="http://schemas.openxmlformats.org/officeDocument/2006/relationships/hyperlink" Target="https://www.google.com/search?newwindow=1&amp;ei=2MT0XrvGGM-vytMP1OyDgAY&amp;q=site%3Alinkedin.com+Catherine+Martin+Senior+Campus+Recruiter+Wayfair" TargetMode="External"/><Relationship Id="rId1351" Type="http://schemas.openxmlformats.org/officeDocument/2006/relationships/hyperlink" Target="https://www.google.com/search?newwindow=1&amp;ei=2MT0XrvGGM-vytMP1OyDgAY&amp;q=site%3Alinkedin.com+Argyle+Sects+Recruiter+GE+Oil+&amp;+Gas" TargetMode="External"/><Relationship Id="rId2682" Type="http://schemas.openxmlformats.org/officeDocument/2006/relationships/hyperlink" Target="https://www.google.com/search?newwindow=1&amp;ei=2MT0XrvGGM-vytMP1OyDgAY&amp;q=site%3Alinkedin.com+Ali+Bradley+Campus+Recruiter+Wayfair" TargetMode="External"/><Relationship Id="rId763" Type="http://schemas.openxmlformats.org/officeDocument/2006/relationships/hyperlink" Target="https://www.google.com/search?newwindow=1&amp;ei=2MT0XrvGGM-vytMP1OyDgAY&amp;q=site%3Alinkedin.com+Lis+Miller+Campus+Recruiting+Specialist" TargetMode="External"/><Relationship Id="rId1352" Type="http://schemas.openxmlformats.org/officeDocument/2006/relationships/hyperlink" Target="https://www.google.com/search?newwindow=1&amp;ei=2MT0XrvGGM-vytMP1OyDgAY&amp;q=site%3Alinkedin.com+Susan+Moore+Senior+Product+Delivery+Manager+Solution+Data+Architect+GE+Renewable+Energy" TargetMode="External"/><Relationship Id="rId2683" Type="http://schemas.openxmlformats.org/officeDocument/2006/relationships/hyperlink" Target="https://www.google.com/search?newwindow=1&amp;ei=2MT0XrvGGM-vytMP1OyDgAY&amp;q=site%3Alinkedin.com+Lila+Haffey+MBA+Campus+Recruiter+Wayfair" TargetMode="External"/><Relationship Id="rId762" Type="http://schemas.openxmlformats.org/officeDocument/2006/relationships/hyperlink" Target="https://www.google.com/search?newwindow=1&amp;ei=2MT0XrvGGM-vytMP1OyDgAY&amp;q=site%3Alinkedin.com+Megan+Gustafson+Senior+Campus+Recruiting+Specialist" TargetMode="External"/><Relationship Id="rId1353" Type="http://schemas.openxmlformats.org/officeDocument/2006/relationships/hyperlink" Target="https://www.google.com/search?newwindow=1&amp;ei=2MT0XrvGGM-vytMP1OyDgAY&amp;q=site%3Alinkedin.com+Justin+Norris+Transport+Intelligence+-+Senior+Engineering+Manager+-+Integration+Engineering+GE+Transportation" TargetMode="External"/><Relationship Id="rId2684" Type="http://schemas.openxmlformats.org/officeDocument/2006/relationships/hyperlink" Target="https://www.google.com/search?newwindow=1&amp;ei=2MT0XrvGGM-vytMP1OyDgAY&amp;q=site%3Alinkedin.com+Carrie+Palmer+Campus+Recruiting+Program+Manager+Wayfair" TargetMode="External"/><Relationship Id="rId761" Type="http://schemas.openxmlformats.org/officeDocument/2006/relationships/hyperlink" Target="https://www.google.com/search?newwindow=1&amp;ei=2MT0XrvGGM-vytMP1OyDgAY&amp;q=site%3Alinkedin.com+Abby+Cooper+PHR+National+Project+Controller+Campus+Recruiting+Account+Lead" TargetMode="External"/><Relationship Id="rId1354" Type="http://schemas.openxmlformats.org/officeDocument/2006/relationships/hyperlink" Target="https://www.google.com/search?newwindow=1&amp;ei=2MT0XrvGGM-vytMP1OyDgAY&amp;q=site%3Alinkedin.com+Melissa+Lynne+CPCU+Recruiting+Systems+Analyst" TargetMode="External"/><Relationship Id="rId2685" Type="http://schemas.openxmlformats.org/officeDocument/2006/relationships/hyperlink" Target="https://www.google.com/search?newwindow=1&amp;ei=2MT0XrvGGM-vytMP1OyDgAY&amp;q=site%3Alinkedin.com+Fallon+Stewart+Campus+Recruiter+Wayfair" TargetMode="External"/><Relationship Id="rId760" Type="http://schemas.openxmlformats.org/officeDocument/2006/relationships/hyperlink" Target="https://www.google.com/search?newwindow=1&amp;ei=2MT0XrvGGM-vytMP1OyDgAY&amp;q=site%3Alinkedin.com+Katie+Campbell+Senior+Campus+Recruiting+Coordinator" TargetMode="External"/><Relationship Id="rId1355" Type="http://schemas.openxmlformats.org/officeDocument/2006/relationships/hyperlink" Target="https://www.google.com/search?newwindow=1&amp;ei=2MT0XrvGGM-vytMP1OyDgAY&amp;q=site%3Alinkedin.com+Latrell+Tyson+College+Recruiter+GEICO" TargetMode="External"/><Relationship Id="rId2686" Type="http://schemas.openxmlformats.org/officeDocument/2006/relationships/hyperlink" Target="https://www.google.com/search?newwindow=1&amp;ei=2MT0XrvGGM-vytMP1OyDgAY&amp;q=site%3Alinkedin.com+Ryan+Cantwell+Campus+Recruiter+Wayfair" TargetMode="External"/><Relationship Id="rId1345" Type="http://schemas.openxmlformats.org/officeDocument/2006/relationships/hyperlink" Target="https://www.google.com/search?newwindow=1&amp;ei=2MT0XrvGGM-vytMP1OyDgAY&amp;q=site%3Alinkedin.com+Jackie+Potter+Sr.+University+Recruiter+Gartner" TargetMode="External"/><Relationship Id="rId2676" Type="http://schemas.openxmlformats.org/officeDocument/2006/relationships/hyperlink" Target="https://www.google.com/search?newwindow=1&amp;ei=2MT0XrvGGM-vytMP1OyDgAY&amp;q=site%3Alinkedin.com+Carrie+Palmer+Campus+Recruiting+Program+Manager" TargetMode="External"/><Relationship Id="rId1346" Type="http://schemas.openxmlformats.org/officeDocument/2006/relationships/hyperlink" Target="https://www.google.com/search?newwindow=1&amp;ei=2MT0XrvGGM-vytMP1OyDgAY&amp;q=site%3Alinkedin.com+Sara+De+La+Cruz+Graduate+Recruiter+Specialist+at+GE+on+behalf+of+AMS" TargetMode="External"/><Relationship Id="rId2677" Type="http://schemas.openxmlformats.org/officeDocument/2006/relationships/hyperlink" Target="https://www.google.com/search?newwindow=1&amp;ei=2MT0XrvGGM-vytMP1OyDgAY&amp;q=site%3Alinkedin.com+Monica+Baldwin+Recruiting+Manager+Campus+&amp;+Programmatic+Hiring+(Manager-Level+Hiring)" TargetMode="External"/><Relationship Id="rId1347" Type="http://schemas.openxmlformats.org/officeDocument/2006/relationships/hyperlink" Target="https://www.google.com/search?newwindow=1&amp;ei=2MT0XrvGGM-vytMP1OyDgAY&amp;q=site%3Alinkedin.com+Gillian+Fecht+Healthcare+Digital+FP&amp;A+Reporting+&amp;+Ops+Manager+GE" TargetMode="External"/><Relationship Id="rId2678" Type="http://schemas.openxmlformats.org/officeDocument/2006/relationships/hyperlink" Target="https://www.google.com/search?newwindow=1&amp;ei=2MT0XrvGGM-vytMP1OyDgAY&amp;q=site%3Alinkedin.com+Erin+Collins+Campus+Recruiter+Technical+Campus+Recruiting" TargetMode="External"/><Relationship Id="rId1348" Type="http://schemas.openxmlformats.org/officeDocument/2006/relationships/hyperlink" Target="https://www.google.com/search?newwindow=1&amp;ei=2MT0XrvGGM-vytMP1OyDgAY&amp;q=site%3Alinkedin.com+Eva+(Reiter)+Jansen+Senior+Sourcing+Manager+-+NPI+Transition+Electromechanical+Components+GE+Aviation" TargetMode="External"/><Relationship Id="rId2679" Type="http://schemas.openxmlformats.org/officeDocument/2006/relationships/hyperlink" Target="https://www.google.com/search?newwindow=1&amp;ei=2MT0XrvGGM-vytMP1OyDgAY&amp;q=site%3Alinkedin.com+Maureen+Gilroy+Campus+Recruiting+Manager+Wayfair" TargetMode="External"/><Relationship Id="rId1349" Type="http://schemas.openxmlformats.org/officeDocument/2006/relationships/hyperlink" Target="https://www.google.com/search?newwindow=1&amp;ei=2MT0XrvGGM-vytMP1OyDgAY&amp;q=site%3Alinkedin.com+Kevin+Fritz+Region+Business+Manager+Computed+Tomography+GE+Healthcare" TargetMode="External"/><Relationship Id="rId756" Type="http://schemas.openxmlformats.org/officeDocument/2006/relationships/hyperlink" Target="https://www.google.com/search?newwindow=1&amp;ei=2MT0XrvGGM-vytMP1OyDgAY&amp;q=site%3Alinkedin.com+Emilie+Patterson+Campus+Recruiting+Specialist" TargetMode="External"/><Relationship Id="rId755" Type="http://schemas.openxmlformats.org/officeDocument/2006/relationships/hyperlink" Target="https://www.google.com/search?newwindow=1&amp;ei=2MT0XrvGGM-vytMP1OyDgAY&amp;q=site%3Alinkedin.com+Anthony+Giannetta+Senior+Campus+Recruiting+Specialist" TargetMode="External"/><Relationship Id="rId754" Type="http://schemas.openxmlformats.org/officeDocument/2006/relationships/hyperlink" Target="https://www.google.com/search?newwindow=1&amp;ei=2MT0XrvGGM-vytMP1OyDgAY&amp;q=site%3Alinkedin.com+Vickie+Dawli+Campus+Recruiting+Coordinator" TargetMode="External"/><Relationship Id="rId753" Type="http://schemas.openxmlformats.org/officeDocument/2006/relationships/hyperlink" Target="https://www.google.com/search?newwindow=1&amp;ei=2MT0XrvGGM-vytMP1OyDgAY&amp;q=site%3Alinkedin.com+Michael+Flores+Senior+Campus+Recruiting+Coordinator" TargetMode="External"/><Relationship Id="rId759" Type="http://schemas.openxmlformats.org/officeDocument/2006/relationships/hyperlink" Target="https://www.google.com/search?newwindow=1&amp;ei=2MT0XrvGGM-vytMP1OyDgAY&amp;q=site%3Alinkedin.com+Kirsten+Berger+Campus+Recruiting+Specialist" TargetMode="External"/><Relationship Id="rId758" Type="http://schemas.openxmlformats.org/officeDocument/2006/relationships/hyperlink" Target="https://www.google.com/search?newwindow=1&amp;ei=2MT0XrvGGM-vytMP1OyDgAY&amp;q=site%3Alinkedin.com+Tracy+Carneal+Campus+Recruiting+Specialist" TargetMode="External"/><Relationship Id="rId757" Type="http://schemas.openxmlformats.org/officeDocument/2006/relationships/hyperlink" Target="https://www.google.com/search?newwindow=1&amp;ei=2MT0XrvGGM-vytMP1OyDgAY&amp;q=site%3Alinkedin.com+Melissa+(Uhniat)+Sweeney+Manager+Experienced+Hire+Recruiting" TargetMode="External"/><Relationship Id="rId2670" Type="http://schemas.openxmlformats.org/officeDocument/2006/relationships/hyperlink" Target="https://www.google.com/search?newwindow=1&amp;ei=2MT0XrvGGM-vytMP1OyDgAY&amp;q=site%3Alinkedin.com+Lauren+OByrne+Campus+Program+Recruiter+WarnerMedia" TargetMode="External"/><Relationship Id="rId1340" Type="http://schemas.openxmlformats.org/officeDocument/2006/relationships/hyperlink" Target="https://www.google.com/search?newwindow=1&amp;ei=2MT0XrvGGM-vytMP1OyDgAY&amp;q=site%3Alinkedin.com+April+Doktor+Senior+University+Recruiter+Gartner" TargetMode="External"/><Relationship Id="rId2671" Type="http://schemas.openxmlformats.org/officeDocument/2006/relationships/hyperlink" Target="https://www.google.com/search?newwindow=1&amp;ei=2MT0XrvGGM-vytMP1OyDgAY&amp;q=site%3Alinkedin.com+Cynthia+Gomez+Recruiter+Diversity+Outreach+Talent+Acquisition+(Communications+&amp;+Marketing)+WarnerMedia" TargetMode="External"/><Relationship Id="rId752" Type="http://schemas.openxmlformats.org/officeDocument/2006/relationships/hyperlink" Target="https://www.google.com/search?newwindow=1&amp;ei=2MT0XrvGGM-vytMP1OyDgAY&amp;q=site%3Alinkedin.com+Sheena+Wirth+SHRM-CP+Senior+Campus+Recruiting+Specialist" TargetMode="External"/><Relationship Id="rId1341" Type="http://schemas.openxmlformats.org/officeDocument/2006/relationships/hyperlink" Target="https://www.google.com/search?newwindow=1&amp;ei=2MT0XrvGGM-vytMP1OyDgAY&amp;q=site%3Alinkedin.com+Kristin+LaRosa+Rotational+Campus+Recruiter+Gartner" TargetMode="External"/><Relationship Id="rId2672" Type="http://schemas.openxmlformats.org/officeDocument/2006/relationships/hyperlink" Target="https://www.google.com/search?newwindow=1&amp;ei=2MT0XrvGGM-vytMP1OyDgAY&amp;q=site%3Alinkedin.com+Dionna+Walker+Recruiter+University+Relations+WarnerMedia" TargetMode="External"/><Relationship Id="rId751" Type="http://schemas.openxmlformats.org/officeDocument/2006/relationships/hyperlink" Target="https://www.google.com/search?newwindow=1&amp;ei=2MT0XrvGGM-vytMP1OyDgAY&amp;q=site%3Alinkedin.com+Linzie+Arnett+(Stahl)+Campus+Recruiting+Specialist" TargetMode="External"/><Relationship Id="rId1342" Type="http://schemas.openxmlformats.org/officeDocument/2006/relationships/hyperlink" Target="https://www.google.com/search?newwindow=1&amp;ei=2MT0XrvGGM-vytMP1OyDgAY&amp;q=site%3Alinkedin.com+Claire+McCaskey+University+Recruiter+Gartner" TargetMode="External"/><Relationship Id="rId2673" Type="http://schemas.openxmlformats.org/officeDocument/2006/relationships/hyperlink" Target="https://www.google.com/search?newwindow=1&amp;ei=2MT0XrvGGM-vytMP1OyDgAY&amp;q=site%3Alinkedin.com+Molly+Kemper+Recruiter+University+Relations+WarnerMedia" TargetMode="External"/><Relationship Id="rId750" Type="http://schemas.openxmlformats.org/officeDocument/2006/relationships/hyperlink" Target="https://www.google.com/search?newwindow=1&amp;ei=2MT0XrvGGM-vytMP1OyDgAY&amp;q=site%3Alinkedin.com+Grace+Powers+Campus+Recruiting+Specialist" TargetMode="External"/><Relationship Id="rId1343" Type="http://schemas.openxmlformats.org/officeDocument/2006/relationships/hyperlink" Target="https://www.google.com/search?newwindow=1&amp;ei=2MT0XrvGGM-vytMP1OyDgAY&amp;q=site%3Alinkedin.com+Sarah+Dennis+Senior+University+Field+MBA+Recruiter+Gartner" TargetMode="External"/><Relationship Id="rId2674" Type="http://schemas.openxmlformats.org/officeDocument/2006/relationships/hyperlink" Target="https://www.google.com/search?newwindow=1&amp;ei=2MT0XrvGGM-vytMP1OyDgAY&amp;q=site%3Alinkedin.com+Elisabeth+Mox+SHRM-CP+Lead+of+Undergraduate+Campus+Recruiting+(Business+and+Tech)" TargetMode="External"/><Relationship Id="rId1344" Type="http://schemas.openxmlformats.org/officeDocument/2006/relationships/hyperlink" Target="https://www.google.com/search?newwindow=1&amp;ei=2MT0XrvGGM-vytMP1OyDgAY&amp;q=site%3Alinkedin.com+Gracie+Enright+University+Recruiter+Associate+Gartner" TargetMode="External"/><Relationship Id="rId2675" Type="http://schemas.openxmlformats.org/officeDocument/2006/relationships/hyperlink" Target="https://www.google.com/search?newwindow=1&amp;ei=2MT0XrvGGM-vytMP1OyDgAY&amp;q=site%3Alinkedin.com+Maureen+Gilroy+Campus+Recruiting+Manager" TargetMode="External"/><Relationship Id="rId2621" Type="http://schemas.openxmlformats.org/officeDocument/2006/relationships/hyperlink" Target="https://www.google.com/search?newwindow=1&amp;ei=2MT0XrvGGM-vytMP1OyDgAY&amp;q=site%3Alinkedin.com+Derek+Penzort+Campus+Recruiter+Verizon" TargetMode="External"/><Relationship Id="rId2622" Type="http://schemas.openxmlformats.org/officeDocument/2006/relationships/hyperlink" Target="https://www.google.com/search?newwindow=1&amp;ei=2MT0XrvGGM-vytMP1OyDgAY&amp;q=site%3Alinkedin.com+Al+Jackson+Campus+Recruiter+Talent+Acquisition+Verizon" TargetMode="External"/><Relationship Id="rId2623" Type="http://schemas.openxmlformats.org/officeDocument/2006/relationships/hyperlink" Target="https://www.google.com/search?newwindow=1&amp;ei=2MT0XrvGGM-vytMP1OyDgAY&amp;q=site%3Alinkedin.com+Kaitlynn+Moctezuma+Campus+Recruiter+Verizon" TargetMode="External"/><Relationship Id="rId2624" Type="http://schemas.openxmlformats.org/officeDocument/2006/relationships/hyperlink" Target="https://www.google.com/search?newwindow=1&amp;ei=2MT0XrvGGM-vytMP1OyDgAY&amp;q=site%3Alinkedin.com+Marlyn+Jasso+Sr.+Analyst+Talent+Acquisition-+Campus+Recruiter+Verizon" TargetMode="External"/><Relationship Id="rId2625" Type="http://schemas.openxmlformats.org/officeDocument/2006/relationships/hyperlink" Target="https://www.google.com/search?newwindow=1&amp;ei=2MT0XrvGGM-vytMP1OyDgAY&amp;q=site%3Alinkedin.com+Aliyah+Deiz+Talent+Acquisition+Senior+Analyst+University+Recruiter+Verizon+Media" TargetMode="External"/><Relationship Id="rId2626" Type="http://schemas.openxmlformats.org/officeDocument/2006/relationships/hyperlink" Target="https://www.google.com/search?newwindow=1&amp;ei=2MT0XrvGGM-vytMP1OyDgAY&amp;q=site%3Alinkedin.com+Christina+D.+Talent+Acquisition+University+Recruiter+Verizon+Media" TargetMode="External"/><Relationship Id="rId2627" Type="http://schemas.openxmlformats.org/officeDocument/2006/relationships/hyperlink" Target="https://www.google.com/search?newwindow=1&amp;ei=2MT0XrvGGM-vytMP1OyDgAY&amp;q=site%3Alinkedin.com+Sonya+Harris+Talent+Acquisition+Campus+Recruiter+Verizon+Telematics+Inc." TargetMode="External"/><Relationship Id="rId2628" Type="http://schemas.openxmlformats.org/officeDocument/2006/relationships/hyperlink" Target="https://www.google.com/search?newwindow=1&amp;ei=2MT0XrvGGM-vytMP1OyDgAY&amp;q=site%3Alinkedin.com+Layne+P.+Campus+Recruiter+Verizon+Wireless" TargetMode="External"/><Relationship Id="rId709" Type="http://schemas.openxmlformats.org/officeDocument/2006/relationships/hyperlink" Target="https://www.google.com/search?newwindow=1&amp;ei=2MT0XrvGGM-vytMP1OyDgAY&amp;q=site%3Alinkedin.com+Divya+Shenoy+Campus+Recruiting+Manager" TargetMode="External"/><Relationship Id="rId2629" Type="http://schemas.openxmlformats.org/officeDocument/2006/relationships/hyperlink" Target="https://www.google.com/search?newwindow=1&amp;ei=2MT0XrvGGM-vytMP1OyDgAY&amp;q=site%3Alinkedin.com+Rachel+Gardinier+University+Relations+Specialist+Viasat+Inc." TargetMode="External"/><Relationship Id="rId708" Type="http://schemas.openxmlformats.org/officeDocument/2006/relationships/hyperlink" Target="https://www.google.com/search?newwindow=1&amp;ei=2MT0XrvGGM-vytMP1OyDgAY&amp;q=site%3Alinkedin.com+Lindsey+Price+Campus+Recruiting+Specialist" TargetMode="External"/><Relationship Id="rId707" Type="http://schemas.openxmlformats.org/officeDocument/2006/relationships/hyperlink" Target="https://www.google.com/search?newwindow=1&amp;ei=2MT0XrvGGM-vytMP1OyDgAY&amp;q=site%3Alinkedin.com+Dolorez+Dumas-Aris+Campus+Recruiting+Manager" TargetMode="External"/><Relationship Id="rId706" Type="http://schemas.openxmlformats.org/officeDocument/2006/relationships/hyperlink" Target="https://www.google.com/search?newwindow=1&amp;ei=2MT0XrvGGM-vytMP1OyDgAY&amp;q=site%3Alinkedin.com+Caroline+Foret+Senior+Recruiting+Coordinator" TargetMode="External"/><Relationship Id="rId701" Type="http://schemas.openxmlformats.org/officeDocument/2006/relationships/hyperlink" Target="https://www.google.com/search?newwindow=1&amp;ei=2MT0XrvGGM-vytMP1OyDgAY&amp;q=site%3Alinkedin.com+Gabrielle+Leal+Senior+Campus+Recruiting+Specialist" TargetMode="External"/><Relationship Id="rId700" Type="http://schemas.openxmlformats.org/officeDocument/2006/relationships/hyperlink" Target="https://www.google.com/search?newwindow=1&amp;ei=2MT0XrvGGM-vytMP1OyDgAY&amp;q=site%3Alinkedin.com+Kelly+Wray+Senior+Campus+Recruiting+Specialist" TargetMode="External"/><Relationship Id="rId705" Type="http://schemas.openxmlformats.org/officeDocument/2006/relationships/hyperlink" Target="https://www.google.com/search?newwindow=1&amp;ei=2MT0XrvGGM-vytMP1OyDgAY&amp;q=site%3Alinkedin.com+Meredith+Feltmann+Senior+Campus+Recruiting+Specialist" TargetMode="External"/><Relationship Id="rId704" Type="http://schemas.openxmlformats.org/officeDocument/2006/relationships/hyperlink" Target="https://www.google.com/search?newwindow=1&amp;ei=2MT0XrvGGM-vytMP1OyDgAY&amp;q=site%3Alinkedin.com+Lauren+Selwyn+Campus+Recruiting+Specialist" TargetMode="External"/><Relationship Id="rId703" Type="http://schemas.openxmlformats.org/officeDocument/2006/relationships/hyperlink" Target="https://www.google.com/search?newwindow=1&amp;ei=2MT0XrvGGM-vytMP1OyDgAY&amp;q=site%3Alinkedin.com+Daniel+Muro+Senior+Campus+Recruiting+Coordinator" TargetMode="External"/><Relationship Id="rId702" Type="http://schemas.openxmlformats.org/officeDocument/2006/relationships/hyperlink" Target="https://www.google.com/search?newwindow=1&amp;ei=2MT0XrvGGM-vytMP1OyDgAY&amp;q=site%3Alinkedin.com+Claire+Bourgeois+Senior+Campus+Recruiting+Specialist" TargetMode="External"/><Relationship Id="rId2620" Type="http://schemas.openxmlformats.org/officeDocument/2006/relationships/hyperlink" Target="https://www.google.com/search?newwindow=1&amp;ei=2MT0XrvGGM-vytMP1OyDgAY&amp;q=site%3Alinkedin.com+Christopher+Mellis+Campus+Recruiter+Verizon" TargetMode="External"/><Relationship Id="rId2610" Type="http://schemas.openxmlformats.org/officeDocument/2006/relationships/hyperlink" Target="https://www.google.com/search?newwindow=1&amp;ei=2MT0XrvGGM-vytMP1OyDgAY&amp;q=site%3Alinkedin.com+Stacie+Carpenter+Senior+College+Recruiter+Early+Careers+Recruitment+&amp;+Campus+Engagement+UnitedHealth+Group" TargetMode="External"/><Relationship Id="rId2611" Type="http://schemas.openxmlformats.org/officeDocument/2006/relationships/hyperlink" Target="https://www.google.com/search?newwindow=1&amp;ei=2MT0XrvGGM-vytMP1OyDgAY&amp;q=site%3Alinkedin.com+Michael+Warburton+University+Recruiter" TargetMode="External"/><Relationship Id="rId2612" Type="http://schemas.openxmlformats.org/officeDocument/2006/relationships/hyperlink" Target="https://www.google.com/search?newwindow=1&amp;ei=2MT0XrvGGM-vytMP1OyDgAY&amp;q=site%3Alinkedin.com+Jessica+Abel+University+Recruiter+Americas" TargetMode="External"/><Relationship Id="rId2613" Type="http://schemas.openxmlformats.org/officeDocument/2006/relationships/hyperlink" Target="https://www.google.com/search?newwindow=1&amp;ei=2MT0XrvGGM-vytMP1OyDgAY&amp;q=site%3Alinkedin.com+Adela+Harja+University+Recruiting+Programs+Support" TargetMode="External"/><Relationship Id="rId2614" Type="http://schemas.openxmlformats.org/officeDocument/2006/relationships/hyperlink" Target="https://www.google.com/search?newwindow=1&amp;ei=2MT0XrvGGM-vytMP1OyDgAY&amp;q=site%3Alinkedin.com+Am%C3%A9lie+C%C3%B4t%C3%A9+University+Recruiter" TargetMode="External"/><Relationship Id="rId2615" Type="http://schemas.openxmlformats.org/officeDocument/2006/relationships/hyperlink" Target="https://www.google.com/search?newwindow=1&amp;ei=2MT0XrvGGM-vytMP1OyDgAY&amp;q=site%3Alinkedin.com+Jennifer+Coleman+University+Recruiter+Unity+Technologies" TargetMode="External"/><Relationship Id="rId2616" Type="http://schemas.openxmlformats.org/officeDocument/2006/relationships/hyperlink" Target="https://www.google.com/search?newwindow=1&amp;ei=2MT0XrvGGM-vytMP1OyDgAY&amp;q=site%3Alinkedin.com+Claire+Skelly+University+Recruiter+Unity+Technologies" TargetMode="External"/><Relationship Id="rId2617" Type="http://schemas.openxmlformats.org/officeDocument/2006/relationships/hyperlink" Target="https://www.google.com/search?newwindow=1&amp;ei=2MT0XrvGGM-vytMP1OyDgAY&amp;q=site%3Alinkedin.com+Montana+Middleton+Student+Engagement+Programs+Coordinator" TargetMode="External"/><Relationship Id="rId2618" Type="http://schemas.openxmlformats.org/officeDocument/2006/relationships/hyperlink" Target="https://www.google.com/search?newwindow=1&amp;ei=2MT0XrvGGM-vytMP1OyDgAY&amp;q=site%3Alinkedin.com+Madhav+Raman+Student+Ambassador+Health+Promotion+Unit" TargetMode="External"/><Relationship Id="rId2619" Type="http://schemas.openxmlformats.org/officeDocument/2006/relationships/hyperlink" Target="https://www.google.com/search?newwindow=1&amp;ei=2MT0XrvGGM-vytMP1OyDgAY&amp;q=site%3Alinkedin.com+Michael+Ormsby+Team+Lead+Student+Development+Programs" TargetMode="External"/><Relationship Id="rId1312" Type="http://schemas.openxmlformats.org/officeDocument/2006/relationships/hyperlink" Target="https://www.google.com/search?newwindow=1&amp;ei=2MT0XrvGGM-vytMP1OyDgAY&amp;q=site%3Alinkedin.com+Elizabeth+Baldridge+University+Relations+Recruiter+Garmin+International" TargetMode="External"/><Relationship Id="rId2643" Type="http://schemas.openxmlformats.org/officeDocument/2006/relationships/hyperlink" Target="https://www.google.com/search?newwindow=1&amp;ei=2MT0XrvGGM-vytMP1OyDgAY&amp;q=site%3Alinkedin.com+Cam+Bowman+Campus+Recruiter+VMware" TargetMode="External"/><Relationship Id="rId1313" Type="http://schemas.openxmlformats.org/officeDocument/2006/relationships/hyperlink" Target="https://www.google.com/search?newwindow=1&amp;ei=2MT0XrvGGM-vytMP1OyDgAY&amp;q=site%3Alinkedin.com+Jeff+Stencel+Team+Lead+University+Recruiting" TargetMode="External"/><Relationship Id="rId2644" Type="http://schemas.openxmlformats.org/officeDocument/2006/relationships/hyperlink" Target="https://www.google.com/search?newwindow=1&amp;ei=2MT0XrvGGM-vytMP1OyDgAY&amp;q=site%3Alinkedin.com+Andrew+Kim+University+Recruiter+VMware" TargetMode="External"/><Relationship Id="rId1314" Type="http://schemas.openxmlformats.org/officeDocument/2006/relationships/hyperlink" Target="https://www.google.com/search?newwindow=1&amp;ei=2MT0XrvGGM-vytMP1OyDgAY&amp;q=site%3Alinkedin.com+Emily+Farrah+CGSP+University+D&amp;I+Recruiting+Project+Specialist" TargetMode="External"/><Relationship Id="rId2645" Type="http://schemas.openxmlformats.org/officeDocument/2006/relationships/hyperlink" Target="https://www.google.com/search?newwindow=1&amp;ei=2MT0XrvGGM-vytMP1OyDgAY&amp;q=site%3Alinkedin.com+Stephanie+Ruiz-Schlesinger+Senior+Recruiter+VMware" TargetMode="External"/><Relationship Id="rId1315" Type="http://schemas.openxmlformats.org/officeDocument/2006/relationships/hyperlink" Target="https://www.google.com/search?newwindow=1&amp;ei=2MT0XrvGGM-vytMP1OyDgAY&amp;q=site%3Alinkedin.com+Caitlin+Seccombe+Manager+Recruiting" TargetMode="External"/><Relationship Id="rId2646" Type="http://schemas.openxmlformats.org/officeDocument/2006/relationships/hyperlink" Target="https://www.google.com/search?newwindow=1&amp;ei=2MT0XrvGGM-vytMP1OyDgAY&amp;q=site%3Alinkedin.com+Brooke+Bricker+University+Talent+Senior+Recruiter+VMware" TargetMode="External"/><Relationship Id="rId1316" Type="http://schemas.openxmlformats.org/officeDocument/2006/relationships/hyperlink" Target="https://www.google.com/search?newwindow=1&amp;ei=2MT0XrvGGM-vytMP1OyDgAY&amp;q=site%3Alinkedin.com+CJ+Giles+Senior+Recruiting+-+Global+and+Large+Enterprise+Sales" TargetMode="External"/><Relationship Id="rId2647" Type="http://schemas.openxmlformats.org/officeDocument/2006/relationships/hyperlink" Target="https://www.google.com/search?newwindow=1&amp;ei=2MT0XrvGGM-vytMP1OyDgAY&amp;q=site%3Alinkedin.com+Alexandra+Foret+Recruiting+Lead+Campus+Recruiting" TargetMode="External"/><Relationship Id="rId1317" Type="http://schemas.openxmlformats.org/officeDocument/2006/relationships/hyperlink" Target="https://www.google.com/search?newwindow=1&amp;ei=2MT0XrvGGM-vytMP1OyDgAY&amp;q=site%3Alinkedin.com+Luke+Rogers+University+Recruiter" TargetMode="External"/><Relationship Id="rId2648" Type="http://schemas.openxmlformats.org/officeDocument/2006/relationships/hyperlink" Target="https://www.google.com/search?newwindow=1&amp;ei=2MT0XrvGGM-vytMP1OyDgAY&amp;q=site%3Alinkedin.com+Diane+Cook+PMP+Project+Manager+II+Campus+Recruiting" TargetMode="External"/><Relationship Id="rId1318" Type="http://schemas.openxmlformats.org/officeDocument/2006/relationships/hyperlink" Target="https://www.google.com/search?newwindow=1&amp;ei=2MT0XrvGGM-vytMP1OyDgAY&amp;q=site%3Alinkedin.com+Parshotam+S.+University+Recruiter+-+Global+Business+Sales+&amp;+Global+Technology+Sales++EMEA" TargetMode="External"/><Relationship Id="rId2649" Type="http://schemas.openxmlformats.org/officeDocument/2006/relationships/hyperlink" Target="https://www.google.com/search?newwindow=1&amp;ei=2MT0XrvGGM-vytMP1OyDgAY&amp;q=site%3Alinkedin.com+Deanne+Smith+Staff+Pharmacist" TargetMode="External"/><Relationship Id="rId1319" Type="http://schemas.openxmlformats.org/officeDocument/2006/relationships/hyperlink" Target="https://www.google.com/search?newwindow=1&amp;ei=2MT0XrvGGM-vytMP1OyDgAY&amp;q=site%3Alinkedin.com+Abby+Bryson+University+Recruiter" TargetMode="External"/><Relationship Id="rId729" Type="http://schemas.openxmlformats.org/officeDocument/2006/relationships/hyperlink" Target="https://www.google.com/search?newwindow=1&amp;ei=2MT0XrvGGM-vytMP1OyDgAY&amp;q=site%3Alinkedin.com+Kaitlin+Vance+Senior+Campus+Recruiting+Specialist" TargetMode="External"/><Relationship Id="rId728" Type="http://schemas.openxmlformats.org/officeDocument/2006/relationships/hyperlink" Target="https://www.google.com/search?newwindow=1&amp;ei=2MT0XrvGGM-vytMP1OyDgAY&amp;q=site%3Alinkedin.com+Ashly+Kelley+Campus+Recruiting+Specialist" TargetMode="External"/><Relationship Id="rId723" Type="http://schemas.openxmlformats.org/officeDocument/2006/relationships/hyperlink" Target="https://www.google.com/search?newwindow=1&amp;ei=2MT0XrvGGM-vytMP1OyDgAY&amp;q=site%3Alinkedin.com+Amber+Lemieux+Senior+Campus+Recruiting+Coordinator" TargetMode="External"/><Relationship Id="rId722" Type="http://schemas.openxmlformats.org/officeDocument/2006/relationships/hyperlink" Target="https://www.google.com/search?newwindow=1&amp;ei=2MT0XrvGGM-vytMP1OyDgAY&amp;q=site%3Alinkedin.com+Katarina+I.+Perez+MBA+Campus+Recruiting+Specialist" TargetMode="External"/><Relationship Id="rId721" Type="http://schemas.openxmlformats.org/officeDocument/2006/relationships/hyperlink" Target="https://www.google.com/search?newwindow=1&amp;ei=2MT0XrvGGM-vytMP1OyDgAY&amp;q=site%3Alinkedin.com+Anissa+Escobar+MSHRM+Campus+Recruiting+Coordinator" TargetMode="External"/><Relationship Id="rId720" Type="http://schemas.openxmlformats.org/officeDocument/2006/relationships/hyperlink" Target="https://www.google.com/search?newwindow=1&amp;ei=2MT0XrvGGM-vytMP1OyDgAY&amp;q=site%3Alinkedin.com+Kathryn+Roberts+Senior+Campus+Recruiting+Specialist" TargetMode="External"/><Relationship Id="rId727" Type="http://schemas.openxmlformats.org/officeDocument/2006/relationships/hyperlink" Target="https://www.google.com/search?newwindow=1&amp;ei=2MT0XrvGGM-vytMP1OyDgAY&amp;q=site%3Alinkedin.com+Megan+OConnor+Campus+Recruiting+Coordinator+-+Consulting" TargetMode="External"/><Relationship Id="rId726" Type="http://schemas.openxmlformats.org/officeDocument/2006/relationships/hyperlink" Target="https://www.google.com/search?newwindow=1&amp;ei=2MT0XrvGGM-vytMP1OyDgAY&amp;q=site%3Alinkedin.com+Janel+Houston+Senior+Campus+Recruiting+Specialist" TargetMode="External"/><Relationship Id="rId725" Type="http://schemas.openxmlformats.org/officeDocument/2006/relationships/hyperlink" Target="https://www.google.com/search?newwindow=1&amp;ei=2MT0XrvGGM-vytMP1OyDgAY&amp;q=site%3Alinkedin.com+Brittany+Prather+Campus+Recruiting+Specialist" TargetMode="External"/><Relationship Id="rId724" Type="http://schemas.openxmlformats.org/officeDocument/2006/relationships/hyperlink" Target="https://www.google.com/search?newwindow=1&amp;ei=2MT0XrvGGM-vytMP1OyDgAY&amp;q=site%3Alinkedin.com+Anadelia+Garcia+Campus+Recruiting+Manager+-+Central+Region" TargetMode="External"/><Relationship Id="rId2640" Type="http://schemas.openxmlformats.org/officeDocument/2006/relationships/hyperlink" Target="https://www.google.com/search?newwindow=1&amp;ei=2MT0XrvGGM-vytMP1OyDgAY&amp;q=site%3Alinkedin.com+Kristen+Taylor+University+Recruiter+VMware" TargetMode="External"/><Relationship Id="rId1310" Type="http://schemas.openxmlformats.org/officeDocument/2006/relationships/hyperlink" Target="https://www.google.com/search?newwindow=1&amp;ei=2MT0XrvGGM-vytMP1OyDgAY&amp;q=site%3Alinkedin.com+Kourtney+Welch+University+Relations+Recruiter+Garmin+International" TargetMode="External"/><Relationship Id="rId2641" Type="http://schemas.openxmlformats.org/officeDocument/2006/relationships/hyperlink" Target="https://www.google.com/search?newwindow=1&amp;ei=2MT0XrvGGM-vytMP1OyDgAY&amp;q=site%3Alinkedin.com+Jessica+Hoyt+University+Recruiter+VMware" TargetMode="External"/><Relationship Id="rId1311" Type="http://schemas.openxmlformats.org/officeDocument/2006/relationships/hyperlink" Target="https://www.google.com/search?newwindow=1&amp;ei=2MT0XrvGGM-vytMP1OyDgAY&amp;q=site%3Alinkedin.com+Kelly+OConnor+University+Relations+Recruiter+Garmin+International" TargetMode="External"/><Relationship Id="rId2642" Type="http://schemas.openxmlformats.org/officeDocument/2006/relationships/hyperlink" Target="https://www.google.com/search?newwindow=1&amp;ei=2MT0XrvGGM-vytMP1OyDgAY&amp;q=site%3Alinkedin.com+Daniel+Kim+Sr.+Technical+University+Recruiter+VMware" TargetMode="External"/><Relationship Id="rId1301" Type="http://schemas.openxmlformats.org/officeDocument/2006/relationships/hyperlink" Target="https://www.google.com/search?newwindow=1&amp;ei=2MT0XrvGGM-vytMP1OyDgAY&amp;q=site%3Alinkedin.com+Yahya+Safi+Graduate+Recruiter" TargetMode="External"/><Relationship Id="rId2632" Type="http://schemas.openxmlformats.org/officeDocument/2006/relationships/hyperlink" Target="https://www.google.com/search?newwindow=1&amp;ei=2MT0XrvGGM-vytMP1OyDgAY&amp;q=site%3Alinkedin.com+Christina+Garvey+CDR+University+Relations+Recruiter+Visa" TargetMode="External"/><Relationship Id="rId1302" Type="http://schemas.openxmlformats.org/officeDocument/2006/relationships/hyperlink" Target="https://www.google.com/search?newwindow=1&amp;ei=2MT0XrvGGM-vytMP1OyDgAY&amp;q=site%3Alinkedin.com+Kristy+Littlewood+Graduate+Recruiter+and+University+Partnerships+Consultant" TargetMode="External"/><Relationship Id="rId2633" Type="http://schemas.openxmlformats.org/officeDocument/2006/relationships/hyperlink" Target="https://www.google.com/search?newwindow=1&amp;ei=2MT0XrvGGM-vytMP1OyDgAY&amp;q=site%3Alinkedin.com+Casey+Medina+University+Recruiter+Visa" TargetMode="External"/><Relationship Id="rId1303" Type="http://schemas.openxmlformats.org/officeDocument/2006/relationships/hyperlink" Target="https://www.google.com/search?newwindow=1&amp;ei=2MT0XrvGGM-vytMP1OyDgAY&amp;q=site%3Alinkedin.com+Rodney+Aziz+Senior+Product+Manager+-+Loyalty+Platforms+Ford+Motor+Company" TargetMode="External"/><Relationship Id="rId2634" Type="http://schemas.openxmlformats.org/officeDocument/2006/relationships/hyperlink" Target="https://www.google.com/search?newwindow=1&amp;ei=2MT0XrvGGM-vytMP1OyDgAY&amp;q=site%3Alinkedin.com+Emily+Busse+University+Recruiter+Visa" TargetMode="External"/><Relationship Id="rId1304" Type="http://schemas.openxmlformats.org/officeDocument/2006/relationships/hyperlink" Target="https://www.google.com/search?newwindow=1&amp;ei=2MT0XrvGGM-vytMP1OyDgAY&amp;q=site%3Alinkedin.com+Shae+Lorenc+Campus+Recruiter+Ford+Motor+Company" TargetMode="External"/><Relationship Id="rId2635" Type="http://schemas.openxmlformats.org/officeDocument/2006/relationships/hyperlink" Target="https://www.google.com/search?newwindow=1&amp;ei=2MT0XrvGGM-vytMP1OyDgAY&amp;q=site%3Alinkedin.com+Menelik+Bekele+Technical+University+Recruiter+Visa" TargetMode="External"/><Relationship Id="rId1305" Type="http://schemas.openxmlformats.org/officeDocument/2006/relationships/hyperlink" Target="https://www.google.com/search?newwindow=1&amp;ei=2MT0XrvGGM-vytMP1OyDgAY&amp;q=site%3Alinkedin.com+Jessica+Ritter+LTU+Campus+Recruiter+Ford+Motor+Company" TargetMode="External"/><Relationship Id="rId2636" Type="http://schemas.openxmlformats.org/officeDocument/2006/relationships/hyperlink" Target="https://www.google.com/search?newwindow=1&amp;ei=2MT0XrvGGM-vytMP1OyDgAY&amp;q=site%3Alinkedin.com+Grace+Wu+Technical+University+Recruiter+Visa" TargetMode="External"/><Relationship Id="rId1306" Type="http://schemas.openxmlformats.org/officeDocument/2006/relationships/hyperlink" Target="https://www.google.com/search?newwindow=1&amp;ei=2MT0XrvGGM-vytMP1OyDgAY&amp;q=site%3Alinkedin.com+Jack+Thomas+MSU+Campus+Recruiter+Ford+Motor+Company" TargetMode="External"/><Relationship Id="rId2637" Type="http://schemas.openxmlformats.org/officeDocument/2006/relationships/hyperlink" Target="https://www.google.com/search?newwindow=1&amp;ei=2MT0XrvGGM-vytMP1OyDgAY&amp;q=site%3Alinkedin.com+Mackenzie+Fuller+Straume+University+Recruiter+Visa" TargetMode="External"/><Relationship Id="rId1307" Type="http://schemas.openxmlformats.org/officeDocument/2006/relationships/hyperlink" Target="https://www.google.com/search?newwindow=1&amp;ei=2MT0XrvGGM-vytMP1OyDgAY&amp;q=site%3Alinkedin.com+McKenzie+Randall+MAOL+University+Recruiter+Garmin" TargetMode="External"/><Relationship Id="rId2638" Type="http://schemas.openxmlformats.org/officeDocument/2006/relationships/hyperlink" Target="https://www.google.com/search?newwindow=1&amp;ei=2MT0XrvGGM-vytMP1OyDgAY&amp;q=site%3Alinkedin.com+Kalani+Dantanarayana+University+Talent+Recruiter" TargetMode="External"/><Relationship Id="rId1308" Type="http://schemas.openxmlformats.org/officeDocument/2006/relationships/hyperlink" Target="https://www.google.com/search?newwindow=1&amp;ei=2MT0XrvGGM-vytMP1OyDgAY&amp;q=site%3Alinkedin.com+Jen+Larson+University+Relations+Recruiter+Garmin" TargetMode="External"/><Relationship Id="rId2639" Type="http://schemas.openxmlformats.org/officeDocument/2006/relationships/hyperlink" Target="https://www.google.com/search?newwindow=1&amp;ei=2MT0XrvGGM-vytMP1OyDgAY&amp;q=site%3Alinkedin.com+Melissa+Mickleboro+Talent+Acquisition+Manager+University+Talent+VMware" TargetMode="External"/><Relationship Id="rId1309" Type="http://schemas.openxmlformats.org/officeDocument/2006/relationships/hyperlink" Target="https://www.google.com/search?newwindow=1&amp;ei=2MT0XrvGGM-vytMP1OyDgAY&amp;q=site%3Alinkedin.com+Caroline+Hamera-Menges+University+Relations+Recruiter+Garmin+International" TargetMode="External"/><Relationship Id="rId719" Type="http://schemas.openxmlformats.org/officeDocument/2006/relationships/hyperlink" Target="https://www.google.com/search?newwindow=1&amp;ei=2MT0XrvGGM-vytMP1OyDgAY&amp;q=site%3Alinkedin.com+Katie+Barber+Campus+Recruiting+Specialist" TargetMode="External"/><Relationship Id="rId718" Type="http://schemas.openxmlformats.org/officeDocument/2006/relationships/hyperlink" Target="https://www.google.com/search?newwindow=1&amp;ei=2MT0XrvGGM-vytMP1OyDgAY&amp;q=site%3Alinkedin.com+Kelli+Bakopanos+(Speidel)+Federal+Campus+Recruiting+Senior+Manager" TargetMode="External"/><Relationship Id="rId717" Type="http://schemas.openxmlformats.org/officeDocument/2006/relationships/hyperlink" Target="https://www.google.com/search?newwindow=1&amp;ei=2MT0XrvGGM-vytMP1OyDgAY&amp;q=site%3Alinkedin.com+Gabriella+Campos+Mariani+Senior+Campus+Recruiting+Specialist" TargetMode="External"/><Relationship Id="rId712" Type="http://schemas.openxmlformats.org/officeDocument/2006/relationships/hyperlink" Target="https://www.google.com/search?newwindow=1&amp;ei=2MT0XrvGGM-vytMP1OyDgAY&amp;q=site%3Alinkedin.com+Jennifer+Cohen+PHR+Campus+Recruiting+Manager" TargetMode="External"/><Relationship Id="rId711" Type="http://schemas.openxmlformats.org/officeDocument/2006/relationships/hyperlink" Target="https://www.google.com/search?newwindow=1&amp;ei=2MT0XrvGGM-vytMP1OyDgAY&amp;q=site%3Alinkedin.com+Rosie+Boyland+Senior+Campus+Recruiting+Specialist" TargetMode="External"/><Relationship Id="rId710" Type="http://schemas.openxmlformats.org/officeDocument/2006/relationships/hyperlink" Target="https://www.google.com/search?newwindow=1&amp;ei=2MT0XrvGGM-vytMP1OyDgAY&amp;q=site%3Alinkedin.com+Yasamin+Yeganeh+Campus+Recruiting+Specialist" TargetMode="External"/><Relationship Id="rId716" Type="http://schemas.openxmlformats.org/officeDocument/2006/relationships/hyperlink" Target="https://www.google.com/search?newwindow=1&amp;ei=2MT0XrvGGM-vytMP1OyDgAY&amp;q=site%3Alinkedin.com+Sophia+Gooden+Campus+Recruiting+Specialist+++Deloitte+Consulting+++Technology" TargetMode="External"/><Relationship Id="rId715" Type="http://schemas.openxmlformats.org/officeDocument/2006/relationships/hyperlink" Target="https://www.google.com/search?newwindow=1&amp;ei=2MT0XrvGGM-vytMP1OyDgAY&amp;q=site%3Alinkedin.com+Laura+Tapia+Campus+Recruiting+Specialist" TargetMode="External"/><Relationship Id="rId714" Type="http://schemas.openxmlformats.org/officeDocument/2006/relationships/hyperlink" Target="https://www.google.com/search?newwindow=1&amp;ei=2MT0XrvGGM-vytMP1OyDgAY&amp;q=site%3Alinkedin.com+Sarah+Hoyos+Campus+Recruiting+Specialist" TargetMode="External"/><Relationship Id="rId713" Type="http://schemas.openxmlformats.org/officeDocument/2006/relationships/hyperlink" Target="https://www.google.com/search?newwindow=1&amp;ei=2MT0XrvGGM-vytMP1OyDgAY&amp;q=site%3Alinkedin.com+Brittany+Cicmanec+Campus+Recruiting+Coordinator+-+Audit+Tax+and+Advisory" TargetMode="External"/><Relationship Id="rId2630" Type="http://schemas.openxmlformats.org/officeDocument/2006/relationships/hyperlink" Target="https://www.google.com/search?newwindow=1&amp;ei=2MT0XrvGGM-vytMP1OyDgAY&amp;q=site%3Alinkedin.com+Brandon+Lobb+Talent+Acquisition+University+Recruiter+-+Campus+Specialist+Viasat+Inc." TargetMode="External"/><Relationship Id="rId1300" Type="http://schemas.openxmlformats.org/officeDocument/2006/relationships/hyperlink" Target="https://www.google.com/search?newwindow=1&amp;ei=2MT0XrvGGM-vytMP1OyDgAY&amp;q=site%3Alinkedin.com+TS+Tong+UK+&amp;+APAC+Graduate+Recruiter" TargetMode="External"/><Relationship Id="rId2631" Type="http://schemas.openxmlformats.org/officeDocument/2006/relationships/hyperlink" Target="https://www.google.com/search?newwindow=1&amp;ei=2MT0XrvGGM-vytMP1OyDgAY&amp;q=site%3Alinkedin.com+Emily+Allen+University+Relations+Recruiter+Viasat+Inc." TargetMode="External"/><Relationship Id="rId1378" Type="http://schemas.openxmlformats.org/officeDocument/2006/relationships/hyperlink" Target="https://www.google.com/search?newwindow=1&amp;ei=2MT0XrvGGM-vytMP1OyDgAY&amp;q=site%3Alinkedin.com+Lesley+Evans+Seattle+Regional+College+Recruiter+GEICO" TargetMode="External"/><Relationship Id="rId1379" Type="http://schemas.openxmlformats.org/officeDocument/2006/relationships/hyperlink" Target="https://www.google.com/search?newwindow=1&amp;ei=2MT0XrvGGM-vytMP1OyDgAY&amp;q=site%3Alinkedin.com+Jared+McMillan+Northeast+College+Recruiter+GEICO" TargetMode="External"/><Relationship Id="rId789" Type="http://schemas.openxmlformats.org/officeDocument/2006/relationships/hyperlink" Target="https://www.google.com/search?newwindow=1&amp;ei=2MT0XrvGGM-vytMP1OyDgAY&amp;q=site%3Alinkedin.com+Sarah+Johnston+Campus+Recruiting+Coordinator" TargetMode="External"/><Relationship Id="rId788" Type="http://schemas.openxmlformats.org/officeDocument/2006/relationships/hyperlink" Target="https://www.google.com/search?newwindow=1&amp;ei=2MT0XrvGGM-vytMP1OyDgAY&amp;q=site%3Alinkedin.com+Julia+Dearchs+Campus+Recruiting+Specialist" TargetMode="External"/><Relationship Id="rId787" Type="http://schemas.openxmlformats.org/officeDocument/2006/relationships/hyperlink" Target="https://www.google.com/search?newwindow=1&amp;ei=2MT0XrvGGM-vytMP1OyDgAY&amp;q=site%3Alinkedin.com+Libby+Wallin+Lead+Campus+Recruiting+Specialist" TargetMode="External"/><Relationship Id="rId786" Type="http://schemas.openxmlformats.org/officeDocument/2006/relationships/hyperlink" Target="https://www.google.com/search?newwindow=1&amp;ei=2MT0XrvGGM-vytMP1OyDgAY&amp;q=site%3Alinkedin.com+Courtney+Lynch+Campus+Recruiting+Specialist" TargetMode="External"/><Relationship Id="rId781" Type="http://schemas.openxmlformats.org/officeDocument/2006/relationships/hyperlink" Target="https://www.google.com/search?newwindow=1&amp;ei=2MT0XrvGGM-vytMP1OyDgAY&amp;q=site%3Alinkedin.com+Kelly+James+Campus+Recruiting+Specialist" TargetMode="External"/><Relationship Id="rId1370" Type="http://schemas.openxmlformats.org/officeDocument/2006/relationships/hyperlink" Target="https://www.google.com/search?newwindow=1&amp;ei=2MT0XrvGGM-vytMP1OyDgAY&amp;q=site%3Alinkedin.com+Tricia+Barrios+Regional+College+Recruiter+GEICO" TargetMode="External"/><Relationship Id="rId780" Type="http://schemas.openxmlformats.org/officeDocument/2006/relationships/hyperlink" Target="https://www.google.com/search?newwindow=1&amp;ei=2MT0XrvGGM-vytMP1OyDgAY&amp;q=site%3Alinkedin.com+Melissa+Varkoly+Senior+Manager+-+Audit+Talent+Business+Advisor" TargetMode="External"/><Relationship Id="rId1371" Type="http://schemas.openxmlformats.org/officeDocument/2006/relationships/hyperlink" Target="https://www.google.com/search?newwindow=1&amp;ei=2MT0XrvGGM-vytMP1OyDgAY&amp;q=site%3Alinkedin.com+Sarah+A.+Bonney+MBA+Professional+Regional+College+Recruiter+GEICO" TargetMode="External"/><Relationship Id="rId1372" Type="http://schemas.openxmlformats.org/officeDocument/2006/relationships/hyperlink" Target="https://www.google.com/search?newwindow=1&amp;ei=2MT0XrvGGM-vytMP1OyDgAY&amp;q=site%3Alinkedin.com+Darrius+Baker+GEICO+Diversity+and+Inclusion+Recruiter+GEICO" TargetMode="External"/><Relationship Id="rId1373" Type="http://schemas.openxmlformats.org/officeDocument/2006/relationships/hyperlink" Target="https://www.google.com/search?newwindow=1&amp;ei=2MT0XrvGGM-vytMP1OyDgAY&amp;q=site%3Alinkedin.com+Danielle+Gallagher+Regional+College+Recruiter+GEICO" TargetMode="External"/><Relationship Id="rId785" Type="http://schemas.openxmlformats.org/officeDocument/2006/relationships/hyperlink" Target="https://www.google.com/search?newwindow=1&amp;ei=2MT0XrvGGM-vytMP1OyDgAY&amp;q=site%3Alinkedin.com+Christa+Sublett+Campus+Recruiting+Manager" TargetMode="External"/><Relationship Id="rId1374" Type="http://schemas.openxmlformats.org/officeDocument/2006/relationships/hyperlink" Target="https://www.google.com/search?newwindow=1&amp;ei=2MT0XrvGGM-vytMP1OyDgAY&amp;q=site%3Alinkedin.com+Cory+Wood+Regional+College+Recruiter+GEICO" TargetMode="External"/><Relationship Id="rId784" Type="http://schemas.openxmlformats.org/officeDocument/2006/relationships/hyperlink" Target="https://www.google.com/search?newwindow=1&amp;ei=2MT0XrvGGM-vytMP1OyDgAY&amp;q=site%3Alinkedin.com+Kathryn+Sheehan+Senior+Campus+Recruiting+Coordinator" TargetMode="External"/><Relationship Id="rId1375" Type="http://schemas.openxmlformats.org/officeDocument/2006/relationships/hyperlink" Target="https://www.google.com/search?newwindow=1&amp;ei=2MT0XrvGGM-vytMP1OyDgAY&amp;q=site%3Alinkedin.com+Beth+Moellers+AINS+API+AIS+College+Recruiter+GEICO" TargetMode="External"/><Relationship Id="rId783" Type="http://schemas.openxmlformats.org/officeDocument/2006/relationships/hyperlink" Target="https://www.google.com/search?newwindow=1&amp;ei=2MT0XrvGGM-vytMP1OyDgAY&amp;q=site%3Alinkedin.com+Jennifer+Sullivan+Senior+Manager+National+Technology+Campus+Recruiting+Leader" TargetMode="External"/><Relationship Id="rId1376" Type="http://schemas.openxmlformats.org/officeDocument/2006/relationships/hyperlink" Target="https://www.google.com/search?newwindow=1&amp;ei=2MT0XrvGGM-vytMP1OyDgAY&amp;q=site%3Alinkedin.com+Jill+Burner+Regional+College+Recruiter+GEICO" TargetMode="External"/><Relationship Id="rId782" Type="http://schemas.openxmlformats.org/officeDocument/2006/relationships/hyperlink" Target="https://www.google.com/search?newwindow=1&amp;ei=2MT0XrvGGM-vytMP1OyDgAY&amp;q=site%3Alinkedin.com+Ashley+Josephson+Campus+Recruiting+Manager+-+Consulting" TargetMode="External"/><Relationship Id="rId1377" Type="http://schemas.openxmlformats.org/officeDocument/2006/relationships/hyperlink" Target="https://www.google.com/search?newwindow=1&amp;ei=2MT0XrvGGM-vytMP1OyDgAY&amp;q=site%3Alinkedin.com+Kathleen+Cruz+College+Recruiter+GEICO" TargetMode="External"/><Relationship Id="rId1367" Type="http://schemas.openxmlformats.org/officeDocument/2006/relationships/hyperlink" Target="https://www.google.com/search?newwindow=1&amp;ei=2MT0XrvGGM-vytMP1OyDgAY&amp;q=site%3Alinkedin.com+James+++A.+Robinson+Regional+College+Recruiter+GEICO" TargetMode="External"/><Relationship Id="rId2698" Type="http://schemas.openxmlformats.org/officeDocument/2006/relationships/hyperlink" Target="https://www.google.com/search?newwindow=1&amp;ei=2MT0XrvGGM-vytMP1OyDgAY&amp;q=site%3Alinkedin.com+Tiara+Birtha+Campus+Recruiting+Consultant" TargetMode="External"/><Relationship Id="rId1368" Type="http://schemas.openxmlformats.org/officeDocument/2006/relationships/hyperlink" Target="https://www.google.com/search?newwindow=1&amp;ei=2MT0XrvGGM-vytMP1OyDgAY&amp;q=site%3Alinkedin.com+Marlena+Banks+Regional+College+Recruiter+GEICO" TargetMode="External"/><Relationship Id="rId2699" Type="http://schemas.openxmlformats.org/officeDocument/2006/relationships/hyperlink" Target="https://www.google.com/search?newwindow=1&amp;ei=2MT0XrvGGM-vytMP1OyDgAY&amp;q=site%3Alinkedin.com+Emily+Scott+Early+Talent+Program+Coordinator" TargetMode="External"/><Relationship Id="rId1369" Type="http://schemas.openxmlformats.org/officeDocument/2006/relationships/hyperlink" Target="https://www.google.com/search?newwindow=1&amp;ei=2MT0XrvGGM-vytMP1OyDgAY&amp;q=site%3Alinkedin.com+Michelle+Berg+College+Recruiter+GEICO" TargetMode="External"/><Relationship Id="rId778" Type="http://schemas.openxmlformats.org/officeDocument/2006/relationships/hyperlink" Target="https://www.google.com/search?newwindow=1&amp;ei=2MT0XrvGGM-vytMP1OyDgAY&amp;q=site%3Alinkedin.com+Siobhan+Loyd+Lead+Campus+Recruiting+Specialist" TargetMode="External"/><Relationship Id="rId777" Type="http://schemas.openxmlformats.org/officeDocument/2006/relationships/hyperlink" Target="https://www.google.com/search?newwindow=1&amp;ei=2MT0XrvGGM-vytMP1OyDgAY&amp;q=site%3Alinkedin.com+Jade+Gingras+Campus+Recruiting+Specialist" TargetMode="External"/><Relationship Id="rId776" Type="http://schemas.openxmlformats.org/officeDocument/2006/relationships/hyperlink" Target="https://www.google.com/search?newwindow=1&amp;ei=2MT0XrvGGM-vytMP1OyDgAY&amp;q=site%3Alinkedin.com+Susan+Te+Campus+Recruiting+Specialist" TargetMode="External"/><Relationship Id="rId775" Type="http://schemas.openxmlformats.org/officeDocument/2006/relationships/hyperlink" Target="https://www.google.com/search?newwindow=1&amp;ei=2MT0XrvGGM-vytMP1OyDgAY&amp;q=site%3Alinkedin.com+Genna+McGrath+Senior+Campus+Recruiting+Coordinator" TargetMode="External"/><Relationship Id="rId779" Type="http://schemas.openxmlformats.org/officeDocument/2006/relationships/hyperlink" Target="https://www.google.com/search?newwindow=1&amp;ei=2MT0XrvGGM-vytMP1OyDgAY&amp;q=site%3Alinkedin.com+Cassie+Crealock+Senior+Campus+Recruiting+Specialist" TargetMode="External"/><Relationship Id="rId770" Type="http://schemas.openxmlformats.org/officeDocument/2006/relationships/hyperlink" Target="https://www.google.com/search?newwindow=1&amp;ei=2MT0XrvGGM-vytMP1OyDgAY&amp;q=site%3Alinkedin.com+Caroline+Grosso+Campus+Recruiter" TargetMode="External"/><Relationship Id="rId2690" Type="http://schemas.openxmlformats.org/officeDocument/2006/relationships/hyperlink" Target="https://www.google.com/search?newwindow=1&amp;ei=2MT0XrvGGM-vytMP1OyDgAY&amp;q=site%3Alinkedin.com+Chelsea+D.+Campus+Recruiter+Wayfair" TargetMode="External"/><Relationship Id="rId1360" Type="http://schemas.openxmlformats.org/officeDocument/2006/relationships/hyperlink" Target="https://www.google.com/search?newwindow=1&amp;ei=2MT0XrvGGM-vytMP1OyDgAY&amp;q=site%3Alinkedin.com+Kendra+Eakles+Regional+College+Recruiter+GEICO" TargetMode="External"/><Relationship Id="rId2691" Type="http://schemas.openxmlformats.org/officeDocument/2006/relationships/hyperlink" Target="https://www.google.com/search?newwindow=1&amp;ei=2MT0XrvGGM-vytMP1OyDgAY&amp;q=site%3Alinkedin.com+Erin+Collins+Campus+Recruiter+Technical+Campus+Recruiting+Wayfair" TargetMode="External"/><Relationship Id="rId1361" Type="http://schemas.openxmlformats.org/officeDocument/2006/relationships/hyperlink" Target="https://www.google.com/search?newwindow=1&amp;ei=2MT0XrvGGM-vytMP1OyDgAY&amp;q=site%3Alinkedin.com+Tyra+H.+College+Recruiter+GEICO" TargetMode="External"/><Relationship Id="rId2692" Type="http://schemas.openxmlformats.org/officeDocument/2006/relationships/hyperlink" Target="https://www.google.com/search?newwindow=1&amp;ei=2MT0XrvGGM-vytMP1OyDgAY&amp;q=site%3Alinkedin.com+Milena+Restrepo+MBA+Campus+Recruiter+Co-op+Wayfair" TargetMode="External"/><Relationship Id="rId1362" Type="http://schemas.openxmlformats.org/officeDocument/2006/relationships/hyperlink" Target="https://www.google.com/search?newwindow=1&amp;ei=2MT0XrvGGM-vytMP1OyDgAY&amp;q=site%3Alinkedin.com+Sam+Tekl%C3%A9+Regional+College+Recruiter+GEICO" TargetMode="External"/><Relationship Id="rId2693" Type="http://schemas.openxmlformats.org/officeDocument/2006/relationships/hyperlink" Target="https://www.google.com/search?newwindow=1&amp;ei=2MT0XrvGGM-vytMP1OyDgAY&amp;q=site%3Alinkedin.com+Jennifer+Clerici+University+Recruiter-+Intern+Program+Specialists+Waymo" TargetMode="External"/><Relationship Id="rId774" Type="http://schemas.openxmlformats.org/officeDocument/2006/relationships/hyperlink" Target="https://www.google.com/search?newwindow=1&amp;ei=2MT0XrvGGM-vytMP1OyDgAY&amp;q=site%3Alinkedin.com+Cristina+Smith+Senior+Campus+Recruiting+Specialist" TargetMode="External"/><Relationship Id="rId1363" Type="http://schemas.openxmlformats.org/officeDocument/2006/relationships/hyperlink" Target="https://www.google.com/search?newwindow=1&amp;ei=2MT0XrvGGM-vytMP1OyDgAY&amp;q=site%3Alinkedin.com+William+Heartsill+College+Recruiter+GEICO" TargetMode="External"/><Relationship Id="rId2694" Type="http://schemas.openxmlformats.org/officeDocument/2006/relationships/hyperlink" Target="https://www.google.com/search?newwindow=1&amp;ei=2MT0XrvGGM-vytMP1OyDgAY&amp;q=site%3Alinkedin.com+Linda+Ma+University+Recruiter/+Intern+Program+Specialist+Waymo" TargetMode="External"/><Relationship Id="rId773" Type="http://schemas.openxmlformats.org/officeDocument/2006/relationships/hyperlink" Target="https://www.google.com/search?newwindow=1&amp;ei=2MT0XrvGGM-vytMP1OyDgAY&amp;q=site%3Alinkedin.com+Cierra+Lam+Campus+Recruiting+Specialist" TargetMode="External"/><Relationship Id="rId1364" Type="http://schemas.openxmlformats.org/officeDocument/2006/relationships/hyperlink" Target="https://www.google.com/search?newwindow=1&amp;ei=2MT0XrvGGM-vytMP1OyDgAY&amp;q=site%3Alinkedin.com+Chelsea+Rush+Regional+College+Recruiter+GEICO" TargetMode="External"/><Relationship Id="rId2695" Type="http://schemas.openxmlformats.org/officeDocument/2006/relationships/hyperlink" Target="https://www.google.com/search?newwindow=1&amp;ei=2MT0XrvGGM-vytMP1OyDgAY&amp;q=site%3Alinkedin.com+Britton+Frampton+Campus+Recruiting+Consultant" TargetMode="External"/><Relationship Id="rId772" Type="http://schemas.openxmlformats.org/officeDocument/2006/relationships/hyperlink" Target="https://www.google.com/search?newwindow=1&amp;ei=2MT0XrvGGM-vytMP1OyDgAY&amp;q=site%3Alinkedin.com+Patrick+Payne+Campus+Recruiting+Manager" TargetMode="External"/><Relationship Id="rId1365" Type="http://schemas.openxmlformats.org/officeDocument/2006/relationships/hyperlink" Target="https://www.google.com/search?newwindow=1&amp;ei=2MT0XrvGGM-vytMP1OyDgAY&amp;q=site%3Alinkedin.com+Chelsey+Parsons+Regional+College+Recruiter+GEICO" TargetMode="External"/><Relationship Id="rId2696" Type="http://schemas.openxmlformats.org/officeDocument/2006/relationships/hyperlink" Target="https://www.google.com/search?newwindow=1&amp;ei=2MT0XrvGGM-vytMP1OyDgAY&amp;q=site%3Alinkedin.com+Christie+Kerr+Campus+Recruiting+Project+Manager" TargetMode="External"/><Relationship Id="rId771" Type="http://schemas.openxmlformats.org/officeDocument/2006/relationships/hyperlink" Target="https://www.google.com/search?newwindow=1&amp;ei=2MT0XrvGGM-vytMP1OyDgAY&amp;q=site%3Alinkedin.com+Britney+(Us+Campus+Recruiting+Manager" TargetMode="External"/><Relationship Id="rId1366" Type="http://schemas.openxmlformats.org/officeDocument/2006/relationships/hyperlink" Target="https://www.google.com/search?newwindow=1&amp;ei=2MT0XrvGGM-vytMP1OyDgAY&amp;q=site%3Alinkedin.com+Megan+Eckart+College+Recruiter+GEICO" TargetMode="External"/><Relationship Id="rId2697" Type="http://schemas.openxmlformats.org/officeDocument/2006/relationships/hyperlink" Target="https://www.google.com/search?newwindow=1&amp;ei=2MT0XrvGGM-vytMP1OyDgAY&amp;q=site%3Alinkedin.com+Patricia+Moretz+MBA+Campus+Recruiting+Consultant" TargetMode="External"/><Relationship Id="rId1390" Type="http://schemas.openxmlformats.org/officeDocument/2006/relationships/hyperlink" Target="https://www.google.com/search?newwindow=1&amp;ei=2MT0XrvGGM-vytMP1OyDgAY&amp;q=site%3Alinkedin.com+Laney+Oaks+Associate+Investment+Banking+Campus+Recruiting" TargetMode="External"/><Relationship Id="rId1391" Type="http://schemas.openxmlformats.org/officeDocument/2006/relationships/hyperlink" Target="https://www.google.com/search?newwindow=1&amp;ei=2MT0XrvGGM-vytMP1OyDgAY&amp;q=site%3Alinkedin.com+Jamie+Murphy+Campus+Recruiting+Coordinator" TargetMode="External"/><Relationship Id="rId1392" Type="http://schemas.openxmlformats.org/officeDocument/2006/relationships/hyperlink" Target="https://www.google.com/search?newwindow=1&amp;ei=2MT0XrvGGM-vytMP1OyDgAY&amp;q=site%3Alinkedin.com+Sarah+Donald+Campus+Recruiter-+Engineering" TargetMode="External"/><Relationship Id="rId1393" Type="http://schemas.openxmlformats.org/officeDocument/2006/relationships/hyperlink" Target="https://www.google.com/search?newwindow=1&amp;ei=2MT0XrvGGM-vytMP1OyDgAY&amp;q=site%3Alinkedin.com+Nonye+Ndekwu+Chartered+MCIPD+Lead+Graduate+Recruiter+EMEA+Engineering" TargetMode="External"/><Relationship Id="rId1394" Type="http://schemas.openxmlformats.org/officeDocument/2006/relationships/hyperlink" Target="https://www.google.com/search?newwindow=1&amp;ei=2MT0XrvGGM-vytMP1OyDgAY&amp;q=site%3Alinkedin.com+Charlotte+Davies+Vice+President+-+Securities+EMEA+Graduate+Recruiter" TargetMode="External"/><Relationship Id="rId1395" Type="http://schemas.openxmlformats.org/officeDocument/2006/relationships/hyperlink" Target="https://www.google.com/search?newwindow=1&amp;ei=2MT0XrvGGM-vytMP1OyDgAY&amp;q=site%3Alinkedin.com+Selina+Li+EMEA+Graduate+Recruiter" TargetMode="External"/><Relationship Id="rId1396" Type="http://schemas.openxmlformats.org/officeDocument/2006/relationships/hyperlink" Target="https://www.google.com/search?newwindow=1&amp;ei=2MT0XrvGGM-vytMP1OyDgAY&amp;q=site%3Alinkedin.com+Hayley+Pinnell+Campus+Recruiter" TargetMode="External"/><Relationship Id="rId1397" Type="http://schemas.openxmlformats.org/officeDocument/2006/relationships/hyperlink" Target="https://www.google.com/search?newwindow=1&amp;ei=2MT0XrvGGM-vytMP1OyDgAY&amp;q=site%3Alinkedin.com+Moira+Gibney+Campus+Recruiting+Coordinator" TargetMode="External"/><Relationship Id="rId1398" Type="http://schemas.openxmlformats.org/officeDocument/2006/relationships/hyperlink" Target="https://www.google.com/search?newwindow=1&amp;ei=2MT0XrvGGM-vytMP1OyDgAY&amp;q=site%3Alinkedin.com+Angela+Zirino+Engineering+Campus+Recruiting+Coordinator" TargetMode="External"/><Relationship Id="rId1399" Type="http://schemas.openxmlformats.org/officeDocument/2006/relationships/hyperlink" Target="https://www.google.com/search?newwindow=1&amp;ei=2MT0XrvGGM-vytMP1OyDgAY&amp;q=site%3Alinkedin.com+Amanda+Fornieri+(She+/+Her+/+Hers)+Associate+-+Campus+Recruiting" TargetMode="External"/><Relationship Id="rId1389" Type="http://schemas.openxmlformats.org/officeDocument/2006/relationships/hyperlink" Target="https://www.google.com/search?newwindow=1&amp;ei=2MT0XrvGGM-vytMP1OyDgAY&amp;q=site%3Alinkedin.com+Janna+Remperas+Campus+Recruiting+Coordinator" TargetMode="External"/><Relationship Id="rId799" Type="http://schemas.openxmlformats.org/officeDocument/2006/relationships/hyperlink" Target="https://www.google.com/search?newwindow=1&amp;ei=2MT0XrvGGM-vytMP1OyDgAY&amp;q=site%3Alinkedin.com+Karen+Proctor+PHR+Campus+Recruiter+Deloitte" TargetMode="External"/><Relationship Id="rId798" Type="http://schemas.openxmlformats.org/officeDocument/2006/relationships/hyperlink" Target="https://www.google.com/search?newwindow=1&amp;ei=2MT0XrvGGM-vytMP1OyDgAY&amp;q=site%3Alinkedin.com+Kaitlin+Duberstein+Campus+Recruiting+Manager+Deloitte" TargetMode="External"/><Relationship Id="rId797" Type="http://schemas.openxmlformats.org/officeDocument/2006/relationships/hyperlink" Target="https://www.google.com/search?newwindow=1&amp;ei=2MT0XrvGGM-vytMP1OyDgAY&amp;q=site%3Alinkedin.com+Meredith+Sutter+Campus+Recruiting+Manager+Deloitte" TargetMode="External"/><Relationship Id="rId1380" Type="http://schemas.openxmlformats.org/officeDocument/2006/relationships/hyperlink" Target="https://www.google.com/search?newwindow=1&amp;ei=2MT0XrvGGM-vytMP1OyDgAY&amp;q=site%3Alinkedin.com+Sarah+Bergeron+Regional+Campus+Recruiter+GEICO" TargetMode="External"/><Relationship Id="rId792" Type="http://schemas.openxmlformats.org/officeDocument/2006/relationships/hyperlink" Target="https://www.google.com/search?newwindow=1&amp;ei=2MT0XrvGGM-vytMP1OyDgAY&amp;q=site%3Alinkedin.com+Taylor+Thesing+Campus+Recruiting+Specialist" TargetMode="External"/><Relationship Id="rId1381" Type="http://schemas.openxmlformats.org/officeDocument/2006/relationships/hyperlink" Target="https://www.google.com/search?newwindow=1&amp;ei=2MT0XrvGGM-vytMP1OyDgAY&amp;q=site%3Alinkedin.com+Allison+Hansen+Corporate+Campus+Recruiter+GEICO" TargetMode="External"/><Relationship Id="rId791" Type="http://schemas.openxmlformats.org/officeDocument/2006/relationships/hyperlink" Target="https://www.google.com/search?newwindow=1&amp;ei=2MT0XrvGGM-vytMP1OyDgAY&amp;q=site%3Alinkedin.com+Stephanie+Plageman+Senior+Campus+Recruiting+Specialist" TargetMode="External"/><Relationship Id="rId1382" Type="http://schemas.openxmlformats.org/officeDocument/2006/relationships/hyperlink" Target="https://www.google.com/search?newwindow=1&amp;ei=2MT0XrvGGM-vytMP1OyDgAY&amp;q=site%3Alinkedin.com+Tyrus+Sanders+Regional+College+Recruiter+GEICO" TargetMode="External"/><Relationship Id="rId790" Type="http://schemas.openxmlformats.org/officeDocument/2006/relationships/hyperlink" Target="https://www.google.com/search?newwindow=1&amp;ei=2MT0XrvGGM-vytMP1OyDgAY&amp;q=site%3Alinkedin.com+Eric+A.+Arellano+Senior+Campus+Recruiting+Specialist+(Government+&amp;+Public+Service)" TargetMode="External"/><Relationship Id="rId1383" Type="http://schemas.openxmlformats.org/officeDocument/2006/relationships/hyperlink" Target="https://www.google.com/search?newwindow=1&amp;ei=2MT0XrvGGM-vytMP1OyDgAY&amp;q=site%3Alinkedin.com+Mary+Alexander+College+Recruiter+GEICO" TargetMode="External"/><Relationship Id="rId1384" Type="http://schemas.openxmlformats.org/officeDocument/2006/relationships/hyperlink" Target="https://www.google.com/search?newwindow=1&amp;ei=2MT0XrvGGM-vytMP1OyDgAY&amp;q=site%3Alinkedin.com+Jeannie+Toscano+Regional+College+Recruiter+GEICO" TargetMode="External"/><Relationship Id="rId796" Type="http://schemas.openxmlformats.org/officeDocument/2006/relationships/hyperlink" Target="https://www.google.com/search?newwindow=1&amp;ei=2MT0XrvGGM-vytMP1OyDgAY&amp;q=site%3Alinkedin.com+Abby+de+Goey+PHR+SHRM-CP+GPS+Campus+Recruiting+Manager+Deloitte" TargetMode="External"/><Relationship Id="rId1385" Type="http://schemas.openxmlformats.org/officeDocument/2006/relationships/hyperlink" Target="https://www.google.com/search?newwindow=1&amp;ei=2MT0XrvGGM-vytMP1OyDgAY&amp;q=site%3Alinkedin.com+Ameer+Ali+University+Recruiter+&amp;+Campus+Lead+Canada+-+Global+Talent+Acquisition" TargetMode="External"/><Relationship Id="rId795" Type="http://schemas.openxmlformats.org/officeDocument/2006/relationships/hyperlink" Target="https://www.google.com/search?newwindow=1&amp;ei=2MT0XrvGGM-vytMP1OyDgAY&amp;q=site%3Alinkedin.com+Meghan+Horning+Senior+Campus+Recruiting+Specialist" TargetMode="External"/><Relationship Id="rId1386" Type="http://schemas.openxmlformats.org/officeDocument/2006/relationships/hyperlink" Target="https://www.google.com/search?newwindow=1&amp;ei=2MT0XrvGGM-vytMP1OyDgAY&amp;q=site%3Alinkedin.com+Rhonda+Winstead+Campus+Recruiting" TargetMode="External"/><Relationship Id="rId794" Type="http://schemas.openxmlformats.org/officeDocument/2006/relationships/hyperlink" Target="https://www.google.com/search?newwindow=1&amp;ei=2MT0XrvGGM-vytMP1OyDgAY&amp;q=site%3Alinkedin.com+Jessica+Consalvo+Senior+Campus+Recruiting+Specialist+-+Government+&amp;+Public+Services" TargetMode="External"/><Relationship Id="rId1387" Type="http://schemas.openxmlformats.org/officeDocument/2006/relationships/hyperlink" Target="https://www.google.com/search?newwindow=1&amp;ei=2MT0XrvGGM-vytMP1OyDgAY&amp;q=site%3Alinkedin.com+Kwame+Joseph+Campus+Recruiting+Coordinator+onsite+at+Goldman+Sachs+via+ADP+RPO" TargetMode="External"/><Relationship Id="rId793" Type="http://schemas.openxmlformats.org/officeDocument/2006/relationships/hyperlink" Target="https://www.google.com/search?newwindow=1&amp;ei=2MT0XrvGGM-vytMP1OyDgAY&amp;q=site%3Alinkedin.com+Ciara+Delehanty+Senior+Campus+Recruiting+Coordinator" TargetMode="External"/><Relationship Id="rId1388" Type="http://schemas.openxmlformats.org/officeDocument/2006/relationships/hyperlink" Target="https://www.google.com/search?newwindow=1&amp;ei=2MT0XrvGGM-vytMP1OyDgAY&amp;q=site%3Alinkedin.com+Steven+Ekert+Analyst+Engineering+Campus+Recruiting" TargetMode="External"/><Relationship Id="rId2700" Type="http://schemas.openxmlformats.org/officeDocument/2006/relationships/hyperlink" Target="https://www.google.com/search?newwindow=1&amp;ei=2MT0XrvGGM-vytMP1OyDgAY&amp;q=site%3Alinkedin.com+Lindsay+Kallenbach+Campus+Recruiting+Consultant" TargetMode="External"/><Relationship Id="rId2701" Type="http://schemas.openxmlformats.org/officeDocument/2006/relationships/hyperlink" Target="https://www.google.com/search?newwindow=1&amp;ei=2MT0XrvGGM-vytMP1OyDgAY&amp;q=site%3Alinkedin.com+Shaka+Farr+Campus+Recruiting+Consultant" TargetMode="External"/><Relationship Id="rId2702" Type="http://schemas.openxmlformats.org/officeDocument/2006/relationships/hyperlink" Target="https://www.google.com/search?newwindow=1&amp;ei=2MT0XrvGGM-vytMP1OyDgAY&amp;q=site%3Alinkedin.com+Leah+Stewart+Head+of+Campus+Recruiting" TargetMode="External"/><Relationship Id="rId2703" Type="http://schemas.openxmlformats.org/officeDocument/2006/relationships/hyperlink" Target="https://www.google.com/search?newwindow=1&amp;ei=2MT0XrvGGM-vytMP1OyDgAY&amp;q=site%3Alinkedin.com+Ryan+Ruiz+VP+Campus+Recruiting+Manager" TargetMode="External"/><Relationship Id="rId2704" Type="http://schemas.openxmlformats.org/officeDocument/2006/relationships/hyperlink" Target="https://www.google.com/search?newwindow=1&amp;ei=2MT0XrvGGM-vytMP1OyDgAY&amp;q=site%3Alinkedin.com+Marissa+Shimada+Campus+Recruiting+Consultant" TargetMode="External"/><Relationship Id="rId2705" Type="http://schemas.openxmlformats.org/officeDocument/2006/relationships/hyperlink" Target="https://www.google.com/search?newwindow=1&amp;ei=2MT0XrvGGM-vytMP1OyDgAY&amp;q=site%3Alinkedin.com+Brandon+Kayhes+Campus+Recruiter+Wells+Fargo" TargetMode="External"/><Relationship Id="rId2706" Type="http://schemas.openxmlformats.org/officeDocument/2006/relationships/hyperlink" Target="https://www.google.com/search?newwindow=1&amp;ei=2MT0XrvGGM-vytMP1OyDgAY&amp;q=site%3Alinkedin.com+Christie+Kerr+Campus+Recruiting+Project+Manager+Wells+Fargo" TargetMode="External"/><Relationship Id="rId2707" Type="http://schemas.openxmlformats.org/officeDocument/2006/relationships/hyperlink" Target="https://www.google.com/search?newwindow=1&amp;ei=2MT0XrvGGM-vytMP1OyDgAY&amp;q=site%3Alinkedin.com+Cathy+Amezcua+Nikrooz+Senior+Wholesale+Campus+Recruiter+Wells+Fargo" TargetMode="External"/><Relationship Id="rId2708" Type="http://schemas.openxmlformats.org/officeDocument/2006/relationships/hyperlink" Target="https://www.google.com/search?newwindow=1&amp;ei=2MT0XrvGGM-vytMP1OyDgAY&amp;q=site%3Alinkedin.com+Allison+Hill+Campus+Recruiter+Wells+Fargo" TargetMode="External"/><Relationship Id="rId2709" Type="http://schemas.openxmlformats.org/officeDocument/2006/relationships/hyperlink" Target="https://www.google.com/search?newwindow=1&amp;ei=2MT0XrvGGM-vytMP1OyDgAY&amp;q=site%3Alinkedin.com+Jane+Johnstone+Campus+Recruiter+Wells+Fargo" TargetMode="External"/><Relationship Id="rId2720" Type="http://schemas.openxmlformats.org/officeDocument/2006/relationships/hyperlink" Target="https://www.google.com/search?newwindow=1&amp;ei=2MT0XrvGGM-vytMP1OyDgAY&amp;q=site%3Alinkedin.com+Rachel+Bruce+Project+Manager+Campus+Recruiting+Talent+Acquisition" TargetMode="External"/><Relationship Id="rId2721" Type="http://schemas.openxmlformats.org/officeDocument/2006/relationships/hyperlink" Target="https://www.google.com/search?newwindow=1&amp;ei=2MT0XrvGGM-vytMP1OyDgAY&amp;q=site%3Alinkedin.com+Katy+Grant+MBA+Recruiter" TargetMode="External"/><Relationship Id="rId2722" Type="http://schemas.openxmlformats.org/officeDocument/2006/relationships/hyperlink" Target="https://www.google.com/search?newwindow=1&amp;ei=2MT0XrvGGM-vytMP1OyDgAY&amp;q=site%3Alinkedin.com+David+Salgado+University+Business+Recruiter+Western+Digital" TargetMode="External"/><Relationship Id="rId2723" Type="http://schemas.openxmlformats.org/officeDocument/2006/relationships/hyperlink" Target="https://www.google.com/search?newwindow=1&amp;ei=2MT0XrvGGM-vytMP1OyDgAY&amp;q=site%3Alinkedin.com+Vicky+Ho+University+Recruiter+Western+Digital" TargetMode="External"/><Relationship Id="rId2724" Type="http://schemas.openxmlformats.org/officeDocument/2006/relationships/hyperlink" Target="https://www.google.com/search?newwindow=1&amp;ei=2MT0XrvGGM-vytMP1OyDgAY&amp;q=site%3Alinkedin.com+Kristin+Parker+Lead+University+Recruiter+Western+Digital" TargetMode="External"/><Relationship Id="rId2725" Type="http://schemas.openxmlformats.org/officeDocument/2006/relationships/hyperlink" Target="https://www.google.com/search?newwindow=1&amp;ei=2MT0XrvGGM-vytMP1OyDgAY&amp;q=site%3Alinkedin.com+Matthew+Kim+University+Recruiter+Western+Digital" TargetMode="External"/><Relationship Id="rId2726" Type="http://schemas.openxmlformats.org/officeDocument/2006/relationships/hyperlink" Target="https://www.google.com/search?newwindow=1&amp;ei=2MT0XrvGGM-vytMP1OyDgAY&amp;q=site%3Alinkedin.com+Sandra+Abdelmaseih+Associate+University+Relations+Recruiter" TargetMode="External"/><Relationship Id="rId2727" Type="http://schemas.openxmlformats.org/officeDocument/2006/relationships/drawing" Target="../drawings/drawing3.xml"/><Relationship Id="rId2710" Type="http://schemas.openxmlformats.org/officeDocument/2006/relationships/hyperlink" Target="https://www.google.com/search?newwindow=1&amp;ei=2MT0XrvGGM-vytMP1OyDgAY&amp;q=site%3Alinkedin.com+Leah+Stewart+Head+of+Campus+Recruiting+Wells+Fargo" TargetMode="External"/><Relationship Id="rId2711" Type="http://schemas.openxmlformats.org/officeDocument/2006/relationships/hyperlink" Target="https://www.google.com/search?newwindow=1&amp;ei=2MT0XrvGGM-vytMP1OyDgAY&amp;q=site%3Alinkedin.com+Dianah+May+Campus+Recruiter+Wells+Fargo" TargetMode="External"/><Relationship Id="rId2712" Type="http://schemas.openxmlformats.org/officeDocument/2006/relationships/hyperlink" Target="https://www.google.com/search?newwindow=1&amp;ei=2MT0XrvGGM-vytMP1OyDgAY&amp;q=site%3Alinkedin.com+Ryan+Ruiz+VP+Campus+Recruiting+Manager+Wells+Fargo" TargetMode="External"/><Relationship Id="rId2713" Type="http://schemas.openxmlformats.org/officeDocument/2006/relationships/hyperlink" Target="https://www.google.com/search?newwindow=1&amp;ei=2MT0XrvGGM-vytMP1OyDgAY&amp;q=site%3Alinkedin.com+Marissa+Shimada+Campus+Recruiting+Consultant+Wells+Fargo" TargetMode="External"/><Relationship Id="rId2714" Type="http://schemas.openxmlformats.org/officeDocument/2006/relationships/hyperlink" Target="https://www.google.com/search?newwindow=1&amp;ei=2MT0XrvGGM-vytMP1OyDgAY&amp;q=site%3Alinkedin.com+Rachel+Bruce+Project+Manager+Campus+Recruiting+Talent+Acquisition+Wells+Fargo+Bank" TargetMode="External"/><Relationship Id="rId2715" Type="http://schemas.openxmlformats.org/officeDocument/2006/relationships/hyperlink" Target="https://www.google.com/search?newwindow=1&amp;ei=2MT0XrvGGM-vytMP1OyDgAY&amp;q=site%3Alinkedin.com+Ruth+Armendariz+MBA+Campus+Relationship+Manager+Wells+Fargo+Home+Mortgage" TargetMode="External"/><Relationship Id="rId2716" Type="http://schemas.openxmlformats.org/officeDocument/2006/relationships/hyperlink" Target="https://www.google.com/search?newwindow=1&amp;ei=2MT0XrvGGM-vytMP1OyDgAY&amp;q=site%3Alinkedin.com+Jordan+McAdams+Recruiter+-+University+Programs+Wells+Fargo+Securities" TargetMode="External"/><Relationship Id="rId2717" Type="http://schemas.openxmlformats.org/officeDocument/2006/relationships/hyperlink" Target="https://www.google.com/search?newwindow=1&amp;ei=2MT0XrvGGM-vytMP1OyDgAY&amp;q=site%3Alinkedin.com+Rob+Shanks+Undergraduate+Campus+Recruiter+Wells+Fargo+Securities" TargetMode="External"/><Relationship Id="rId2718" Type="http://schemas.openxmlformats.org/officeDocument/2006/relationships/hyperlink" Target="https://www.google.com/search?newwindow=1&amp;ei=2MT0XrvGGM-vytMP1OyDgAY&amp;q=site%3Alinkedin.com+Virginia+Edahl+Molan+Undergraduate+Campus+Recruiter+at+Wells+Fargo+Securities+Wells+Fargo+Securities" TargetMode="External"/><Relationship Id="rId2719" Type="http://schemas.openxmlformats.org/officeDocument/2006/relationships/hyperlink" Target="https://www.google.com/search?newwindow=1&amp;ei=2MT0XrvGGM-vytMP1OyDgAY&amp;q=site%3Alinkedin.com+Katy+Grant+MBA+Recruiter+Wells+Fargo+Securities" TargetMode="External"/><Relationship Id="rId1455" Type="http://schemas.openxmlformats.org/officeDocument/2006/relationships/hyperlink" Target="https://www.google.com/search?newwindow=1&amp;ei=2MT0XrvGGM-vytMP1OyDgAY&amp;q=site%3Alinkedin.com+Carmen+Cornelius+Cloud+Sales+Recruiter+Google" TargetMode="External"/><Relationship Id="rId1456" Type="http://schemas.openxmlformats.org/officeDocument/2006/relationships/hyperlink" Target="https://www.google.com/search?newwindow=1&amp;ei=2MT0XrvGGM-vytMP1OyDgAY&amp;q=site%3Alinkedin.com+Lauren+Urbanski+University+Recruiter+Google" TargetMode="External"/><Relationship Id="rId1457" Type="http://schemas.openxmlformats.org/officeDocument/2006/relationships/hyperlink" Target="https://www.google.com/search?newwindow=1&amp;ei=2MT0XrvGGM-vytMP1OyDgAY&amp;q=site%3Alinkedin.com+Hayley+Roe+University+Recruiter+Google" TargetMode="External"/><Relationship Id="rId1458" Type="http://schemas.openxmlformats.org/officeDocument/2006/relationships/hyperlink" Target="https://www.google.com/search?newwindow=1&amp;ei=2MT0XrvGGM-vytMP1OyDgAY&amp;q=site%3Alinkedin.com+Michelle+Figi+UX+Intern+Recruiter+Google" TargetMode="External"/><Relationship Id="rId1459" Type="http://schemas.openxmlformats.org/officeDocument/2006/relationships/hyperlink" Target="https://www.google.com/search?newwindow=1&amp;ei=2MT0XrvGGM-vytMP1OyDgAY&amp;q=site%3Alinkedin.com+Crystal+Jenkins+University+Graduate+Recruiter+Google" TargetMode="External"/><Relationship Id="rId629" Type="http://schemas.openxmlformats.org/officeDocument/2006/relationships/hyperlink" Target="https://www.google.com/search?newwindow=1&amp;ei=2MT0XrvGGM-vytMP1OyDgAY&amp;q=site%3Alinkedin.com+Megan+Evangelista+Campus+Recruiting+Manager+Sales+Academy+Program+Dell" TargetMode="External"/><Relationship Id="rId624" Type="http://schemas.openxmlformats.org/officeDocument/2006/relationships/hyperlink" Target="https://www.google.com/search?newwindow=1&amp;ei=2MT0XrvGGM-vytMP1OyDgAY&amp;q=site%3Alinkedin.com+Sean+Bea+MBA+Campus+Recruiter+Cushman+&amp;+Wakefield" TargetMode="External"/><Relationship Id="rId623" Type="http://schemas.openxmlformats.org/officeDocument/2006/relationships/hyperlink" Target="https://www.google.com/search?newwindow=1&amp;ei=2MT0XrvGGM-vytMP1OyDgAY&amp;q=site%3Alinkedin.com+Amy+Bird+EMEA+Recruiter+(University+Recruiting)" TargetMode="External"/><Relationship Id="rId622" Type="http://schemas.openxmlformats.org/officeDocument/2006/relationships/hyperlink" Target="https://www.google.com/search?newwindow=1&amp;ei=2MT0XrvGGM-vytMP1OyDgAY&amp;q=site%3Alinkedin.com+Carly+Villa+Campus+Recruiter+Credit+Suisse" TargetMode="External"/><Relationship Id="rId621" Type="http://schemas.openxmlformats.org/officeDocument/2006/relationships/hyperlink" Target="https://www.google.com/search?newwindow=1&amp;ei=2MT0XrvGGM-vytMP1OyDgAY&amp;q=site%3Alinkedin.com+Kezia+Gibbs+Campus+Recruiter+Credit+Suisse" TargetMode="External"/><Relationship Id="rId628" Type="http://schemas.openxmlformats.org/officeDocument/2006/relationships/hyperlink" Target="https://www.google.com/search?newwindow=1&amp;ei=2MT0XrvGGM-vytMP1OyDgAY&amp;q=site%3Alinkedin.com+Callie+Jones+University+Relations+Project+Manager+Product+&amp;+Operations+Dell" TargetMode="External"/><Relationship Id="rId627" Type="http://schemas.openxmlformats.org/officeDocument/2006/relationships/hyperlink" Target="https://www.google.com/search?newwindow=1&amp;ei=2MT0XrvGGM-vytMP1OyDgAY&amp;q=site%3Alinkedin.com+Katie+Flaschar+Campus+Recruiter+Cushman+&amp;+Wakefield" TargetMode="External"/><Relationship Id="rId626" Type="http://schemas.openxmlformats.org/officeDocument/2006/relationships/hyperlink" Target="https://www.google.com/search?newwindow=1&amp;ei=2MT0XrvGGM-vytMP1OyDgAY&amp;q=site%3Alinkedin.com+Amanda+Camera+Campus+Recruiter+&amp;+PREP+Manager+West+Region+at+Cushman+&amp;+Wakefield+Cushman+&amp;+Wakefield" TargetMode="External"/><Relationship Id="rId625" Type="http://schemas.openxmlformats.org/officeDocument/2006/relationships/hyperlink" Target="https://www.google.com/search?newwindow=1&amp;ei=2MT0XrvGGM-vytMP1OyDgAY&amp;q=site%3Alinkedin.com+Jill+Wormser+Campus+Recruiter+Cushman+&amp;+Wakefield" TargetMode="External"/><Relationship Id="rId1450" Type="http://schemas.openxmlformats.org/officeDocument/2006/relationships/hyperlink" Target="https://www.google.com/search?newwindow=1&amp;ei=2MT0XrvGGM-vytMP1OyDgAY&amp;q=site%3Alinkedin.com+Lindsey+Stewart+Americas+Recruiting+Manager+(Campus+and+Entry-level)" TargetMode="External"/><Relationship Id="rId620" Type="http://schemas.openxmlformats.org/officeDocument/2006/relationships/hyperlink" Target="https://www.google.com/search?newwindow=1&amp;ei=2MT0XrvGGM-vytMP1OyDgAY&amp;q=site%3Alinkedin.com+Erin+Gross+Campus+Recruiter+Global+Markets+&amp;+Asset+Management+Credit+Suisse" TargetMode="External"/><Relationship Id="rId1451" Type="http://schemas.openxmlformats.org/officeDocument/2006/relationships/hyperlink" Target="https://www.google.com/search?newwindow=1&amp;ei=2MT0XrvGGM-vytMP1OyDgAY&amp;q=site%3Alinkedin.com+Mark+Gallagher+University+Graduate+Recruiter" TargetMode="External"/><Relationship Id="rId1452" Type="http://schemas.openxmlformats.org/officeDocument/2006/relationships/hyperlink" Target="https://www.google.com/search?newwindow=1&amp;ei=2MT0XrvGGM-vytMP1OyDgAY&amp;q=site%3Alinkedin.com+Rob+Georgiefski+University+Recruiter+Tech+Google" TargetMode="External"/><Relationship Id="rId1453" Type="http://schemas.openxmlformats.org/officeDocument/2006/relationships/hyperlink" Target="https://www.google.com/search?newwindow=1&amp;ei=2MT0XrvGGM-vytMP1OyDgAY&amp;q=site%3Alinkedin.com+Keanna+Carter+University+Tech+Recruiter+Google" TargetMode="External"/><Relationship Id="rId1454" Type="http://schemas.openxmlformats.org/officeDocument/2006/relationships/hyperlink" Target="https://www.google.com/search?newwindow=1&amp;ei=2MT0XrvGGM-vytMP1OyDgAY&amp;q=site%3Alinkedin.com+Matt+Breidenbach+University+Programs+Recruiter+Google" TargetMode="External"/><Relationship Id="rId1444" Type="http://schemas.openxmlformats.org/officeDocument/2006/relationships/hyperlink" Target="https://www.google.com/search?newwindow=1&amp;ei=2MT0XrvGGM-vytMP1OyDgAY&amp;q=site%3Alinkedin.com+Abir+Rahi+CodeNext+Student" TargetMode="External"/><Relationship Id="rId1445" Type="http://schemas.openxmlformats.org/officeDocument/2006/relationships/hyperlink" Target="https://www.google.com/search?newwindow=1&amp;ei=2MT0XrvGGM-vytMP1OyDgAY&amp;q=site%3Alinkedin.com+Kerri+Kudsia+College+Recruiter" TargetMode="External"/><Relationship Id="rId1446" Type="http://schemas.openxmlformats.org/officeDocument/2006/relationships/hyperlink" Target="https://www.google.com/search?newwindow=1&amp;ei=2MT0XrvGGM-vytMP1OyDgAY&amp;q=site%3Alinkedin.com+Eugenia+Pascual+Gil+Tech+University+Graduate+Recruiter+(via+Randstad)" TargetMode="External"/><Relationship Id="rId1447" Type="http://schemas.openxmlformats.org/officeDocument/2006/relationships/hyperlink" Target="https://www.google.com/search?newwindow=1&amp;ei=2MT0XrvGGM-vytMP1OyDgAY&amp;q=site%3Alinkedin.com+Jessica+Noon+Tech+University+Graduate+Recruiter+EMEA" TargetMode="External"/><Relationship Id="rId1448" Type="http://schemas.openxmlformats.org/officeDocument/2006/relationships/hyperlink" Target="https://www.google.com/search?newwindow=1&amp;ei=2MT0XrvGGM-vytMP1OyDgAY&amp;q=site%3Alinkedin.com+Charlie+Setoodeh+Student+Development+Specialist+/+Program+Manager+University+Programs+Team" TargetMode="External"/><Relationship Id="rId1449" Type="http://schemas.openxmlformats.org/officeDocument/2006/relationships/hyperlink" Target="https://www.google.com/search?newwindow=1&amp;ei=2MT0XrvGGM-vytMP1OyDgAY&amp;q=site%3Alinkedin.com+Gillian+Thompson+EMEA+Student+Development+Lead+Talent+Outreach+and+Programs" TargetMode="External"/><Relationship Id="rId619" Type="http://schemas.openxmlformats.org/officeDocument/2006/relationships/hyperlink" Target="https://www.google.com/search?newwindow=1&amp;ei=2MT0XrvGGM-vytMP1OyDgAY&amp;q=site%3Alinkedin.com+Jennifer+Wilson+Campus+Recruiter+-+Investment+Banking+&amp;+Capital+Markets+Credit+Suisse" TargetMode="External"/><Relationship Id="rId618" Type="http://schemas.openxmlformats.org/officeDocument/2006/relationships/hyperlink" Target="https://www.google.com/search?newwindow=1&amp;ei=2MT0XrvGGM-vytMP1OyDgAY&amp;q=site%3Alinkedin.com+Allison+Group+Investment+Banking+Campus+Recruiter+Credit+Suisse" TargetMode="External"/><Relationship Id="rId613" Type="http://schemas.openxmlformats.org/officeDocument/2006/relationships/hyperlink" Target="https://www.google.com/search?newwindow=1&amp;ei=2MT0XrvGGM-vytMP1OyDgAY&amp;q=site%3Alinkedin.com+Sital+Patel+IBCMA+EMEA+Campus+Recruiter" TargetMode="External"/><Relationship Id="rId612" Type="http://schemas.openxmlformats.org/officeDocument/2006/relationships/hyperlink" Target="https://www.google.com/search?newwindow=1&amp;ei=2MT0XrvGGM-vytMP1OyDgAY&amp;q=site%3Alinkedin.com+Kyle+Pagan+Talent+Brand+Marketing+Specialist/Campus+Recruiter+Comcast" TargetMode="External"/><Relationship Id="rId611" Type="http://schemas.openxmlformats.org/officeDocument/2006/relationships/hyperlink" Target="https://www.google.com/search?newwindow=1&amp;ei=2MT0XrvGGM-vytMP1OyDgAY&amp;q=site%3Alinkedin.com+Erin+Kantner+MBA+Campus+Recruiter+&amp;+Program+Manager+Comcast" TargetMode="External"/><Relationship Id="rId610" Type="http://schemas.openxmlformats.org/officeDocument/2006/relationships/hyperlink" Target="https://www.google.com/search?newwindow=1&amp;ei=2MT0XrvGGM-vytMP1OyDgAY&amp;q=site%3Alinkedin.com+Melanie+Hunter+University+Relations+Recruiter+Comcast" TargetMode="External"/><Relationship Id="rId617" Type="http://schemas.openxmlformats.org/officeDocument/2006/relationships/hyperlink" Target="https://www.google.com/search?newwindow=1&amp;ei=2MT0XrvGGM-vytMP1OyDgAY&amp;q=site%3Alinkedin.com+Rachael+Schutzbank+AVP+Campus+Recruiter+Investment+Banking+&amp;+Capital+Markets+Credit+Suisse" TargetMode="External"/><Relationship Id="rId616" Type="http://schemas.openxmlformats.org/officeDocument/2006/relationships/hyperlink" Target="https://www.google.com/search?newwindow=1&amp;ei=2MT0XrvGGM-vytMP1OyDgAY&amp;q=site%3Alinkedin.com+Ann.+Scarp+Campus+Recruiter+Credit+Suisse" TargetMode="External"/><Relationship Id="rId615" Type="http://schemas.openxmlformats.org/officeDocument/2006/relationships/hyperlink" Target="https://www.google.com/search?newwindow=1&amp;ei=2MT0XrvGGM-vytMP1OyDgAY&amp;q=site%3Alinkedin.com+Sarah+Murphy+Campus+Recruiting+Team+Lead+Investment+Banking+EMEA" TargetMode="External"/><Relationship Id="rId614" Type="http://schemas.openxmlformats.org/officeDocument/2006/relationships/hyperlink" Target="https://www.google.com/search?newwindow=1&amp;ei=2MT0XrvGGM-vytMP1OyDgAY&amp;q=site%3Alinkedin.com+Lisa+McNeil-Duncan+Campus+Recruiter" TargetMode="External"/><Relationship Id="rId1440" Type="http://schemas.openxmlformats.org/officeDocument/2006/relationships/hyperlink" Target="https://www.google.com/search?newwindow=1&amp;ei=2MT0XrvGGM-vytMP1OyDgAY&amp;q=site%3Alinkedin.com+Ali+Mirsky+Co-Director+Associate+&amp;+Student+Programs" TargetMode="External"/><Relationship Id="rId1441" Type="http://schemas.openxmlformats.org/officeDocument/2006/relationships/hyperlink" Target="https://www.google.com/search?newwindow=1&amp;ei=2MT0XrvGGM-vytMP1OyDgAY&amp;q=site%3Alinkedin.com+Inez+Bertao+Executive+Assistant+to+Co-Director+Associate+&amp;+Student+Program+/+Coordinator+Student+Programs" TargetMode="External"/><Relationship Id="rId1442" Type="http://schemas.openxmlformats.org/officeDocument/2006/relationships/hyperlink" Target="https://www.google.com/search?newwindow=1&amp;ei=2MT0XrvGGM-vytMP1OyDgAY&amp;q=site%3Alinkedin.com+Michel+Lederman+Co-Director+Associate+&amp;+Student+Programs" TargetMode="External"/><Relationship Id="rId1443" Type="http://schemas.openxmlformats.org/officeDocument/2006/relationships/hyperlink" Target="https://www.google.com/search?newwindow=1&amp;ei=2MT0XrvGGM-vytMP1OyDgAY&amp;q=site%3Alinkedin.com+Fabian+Figi+Head+of+Campus+Channels" TargetMode="External"/><Relationship Id="rId1477" Type="http://schemas.openxmlformats.org/officeDocument/2006/relationships/hyperlink" Target="https://www.google.com/search?newwindow=1&amp;ei=2MT0XrvGGM-vytMP1OyDgAY&amp;q=site%3Alinkedin.com+Brittany+Perry+College+Recruiter+Google" TargetMode="External"/><Relationship Id="rId1478" Type="http://schemas.openxmlformats.org/officeDocument/2006/relationships/hyperlink" Target="https://www.google.com/search?newwindow=1&amp;ei=2MT0XrvGGM-vytMP1OyDgAY&amp;q=site%3Alinkedin.com+Chantal+Penton+University+Technical+Recruiter+Google" TargetMode="External"/><Relationship Id="rId1479" Type="http://schemas.openxmlformats.org/officeDocument/2006/relationships/hyperlink" Target="https://www.google.com/search?newwindow=1&amp;ei=2MT0XrvGGM-vytMP1OyDgAY&amp;q=site%3Alinkedin.com+Sarah+Peck+University+Recruiter+Tech+Google" TargetMode="External"/><Relationship Id="rId646" Type="http://schemas.openxmlformats.org/officeDocument/2006/relationships/hyperlink" Target="https://www.google.com/search?newwindow=1&amp;ei=2MT0XrvGGM-vytMP1OyDgAY&amp;q=site%3Alinkedin.com+Jessica+Winkles+Lead+Campus+Recruiting+Specialist" TargetMode="External"/><Relationship Id="rId645" Type="http://schemas.openxmlformats.org/officeDocument/2006/relationships/hyperlink" Target="https://www.google.com/search?newwindow=1&amp;ei=2MT0XrvGGM-vytMP1OyDgAY&amp;q=site%3Alinkedin.com+Rachel+Leonard+Lead+Campus+Recruiting+Specialist" TargetMode="External"/><Relationship Id="rId644" Type="http://schemas.openxmlformats.org/officeDocument/2006/relationships/hyperlink" Target="https://www.google.com/search?newwindow=1&amp;ei=2MT0XrvGGM-vytMP1OyDgAY&amp;q=site%3Alinkedin.com+Alexis+Hardman+Campus+Recruiting+Specialist" TargetMode="External"/><Relationship Id="rId643" Type="http://schemas.openxmlformats.org/officeDocument/2006/relationships/hyperlink" Target="https://www.google.com/search?newwindow=1&amp;ei=2MT0XrvGGM-vytMP1OyDgAY&amp;q=site%3Alinkedin.com+Chase+Simpson+Senior+Campus+Recruiting+Specialist" TargetMode="External"/><Relationship Id="rId649" Type="http://schemas.openxmlformats.org/officeDocument/2006/relationships/hyperlink" Target="https://www.google.com/search?newwindow=1&amp;ei=2MT0XrvGGM-vytMP1OyDgAY&amp;q=site%3Alinkedin.com+Hailey+Pyle+Campus+Recruiting+Specialist" TargetMode="External"/><Relationship Id="rId648" Type="http://schemas.openxmlformats.org/officeDocument/2006/relationships/hyperlink" Target="https://www.google.com/search?newwindow=1&amp;ei=2MT0XrvGGM-vytMP1OyDgAY&amp;q=site%3Alinkedin.com+Madison+Ford+Campus+Recruiting+Coordinator" TargetMode="External"/><Relationship Id="rId647" Type="http://schemas.openxmlformats.org/officeDocument/2006/relationships/hyperlink" Target="https://www.google.com/search?newwindow=1&amp;ei=2MT0XrvGGM-vytMP1OyDgAY&amp;q=site%3Alinkedin.com+Jessy+Jager+Senior+Campus+Recruiter" TargetMode="External"/><Relationship Id="rId1470" Type="http://schemas.openxmlformats.org/officeDocument/2006/relationships/hyperlink" Target="https://www.google.com/search?newwindow=1&amp;ei=2MT0XrvGGM-vytMP1OyDgAY&amp;q=site%3Alinkedin.com+Jillian+Palmer+College+Recruiter+Google" TargetMode="External"/><Relationship Id="rId1471" Type="http://schemas.openxmlformats.org/officeDocument/2006/relationships/hyperlink" Target="https://www.google.com/search?newwindow=1&amp;ei=2MT0XrvGGM-vytMP1OyDgAY&amp;q=site%3Alinkedin.com+Karan+Bhargava+University+Program+Recruiting+Manager+Google" TargetMode="External"/><Relationship Id="rId1472" Type="http://schemas.openxmlformats.org/officeDocument/2006/relationships/hyperlink" Target="https://www.google.com/search?newwindow=1&amp;ei=2MT0XrvGGM-vytMP1OyDgAY&amp;q=site%3Alinkedin.com+Sidnie+Davis+Program+Manager+Google" TargetMode="External"/><Relationship Id="rId642" Type="http://schemas.openxmlformats.org/officeDocument/2006/relationships/hyperlink" Target="https://www.google.com/search?newwindow=1&amp;ei=2MT0XrvGGM-vytMP1OyDgAY&amp;q=site%3Alinkedin.com+Crystal+Brockington+Consulting+Campus+Recruiting+Specialist" TargetMode="External"/><Relationship Id="rId1473" Type="http://schemas.openxmlformats.org/officeDocument/2006/relationships/hyperlink" Target="https://www.google.com/search?newwindow=1&amp;ei=2MT0XrvGGM-vytMP1OyDgAY&amp;q=site%3Alinkedin.com+Amanda+Nowak+Technical+Recruiter+(University)+&amp;+Program+Manager+Google" TargetMode="External"/><Relationship Id="rId641" Type="http://schemas.openxmlformats.org/officeDocument/2006/relationships/hyperlink" Target="https://www.google.com/search?newwindow=1&amp;ei=2MT0XrvGGM-vytMP1OyDgAY&amp;q=site%3Alinkedin.com+Kelly+(Wise)+D%E2%80%99Amato+Campus+Recruiting+Specialist" TargetMode="External"/><Relationship Id="rId1474" Type="http://schemas.openxmlformats.org/officeDocument/2006/relationships/hyperlink" Target="https://www.google.com/search?newwindow=1&amp;ei=2MT0XrvGGM-vytMP1OyDgAY&amp;q=site%3Alinkedin.com+Isaac+Winkler+College+Recruiter+Google" TargetMode="External"/><Relationship Id="rId640" Type="http://schemas.openxmlformats.org/officeDocument/2006/relationships/hyperlink" Target="https://www.google.com/search?newwindow=1&amp;ei=2MT0XrvGGM-vytMP1OyDgAY&amp;q=site%3Alinkedin.com+Kristen+Bolt+Senior+Campus+Recruiting+Specialist" TargetMode="External"/><Relationship Id="rId1475" Type="http://schemas.openxmlformats.org/officeDocument/2006/relationships/hyperlink" Target="https://www.google.com/search?newwindow=1&amp;ei=2MT0XrvGGM-vytMP1OyDgAY&amp;q=site%3Alinkedin.com+Alexandra+Sarosy+University+Recruiter+Google" TargetMode="External"/><Relationship Id="rId1476" Type="http://schemas.openxmlformats.org/officeDocument/2006/relationships/hyperlink" Target="https://www.google.com/search?newwindow=1&amp;ei=2MT0XrvGGM-vytMP1OyDgAY&amp;q=site%3Alinkedin.com+Jenn+R.+Talent+Acquisition+Manager+(College+recruiter)+Google" TargetMode="External"/><Relationship Id="rId1466" Type="http://schemas.openxmlformats.org/officeDocument/2006/relationships/hyperlink" Target="https://www.google.com/search?newwindow=1&amp;ei=2MT0XrvGGM-vytMP1OyDgAY&amp;q=site%3Alinkedin.com+Shea+Bastedo+Tech+University+Recruiter+Google" TargetMode="External"/><Relationship Id="rId1467" Type="http://schemas.openxmlformats.org/officeDocument/2006/relationships/hyperlink" Target="https://www.google.com/search?newwindow=1&amp;ei=2MT0XrvGGM-vytMP1OyDgAY&amp;q=site%3Alinkedin.com+Jessica+Wickers+Program+Manager+Google" TargetMode="External"/><Relationship Id="rId1468" Type="http://schemas.openxmlformats.org/officeDocument/2006/relationships/hyperlink" Target="https://www.google.com/search?newwindow=1&amp;ei=2MT0XrvGGM-vytMP1OyDgAY&amp;q=site%3Alinkedin.com+Andrew+Purtle+Cloud+Recruiter+Google" TargetMode="External"/><Relationship Id="rId1469" Type="http://schemas.openxmlformats.org/officeDocument/2006/relationships/hyperlink" Target="https://www.google.com/search?newwindow=1&amp;ei=2MT0XrvGGM-vytMP1OyDgAY&amp;q=site%3Alinkedin.com+Padraic+Smith+Technical+University+Recruiter+Google" TargetMode="External"/><Relationship Id="rId635" Type="http://schemas.openxmlformats.org/officeDocument/2006/relationships/hyperlink" Target="https://www.google.com/search?newwindow=1&amp;ei=2MT0XrvGGM-vytMP1OyDgAY&amp;q=site%3Alinkedin.com+Zoe+Nagel+Campus+Recruiting+Specialist" TargetMode="External"/><Relationship Id="rId634" Type="http://schemas.openxmlformats.org/officeDocument/2006/relationships/hyperlink" Target="https://www.google.com/search?newwindow=1&amp;ei=2MT0XrvGGM-vytMP1OyDgAY&amp;q=site%3Alinkedin.com+Victoria+Clement+Senior+Campus+Recruiting+Coordinator" TargetMode="External"/><Relationship Id="rId633" Type="http://schemas.openxmlformats.org/officeDocument/2006/relationships/hyperlink" Target="https://www.google.com/search?newwindow=1&amp;ei=2MT0XrvGGM-vytMP1OyDgAY&amp;q=site%3Alinkedin.com+Lauren+Seijido+Senior+Campus+Recruiting+Specialist" TargetMode="External"/><Relationship Id="rId632" Type="http://schemas.openxmlformats.org/officeDocument/2006/relationships/hyperlink" Target="https://www.google.com/search?newwindow=1&amp;ei=2MT0XrvGGM-vytMP1OyDgAY&amp;q=site%3Alinkedin.com+Molly+Hynes+Recruiter+University+Relations+Dell+Technologies" TargetMode="External"/><Relationship Id="rId639" Type="http://schemas.openxmlformats.org/officeDocument/2006/relationships/hyperlink" Target="https://www.google.com/search?newwindow=1&amp;ei=2MT0XrvGGM-vytMP1OyDgAY&amp;q=site%3Alinkedin.com+Wandie+Toledo+Bethune+Lead+Diversity+&amp;+Inclusion+Program+Manager" TargetMode="External"/><Relationship Id="rId638" Type="http://schemas.openxmlformats.org/officeDocument/2006/relationships/hyperlink" Target="https://www.google.com/search?newwindow=1&amp;ei=2MT0XrvGGM-vytMP1OyDgAY&amp;q=site%3Alinkedin.com+Kaitlin+Duberstein+Campus+Recruiting+Manager" TargetMode="External"/><Relationship Id="rId637" Type="http://schemas.openxmlformats.org/officeDocument/2006/relationships/hyperlink" Target="https://www.google.com/search?newwindow=1&amp;ei=2MT0XrvGGM-vytMP1OyDgAY&amp;q=site%3Alinkedin.com+Meredith+Sutter+Campus+Recruiting+Manager" TargetMode="External"/><Relationship Id="rId636" Type="http://schemas.openxmlformats.org/officeDocument/2006/relationships/hyperlink" Target="https://www.google.com/search?newwindow=1&amp;ei=2MT0XrvGGM-vytMP1OyDgAY&amp;q=site%3Alinkedin.com+Liz+Verrecchia+Campus+Recruiting+Specialist" TargetMode="External"/><Relationship Id="rId1460" Type="http://schemas.openxmlformats.org/officeDocument/2006/relationships/hyperlink" Target="https://www.google.com/search?newwindow=1&amp;ei=2MT0XrvGGM-vytMP1OyDgAY&amp;q=site%3Alinkedin.com+Daryan+Rahimzadeh+Campus+Technical+Recruiter+Google" TargetMode="External"/><Relationship Id="rId1461" Type="http://schemas.openxmlformats.org/officeDocument/2006/relationships/hyperlink" Target="https://www.google.com/search?newwindow=1&amp;ei=2MT0XrvGGM-vytMP1OyDgAY&amp;q=site%3Alinkedin.com+Eleni+Martinez+Campus+Recruiter+Google" TargetMode="External"/><Relationship Id="rId631" Type="http://schemas.openxmlformats.org/officeDocument/2006/relationships/hyperlink" Target="https://www.google.com/search?newwindow=1&amp;ei=2MT0XrvGGM-vytMP1OyDgAY&amp;q=site%3Alinkedin.com+Ellie+Biscoe+Campus+Recruiting+Manager+Next+Gen+Sales+Program+Dell+EMC" TargetMode="External"/><Relationship Id="rId1462" Type="http://schemas.openxmlformats.org/officeDocument/2006/relationships/hyperlink" Target="https://www.google.com/search?newwindow=1&amp;ei=2MT0XrvGGM-vytMP1OyDgAY&amp;q=site%3Alinkedin.com+Rachel+Dickson+Campus+Technical+Recruiter+(Tech+)+Google" TargetMode="External"/><Relationship Id="rId630" Type="http://schemas.openxmlformats.org/officeDocument/2006/relationships/hyperlink" Target="https://www.google.com/search?newwindow=1&amp;ei=2MT0XrvGGM-vytMP1OyDgAY&amp;q=site%3Alinkedin.com+Tiffany+Taylor+University+Relations+Diversity+Program+Manager+Dell" TargetMode="External"/><Relationship Id="rId1463" Type="http://schemas.openxmlformats.org/officeDocument/2006/relationships/hyperlink" Target="https://www.google.com/search?newwindow=1&amp;ei=2MT0XrvGGM-vytMP1OyDgAY&amp;q=site%3Alinkedin.com+Monica+Lavin+Campus+Recruiter+Google" TargetMode="External"/><Relationship Id="rId1464" Type="http://schemas.openxmlformats.org/officeDocument/2006/relationships/hyperlink" Target="https://www.google.com/search?newwindow=1&amp;ei=2MT0XrvGGM-vytMP1OyDgAY&amp;q=site%3Alinkedin.com+Shaina+Conrad+Tech+University+Recruiter+Google" TargetMode="External"/><Relationship Id="rId1465" Type="http://schemas.openxmlformats.org/officeDocument/2006/relationships/hyperlink" Target="https://www.google.com/search?newwindow=1&amp;ei=2MT0XrvGGM-vytMP1OyDgAY&amp;q=site%3Alinkedin.com+Amir+Muhammad+University+Recruiter+Google" TargetMode="External"/><Relationship Id="rId1411" Type="http://schemas.openxmlformats.org/officeDocument/2006/relationships/hyperlink" Target="https://www.google.com/search?newwindow=1&amp;ei=2MT0XrvGGM-vytMP1OyDgAY&amp;q=site%3Alinkedin.com+Meghan+McKenzie+Experienced+Hire+Recruiting" TargetMode="External"/><Relationship Id="rId1412" Type="http://schemas.openxmlformats.org/officeDocument/2006/relationships/hyperlink" Target="https://www.google.com/search?newwindow=1&amp;ei=2MT0XrvGGM-vytMP1OyDgAY&amp;q=site%3Alinkedin.com+Jodee-Ann+W.+Campus+Recruiting+supporting+Goldman+Sachs+via+ADP+RPO" TargetMode="External"/><Relationship Id="rId1413" Type="http://schemas.openxmlformats.org/officeDocument/2006/relationships/hyperlink" Target="https://www.google.com/search?newwindow=1&amp;ei=2MT0XrvGGM-vytMP1OyDgAY&amp;q=site%3Alinkedin.com+Laura+Fernandez+Campus+Recruiting+Coordinator" TargetMode="External"/><Relationship Id="rId1414" Type="http://schemas.openxmlformats.org/officeDocument/2006/relationships/hyperlink" Target="https://www.google.com/search?newwindow=1&amp;ei=2MT0XrvGGM-vytMP1OyDgAY&amp;q=site%3Alinkedin.com+Abigail+Murray+MA+LAC+NCC+Campus+Recruiting" TargetMode="External"/><Relationship Id="rId1415" Type="http://schemas.openxmlformats.org/officeDocument/2006/relationships/hyperlink" Target="https://www.google.com/search?newwindow=1&amp;ei=2MT0XrvGGM-vytMP1OyDgAY&amp;q=site%3Alinkedin.com+Myrna+Kelly+Assistant+to+Global+Heads+of+Diversity+and+Campus+Recruiting" TargetMode="External"/><Relationship Id="rId1416" Type="http://schemas.openxmlformats.org/officeDocument/2006/relationships/hyperlink" Target="https://www.google.com/search?newwindow=1&amp;ei=2MT0XrvGGM-vytMP1OyDgAY&amp;q=site%3Alinkedin.com+Austin+El-Bakri+Campus+Recruiting+Coordinator" TargetMode="External"/><Relationship Id="rId1417" Type="http://schemas.openxmlformats.org/officeDocument/2006/relationships/hyperlink" Target="https://www.google.com/search?newwindow=1&amp;ei=2MT0XrvGGM-vytMP1OyDgAY&amp;q=site%3Alinkedin.com+Claire+Sonksen+Campus+Recruiting+Coordinator" TargetMode="External"/><Relationship Id="rId1418" Type="http://schemas.openxmlformats.org/officeDocument/2006/relationships/hyperlink" Target="https://www.google.com/search?newwindow=1&amp;ei=2MT0XrvGGM-vytMP1OyDgAY&amp;q=site%3Alinkedin.com+Teresa+Pond+Associate+Campus+Recruiting" TargetMode="External"/><Relationship Id="rId1419" Type="http://schemas.openxmlformats.org/officeDocument/2006/relationships/hyperlink" Target="https://www.google.com/search?newwindow=1&amp;ei=2MT0XrvGGM-vytMP1OyDgAY&amp;q=site%3Alinkedin.com+Richelle+Medellin+Vice+President+Head+of+Campus+Recruiting+Salt+Lake+City" TargetMode="External"/><Relationship Id="rId1410" Type="http://schemas.openxmlformats.org/officeDocument/2006/relationships/hyperlink" Target="https://www.google.com/search?newwindow=1&amp;ei=2MT0XrvGGM-vytMP1OyDgAY&amp;q=site%3Alinkedin.com+Taylor+Monticollo+Campus+Recruiting+Coordinator" TargetMode="External"/><Relationship Id="rId1400" Type="http://schemas.openxmlformats.org/officeDocument/2006/relationships/hyperlink" Target="https://www.google.com/search?newwindow=1&amp;ei=2MT0XrvGGM-vytMP1OyDgAY&amp;q=site%3Alinkedin.com+Vicki+Tung+Global+Head+Campus+Recruiting" TargetMode="External"/><Relationship Id="rId1401" Type="http://schemas.openxmlformats.org/officeDocument/2006/relationships/hyperlink" Target="https://www.google.com/search?newwindow=1&amp;ei=2MT0XrvGGM-vytMP1OyDgAY&amp;q=site%3Alinkedin.com+Juliane+Looney+Campus+Recruiting+Coordinator" TargetMode="External"/><Relationship Id="rId1402" Type="http://schemas.openxmlformats.org/officeDocument/2006/relationships/hyperlink" Target="https://www.google.com/search?newwindow=1&amp;ei=2MT0XrvGGM-vytMP1OyDgAY&amp;q=site%3Alinkedin.com+Cassandra+Z.+Campus+Recruiting+Senior+Coordinator" TargetMode="External"/><Relationship Id="rId1403" Type="http://schemas.openxmlformats.org/officeDocument/2006/relationships/hyperlink" Target="https://www.google.com/search?newwindow=1&amp;ei=2MT0XrvGGM-vytMP1OyDgAY&amp;q=site%3Alinkedin.com+Annie+Boig+McMullen+Vice+President+Global+Head+of+Investment+Research+&amp;+Merchant+Banking+Campus+Recruiting" TargetMode="External"/><Relationship Id="rId1404" Type="http://schemas.openxmlformats.org/officeDocument/2006/relationships/hyperlink" Target="https://www.google.com/search?newwindow=1&amp;ei=2MT0XrvGGM-vytMP1OyDgAY&amp;q=site%3Alinkedin.com+Melissa+Bianco+Associate+Campus+Recruiting+at+Goldman+Sachs" TargetMode="External"/><Relationship Id="rId1405" Type="http://schemas.openxmlformats.org/officeDocument/2006/relationships/hyperlink" Target="https://www.google.com/search?newwindow=1&amp;ei=2MT0XrvGGM-vytMP1OyDgAY&amp;q=site%3Alinkedin.com+Brooks+Farley+Campus+Recruiting+Coordinator+ADP+RPO" TargetMode="External"/><Relationship Id="rId1406" Type="http://schemas.openxmlformats.org/officeDocument/2006/relationships/hyperlink" Target="https://www.google.com/search?newwindow=1&amp;ei=2MT0XrvGGM-vytMP1OyDgAY&amp;q=site%3Alinkedin.com+Kathleen+McQuarrie+Campus+Recruiting+Coordinator+onsite+via+ADP+RPO" TargetMode="External"/><Relationship Id="rId1407" Type="http://schemas.openxmlformats.org/officeDocument/2006/relationships/hyperlink" Target="https://www.google.com/search?newwindow=1&amp;ei=2MT0XrvGGM-vytMP1OyDgAY&amp;q=site%3Alinkedin.com+Corrine+Verga+Campus+Recruiting+Coordinator+-+Investment+Banking+Division+at+Goldman+Sachs+via+ADP+RPO" TargetMode="External"/><Relationship Id="rId1408" Type="http://schemas.openxmlformats.org/officeDocument/2006/relationships/hyperlink" Target="https://www.google.com/search?newwindow=1&amp;ei=2MT0XrvGGM-vytMP1OyDgAY&amp;q=site%3Alinkedin.com+Katie+Hawkins+Drasso+Campus+Recruiting+Coordinator+onsite+at+Goldman+Sachs+via+ADP+RPO" TargetMode="External"/><Relationship Id="rId1409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" TargetMode="External"/><Relationship Id="rId1433" Type="http://schemas.openxmlformats.org/officeDocument/2006/relationships/hyperlink" Target="https://www.google.com/search?newwindow=1&amp;ei=2MT0XrvGGM-vytMP1OyDgAY&amp;q=site%3Alinkedin.com+Nancy+Angelica+Campus+Recruiter+Goldman+Sachs" TargetMode="External"/><Relationship Id="rId1434" Type="http://schemas.openxmlformats.org/officeDocument/2006/relationships/hyperlink" Target="https://www.google.com/search?newwindow=1&amp;ei=2MT0XrvGGM-vytMP1OyDgAY&amp;q=site%3Alinkedin.com+Andrew+C.+Associate+Engineering+Campus+Recruiter+Goldman+Sachs" TargetMode="External"/><Relationship Id="rId1435" Type="http://schemas.openxmlformats.org/officeDocument/2006/relationships/hyperlink" Target="https://www.google.com/search?newwindow=1&amp;ei=2MT0XrvGGM-vytMP1OyDgAY&amp;q=site%3Alinkedin.com+Hannah+Meckler+Vice+President+Investment+Banking+Campus+Recruiter+Goldman+Sachs" TargetMode="External"/><Relationship Id="rId1436" Type="http://schemas.openxmlformats.org/officeDocument/2006/relationships/hyperlink" Target="https://www.google.com/search?newwindow=1&amp;ei=2MT0XrvGGM-vytMP1OyDgAY&amp;q=site%3Alinkedin.com+Erica+Ciolli+Head+of+Campus+Recruiting+for+Consumer+and+Investment+Management+(Private+Wealth+&amp;+Asset+Management)+Goldman+Sachs" TargetMode="External"/><Relationship Id="rId1437" Type="http://schemas.openxmlformats.org/officeDocument/2006/relationships/hyperlink" Target="https://www.google.com/search?newwindow=1&amp;ei=2MT0XrvGGM-vytMP1OyDgAY&amp;q=site%3Alinkedin.com+Lydia+Coffey+PHR+Analyst+Campus+Recruiter+Goldman+Sachs" TargetMode="External"/><Relationship Id="rId1438" Type="http://schemas.openxmlformats.org/officeDocument/2006/relationships/hyperlink" Target="https://www.google.com/search?newwindow=1&amp;ei=2MT0XrvGGM-vytMP1OyDgAY&amp;q=site%3Alinkedin.com+Maribel+Velazquez+Engineering+University+Relations+Recruiter+Goldman+Sachs" TargetMode="External"/><Relationship Id="rId1439" Type="http://schemas.openxmlformats.org/officeDocument/2006/relationships/hyperlink" Target="https://www.google.com/search?newwindow=1&amp;ei=2MT0XrvGGM-vytMP1OyDgAY&amp;q=site%3Alinkedin.com+Christine+Ganevsky+Campus+Recruiter+Goldman+Sachs" TargetMode="External"/><Relationship Id="rId609" Type="http://schemas.openxmlformats.org/officeDocument/2006/relationships/hyperlink" Target="https://www.google.com/search?newwindow=1&amp;ei=2MT0XrvGGM-vytMP1OyDgAY&amp;q=site%3Alinkedin.com+Jon+Schulman+University+Tech+Campus+Recruiter+Comcast" TargetMode="External"/><Relationship Id="rId608" Type="http://schemas.openxmlformats.org/officeDocument/2006/relationships/hyperlink" Target="https://www.google.com/search?newwindow=1&amp;ei=2MT0XrvGGM-vytMP1OyDgAY&amp;q=site%3Alinkedin.com+Christine+Kane+University+Relations+Campus+Recruiter+Comcast" TargetMode="External"/><Relationship Id="rId607" Type="http://schemas.openxmlformats.org/officeDocument/2006/relationships/hyperlink" Target="https://www.google.com/search?newwindow=1&amp;ei=2MT0XrvGGM-vytMP1OyDgAY&amp;q=site%3Alinkedin.com+James+Wallace+Campus+Recruiter+Cooperative+Education+Program+Comcast" TargetMode="External"/><Relationship Id="rId602" Type="http://schemas.openxmlformats.org/officeDocument/2006/relationships/hyperlink" Target="https://www.google.com/search?newwindow=1&amp;ei=2MT0XrvGGM-vytMP1OyDgAY&amp;q=site%3Alinkedin.com+Gwen+Anderson+Senior+Recruiter+North+America+Campus+Recruitment+at+Cognizant+Cognizant" TargetMode="External"/><Relationship Id="rId601" Type="http://schemas.openxmlformats.org/officeDocument/2006/relationships/hyperlink" Target="https://www.google.com/search?newwindow=1&amp;ei=2MT0XrvGGM-vytMP1OyDgAY&amp;q=site%3Alinkedin.com+Jacqueline+Kelley+University+Recruiter+Cognizant" TargetMode="External"/><Relationship Id="rId600" Type="http://schemas.openxmlformats.org/officeDocument/2006/relationships/hyperlink" Target="https://www.google.com/search?newwindow=1&amp;ei=2MT0XrvGGM-vytMP1OyDgAY&amp;q=site%3Alinkedin.com+James+J.+Senior+Graduate+and+Early+Career+Recruiter" TargetMode="External"/><Relationship Id="rId606" Type="http://schemas.openxmlformats.org/officeDocument/2006/relationships/hyperlink" Target="https://www.google.com/search?newwindow=1&amp;ei=2MT0XrvGGM-vytMP1OyDgAY&amp;q=site%3Alinkedin.com+Christine+Kane+Employee+Engagement+Program+Manager+Comcast" TargetMode="External"/><Relationship Id="rId605" Type="http://schemas.openxmlformats.org/officeDocument/2006/relationships/hyperlink" Target="https://www.google.com/search?newwindow=1&amp;ei=2MT0XrvGGM-vytMP1OyDgAY&amp;q=site%3Alinkedin.com+Alexandra+Riley+Zullo+Senior+University+Relations+Recruiter+Comcast" TargetMode="External"/><Relationship Id="rId604" Type="http://schemas.openxmlformats.org/officeDocument/2006/relationships/hyperlink" Target="https://www.google.com/search?newwindow=1&amp;ei=2MT0XrvGGM-vytMP1OyDgAY&amp;q=site%3Alinkedin.com+Rick+Dreger+University+Relations+Recruiter+Comcast" TargetMode="External"/><Relationship Id="rId603" Type="http://schemas.openxmlformats.org/officeDocument/2006/relationships/hyperlink" Target="https://www.google.com/search?newwindow=1&amp;ei=2MT0XrvGGM-vytMP1OyDgAY&amp;q=site%3Alinkedin.com+Melina+Barona+(she/her)+M.Ed+PHR+Senior+Manager+-+US+Campus+Recruiting+Cognizant+Technology+Solutions" TargetMode="External"/><Relationship Id="rId1430" Type="http://schemas.openxmlformats.org/officeDocument/2006/relationships/hyperlink" Target="https://www.google.com/search?newwindow=1&amp;ei=2MT0XrvGGM-vytMP1OyDgAY&amp;q=site%3Alinkedin.com+Brielle+Johnson+SHRM-CP+Senior+Analyst-+Campus+Recruiter+Goldman+Sachs" TargetMode="External"/><Relationship Id="rId1431" Type="http://schemas.openxmlformats.org/officeDocument/2006/relationships/hyperlink" Target="https://www.google.com/search?newwindow=1&amp;ei=2MT0XrvGGM-vytMP1OyDgAY&amp;q=site%3Alinkedin.com+Taylor+Mac+Kenzie+Campus+Recruiter+-+Vice+President+Goldman+Sachs" TargetMode="External"/><Relationship Id="rId1432" Type="http://schemas.openxmlformats.org/officeDocument/2006/relationships/hyperlink" Target="https://www.google.com/search?newwindow=1&amp;ei=2MT0XrvGGM-vytMP1OyDgAY&amp;q=site%3Alinkedin.com+Marisa+Lieberman+Associate+Engineering+Campus+Recruiter+Goldman+Sachs" TargetMode="External"/><Relationship Id="rId1422" Type="http://schemas.openxmlformats.org/officeDocument/2006/relationships/hyperlink" Target="https://www.google.com/search?newwindow=1&amp;ei=2MT0XrvGGM-vytMP1OyDgAY&amp;q=site%3Alinkedin.com+Kara+Smith+Vice+President+University+Relations+Recruiter+Goldman+Sachs" TargetMode="External"/><Relationship Id="rId1423" Type="http://schemas.openxmlformats.org/officeDocument/2006/relationships/hyperlink" Target="https://www.google.com/search?newwindow=1&amp;ei=2MT0XrvGGM-vytMP1OyDgAY&amp;q=site%3Alinkedin.com+Ashley+A.+Campus+Recruiter-+Global+Investment+Research+&amp;+Merchant+Banking+Divisions+Goldman+Sachs" TargetMode="External"/><Relationship Id="rId1424" Type="http://schemas.openxmlformats.org/officeDocument/2006/relationships/hyperlink" Target="https://www.google.com/search?newwindow=1&amp;ei=2MT0XrvGGM-vytMP1OyDgAY&amp;q=site%3Alinkedin.com+Amy+Mercedes+Pineda+Engineering+University+Relations+Recruiter+Coordinator+Goldman+Sachs" TargetMode="External"/><Relationship Id="rId1425" Type="http://schemas.openxmlformats.org/officeDocument/2006/relationships/hyperlink" Target="https://www.google.com/search?newwindow=1&amp;ei=2MT0XrvGGM-vytMP1OyDgAY&amp;q=site%3Alinkedin.com+Ashley+Mahone+Engineering+Campus+Recruiter+Goldman+Sachs" TargetMode="External"/><Relationship Id="rId1426" Type="http://schemas.openxmlformats.org/officeDocument/2006/relationships/hyperlink" Target="https://www.google.com/search?newwindow=1&amp;ei=2MT0XrvGGM-vytMP1OyDgAY&amp;q=site%3Alinkedin.com+Elizabeth+Washburn+Campus+Recruiter+Associate+Goldman+Sachs" TargetMode="External"/><Relationship Id="rId1427" Type="http://schemas.openxmlformats.org/officeDocument/2006/relationships/hyperlink" Target="https://www.google.com/search?newwindow=1&amp;ei=2MT0XrvGGM-vytMP1OyDgAY&amp;q=site%3Alinkedin.com+Abigal+Winters+Engineering+Campus+Recruiter+Goldman+Sachs" TargetMode="External"/><Relationship Id="rId1428" Type="http://schemas.openxmlformats.org/officeDocument/2006/relationships/hyperlink" Target="https://www.google.com/search?newwindow=1&amp;ei=2MT0XrvGGM-vytMP1OyDgAY&amp;q=site%3Alinkedin.com+Rechelle+Lambert+University+Relations+Recruiter+Goldman+Sachs" TargetMode="External"/><Relationship Id="rId1429" Type="http://schemas.openxmlformats.org/officeDocument/2006/relationships/hyperlink" Target="https://www.google.com/search?newwindow=1&amp;ei=2MT0XrvGGM-vytMP1OyDgAY&amp;q=site%3Alinkedin.com+Andrea+Washington+MPS+Campus+Recruiter+-+Operations+and+Global+Markets+Goldman+Sachs" TargetMode="External"/><Relationship Id="rId1420" Type="http://schemas.openxmlformats.org/officeDocument/2006/relationships/hyperlink" Target="https://www.google.com/search?newwindow=1&amp;ei=2MT0XrvGGM-vytMP1OyDgAY&amp;q=site%3Alinkedin.com+Victoria+Stack+Graduate+Recruiter" TargetMode="External"/><Relationship Id="rId1421" Type="http://schemas.openxmlformats.org/officeDocument/2006/relationships/hyperlink" Target="https://www.google.com/search?newwindow=1&amp;ei=2MT0XrvGGM-vytMP1OyDgAY&amp;q=site%3Alinkedin.com+Sally+Preston+Graduate+Recruiter" TargetMode="External"/><Relationship Id="rId699" Type="http://schemas.openxmlformats.org/officeDocument/2006/relationships/hyperlink" Target="https://www.google.com/search?newwindow=1&amp;ei=2MT0XrvGGM-vytMP1OyDgAY&amp;q=site%3Alinkedin.com+Liliana+Cruz+Campus+Recruiting+Specialist" TargetMode="External"/><Relationship Id="rId698" Type="http://schemas.openxmlformats.org/officeDocument/2006/relationships/hyperlink" Target="https://www.google.com/search?newwindow=1&amp;ei=2MT0XrvGGM-vytMP1OyDgAY&amp;q=site%3Alinkedin.com+Richard+Abel+III+Senior+Campus+Recruiting+Specialist" TargetMode="External"/><Relationship Id="rId693" Type="http://schemas.openxmlformats.org/officeDocument/2006/relationships/hyperlink" Target="https://www.google.com/search?newwindow=1&amp;ei=2MT0XrvGGM-vytMP1OyDgAY&amp;q=site%3Alinkedin.com+Gail+Lewis-Kelley+Campus+Recruiting+Manager" TargetMode="External"/><Relationship Id="rId692" Type="http://schemas.openxmlformats.org/officeDocument/2006/relationships/hyperlink" Target="https://www.google.com/search?newwindow=1&amp;ei=2MT0XrvGGM-vytMP1OyDgAY&amp;q=site%3Alinkedin.com+Natalie+Nunnold+Senior+Campus+Recruiting+Specialist" TargetMode="External"/><Relationship Id="rId691" Type="http://schemas.openxmlformats.org/officeDocument/2006/relationships/hyperlink" Target="https://www.google.com/search?newwindow=1&amp;ei=2MT0XrvGGM-vytMP1OyDgAY&amp;q=site%3Alinkedin.com+Molly+Martin+Senior+Campus+Recruiting+Specialist" TargetMode="External"/><Relationship Id="rId690" Type="http://schemas.openxmlformats.org/officeDocument/2006/relationships/hyperlink" Target="https://www.google.com/search?newwindow=1&amp;ei=2MT0XrvGGM-vytMP1OyDgAY&amp;q=site%3Alinkedin.com+Bill+LeAnnais+Senior+Campus+Recruiting+Specialist" TargetMode="External"/><Relationship Id="rId697" Type="http://schemas.openxmlformats.org/officeDocument/2006/relationships/hyperlink" Target="https://www.google.com/search?newwindow=1&amp;ei=2MT0XrvGGM-vytMP1OyDgAY&amp;q=site%3Alinkedin.com+Tori+Irvin+Campus+Recruiting+Specialist" TargetMode="External"/><Relationship Id="rId696" Type="http://schemas.openxmlformats.org/officeDocument/2006/relationships/hyperlink" Target="https://www.google.com/search?newwindow=1&amp;ei=2MT0XrvGGM-vytMP1OyDgAY&amp;q=site%3Alinkedin.com+Tanisha+Moore+Sr.+Campus+Recruiting+Coordinator" TargetMode="External"/><Relationship Id="rId695" Type="http://schemas.openxmlformats.org/officeDocument/2006/relationships/hyperlink" Target="https://www.google.com/search?newwindow=1&amp;ei=2MT0XrvGGM-vytMP1OyDgAY&amp;q=site%3Alinkedin.com+Amy+Curtin+Human+Capital+Recruiting+Manager" TargetMode="External"/><Relationship Id="rId694" Type="http://schemas.openxmlformats.org/officeDocument/2006/relationships/hyperlink" Target="https://www.google.com/search?newwindow=1&amp;ei=2MT0XrvGGM-vytMP1OyDgAY&amp;q=site%3Alinkedin.com+Kristin+Chase+Campus+Recruiting+Specialist" TargetMode="External"/><Relationship Id="rId1499" Type="http://schemas.openxmlformats.org/officeDocument/2006/relationships/hyperlink" Target="https://www.google.com/search?newwindow=1&amp;ei=2MT0XrvGGM-vytMP1OyDgAY&amp;q=site%3Alinkedin.com+Shemara+D.+Manager+Student+Programs" TargetMode="External"/><Relationship Id="rId668" Type="http://schemas.openxmlformats.org/officeDocument/2006/relationships/hyperlink" Target="https://www.google.com/search?newwindow=1&amp;ei=2MT0XrvGGM-vytMP1OyDgAY&amp;q=site%3Alinkedin.com+Helen+Luz+Campus+Recruiting+Specialist" TargetMode="External"/><Relationship Id="rId667" Type="http://schemas.openxmlformats.org/officeDocument/2006/relationships/hyperlink" Target="https://www.google.com/search?newwindow=1&amp;ei=2MT0XrvGGM-vytMP1OyDgAY&amp;q=site%3Alinkedin.com+Andrea+Schott+Senior+Campus+Recruiting+Specialist" TargetMode="External"/><Relationship Id="rId666" Type="http://schemas.openxmlformats.org/officeDocument/2006/relationships/hyperlink" Target="https://www.google.com/search?newwindow=1&amp;ei=2MT0XrvGGM-vytMP1OyDgAY&amp;q=site%3Alinkedin.com+Eddie+Covarrubias+Senior+Campus+Recruiting+Specialist" TargetMode="External"/><Relationship Id="rId665" Type="http://schemas.openxmlformats.org/officeDocument/2006/relationships/hyperlink" Target="https://www.google.com/search?newwindow=1&amp;ei=2MT0XrvGGM-vytMP1OyDgAY&amp;q=site%3Alinkedin.com+Katelin+Penaranda+Campus+Recruiting+Specialist" TargetMode="External"/><Relationship Id="rId669" Type="http://schemas.openxmlformats.org/officeDocument/2006/relationships/hyperlink" Target="https://www.google.com/search?newwindow=1&amp;ei=2MT0XrvGGM-vytMP1OyDgAY&amp;q=site%3Alinkedin.com+Lauren+Smith+Campus+Recruiting+Specialist" TargetMode="External"/><Relationship Id="rId1490" Type="http://schemas.openxmlformats.org/officeDocument/2006/relationships/hyperlink" Target="https://www.google.com/search?newwindow=1&amp;ei=2MT0XrvGGM-vytMP1OyDgAY&amp;q=site%3Alinkedin.com+Aiminh+Phan+University+Recruiter+Google" TargetMode="External"/><Relationship Id="rId660" Type="http://schemas.openxmlformats.org/officeDocument/2006/relationships/hyperlink" Target="https://www.google.com/search?newwindow=1&amp;ei=2MT0XrvGGM-vytMP1OyDgAY&amp;q=site%3Alinkedin.com+Katherine+Roy+Campus+Recruiting+Specialist" TargetMode="External"/><Relationship Id="rId1491" Type="http://schemas.openxmlformats.org/officeDocument/2006/relationships/hyperlink" Target="https://www.google.com/search?newwindow=1&amp;ei=2MT0XrvGGM-vytMP1OyDgAY&amp;q=site%3Alinkedin.com+Brittany+Matta+University+Recruiter+-+Research+(AI+Residency+Program+and+PhD)+-+Via+Nelson+Staffing+Google" TargetMode="External"/><Relationship Id="rId1492" Type="http://schemas.openxmlformats.org/officeDocument/2006/relationships/hyperlink" Target="https://www.google.com/search?newwindow=1&amp;ei=2MT0XrvGGM-vytMP1OyDgAY&amp;q=site%3Alinkedin.com+Ashley+Carmichael+University+Recruiter+Google+via+Artech+Information+Systems" TargetMode="External"/><Relationship Id="rId1493" Type="http://schemas.openxmlformats.org/officeDocument/2006/relationships/hyperlink" Target="https://www.google.com/search?newwindow=1&amp;ei=2MT0XrvGGM-vytMP1OyDgAY&amp;q=site%3Alinkedin.com+Ron+Hamilton+University+Recruiter" TargetMode="External"/><Relationship Id="rId1494" Type="http://schemas.openxmlformats.org/officeDocument/2006/relationships/hyperlink" Target="https://www.google.com/search?newwindow=1&amp;ei=2MT0XrvGGM-vytMP1OyDgAY&amp;q=site%3Alinkedin.com+Kaitlyn+McLeod+Programs+Officer" TargetMode="External"/><Relationship Id="rId664" Type="http://schemas.openxmlformats.org/officeDocument/2006/relationships/hyperlink" Target="https://www.google.com/search?newwindow=1&amp;ei=2MT0XrvGGM-vytMP1OyDgAY&amp;q=site%3Alinkedin.com+Carter+McCormack+Hartung+Campus+Recruiting+Manager" TargetMode="External"/><Relationship Id="rId1495" Type="http://schemas.openxmlformats.org/officeDocument/2006/relationships/hyperlink" Target="https://www.google.com/search?newwindow=1&amp;ei=2MT0XrvGGM-vytMP1OyDgAY&amp;q=site%3Alinkedin.com+Lewis+Waring+Summer+Student+(Manitoba+Infrastructure+-+Policy+Programs+&amp;+Regulation)" TargetMode="External"/><Relationship Id="rId663" Type="http://schemas.openxmlformats.org/officeDocument/2006/relationships/hyperlink" Target="https://www.google.com/search?newwindow=1&amp;ei=2MT0XrvGGM-vytMP1OyDgAY&amp;q=site%3Alinkedin.com+Kathleen+McMillan+Campus+Recruiting+Specialist" TargetMode="External"/><Relationship Id="rId1496" Type="http://schemas.openxmlformats.org/officeDocument/2006/relationships/hyperlink" Target="https://www.google.com/search?newwindow=1&amp;ei=2MT0XrvGGM-vytMP1OyDgAY&amp;q=site%3Alinkedin.com+Desiree+Bagnall+Tourism+Resource+and+Programs+Coordinator" TargetMode="External"/><Relationship Id="rId662" Type="http://schemas.openxmlformats.org/officeDocument/2006/relationships/hyperlink" Target="https://www.google.com/search?newwindow=1&amp;ei=2MT0XrvGGM-vytMP1OyDgAY&amp;q=site%3Alinkedin.com+Kaitlyn+Tallarico+Associate+CTS+Campus+Recruiting+Specialist" TargetMode="External"/><Relationship Id="rId1497" Type="http://schemas.openxmlformats.org/officeDocument/2006/relationships/hyperlink" Target="https://www.google.com/search?newwindow=1&amp;ei=2MT0XrvGGM-vytMP1OyDgAY&amp;q=site%3Alinkedin.com+Anmol+Hehar+Coordinator+-+HR+&amp;+Student/Associate+Programs" TargetMode="External"/><Relationship Id="rId661" Type="http://schemas.openxmlformats.org/officeDocument/2006/relationships/hyperlink" Target="https://www.google.com/search?newwindow=1&amp;ei=2MT0XrvGGM-vytMP1OyDgAY&amp;q=site%3Alinkedin.com+Kori+Kelly+Campus+Recruiting+Manager" TargetMode="External"/><Relationship Id="rId1498" Type="http://schemas.openxmlformats.org/officeDocument/2006/relationships/hyperlink" Target="https://www.google.com/search?newwindow=1&amp;ei=2MT0XrvGGM-vytMP1OyDgAY&amp;q=site%3Alinkedin.com+Cathy+Watkins+Manager+of+Associate+and+Student+Programs" TargetMode="External"/><Relationship Id="rId1488" Type="http://schemas.openxmlformats.org/officeDocument/2006/relationships/hyperlink" Target="https://www.google.com/search?newwindow=1&amp;ei=2MT0XrvGGM-vytMP1OyDgAY&amp;q=site%3Alinkedin.com+Haylee+Gani+Recruiter+Engineering+Leadership+Google" TargetMode="External"/><Relationship Id="rId1489" Type="http://schemas.openxmlformats.org/officeDocument/2006/relationships/hyperlink" Target="https://www.google.com/search?newwindow=1&amp;ei=2MT0XrvGGM-vytMP1OyDgAY&amp;q=site%3Alinkedin.com+Lauran+Woodward+University+Recruiter+Google" TargetMode="External"/><Relationship Id="rId657" Type="http://schemas.openxmlformats.org/officeDocument/2006/relationships/hyperlink" Target="https://www.google.com/search?newwindow=1&amp;ei=2MT0XrvGGM-vytMP1OyDgAY&amp;q=site%3Alinkedin.com+Madeline+Korol+Senior+Campus+Recruiting+Coordinator" TargetMode="External"/><Relationship Id="rId656" Type="http://schemas.openxmlformats.org/officeDocument/2006/relationships/hyperlink" Target="https://www.google.com/search?newwindow=1&amp;ei=2MT0XrvGGM-vytMP1OyDgAY&amp;q=site%3Alinkedin.com+Gregg+Pica+Senior+Campus+Recruiting+Coordinator" TargetMode="External"/><Relationship Id="rId655" Type="http://schemas.openxmlformats.org/officeDocument/2006/relationships/hyperlink" Target="https://www.google.com/search?newwindow=1&amp;ei=2MT0XrvGGM-vytMP1OyDgAY&amp;q=site%3Alinkedin.com+Missy+Miller+Consulting+Campus+Recruiting+Leader" TargetMode="External"/><Relationship Id="rId654" Type="http://schemas.openxmlformats.org/officeDocument/2006/relationships/hyperlink" Target="https://www.google.com/search?newwindow=1&amp;ei=2MT0XrvGGM-vytMP1OyDgAY&amp;q=site%3Alinkedin.com+Lisa+Twomey+PHR+Manager+Consulting+Campus+Recruiting" TargetMode="External"/><Relationship Id="rId659" Type="http://schemas.openxmlformats.org/officeDocument/2006/relationships/hyperlink" Target="https://www.google.com/search?newwindow=1&amp;ei=2MT0XrvGGM-vytMP1OyDgAY&amp;q=site%3Alinkedin.com+Jessica+C.+Campus+Recruiting+Specialist" TargetMode="External"/><Relationship Id="rId658" Type="http://schemas.openxmlformats.org/officeDocument/2006/relationships/hyperlink" Target="https://www.google.com/search?newwindow=1&amp;ei=2MT0XrvGGM-vytMP1OyDgAY&amp;q=site%3Alinkedin.com+Gretchen+Thom+Campus+Recruiting+Specialist+-+Consulting" TargetMode="External"/><Relationship Id="rId1480" Type="http://schemas.openxmlformats.org/officeDocument/2006/relationships/hyperlink" Target="https://www.google.com/search?newwindow=1&amp;ei=2MT0XrvGGM-vytMP1OyDgAY&amp;q=site%3Alinkedin.com+Gabe+Espinosa+Technical+University+Recruiter+&amp;+Project+Manager+-+NA+Google" TargetMode="External"/><Relationship Id="rId1481" Type="http://schemas.openxmlformats.org/officeDocument/2006/relationships/hyperlink" Target="https://www.google.com/search?newwindow=1&amp;ei=2MT0XrvGGM-vytMP1OyDgAY&amp;q=site%3Alinkedin.com+Lindsey+Stewart+Americas+Recruiting+Manager+(Campus+and+Entry-level)+Google" TargetMode="External"/><Relationship Id="rId1482" Type="http://schemas.openxmlformats.org/officeDocument/2006/relationships/hyperlink" Target="https://www.google.com/search?newwindow=1&amp;ei=2MT0XrvGGM-vytMP1OyDgAY&amp;q=site%3Alinkedin.com+Alison+Johnston+College+Intern+Recruiter+Google" TargetMode="External"/><Relationship Id="rId1483" Type="http://schemas.openxmlformats.org/officeDocument/2006/relationships/hyperlink" Target="https://www.google.com/search?newwindow=1&amp;ei=2MT0XrvGGM-vytMP1OyDgAY&amp;q=site%3Alinkedin.com+Amber+Howe-McCarty+Campus+Recruiter+Google" TargetMode="External"/><Relationship Id="rId653" Type="http://schemas.openxmlformats.org/officeDocument/2006/relationships/hyperlink" Target="https://www.google.com/search?newwindow=1&amp;ei=2MT0XrvGGM-vytMP1OyDgAY&amp;q=site%3Alinkedin.com+Isabelle+Mellon+Senior+Campus+Recruiting+Coordinator" TargetMode="External"/><Relationship Id="rId1484" Type="http://schemas.openxmlformats.org/officeDocument/2006/relationships/hyperlink" Target="https://www.google.com/search?newwindow=1&amp;ei=2MT0XrvGGM-vytMP1OyDgAY&amp;q=site%3Alinkedin.com+Ashley+Leonard+University+Tech+Recruiter+Google" TargetMode="External"/><Relationship Id="rId652" Type="http://schemas.openxmlformats.org/officeDocument/2006/relationships/hyperlink" Target="https://www.google.com/search?newwindow=1&amp;ei=2MT0XrvGGM-vytMP1OyDgAY&amp;q=site%3Alinkedin.com+Krysta+DiGregorio+Senior+Campus+Recruiting+Specialist" TargetMode="External"/><Relationship Id="rId1485" Type="http://schemas.openxmlformats.org/officeDocument/2006/relationships/hyperlink" Target="https://www.google.com/search?newwindow=1&amp;ei=2MT0XrvGGM-vytMP1OyDgAY&amp;q=site%3Alinkedin.com+No%C3%ABl+Elgamal+University+Recruiter+Google" TargetMode="External"/><Relationship Id="rId651" Type="http://schemas.openxmlformats.org/officeDocument/2006/relationships/hyperlink" Target="https://www.google.com/search?newwindow=1&amp;ei=2MT0XrvGGM-vytMP1OyDgAY&amp;q=site%3Alinkedin.com+Charlotte+Barszewski+Campus+Recruiting+Specialist" TargetMode="External"/><Relationship Id="rId1486" Type="http://schemas.openxmlformats.org/officeDocument/2006/relationships/hyperlink" Target="https://www.google.com/search?newwindow=1&amp;ei=2MT0XrvGGM-vytMP1OyDgAY&amp;q=site%3Alinkedin.com+Carol+Tsuchiya+College+Recruiter+-+Engineering/Product+Area+Liaison+Google" TargetMode="External"/><Relationship Id="rId650" Type="http://schemas.openxmlformats.org/officeDocument/2006/relationships/hyperlink" Target="https://www.google.com/search?newwindow=1&amp;ei=2MT0XrvGGM-vytMP1OyDgAY&amp;q=site%3Alinkedin.com+Trisha+Maberly+Lead+Campus+Recruiting+Specialist" TargetMode="External"/><Relationship Id="rId1487" Type="http://schemas.openxmlformats.org/officeDocument/2006/relationships/hyperlink" Target="https://www.google.com/search?newwindow=1&amp;ei=2MT0XrvGGM-vytMP1OyDgAY&amp;q=site%3Alinkedin.com+Selma+Handzar+Recruiter+University+Programs+Google" TargetMode="External"/><Relationship Id="rId689" Type="http://schemas.openxmlformats.org/officeDocument/2006/relationships/hyperlink" Target="https://www.google.com/search?newwindow=1&amp;ei=2MT0XrvGGM-vytMP1OyDgAY&amp;q=site%3Alinkedin.com+Madeline+Cahue+Senior+Campus+Recruiting+Specialist" TargetMode="External"/><Relationship Id="rId688" Type="http://schemas.openxmlformats.org/officeDocument/2006/relationships/hyperlink" Target="https://www.google.com/search?newwindow=1&amp;ei=2MT0XrvGGM-vytMP1OyDgAY&amp;q=site%3Alinkedin.com+Zachary+Yarnell+CPA+Campus+Recruiting+Specialist" TargetMode="External"/><Relationship Id="rId687" Type="http://schemas.openxmlformats.org/officeDocument/2006/relationships/hyperlink" Target="https://www.google.com/search?newwindow=1&amp;ei=2MT0XrvGGM-vytMP1OyDgAY&amp;q=site%3Alinkedin.com+Aubrey+Dodds+Senior+Campus+Recruiting+Specialist" TargetMode="External"/><Relationship Id="rId682" Type="http://schemas.openxmlformats.org/officeDocument/2006/relationships/hyperlink" Target="https://www.google.com/search?newwindow=1&amp;ei=2MT0XrvGGM-vytMP1OyDgAY&amp;q=site%3Alinkedin.com+Allyssa+Tivis+Campus+Recruiting+Specialist" TargetMode="External"/><Relationship Id="rId681" Type="http://schemas.openxmlformats.org/officeDocument/2006/relationships/hyperlink" Target="https://www.google.com/search?newwindow=1&amp;ei=2MT0XrvGGM-vytMP1OyDgAY&amp;q=site%3Alinkedin.com+Libby+Schleinat+Campus+Recruiting+Specialist" TargetMode="External"/><Relationship Id="rId680" Type="http://schemas.openxmlformats.org/officeDocument/2006/relationships/hyperlink" Target="https://www.google.com/search?newwindow=1&amp;ei=2MT0XrvGGM-vytMP1OyDgAY&amp;q=site%3Alinkedin.com+Nicole+Votsmier+Consulting+Campus+Recruiting+Manager" TargetMode="External"/><Relationship Id="rId686" Type="http://schemas.openxmlformats.org/officeDocument/2006/relationships/hyperlink" Target="https://www.google.com/search?newwindow=1&amp;ei=2MT0XrvGGM-vytMP1OyDgAY&amp;q=site%3Alinkedin.com+Lauren+Ward+Senior+Campus+Recruiting+Specialist+-+Consulting" TargetMode="External"/><Relationship Id="rId685" Type="http://schemas.openxmlformats.org/officeDocument/2006/relationships/hyperlink" Target="https://www.google.com/search?newwindow=1&amp;ei=2MT0XrvGGM-vytMP1OyDgAY&amp;q=site%3Alinkedin.com+Hanna+Arrington+Senior+Campus+Recruiting+Coordinator" TargetMode="External"/><Relationship Id="rId684" Type="http://schemas.openxmlformats.org/officeDocument/2006/relationships/hyperlink" Target="https://www.google.com/search?newwindow=1&amp;ei=2MT0XrvGGM-vytMP1OyDgAY&amp;q=site%3Alinkedin.com+Sarah+Jensen+Hasenauer+Regional+Campus+Recruiting+Manager" TargetMode="External"/><Relationship Id="rId683" Type="http://schemas.openxmlformats.org/officeDocument/2006/relationships/hyperlink" Target="https://www.google.com/search?newwindow=1&amp;ei=2MT0XrvGGM-vytMP1OyDgAY&amp;q=site%3Alinkedin.com+Amy+Droz+Lead+Campus+Recruiting+Specialist+Deloitte+Consulting+LLP" TargetMode="External"/><Relationship Id="rId679" Type="http://schemas.openxmlformats.org/officeDocument/2006/relationships/hyperlink" Target="https://www.google.com/search?newwindow=1&amp;ei=2MT0XrvGGM-vytMP1OyDgAY&amp;q=site%3Alinkedin.com+Lauren+Fair+Senior+Campus+Recruiting+Specialist" TargetMode="External"/><Relationship Id="rId678" Type="http://schemas.openxmlformats.org/officeDocument/2006/relationships/hyperlink" Target="https://www.google.com/search?newwindow=1&amp;ei=2MT0XrvGGM-vytMP1OyDgAY&amp;q=site%3Alinkedin.com+Caroline+Chao+MA+PHR+Campus+Recruiting+Specialist" TargetMode="External"/><Relationship Id="rId677" Type="http://schemas.openxmlformats.org/officeDocument/2006/relationships/hyperlink" Target="https://www.google.com/search?newwindow=1&amp;ei=2MT0XrvGGM-vytMP1OyDgAY&amp;q=site%3Alinkedin.com+Megan+Schulte+Senior+Campus+Recruiting+Specialist" TargetMode="External"/><Relationship Id="rId676" Type="http://schemas.openxmlformats.org/officeDocument/2006/relationships/hyperlink" Target="https://www.google.com/search?newwindow=1&amp;ei=2MT0XrvGGM-vytMP1OyDgAY&amp;q=site%3Alinkedin.com+Brianne+Petricone+Campus+Recruiting+Coordinator" TargetMode="External"/><Relationship Id="rId671" Type="http://schemas.openxmlformats.org/officeDocument/2006/relationships/hyperlink" Target="https://www.google.com/search?newwindow=1&amp;ei=2MT0XrvGGM-vytMP1OyDgAY&amp;q=site%3Alinkedin.com+Charlotte+Rivard+Senior+Campus+Recruiting+Coordinator" TargetMode="External"/><Relationship Id="rId670" Type="http://schemas.openxmlformats.org/officeDocument/2006/relationships/hyperlink" Target="https://www.google.com/search?newwindow=1&amp;ei=2MT0XrvGGM-vytMP1OyDgAY&amp;q=site%3Alinkedin.com+Cristina+Tomasko+Campus+Recruiting+Manager" TargetMode="External"/><Relationship Id="rId675" Type="http://schemas.openxmlformats.org/officeDocument/2006/relationships/hyperlink" Target="https://www.google.com/search?newwindow=1&amp;ei=2MT0XrvGGM-vytMP1OyDgAY&amp;q=site%3Alinkedin.com+Jessica+Yaeger+Campus+Recruiting+Coordinator" TargetMode="External"/><Relationship Id="rId674" Type="http://schemas.openxmlformats.org/officeDocument/2006/relationships/hyperlink" Target="https://www.google.com/search?newwindow=1&amp;ei=2MT0XrvGGM-vytMP1OyDgAY&amp;q=site%3Alinkedin.com+Laura+Hamilton+Campus+Recruiting+Specialist" TargetMode="External"/><Relationship Id="rId673" Type="http://schemas.openxmlformats.org/officeDocument/2006/relationships/hyperlink" Target="https://www.google.com/search?newwindow=1&amp;ei=2MT0XrvGGM-vytMP1OyDgAY&amp;q=site%3Alinkedin.com+Kristin+Mikelson+Campus+Recruiting+Manager" TargetMode="External"/><Relationship Id="rId672" Type="http://schemas.openxmlformats.org/officeDocument/2006/relationships/hyperlink" Target="https://www.google.com/search?newwindow=1&amp;ei=2MT0XrvGGM-vytMP1OyDgAY&amp;q=site%3Alinkedin.com+William+Hilbrich+Campus+Recruiting+Specialist+-+Consulting" TargetMode="External"/><Relationship Id="rId190" Type="http://schemas.openxmlformats.org/officeDocument/2006/relationships/hyperlink" Target="https://www.google.com/search?newwindow=1&amp;ei=2MT0XrvGGM-vytMP1OyDgAY&amp;q=site%3Alinkedin.com+Caroline+Croy+Campus+Recruiter+American+Express" TargetMode="External"/><Relationship Id="rId194" Type="http://schemas.openxmlformats.org/officeDocument/2006/relationships/hyperlink" Target="https://www.google.com/search?newwindow=1&amp;ei=2MT0XrvGGM-vytMP1OyDgAY&amp;q=site%3Alinkedin.com+Tabitha+James+AppleCare+College+Career+Experience+Recruiter+Apple" TargetMode="External"/><Relationship Id="rId193" Type="http://schemas.openxmlformats.org/officeDocument/2006/relationships/hyperlink" Target="https://www.google.com/search?newwindow=1&amp;ei=2MT0XrvGGM-vytMP1OyDgAY&amp;q=site%3Alinkedin.com+Gina+Willett+University+Relations+Recruiter+Apple" TargetMode="External"/><Relationship Id="rId192" Type="http://schemas.openxmlformats.org/officeDocument/2006/relationships/hyperlink" Target="https://www.google.com/search?newwindow=1&amp;ei=2MT0XrvGGM-vytMP1OyDgAY&amp;q=site%3Alinkedin.com+Naomi+Hillsman+Campus+Recruiter+American+Express" TargetMode="External"/><Relationship Id="rId191" Type="http://schemas.openxmlformats.org/officeDocument/2006/relationships/hyperlink" Target="https://www.google.com/search?newwindow=1&amp;ei=2MT0XrvGGM-vytMP1OyDgAY&amp;q=site%3Alinkedin.com+Kameelah+White+MBA+Senior+Campus+Recruiter-+Tech+American+Express" TargetMode="External"/><Relationship Id="rId187" Type="http://schemas.openxmlformats.org/officeDocument/2006/relationships/hyperlink" Target="https://www.google.com/search?newwindow=1&amp;ei=2MT0XrvGGM-vytMP1OyDgAY&amp;q=site%3Alinkedin.com+Anne-Marie+Corrales+US+Campus+Recruiter+American+Express" TargetMode="External"/><Relationship Id="rId186" Type="http://schemas.openxmlformats.org/officeDocument/2006/relationships/hyperlink" Target="https://www.google.com/search?newwindow=1&amp;ei=2MT0XrvGGM-vytMP1OyDgAY&amp;q=site%3Alinkedin.com+Surabhi+Kapoor+Campus+Recruiter" TargetMode="External"/><Relationship Id="rId185" Type="http://schemas.openxmlformats.org/officeDocument/2006/relationships/hyperlink" Target="https://www.google.com/search?newwindow=1&amp;ei=2MT0XrvGGM-vytMP1OyDgAY&amp;q=site%3Alinkedin.com+Raksha+Patel+EMEA+Campus+Recruitment+Manager" TargetMode="External"/><Relationship Id="rId184" Type="http://schemas.openxmlformats.org/officeDocument/2006/relationships/hyperlink" Target="https://www.google.com/search?newwindow=1&amp;ei=2MT0XrvGGM-vytMP1OyDgAY&amp;q=site%3Alinkedin.com+Mary+Curtis+U.S.+Campus+Recruiter" TargetMode="External"/><Relationship Id="rId189" Type="http://schemas.openxmlformats.org/officeDocument/2006/relationships/hyperlink" Target="https://www.google.com/search?newwindow=1&amp;ei=2MT0XrvGGM-vytMP1OyDgAY&amp;q=site%3Alinkedin.com+Mary+Curtis+U.S.+Campus+Recruiter+American+Express" TargetMode="External"/><Relationship Id="rId188" Type="http://schemas.openxmlformats.org/officeDocument/2006/relationships/hyperlink" Target="https://www.google.com/search?newwindow=1&amp;ei=2MT0XrvGGM-vytMP1OyDgAY&amp;q=site%3Alinkedin.com+Matthew+Bommarito+Campus+Recruiting+Manager+American+Express" TargetMode="External"/><Relationship Id="rId183" Type="http://schemas.openxmlformats.org/officeDocument/2006/relationships/hyperlink" Target="https://www.google.com/search?newwindow=1&amp;ei=2MT0XrvGGM-vytMP1OyDgAY&amp;q=site%3Alinkedin.com+Pamela+Hutton+Campus+Recruiter" TargetMode="External"/><Relationship Id="rId182" Type="http://schemas.openxmlformats.org/officeDocument/2006/relationships/hyperlink" Target="https://www.google.com/search?newwindow=1&amp;ei=2MT0XrvGGM-vytMP1OyDgAY&amp;q=site%3Alinkedin.com+Hannah+Bassett+EMEA+Student+Programs+Tech+Recruiting+Lead" TargetMode="External"/><Relationship Id="rId181" Type="http://schemas.openxmlformats.org/officeDocument/2006/relationships/hyperlink" Target="https://www.google.com/search?newwindow=1&amp;ei=2MT0XrvGGM-vytMP1OyDgAY&amp;q=site%3Alinkedin.com+Lauren+Cheesewright+Senior+Graduate+Recruiter+-+EU+Operations+&amp;+Logistics" TargetMode="External"/><Relationship Id="rId180" Type="http://schemas.openxmlformats.org/officeDocument/2006/relationships/hyperlink" Target="https://www.google.com/search?newwindow=1&amp;ei=2MT0XrvGGM-vytMP1OyDgAY&amp;q=site%3Alinkedin.com+Sara+Ittukiti+College+Recruiter" TargetMode="External"/><Relationship Id="rId176" Type="http://schemas.openxmlformats.org/officeDocument/2006/relationships/hyperlink" Target="https://www.google.com/search?newwindow=1&amp;ei=2MT0XrvGGM-vytMP1OyDgAY&amp;q=site%3Alinkedin.com+Jessica+Mantel+University+Recruiter+Amazon" TargetMode="External"/><Relationship Id="rId175" Type="http://schemas.openxmlformats.org/officeDocument/2006/relationships/hyperlink" Target="https://www.google.com/search?newwindow=1&amp;ei=2MT0XrvGGM-vytMP1OyDgAY&amp;q=site%3Alinkedin.com+Carly+Porter+Student+Programs+Campus+Recruiter+Amazon" TargetMode="External"/><Relationship Id="rId174" Type="http://schemas.openxmlformats.org/officeDocument/2006/relationships/hyperlink" Target="https://www.google.com/search?newwindow=1&amp;ei=2MT0XrvGGM-vytMP1OyDgAY&amp;q=site%3Alinkedin.com+Tony+Liu+Tech+Campus+Recruiter+Amazon" TargetMode="External"/><Relationship Id="rId173" Type="http://schemas.openxmlformats.org/officeDocument/2006/relationships/hyperlink" Target="https://www.google.com/search?newwindow=1&amp;ei=2MT0XrvGGM-vytMP1OyDgAY&amp;q=site%3Alinkedin.com+Jessica+Bates+University+Recruiter+Amazon" TargetMode="External"/><Relationship Id="rId179" Type="http://schemas.openxmlformats.org/officeDocument/2006/relationships/hyperlink" Target="https://www.google.com/search?newwindow=1&amp;ei=2MT0XrvGGM-vytMP1OyDgAY&amp;q=site%3Alinkedin.com+Betty+Quach+Program+Manager+Amazon+Web+Services" TargetMode="External"/><Relationship Id="rId178" Type="http://schemas.openxmlformats.org/officeDocument/2006/relationships/hyperlink" Target="https://www.google.com/search?newwindow=1&amp;ei=2MT0XrvGGM-vytMP1OyDgAY&amp;q=site%3Alinkedin.com+Carrie+Perretta-Murphy+Sr.+Technical+Recruiter+and+Campus+Lead+Amazon+Robotics" TargetMode="External"/><Relationship Id="rId177" Type="http://schemas.openxmlformats.org/officeDocument/2006/relationships/hyperlink" Target="https://www.google.com/search?newwindow=1&amp;ei=2MT0XrvGGM-vytMP1OyDgAY&amp;q=site%3Alinkedin.com+Gabby+Ellis+Campus+Recruiting+Manager+Amazon+Prime+Student" TargetMode="External"/><Relationship Id="rId198" Type="http://schemas.openxmlformats.org/officeDocument/2006/relationships/hyperlink" Target="https://www.google.com/search?newwindow=1&amp;ei=2MT0XrvGGM-vytMP1OyDgAY&amp;q=site%3Alinkedin.com+Greg+Emory+Tier+2+At+Home+Technical+Advisor+and+Mentor.++LSU+on+campus+recruiter+Apple" TargetMode="External"/><Relationship Id="rId197" Type="http://schemas.openxmlformats.org/officeDocument/2006/relationships/hyperlink" Target="https://www.google.com/search?newwindow=1&amp;ei=2MT0XrvGGM-vytMP1OyDgAY&amp;q=site%3Alinkedin.com+Dianna+Chourarath+University+Relations+Recruiter+Apple" TargetMode="External"/><Relationship Id="rId196" Type="http://schemas.openxmlformats.org/officeDocument/2006/relationships/hyperlink" Target="https://www.google.com/search?newwindow=1&amp;ei=2MT0XrvGGM-vytMP1OyDgAY&amp;q=site%3Alinkedin.com+Heather+French+Senior+University+Recruiter+-+MBA+Recruiting+Lead+Apple" TargetMode="External"/><Relationship Id="rId195" Type="http://schemas.openxmlformats.org/officeDocument/2006/relationships/hyperlink" Target="https://www.google.com/search?newwindow=1&amp;ei=2MT0XrvGGM-vytMP1OyDgAY&amp;q=site%3Alinkedin.com+Courtney+Yeager+Recruiter+University+Relations+Apple" TargetMode="External"/><Relationship Id="rId199" Type="http://schemas.openxmlformats.org/officeDocument/2006/relationships/hyperlink" Target="https://www.google.com/search?newwindow=1&amp;ei=2MT0XrvGGM-vytMP1OyDgAY&amp;q=site%3Alinkedin.com+Antonio+Salinas+University+Relations+Recruiter+Apple" TargetMode="External"/><Relationship Id="rId150" Type="http://schemas.openxmlformats.org/officeDocument/2006/relationships/hyperlink" Target="https://www.google.com/search?newwindow=1&amp;ei=2MT0XrvGGM-vytMP1OyDgAY&amp;q=site%3Alinkedin.com+Teresa+Landry+University+Recruiter+(Contract)+Amazon" TargetMode="External"/><Relationship Id="rId149" Type="http://schemas.openxmlformats.org/officeDocument/2006/relationships/hyperlink" Target="https://www.google.com/search?newwindow=1&amp;ei=2MT0XrvGGM-vytMP1OyDgAY&amp;q=site%3Alinkedin.com+Luann+A.+University+Recruiter-+HR+Operations+Amazon" TargetMode="External"/><Relationship Id="rId148" Type="http://schemas.openxmlformats.org/officeDocument/2006/relationships/hyperlink" Target="https://www.google.com/search?newwindow=1&amp;ei=2MT0XrvGGM-vytMP1OyDgAY&amp;q=site%3Alinkedin.com+Henal+Majethia+Operations+University+Recruiter+Amazon" TargetMode="External"/><Relationship Id="rId143" Type="http://schemas.openxmlformats.org/officeDocument/2006/relationships/hyperlink" Target="https://www.google.com/search?newwindow=1&amp;ei=2MT0XrvGGM-vytMP1OyDgAY&amp;q=site%3Alinkedin.com+Jessica+Campbell+University+Recruiter-Ops+TA+Amazon" TargetMode="External"/><Relationship Id="rId142" Type="http://schemas.openxmlformats.org/officeDocument/2006/relationships/hyperlink" Target="https://www.google.com/search?newwindow=1&amp;ei=2MT0XrvGGM-vytMP1OyDgAY&amp;q=site%3Alinkedin.com+Dillon+Draper+University+Operations+Recruiter+Amazon" TargetMode="External"/><Relationship Id="rId141" Type="http://schemas.openxmlformats.org/officeDocument/2006/relationships/hyperlink" Target="https://www.google.com/search?newwindow=1&amp;ei=2MT0XrvGGM-vytMP1OyDgAY&amp;q=site%3Alinkedin.com+Angelica+Loya+University+Recruiter+-+Amazon+Amazon" TargetMode="External"/><Relationship Id="rId140" Type="http://schemas.openxmlformats.org/officeDocument/2006/relationships/hyperlink" Target="https://www.google.com/search?newwindow=1&amp;ei=2MT0XrvGGM-vytMP1OyDgAY&amp;q=site%3Alinkedin.com+Kristen+Stygar+University+Recruiter+Amazon" TargetMode="External"/><Relationship Id="rId147" Type="http://schemas.openxmlformats.org/officeDocument/2006/relationships/hyperlink" Target="https://www.google.com/search?newwindow=1&amp;ei=2MT0XrvGGM-vytMP1OyDgAY&amp;q=site%3Alinkedin.com+Nimon+Macid+University+Recruiter+Amazon" TargetMode="External"/><Relationship Id="rId146" Type="http://schemas.openxmlformats.org/officeDocument/2006/relationships/hyperlink" Target="https://www.google.com/search?newwindow=1&amp;ei=2MT0XrvGGM-vytMP1OyDgAY&amp;q=site%3Alinkedin.com+Symone+Black+University+Recruiter+II+Amazon" TargetMode="External"/><Relationship Id="rId145" Type="http://schemas.openxmlformats.org/officeDocument/2006/relationships/hyperlink" Target="https://www.google.com/search?newwindow=1&amp;ei=2MT0XrvGGM-vytMP1OyDgAY&amp;q=site%3Alinkedin.com+Kinnera+Kokulla+University+Ops+recruiter+Amazon" TargetMode="External"/><Relationship Id="rId144" Type="http://schemas.openxmlformats.org/officeDocument/2006/relationships/hyperlink" Target="https://www.google.com/search?newwindow=1&amp;ei=2MT0XrvGGM-vytMP1OyDgAY&amp;q=site%3Alinkedin.com+Wade+Irwin+CTL+Ops+University+Recruiter+Amazon" TargetMode="External"/><Relationship Id="rId139" Type="http://schemas.openxmlformats.org/officeDocument/2006/relationships/hyperlink" Target="https://www.google.com/search?newwindow=1&amp;ei=2MT0XrvGGM-vytMP1OyDgAY&amp;q=site%3Alinkedin.com+Jennifer+Sula+University+Recruiter+Amazon" TargetMode="External"/><Relationship Id="rId138" Type="http://schemas.openxmlformats.org/officeDocument/2006/relationships/hyperlink" Target="https://www.google.com/search?newwindow=1&amp;ei=2MT0XrvGGM-vytMP1OyDgAY&amp;q=site%3Alinkedin.com+Vannessa+Trahan+Client+Lead+University+Recruiter+Amazon" TargetMode="External"/><Relationship Id="rId137" Type="http://schemas.openxmlformats.org/officeDocument/2006/relationships/hyperlink" Target="https://www.google.com/search?newwindow=1&amp;ei=2MT0XrvGGM-vytMP1OyDgAY&amp;q=site%3Alinkedin.com+Jen+Bednar+Sr.+Recruiter+Student+(University)+Programs+-+MBA+Amazon" TargetMode="External"/><Relationship Id="rId132" Type="http://schemas.openxmlformats.org/officeDocument/2006/relationships/hyperlink" Target="https://www.google.com/search?newwindow=1&amp;ei=2MT0XrvGGM-vytMP1OyDgAY&amp;q=site%3Alinkedin.com+Eric+Paradis+Recruiter+-+Student+Programs" TargetMode="External"/><Relationship Id="rId131" Type="http://schemas.openxmlformats.org/officeDocument/2006/relationships/hyperlink" Target="https://www.google.com/search?newwindow=1&amp;ei=2MT0XrvGGM-vytMP1OyDgAY&amp;q=site%3Alinkedin.com+Ankur+Sinha+Senior+Recruiter+-+Student+Programs+and+University+Hiring" TargetMode="External"/><Relationship Id="rId130" Type="http://schemas.openxmlformats.org/officeDocument/2006/relationships/hyperlink" Target="https://www.google.com/search?newwindow=1&amp;ei=2MT0XrvGGM-vytMP1OyDgAY&amp;q=site%3Alinkedin.com+Olivia+Hopp%C3%A9+Student+Programs+Recruiter+EMEA" TargetMode="External"/><Relationship Id="rId136" Type="http://schemas.openxmlformats.org/officeDocument/2006/relationships/hyperlink" Target="https://www.google.com/search?newwindow=1&amp;ei=2MT0XrvGGM-vytMP1OyDgAY&amp;q=site%3Alinkedin.com+Olivia+Hopkins+University+Recruiter+-+Corporate+Operations+Amazon" TargetMode="External"/><Relationship Id="rId135" Type="http://schemas.openxmlformats.org/officeDocument/2006/relationships/hyperlink" Target="https://www.google.com/search?newwindow=1&amp;ei=2MT0XrvGGM-vytMP1OyDgAY&amp;q=site%3Alinkedin.com+Anna+McQuaid+Recruiter+-+University+Ops+Amazon" TargetMode="External"/><Relationship Id="rId134" Type="http://schemas.openxmlformats.org/officeDocument/2006/relationships/hyperlink" Target="https://www.google.com/search?newwindow=1&amp;ei=2MT0XrvGGM-vytMP1OyDgAY&amp;q=site%3Alinkedin.com+Nina+Pantich+University+Recruiter+Amazon" TargetMode="External"/><Relationship Id="rId133" Type="http://schemas.openxmlformats.org/officeDocument/2006/relationships/hyperlink" Target="https://www.google.com/search?newwindow=1&amp;ei=2MT0XrvGGM-vytMP1OyDgAY&amp;q=site%3Alinkedin.com+Renata+Roncalli+UK+Campus+Recruiter" TargetMode="External"/><Relationship Id="rId172" Type="http://schemas.openxmlformats.org/officeDocument/2006/relationships/hyperlink" Target="https://www.google.com/search?newwindow=1&amp;ei=2MT0XrvGGM-vytMP1OyDgAY&amp;q=site%3Alinkedin.com+ShanShan+Tan+University+Recruiter+Amazon" TargetMode="External"/><Relationship Id="rId171" Type="http://schemas.openxmlformats.org/officeDocument/2006/relationships/hyperlink" Target="https://www.google.com/search?newwindow=1&amp;ei=2MT0XrvGGM-vytMP1OyDgAY&amp;q=site%3Alinkedin.com+Talitha+S.+University+Recruiter+Amazon+Operations+Amazon" TargetMode="External"/><Relationship Id="rId170" Type="http://schemas.openxmlformats.org/officeDocument/2006/relationships/hyperlink" Target="https://www.google.com/search?newwindow=1&amp;ei=2MT0XrvGGM-vytMP1OyDgAY&amp;q=site%3Alinkedin.com+Shavonne+Mehaffey+University+Recruiter+Amazon" TargetMode="External"/><Relationship Id="rId165" Type="http://schemas.openxmlformats.org/officeDocument/2006/relationships/hyperlink" Target="https://www.google.com/search?newwindow=1&amp;ei=2MT0XrvGGM-vytMP1OyDgAY&amp;q=site%3Alinkedin.com+Sharon+Kim+University+Recruiter+Amazon" TargetMode="External"/><Relationship Id="rId164" Type="http://schemas.openxmlformats.org/officeDocument/2006/relationships/hyperlink" Target="https://www.google.com/search?newwindow=1&amp;ei=2MT0XrvGGM-vytMP1OyDgAY&amp;q=site%3Alinkedin.com+Joshua+Ng+University+Operations+Recruiter+Amazon" TargetMode="External"/><Relationship Id="rId163" Type="http://schemas.openxmlformats.org/officeDocument/2006/relationships/hyperlink" Target="https://www.google.com/search?newwindow=1&amp;ei=2MT0XrvGGM-vytMP1OyDgAY&amp;q=site%3Alinkedin.com+Jessica+Shellan+University+Recruiter+Amazon" TargetMode="External"/><Relationship Id="rId162" Type="http://schemas.openxmlformats.org/officeDocument/2006/relationships/hyperlink" Target="https://www.google.com/search?newwindow=1&amp;ei=2MT0XrvGGM-vytMP1OyDgAY&amp;q=site%3Alinkedin.com+Andreea+Patruta+University+Tech+Recruiter+Amazon" TargetMode="External"/><Relationship Id="rId169" Type="http://schemas.openxmlformats.org/officeDocument/2006/relationships/hyperlink" Target="https://www.google.com/search?newwindow=1&amp;ei=2MT0XrvGGM-vytMP1OyDgAY&amp;q=site%3Alinkedin.com+Taylor+Rowland+University+Recruiter+Amazon+Operations+Amazon" TargetMode="External"/><Relationship Id="rId168" Type="http://schemas.openxmlformats.org/officeDocument/2006/relationships/hyperlink" Target="https://www.google.com/search?newwindow=1&amp;ei=2MT0XrvGGM-vytMP1OyDgAY&amp;q=site%3Alinkedin.com+Cristina+LeCuyer+Client+Lead+Recruiter+University+Operations+Amazon" TargetMode="External"/><Relationship Id="rId167" Type="http://schemas.openxmlformats.org/officeDocument/2006/relationships/hyperlink" Target="https://www.google.com/search?newwindow=1&amp;ei=2MT0XrvGGM-vytMP1OyDgAY&amp;q=site%3Alinkedin.com+Shreya+Shah+University+Operations+Recruiter+(Non-Tech)+Amazon" TargetMode="External"/><Relationship Id="rId166" Type="http://schemas.openxmlformats.org/officeDocument/2006/relationships/hyperlink" Target="https://www.google.com/search?newwindow=1&amp;ei=2MT0XrvGGM-vytMP1OyDgAY&amp;q=site%3Alinkedin.com+Jennifer+Lindquist+University+Recruiter+-+Operations+Amazon" TargetMode="External"/><Relationship Id="rId161" Type="http://schemas.openxmlformats.org/officeDocument/2006/relationships/hyperlink" Target="https://www.google.com/search?newwindow=1&amp;ei=2MT0XrvGGM-vytMP1OyDgAY&amp;q=site%3Alinkedin.com+Laynee+Brown+Client+Lead+Recruiter+University+Operations+Amazon" TargetMode="External"/><Relationship Id="rId160" Type="http://schemas.openxmlformats.org/officeDocument/2006/relationships/hyperlink" Target="https://www.google.com/search?newwindow=1&amp;ei=2MT0XrvGGM-vytMP1OyDgAY&amp;q=site%3Alinkedin.com+Stephanie+Kang+University+Recruiter+Amazon" TargetMode="External"/><Relationship Id="rId159" Type="http://schemas.openxmlformats.org/officeDocument/2006/relationships/hyperlink" Target="https://www.google.com/search?newwindow=1&amp;ei=2MT0XrvGGM-vytMP1OyDgAY&amp;q=site%3Alinkedin.com+David+Magnotta+Lead+University+Recruiter+(Recruiter+II)+Amazon" TargetMode="External"/><Relationship Id="rId154" Type="http://schemas.openxmlformats.org/officeDocument/2006/relationships/hyperlink" Target="https://www.google.com/search?newwindow=1&amp;ei=2MT0XrvGGM-vytMP1OyDgAY&amp;q=site%3Alinkedin.com+Jessie+Flores+University+Recruiter/Sourcer+l+and+ll+Amazon" TargetMode="External"/><Relationship Id="rId153" Type="http://schemas.openxmlformats.org/officeDocument/2006/relationships/hyperlink" Target="https://www.google.com/search?newwindow=1&amp;ei=2MT0XrvGGM-vytMP1OyDgAY&amp;q=site%3Alinkedin.com+Debora+P.+University+Recruiter-+Worldwide+Operations+Team+Amazon" TargetMode="External"/><Relationship Id="rId152" Type="http://schemas.openxmlformats.org/officeDocument/2006/relationships/hyperlink" Target="https://www.google.com/search?newwindow=1&amp;ei=2MT0XrvGGM-vytMP1OyDgAY&amp;q=site%3Alinkedin.com+Macarena+Arceo+University+Recruiter+-+Ops+Amazon" TargetMode="External"/><Relationship Id="rId151" Type="http://schemas.openxmlformats.org/officeDocument/2006/relationships/hyperlink" Target="https://www.google.com/search?newwindow=1&amp;ei=2MT0XrvGGM-vytMP1OyDgAY&amp;q=site%3Alinkedin.com+Lucas+Burton+Recruiter+-+University+Operations+Amazon" TargetMode="External"/><Relationship Id="rId158" Type="http://schemas.openxmlformats.org/officeDocument/2006/relationships/hyperlink" Target="https://www.google.com/search?newwindow=1&amp;ei=2MT0XrvGGM-vytMP1OyDgAY&amp;q=site%3Alinkedin.com+J.J.+Wilford+University+Operations+Recruiter+Amazon" TargetMode="External"/><Relationship Id="rId157" Type="http://schemas.openxmlformats.org/officeDocument/2006/relationships/hyperlink" Target="https://www.google.com/search?newwindow=1&amp;ei=2MT0XrvGGM-vytMP1OyDgAY&amp;q=site%3Alinkedin.com+Zack+Summers+University+Recruiter+Amazon" TargetMode="External"/><Relationship Id="rId156" Type="http://schemas.openxmlformats.org/officeDocument/2006/relationships/hyperlink" Target="https://www.google.com/search?newwindow=1&amp;ei=2MT0XrvGGM-vytMP1OyDgAY&amp;q=site%3Alinkedin.com+Jewel+Rose+University+Recruiter+Amazon" TargetMode="External"/><Relationship Id="rId155" Type="http://schemas.openxmlformats.org/officeDocument/2006/relationships/hyperlink" Target="https://www.google.com/search?newwindow=1&amp;ei=2MT0XrvGGM-vytMP1OyDgAY&amp;q=site%3Alinkedin.com+Renee+M.+Senior+University+Recruiter+MBA+Recruiting+Amazon" TargetMode="External"/><Relationship Id="rId1510" Type="http://schemas.openxmlformats.org/officeDocument/2006/relationships/hyperlink" Target="https://www.google.com/search?newwindow=1&amp;ei=2MT0XrvGGM-vytMP1OyDgAY&amp;q=site%3Alinkedin.com+Julie+Hansen+Texoma+Market+Lead+University+Recruiting+Grant+Thornton+LLP" TargetMode="External"/><Relationship Id="rId1511" Type="http://schemas.openxmlformats.org/officeDocument/2006/relationships/hyperlink" Target="https://www.google.com/search?newwindow=1&amp;ei=2MT0XrvGGM-vytMP1OyDgAY&amp;q=site%3Alinkedin.com+Mary+Latino+Recruiting+Associate+University+Recruiting+Grant+Thornton+LLP" TargetMode="External"/><Relationship Id="rId1512" Type="http://schemas.openxmlformats.org/officeDocument/2006/relationships/hyperlink" Target="https://www.google.com/search?newwindow=1&amp;ei=2MT0XrvGGM-vytMP1OyDgAY&amp;q=site%3Alinkedin.com+Raven+Fournier+Janssen+Senior+University+Recruiter+Grant+Thornton+LLP" TargetMode="External"/><Relationship Id="rId1513" Type="http://schemas.openxmlformats.org/officeDocument/2006/relationships/hyperlink" Target="https://www.google.com/search?newwindow=1&amp;ei=2MT0XrvGGM-vytMP1OyDgAY&amp;q=site%3Alinkedin.com+Katerina+Theodore+OConnell+University+Recruiter+Grant+Thornton+LLP" TargetMode="External"/><Relationship Id="rId1514" Type="http://schemas.openxmlformats.org/officeDocument/2006/relationships/hyperlink" Target="https://www.google.com/search?newwindow=1&amp;ei=2MT0XrvGGM-vytMP1OyDgAY&amp;q=site%3Alinkedin.com+Kelley+I.+Senior+University+Recruiter+Grant+Thornton+LLP" TargetMode="External"/><Relationship Id="rId1515" Type="http://schemas.openxmlformats.org/officeDocument/2006/relationships/hyperlink" Target="https://www.google.com/search?newwindow=1&amp;ei=2MT0XrvGGM-vytMP1OyDgAY&amp;q=site%3Alinkedin.com+Victoria+Mack+University+Recruiter+Grant+Thornton+LLP" TargetMode="External"/><Relationship Id="rId1516" Type="http://schemas.openxmlformats.org/officeDocument/2006/relationships/hyperlink" Target="https://www.google.com/search?newwindow=1&amp;ei=2MT0XrvGGM-vytMP1OyDgAY&amp;q=site%3Alinkedin.com+Madelein+Hawthorne+Office+Manager+and+Graduate+Recruiter" TargetMode="External"/><Relationship Id="rId1517" Type="http://schemas.openxmlformats.org/officeDocument/2006/relationships/hyperlink" Target="https://www.google.com/search?newwindow=1&amp;ei=2MT0XrvGGM-vytMP1OyDgAY&amp;q=site%3Alinkedin.com+Jennifer+Berman+National+Manager+CPA+Student+Program" TargetMode="External"/><Relationship Id="rId1518" Type="http://schemas.openxmlformats.org/officeDocument/2006/relationships/hyperlink" Target="https://www.google.com/search?newwindow=1&amp;ei=2MT0XrvGGM-vytMP1OyDgAY&amp;q=site%3Alinkedin.com+Lynn+Steele+Janson+Administrative+Assistant+&amp;+Campus+Recruiting+Coordinator" TargetMode="External"/><Relationship Id="rId1519" Type="http://schemas.openxmlformats.org/officeDocument/2006/relationships/hyperlink" Target="https://www.google.com/search?newwindow=1&amp;ei=2MT0XrvGGM-vytMP1OyDgAY&amp;q=site%3Alinkedin.com+Mary+Latino+Recruiting+Associate+University+Recruiting" TargetMode="External"/><Relationship Id="rId1500" Type="http://schemas.openxmlformats.org/officeDocument/2006/relationships/hyperlink" Target="https://www.google.com/search?newwindow=1&amp;ei=2MT0XrvGGM-vytMP1OyDgAY&amp;q=site%3Alinkedin.com+Ruth+Durgy+Associate+&amp;+Student+Programs+Coordinator" TargetMode="External"/><Relationship Id="rId1501" Type="http://schemas.openxmlformats.org/officeDocument/2006/relationships/hyperlink" Target="https://www.google.com/search?newwindow=1&amp;ei=2MT0XrvGGM-vytMP1OyDgAY&amp;q=site%3Alinkedin.com+Bissoon+Radica+Coordinator+of+Student+and+Associate+Programs" TargetMode="External"/><Relationship Id="rId1502" Type="http://schemas.openxmlformats.org/officeDocument/2006/relationships/hyperlink" Target="https://www.google.com/search?newwindow=1&amp;ei=2MT0XrvGGM-vytMP1OyDgAY&amp;q=site%3Alinkedin.com+Ashley+Coss+Coordinator+of+Student+and+Associate+Programs" TargetMode="External"/><Relationship Id="rId1503" Type="http://schemas.openxmlformats.org/officeDocument/2006/relationships/hyperlink" Target="https://www.google.com/search?newwindow=1&amp;ei=2MT0XrvGGM-vytMP1OyDgAY&amp;q=site%3Alinkedin.com+Erin+Lamport+Campus+Recruiter+Grant+Thornton" TargetMode="External"/><Relationship Id="rId1504" Type="http://schemas.openxmlformats.org/officeDocument/2006/relationships/hyperlink" Target="https://www.google.com/search?newwindow=1&amp;ei=2MT0XrvGGM-vytMP1OyDgAY&amp;q=site%3Alinkedin.com+Olivia+W.+University+Recruiter+Grant+Thornton+LLP" TargetMode="External"/><Relationship Id="rId1505" Type="http://schemas.openxmlformats.org/officeDocument/2006/relationships/hyperlink" Target="https://www.google.com/search?newwindow=1&amp;ei=2MT0XrvGGM-vytMP1OyDgAY&amp;q=site%3Alinkedin.com+Katie+Collins+Senior+University+Recruiter+Grant+Thornton+LLP" TargetMode="External"/><Relationship Id="rId1506" Type="http://schemas.openxmlformats.org/officeDocument/2006/relationships/hyperlink" Target="https://www.google.com/search?newwindow=1&amp;ei=2MT0XrvGGM-vytMP1OyDgAY&amp;q=site%3Alinkedin.com+Molly+Curran+University+Recruiter+Grant+Thornton+LLP" TargetMode="External"/><Relationship Id="rId1507" Type="http://schemas.openxmlformats.org/officeDocument/2006/relationships/hyperlink" Target="https://www.google.com/search?newwindow=1&amp;ei=2MT0XrvGGM-vytMP1OyDgAY&amp;q=site%3Alinkedin.com+Grace+King+University+Recruiter+Grant+Thornton+LLP" TargetMode="External"/><Relationship Id="rId1508" Type="http://schemas.openxmlformats.org/officeDocument/2006/relationships/hyperlink" Target="https://www.google.com/search?newwindow=1&amp;ei=2MT0XrvGGM-vytMP1OyDgAY&amp;q=site%3Alinkedin.com+Megan+Williamson+University+Recruiter+Grant+Thornton+LLP" TargetMode="External"/><Relationship Id="rId1509" Type="http://schemas.openxmlformats.org/officeDocument/2006/relationships/hyperlink" Target="https://www.google.com/search?newwindow=1&amp;ei=2MT0XrvGGM-vytMP1OyDgAY&amp;q=site%3Alinkedin.com+Nichole+R.+Justus+University+Recruiter+Grant+Thornton+LLP" TargetMode="External"/><Relationship Id="rId1576" Type="http://schemas.openxmlformats.org/officeDocument/2006/relationships/hyperlink" Target="https://www.google.com/search?newwindow=1&amp;ei=2MT0XrvGGM-vytMP1OyDgAY&amp;q=site%3Alinkedin.com+Marnie+Wright+Campus+Recruiter" TargetMode="External"/><Relationship Id="rId1577" Type="http://schemas.openxmlformats.org/officeDocument/2006/relationships/hyperlink" Target="https://www.google.com/search?newwindow=1&amp;ei=2MT0XrvGGM-vytMP1OyDgAY&amp;q=site%3Alinkedin.com+Saoirse+Brewer+Campus+Recruiter+&amp;+Programme+Manager" TargetMode="External"/><Relationship Id="rId1578" Type="http://schemas.openxmlformats.org/officeDocument/2006/relationships/hyperlink" Target="https://www.google.com/search?newwindow=1&amp;ei=2MT0XrvGGM-vytMP1OyDgAY&amp;q=site%3Alinkedin.com+Saoirse+Brewer+Campus+Recruiter" TargetMode="External"/><Relationship Id="rId1579" Type="http://schemas.openxmlformats.org/officeDocument/2006/relationships/hyperlink" Target="https://www.google.com/search?newwindow=1&amp;ei=2MT0XrvGGM-vytMP1OyDgAY&amp;q=site%3Alinkedin.com+Perry+Thurston+Vice+President+Campus+Recruiting" TargetMode="External"/><Relationship Id="rId987" Type="http://schemas.openxmlformats.org/officeDocument/2006/relationships/hyperlink" Target="https://www.google.com/search?newwindow=1&amp;ei=2MT0XrvGGM-vytMP1OyDgAY&amp;q=site%3Alinkedin.com+Yasmin+Xavier+Campus+Recruiter+EY" TargetMode="External"/><Relationship Id="rId986" Type="http://schemas.openxmlformats.org/officeDocument/2006/relationships/hyperlink" Target="https://www.google.com/search?newwindow=1&amp;ei=2MT0XrvGGM-vytMP1OyDgAY&amp;q=site%3Alinkedin.com+Jessica+M.+Campus+Recruiter+Supervising+Associate+EY" TargetMode="External"/><Relationship Id="rId985" Type="http://schemas.openxmlformats.org/officeDocument/2006/relationships/hyperlink" Target="https://www.google.com/search?newwindow=1&amp;ei=2MT0XrvGGM-vytMP1OyDgAY&amp;q=site%3Alinkedin.com+Meaghan+Sansbury+Campus+Recruiter+Supervising+Associate+EY" TargetMode="External"/><Relationship Id="rId984" Type="http://schemas.openxmlformats.org/officeDocument/2006/relationships/hyperlink" Target="https://www.google.com/search?newwindow=1&amp;ei=2MT0XrvGGM-vytMP1OyDgAY&amp;q=site%3Alinkedin.com+Addison+Hugo+Recruiter+Campus+Talent+Attraction+and+Acquisition+EY" TargetMode="External"/><Relationship Id="rId989" Type="http://schemas.openxmlformats.org/officeDocument/2006/relationships/hyperlink" Target="https://www.google.com/search?newwindow=1&amp;ei=2MT0XrvGGM-vytMP1OyDgAY&amp;q=site%3Alinkedin.com+Erin+Green+Campus+Recruiting+Manager+EY" TargetMode="External"/><Relationship Id="rId988" Type="http://schemas.openxmlformats.org/officeDocument/2006/relationships/hyperlink" Target="https://www.google.com/search?newwindow=1&amp;ei=2MT0XrvGGM-vytMP1OyDgAY&amp;q=site%3Alinkedin.com+Lorene+Santos+Rabelo+Campus+Recruiter+EY" TargetMode="External"/><Relationship Id="rId1570" Type="http://schemas.openxmlformats.org/officeDocument/2006/relationships/hyperlink" Target="https://www.google.com/search?newwindow=1&amp;ei=2MT0XrvGGM-vytMP1OyDgAY&amp;q=site%3Alinkedin.com+Krista+Corsentino+Talent+Solutions+Intuit+University+Talent+Acquisition+Manager+Intuit" TargetMode="External"/><Relationship Id="rId1571" Type="http://schemas.openxmlformats.org/officeDocument/2006/relationships/hyperlink" Target="https://www.google.com/search?newwindow=1&amp;ei=2MT0XrvGGM-vytMP1OyDgAY&amp;q=site%3Alinkedin.com+Bryony+Bain+Campus+Recruiting" TargetMode="External"/><Relationship Id="rId983" Type="http://schemas.openxmlformats.org/officeDocument/2006/relationships/hyperlink" Target="https://www.google.com/search?newwindow=1&amp;ei=2MT0XrvGGM-vytMP1OyDgAY&amp;q=site%3Alinkedin.com+Lauren+Thornton+Campus+Recruiter+EY" TargetMode="External"/><Relationship Id="rId1572" Type="http://schemas.openxmlformats.org/officeDocument/2006/relationships/hyperlink" Target="https://www.google.com/search?newwindow=1&amp;ei=2MT0XrvGGM-vytMP1OyDgAY&amp;q=site%3Alinkedin.com+Daryl+Doyle+EMEA+Technology+Campus+Recruiter+HR+Corporate" TargetMode="External"/><Relationship Id="rId982" Type="http://schemas.openxmlformats.org/officeDocument/2006/relationships/hyperlink" Target="https://www.google.com/search?newwindow=1&amp;ei=2MT0XrvGGM-vytMP1OyDgAY&amp;q=site%3Alinkedin.com+Sarah+Fraser+US-East+Campus+Recruiter+Supervising+Assoc.+EY" TargetMode="External"/><Relationship Id="rId1573" Type="http://schemas.openxmlformats.org/officeDocument/2006/relationships/hyperlink" Target="https://www.google.com/search?newwindow=1&amp;ei=2MT0XrvGGM-vytMP1OyDgAY&amp;q=site%3Alinkedin.com+Jessica+Wessely+MBA+Investment+Banking+Campus+Recruiter" TargetMode="External"/><Relationship Id="rId981" Type="http://schemas.openxmlformats.org/officeDocument/2006/relationships/hyperlink" Target="https://www.google.com/search?newwindow=1&amp;ei=2MT0XrvGGM-vytMP1OyDgAY&amp;q=site%3Alinkedin.com+Katie+Mullaney+Campus+Recruiter+EY" TargetMode="External"/><Relationship Id="rId1574" Type="http://schemas.openxmlformats.org/officeDocument/2006/relationships/hyperlink" Target="https://www.google.com/search?newwindow=1&amp;ei=2MT0XrvGGM-vytMP1OyDgAY&amp;q=site%3Alinkedin.com+Oliver+Evans+Digital+&amp;+Platform+Services+Recruiter+EMEA+Campus+Recruitment" TargetMode="External"/><Relationship Id="rId980" Type="http://schemas.openxmlformats.org/officeDocument/2006/relationships/hyperlink" Target="https://www.google.com/search?newwindow=1&amp;ei=2MT0XrvGGM-vytMP1OyDgAY&amp;q=site%3Alinkedin.com+Jennifer+Nienberg+Campus+Recruiter+EY" TargetMode="External"/><Relationship Id="rId1575" Type="http://schemas.openxmlformats.org/officeDocument/2006/relationships/hyperlink" Target="https://www.google.com/search?newwindow=1&amp;ei=2MT0XrvGGM-vytMP1OyDgAY&amp;q=site%3Alinkedin.com+Nat+V.+Campus+Recruiter" TargetMode="External"/><Relationship Id="rId1565" Type="http://schemas.openxmlformats.org/officeDocument/2006/relationships/hyperlink" Target="https://www.google.com/search?newwindow=1&amp;ei=2MT0XrvGGM-vytMP1OyDgAY&amp;q=site%3Alinkedin.com+Cindy+Ng+University+Recruiter+Intuit" TargetMode="External"/><Relationship Id="rId1566" Type="http://schemas.openxmlformats.org/officeDocument/2006/relationships/hyperlink" Target="https://www.google.com/search?newwindow=1&amp;ei=2MT0XrvGGM-vytMP1OyDgAY&amp;q=site%3Alinkedin.com+Ailina+Heim+Senior+University+Recruiter+Intuit" TargetMode="External"/><Relationship Id="rId1567" Type="http://schemas.openxmlformats.org/officeDocument/2006/relationships/hyperlink" Target="https://www.google.com/search?newwindow=1&amp;ei=2MT0XrvGGM-vytMP1OyDgAY&amp;q=site%3Alinkedin.com+Lindsay+Birtcil+University+Recruiter+Intuit" TargetMode="External"/><Relationship Id="rId1568" Type="http://schemas.openxmlformats.org/officeDocument/2006/relationships/hyperlink" Target="https://www.google.com/search?newwindow=1&amp;ei=2MT0XrvGGM-vytMP1OyDgAY&amp;q=site%3Alinkedin.com+Margo+Garcia+Senior+University+Recruiter+MBA+&amp;+Early+Career+Intuit" TargetMode="External"/><Relationship Id="rId1569" Type="http://schemas.openxmlformats.org/officeDocument/2006/relationships/hyperlink" Target="https://www.google.com/search?newwindow=1&amp;ei=2MT0XrvGGM-vytMP1OyDgAY&amp;q=site%3Alinkedin.com+Kacie+Kaneyuki+University+Recruiter:+Technology+Intuit" TargetMode="External"/><Relationship Id="rId976" Type="http://schemas.openxmlformats.org/officeDocument/2006/relationships/hyperlink" Target="https://www.google.com/search?newwindow=1&amp;ei=2MT0XrvGGM-vytMP1OyDgAY&amp;q=site%3Alinkedin.com+Katie+Fiorenzo+Sharp+Campus+Recruiter+-+Transaction+Advisory+Services+EY" TargetMode="External"/><Relationship Id="rId975" Type="http://schemas.openxmlformats.org/officeDocument/2006/relationships/hyperlink" Target="https://www.google.com/search?newwindow=1&amp;ei=2MT0XrvGGM-vytMP1OyDgAY&amp;q=site%3Alinkedin.com+Ellen+Stark+Campus+Recruiter+EY" TargetMode="External"/><Relationship Id="rId974" Type="http://schemas.openxmlformats.org/officeDocument/2006/relationships/hyperlink" Target="https://www.google.com/search?newwindow=1&amp;ei=2MT0XrvGGM-vytMP1OyDgAY&amp;q=site%3Alinkedin.com+Jessica+Robson+Campus+Recruiter+EY" TargetMode="External"/><Relationship Id="rId973" Type="http://schemas.openxmlformats.org/officeDocument/2006/relationships/hyperlink" Target="https://www.google.com/search?newwindow=1&amp;ei=2MT0XrvGGM-vytMP1OyDgAY&amp;q=site%3Alinkedin.com+Kelsey+Rock+Campus+Recruiter+EY" TargetMode="External"/><Relationship Id="rId979" Type="http://schemas.openxmlformats.org/officeDocument/2006/relationships/hyperlink" Target="https://www.google.com/search?newwindow=1&amp;ei=2MT0XrvGGM-vytMP1OyDgAY&amp;q=site%3Alinkedin.com+Ally+Yawman+Campus+Recruiter+EY" TargetMode="External"/><Relationship Id="rId978" Type="http://schemas.openxmlformats.org/officeDocument/2006/relationships/hyperlink" Target="https://www.google.com/search?newwindow=1&amp;ei=2MT0XrvGGM-vytMP1OyDgAY&amp;q=site%3Alinkedin.com+Callie+Jones+Campus+Recruiter+EY" TargetMode="External"/><Relationship Id="rId977" Type="http://schemas.openxmlformats.org/officeDocument/2006/relationships/hyperlink" Target="https://www.google.com/search?newwindow=1&amp;ei=2MT0XrvGGM-vytMP1OyDgAY&amp;q=site%3Alinkedin.com+Erica+Alfaro+Hammett+Campus+Recruiter+Talent+Attraction+and+Acquisition+(TA2)+EY" TargetMode="External"/><Relationship Id="rId1560" Type="http://schemas.openxmlformats.org/officeDocument/2006/relationships/hyperlink" Target="https://www.google.com/search?newwindow=1&amp;ei=2MT0XrvGGM-vytMP1OyDgAY&amp;q=site%3Alinkedin.com+Michael+Cvelbar+Campus+Recruiting+Manager+Intel+Corporation" TargetMode="External"/><Relationship Id="rId972" Type="http://schemas.openxmlformats.org/officeDocument/2006/relationships/hyperlink" Target="https://www.google.com/search?newwindow=1&amp;ei=2MT0XrvGGM-vytMP1OyDgAY&amp;q=site%3Alinkedin.com+Angie+Menendez+Area+Campus+Recruiter+Ernst+and+Young" TargetMode="External"/><Relationship Id="rId1561" Type="http://schemas.openxmlformats.org/officeDocument/2006/relationships/hyperlink" Target="https://www.google.com/search?newwindow=1&amp;ei=2MT0XrvGGM-vytMP1OyDgAY&amp;q=site%3Alinkedin.com+Emily+Durham+Senior+Campus+Recruiter" TargetMode="External"/><Relationship Id="rId971" Type="http://schemas.openxmlformats.org/officeDocument/2006/relationships/hyperlink" Target="https://www.google.com/search?newwindow=1&amp;ei=2MT0XrvGGM-vytMP1OyDgAY&amp;q=site%3Alinkedin.com+Debbie+Dillon+Campus+Recruiter+Ernst+&amp;+Young" TargetMode="External"/><Relationship Id="rId1562" Type="http://schemas.openxmlformats.org/officeDocument/2006/relationships/hyperlink" Target="https://www.google.com/search?newwindow=1&amp;ei=2MT0XrvGGM-vytMP1OyDgAY&amp;q=site%3Alinkedin.com+Mac+Carpenter+University+Recruiter+Intuit" TargetMode="External"/><Relationship Id="rId970" Type="http://schemas.openxmlformats.org/officeDocument/2006/relationships/hyperlink" Target="https://www.google.com/search?newwindow=1&amp;ei=2MT0XrvGGM-vytMP1OyDgAY&amp;q=site%3Alinkedin.com+Danielle+M.+Campus+Recruiter+Ernst+&amp;+Young" TargetMode="External"/><Relationship Id="rId1563" Type="http://schemas.openxmlformats.org/officeDocument/2006/relationships/hyperlink" Target="https://www.google.com/search?newwindow=1&amp;ei=2MT0XrvGGM-vytMP1OyDgAY&amp;q=site%3Alinkedin.com+Eric+Pfeiffer+University+Recruiter+Intuit" TargetMode="External"/><Relationship Id="rId1564" Type="http://schemas.openxmlformats.org/officeDocument/2006/relationships/hyperlink" Target="https://www.google.com/search?newwindow=1&amp;ei=2MT0XrvGGM-vytMP1OyDgAY&amp;q=site%3Alinkedin.com+Elizabeth+Klak+University+Recruiter+Intuit" TargetMode="External"/><Relationship Id="rId1598" Type="http://schemas.openxmlformats.org/officeDocument/2006/relationships/hyperlink" Target="https://www.google.com/search?newwindow=1&amp;ei=2MT0XrvGGM-vytMP1OyDgAY&amp;q=site%3Alinkedin.com+Ana+Sofia+Silva+Asset+&amp;+Wealth+Management+Campus+Recruiter+J.P.+Morgan" TargetMode="External"/><Relationship Id="rId1599" Type="http://schemas.openxmlformats.org/officeDocument/2006/relationships/hyperlink" Target="https://www.google.com/search?newwindow=1&amp;ei=2MT0XrvGGM-vytMP1OyDgAY&amp;q=site%3Alinkedin.com+Michelle+Hall+Senior+Wealth+Management+Campus+Recruiter+J.P.+Morgan" TargetMode="External"/><Relationship Id="rId1590" Type="http://schemas.openxmlformats.org/officeDocument/2006/relationships/hyperlink" Target="https://www.google.com/search?newwindow=1&amp;ei=2MT0XrvGGM-vytMP1OyDgAY&amp;q=site%3Alinkedin.com+Gabriela+Ferra+TSC+CSP+Talent+Acquisition+Specialist+University+Workforce+Recruiter+Johnson+&amp;+Johnson" TargetMode="External"/><Relationship Id="rId1591" Type="http://schemas.openxmlformats.org/officeDocument/2006/relationships/hyperlink" Target="https://www.google.com/search?newwindow=1&amp;ei=2MT0XrvGGM-vytMP1OyDgAY&amp;q=site%3Alinkedin.com+Logan+McBride+PHR+MBA+University+Recruiter+JPL+(NASA%27s+Jet+Propulsion+Laboratory)" TargetMode="External"/><Relationship Id="rId1592" Type="http://schemas.openxmlformats.org/officeDocument/2006/relationships/hyperlink" Target="https://www.google.com/search?newwindow=1&amp;ei=2MT0XrvGGM-vytMP1OyDgAY&amp;q=site%3Alinkedin.com+Amy+Benton+Human+Resources+Firmwide+Campus+Recruiting+Operations+Manager" TargetMode="External"/><Relationship Id="rId1593" Type="http://schemas.openxmlformats.org/officeDocument/2006/relationships/hyperlink" Target="https://www.google.com/search?newwindow=1&amp;ei=2MT0XrvGGM-vytMP1OyDgAY&amp;q=site%3Alinkedin.com+Andrea+Beldecos+Managing+Director+Global+Head+of+Asset+Management+Campus+Recruiting" TargetMode="External"/><Relationship Id="rId1594" Type="http://schemas.openxmlformats.org/officeDocument/2006/relationships/hyperlink" Target="https://www.google.com/search?newwindow=1&amp;ei=2MT0XrvGGM-vytMP1OyDgAY&amp;q=site%3Alinkedin.com+Chelsea+Manowczak+Campus+Recruiter+J.P.+Morgan" TargetMode="External"/><Relationship Id="rId1595" Type="http://schemas.openxmlformats.org/officeDocument/2006/relationships/hyperlink" Target="https://www.google.com/search?newwindow=1&amp;ei=2MT0XrvGGM-vytMP1OyDgAY&amp;q=site%3Alinkedin.com+Elizabeth+Naylor+Campus+Recruiting+&amp;+Analyst+Program+Manager+J.P.+Morgan" TargetMode="External"/><Relationship Id="rId1596" Type="http://schemas.openxmlformats.org/officeDocument/2006/relationships/hyperlink" Target="https://www.google.com/search?newwindow=1&amp;ei=2MT0XrvGGM-vytMP1OyDgAY&amp;q=site%3Alinkedin.com+Wanda+Mendez+Campus+Recruiter+J.P.+Morgan" TargetMode="External"/><Relationship Id="rId1597" Type="http://schemas.openxmlformats.org/officeDocument/2006/relationships/hyperlink" Target="https://www.google.com/search?newwindow=1&amp;ei=2MT0XrvGGM-vytMP1OyDgAY&amp;q=site%3Alinkedin.com+Mitchel+Pardes+Campus+Recruiter+AI+&amp;+Machine+Learning+/+Quantitative+Research+J.P.+Morgan" TargetMode="External"/><Relationship Id="rId1587" Type="http://schemas.openxmlformats.org/officeDocument/2006/relationships/hyperlink" Target="https://www.google.com/search?newwindow=1&amp;ei=2MT0XrvGGM-vytMP1OyDgAY&amp;q=site%3Alinkedin.com+Theresa+Edwards+University+Recruiter+Johnson+&amp;+Johnson" TargetMode="External"/><Relationship Id="rId1588" Type="http://schemas.openxmlformats.org/officeDocument/2006/relationships/hyperlink" Target="https://www.google.com/search?newwindow=1&amp;ei=2MT0XrvGGM-vytMP1OyDgAY&amp;q=site%3Alinkedin.com+Caitlin+OShea+Sr.+University+Pipeline+Recruiter+Johnson+&amp;+Johnson" TargetMode="External"/><Relationship Id="rId1589" Type="http://schemas.openxmlformats.org/officeDocument/2006/relationships/hyperlink" Target="https://www.google.com/search?newwindow=1&amp;ei=2MT0XrvGGM-vytMP1OyDgAY&amp;q=site%3Alinkedin.com+Danielle+Sims+University+Recruiter+via+Kelly+OCG+Johnson+&amp;+Johnson" TargetMode="External"/><Relationship Id="rId998" Type="http://schemas.openxmlformats.org/officeDocument/2006/relationships/hyperlink" Target="https://www.google.com/search?newwindow=1&amp;ei=2MT0XrvGGM-vytMP1OyDgAY&amp;q=site%3Alinkedin.com+Megan+Bruce+Campus+Recruiter+EY" TargetMode="External"/><Relationship Id="rId997" Type="http://schemas.openxmlformats.org/officeDocument/2006/relationships/hyperlink" Target="https://www.google.com/search?newwindow=1&amp;ei=2MT0XrvGGM-vytMP1OyDgAY&amp;q=site%3Alinkedin.com+Erin+Kelly+Campus+Recruiter+EY" TargetMode="External"/><Relationship Id="rId996" Type="http://schemas.openxmlformats.org/officeDocument/2006/relationships/hyperlink" Target="https://www.google.com/search?newwindow=1&amp;ei=2MT0XrvGGM-vytMP1OyDgAY&amp;q=site%3Alinkedin.com+Jordan+England+Campus+Recruiter+Talent+Attraction+and+Acquisition+(TA%C2%B2)+EY" TargetMode="External"/><Relationship Id="rId995" Type="http://schemas.openxmlformats.org/officeDocument/2006/relationships/hyperlink" Target="https://www.google.com/search?newwindow=1&amp;ei=2MT0XrvGGM-vytMP1OyDgAY&amp;q=site%3Alinkedin.com+Leia+Gertos+Campus+Recruiter+EY" TargetMode="External"/><Relationship Id="rId999" Type="http://schemas.openxmlformats.org/officeDocument/2006/relationships/hyperlink" Target="https://www.google.com/search?newwindow=1&amp;ei=2MT0XrvGGM-vytMP1OyDgAY&amp;q=site%3Alinkedin.com+Madison+Pierini+Supervising+Associate+-+Campus+Recruiter++Financial+Services+Organization+EY" TargetMode="External"/><Relationship Id="rId990" Type="http://schemas.openxmlformats.org/officeDocument/2006/relationships/hyperlink" Target="https://www.google.com/search?newwindow=1&amp;ei=2MT0XrvGGM-vytMP1OyDgAY&amp;q=site%3Alinkedin.com+Ella+Ryan+Campus+Recruiter+EY" TargetMode="External"/><Relationship Id="rId1580" Type="http://schemas.openxmlformats.org/officeDocument/2006/relationships/hyperlink" Target="https://www.google.com/search?newwindow=1&amp;ei=2MT0XrvGGM-vytMP1OyDgAY&amp;q=site%3Alinkedin.com+Emily+Collins+EMEA+Sales+&amp;+Marketing+Campus+Recruiter" TargetMode="External"/><Relationship Id="rId1581" Type="http://schemas.openxmlformats.org/officeDocument/2006/relationships/hyperlink" Target="https://www.google.com/search?newwindow=1&amp;ei=2MT0XrvGGM-vytMP1OyDgAY&amp;q=site%3Alinkedin.com+Erin+Kennedy+Allen+PHR+College+Recruiter+John+Deere" TargetMode="External"/><Relationship Id="rId1582" Type="http://schemas.openxmlformats.org/officeDocument/2006/relationships/hyperlink" Target="https://www.google.com/search?newwindow=1&amp;ei=2MT0XrvGGM-vytMP1OyDgAY&amp;q=site%3Alinkedin.com+Liz+Kutzman+University+Relations+Recruiter+John+Deere" TargetMode="External"/><Relationship Id="rId994" Type="http://schemas.openxmlformats.org/officeDocument/2006/relationships/hyperlink" Target="https://www.google.com/search?newwindow=1&amp;ei=2MT0XrvGGM-vytMP1OyDgAY&amp;q=site%3Alinkedin.com+Alyssa+Curl+Campus+Recruiter+EY" TargetMode="External"/><Relationship Id="rId1583" Type="http://schemas.openxmlformats.org/officeDocument/2006/relationships/hyperlink" Target="https://www.google.com/search?newwindow=1&amp;ei=2MT0XrvGGM-vytMP1OyDgAY&amp;q=site%3Alinkedin.com+Mary+Ann+Lindsay+Retired+University+Relations+Recruiter+John+Deere" TargetMode="External"/><Relationship Id="rId993" Type="http://schemas.openxmlformats.org/officeDocument/2006/relationships/hyperlink" Target="https://www.google.com/search?newwindow=1&amp;ei=2MT0XrvGGM-vytMP1OyDgAY&amp;q=site%3Alinkedin.com+Anuj+Patel+Campus+Recruiter+EY" TargetMode="External"/><Relationship Id="rId1584" Type="http://schemas.openxmlformats.org/officeDocument/2006/relationships/hyperlink" Target="https://www.google.com/search?newwindow=1&amp;ei=2MT0XrvGGM-vytMP1OyDgAY&amp;q=site%3Alinkedin.com+Megan+Osterberg+University+Relations+Recruiter+John+Deere" TargetMode="External"/><Relationship Id="rId992" Type="http://schemas.openxmlformats.org/officeDocument/2006/relationships/hyperlink" Target="https://www.google.com/search?newwindow=1&amp;ei=2MT0XrvGGM-vytMP1OyDgAY&amp;q=site%3Alinkedin.com+Merissa+Medlin+Campus+Recruiter+EY" TargetMode="External"/><Relationship Id="rId1585" Type="http://schemas.openxmlformats.org/officeDocument/2006/relationships/hyperlink" Target="https://www.google.com/search?newwindow=1&amp;ei=2MT0XrvGGM-vytMP1OyDgAY&amp;q=site%3Alinkedin.com+Renee+Baptiste-Skyers+Sr.+University+Recruitment+Specialist+(Lead+for+Canada)" TargetMode="External"/><Relationship Id="rId991" Type="http://schemas.openxmlformats.org/officeDocument/2006/relationships/hyperlink" Target="https://www.google.com/search?newwindow=1&amp;ei=2MT0XrvGGM-vytMP1OyDgAY&amp;q=site%3Alinkedin.com+Catherine+Nolff+Campus+Recruiter+EY" TargetMode="External"/><Relationship Id="rId1586" Type="http://schemas.openxmlformats.org/officeDocument/2006/relationships/hyperlink" Target="https://www.google.com/search?newwindow=1&amp;ei=2MT0XrvGGM-vytMP1OyDgAY&amp;q=site%3Alinkedin.com+Krystal+Brindley+HR+Leader+University+Recruiting+Johnson+&amp;+Johnson" TargetMode="External"/><Relationship Id="rId1532" Type="http://schemas.openxmlformats.org/officeDocument/2006/relationships/hyperlink" Target="https://www.google.com/search?newwindow=1&amp;ei=2MT0XrvGGM-vytMP1OyDgAY&amp;q=site%3Alinkedin.com+Raj+Dhaliwal+Graduate+Recruiter" TargetMode="External"/><Relationship Id="rId1533" Type="http://schemas.openxmlformats.org/officeDocument/2006/relationships/hyperlink" Target="https://www.google.com/search?newwindow=1&amp;ei=2MT0XrvGGM-vytMP1OyDgAY&amp;q=site%3Alinkedin.com+Gillian+McLarty+Associate+Campus+Recruiter+HubSpot" TargetMode="External"/><Relationship Id="rId1534" Type="http://schemas.openxmlformats.org/officeDocument/2006/relationships/hyperlink" Target="https://www.google.com/search?newwindow=1&amp;ei=2MT0XrvGGM-vytMP1OyDgAY&amp;q=site%3Alinkedin.com+Glory+Montes+Associate+Campus+Tech+Recruiter+HubSpot" TargetMode="External"/><Relationship Id="rId1535" Type="http://schemas.openxmlformats.org/officeDocument/2006/relationships/hyperlink" Target="https://www.google.com/search?newwindow=1&amp;ei=2MT0XrvGGM-vytMP1OyDgAY&amp;q=site%3Alinkedin.com+Colleen+Grant+Manager+Global+Campus+Recruiting+HubSpot" TargetMode="External"/><Relationship Id="rId1536" Type="http://schemas.openxmlformats.org/officeDocument/2006/relationships/hyperlink" Target="https://www.google.com/search?newwindow=1&amp;ei=2MT0XrvGGM-vytMP1OyDgAY&amp;q=site%3Alinkedin.com+Katelyn+Kearns+Campus+Recruiter+HubSpot" TargetMode="External"/><Relationship Id="rId1537" Type="http://schemas.openxmlformats.org/officeDocument/2006/relationships/hyperlink" Target="https://www.google.com/search?newwindow=1&amp;ei=2MT0XrvGGM-vytMP1OyDgAY&amp;q=site%3Alinkedin.com+Viennie+Chanthachack+(he/him)+Associate+Campus+Recruiter+North+America+&amp;+EMEA+Sales+HubSpot" TargetMode="External"/><Relationship Id="rId1538" Type="http://schemas.openxmlformats.org/officeDocument/2006/relationships/hyperlink" Target="https://www.google.com/search?newwindow=1&amp;ei=2MT0XrvGGM-vytMP1OyDgAY&amp;q=site%3Alinkedin.com+Jessica+Rivera+University+Recruiter+Hulu" TargetMode="External"/><Relationship Id="rId1539" Type="http://schemas.openxmlformats.org/officeDocument/2006/relationships/hyperlink" Target="https://www.google.com/search?newwindow=1&amp;ei=2MT0XrvGGM-vytMP1OyDgAY&amp;q=site%3Alinkedin.com+Jennifer+Weiser+University+Recruiter+Hulu" TargetMode="External"/><Relationship Id="rId949" Type="http://schemas.openxmlformats.org/officeDocument/2006/relationships/hyperlink" Target="https://www.google.com/search?newwindow=1&amp;ei=2MT0XrvGGM-vytMP1OyDgAY&amp;q=site%3Alinkedin.com+Kirsten+Lohrbach+Campus+Recruiting+Manager" TargetMode="External"/><Relationship Id="rId948" Type="http://schemas.openxmlformats.org/officeDocument/2006/relationships/hyperlink" Target="https://www.google.com/search?newwindow=1&amp;ei=2MT0XrvGGM-vytMP1OyDgAY&amp;q=site%3Alinkedin.com+Victoria+Hess+Associate+Director+Campus+Recruiting" TargetMode="External"/><Relationship Id="rId943" Type="http://schemas.openxmlformats.org/officeDocument/2006/relationships/hyperlink" Target="https://www.google.com/search?newwindow=1&amp;ei=2MT0XrvGGM-vytMP1OyDgAY&amp;q=site%3Alinkedin.com+Fredrick+Scott+Americas+Campus+Recruiting+Leader+-+Advisory+Services" TargetMode="External"/><Relationship Id="rId942" Type="http://schemas.openxmlformats.org/officeDocument/2006/relationships/hyperlink" Target="https://www.google.com/search?newwindow=1&amp;ei=2MT0XrvGGM-vytMP1OyDgAY&amp;q=site%3Alinkedin.com+Laura+Warren+Campus+recruiting+assistant" TargetMode="External"/><Relationship Id="rId941" Type="http://schemas.openxmlformats.org/officeDocument/2006/relationships/hyperlink" Target="https://www.google.com/search?newwindow=1&amp;ei=2MT0XrvGGM-vytMP1OyDgAY&amp;q=site%3Alinkedin.com+Ryan+Kist+Recruiting" TargetMode="External"/><Relationship Id="rId940" Type="http://schemas.openxmlformats.org/officeDocument/2006/relationships/hyperlink" Target="https://www.google.com/search?newwindow=1&amp;ei=2MT0XrvGGM-vytMP1OyDgAY&amp;q=site%3Alinkedin.com+Molly+Leighton+National+Assurance+Campus+Recruiting+Lead" TargetMode="External"/><Relationship Id="rId947" Type="http://schemas.openxmlformats.org/officeDocument/2006/relationships/hyperlink" Target="https://www.google.com/search?newwindow=1&amp;ei=2MT0XrvGGM-vytMP1OyDgAY&amp;q=site%3Alinkedin.com+Zoie+Castellanos+Campus+Recruiting+Coordinator" TargetMode="External"/><Relationship Id="rId946" Type="http://schemas.openxmlformats.org/officeDocument/2006/relationships/hyperlink" Target="https://www.google.com/search?newwindow=1&amp;ei=2MT0XrvGGM-vytMP1OyDgAY&amp;q=site%3Alinkedin.com+Kathleen+Corrigan+Campus+Recruiting+Assistant+Director" TargetMode="External"/><Relationship Id="rId945" Type="http://schemas.openxmlformats.org/officeDocument/2006/relationships/hyperlink" Target="https://www.google.com/search?newwindow=1&amp;ei=2MT0XrvGGM-vytMP1OyDgAY&amp;q=site%3Alinkedin.com+Daniela+Goldberger+Campus+Recruiting+Coordinator" TargetMode="External"/><Relationship Id="rId944" Type="http://schemas.openxmlformats.org/officeDocument/2006/relationships/hyperlink" Target="https://www.google.com/search?newwindow=1&amp;ei=2MT0XrvGGM-vytMP1OyDgAY&amp;q=site%3Alinkedin.com+Julie+Benner+Campus+Recruiting+Manager" TargetMode="External"/><Relationship Id="rId1530" Type="http://schemas.openxmlformats.org/officeDocument/2006/relationships/hyperlink" Target="https://www.google.com/search?newwindow=1&amp;ei=2MT0XrvGGM-vytMP1OyDgAY&amp;q=site%3Alinkedin.com+Craig+Thompson+Senior+Graduate+Recruiter+Global+Banking+&amp;+Markets" TargetMode="External"/><Relationship Id="rId1531" Type="http://schemas.openxmlformats.org/officeDocument/2006/relationships/hyperlink" Target="https://www.google.com/search?newwindow=1&amp;ei=2MT0XrvGGM-vytMP1OyDgAY&amp;q=site%3Alinkedin.com+Alison+Lane+Graduate+Recruiter" TargetMode="External"/><Relationship Id="rId1521" Type="http://schemas.openxmlformats.org/officeDocument/2006/relationships/hyperlink" Target="https://www.google.com/search?newwindow=1&amp;ei=2MT0XrvGGM-vytMP1OyDgAY&amp;q=site%3Alinkedin.com+V%C3%A9ronique+Therrien+Student+Recruiter/Conseill%C3%A8re+au+recrutement+des+%C3%A9tudiants" TargetMode="External"/><Relationship Id="rId1522" Type="http://schemas.openxmlformats.org/officeDocument/2006/relationships/hyperlink" Target="https://www.google.com/search?newwindow=1&amp;ei=2MT0XrvGGM-vytMP1OyDgAY&amp;q=site%3Alinkedin.com+Valerie+Brodeur+Learning+Expedition+Programs+Principal+Officer+International+Activities+and+Student+Mobility" TargetMode="External"/><Relationship Id="rId1523" Type="http://schemas.openxmlformats.org/officeDocument/2006/relationships/hyperlink" Target="https://www.google.com/search?newwindow=1&amp;ei=2MT0XrvGGM-vytMP1OyDgAY&amp;q=site%3Alinkedin.com+Ana%C3%AFs+G.+Student+Advisor+for+M.Sc.+&amp;+Ph.D+Programs+Office+of+the+Registrar" TargetMode="External"/><Relationship Id="rId1524" Type="http://schemas.openxmlformats.org/officeDocument/2006/relationships/hyperlink" Target="https://www.google.com/search?newwindow=1&amp;ei=2MT0XrvGGM-vytMP1OyDgAY&amp;q=site%3Alinkedin.com+Sarah+Reynolds+University+Relations+Manager+Honeywell" TargetMode="External"/><Relationship Id="rId1525" Type="http://schemas.openxmlformats.org/officeDocument/2006/relationships/hyperlink" Target="https://www.google.com/search?newwindow=1&amp;ei=2MT0XrvGGM-vytMP1OyDgAY&amp;q=site%3Alinkedin.com+Brian+L.+Thai+University+Recruiter+Honeywell" TargetMode="External"/><Relationship Id="rId1526" Type="http://schemas.openxmlformats.org/officeDocument/2006/relationships/hyperlink" Target="https://www.google.com/search?newwindow=1&amp;ei=2MT0XrvGGM-vytMP1OyDgAY&amp;q=site%3Alinkedin.com+Chelsea+Jensen+Damm+Virginia+Tech+Recruiting+Campus+Manager+Honeywell" TargetMode="External"/><Relationship Id="rId1527" Type="http://schemas.openxmlformats.org/officeDocument/2006/relationships/hyperlink" Target="https://www.google.com/search?newwindow=1&amp;ei=2MT0XrvGGM-vytMP1OyDgAY&amp;q=site%3Alinkedin.com+Tiffany+Kirby+University+Relations+Recruiter+Honeywell" TargetMode="External"/><Relationship Id="rId1528" Type="http://schemas.openxmlformats.org/officeDocument/2006/relationships/hyperlink" Target="https://www.google.com/search?newwindow=1&amp;ei=2MT0XrvGGM-vytMP1OyDgAY&amp;q=site%3Alinkedin.com+Josephine+F.+Graduate+and+Intern+Recruiter+-+Emerging+Talent+(via+AMS)" TargetMode="External"/><Relationship Id="rId1529" Type="http://schemas.openxmlformats.org/officeDocument/2006/relationships/hyperlink" Target="https://www.google.com/search?newwindow=1&amp;ei=2MT0XrvGGM-vytMP1OyDgAY&amp;q=site%3Alinkedin.com+Valentina+Jambru%C5%A1i%C4%87+Graduate+Recruiter+-+Operations" TargetMode="External"/><Relationship Id="rId939" Type="http://schemas.openxmlformats.org/officeDocument/2006/relationships/hyperlink" Target="https://www.google.com/search?newwindow=1&amp;ei=2MT0XrvGGM-vytMP1OyDgAY&amp;q=site%3Alinkedin.com+Kimberley+Gibson+Campus+Recruiting+Coordinator" TargetMode="External"/><Relationship Id="rId938" Type="http://schemas.openxmlformats.org/officeDocument/2006/relationships/hyperlink" Target="https://www.google.com/search?newwindow=1&amp;ei=2MT0XrvGGM-vytMP1OyDgAY&amp;q=site%3Alinkedin.com+Lyndsay+Thompson+Recruiter+/+University+Relations" TargetMode="External"/><Relationship Id="rId937" Type="http://schemas.openxmlformats.org/officeDocument/2006/relationships/hyperlink" Target="https://www.google.com/search?newwindow=1&amp;ei=2MT0XrvGGM-vytMP1OyDgAY&amp;q=site%3Alinkedin.com+Deo+Mancini+University+Relations+Recruiter" TargetMode="External"/><Relationship Id="rId932" Type="http://schemas.openxmlformats.org/officeDocument/2006/relationships/hyperlink" Target="https://www.google.com/search?newwindow=1&amp;ei=2MT0XrvGGM-vytMP1OyDgAY&amp;q=site%3Alinkedin.com+Alexandria+Pernell+MS-HRM+Global+HR+Campus+Recruiter+Eli+Lilly+and+Company" TargetMode="External"/><Relationship Id="rId931" Type="http://schemas.openxmlformats.org/officeDocument/2006/relationships/hyperlink" Target="https://www.google.com/search?newwindow=1&amp;ei=2MT0XrvGGM-vytMP1OyDgAY&amp;q=site%3Alinkedin.com+Hira+Majid+Campus+Recruiter+-+Diversity+Lead+Eli+Lilly+and+Company" TargetMode="External"/><Relationship Id="rId930" Type="http://schemas.openxmlformats.org/officeDocument/2006/relationships/hyperlink" Target="https://www.google.com/search?newwindow=1&amp;ei=2MT0XrvGGM-vytMP1OyDgAY&amp;q=site%3Alinkedin.com+Shawn+Liller+HR+Campus+Recruiter+Eli+Lilly+and+Company" TargetMode="External"/><Relationship Id="rId936" Type="http://schemas.openxmlformats.org/officeDocument/2006/relationships/hyperlink" Target="https://www.google.com/search?newwindow=1&amp;ei=2MT0XrvGGM-vytMP1OyDgAY&amp;q=site%3Alinkedin.com+LaVenta+Atwater+Campus+Recruiter+Eli+Lilly+and+Company" TargetMode="External"/><Relationship Id="rId935" Type="http://schemas.openxmlformats.org/officeDocument/2006/relationships/hyperlink" Target="https://www.google.com/search?newwindow=1&amp;ei=2MT0XrvGGM-vytMP1OyDgAY&amp;q=site%3Alinkedin.com+Oscar+Grau+MBA+Consultant+-+Campus+Recruiter+Eli+Lilly+and+Company" TargetMode="External"/><Relationship Id="rId934" Type="http://schemas.openxmlformats.org/officeDocument/2006/relationships/hyperlink" Target="https://www.google.com/search?newwindow=1&amp;ei=2MT0XrvGGM-vytMP1OyDgAY&amp;q=site%3Alinkedin.com+Katie+Price+Associate+Consultant-Campus+Recruiter+Eli+Lilly+and+Company" TargetMode="External"/><Relationship Id="rId933" Type="http://schemas.openxmlformats.org/officeDocument/2006/relationships/hyperlink" Target="https://www.google.com/search?newwindow=1&amp;ei=2MT0XrvGGM-vytMP1OyDgAY&amp;q=site%3Alinkedin.com+Juniris+Torres+Senior+Sales+Representative+Campus+Internship+Recruiter+Eli+Lilly+and+Company" TargetMode="External"/><Relationship Id="rId1520" Type="http://schemas.openxmlformats.org/officeDocument/2006/relationships/hyperlink" Target="https://www.google.com/search?newwindow=1&amp;ei=2MT0XrvGGM-vytMP1OyDgAY&amp;q=site%3Alinkedin.com+Joanne+Pullen+Internship+and+Graduate+Coordinator" TargetMode="External"/><Relationship Id="rId1554" Type="http://schemas.openxmlformats.org/officeDocument/2006/relationships/hyperlink" Target="https://www.google.com/search?newwindow=1&amp;ei=2MT0XrvGGM-vytMP1OyDgAY&amp;q=site%3Alinkedin.com+Nanci+Ferrari+Practice+Lead+Campus+Recruiting+/+Diversity+Recruting+Infosys" TargetMode="External"/><Relationship Id="rId1555" Type="http://schemas.openxmlformats.org/officeDocument/2006/relationships/hyperlink" Target="https://www.google.com/search?newwindow=1&amp;ei=2MT0XrvGGM-vytMP1OyDgAY&amp;q=site%3Alinkedin.com+Darren+Khong+Campus+Recruiter+Infosys" TargetMode="External"/><Relationship Id="rId1556" Type="http://schemas.openxmlformats.org/officeDocument/2006/relationships/hyperlink" Target="https://www.google.com/search?newwindow=1&amp;ei=2MT0XrvGGM-vytMP1OyDgAY&amp;q=site%3Alinkedin.com+Amber+G.+Campus+Recruiter+/+Talent+Acquisition+Infosys" TargetMode="External"/><Relationship Id="rId1557" Type="http://schemas.openxmlformats.org/officeDocument/2006/relationships/hyperlink" Target="https://www.google.com/search?newwindow=1&amp;ei=2MT0XrvGGM-vytMP1OyDgAY&amp;q=site%3Alinkedin.com+Deanna+Ingram+College+Recruiter+/+Talent+Advisor+Intel+Corporation" TargetMode="External"/><Relationship Id="rId1558" Type="http://schemas.openxmlformats.org/officeDocument/2006/relationships/hyperlink" Target="https://www.google.com/search?newwindow=1&amp;ei=2MT0XrvGGM-vytMP1OyDgAY&amp;q=site%3Alinkedin.com+Lagacia+Sims+Customer+Graphics+Software+Program+Manager+Intel+Corporation" TargetMode="External"/><Relationship Id="rId1559" Type="http://schemas.openxmlformats.org/officeDocument/2006/relationships/hyperlink" Target="https://www.google.com/search?newwindow=1&amp;ei=2MT0XrvGGM-vytMP1OyDgAY&amp;q=site%3Alinkedin.com+Jason+Clark+TD/OEM+Materials+Manager+and+College+Campus+Recruiter+for+Penn+State+and+Rutgers+Intel+Corporation" TargetMode="External"/><Relationship Id="rId965" Type="http://schemas.openxmlformats.org/officeDocument/2006/relationships/hyperlink" Target="https://www.google.com/search?newwindow=1&amp;ei=2MT0XrvGGM-vytMP1OyDgAY&amp;q=site%3Alinkedin.com+Jennifer+Sell+Campus+Recruiter+Ernst+&amp;+Young" TargetMode="External"/><Relationship Id="rId964" Type="http://schemas.openxmlformats.org/officeDocument/2006/relationships/hyperlink" Target="https://www.google.com/search?newwindow=1&amp;ei=2MT0XrvGGM-vytMP1OyDgAY&amp;q=site%3Alinkedin.com+Kaami+Moore+Florida+Campus+Recruiter+Ernst+&amp;+Young" TargetMode="External"/><Relationship Id="rId963" Type="http://schemas.openxmlformats.org/officeDocument/2006/relationships/hyperlink" Target="https://www.google.com/search?newwindow=1&amp;ei=2MT0XrvGGM-vytMP1OyDgAY&amp;q=site%3Alinkedin.com+Julie+Benner+Campus+Recruiting+Manager+Ernst+&amp;+Young" TargetMode="External"/><Relationship Id="rId962" Type="http://schemas.openxmlformats.org/officeDocument/2006/relationships/hyperlink" Target="https://www.google.com/search?newwindow=1&amp;ei=2MT0XrvGGM-vytMP1OyDgAY&amp;q=site%3Alinkedin.com+Christyn+Benzle+Campus+Recruiter+Ernst+&amp;+Young" TargetMode="External"/><Relationship Id="rId969" Type="http://schemas.openxmlformats.org/officeDocument/2006/relationships/hyperlink" Target="https://www.google.com/search?newwindow=1&amp;ei=2MT0XrvGGM-vytMP1OyDgAY&amp;q=site%3Alinkedin.com+Katy+Elliott+Steinbach+Campus+Recruiter+Ernst+&amp;+Young" TargetMode="External"/><Relationship Id="rId968" Type="http://schemas.openxmlformats.org/officeDocument/2006/relationships/hyperlink" Target="https://www.google.com/search?newwindow=1&amp;ei=2MT0XrvGGM-vytMP1OyDgAY&amp;q=site%3Alinkedin.com+Grethel+Gaitan+Campus+Recruiter+Ernst+&amp;+Young" TargetMode="External"/><Relationship Id="rId967" Type="http://schemas.openxmlformats.org/officeDocument/2006/relationships/hyperlink" Target="https://www.google.com/search?newwindow=1&amp;ei=2MT0XrvGGM-vytMP1OyDgAY&amp;q=site%3Alinkedin.com+Eleni+Athanasiou+Campus+Recruiter+Ernst+&amp;+Young" TargetMode="External"/><Relationship Id="rId966" Type="http://schemas.openxmlformats.org/officeDocument/2006/relationships/hyperlink" Target="https://www.google.com/search?newwindow=1&amp;ei=2MT0XrvGGM-vytMP1OyDgAY&amp;q=site%3Alinkedin.com+Rachel+Bresnick+Lipson+Campus+Recruiter+Ernst+&amp;+Young" TargetMode="External"/><Relationship Id="rId961" Type="http://schemas.openxmlformats.org/officeDocument/2006/relationships/hyperlink" Target="https://www.google.com/search?newwindow=1&amp;ei=2MT0XrvGGM-vytMP1OyDgAY&amp;q=site%3Alinkedin.com+Maggie+Lemmel+Campus+Recruiter+Ernst+&amp;+Young" TargetMode="External"/><Relationship Id="rId1550" Type="http://schemas.openxmlformats.org/officeDocument/2006/relationships/hyperlink" Target="https://www.google.com/search?newwindow=1&amp;ei=2MT0XrvGGM-vytMP1OyDgAY&amp;q=site%3Alinkedin.com+Rachel+Kucharik+Technical+Recruiter+Campus+Infosys" TargetMode="External"/><Relationship Id="rId960" Type="http://schemas.openxmlformats.org/officeDocument/2006/relationships/hyperlink" Target="https://www.google.com/search?newwindow=1&amp;ei=2MT0XrvGGM-vytMP1OyDgAY&amp;q=site%3Alinkedin.com+Kaitlin+Kunsman+Campus+Recruiter+Ernst+&amp;+Young" TargetMode="External"/><Relationship Id="rId1551" Type="http://schemas.openxmlformats.org/officeDocument/2006/relationships/hyperlink" Target="https://www.google.com/search?newwindow=1&amp;ei=2MT0XrvGGM-vytMP1OyDgAY&amp;q=site%3Alinkedin.com+Rebecca+Hou+Campus+Recruiter+Infosys" TargetMode="External"/><Relationship Id="rId1552" Type="http://schemas.openxmlformats.org/officeDocument/2006/relationships/hyperlink" Target="https://www.google.com/search?newwindow=1&amp;ei=2MT0XrvGGM-vytMP1OyDgAY&amp;q=site%3Alinkedin.com+Alexandria+Perry+IT+Campus+Recruiter+Infosys" TargetMode="External"/><Relationship Id="rId1553" Type="http://schemas.openxmlformats.org/officeDocument/2006/relationships/hyperlink" Target="https://www.google.com/search?newwindow=1&amp;ei=2MT0XrvGGM-vytMP1OyDgAY&amp;q=site%3Alinkedin.com+Christopher+Ha+Campus+Recruiter+Infosys" TargetMode="External"/><Relationship Id="rId1543" Type="http://schemas.openxmlformats.org/officeDocument/2006/relationships/hyperlink" Target="https://www.google.com/search?newwindow=1&amp;ei=2MT0XrvGGM-vytMP1OyDgAY&amp;q=site%3Alinkedin.com+Amy+Bergman+University+Recruiter+Coordinator+Indeed.com" TargetMode="External"/><Relationship Id="rId1544" Type="http://schemas.openxmlformats.org/officeDocument/2006/relationships/hyperlink" Target="https://www.google.com/search?newwindow=1&amp;ei=2MT0XrvGGM-vytMP1OyDgAY&amp;q=site%3Alinkedin.com+Jill+Sears+University+Recruiter+Talent+Attraction+Indeed.com" TargetMode="External"/><Relationship Id="rId1545" Type="http://schemas.openxmlformats.org/officeDocument/2006/relationships/hyperlink" Target="https://www.google.com/search?newwindow=1&amp;ei=2MT0XrvGGM-vytMP1OyDgAY&amp;q=site%3Alinkedin.com+Emma+Brady+University+Recruiter+Indeed.com" TargetMode="External"/><Relationship Id="rId1546" Type="http://schemas.openxmlformats.org/officeDocument/2006/relationships/hyperlink" Target="https://www.google.com/search?newwindow=1&amp;ei=2MT0XrvGGM-vytMP1OyDgAY&amp;q=site%3Alinkedin.com+Christina+Rippo+University+Recruiter+I+Talent+Attraction+Indeed.com+Indeed.com" TargetMode="External"/><Relationship Id="rId1547" Type="http://schemas.openxmlformats.org/officeDocument/2006/relationships/hyperlink" Target="https://www.google.com/search?newwindow=1&amp;ei=2MT0XrvGGM-vytMP1OyDgAY&amp;q=site%3Alinkedin.com+Dominic+Rom%C3%A1vila+Sr.+University+Recruiter+Technical+Indeed.com" TargetMode="External"/><Relationship Id="rId1548" Type="http://schemas.openxmlformats.org/officeDocument/2006/relationships/hyperlink" Target="https://www.google.com/search?newwindow=1&amp;ei=2MT0XrvGGM-vytMP1OyDgAY&amp;q=site%3Alinkedin.com+Steve+Marks+University+Recruiter+Indeed.com" TargetMode="External"/><Relationship Id="rId1549" Type="http://schemas.openxmlformats.org/officeDocument/2006/relationships/hyperlink" Target="https://www.google.com/search?newwindow=1&amp;ei=2MT0XrvGGM-vytMP1OyDgAY&amp;q=site%3Alinkedin.com+Sara+Williams+Graduate+Recruiter" TargetMode="External"/><Relationship Id="rId959" Type="http://schemas.openxmlformats.org/officeDocument/2006/relationships/hyperlink" Target="https://www.google.com/search?newwindow=1&amp;ei=2MT0XrvGGM-vytMP1OyDgAY&amp;q=site%3Alinkedin.com+Amy+Mait+Campus+Recruiter+Ernst+&amp;+Young" TargetMode="External"/><Relationship Id="rId954" Type="http://schemas.openxmlformats.org/officeDocument/2006/relationships/hyperlink" Target="https://www.google.com/search?newwindow=1&amp;ei=2MT0XrvGGM-vytMP1OyDgAY&amp;q=site%3Alinkedin.com+Kristin+Schmidt+Campus+Recruiter+Ernst+&amp;+Young" TargetMode="External"/><Relationship Id="rId953" Type="http://schemas.openxmlformats.org/officeDocument/2006/relationships/hyperlink" Target="https://www.google.com/search?newwindow=1&amp;ei=2MT0XrvGGM-vytMP1OyDgAY&amp;q=site%3Alinkedin.com+Paige+Sacks+Campus+recruiter+Ernst+&amp;+Young" TargetMode="External"/><Relationship Id="rId952" Type="http://schemas.openxmlformats.org/officeDocument/2006/relationships/hyperlink" Target="https://www.google.com/search?newwindow=1&amp;ei=2MT0XrvGGM-vytMP1OyDgAY&amp;q=site%3Alinkedin.com+Melissa+Pohlman+Campus+Recruiting+Coordinator" TargetMode="External"/><Relationship Id="rId951" Type="http://schemas.openxmlformats.org/officeDocument/2006/relationships/hyperlink" Target="https://www.google.com/search?newwindow=1&amp;ei=2MT0XrvGGM-vytMP1OyDgAY&amp;q=site%3Alinkedin.com+Holly+Hoette+Assistant+Director+-+Campus+Recruiting" TargetMode="External"/><Relationship Id="rId958" Type="http://schemas.openxmlformats.org/officeDocument/2006/relationships/hyperlink" Target="https://www.google.com/search?newwindow=1&amp;ei=2MT0XrvGGM-vytMP1OyDgAY&amp;q=site%3Alinkedin.com+Stephanie+Lopez+Campus+Recruiter+Ernst+&amp;+Young" TargetMode="External"/><Relationship Id="rId957" Type="http://schemas.openxmlformats.org/officeDocument/2006/relationships/hyperlink" Target="https://www.google.com/search?newwindow=1&amp;ei=2MT0XrvGGM-vytMP1OyDgAY&amp;q=site%3Alinkedin.com+Roxanne+Jackson+Campus+Recruiter-+Diversity+Ernst+&amp;+Young" TargetMode="External"/><Relationship Id="rId956" Type="http://schemas.openxmlformats.org/officeDocument/2006/relationships/hyperlink" Target="https://www.google.com/search?newwindow=1&amp;ei=2MT0XrvGGM-vytMP1OyDgAY&amp;q=site%3Alinkedin.com+Michelle+J.+Maynor+Campus+Recruiter+Coordinator+Ernst+&amp;+Young" TargetMode="External"/><Relationship Id="rId955" Type="http://schemas.openxmlformats.org/officeDocument/2006/relationships/hyperlink" Target="https://www.google.com/search?newwindow=1&amp;ei=2MT0XrvGGM-vytMP1OyDgAY&amp;q=site%3Alinkedin.com+Molly+Leighton+National+Assurance+Campus+Recruiting+Lead+Ernst+&amp;+Young" TargetMode="External"/><Relationship Id="rId950" Type="http://schemas.openxmlformats.org/officeDocument/2006/relationships/hyperlink" Target="https://www.google.com/search?newwindow=1&amp;ei=2MT0XrvGGM-vytMP1OyDgAY&amp;q=site%3Alinkedin.com+Rachel+Kleinsmith+campus+recruiting+coordinator" TargetMode="External"/><Relationship Id="rId1540" Type="http://schemas.openxmlformats.org/officeDocument/2006/relationships/hyperlink" Target="https://www.google.com/search?newwindow=1&amp;ei=2MT0XrvGGM-vytMP1OyDgAY&amp;q=site%3Alinkedin.com+Katie+Evans+Graduate+Recruiter+at+Lendlease" TargetMode="External"/><Relationship Id="rId1541" Type="http://schemas.openxmlformats.org/officeDocument/2006/relationships/hyperlink" Target="https://www.google.com/search?newwindow=1&amp;ei=2MT0XrvGGM-vytMP1OyDgAY&amp;q=site%3Alinkedin.com+Ashley+Fritts+North+America+Early+Professional+Talent+Acquisition+Manager+Systems+IBM" TargetMode="External"/><Relationship Id="rId1542" Type="http://schemas.openxmlformats.org/officeDocument/2006/relationships/hyperlink" Target="https://www.google.com/search?newwindow=1&amp;ei=2MT0XrvGGM-vytMP1OyDgAY&amp;q=site%3Alinkedin.com+Leslie+Ott+University+Recruiting+Program+Manager+Diversity+Lead+(MBA+&amp;+University)+IBM" TargetMode="External"/><Relationship Id="rId2027" Type="http://schemas.openxmlformats.org/officeDocument/2006/relationships/hyperlink" Target="https://www.google.com/search?newwindow=1&amp;ei=2MT0XrvGGM-vytMP1OyDgAY&amp;q=site%3Alinkedin.com+Briana+A.+Technical+University+Recruiter+Microsoft" TargetMode="External"/><Relationship Id="rId2028" Type="http://schemas.openxmlformats.org/officeDocument/2006/relationships/hyperlink" Target="https://www.google.com/search?newwindow=1&amp;ei=2MT0XrvGGM-vytMP1OyDgAY&amp;q=site%3Alinkedin.com+Alex+Blomster-Horning+University+Recruiter+Microsoft" TargetMode="External"/><Relationship Id="rId2029" Type="http://schemas.openxmlformats.org/officeDocument/2006/relationships/hyperlink" Target="https://www.google.com/search?newwindow=1&amp;ei=2MT0XrvGGM-vytMP1OyDgAY&amp;q=site%3Alinkedin.com+Toni+Brown-Bell+University+Recruiter+Microsoft" TargetMode="External"/><Relationship Id="rId107" Type="http://schemas.openxmlformats.org/officeDocument/2006/relationships/hyperlink" Target="https://www.google.com/search?newwindow=1&amp;ei=2MT0XrvGGM-vytMP1OyDgAY&amp;q=site%3Alinkedin.com+Alexandria+Balivet-Brown+Graduate+Research+Recruiter+Student+Programs" TargetMode="External"/><Relationship Id="rId106" Type="http://schemas.openxmlformats.org/officeDocument/2006/relationships/hyperlink" Target="https://www.google.com/search?newwindow=1&amp;ei=2MT0XrvGGM-vytMP1OyDgAY&amp;q=site%3Alinkedin.com+Lidia+Hernandez+Recruiter+Student+Programs" TargetMode="External"/><Relationship Id="rId105" Type="http://schemas.openxmlformats.org/officeDocument/2006/relationships/hyperlink" Target="https://www.google.com/search?newwindow=1&amp;ei=2MT0XrvGGM-vytMP1OyDgAY&amp;q=site%3Alinkedin.com+Katey+Thomson+Recruiter+Student+Programs" TargetMode="External"/><Relationship Id="rId104" Type="http://schemas.openxmlformats.org/officeDocument/2006/relationships/hyperlink" Target="https://www.google.com/search?newwindow=1&amp;ei=2MT0XrvGGM-vytMP1OyDgAY&amp;q=site%3Alinkedin.com+Mike+Goodman+Sourcing+Recruiter" TargetMode="External"/><Relationship Id="rId109" Type="http://schemas.openxmlformats.org/officeDocument/2006/relationships/hyperlink" Target="https://www.google.com/search?newwindow=1&amp;ei=2MT0XrvGGM-vytMP1OyDgAY&amp;q=site%3Alinkedin.com+Kristina+Young+Recruiter+Student+Programs" TargetMode="External"/><Relationship Id="rId108" Type="http://schemas.openxmlformats.org/officeDocument/2006/relationships/hyperlink" Target="https://www.google.com/search?newwindow=1&amp;ei=2MT0XrvGGM-vytMP1OyDgAY&amp;q=site%3Alinkedin.com+Erin+Waldschmidt+Recruiter+Student+Programs" TargetMode="External"/><Relationship Id="rId2020" Type="http://schemas.openxmlformats.org/officeDocument/2006/relationships/hyperlink" Target="https://www.google.com/search?newwindow=1&amp;ei=2MT0XrvGGM-vytMP1OyDgAY&amp;q=site%3Alinkedin.com+Felicity+Blazevic+University+Recruiter+North+America+Microsoft" TargetMode="External"/><Relationship Id="rId2021" Type="http://schemas.openxmlformats.org/officeDocument/2006/relationships/hyperlink" Target="https://www.google.com/search?newwindow=1&amp;ei=2MT0XrvGGM-vytMP1OyDgAY&amp;q=site%3Alinkedin.com+Charity+Woods+University+Recruiter+Microsoft" TargetMode="External"/><Relationship Id="rId2022" Type="http://schemas.openxmlformats.org/officeDocument/2006/relationships/hyperlink" Target="https://www.google.com/search?newwindow=1&amp;ei=2MT0XrvGGM-vytMP1OyDgAY&amp;q=site%3Alinkedin.com+Beckylin+Orooji+University+Recruiter+Microsoft" TargetMode="External"/><Relationship Id="rId103" Type="http://schemas.openxmlformats.org/officeDocument/2006/relationships/hyperlink" Target="https://www.google.com/search?newwindow=1&amp;ei=2MT0XrvGGM-vytMP1OyDgAY&amp;q=site%3Alinkedin.com+Jen+Trudnak+Student+Veteran+Recruiter+-+Operations" TargetMode="External"/><Relationship Id="rId2023" Type="http://schemas.openxmlformats.org/officeDocument/2006/relationships/hyperlink" Target="https://www.google.com/search?newwindow=1&amp;ei=2MT0XrvGGM-vytMP1OyDgAY&amp;q=site%3Alinkedin.com+Alexis+Solis+University+Recruiter+(contractor+through+Aerotek)+Microsoft" TargetMode="External"/><Relationship Id="rId102" Type="http://schemas.openxmlformats.org/officeDocument/2006/relationships/hyperlink" Target="https://www.google.com/search?newwindow=1&amp;ei=2MT0XrvGGM-vytMP1OyDgAY&amp;q=site%3Alinkedin.com+Henal+Majethia+Operations+University+Recruiter" TargetMode="External"/><Relationship Id="rId2024" Type="http://schemas.openxmlformats.org/officeDocument/2006/relationships/hyperlink" Target="https://www.google.com/search?newwindow=1&amp;ei=2MT0XrvGGM-vytMP1OyDgAY&amp;q=site%3Alinkedin.com+Kristin+Straube+University+Technical+Recruiter+Microsoft" TargetMode="External"/><Relationship Id="rId101" Type="http://schemas.openxmlformats.org/officeDocument/2006/relationships/hyperlink" Target="https://www.google.com/search?newwindow=1&amp;ei=2MT0XrvGGM-vytMP1OyDgAY&amp;q=site%3Alinkedin.com+Jo+Hole+UK+Non-Tech+Recruiter+Student+Programs" TargetMode="External"/><Relationship Id="rId2025" Type="http://schemas.openxmlformats.org/officeDocument/2006/relationships/hyperlink" Target="https://www.google.com/search?newwindow=1&amp;ei=2MT0XrvGGM-vytMP1OyDgAY&amp;q=site%3Alinkedin.com+Ellie+Hemenway+University+Recruiter+Microsoft" TargetMode="External"/><Relationship Id="rId100" Type="http://schemas.openxmlformats.org/officeDocument/2006/relationships/hyperlink" Target="https://www.google.com/search?newwindow=1&amp;ei=2MT0XrvGGM-vytMP1OyDgAY&amp;q=site%3Alinkedin.com+Anna+Lathia+Senior+Program+Manager+DEI+EMEA+Student+Programs" TargetMode="External"/><Relationship Id="rId2026" Type="http://schemas.openxmlformats.org/officeDocument/2006/relationships/hyperlink" Target="https://www.google.com/search?newwindow=1&amp;ei=2MT0XrvGGM-vytMP1OyDgAY&amp;q=site%3Alinkedin.com+Loren+Perkins-Johnson+University+Recruiter+Microsoft" TargetMode="External"/><Relationship Id="rId2016" Type="http://schemas.openxmlformats.org/officeDocument/2006/relationships/hyperlink" Target="https://www.google.com/search?newwindow=1&amp;ei=2MT0XrvGGM-vytMP1OyDgAY&amp;q=site%3Alinkedin.com+Isabella+do+Couto+Reis+University+Recruiter+Microsoft" TargetMode="External"/><Relationship Id="rId2017" Type="http://schemas.openxmlformats.org/officeDocument/2006/relationships/hyperlink" Target="https://www.google.com/search?newwindow=1&amp;ei=2MT0XrvGGM-vytMP1OyDgAY&amp;q=site%3Alinkedin.com+Gabriel+Garcia+Marquez+University+Recruiter+Microsoft" TargetMode="External"/><Relationship Id="rId2018" Type="http://schemas.openxmlformats.org/officeDocument/2006/relationships/hyperlink" Target="https://www.google.com/search?newwindow=1&amp;ei=2MT0XrvGGM-vytMP1OyDgAY&amp;q=site%3Alinkedin.com+Eddie+Garcilazo+Technical+Recruiter+l+University+Recruitment+Microsoft" TargetMode="External"/><Relationship Id="rId2019" Type="http://schemas.openxmlformats.org/officeDocument/2006/relationships/hyperlink" Target="https://www.google.com/search?newwindow=1&amp;ei=2MT0XrvGGM-vytMP1OyDgAY&amp;q=site%3Alinkedin.com+Lola+Aliu+Technical+MBA+University+Recruiter+Microsoft" TargetMode="External"/><Relationship Id="rId2010" Type="http://schemas.openxmlformats.org/officeDocument/2006/relationships/hyperlink" Target="https://www.google.com/search?newwindow=1&amp;ei=2MT0XrvGGM-vytMP1OyDgAY&amp;q=site%3Alinkedin.com+Paola+Riveros+Alvarez+LATAM+University+Recruiter+Microsoft" TargetMode="External"/><Relationship Id="rId2011" Type="http://schemas.openxmlformats.org/officeDocument/2006/relationships/hyperlink" Target="https://www.google.com/search?newwindow=1&amp;ei=2MT0XrvGGM-vytMP1OyDgAY&amp;q=site%3Alinkedin.com+Michael+Toole+University+Recruiter+and+Video+Producer+Microsoft" TargetMode="External"/><Relationship Id="rId2012" Type="http://schemas.openxmlformats.org/officeDocument/2006/relationships/hyperlink" Target="https://www.google.com/search?newwindow=1&amp;ei=2MT0XrvGGM-vytMP1OyDgAY&amp;q=site%3Alinkedin.com+Karla+Paredes+University+Recruiter+Microsoft" TargetMode="External"/><Relationship Id="rId2013" Type="http://schemas.openxmlformats.org/officeDocument/2006/relationships/hyperlink" Target="https://www.google.com/search?newwindow=1&amp;ei=2MT0XrvGGM-vytMP1OyDgAY&amp;q=site%3Alinkedin.com+Stephanie+Treichel+University+Recruiter+Microsoft" TargetMode="External"/><Relationship Id="rId2014" Type="http://schemas.openxmlformats.org/officeDocument/2006/relationships/hyperlink" Target="https://www.google.com/search?newwindow=1&amp;ei=2MT0XrvGGM-vytMP1OyDgAY&amp;q=site%3Alinkedin.com+Manasa+Pochampally+University+Recruiter+Microsoft" TargetMode="External"/><Relationship Id="rId2015" Type="http://schemas.openxmlformats.org/officeDocument/2006/relationships/hyperlink" Target="https://www.google.com/search?newwindow=1&amp;ei=2MT0XrvGGM-vytMP1OyDgAY&amp;q=site%3Alinkedin.com+Anna+Katrina+Robancho+University+Recruiter+Microsoft" TargetMode="External"/><Relationship Id="rId2049" Type="http://schemas.openxmlformats.org/officeDocument/2006/relationships/hyperlink" Target="https://www.google.com/search?newwindow=1&amp;ei=2MT0XrvGGM-vytMP1OyDgAY&amp;q=site%3Alinkedin.com+Kate+Wright+Senior+Campus+Recruiter+MongoDB" TargetMode="External"/><Relationship Id="rId129" Type="http://schemas.openxmlformats.org/officeDocument/2006/relationships/hyperlink" Target="https://www.google.com/search?newwindow=1&amp;ei=2MT0XrvGGM-vytMP1OyDgAY&amp;q=site%3Alinkedin.com+Karolina+Skrzat+PL+Campus+Recruiter+-+Secondment" TargetMode="External"/><Relationship Id="rId128" Type="http://schemas.openxmlformats.org/officeDocument/2006/relationships/hyperlink" Target="https://www.google.com/search?newwindow=1&amp;ei=2MT0XrvGGM-vytMP1OyDgAY&amp;q=site%3Alinkedin.com+Jessica+Majevadia+EMEA+Student+Programs+Recruitment+Coordinator" TargetMode="External"/><Relationship Id="rId127" Type="http://schemas.openxmlformats.org/officeDocument/2006/relationships/hyperlink" Target="https://www.google.com/search?newwindow=1&amp;ei=2MT0XrvGGM-vytMP1OyDgAY&amp;q=site%3Alinkedin.com+angela+zavidei+Student+Programs+Tech+Recruiter+EMEA" TargetMode="External"/><Relationship Id="rId126" Type="http://schemas.openxmlformats.org/officeDocument/2006/relationships/hyperlink" Target="https://www.google.com/search?newwindow=1&amp;ei=2MT0XrvGGM-vytMP1OyDgAY&amp;q=site%3Alinkedin.com+Charlotte+Rose+DE+&amp;+UK+Campus+Recruitment+Manager" TargetMode="External"/><Relationship Id="rId2040" Type="http://schemas.openxmlformats.org/officeDocument/2006/relationships/hyperlink" Target="https://www.google.com/search?newwindow=1&amp;ei=2MT0XrvGGM-vytMP1OyDgAY&amp;q=site%3Alinkedin.com+Kelsey+Saboori+Technical+University+Recruiter+Software+Engineering+Roles+Microsoft" TargetMode="External"/><Relationship Id="rId121" Type="http://schemas.openxmlformats.org/officeDocument/2006/relationships/hyperlink" Target="https://www.google.com/search?newwindow=1&amp;ei=2MT0XrvGGM-vytMP1OyDgAY&amp;q=site%3Alinkedin.com+Sharon+Lim+Recruiter+Student+Programs" TargetMode="External"/><Relationship Id="rId2041" Type="http://schemas.openxmlformats.org/officeDocument/2006/relationships/hyperlink" Target="https://www.google.com/search?newwindow=1&amp;ei=2MT0XrvGGM-vytMP1OyDgAY&amp;q=site%3Alinkedin.com+Sarah+Kaiser+University+Recruiter+Microsoft" TargetMode="External"/><Relationship Id="rId120" Type="http://schemas.openxmlformats.org/officeDocument/2006/relationships/hyperlink" Target="https://www.google.com/search?newwindow=1&amp;ei=2MT0XrvGGM-vytMP1OyDgAY&amp;q=site%3Alinkedin.com+Megan+Campbell+Recruiter+Student+Programs" TargetMode="External"/><Relationship Id="rId2042" Type="http://schemas.openxmlformats.org/officeDocument/2006/relationships/hyperlink" Target="https://www.google.com/search?newwindow=1&amp;ei=2MT0XrvGGM-vytMP1OyDgAY&amp;q=site%3Alinkedin.com+Brian+Cuadra+University+Recruiter+Bay+Area+Hub+Finder+Microsoft" TargetMode="External"/><Relationship Id="rId2043" Type="http://schemas.openxmlformats.org/officeDocument/2006/relationships/hyperlink" Target="https://www.google.com/search?newwindow=1&amp;ei=2MT0XrvGGM-vytMP1OyDgAY&amp;q=site%3Alinkedin.com+Brett+Chase+PhD+University+Recruiter+Microsoft" TargetMode="External"/><Relationship Id="rId2044" Type="http://schemas.openxmlformats.org/officeDocument/2006/relationships/hyperlink" Target="https://www.google.com/search?newwindow=1&amp;ei=2MT0XrvGGM-vytMP1OyDgAY&amp;q=site%3Alinkedin.com+Tristan+Boone+University+Recruiter+Microsoft" TargetMode="External"/><Relationship Id="rId125" Type="http://schemas.openxmlformats.org/officeDocument/2006/relationships/hyperlink" Target="https://www.google.com/search?newwindow=1&amp;ei=2MT0XrvGGM-vytMP1OyDgAY&amp;q=site%3Alinkedin.com+Joshua+Voisey+Graduate+Recruiter" TargetMode="External"/><Relationship Id="rId2045" Type="http://schemas.openxmlformats.org/officeDocument/2006/relationships/hyperlink" Target="https://www.google.com/search?newwindow=1&amp;ei=2MT0XrvGGM-vytMP1OyDgAY&amp;q=site%3Alinkedin.com+Rachel+Wightman+Contract+University+Recruiter+Microsoft" TargetMode="External"/><Relationship Id="rId124" Type="http://schemas.openxmlformats.org/officeDocument/2006/relationships/hyperlink" Target="https://www.google.com/search?newwindow=1&amp;ei=2MT0XrvGGM-vytMP1OyDgAY&amp;q=site%3Alinkedin.com+Carly+Porter+Student+Programs+Campus+Recruiter" TargetMode="External"/><Relationship Id="rId2046" Type="http://schemas.openxmlformats.org/officeDocument/2006/relationships/hyperlink" Target="https://www.google.com/search?newwindow=1&amp;ei=2MT0XrvGGM-vytMP1OyDgAY&amp;q=site%3Alinkedin.com+Bryan+Spence+Diversity+University+Recruiter+Microsoft" TargetMode="External"/><Relationship Id="rId123" Type="http://schemas.openxmlformats.org/officeDocument/2006/relationships/hyperlink" Target="https://www.google.com/search?newwindow=1&amp;ei=2MT0XrvGGM-vytMP1OyDgAY&amp;q=site%3Alinkedin.com+Lauren+S.+Recruiter+II+Student+Programs" TargetMode="External"/><Relationship Id="rId2047" Type="http://schemas.openxmlformats.org/officeDocument/2006/relationships/hyperlink" Target="https://www.google.com/search?newwindow=1&amp;ei=2MT0XrvGGM-vytMP1OyDgAY&amp;q=site%3Alinkedin.com+Emily+Cardner+Manager+Campus+Recruiting+MongoDB" TargetMode="External"/><Relationship Id="rId122" Type="http://schemas.openxmlformats.org/officeDocument/2006/relationships/hyperlink" Target="https://www.google.com/search?newwindow=1&amp;ei=2MT0XrvGGM-vytMP1OyDgAY&amp;q=site%3Alinkedin.com+Stephanie+Park+Senior+Science+Recruiter+-+Strategic+Recruiting+Team" TargetMode="External"/><Relationship Id="rId2048" Type="http://schemas.openxmlformats.org/officeDocument/2006/relationships/hyperlink" Target="https://www.google.com/search?newwindow=1&amp;ei=2MT0XrvGGM-vytMP1OyDgAY&amp;q=site%3Alinkedin.com+Ellie+Purdy+Campus+Recruiter+MongoDB" TargetMode="External"/><Relationship Id="rId2038" Type="http://schemas.openxmlformats.org/officeDocument/2006/relationships/hyperlink" Target="https://www.google.com/search?newwindow=1&amp;ei=2MT0XrvGGM-vytMP1OyDgAY&amp;q=site%3Alinkedin.com+Kadra+Sheikh+MBA+HR+and+Talent+Acquisiton-+University+Recruiter+I+Microsoft" TargetMode="External"/><Relationship Id="rId2039" Type="http://schemas.openxmlformats.org/officeDocument/2006/relationships/hyperlink" Target="https://www.google.com/search?newwindow=1&amp;ei=2MT0XrvGGM-vytMP1OyDgAY&amp;q=site%3Alinkedin.com+Leandra+King+University+Recruiter+Microsoft" TargetMode="External"/><Relationship Id="rId118" Type="http://schemas.openxmlformats.org/officeDocument/2006/relationships/hyperlink" Target="https://www.google.com/search?newwindow=1&amp;ei=2MT0XrvGGM-vytMP1OyDgAY&amp;q=site%3Alinkedin.com+Bri+OConnell+Sr.+Program+Manager+Global+Demand+Collection+&amp;+Forecasting+-+Student+Programs" TargetMode="External"/><Relationship Id="rId117" Type="http://schemas.openxmlformats.org/officeDocument/2006/relationships/hyperlink" Target="https://www.google.com/search?newwindow=1&amp;ei=2MT0XrvGGM-vytMP1OyDgAY&amp;q=site%3Alinkedin.com+Eddie+Verhulst+Recruiter+-+Student+Programs" TargetMode="External"/><Relationship Id="rId116" Type="http://schemas.openxmlformats.org/officeDocument/2006/relationships/hyperlink" Target="https://www.google.com/search?newwindow=1&amp;ei=2MT0XrvGGM-vytMP1OyDgAY&amp;q=site%3Alinkedin.com+Jordan+Gobble+Student+Programs+Recruiter+II" TargetMode="External"/><Relationship Id="rId115" Type="http://schemas.openxmlformats.org/officeDocument/2006/relationships/hyperlink" Target="https://www.google.com/search?newwindow=1&amp;ei=2MT0XrvGGM-vytMP1OyDgAY&amp;q=site%3Alinkedin.com+Danielle+DeShields+Lead+Recruiter+for+Undergraduate+Sales+Internships+&amp;+Diversity+NonTech+Recruiter" TargetMode="External"/><Relationship Id="rId119" Type="http://schemas.openxmlformats.org/officeDocument/2006/relationships/hyperlink" Target="https://www.google.com/search?newwindow=1&amp;ei=2MT0XrvGGM-vytMP1OyDgAY&amp;q=site%3Alinkedin.com+Ali+Garcia+Recruiter+Student+Programs" TargetMode="External"/><Relationship Id="rId110" Type="http://schemas.openxmlformats.org/officeDocument/2006/relationships/hyperlink" Target="https://www.google.com/search?newwindow=1&amp;ei=2MT0XrvGGM-vytMP1OyDgAY&amp;q=site%3Alinkedin.com+Sarah+Chun-Hoon+Recruiter+Student+Programs" TargetMode="External"/><Relationship Id="rId2030" Type="http://schemas.openxmlformats.org/officeDocument/2006/relationships/hyperlink" Target="https://www.google.com/search?newwindow=1&amp;ei=2MT0XrvGGM-vytMP1OyDgAY&amp;q=site%3Alinkedin.com+Miguel+Chucaralao+University+Recruiter+Business+Functions+Microsoft" TargetMode="External"/><Relationship Id="rId2031" Type="http://schemas.openxmlformats.org/officeDocument/2006/relationships/hyperlink" Target="https://www.google.com/search?newwindow=1&amp;ei=2MT0XrvGGM-vytMP1OyDgAY&amp;q=site%3Alinkedin.com+Summer+Al+Mashhadani+University+Recruiter+Microsoft" TargetMode="External"/><Relationship Id="rId2032" Type="http://schemas.openxmlformats.org/officeDocument/2006/relationships/hyperlink" Target="https://www.google.com/search?newwindow=1&amp;ei=2MT0XrvGGM-vytMP1OyDgAY&amp;q=site%3Alinkedin.com+Devan+Moore+University+Recruiter+Microsoft" TargetMode="External"/><Relationship Id="rId2033" Type="http://schemas.openxmlformats.org/officeDocument/2006/relationships/hyperlink" Target="https://www.google.com/search?newwindow=1&amp;ei=2MT0XrvGGM-vytMP1OyDgAY&amp;q=site%3Alinkedin.com+Mintesinot+Misgano+University+Recruiter+Microsoft" TargetMode="External"/><Relationship Id="rId114" Type="http://schemas.openxmlformats.org/officeDocument/2006/relationships/hyperlink" Target="https://www.google.com/search?newwindow=1&amp;ei=2MT0XrvGGM-vytMP1OyDgAY&amp;q=site%3Alinkedin.com+Jake+Johnson+Client+Lead+Recruiter" TargetMode="External"/><Relationship Id="rId2034" Type="http://schemas.openxmlformats.org/officeDocument/2006/relationships/hyperlink" Target="https://www.google.com/search?newwindow=1&amp;ei=2MT0XrvGGM-vytMP1OyDgAY&amp;q=site%3Alinkedin.com+Erin+Creighton+Technical+University+Recruiter+Microsoft" TargetMode="External"/><Relationship Id="rId113" Type="http://schemas.openxmlformats.org/officeDocument/2006/relationships/hyperlink" Target="https://www.google.com/search?newwindow=1&amp;ei=2MT0XrvGGM-vytMP1OyDgAY&amp;q=site%3Alinkedin.com+Sophie+DiDonato+Recruiter+II+-+Student+Programs" TargetMode="External"/><Relationship Id="rId2035" Type="http://schemas.openxmlformats.org/officeDocument/2006/relationships/hyperlink" Target="https://www.google.com/search?newwindow=1&amp;ei=2MT0XrvGGM-vytMP1OyDgAY&amp;q=site%3Alinkedin.com+Mary+Woodruff+(she/her)+University+Recruiter+Microsoft" TargetMode="External"/><Relationship Id="rId112" Type="http://schemas.openxmlformats.org/officeDocument/2006/relationships/hyperlink" Target="https://www.google.com/search?newwindow=1&amp;ei=2MT0XrvGGM-vytMP1OyDgAY&amp;q=site%3Alinkedin.com+Megan+Taylor+SHRM-CP+Recruiter+Student+Programs" TargetMode="External"/><Relationship Id="rId2036" Type="http://schemas.openxmlformats.org/officeDocument/2006/relationships/hyperlink" Target="https://www.google.com/search?newwindow=1&amp;ei=2MT0XrvGGM-vytMP1OyDgAY&amp;q=site%3Alinkedin.com+Joseph+Velez+University+Recruiter+(Contractor)+Microsoft" TargetMode="External"/><Relationship Id="rId111" Type="http://schemas.openxmlformats.org/officeDocument/2006/relationships/hyperlink" Target="https://www.google.com/search?newwindow=1&amp;ei=2MT0XrvGGM-vytMP1OyDgAY&amp;q=site%3Alinkedin.com+Channa+Palmer+Program+Manager+Student+Programs" TargetMode="External"/><Relationship Id="rId2037" Type="http://schemas.openxmlformats.org/officeDocument/2006/relationships/hyperlink" Target="https://www.google.com/search?newwindow=1&amp;ei=2MT0XrvGGM-vytMP1OyDgAY&amp;q=site%3Alinkedin.com+Amy+Siebenthaler+Technical+PhD+Recruiter+University+Recruitment+Microsoft" TargetMode="External"/><Relationship Id="rId2005" Type="http://schemas.openxmlformats.org/officeDocument/2006/relationships/hyperlink" Target="https://www.google.com/search?newwindow=1&amp;ei=2MT0XrvGGM-vytMP1OyDgAY&amp;q=site%3Alinkedin.com+Lauren+Araujo+University+UX+++PM+Recruiter+Microsoft" TargetMode="External"/><Relationship Id="rId2006" Type="http://schemas.openxmlformats.org/officeDocument/2006/relationships/hyperlink" Target="https://www.google.com/search?newwindow=1&amp;ei=2MT0XrvGGM-vytMP1OyDgAY&amp;q=site%3Alinkedin.com+Jeffrey+G.+University+Recruiter+Microsoft" TargetMode="External"/><Relationship Id="rId2007" Type="http://schemas.openxmlformats.org/officeDocument/2006/relationships/hyperlink" Target="https://www.google.com/search?newwindow=1&amp;ei=2MT0XrvGGM-vytMP1OyDgAY&amp;q=site%3Alinkedin.com+Alison+Anthony+University+Recruiter+Microsoft" TargetMode="External"/><Relationship Id="rId2008" Type="http://schemas.openxmlformats.org/officeDocument/2006/relationships/hyperlink" Target="https://www.google.com/search?newwindow=1&amp;ei=2MT0XrvGGM-vytMP1OyDgAY&amp;q=site%3Alinkedin.com+Samne+Reyna+University+Recruiter+Microsoft" TargetMode="External"/><Relationship Id="rId2009" Type="http://schemas.openxmlformats.org/officeDocument/2006/relationships/hyperlink" Target="https://www.google.com/search?newwindow=1&amp;ei=2MT0XrvGGM-vytMP1OyDgAY&amp;q=site%3Alinkedin.com+Tony+Martinez+Technical+University+Recruiter+Microsoft" TargetMode="External"/><Relationship Id="rId2000" Type="http://schemas.openxmlformats.org/officeDocument/2006/relationships/hyperlink" Target="https://www.google.com/search?newwindow=1&amp;ei=2MT0XrvGGM-vytMP1OyDgAY&amp;q=site%3Alinkedin.com+Ellen+Thorley+University+Technical+Recruiter+Microsoft" TargetMode="External"/><Relationship Id="rId2001" Type="http://schemas.openxmlformats.org/officeDocument/2006/relationships/hyperlink" Target="https://www.google.com/search?newwindow=1&amp;ei=2MT0XrvGGM-vytMP1OyDgAY&amp;q=site%3Alinkedin.com+Jordan+Greene+University+Recruiter+(Closer)+Microsoft" TargetMode="External"/><Relationship Id="rId2002" Type="http://schemas.openxmlformats.org/officeDocument/2006/relationships/hyperlink" Target="https://www.google.com/search?newwindow=1&amp;ei=2MT0XrvGGM-vytMP1OyDgAY&amp;q=site%3Alinkedin.com+Debarati+Nag+University+Recruiter+Microsoft" TargetMode="External"/><Relationship Id="rId2003" Type="http://schemas.openxmlformats.org/officeDocument/2006/relationships/hyperlink" Target="https://www.google.com/search?newwindow=1&amp;ei=2MT0XrvGGM-vytMP1OyDgAY&amp;q=site%3Alinkedin.com+Stanford+Savant+Stanford+University+Recruiter+Microsoft" TargetMode="External"/><Relationship Id="rId2004" Type="http://schemas.openxmlformats.org/officeDocument/2006/relationships/hyperlink" Target="https://www.google.com/search?newwindow=1&amp;ei=2MT0XrvGGM-vytMP1OyDgAY&amp;q=site%3Alinkedin.com+Connor+Ingerowski+Technical+University+Recruiter+Microsoft" TargetMode="External"/><Relationship Id="rId2090" Type="http://schemas.openxmlformats.org/officeDocument/2006/relationships/hyperlink" Target="https://www.google.com/search?newwindow=1&amp;ei=2MT0XrvGGM-vytMP1OyDgAY&amp;q=site%3Alinkedin.com+Emily+Oates+Campus+Recruiting+Coordinator" TargetMode="External"/><Relationship Id="rId2091" Type="http://schemas.openxmlformats.org/officeDocument/2006/relationships/hyperlink" Target="https://www.google.com/search?newwindow=1&amp;ei=2MT0XrvGGM-vytMP1OyDgAY&amp;q=site%3Alinkedin.com+Kaitlyn+Hays+Campus+Recruiter+Morgan+Stanley" TargetMode="External"/><Relationship Id="rId2092" Type="http://schemas.openxmlformats.org/officeDocument/2006/relationships/hyperlink" Target="https://www.google.com/search?newwindow=1&amp;ei=2MT0XrvGGM-vytMP1OyDgAY&amp;q=site%3Alinkedin.com+Michelle+Kinnally+Campus+Recruiter+Morgan+Stanley" TargetMode="External"/><Relationship Id="rId2093" Type="http://schemas.openxmlformats.org/officeDocument/2006/relationships/hyperlink" Target="https://www.google.com/search?newwindow=1&amp;ei=2MT0XrvGGM-vytMP1OyDgAY&amp;q=site%3Alinkedin.com+Jenny+Rosen+Human+Resources+Campus+Recruiter+Morgan+Stanley" TargetMode="External"/><Relationship Id="rId2094" Type="http://schemas.openxmlformats.org/officeDocument/2006/relationships/hyperlink" Target="https://www.google.com/search?newwindow=1&amp;ei=2MT0XrvGGM-vytMP1OyDgAY&amp;q=site%3Alinkedin.com+Christie+Mongiardo+Manager+Institutional+Equity+Campus+Recruiting+Morgan+Stanley" TargetMode="External"/><Relationship Id="rId2095" Type="http://schemas.openxmlformats.org/officeDocument/2006/relationships/hyperlink" Target="https://www.google.com/search?newwindow=1&amp;ei=2MT0XrvGGM-vytMP1OyDgAY&amp;q=site%3Alinkedin.com+Charlotte+Fadden+Director+Campus+Recruiting+Manager+Morgan+Stanley" TargetMode="External"/><Relationship Id="rId2096" Type="http://schemas.openxmlformats.org/officeDocument/2006/relationships/hyperlink" Target="https://www.google.com/search?newwindow=1&amp;ei=2MT0XrvGGM-vytMP1OyDgAY&amp;q=site%3Alinkedin.com+Erin+Leonard+Manager+Investment+Banking+MBA+Campus+Recruiting+Morgan+Stanley" TargetMode="External"/><Relationship Id="rId2097" Type="http://schemas.openxmlformats.org/officeDocument/2006/relationships/hyperlink" Target="https://www.google.com/search?newwindow=1&amp;ei=2MT0XrvGGM-vytMP1OyDgAY&amp;q=site%3Alinkedin.com+Marissa+Mellan+Manager+Quantitative+Finance+Campus+Recruiting+at+Morgan+Stanley+Morgan+Stanley" TargetMode="External"/><Relationship Id="rId2098" Type="http://schemas.openxmlformats.org/officeDocument/2006/relationships/hyperlink" Target="https://www.google.com/search?newwindow=1&amp;ei=2MT0XrvGGM-vytMP1OyDgAY&amp;q=site%3Alinkedin.com+Kathryn+R.+Manager+Campus+Recruiting+Morgan+Stanley" TargetMode="External"/><Relationship Id="rId2099" Type="http://schemas.openxmlformats.org/officeDocument/2006/relationships/hyperlink" Target="https://www.google.com/search?newwindow=1&amp;ei=2MT0XrvGGM-vytMP1OyDgAY&amp;q=site%3Alinkedin.com+Alison+Speedling+Manager+Campus+Recruiting+Morgan+Stanley" TargetMode="External"/><Relationship Id="rId2060" Type="http://schemas.openxmlformats.org/officeDocument/2006/relationships/hyperlink" Target="https://www.google.com/search?newwindow=1&amp;ei=2MT0XrvGGM-vytMP1OyDgAY&amp;q=site%3Alinkedin.com+Amy+Blake+Graduate+Recruiter" TargetMode="External"/><Relationship Id="rId2061" Type="http://schemas.openxmlformats.org/officeDocument/2006/relationships/hyperlink" Target="https://www.google.com/search?newwindow=1&amp;ei=2MT0XrvGGM-vytMP1OyDgAY&amp;q=site%3Alinkedin.com+Catherine+Ives+Campus+Recruiter" TargetMode="External"/><Relationship Id="rId2062" Type="http://schemas.openxmlformats.org/officeDocument/2006/relationships/hyperlink" Target="https://www.google.com/search?newwindow=1&amp;ei=2MT0XrvGGM-vytMP1OyDgAY&amp;q=site%3Alinkedin.com+Charlotte+Unwin+Campus+Recruiter" TargetMode="External"/><Relationship Id="rId2063" Type="http://schemas.openxmlformats.org/officeDocument/2006/relationships/hyperlink" Target="https://www.google.com/search?newwindow=1&amp;ei=2MT0XrvGGM-vytMP1OyDgAY&amp;q=site%3Alinkedin.com+Emma+Watts+Senior+Campus+Recruiter+with+AMS" TargetMode="External"/><Relationship Id="rId2064" Type="http://schemas.openxmlformats.org/officeDocument/2006/relationships/hyperlink" Target="https://www.google.com/search?newwindow=1&amp;ei=2MT0XrvGGM-vytMP1OyDgAY&amp;q=site%3Alinkedin.com+Louise+Giron+Graduate+&amp;+Analyst+Recruiter" TargetMode="External"/><Relationship Id="rId2065" Type="http://schemas.openxmlformats.org/officeDocument/2006/relationships/hyperlink" Target="https://www.google.com/search?newwindow=1&amp;ei=2MT0XrvGGM-vytMP1OyDgAY&amp;q=site%3Alinkedin.com+Valerie+Kruk+Technology+Campus+Recruiter+(Consultant)" TargetMode="External"/><Relationship Id="rId2066" Type="http://schemas.openxmlformats.org/officeDocument/2006/relationships/hyperlink" Target="https://www.google.com/search?newwindow=1&amp;ei=2MT0XrvGGM-vytMP1OyDgAY&amp;q=site%3Alinkedin.com+Georgia+Sfantos+HR+Manager+Technology+Campus+Recruiting" TargetMode="External"/><Relationship Id="rId2067" Type="http://schemas.openxmlformats.org/officeDocument/2006/relationships/hyperlink" Target="https://www.google.com/search?newwindow=1&amp;ei=2MT0XrvGGM-vytMP1OyDgAY&amp;q=site%3Alinkedin.com+Kaitlin+Fitzpatrick+(she/her)+Campus+Recruiting+and+Entry+Programs+Training+Company+Divisions" TargetMode="External"/><Relationship Id="rId2068" Type="http://schemas.openxmlformats.org/officeDocument/2006/relationships/hyperlink" Target="https://www.google.com/search?newwindow=1&amp;ei=2MT0XrvGGM-vytMP1OyDgAY&amp;q=site%3Alinkedin.com+Christie+Mongiardo+Manager+Institutional+Equity+Campus+Recruiting" TargetMode="External"/><Relationship Id="rId2069" Type="http://schemas.openxmlformats.org/officeDocument/2006/relationships/hyperlink" Target="https://www.google.com/search?newwindow=1&amp;ei=2MT0XrvGGM-vytMP1OyDgAY&amp;q=site%3Alinkedin.com+Chelsea+Herritt+Director+Campus+Recruiting" TargetMode="External"/><Relationship Id="rId2050" Type="http://schemas.openxmlformats.org/officeDocument/2006/relationships/hyperlink" Target="https://www.google.com/search?newwindow=1&amp;ei=2MT0XrvGGM-vytMP1OyDgAY&amp;q=site%3Alinkedin.com+Natalie+Chwalk+Campus+Recruiter+MongoDB" TargetMode="External"/><Relationship Id="rId2051" Type="http://schemas.openxmlformats.org/officeDocument/2006/relationships/hyperlink" Target="https://www.google.com/search?newwindow=1&amp;ei=2MT0XrvGGM-vytMP1OyDgAY&amp;q=site%3Alinkedin.com+Joshua+Avila+Campus+Recruiter+MongoDB" TargetMode="External"/><Relationship Id="rId2052" Type="http://schemas.openxmlformats.org/officeDocument/2006/relationships/hyperlink" Target="https://www.google.com/search?newwindow=1&amp;ei=2MT0XrvGGM-vytMP1OyDgAY&amp;q=site%3Alinkedin.com+Tatjana+Davidson+Campus+Recruiter+(EMEA)+&amp;+EMEA+Generational+/+UK+Multicultural+ERG+Champion" TargetMode="External"/><Relationship Id="rId2053" Type="http://schemas.openxmlformats.org/officeDocument/2006/relationships/hyperlink" Target="https://www.google.com/search?newwindow=1&amp;ei=2MT0XrvGGM-vytMP1OyDgAY&amp;q=site%3Alinkedin.com+Brett+Hemmerling+Assistant+Vice+President-Campus+Recruiter+and+Program+Manager+(Europe+Middle+East+and+Africa)" TargetMode="External"/><Relationship Id="rId2054" Type="http://schemas.openxmlformats.org/officeDocument/2006/relationships/hyperlink" Target="https://www.google.com/search?newwindow=1&amp;ei=2MT0XrvGGM-vytMP1OyDgAY&amp;q=site%3Alinkedin.com+Brooke+Katz+Campus+Recruiting+Coordinator" TargetMode="External"/><Relationship Id="rId2055" Type="http://schemas.openxmlformats.org/officeDocument/2006/relationships/hyperlink" Target="https://www.google.com/search?newwindow=1&amp;ei=2MT0XrvGGM-vytMP1OyDgAY&amp;q=site%3Alinkedin.com+Robin+Diglio+Vice+President+Campus+Recruiting+and+Entry+Programs" TargetMode="External"/><Relationship Id="rId2056" Type="http://schemas.openxmlformats.org/officeDocument/2006/relationships/hyperlink" Target="https://www.google.com/search?newwindow=1&amp;ei=2MT0XrvGGM-vytMP1OyDgAY&amp;q=site%3Alinkedin.com+Shelley+OHare+Campus+Technology+Recruiter+at+Morgan+Stanley+(via+Alexander+Mann+Solutions)" TargetMode="External"/><Relationship Id="rId2057" Type="http://schemas.openxmlformats.org/officeDocument/2006/relationships/hyperlink" Target="https://www.google.com/search?newwindow=1&amp;ei=2MT0XrvGGM-vytMP1OyDgAY&amp;q=site%3Alinkedin.com+Nicola+Thomson+Campus+Recruiter+-+Finance+Fund+Services+and+Apprenticeships" TargetMode="External"/><Relationship Id="rId2058" Type="http://schemas.openxmlformats.org/officeDocument/2006/relationships/hyperlink" Target="https://www.google.com/search?newwindow=1&amp;ei=2MT0XrvGGM-vytMP1OyDgAY&amp;q=site%3Alinkedin.com+Melissa+Ventura+Vice+President+Human+Resources+Technology+Campus+Recruiting" TargetMode="External"/><Relationship Id="rId2059" Type="http://schemas.openxmlformats.org/officeDocument/2006/relationships/hyperlink" Target="https://www.google.com/search?newwindow=1&amp;ei=2MT0XrvGGM-vytMP1OyDgAY&amp;q=site%3Alinkedin.com+Amy+W.+Senior+Campus+Recruiter" TargetMode="External"/><Relationship Id="rId2080" Type="http://schemas.openxmlformats.org/officeDocument/2006/relationships/hyperlink" Target="https://www.google.com/search?newwindow=1&amp;ei=2MT0XrvGGM-vytMP1OyDgAY&amp;q=site%3Alinkedin.com+Andrea+Diamond+Executive+Director+Head+of+Campus+Strategy+Investment+Mgmt+&amp;+Infrastructure+Campus+Recruiting" TargetMode="External"/><Relationship Id="rId2081" Type="http://schemas.openxmlformats.org/officeDocument/2006/relationships/hyperlink" Target="https://www.google.com/search?newwindow=1&amp;ei=2MT0XrvGGM-vytMP1OyDgAY&amp;q=site%3Alinkedin.com+Marissa+Mellan+Manager+Quantitative+Finance+Campus+Recruiting+at+Morgan+Stanley" TargetMode="External"/><Relationship Id="rId2082" Type="http://schemas.openxmlformats.org/officeDocument/2006/relationships/hyperlink" Target="https://www.google.com/search?newwindow=1&amp;ei=2MT0XrvGGM-vytMP1OyDgAY&amp;q=site%3Alinkedin.com+Kathryn+R.+Manager+Campus+Recruiting" TargetMode="External"/><Relationship Id="rId2083" Type="http://schemas.openxmlformats.org/officeDocument/2006/relationships/hyperlink" Target="https://www.google.com/search?newwindow=1&amp;ei=2MT0XrvGGM-vytMP1OyDgAY&amp;q=site%3Alinkedin.com+Alison+Speedling+Manager+Campus+Recruiting" TargetMode="External"/><Relationship Id="rId2084" Type="http://schemas.openxmlformats.org/officeDocument/2006/relationships/hyperlink" Target="https://www.google.com/search?newwindow=1&amp;ei=2MT0XrvGGM-vytMP1OyDgAY&amp;q=site%3Alinkedin.com+Christina+Belmonte+Manager+Fixed+Income+Analyst+Campus+Recruiting" TargetMode="External"/><Relationship Id="rId2085" Type="http://schemas.openxmlformats.org/officeDocument/2006/relationships/hyperlink" Target="https://www.google.com/search?newwindow=1&amp;ei=2MT0XrvGGM-vytMP1OyDgAY&amp;q=site%3Alinkedin.com+Katie+Robinson-Duff+Manager+Campus+Recruiting" TargetMode="External"/><Relationship Id="rId2086" Type="http://schemas.openxmlformats.org/officeDocument/2006/relationships/hyperlink" Target="https://www.google.com/search?newwindow=1&amp;ei=2MT0XrvGGM-vytMP1OyDgAY&amp;q=site%3Alinkedin.com+Ragland+Mackin+Director+of+Campus+Recruiting" TargetMode="External"/><Relationship Id="rId2087" Type="http://schemas.openxmlformats.org/officeDocument/2006/relationships/hyperlink" Target="https://www.google.com/search?newwindow=1&amp;ei=2MT0XrvGGM-vytMP1OyDgAY&amp;q=site%3Alinkedin.com+Hollan+Humphrey+Campus+Recruiting+Coordinator+Investment+Banking+Analyst+Program" TargetMode="External"/><Relationship Id="rId2088" Type="http://schemas.openxmlformats.org/officeDocument/2006/relationships/hyperlink" Target="https://www.google.com/search?newwindow=1&amp;ei=2MT0XrvGGM-vytMP1OyDgAY&amp;q=site%3Alinkedin.com+Kiera+McMullan+Wealth+Management+Campus+Recruiting+&amp;+Program+Management" TargetMode="External"/><Relationship Id="rId2089" Type="http://schemas.openxmlformats.org/officeDocument/2006/relationships/hyperlink" Target="https://www.google.com/search?newwindow=1&amp;ei=2MT0XrvGGM-vytMP1OyDgAY&amp;q=site%3Alinkedin.com+Chloe+Street+Campus+Recruiting+Director" TargetMode="External"/><Relationship Id="rId2070" Type="http://schemas.openxmlformats.org/officeDocument/2006/relationships/hyperlink" Target="https://www.google.com/search?newwindow=1&amp;ei=2MT0XrvGGM-vytMP1OyDgAY&amp;q=site%3Alinkedin.com+Emily+R.+Mejia+Campus+Recruiting+and+Entry+Programs+Training+Coordinator" TargetMode="External"/><Relationship Id="rId2071" Type="http://schemas.openxmlformats.org/officeDocument/2006/relationships/hyperlink" Target="https://www.google.com/search?newwindow=1&amp;ei=2MT0XrvGGM-vytMP1OyDgAY&amp;q=site%3Alinkedin.com+Katie+Fry+Campus+Recruiting+Associate" TargetMode="External"/><Relationship Id="rId2072" Type="http://schemas.openxmlformats.org/officeDocument/2006/relationships/hyperlink" Target="https://www.google.com/search?newwindow=1&amp;ei=2MT0XrvGGM-vytMP1OyDgAY&amp;q=site%3Alinkedin.com+Charlotte+Fadden+Director+Campus+Recruiting+Manager" TargetMode="External"/><Relationship Id="rId2073" Type="http://schemas.openxmlformats.org/officeDocument/2006/relationships/hyperlink" Target="https://www.google.com/search?newwindow=1&amp;ei=2MT0XrvGGM-vytMP1OyDgAY&amp;q=site%3Alinkedin.com+Jenna+Posner+Director+Technology+Campus+Recruiting" TargetMode="External"/><Relationship Id="rId2074" Type="http://schemas.openxmlformats.org/officeDocument/2006/relationships/hyperlink" Target="https://www.google.com/search?newwindow=1&amp;ei=2MT0XrvGGM-vytMP1OyDgAY&amp;q=site%3Alinkedin.com+Erin+Leonard+Manager+Investment+Banking+MBA+Campus+Recruiting" TargetMode="External"/><Relationship Id="rId2075" Type="http://schemas.openxmlformats.org/officeDocument/2006/relationships/hyperlink" Target="https://www.google.com/search?newwindow=1&amp;ei=2MT0XrvGGM-vytMP1OyDgAY&amp;q=site%3Alinkedin.com+Madison+Gallagher+Director+of+Technology+Campus+Recruiting" TargetMode="External"/><Relationship Id="rId2076" Type="http://schemas.openxmlformats.org/officeDocument/2006/relationships/hyperlink" Target="https://www.google.com/search?newwindow=1&amp;ei=2MT0XrvGGM-vytMP1OyDgAY&amp;q=site%3Alinkedin.com+Natasha+Bhalla+Manager+Technology+Campus+Recruiting" TargetMode="External"/><Relationship Id="rId2077" Type="http://schemas.openxmlformats.org/officeDocument/2006/relationships/hyperlink" Target="https://www.google.com/search?newwindow=1&amp;ei=2MT0XrvGGM-vytMP1OyDgAY&amp;q=site%3Alinkedin.com+Alyssa+Fleischman+Campus+Recruiting+Coordinator+Technology" TargetMode="External"/><Relationship Id="rId2078" Type="http://schemas.openxmlformats.org/officeDocument/2006/relationships/hyperlink" Target="https://www.google.com/search?newwindow=1&amp;ei=2MT0XrvGGM-vytMP1OyDgAY&amp;q=site%3Alinkedin.com+Stephanie+Mondo+Executive+Director+Head+of+Technology+Experienced+and+Campus+Recruiting" TargetMode="External"/><Relationship Id="rId2079" Type="http://schemas.openxmlformats.org/officeDocument/2006/relationships/hyperlink" Target="https://www.google.com/search?newwindow=1&amp;ei=2MT0XrvGGM-vytMP1OyDgAY&amp;q=site%3Alinkedin.com+Annie+Horsley+Campus+Recruiting+Coordinator" TargetMode="External"/><Relationship Id="rId1610" Type="http://schemas.openxmlformats.org/officeDocument/2006/relationships/hyperlink" Target="https://www.google.com/search?newwindow=1&amp;ei=2MT0XrvGGM-vytMP1OyDgAY&amp;q=site%3Alinkedin.com+Allie+McMahon+Commercial+Bank+Campus+Recruiter+JPMorgan+Chase+&amp;+Co." TargetMode="External"/><Relationship Id="rId1611" Type="http://schemas.openxmlformats.org/officeDocument/2006/relationships/hyperlink" Target="https://www.google.com/search?newwindow=1&amp;ei=2MT0XrvGGM-vytMP1OyDgAY&amp;q=site%3Alinkedin.com+Lindsey+Sepich+Campus+Recruiter+JPMorgan+Chase+&amp;+Co." TargetMode="External"/><Relationship Id="rId1612" Type="http://schemas.openxmlformats.org/officeDocument/2006/relationships/hyperlink" Target="https://www.google.com/search?newwindow=1&amp;ei=2MT0XrvGGM-vytMP1OyDgAY&amp;q=site%3Alinkedin.com+Emily+DAoust+Corporate+&amp;+Investment+Bank+Campus+Recruiter+JPMorgan+Chase+&amp;+Co." TargetMode="External"/><Relationship Id="rId1613" Type="http://schemas.openxmlformats.org/officeDocument/2006/relationships/hyperlink" Target="https://www.google.com/search?newwindow=1&amp;ei=2MT0XrvGGM-vytMP1OyDgAY&amp;q=site%3Alinkedin.com+Jessica+Westlund+Senior+Associate-+Campus+Recruiter-+Software+Engineer+Program+JPMorgan+Chase+&amp;+Co." TargetMode="External"/><Relationship Id="rId1614" Type="http://schemas.openxmlformats.org/officeDocument/2006/relationships/hyperlink" Target="https://www.google.com/search?newwindow=1&amp;ei=2MT0XrvGGM-vytMP1OyDgAY&amp;q=site%3Alinkedin.com+Sarah+Ocasio+Vice+President+Campus+Recruiting+JPMorgan+Chase+&amp;+Co." TargetMode="External"/><Relationship Id="rId1615" Type="http://schemas.openxmlformats.org/officeDocument/2006/relationships/hyperlink" Target="https://www.google.com/search?newwindow=1&amp;ei=2MT0XrvGGM-vytMP1OyDgAY&amp;q=site%3Alinkedin.com+Dana+Deats+Campus+Recruiter+JPMorgan+Chase+&amp;+Co." TargetMode="External"/><Relationship Id="rId1616" Type="http://schemas.openxmlformats.org/officeDocument/2006/relationships/hyperlink" Target="https://www.google.com/search?newwindow=1&amp;ei=2MT0XrvGGM-vytMP1OyDgAY&amp;q=site%3Alinkedin.com+Sarah+Abt+Campus+Recruiting+Manager+JPMorgan+Chase+&amp;+Co." TargetMode="External"/><Relationship Id="rId907" Type="http://schemas.openxmlformats.org/officeDocument/2006/relationships/hyperlink" Target="https://www.google.com/search?newwindow=1&amp;ei=2MT0XrvGGM-vytMP1OyDgAY&amp;q=site%3Alinkedin.com+Courtney+Neff+Technical+Recruiter+University+Recruiting+DoorDash" TargetMode="External"/><Relationship Id="rId1617" Type="http://schemas.openxmlformats.org/officeDocument/2006/relationships/hyperlink" Target="https://www.google.com/search?newwindow=1&amp;ei=2MT0XrvGGM-vytMP1OyDgAY&amp;q=site%3Alinkedin.com+Megan+Armellini+Campus+Recruiting+Manager+JPMorgan+Chase+&amp;+Co." TargetMode="External"/><Relationship Id="rId906" Type="http://schemas.openxmlformats.org/officeDocument/2006/relationships/hyperlink" Target="https://www.google.com/search?newwindow=1&amp;ei=2MT0XrvGGM-vytMP1OyDgAY&amp;q=site%3Alinkedin.com+Molly+Holmes+Jacobs+University+Recruiter+DocuSign" TargetMode="External"/><Relationship Id="rId1618" Type="http://schemas.openxmlformats.org/officeDocument/2006/relationships/hyperlink" Target="https://www.google.com/search?newwindow=1&amp;ei=2MT0XrvGGM-vytMP1OyDgAY&amp;q=site%3Alinkedin.com+Vincent+Plantamura+Senior+Campus+Recruiter+Software+Engineer+Program+JPMorgan+Chase+&amp;+Co." TargetMode="External"/><Relationship Id="rId905" Type="http://schemas.openxmlformats.org/officeDocument/2006/relationships/hyperlink" Target="https://www.google.com/search?newwindow=1&amp;ei=2MT0XrvGGM-vytMP1OyDgAY&amp;q=site%3Alinkedin.com+Monica+Kim+University+Recruiter+DocuSign" TargetMode="External"/><Relationship Id="rId1619" Type="http://schemas.openxmlformats.org/officeDocument/2006/relationships/hyperlink" Target="https://www.google.com/search?newwindow=1&amp;ei=2MT0XrvGGM-vytMP1OyDgAY&amp;q=site%3Alinkedin.com+Tori+Bezoza+Lead+Tech+Campus+Recruiter+&amp;+Campus+Process+Management+Advisor++Software+Engineer+Program+JPMorgan+Chase+&amp;+Co." TargetMode="External"/><Relationship Id="rId904" Type="http://schemas.openxmlformats.org/officeDocument/2006/relationships/hyperlink" Target="https://www.google.com/search?newwindow=1&amp;ei=2MT0XrvGGM-vytMP1OyDgAY&amp;q=site%3Alinkedin.com+Kunda+Musambacine+Program+Manager+University+Recruiter+DocuSign" TargetMode="External"/><Relationship Id="rId909" Type="http://schemas.openxmlformats.org/officeDocument/2006/relationships/hyperlink" Target="https://www.google.com/search?newwindow=1&amp;ei=2MT0XrvGGM-vytMP1OyDgAY&amp;q=site%3Alinkedin.com+Daniel+Simpson+Senior+University+Recruiter+Dropbox" TargetMode="External"/><Relationship Id="rId908" Type="http://schemas.openxmlformats.org/officeDocument/2006/relationships/hyperlink" Target="https://www.google.com/search?newwindow=1&amp;ei=2MT0XrvGGM-vytMP1OyDgAY&amp;q=site%3Alinkedin.com+Alexis+Pickett+University+Recruiter+Dropbox" TargetMode="External"/><Relationship Id="rId903" Type="http://schemas.openxmlformats.org/officeDocument/2006/relationships/hyperlink" Target="https://www.google.com/search?newwindow=1&amp;ei=2MT0XrvGGM-vytMP1OyDgAY&amp;q=site%3Alinkedin.com+Gemma+Bowles+Graduate+Recruiter+APAC" TargetMode="External"/><Relationship Id="rId902" Type="http://schemas.openxmlformats.org/officeDocument/2006/relationships/hyperlink" Target="https://www.google.com/search?newwindow=1&amp;ei=2MT0XrvGGM-vytMP1OyDgAY&amp;q=site%3Alinkedin.com+Lucy+Burrows+Assoc+CIPD+Graduate+Recruiter" TargetMode="External"/><Relationship Id="rId901" Type="http://schemas.openxmlformats.org/officeDocument/2006/relationships/hyperlink" Target="https://www.google.com/search?newwindow=1&amp;ei=2MT0XrvGGM-vytMP1OyDgAY&amp;q=site%3Alinkedin.com+Justin+Fay+Graduate+Recruiter" TargetMode="External"/><Relationship Id="rId900" Type="http://schemas.openxmlformats.org/officeDocument/2006/relationships/hyperlink" Target="https://www.google.com/search?newwindow=1&amp;ei=2MT0XrvGGM-vytMP1OyDgAY&amp;q=site%3Alinkedin.com+Natalie+Boyles+CPA+Campus+Recruiter+Dixon+Hughes+Goodman+LLP" TargetMode="External"/><Relationship Id="rId1600" Type="http://schemas.openxmlformats.org/officeDocument/2006/relationships/hyperlink" Target="https://www.google.com/search?newwindow=1&amp;ei=2MT0XrvGGM-vytMP1OyDgAY&amp;q=site%3Alinkedin.com+Amy+Benton+Human+Resources+Firmwide+Campus+Recruiting+Operations+Manager+JPMorgan+Chase" TargetMode="External"/><Relationship Id="rId1601" Type="http://schemas.openxmlformats.org/officeDocument/2006/relationships/hyperlink" Target="https://www.google.com/search?newwindow=1&amp;ei=2MT0XrvGGM-vytMP1OyDgAY&amp;q=site%3Alinkedin.com+Kate+Cooper+University+Relations+Recruiter+JPMorgan+Chase" TargetMode="External"/><Relationship Id="rId1602" Type="http://schemas.openxmlformats.org/officeDocument/2006/relationships/hyperlink" Target="https://www.google.com/search?newwindow=1&amp;ei=2MT0XrvGGM-vytMP1OyDgAY&amp;q=site%3Alinkedin.com+Giselle+Abreu+Associate+Campus+Recruiter+JPMorgan+Chase+&amp;+Co." TargetMode="External"/><Relationship Id="rId1603" Type="http://schemas.openxmlformats.org/officeDocument/2006/relationships/hyperlink" Target="https://www.google.com/search?newwindow=1&amp;ei=2MT0XrvGGM-vytMP1OyDgAY&amp;q=site%3Alinkedin.com+Blake+Johnson+Firmwide+Diversity+Campus+Recruiting+JPMorgan+Chase+&amp;+Co." TargetMode="External"/><Relationship Id="rId1604" Type="http://schemas.openxmlformats.org/officeDocument/2006/relationships/hyperlink" Target="https://www.google.com/search?newwindow=1&amp;ei=2MT0XrvGGM-vytMP1OyDgAY&amp;q=site%3Alinkedin.com+Samantha+Mastellone+Associate+Campus+Recruiter+JPMorgan+Chase+&amp;+Co." TargetMode="External"/><Relationship Id="rId1605" Type="http://schemas.openxmlformats.org/officeDocument/2006/relationships/hyperlink" Target="https://www.google.com/search?newwindow=1&amp;ei=2MT0XrvGGM-vytMP1OyDgAY&amp;q=site%3Alinkedin.com+Julie+Cochran+Campus+Recruiter+Corporate+and+Investment+Bank+JPMorgan+Chase+&amp;+Co." TargetMode="External"/><Relationship Id="rId1606" Type="http://schemas.openxmlformats.org/officeDocument/2006/relationships/hyperlink" Target="https://www.google.com/search?newwindow=1&amp;ei=2MT0XrvGGM-vytMP1OyDgAY&amp;q=site%3Alinkedin.com+Alexia+Sharell+Winfield+Culture+Solutions+Program+Manager+JPMorgan+Chase+&amp;+Co." TargetMode="External"/><Relationship Id="rId1607" Type="http://schemas.openxmlformats.org/officeDocument/2006/relationships/hyperlink" Target="https://www.google.com/search?newwindow=1&amp;ei=2MT0XrvGGM-vytMP1OyDgAY&amp;q=site%3Alinkedin.com+Khevna+M.+Associate+Campus+Recruiter+JPMorgan+Chase+&amp;+Co." TargetMode="External"/><Relationship Id="rId1608" Type="http://schemas.openxmlformats.org/officeDocument/2006/relationships/hyperlink" Target="https://www.google.com/search?newwindow=1&amp;ei=2MT0XrvGGM-vytMP1OyDgAY&amp;q=site%3Alinkedin.com+Emily+R.+Bishop+Campus+Recruiter+JPMorgan+Chase+&amp;+Co." TargetMode="External"/><Relationship Id="rId1609" Type="http://schemas.openxmlformats.org/officeDocument/2006/relationships/hyperlink" Target="https://www.google.com/search?newwindow=1&amp;ei=2MT0XrvGGM-vytMP1OyDgAY&amp;q=site%3Alinkedin.com+Samantha+J.+Associate+Campus+Recruiter+JPMorgan+Chase+&amp;+Co." TargetMode="External"/><Relationship Id="rId1631" Type="http://schemas.openxmlformats.org/officeDocument/2006/relationships/hyperlink" Target="https://www.google.com/search?newwindow=1&amp;ei=2MT0XrvGGM-vytMP1OyDgAY&amp;q=site%3Alinkedin.com+Asia+Mitchell+Campus+Recruiting+Senior+Specialist" TargetMode="External"/><Relationship Id="rId1632" Type="http://schemas.openxmlformats.org/officeDocument/2006/relationships/hyperlink" Target="https://www.google.com/search?newwindow=1&amp;ei=2MT0XrvGGM-vytMP1OyDgAY&amp;q=site%3Alinkedin.com+Fedora+Maduro+Technology+Campus+Recruiter+Human+Resources" TargetMode="External"/><Relationship Id="rId1633" Type="http://schemas.openxmlformats.org/officeDocument/2006/relationships/hyperlink" Target="https://www.google.com/search?newwindow=1&amp;ei=2MT0XrvGGM-vytMP1OyDgAY&amp;q=site%3Alinkedin.com+Samantha+Jacobs+Campus+Recruiting+Coordinator" TargetMode="External"/><Relationship Id="rId1634" Type="http://schemas.openxmlformats.org/officeDocument/2006/relationships/hyperlink" Target="https://www.google.com/search?newwindow=1&amp;ei=2MT0XrvGGM-vytMP1OyDgAY&amp;q=site%3Alinkedin.com+Meagan+Scheffler+Head+of+Commercial+Banking+Campus+Recruiting" TargetMode="External"/><Relationship Id="rId1635" Type="http://schemas.openxmlformats.org/officeDocument/2006/relationships/hyperlink" Target="https://www.google.com/search?newwindow=1&amp;ei=2MT0XrvGGM-vytMP1OyDgAY&amp;q=site%3Alinkedin.com+Taylor+Bjerke+Firmwide+Diversity+Programs+Campus+Recruiting" TargetMode="External"/><Relationship Id="rId1636" Type="http://schemas.openxmlformats.org/officeDocument/2006/relationships/hyperlink" Target="https://www.google.com/search?newwindow=1&amp;ei=2MT0XrvGGM-vytMP1OyDgAY&amp;q=site%3Alinkedin.com+Blake+Johnson+Firmwide+Diversity+Campus+Recruiting" TargetMode="External"/><Relationship Id="rId1637" Type="http://schemas.openxmlformats.org/officeDocument/2006/relationships/hyperlink" Target="https://www.google.com/search?newwindow=1&amp;ei=2MT0XrvGGM-vytMP1OyDgAY&amp;q=site%3Alinkedin.com+Rabia+Baig+Vice+President+Diversity+Sourcing+for+Campus+Recruiting" TargetMode="External"/><Relationship Id="rId1638" Type="http://schemas.openxmlformats.org/officeDocument/2006/relationships/hyperlink" Target="https://www.google.com/search?newwindow=1&amp;ei=2MT0XrvGGM-vytMP1OyDgAY&amp;q=site%3Alinkedin.com+Elizabeth+Zimmermann+Campus+Recruiting+Coordinator" TargetMode="External"/><Relationship Id="rId929" Type="http://schemas.openxmlformats.org/officeDocument/2006/relationships/hyperlink" Target="https://www.google.com/search?newwindow=1&amp;ei=2MT0XrvGGM-vytMP1OyDgAY&amp;q=site%3Alinkedin.com+Alexis+Cohen+Campus+Recruiter+Eli+Lilly+and+Company" TargetMode="External"/><Relationship Id="rId1639" Type="http://schemas.openxmlformats.org/officeDocument/2006/relationships/hyperlink" Target="https://www.google.com/search?newwindow=1&amp;ei=2MT0XrvGGM-vytMP1OyDgAY&amp;q=site%3Alinkedin.com+Bridgett+Turro+Campus+Recruiting+Coordinator" TargetMode="External"/><Relationship Id="rId928" Type="http://schemas.openxmlformats.org/officeDocument/2006/relationships/hyperlink" Target="https://www.google.com/search?newwindow=1&amp;ei=2MT0XrvGGM-vytMP1OyDgAY&amp;q=site%3Alinkedin.com+Mark+Short+Associate+Consultant+Sales+Recruiting+-+Campus+Eli+Lilly+and+Company" TargetMode="External"/><Relationship Id="rId927" Type="http://schemas.openxmlformats.org/officeDocument/2006/relationships/hyperlink" Target="https://www.google.com/search?newwindow=1&amp;ei=2MT0XrvGGM-vytMP1OyDgAY&amp;q=site%3Alinkedin.com+Keith+B.+Stanford+Associate+Consultant/+Campus+Recruiter/Global+Staffing+&amp;+Recruiting+Eli+Lilly" TargetMode="External"/><Relationship Id="rId926" Type="http://schemas.openxmlformats.org/officeDocument/2006/relationships/hyperlink" Target="https://www.google.com/search?newwindow=1&amp;ei=2MT0XrvGGM-vytMP1OyDgAY&amp;q=site%3Alinkedin.com+Laura+Mayer+University+Relations+Business+Partner+and+Campus+Recruiter+(maternity+leave)" TargetMode="External"/><Relationship Id="rId921" Type="http://schemas.openxmlformats.org/officeDocument/2006/relationships/hyperlink" Target="https://www.google.com/search?newwindow=1&amp;ei=2MT0XrvGGM-vytMP1OyDgAY&amp;q=site%3Alinkedin.com+YOSHITAKA+YOSHIZUMI+Student+Recruiter" TargetMode="External"/><Relationship Id="rId920" Type="http://schemas.openxmlformats.org/officeDocument/2006/relationships/hyperlink" Target="https://www.google.com/search?newwindow=1&amp;ei=2MT0XrvGGM-vytMP1OyDgAY&amp;q=site%3Alinkedin.com+Anthea+Berry+Regional+Manager+Recruitment+-+International+Student+Programs" TargetMode="External"/><Relationship Id="rId925" Type="http://schemas.openxmlformats.org/officeDocument/2006/relationships/hyperlink" Target="https://www.google.com/search?newwindow=1&amp;ei=2MT0XrvGGM-vytMP1OyDgAY&amp;q=site%3Alinkedin.com+Derek+Weeres+Recruiter+University+Relations+&amp;+Next-Gen+Talent" TargetMode="External"/><Relationship Id="rId924" Type="http://schemas.openxmlformats.org/officeDocument/2006/relationships/hyperlink" Target="https://www.google.com/search?newwindow=1&amp;ei=2MT0XrvGGM-vytMP1OyDgAY&amp;q=site%3Alinkedin.com+Stephanie+Ha+Sr.+Recruiter+University+Relations+&amp;+Next+Gen+Talent+Electronic+Arts+(EA)" TargetMode="External"/><Relationship Id="rId923" Type="http://schemas.openxmlformats.org/officeDocument/2006/relationships/hyperlink" Target="https://www.google.com/search?newwindow=1&amp;ei=2MT0XrvGGM-vytMP1OyDgAY&amp;q=site%3Alinkedin.com+Melissa+Wafful+Recruiter+-+University+Relations+&amp;+Next-Gen+Talent+Electronic+Arts+(EA)" TargetMode="External"/><Relationship Id="rId922" Type="http://schemas.openxmlformats.org/officeDocument/2006/relationships/hyperlink" Target="https://www.google.com/search?newwindow=1&amp;ei=2MT0XrvGGM-vytMP1OyDgAY&amp;q=site%3Alinkedin.com+Karen+Stinnett+Recruiter+-+University+Relations+&amp;+Next-Gen+Talent+Electronic+Arts" TargetMode="External"/><Relationship Id="rId1630" Type="http://schemas.openxmlformats.org/officeDocument/2006/relationships/hyperlink" Target="https://www.google.com/search?newwindow=1&amp;ei=2MT0XrvGGM-vytMP1OyDgAY&amp;q=site%3Alinkedin.com+Michael+Pedroza+Senior+Associate+Campus+Recruiter+HR+and+Internal+Audit+JPMorgan+Chase+&amp;+Co." TargetMode="External"/><Relationship Id="rId1620" Type="http://schemas.openxmlformats.org/officeDocument/2006/relationships/hyperlink" Target="https://www.google.com/search?newwindow=1&amp;ei=2MT0XrvGGM-vytMP1OyDgAY&amp;q=site%3Alinkedin.com+Alexis+Polanco+MS+Global+Markets+Lead+Recruiter+Vice+President+JPMorgan+Chase+&amp;+Co." TargetMode="External"/><Relationship Id="rId1621" Type="http://schemas.openxmlformats.org/officeDocument/2006/relationships/hyperlink" Target="https://www.google.com/search?newwindow=1&amp;ei=2MT0XrvGGM-vytMP1OyDgAY&amp;q=site%3Alinkedin.com+Talehia+Traverso+Campus+Recruiter+for+Global+Finance+&amp;+Business+Management+Internship+Program+JPMorgan+Chase+&amp;+Co." TargetMode="External"/><Relationship Id="rId1622" Type="http://schemas.openxmlformats.org/officeDocument/2006/relationships/hyperlink" Target="https://www.google.com/search?newwindow=1&amp;ei=2MT0XrvGGM-vytMP1OyDgAY&amp;q=site%3Alinkedin.com+Charlie+Matthews+Campus+Recruiter+JPMorgan+Chase+&amp;+Co." TargetMode="External"/><Relationship Id="rId1623" Type="http://schemas.openxmlformats.org/officeDocument/2006/relationships/hyperlink" Target="https://www.google.com/search?newwindow=1&amp;ei=2MT0XrvGGM-vytMP1OyDgAY&amp;q=site%3Alinkedin.com+Luisa+Alona+Campus+Recruiter+JPMorgan+Chase+&amp;+Co." TargetMode="External"/><Relationship Id="rId1624" Type="http://schemas.openxmlformats.org/officeDocument/2006/relationships/hyperlink" Target="https://www.google.com/search?newwindow=1&amp;ei=2MT0XrvGGM-vytMP1OyDgAY&amp;q=site%3Alinkedin.com+Chris+D.+Vice+President+NAMR+Campus+Recruiting+Ops+Manager+JPMorgan+Chase+&amp;+Co." TargetMode="External"/><Relationship Id="rId1625" Type="http://schemas.openxmlformats.org/officeDocument/2006/relationships/hyperlink" Target="https://www.google.com/search?newwindow=1&amp;ei=2MT0XrvGGM-vytMP1OyDgAY&amp;q=site%3Alinkedin.com+Sara+Jellinek+Associate+MBA+Campus+Recruiter+JPMorgan+Chase+&amp;+Co." TargetMode="External"/><Relationship Id="rId1626" Type="http://schemas.openxmlformats.org/officeDocument/2006/relationships/hyperlink" Target="https://www.google.com/search?newwindow=1&amp;ei=2MT0XrvGGM-vytMP1OyDgAY&amp;q=site%3Alinkedin.com+Haley+Blackman+Campus+Recruiter+Consumer+and+Community+Banking+JPMorgan+Chase+&amp;+Co." TargetMode="External"/><Relationship Id="rId1627" Type="http://schemas.openxmlformats.org/officeDocument/2006/relationships/hyperlink" Target="https://www.google.com/search?newwindow=1&amp;ei=2MT0XrvGGM-vytMP1OyDgAY&amp;q=site%3Alinkedin.com+Kathryn+Finley+Campus+Recruiter+Asset+&amp;+Wealth+Management+JPMorgan+Chase+&amp;+Co." TargetMode="External"/><Relationship Id="rId918" Type="http://schemas.openxmlformats.org/officeDocument/2006/relationships/hyperlink" Target="https://www.google.com/search?newwindow=1&amp;ei=2MT0XrvGGM-vytMP1OyDgAY&amp;q=site%3Alinkedin.com+Wendy+Gilbert+Manager+International+Student+Programs" TargetMode="External"/><Relationship Id="rId1628" Type="http://schemas.openxmlformats.org/officeDocument/2006/relationships/hyperlink" Target="https://www.google.com/search?newwindow=1&amp;ei=2MT0XrvGGM-vytMP1OyDgAY&amp;q=site%3Alinkedin.com+Tiffany+N.+Sheffield+Campus+Recruiter+Consumer+and+Community+Bank+JPMorgan+Chase+&amp;+Co." TargetMode="External"/><Relationship Id="rId917" Type="http://schemas.openxmlformats.org/officeDocument/2006/relationships/hyperlink" Target="https://www.google.com/search?newwindow=1&amp;ei=2MT0XrvGGM-vytMP1OyDgAY&amp;q=site%3Alinkedin.com+Fiona+Hudghton+HOD+-+Languages+and+International+Student+Programs" TargetMode="External"/><Relationship Id="rId1629" Type="http://schemas.openxmlformats.org/officeDocument/2006/relationships/hyperlink" Target="https://www.google.com/search?newwindow=1&amp;ei=2MT0XrvGGM-vytMP1OyDgAY&amp;q=site%3Alinkedin.com+Semaj+Reed+Global+Finance+&amp;+Business+Management+Campus+Recruiter+JPMorgan+Chase+&amp;+Co." TargetMode="External"/><Relationship Id="rId916" Type="http://schemas.openxmlformats.org/officeDocument/2006/relationships/hyperlink" Target="https://www.google.com/search?newwindow=1&amp;ei=2MT0XrvGGM-vytMP1OyDgAY&amp;q=site%3Alinkedin.com+Christy+A.+University+Recruiter+eBay" TargetMode="External"/><Relationship Id="rId915" Type="http://schemas.openxmlformats.org/officeDocument/2006/relationships/hyperlink" Target="https://www.google.com/search?newwindow=1&amp;ei=2MT0XrvGGM-vytMP1OyDgAY&amp;q=site%3Alinkedin.com+Vanessa+McQueen+University+Recruiter+&amp;+Programs+eBay" TargetMode="External"/><Relationship Id="rId919" Type="http://schemas.openxmlformats.org/officeDocument/2006/relationships/hyperlink" Target="https://www.google.com/search?newwindow=1&amp;ei=2MT0XrvGGM-vytMP1OyDgAY&amp;q=site%3Alinkedin.com+Janelle+Peacock+Project+Officer+%7C+Strategy+Quality+and+Compliance+%7C+International+Student+Programs" TargetMode="External"/><Relationship Id="rId910" Type="http://schemas.openxmlformats.org/officeDocument/2006/relationships/hyperlink" Target="https://www.google.com/search?newwindow=1&amp;ei=2MT0XrvGGM-vytMP1OyDgAY&amp;q=site%3Alinkedin.com+Ke+Yang+Campus+Recruiter+DuPont" TargetMode="External"/><Relationship Id="rId914" Type="http://schemas.openxmlformats.org/officeDocument/2006/relationships/hyperlink" Target="https://www.google.com/search?newwindow=1&amp;ei=2MT0XrvGGM-vytMP1OyDgAY&amp;q=site%3Alinkedin.com+Natallia+Guimarais+University+Recruiter+-+EMEA" TargetMode="External"/><Relationship Id="rId913" Type="http://schemas.openxmlformats.org/officeDocument/2006/relationships/hyperlink" Target="https://www.google.com/search?newwindow=1&amp;ei=2MT0XrvGGM-vytMP1OyDgAY&amp;q=site%3Alinkedin.com+DuPont+Campus+Team+Campus+Recruiter+DuPont" TargetMode="External"/><Relationship Id="rId912" Type="http://schemas.openxmlformats.org/officeDocument/2006/relationships/hyperlink" Target="https://www.google.com/search?newwindow=1&amp;ei=2MT0XrvGGM-vytMP1OyDgAY&amp;q=site%3Alinkedin.com+Chalsea+Clark+University+Relations+Recruiter+DuPont" TargetMode="External"/><Relationship Id="rId911" Type="http://schemas.openxmlformats.org/officeDocument/2006/relationships/hyperlink" Target="https://www.google.com/search?newwindow=1&amp;ei=2MT0XrvGGM-vytMP1OyDgAY&amp;q=site%3Alinkedin.com+Elliott+Jones-Poulson+M.S.+(he/his/him)+University+Relations+Recruiter+DuPont" TargetMode="External"/><Relationship Id="rId1697" Type="http://schemas.openxmlformats.org/officeDocument/2006/relationships/hyperlink" Target="https://www.google.com/search?newwindow=1&amp;ei=2MT0XrvGGM-vytMP1OyDgAY&amp;q=site%3Alinkedin.com+Melissa+Payne+Campus+Manager/Recruiter+Kohls+Department+Stores" TargetMode="External"/><Relationship Id="rId1698" Type="http://schemas.openxmlformats.org/officeDocument/2006/relationships/hyperlink" Target="https://www.google.com/search?newwindow=1&amp;ei=2MT0XrvGGM-vytMP1OyDgAY&amp;q=site%3Alinkedin.com+Erica+Trotta+Senior+Executive+Recruiter+Kohls+Department+Stores" TargetMode="External"/><Relationship Id="rId1699" Type="http://schemas.openxmlformats.org/officeDocument/2006/relationships/hyperlink" Target="https://www.google.com/search?newwindow=1&amp;ei=2MT0XrvGGM-vytMP1OyDgAY&amp;q=site%3Alinkedin.com+Michael+Tran+Campus+Recruiter+Kohls+Department+Stores" TargetMode="External"/><Relationship Id="rId866" Type="http://schemas.openxmlformats.org/officeDocument/2006/relationships/hyperlink" Target="https://www.google.com/search?newwindow=1&amp;ei=2MT0XrvGGM-vytMP1OyDgAY&amp;q=site%3Alinkedin.com+Lisa+MacSween-Stout+Student+Programs+Specialist" TargetMode="External"/><Relationship Id="rId865" Type="http://schemas.openxmlformats.org/officeDocument/2006/relationships/hyperlink" Target="https://www.google.com/search?newwindow=1&amp;ei=2MT0XrvGGM-vytMP1OyDgAY&amp;q=site%3Alinkedin.com+Dawn+John+Northeast+Campus+Recruiting+Leader" TargetMode="External"/><Relationship Id="rId864" Type="http://schemas.openxmlformats.org/officeDocument/2006/relationships/hyperlink" Target="https://www.google.com/search?newwindow=1&amp;ei=2MT0XrvGGM-vytMP1OyDgAY&amp;q=site%3Alinkedin.com+Kendra+Murphy+Project+Manager+for+National+Campus+Recruiting" TargetMode="External"/><Relationship Id="rId863" Type="http://schemas.openxmlformats.org/officeDocument/2006/relationships/hyperlink" Target="https://www.google.com/search?newwindow=1&amp;ei=2MT0XrvGGM-vytMP1OyDgAY&amp;q=site%3Alinkedin.com+Leslie+Van+Sant+Campus+Recruiter+Deloitte+Services+LP" TargetMode="External"/><Relationship Id="rId869" Type="http://schemas.openxmlformats.org/officeDocument/2006/relationships/hyperlink" Target="https://www.google.com/search?newwindow=1&amp;ei=2MT0XrvGGM-vytMP1OyDgAY&amp;q=site%3Alinkedin.com+Sofia+Barela+Sr+Experienced+Recruiting+Coordinator" TargetMode="External"/><Relationship Id="rId868" Type="http://schemas.openxmlformats.org/officeDocument/2006/relationships/hyperlink" Target="https://www.google.com/search?newwindow=1&amp;ei=2MT0XrvGGM-vytMP1OyDgAY&amp;q=site%3Alinkedin.com+Kate+Bennis+Lead+Campus+Recruiting+Specialist" TargetMode="External"/><Relationship Id="rId867" Type="http://schemas.openxmlformats.org/officeDocument/2006/relationships/hyperlink" Target="https://www.google.com/search?newwindow=1&amp;ei=2MT0XrvGGM-vytMP1OyDgAY&amp;q=site%3Alinkedin.com+Claire+Tully+Campus+Recruiting+Specialist" TargetMode="External"/><Relationship Id="rId1690" Type="http://schemas.openxmlformats.org/officeDocument/2006/relationships/hyperlink" Target="https://www.google.com/search?newwindow=1&amp;ei=2MT0XrvGGM-vytMP1OyDgAY&amp;q=site%3Alinkedin.com+Eudulia+Velez+Campus+Recruiter+Kohls" TargetMode="External"/><Relationship Id="rId1691" Type="http://schemas.openxmlformats.org/officeDocument/2006/relationships/hyperlink" Target="https://www.google.com/search?newwindow=1&amp;ei=2MT0XrvGGM-vytMP1OyDgAY&amp;q=site%3Alinkedin.com+Ashlee+Harry+Fall+NE+Campus+Team+Recruiter+Kohls" TargetMode="External"/><Relationship Id="rId1692" Type="http://schemas.openxmlformats.org/officeDocument/2006/relationships/hyperlink" Target="https://www.google.com/search?newwindow=1&amp;ei=2MT0XrvGGM-vytMP1OyDgAY&amp;q=site%3Alinkedin.com+Steven+Bothwell+Early+Talent+Campus+Recruiter+Kohls" TargetMode="External"/><Relationship Id="rId862" Type="http://schemas.openxmlformats.org/officeDocument/2006/relationships/hyperlink" Target="https://www.google.com/search?newwindow=1&amp;ei=2MT0XrvGGM-vytMP1OyDgAY&amp;q=site%3Alinkedin.com+Suzanne+Hansler+Campus+Recruiter+Deloitte+Services+LLP" TargetMode="External"/><Relationship Id="rId1693" Type="http://schemas.openxmlformats.org/officeDocument/2006/relationships/hyperlink" Target="https://www.google.com/search?newwindow=1&amp;ei=2MT0XrvGGM-vytMP1OyDgAY&amp;q=site%3Alinkedin.com+Carina+Hernandez+Campus+Recruiter+Kohls" TargetMode="External"/><Relationship Id="rId861" Type="http://schemas.openxmlformats.org/officeDocument/2006/relationships/hyperlink" Target="https://www.google.com/search?newwindow=1&amp;ei=2MT0XrvGGM-vytMP1OyDgAY&amp;q=site%3Alinkedin.com+Erica+Johnson+Campus+Recruiting+Manager+Deloitte+LP" TargetMode="External"/><Relationship Id="rId1694" Type="http://schemas.openxmlformats.org/officeDocument/2006/relationships/hyperlink" Target="https://www.google.com/search?newwindow=1&amp;ei=2MT0XrvGGM-vytMP1OyDgAY&amp;q=site%3Alinkedin.com+Omni+Dean+Campus+Recruiting+Manager+kohls+Department+Stores" TargetMode="External"/><Relationship Id="rId860" Type="http://schemas.openxmlformats.org/officeDocument/2006/relationships/hyperlink" Target="https://www.google.com/search?newwindow=1&amp;ei=2MT0XrvGGM-vytMP1OyDgAY&amp;q=site%3Alinkedin.com+Dawn+John+Northeast+Campus+Recruiting+Leader+Deloitte+&amp;+Touche" TargetMode="External"/><Relationship Id="rId1695" Type="http://schemas.openxmlformats.org/officeDocument/2006/relationships/hyperlink" Target="https://www.google.com/search?newwindow=1&amp;ei=2MT0XrvGGM-vytMP1OyDgAY&amp;q=site%3Alinkedin.com+Gary+Wegrzyn+Digital+Campus+Recruiter+Kohls+Department+Stores" TargetMode="External"/><Relationship Id="rId1696" Type="http://schemas.openxmlformats.org/officeDocument/2006/relationships/hyperlink" Target="https://www.google.com/search?newwindow=1&amp;ei=2MT0XrvGGM-vytMP1OyDgAY&amp;q=site%3Alinkedin.com+Tori+Hoffman+Early+Talent+Recruiter+Kohls+Department+Stores" TargetMode="External"/><Relationship Id="rId1686" Type="http://schemas.openxmlformats.org/officeDocument/2006/relationships/hyperlink" Target="https://www.google.com/search?newwindow=1&amp;ei=2MT0XrvGGM-vytMP1OyDgAY&amp;q=site%3Alinkedin.com+Robyn+Macdonald+CHRP+Corporate+Recruiter+University+Relations" TargetMode="External"/><Relationship Id="rId1687" Type="http://schemas.openxmlformats.org/officeDocument/2006/relationships/hyperlink" Target="https://www.google.com/search?newwindow=1&amp;ei=2MT0XrvGGM-vytMP1OyDgAY&amp;q=site%3Alinkedin.com+Jody+Hisko+Recruitment+Coordinator+University+Relations" TargetMode="External"/><Relationship Id="rId1688" Type="http://schemas.openxmlformats.org/officeDocument/2006/relationships/hyperlink" Target="https://www.google.com/search?newwindow=1&amp;ei=2MT0XrvGGM-vytMP1OyDgAY&amp;q=site%3Alinkedin.com+Samantha+Pierre-Alexander+Campus+Recruiter+Kohls" TargetMode="External"/><Relationship Id="rId1689" Type="http://schemas.openxmlformats.org/officeDocument/2006/relationships/hyperlink" Target="https://www.google.com/search?newwindow=1&amp;ei=2MT0XrvGGM-vytMP1OyDgAY&amp;q=site%3Alinkedin.com+Angela+Bangert+Senior+Recruiter+University+Relations+Kohls" TargetMode="External"/><Relationship Id="rId855" Type="http://schemas.openxmlformats.org/officeDocument/2006/relationships/hyperlink" Target="https://www.google.com/search?newwindow=1&amp;ei=2MT0XrvGGM-vytMP1OyDgAY&amp;q=site%3Alinkedin.com+Angela+Cottrell+Campus+Recruiter+Deloitte" TargetMode="External"/><Relationship Id="rId854" Type="http://schemas.openxmlformats.org/officeDocument/2006/relationships/hyperlink" Target="https://www.google.com/search?newwindow=1&amp;ei=2MT0XrvGGM-vytMP1OyDgAY&amp;q=site%3Alinkedin.com+Ashley+Josephson+Campus+Recruiting+Manager+-+Consulting+Deloitte" TargetMode="External"/><Relationship Id="rId853" Type="http://schemas.openxmlformats.org/officeDocument/2006/relationships/hyperlink" Target="https://www.google.com/search?newwindow=1&amp;ei=2MT0XrvGGM-vytMP1OyDgAY&amp;q=site%3Alinkedin.com+Melissa+Varkoly+Senior+Manager+-+Audit+Talent+Business+Advisor+Deloitte" TargetMode="External"/><Relationship Id="rId852" Type="http://schemas.openxmlformats.org/officeDocument/2006/relationships/hyperlink" Target="https://www.google.com/search?newwindow=1&amp;ei=2MT0XrvGGM-vytMP1OyDgAY&amp;q=site%3Alinkedin.com+Jenni+Graham+Lead+Experienced+Recruiter+Deloitte" TargetMode="External"/><Relationship Id="rId859" Type="http://schemas.openxmlformats.org/officeDocument/2006/relationships/hyperlink" Target="https://www.google.com/search?newwindow=1&amp;ei=2MT0XrvGGM-vytMP1OyDgAY&amp;q=site%3Alinkedin.com+Kendra+Murphy+Project+Manager+for+National+Campus+Recruiting+Deloitte+&amp;+Touche" TargetMode="External"/><Relationship Id="rId858" Type="http://schemas.openxmlformats.org/officeDocument/2006/relationships/hyperlink" Target="https://www.google.com/search?newwindow=1&amp;ei=2MT0XrvGGM-vytMP1OyDgAY&amp;q=site%3Alinkedin.com+Agi+Galecka+CPA+Senior+Campus+Recruiter+Deloitte" TargetMode="External"/><Relationship Id="rId857" Type="http://schemas.openxmlformats.org/officeDocument/2006/relationships/hyperlink" Target="https://www.google.com/search?newwindow=1&amp;ei=2MT0XrvGGM-vytMP1OyDgAY&amp;q=site%3Alinkedin.com+Christa+Sublett+Campus+Recruiting+Manager+Deloitte" TargetMode="External"/><Relationship Id="rId856" Type="http://schemas.openxmlformats.org/officeDocument/2006/relationships/hyperlink" Target="https://www.google.com/search?newwindow=1&amp;ei=2MT0XrvGGM-vytMP1OyDgAY&amp;q=site%3Alinkedin.com+Jennifer+Sullivan+Senior+Manager+National+Technology+Campus+Recruiting+Leader+Deloitte" TargetMode="External"/><Relationship Id="rId1680" Type="http://schemas.openxmlformats.org/officeDocument/2006/relationships/hyperlink" Target="https://www.google.com/search?newwindow=1&amp;ei=2MT0XrvGGM-vytMP1OyDgAY&amp;q=site%3Alinkedin.com+Brooke+Weber+Campus+Recruiter+KeyBank" TargetMode="External"/><Relationship Id="rId1681" Type="http://schemas.openxmlformats.org/officeDocument/2006/relationships/hyperlink" Target="https://www.google.com/search?newwindow=1&amp;ei=2MT0XrvGGM-vytMP1OyDgAY&amp;q=site%3Alinkedin.com+Hannah+Post+College+Recruiter+-+Finance+IT+&amp;+Marketing+Kimberly-Clark" TargetMode="External"/><Relationship Id="rId851" Type="http://schemas.openxmlformats.org/officeDocument/2006/relationships/hyperlink" Target="https://www.google.com/search?newwindow=1&amp;ei=2MT0XrvGGM-vytMP1OyDgAY&amp;q=site%3Alinkedin.com+Stephanie+Ryder+Campus+Recruiter+Deloitte" TargetMode="External"/><Relationship Id="rId1682" Type="http://schemas.openxmlformats.org/officeDocument/2006/relationships/hyperlink" Target="https://www.google.com/search?newwindow=1&amp;ei=2MT0XrvGGM-vytMP1OyDgAY&amp;q=site%3Alinkedin.com+Lauren+Sell+College+Recruiter+Kimberly-Clark" TargetMode="External"/><Relationship Id="rId850" Type="http://schemas.openxmlformats.org/officeDocument/2006/relationships/hyperlink" Target="https://www.google.com/search?newwindow=1&amp;ei=2MT0XrvGGM-vytMP1OyDgAY&amp;q=site%3Alinkedin.com+Jade+Gingras+Campus+Recruiting+Specialist+Deloitte" TargetMode="External"/><Relationship Id="rId1683" Type="http://schemas.openxmlformats.org/officeDocument/2006/relationships/hyperlink" Target="https://www.google.com/search?newwindow=1&amp;ei=2MT0XrvGGM-vytMP1OyDgAY&amp;q=site%3Alinkedin.com+Kayla+Masterson+SHRM-+CP+College+Recruiter-+Research+&amp;+Engineering+Kimberly-Clark" TargetMode="External"/><Relationship Id="rId1684" Type="http://schemas.openxmlformats.org/officeDocument/2006/relationships/hyperlink" Target="https://www.google.com/search?newwindow=1&amp;ei=2MT0XrvGGM-vytMP1OyDgAY&amp;q=site%3Alinkedin.com+Joann+Milhaupt+College+Recruiter+Co-ops+and+Interns+Kimberly-Clark" TargetMode="External"/><Relationship Id="rId1685" Type="http://schemas.openxmlformats.org/officeDocument/2006/relationships/hyperlink" Target="https://www.google.com/search?newwindow=1&amp;ei=2MT0XrvGGM-vytMP1OyDgAY&amp;q=site%3Alinkedin.com+Andy+Salzwedel+College+Recruiter+Kimberly-Clark" TargetMode="External"/><Relationship Id="rId888" Type="http://schemas.openxmlformats.org/officeDocument/2006/relationships/hyperlink" Target="https://www.google.com/search?newwindow=1&amp;ei=2MT0XrvGGM-vytMP1OyDgAY&amp;q=site%3Alinkedin.com+Bukola+Enirayetan+Junior+Graduate+Recruiter" TargetMode="External"/><Relationship Id="rId887" Type="http://schemas.openxmlformats.org/officeDocument/2006/relationships/hyperlink" Target="https://www.google.com/search?newwindow=1&amp;ei=2MT0XrvGGM-vytMP1OyDgAY&amp;q=site%3Alinkedin.com+Jignesh+Vaghadia+(Assoc+CIPD)+Graduate+Recruiter+%E2%80%93+Markets+(Sales+Trading+Structuring+and+Research)" TargetMode="External"/><Relationship Id="rId886" Type="http://schemas.openxmlformats.org/officeDocument/2006/relationships/hyperlink" Target="https://www.google.com/search?newwindow=1&amp;ei=2MT0XrvGGM-vytMP1OyDgAY&amp;q=site%3Alinkedin.com+Francesca+White+Graduate+Recruiter" TargetMode="External"/><Relationship Id="rId885" Type="http://schemas.openxmlformats.org/officeDocument/2006/relationships/hyperlink" Target="https://www.google.com/search?newwindow=1&amp;ei=2MT0XrvGGM-vytMP1OyDgAY&amp;q=site%3Alinkedin.com+Amanda+Griffith+EMEA+Campus+Recruiter+-+Corporate+Finance+Corporate+Bank++&amp;+Campus+Engagement+(Contract)" TargetMode="External"/><Relationship Id="rId889" Type="http://schemas.openxmlformats.org/officeDocument/2006/relationships/hyperlink" Target="https://www.google.com/search?newwindow=1&amp;ei=2MT0XrvGGM-vytMP1OyDgAY&amp;q=site%3Alinkedin.com+Jennifer+Hadden+Campus+Recruiter+Deutsche+Bank" TargetMode="External"/><Relationship Id="rId880" Type="http://schemas.openxmlformats.org/officeDocument/2006/relationships/hyperlink" Target="https://www.google.com/search?newwindow=1&amp;ei=2MT0XrvGGM-vytMP1OyDgAY&amp;q=site%3Alinkedin.com+Loriann+Joseph+Talent+Coordinator+Associate+and+Student+Programs" TargetMode="External"/><Relationship Id="rId884" Type="http://schemas.openxmlformats.org/officeDocument/2006/relationships/hyperlink" Target="https://www.google.com/search?newwindow=1&amp;ei=2MT0XrvGGM-vytMP1OyDgAY&amp;q=site%3Alinkedin.com+Sarah+Scadding+(Assoc+CIPD)+Early+Careers+Recruiter+-+Campus+&amp;+Diversity" TargetMode="External"/><Relationship Id="rId883" Type="http://schemas.openxmlformats.org/officeDocument/2006/relationships/hyperlink" Target="https://www.google.com/search?newwindow=1&amp;ei=2MT0XrvGGM-vytMP1OyDgAY&amp;q=site%3Alinkedin.com+Neeta+Patel+Graduate+Recruiter" TargetMode="External"/><Relationship Id="rId882" Type="http://schemas.openxmlformats.org/officeDocument/2006/relationships/hyperlink" Target="https://www.google.com/search?newwindow=1&amp;ei=2MT0XrvGGM-vytMP1OyDgAY&amp;q=site%3Alinkedin.com+Cindy+Kennedy+Talent+Coordinator+Associate+and+Student+Programs" TargetMode="External"/><Relationship Id="rId881" Type="http://schemas.openxmlformats.org/officeDocument/2006/relationships/hyperlink" Target="https://www.google.com/search?newwindow=1&amp;ei=2MT0XrvGGM-vytMP1OyDgAY&amp;q=site%3Alinkedin.com+Lisa+Midgley+Talent+Specialist+Associate+&amp;+Student+Programs" TargetMode="External"/><Relationship Id="rId877" Type="http://schemas.openxmlformats.org/officeDocument/2006/relationships/hyperlink" Target="https://www.google.com/search?newwindow=1&amp;ei=2MT0XrvGGM-vytMP1OyDgAY&amp;q=site%3Alinkedin.com+Mark+McKenzie+Sr.+Campus+Recruiter+Deloitte+Consulting" TargetMode="External"/><Relationship Id="rId876" Type="http://schemas.openxmlformats.org/officeDocument/2006/relationships/hyperlink" Target="https://www.google.com/search?newwindow=1&amp;ei=2MT0XrvGGM-vytMP1OyDgAY&amp;q=site%3Alinkedin.com+Maria+Kichler+Campus+Recruiter+Deloitte+Consulting" TargetMode="External"/><Relationship Id="rId875" Type="http://schemas.openxmlformats.org/officeDocument/2006/relationships/hyperlink" Target="https://www.google.com/search?newwindow=1&amp;ei=2MT0XrvGGM-vytMP1OyDgAY&amp;q=site%3Alinkedin.com+Catherine+Casey+Senior+MBA+Campus+Recruiter+Deloitte+Consulting" TargetMode="External"/><Relationship Id="rId874" Type="http://schemas.openxmlformats.org/officeDocument/2006/relationships/hyperlink" Target="https://www.google.com/search?newwindow=1&amp;ei=2MT0XrvGGM-vytMP1OyDgAY&amp;q=site%3Alinkedin.com+Tiffany+Foskey-LewisSHRM-CP+US+Delivery+Center+Campus+Recruiter+Deloitte+Consulting" TargetMode="External"/><Relationship Id="rId879" Type="http://schemas.openxmlformats.org/officeDocument/2006/relationships/hyperlink" Target="https://www.google.com/search?newwindow=1&amp;ei=2MT0XrvGGM-vytMP1OyDgAY&amp;q=site%3Alinkedin.com+Erica+Johnson+Campus+Recruiting+Manager" TargetMode="External"/><Relationship Id="rId878" Type="http://schemas.openxmlformats.org/officeDocument/2006/relationships/hyperlink" Target="https://www.google.com/search?newwindow=1&amp;ei=2MT0XrvGGM-vytMP1OyDgAY&amp;q=site%3Alinkedin.com+Mike+Gunter+Campus+Recruiting" TargetMode="External"/><Relationship Id="rId873" Type="http://schemas.openxmlformats.org/officeDocument/2006/relationships/hyperlink" Target="https://www.google.com/search?newwindow=1&amp;ei=2MT0XrvGGM-vytMP1OyDgAY&amp;q=site%3Alinkedin.com+Tracey+King+Campus+Recruiter+Coordinator+Deloitte+Consulting" TargetMode="External"/><Relationship Id="rId872" Type="http://schemas.openxmlformats.org/officeDocument/2006/relationships/hyperlink" Target="https://www.google.com/search?newwindow=1&amp;ei=2MT0XrvGGM-vytMP1OyDgAY&amp;q=site%3Alinkedin.com+Carli+Hyatt+Campus+Recruiter+Deloitte+Consulting" TargetMode="External"/><Relationship Id="rId871" Type="http://schemas.openxmlformats.org/officeDocument/2006/relationships/hyperlink" Target="https://www.google.com/search?newwindow=1&amp;ei=2MT0XrvGGM-vytMP1OyDgAY&amp;q=site%3Alinkedin.com+Allyssa+Tivis+Resource+Manager+Deloitte+Consulting" TargetMode="External"/><Relationship Id="rId870" Type="http://schemas.openxmlformats.org/officeDocument/2006/relationships/hyperlink" Target="https://www.google.com/search?newwindow=1&amp;ei=2MT0XrvGGM-vytMP1OyDgAY&amp;q=site%3Alinkedin.com+Bob+Warmkessel+Campus+Recruiter+Deloitte+Consulting" TargetMode="External"/><Relationship Id="rId1653" Type="http://schemas.openxmlformats.org/officeDocument/2006/relationships/hyperlink" Target="https://www.google.com/search?newwindow=1&amp;ei=2MT0XrvGGM-vytMP1OyDgAY&amp;q=site%3Alinkedin.com+Paul+Sutherland+VP+Global+Lead+-+AIML+&amp;+Quant+Analytics+Campus+Recruiting" TargetMode="External"/><Relationship Id="rId1654" Type="http://schemas.openxmlformats.org/officeDocument/2006/relationships/hyperlink" Target="https://www.google.com/search?newwindow=1&amp;ei=2MT0XrvGGM-vytMP1OyDgAY&amp;q=site%3Alinkedin.com+Millie+Norton-Knight+Australia+Country+Campus+Recruiter" TargetMode="External"/><Relationship Id="rId1655" Type="http://schemas.openxmlformats.org/officeDocument/2006/relationships/hyperlink" Target="https://www.google.com/search?newwindow=1&amp;ei=2MT0XrvGGM-vytMP1OyDgAY&amp;q=site%3Alinkedin.com+Sarah+Abt+Campus+Recruiting+Manager" TargetMode="External"/><Relationship Id="rId1656" Type="http://schemas.openxmlformats.org/officeDocument/2006/relationships/hyperlink" Target="https://www.google.com/search?newwindow=1&amp;ei=2MT0XrvGGM-vytMP1OyDgAY&amp;q=site%3Alinkedin.com+James+(Seldric)+Blocker+Executive+Director+Asset+&amp;+Wealth+Management+Campus+Recruiting" TargetMode="External"/><Relationship Id="rId1657" Type="http://schemas.openxmlformats.org/officeDocument/2006/relationships/hyperlink" Target="https://www.google.com/search?newwindow=1&amp;ei=2MT0XrvGGM-vytMP1OyDgAY&amp;q=site%3Alinkedin.com+Matthew+Curry+Vice+President+Technology+Campus+Recruiting+Lead+-+North+America" TargetMode="External"/><Relationship Id="rId1658" Type="http://schemas.openxmlformats.org/officeDocument/2006/relationships/hyperlink" Target="https://www.google.com/search?newwindow=1&amp;ei=2MT0XrvGGM-vytMP1OyDgAY&amp;q=site%3Alinkedin.com+Alexis+Polanco+MS+Global+Markets+Lead+Recruiter+Vice+President" TargetMode="External"/><Relationship Id="rId1659" Type="http://schemas.openxmlformats.org/officeDocument/2006/relationships/hyperlink" Target="https://www.google.com/search?newwindow=1&amp;ei=2MT0XrvGGM-vytMP1OyDgAY&amp;q=site%3Alinkedin.com+Mary+Catherine+Executive+Director+Campus+Recruiting" TargetMode="External"/><Relationship Id="rId829" Type="http://schemas.openxmlformats.org/officeDocument/2006/relationships/hyperlink" Target="https://www.google.com/search?newwindow=1&amp;ei=2MT0XrvGGM-vytMP1OyDgAY&amp;q=site%3Alinkedin.com+Jennifer+Cohen+PHR+Campus+Recruiting+Manager+Deloitte" TargetMode="External"/><Relationship Id="rId828" Type="http://schemas.openxmlformats.org/officeDocument/2006/relationships/hyperlink" Target="https://www.google.com/search?newwindow=1&amp;ei=2MT0XrvGGM-vytMP1OyDgAY&amp;q=site%3Alinkedin.com+Kerri+Oliveira+Campus+Recruiter+Deloitte" TargetMode="External"/><Relationship Id="rId827" Type="http://schemas.openxmlformats.org/officeDocument/2006/relationships/hyperlink" Target="https://www.google.com/search?newwindow=1&amp;ei=2MT0XrvGGM-vytMP1OyDgAY&amp;q=site%3Alinkedin.com+Divya+Shenoy+Campus+Recruiting+Manager+Deloitte" TargetMode="External"/><Relationship Id="rId822" Type="http://schemas.openxmlformats.org/officeDocument/2006/relationships/hyperlink" Target="https://www.google.com/search?newwindow=1&amp;ei=2MT0XrvGGM-vytMP1OyDgAY&amp;q=site%3Alinkedin.com+Marie+Hoyt+Senior+Campus+Recruiter+Deloitte" TargetMode="External"/><Relationship Id="rId821" Type="http://schemas.openxmlformats.org/officeDocument/2006/relationships/hyperlink" Target="https://www.google.com/search?newwindow=1&amp;ei=2MT0XrvGGM-vytMP1OyDgAY&amp;q=site%3Alinkedin.com+Amy+Curtin+Human+Capital+Recruiting+Manager+Deloitte" TargetMode="External"/><Relationship Id="rId820" Type="http://schemas.openxmlformats.org/officeDocument/2006/relationships/hyperlink" Target="https://www.google.com/search?newwindow=1&amp;ei=2MT0XrvGGM-vytMP1OyDgAY&amp;q=site%3Alinkedin.com+Danica+DeVito+Experienced+Hire+Recruiter+Deloitte" TargetMode="External"/><Relationship Id="rId826" Type="http://schemas.openxmlformats.org/officeDocument/2006/relationships/hyperlink" Target="https://www.google.com/search?newwindow=1&amp;ei=2MT0XrvGGM-vytMP1OyDgAY&amp;q=site%3Alinkedin.com+Dolorez+Dumas-Aris+Campus+Recruiting+Manager+Deloitte" TargetMode="External"/><Relationship Id="rId825" Type="http://schemas.openxmlformats.org/officeDocument/2006/relationships/hyperlink" Target="https://www.google.com/search?newwindow=1&amp;ei=2MT0XrvGGM-vytMP1OyDgAY&amp;q=site%3Alinkedin.com+Amanda+Runnalls+Campus+Recruiter+Deloitte" TargetMode="External"/><Relationship Id="rId824" Type="http://schemas.openxmlformats.org/officeDocument/2006/relationships/hyperlink" Target="https://www.google.com/search?newwindow=1&amp;ei=2MT0XrvGGM-vytMP1OyDgAY&amp;q=site%3Alinkedin.com+Rebecca+Maddox+Senior+Campus+Recruiter+Deloitte" TargetMode="External"/><Relationship Id="rId823" Type="http://schemas.openxmlformats.org/officeDocument/2006/relationships/hyperlink" Target="https://www.google.com/search?newwindow=1&amp;ei=2MT0XrvGGM-vytMP1OyDgAY&amp;q=site%3Alinkedin.com+Kelly+Swartzfager+Campus+Recruiter+Deloitte" TargetMode="External"/><Relationship Id="rId1650" Type="http://schemas.openxmlformats.org/officeDocument/2006/relationships/hyperlink" Target="https://www.google.com/search?newwindow=1&amp;ei=2MT0XrvGGM-vytMP1OyDgAY&amp;q=site%3Alinkedin.com+Carlos+Pereira+MPA+Campus+Recruiting" TargetMode="External"/><Relationship Id="rId1651" Type="http://schemas.openxmlformats.org/officeDocument/2006/relationships/hyperlink" Target="https://www.google.com/search?newwindow=1&amp;ei=2MT0XrvGGM-vytMP1OyDgAY&amp;q=site%3Alinkedin.com+Danielle+Quintanilla+MSHRM+Campus+Recruiting+Coordinator+Software+Engineer+Program" TargetMode="External"/><Relationship Id="rId1652" Type="http://schemas.openxmlformats.org/officeDocument/2006/relationships/hyperlink" Target="https://www.google.com/search?newwindow=1&amp;ei=2MT0XrvGGM-vytMP1OyDgAY&amp;q=site%3Alinkedin.com+Darshana+Rao+Campus+Recruiting+Diversity+Events+Specialist" TargetMode="External"/><Relationship Id="rId1642" Type="http://schemas.openxmlformats.org/officeDocument/2006/relationships/hyperlink" Target="https://www.google.com/search?newwindow=1&amp;ei=2MT0XrvGGM-vytMP1OyDgAY&amp;q=site%3Alinkedin.com+Alexia+Sharell+Winfield+Culture+Solutions+Program+Manager" TargetMode="External"/><Relationship Id="rId1643" Type="http://schemas.openxmlformats.org/officeDocument/2006/relationships/hyperlink" Target="https://www.google.com/search?newwindow=1&amp;ei=2MT0XrvGGM-vytMP1OyDgAY&amp;q=site%3Alinkedin.com+Lewis+Omboga+Campus+Recruiting+Sourcer" TargetMode="External"/><Relationship Id="rId1644" Type="http://schemas.openxmlformats.org/officeDocument/2006/relationships/hyperlink" Target="https://www.google.com/search?newwindow=1&amp;ei=2MT0XrvGGM-vytMP1OyDgAY&amp;q=site%3Alinkedin.com+Jessica+Livon+Campus+Recruiting+Sourcer" TargetMode="External"/><Relationship Id="rId1645" Type="http://schemas.openxmlformats.org/officeDocument/2006/relationships/hyperlink" Target="https://www.google.com/search?newwindow=1&amp;ei=2MT0XrvGGM-vytMP1OyDgAY&amp;q=site%3Alinkedin.com+Michelle+Bowens+MBA+PHR+Diversity+Sourcer+Firmwide+Campus+Recruiting" TargetMode="External"/><Relationship Id="rId1646" Type="http://schemas.openxmlformats.org/officeDocument/2006/relationships/hyperlink" Target="https://www.google.com/search?newwindow=1&amp;ei=2MT0XrvGGM-vytMP1OyDgAY&amp;q=site%3Alinkedin.com+Sarah+Marsh+Firmwide+Campus+Recruiting+Events+Specialist" TargetMode="External"/><Relationship Id="rId1647" Type="http://schemas.openxmlformats.org/officeDocument/2006/relationships/hyperlink" Target="https://www.google.com/search?newwindow=1&amp;ei=2MT0XrvGGM-vytMP1OyDgAY&amp;q=site%3Alinkedin.com+Tiara+Triplett+MBA+Campus+Recruiting+Operations+Specialist-+Software+Engineer+Program" TargetMode="External"/><Relationship Id="rId1648" Type="http://schemas.openxmlformats.org/officeDocument/2006/relationships/hyperlink" Target="https://www.google.com/search?newwindow=1&amp;ei=2MT0XrvGGM-vytMP1OyDgAY&amp;q=site%3Alinkedin.com+Ki%27Mii+Sellers+aPHR+CIB+Campus+Recruiting+Business+Advisor" TargetMode="External"/><Relationship Id="rId1649" Type="http://schemas.openxmlformats.org/officeDocument/2006/relationships/hyperlink" Target="https://www.google.com/search?newwindow=1&amp;ei=2MT0XrvGGM-vytMP1OyDgAY&amp;q=site%3Alinkedin.com+Sarah+Ocasio+Vice+President+Campus+Recruiting" TargetMode="External"/><Relationship Id="rId819" Type="http://schemas.openxmlformats.org/officeDocument/2006/relationships/hyperlink" Target="https://www.google.com/search?newwindow=1&amp;ei=2MT0XrvGGM-vytMP1OyDgAY&amp;q=site%3Alinkedin.com+Gail+Lewis-Kelley+Campus+Recruiting+Manager+Deloitte" TargetMode="External"/><Relationship Id="rId818" Type="http://schemas.openxmlformats.org/officeDocument/2006/relationships/hyperlink" Target="https://www.google.com/search?newwindow=1&amp;ei=2MT0XrvGGM-vytMP1OyDgAY&amp;q=site%3Alinkedin.com+Fleming+Longino+Campus+Recruiter+Deloitte" TargetMode="External"/><Relationship Id="rId817" Type="http://schemas.openxmlformats.org/officeDocument/2006/relationships/hyperlink" Target="https://www.google.com/search?newwindow=1&amp;ei=2MT0XrvGGM-vytMP1OyDgAY&amp;q=site%3Alinkedin.com+Shawn+Lamb+Senior+Campus+Recruiter+Deloitte" TargetMode="External"/><Relationship Id="rId816" Type="http://schemas.openxmlformats.org/officeDocument/2006/relationships/hyperlink" Target="https://www.google.com/search?newwindow=1&amp;ei=2MT0XrvGGM-vytMP1OyDgAY&amp;q=site%3Alinkedin.com+Carly+Wenyon+Campus+Recruiter+Deloitte" TargetMode="External"/><Relationship Id="rId811" Type="http://schemas.openxmlformats.org/officeDocument/2006/relationships/hyperlink" Target="https://www.google.com/search?newwindow=1&amp;ei=2MT0XrvGGM-vytMP1OyDgAY&amp;q=site%3Alinkedin.com+Kristin+Mikelson+Campus+Recruiting+Manager+Deloitte" TargetMode="External"/><Relationship Id="rId810" Type="http://schemas.openxmlformats.org/officeDocument/2006/relationships/hyperlink" Target="https://www.google.com/search?newwindow=1&amp;ei=2MT0XrvGGM-vytMP1OyDgAY&amp;q=site%3Alinkedin.com+Cristina+Tomasko+Campus+Recruiting+Manager+Deloitte" TargetMode="External"/><Relationship Id="rId815" Type="http://schemas.openxmlformats.org/officeDocument/2006/relationships/hyperlink" Target="https://www.google.com/search?newwindow=1&amp;ei=2MT0XrvGGM-vytMP1OyDgAY&amp;q=site%3Alinkedin.com+Sarah+Jensen+Hasenauer+Regional+Campus+Recruiting+Manager+Deloitte" TargetMode="External"/><Relationship Id="rId814" Type="http://schemas.openxmlformats.org/officeDocument/2006/relationships/hyperlink" Target="https://www.google.com/search?newwindow=1&amp;ei=2MT0XrvGGM-vytMP1OyDgAY&amp;q=site%3Alinkedin.com+Betty+Chan+Lead+Consulting+Campus+Recruiter+Deloitte" TargetMode="External"/><Relationship Id="rId813" Type="http://schemas.openxmlformats.org/officeDocument/2006/relationships/hyperlink" Target="https://www.google.com/search?newwindow=1&amp;ei=2MT0XrvGGM-vytMP1OyDgAY&amp;q=site%3Alinkedin.com+Megan+Candee+Senior+Campus+Recruiter+Deloitte" TargetMode="External"/><Relationship Id="rId812" Type="http://schemas.openxmlformats.org/officeDocument/2006/relationships/hyperlink" Target="https://www.google.com/search?newwindow=1&amp;ei=2MT0XrvGGM-vytMP1OyDgAY&amp;q=site%3Alinkedin.com+Suzanne+Joyce+Senior+Campus+Recruiter+Deloitte" TargetMode="External"/><Relationship Id="rId1640" Type="http://schemas.openxmlformats.org/officeDocument/2006/relationships/hyperlink" Target="https://www.google.com/search?newwindow=1&amp;ei=2MT0XrvGGM-vytMP1OyDgAY&amp;q=site%3Alinkedin.com+David+Lyle+Campus+Recruiting" TargetMode="External"/><Relationship Id="rId1641" Type="http://schemas.openxmlformats.org/officeDocument/2006/relationships/hyperlink" Target="https://www.google.com/search?newwindow=1&amp;ei=2MT0XrvGGM-vytMP1OyDgAY&amp;q=site%3Alinkedin.com+Erika+Utt+MBA+Campus+Recruiting+Operations+Specialist" TargetMode="External"/><Relationship Id="rId1675" Type="http://schemas.openxmlformats.org/officeDocument/2006/relationships/hyperlink" Target="https://www.google.com/search?newwindow=1&amp;ei=2MT0XrvGGM-vytMP1OyDgAY&amp;q=site%3Alinkedin.com+Megan+Lallo+Campus+&amp;+Diversity+Recruiting+Manager+KeyBank" TargetMode="External"/><Relationship Id="rId1676" Type="http://schemas.openxmlformats.org/officeDocument/2006/relationships/hyperlink" Target="https://www.google.com/search?newwindow=1&amp;ei=2MT0XrvGGM-vytMP1OyDgAY&amp;q=site%3Alinkedin.com+Jordan+Green+MBA+Campus+Recruiter+KeyBank" TargetMode="External"/><Relationship Id="rId1677" Type="http://schemas.openxmlformats.org/officeDocument/2006/relationships/hyperlink" Target="https://www.google.com/search?newwindow=1&amp;ei=2MT0XrvGGM-vytMP1OyDgAY&amp;q=site%3Alinkedin.com+Andrea+Cole+Campus+Recruiter+KeyBank" TargetMode="External"/><Relationship Id="rId1678" Type="http://schemas.openxmlformats.org/officeDocument/2006/relationships/hyperlink" Target="https://www.google.com/search?newwindow=1&amp;ei=2MT0XrvGGM-vytMP1OyDgAY&amp;q=site%3Alinkedin.com+Kelsey+Knutty+MBA+Campus+Recruiter+KeyBank" TargetMode="External"/><Relationship Id="rId1679" Type="http://schemas.openxmlformats.org/officeDocument/2006/relationships/hyperlink" Target="https://www.google.com/search?newwindow=1&amp;ei=2MT0XrvGGM-vytMP1OyDgAY&amp;q=site%3Alinkedin.com+Sheila+Byrne+Campus+Recruiter+KeyBank" TargetMode="External"/><Relationship Id="rId849" Type="http://schemas.openxmlformats.org/officeDocument/2006/relationships/hyperlink" Target="https://www.google.com/search?newwindow=1&amp;ei=2MT0XrvGGM-vytMP1OyDgAY&amp;q=site%3Alinkedin.com+Catherine+Chavez+University+Recruiter+Deloitte" TargetMode="External"/><Relationship Id="rId844" Type="http://schemas.openxmlformats.org/officeDocument/2006/relationships/hyperlink" Target="https://www.google.com/search?newwindow=1&amp;ei=2MT0XrvGGM-vytMP1OyDgAY&amp;q=site%3Alinkedin.com+Vicky+Chang+Campus+Recruiting+Manager+Deloitte" TargetMode="External"/><Relationship Id="rId843" Type="http://schemas.openxmlformats.org/officeDocument/2006/relationships/hyperlink" Target="https://www.google.com/search?newwindow=1&amp;ei=2MT0XrvGGM-vytMP1OyDgAY&amp;q=site%3Alinkedin.com+Dana+Catania+Campus+Recruiting+Manager+Deloitte" TargetMode="External"/><Relationship Id="rId842" Type="http://schemas.openxmlformats.org/officeDocument/2006/relationships/hyperlink" Target="https://www.google.com/search?newwindow=1&amp;ei=2MT0XrvGGM-vytMP1OyDgAY&amp;q=site%3Alinkedin.com+Emily+Kaplan+Campus+Recruiter+Deloitte" TargetMode="External"/><Relationship Id="rId841" Type="http://schemas.openxmlformats.org/officeDocument/2006/relationships/hyperlink" Target="https://www.google.com/search?newwindow=1&amp;ei=2MT0XrvGGM-vytMP1OyDgAY&amp;q=site%3Alinkedin.com+Amanda+Willott+Campus+Recruiter+Deloitte" TargetMode="External"/><Relationship Id="rId848" Type="http://schemas.openxmlformats.org/officeDocument/2006/relationships/hyperlink" Target="https://www.google.com/search?newwindow=1&amp;ei=2MT0XrvGGM-vytMP1OyDgAY&amp;q=site%3Alinkedin.com+Casey+Comings+Senior+Campus+Recruiter+Deloitte" TargetMode="External"/><Relationship Id="rId847" Type="http://schemas.openxmlformats.org/officeDocument/2006/relationships/hyperlink" Target="https://www.google.com/search?newwindow=1&amp;ei=2MT0XrvGGM-vytMP1OyDgAY&amp;q=site%3Alinkedin.com+Caroline+Grosso+Campus+Recruiter+Deloitte" TargetMode="External"/><Relationship Id="rId846" Type="http://schemas.openxmlformats.org/officeDocument/2006/relationships/hyperlink" Target="https://www.google.com/search?newwindow=1&amp;ei=2MT0XrvGGM-vytMP1OyDgAY&amp;q=site%3Alinkedin.com+KC+Meehan+Campus+Recruiter+Deloitte" TargetMode="External"/><Relationship Id="rId845" Type="http://schemas.openxmlformats.org/officeDocument/2006/relationships/hyperlink" Target="https://www.google.com/search?newwindow=1&amp;ei=2MT0XrvGGM-vytMP1OyDgAY&amp;q=site%3Alinkedin.com+Britney+(Us+Campus+Recruiting+Manager+Deloitte" TargetMode="External"/><Relationship Id="rId1670" Type="http://schemas.openxmlformats.org/officeDocument/2006/relationships/hyperlink" Target="https://www.google.com/search?newwindow=1&amp;ei=2MT0XrvGGM-vytMP1OyDgAY&amp;q=site%3Alinkedin.com+Lisa+Earley+Campus+Recruiting+Coordinator" TargetMode="External"/><Relationship Id="rId840" Type="http://schemas.openxmlformats.org/officeDocument/2006/relationships/hyperlink" Target="https://www.google.com/search?newwindow=1&amp;ei=2MT0XrvGGM-vytMP1OyDgAY&amp;q=site%3Alinkedin.com+Shannel+Amaraweera+M.S.W.+Campus+Recruiter+Deloitte" TargetMode="External"/><Relationship Id="rId1671" Type="http://schemas.openxmlformats.org/officeDocument/2006/relationships/hyperlink" Target="https://www.google.com/search?newwindow=1&amp;ei=2MT0XrvGGM-vytMP1OyDgAY&amp;q=site%3Alinkedin.com+Nadege+Oluikpe+Global+Head+of+Corporate+&amp;+Strategy+Campus+Recruiting" TargetMode="External"/><Relationship Id="rId1672" Type="http://schemas.openxmlformats.org/officeDocument/2006/relationships/hyperlink" Target="https://www.google.com/search?newwindow=1&amp;ei=2MT0XrvGGM-vytMP1OyDgAY&amp;q=site%3Alinkedin.com+Jerry+Alvarez+Fraud+Specialist" TargetMode="External"/><Relationship Id="rId1673" Type="http://schemas.openxmlformats.org/officeDocument/2006/relationships/hyperlink" Target="https://www.google.com/search?newwindow=1&amp;ei=2MT0XrvGGM-vytMP1OyDgAY&amp;q=site%3Alinkedin.com+Jim+Sheridan+Managing+Director+Global+Head+of+Tech+Campus+Recruiting" TargetMode="External"/><Relationship Id="rId1674" Type="http://schemas.openxmlformats.org/officeDocument/2006/relationships/hyperlink" Target="https://www.google.com/search?newwindow=1&amp;ei=2MT0XrvGGM-vytMP1OyDgAY&amp;q=site%3Alinkedin.com+Michael+Luisi+Campus+Recruiting+Firmwide+Intern+Program+Management+Leader" TargetMode="External"/><Relationship Id="rId1664" Type="http://schemas.openxmlformats.org/officeDocument/2006/relationships/hyperlink" Target="https://www.google.com/search?newwindow=1&amp;ei=2MT0XrvGGM-vytMP1OyDgAY&amp;q=site%3Alinkedin.com+Joseph+Blue+Campus+Recruiting+Jr.+Business+Advisor/Analyst" TargetMode="External"/><Relationship Id="rId1665" Type="http://schemas.openxmlformats.org/officeDocument/2006/relationships/hyperlink" Target="https://www.google.com/search?newwindow=1&amp;ei=2MT0XrvGGM-vytMP1OyDgAY&amp;q=site%3Alinkedin.com+Keana+Prisk+Global+Wholesale+Revenue+Campus+Recruiting" TargetMode="External"/><Relationship Id="rId1666" Type="http://schemas.openxmlformats.org/officeDocument/2006/relationships/hyperlink" Target="https://www.google.com/search?newwindow=1&amp;ei=2MT0XrvGGM-vytMP1OyDgAY&amp;q=site%3Alinkedin.com+Nyell+Spicer+Campus+Recruiting+Coordinator" TargetMode="External"/><Relationship Id="rId1667" Type="http://schemas.openxmlformats.org/officeDocument/2006/relationships/hyperlink" Target="https://www.google.com/search?newwindow=1&amp;ei=2MT0XrvGGM-vytMP1OyDgAY&amp;q=site%3Alinkedin.com+Carolyn+Watson+CIB+Campus+Recruiting+Coordinator" TargetMode="External"/><Relationship Id="rId1668" Type="http://schemas.openxmlformats.org/officeDocument/2006/relationships/hyperlink" Target="https://www.google.com/search?newwindow=1&amp;ei=2MT0XrvGGM-vytMP1OyDgAY&amp;q=site%3Alinkedin.com+Chris+D.+Vice+President+NAMR+Campus+Recruiting+Ops+Manager" TargetMode="External"/><Relationship Id="rId1669" Type="http://schemas.openxmlformats.org/officeDocument/2006/relationships/hyperlink" Target="https://www.google.com/search?newwindow=1&amp;ei=2MT0XrvGGM-vytMP1OyDgAY&amp;q=site%3Alinkedin.com+Jessica+Cracchiolo+Firmwide+Diversity+Campus+Recruiting" TargetMode="External"/><Relationship Id="rId839" Type="http://schemas.openxmlformats.org/officeDocument/2006/relationships/hyperlink" Target="https://www.google.com/search?newwindow=1&amp;ei=2MT0XrvGGM-vytMP1OyDgAY&amp;q=site%3Alinkedin.com+Melissa+(Uhniat)+Sweeney+Manager+Experienced+Hire+Recruiting+Deloitte" TargetMode="External"/><Relationship Id="rId838" Type="http://schemas.openxmlformats.org/officeDocument/2006/relationships/hyperlink" Target="https://www.google.com/search?newwindow=1&amp;ei=2MT0XrvGGM-vytMP1OyDgAY&amp;q=site%3Alinkedin.com+Alyse+Aven+Lead+Experienced+Hire+Recruiter+Deloitte" TargetMode="External"/><Relationship Id="rId833" Type="http://schemas.openxmlformats.org/officeDocument/2006/relationships/hyperlink" Target="https://www.google.com/search?newwindow=1&amp;ei=2MT0XrvGGM-vytMP1OyDgAY&amp;q=site%3Alinkedin.com+Jeremy+Carrine+Campus+Recruiting+Manager+East+Region+Deloitte" TargetMode="External"/><Relationship Id="rId832" Type="http://schemas.openxmlformats.org/officeDocument/2006/relationships/hyperlink" Target="https://www.google.com/search?newwindow=1&amp;ei=2MT0XrvGGM-vytMP1OyDgAY&amp;q=site%3Alinkedin.com+Elizabeth+Potter+Senior+University+Recruiter+Deloitte" TargetMode="External"/><Relationship Id="rId831" Type="http://schemas.openxmlformats.org/officeDocument/2006/relationships/hyperlink" Target="https://www.google.com/search?newwindow=1&amp;ei=2MT0XrvGGM-vytMP1OyDgAY&amp;q=site%3Alinkedin.com+Anadelia+Garcia+Campus+Recruiting+Manager+-+Central+Region+Deloitte" TargetMode="External"/><Relationship Id="rId830" Type="http://schemas.openxmlformats.org/officeDocument/2006/relationships/hyperlink" Target="https://www.google.com/search?newwindow=1&amp;ei=2MT0XrvGGM-vytMP1OyDgAY&amp;q=site%3Alinkedin.com+Kelli+Bakopanos+(Speidel)+Federal+Campus+Recruiting+Senior+Manager+Deloitte" TargetMode="External"/><Relationship Id="rId837" Type="http://schemas.openxmlformats.org/officeDocument/2006/relationships/hyperlink" Target="https://www.google.com/search?newwindow=1&amp;ei=2MT0XrvGGM-vytMP1OyDgAY&amp;q=site%3Alinkedin.com+Deanna+Washington+Campus+Recruiter+Deloitte" TargetMode="External"/><Relationship Id="rId836" Type="http://schemas.openxmlformats.org/officeDocument/2006/relationships/hyperlink" Target="https://www.google.com/search?newwindow=1&amp;ei=2MT0XrvGGM-vytMP1OyDgAY&amp;q=site%3Alinkedin.com+Callie+McCarthy+Campus+Recruiter+Deloitte" TargetMode="External"/><Relationship Id="rId835" Type="http://schemas.openxmlformats.org/officeDocument/2006/relationships/hyperlink" Target="https://www.google.com/search?newwindow=1&amp;ei=2MT0XrvGGM-vytMP1OyDgAY&amp;q=site%3Alinkedin.com+Ashley+Hyde+MS+SPHR+Manager+Performance+Management+Deloitte" TargetMode="External"/><Relationship Id="rId834" Type="http://schemas.openxmlformats.org/officeDocument/2006/relationships/hyperlink" Target="https://www.google.com/search?newwindow=1&amp;ei=2MT0XrvGGM-vytMP1OyDgAY&amp;q=site%3Alinkedin.com+Katie+Long+SHRM-CP+PHR+Campus+Recruiting+Manager+Deloitte" TargetMode="External"/><Relationship Id="rId1660" Type="http://schemas.openxmlformats.org/officeDocument/2006/relationships/hyperlink" Target="https://www.google.com/search?newwindow=1&amp;ei=2MT0XrvGGM-vytMP1OyDgAY&amp;q=site%3Alinkedin.com+Megan+Armellini+Campus+Recruiting+Manager" TargetMode="External"/><Relationship Id="rId1661" Type="http://schemas.openxmlformats.org/officeDocument/2006/relationships/hyperlink" Target="https://www.google.com/search?newwindow=1&amp;ei=2MT0XrvGGM-vytMP1OyDgAY&amp;q=site%3Alinkedin.com+Jia+Chong+Campus+Recruiting" TargetMode="External"/><Relationship Id="rId1662" Type="http://schemas.openxmlformats.org/officeDocument/2006/relationships/hyperlink" Target="https://www.google.com/search?newwindow=1&amp;ei=2MT0XrvGGM-vytMP1OyDgAY&amp;q=site%3Alinkedin.com+Emily+KB+Hines+Campus+Recruiting+Coordinator" TargetMode="External"/><Relationship Id="rId1663" Type="http://schemas.openxmlformats.org/officeDocument/2006/relationships/hyperlink" Target="https://www.google.com/search?newwindow=1&amp;ei=2MT0XrvGGM-vytMP1OyDgAY&amp;q=site%3Alinkedin.com+Linnea+Carter+Campus+Recruiting+Coordinator" TargetMode="External"/><Relationship Id="rId2148" Type="http://schemas.openxmlformats.org/officeDocument/2006/relationships/hyperlink" Target="https://www.google.com/search?newwindow=1&amp;ei=2MT0XrvGGM-vytMP1OyDgAY&amp;q=site%3Alinkedin.com+Jessica+J.+University+Recruiting+Campus+Manager+NVIDIA" TargetMode="External"/><Relationship Id="rId2149" Type="http://schemas.openxmlformats.org/officeDocument/2006/relationships/hyperlink" Target="https://www.google.com/search?newwindow=1&amp;ei=2MT0XrvGGM-vytMP1OyDgAY&amp;q=site%3Alinkedin.com+Jessica+Verley+University+Recruiter+NVIDIA" TargetMode="External"/><Relationship Id="rId2140" Type="http://schemas.openxmlformats.org/officeDocument/2006/relationships/hyperlink" Target="https://www.google.com/search?newwindow=1&amp;ei=2MT0XrvGGM-vytMP1OyDgAY&amp;q=site%3Alinkedin.com+Zac+Elkins+MHRM+SHRM-CP+Campus+Recruiter+Northrop+Grumman" TargetMode="External"/><Relationship Id="rId2141" Type="http://schemas.openxmlformats.org/officeDocument/2006/relationships/hyperlink" Target="https://www.google.com/search?newwindow=1&amp;ei=2MT0XrvGGM-vytMP1OyDgAY&amp;q=site%3Alinkedin.com+Rhonda+Mabry+Hester+University+Relations+Recruiter+Northrop+Grumman+Corporation" TargetMode="External"/><Relationship Id="rId2142" Type="http://schemas.openxmlformats.org/officeDocument/2006/relationships/hyperlink" Target="https://www.google.com/search?newwindow=1&amp;ei=2MT0XrvGGM-vytMP1OyDgAY&amp;q=site%3Alinkedin.com+Robin+DeAngelis+University+Relations+Recruiter+Northrop+Grumman+Corporation" TargetMode="External"/><Relationship Id="rId2143" Type="http://schemas.openxmlformats.org/officeDocument/2006/relationships/hyperlink" Target="https://www.google.com/search?newwindow=1&amp;ei=2MT0XrvGGM-vytMP1OyDgAY&amp;q=site%3Alinkedin.com+Stephanie+Dratler+College+Recruiter+Northrop+Grumman+Corporation" TargetMode="External"/><Relationship Id="rId2144" Type="http://schemas.openxmlformats.org/officeDocument/2006/relationships/hyperlink" Target="https://www.google.com/search?newwindow=1&amp;ei=2MT0XrvGGM-vytMP1OyDgAY&amp;q=site%3Alinkedin.com+Jessica+J.+University+Recruiting+Campus+Manager" TargetMode="External"/><Relationship Id="rId2145" Type="http://schemas.openxmlformats.org/officeDocument/2006/relationships/hyperlink" Target="https://www.google.com/search?newwindow=1&amp;ei=2MT0XrvGGM-vytMP1OyDgAY&amp;q=site%3Alinkedin.com+Wendell+Tull+Campus+Recruiting+Manager" TargetMode="External"/><Relationship Id="rId2146" Type="http://schemas.openxmlformats.org/officeDocument/2006/relationships/hyperlink" Target="https://www.google.com/search?newwindow=1&amp;ei=2MT0XrvGGM-vytMP1OyDgAY&amp;q=site%3Alinkedin.com+Cynthia+Le+University+Recruiting+Campus+Manager" TargetMode="External"/><Relationship Id="rId2147" Type="http://schemas.openxmlformats.org/officeDocument/2006/relationships/hyperlink" Target="https://www.google.com/search?newwindow=1&amp;ei=2MT0XrvGGM-vytMP1OyDgAY&amp;q=site%3Alinkedin.com+Lauren+Silveira+Campus+Manager+University+Recruiting" TargetMode="External"/><Relationship Id="rId2137" Type="http://schemas.openxmlformats.org/officeDocument/2006/relationships/hyperlink" Target="https://www.google.com/search?newwindow=1&amp;ei=2MT0XrvGGM-vytMP1OyDgAY&amp;q=site%3Alinkedin.com+Julia+Dadswell+Associate+Graduate+Recruiter" TargetMode="External"/><Relationship Id="rId2138" Type="http://schemas.openxmlformats.org/officeDocument/2006/relationships/hyperlink" Target="https://www.google.com/search?newwindow=1&amp;ei=2MT0XrvGGM-vytMP1OyDgAY&amp;q=site%3Alinkedin.com+Eleni+Miltiadous+Junior+Recruiter" TargetMode="External"/><Relationship Id="rId2139" Type="http://schemas.openxmlformats.org/officeDocument/2006/relationships/hyperlink" Target="https://www.google.com/search?newwindow=1&amp;ei=2MT0XrvGGM-vytMP1OyDgAY&amp;q=site%3Alinkedin.com+Haleigh+Alcala+University+Relations+&amp;+Recruiting+Recruiter+Northrop+Grumman" TargetMode="External"/><Relationship Id="rId2130" Type="http://schemas.openxmlformats.org/officeDocument/2006/relationships/hyperlink" Target="https://www.google.com/search?newwindow=1&amp;ei=2MT0XrvGGM-vytMP1OyDgAY&amp;q=site%3Alinkedin.com+Carol+Christman+Recruiter+Campus+Programs+NBCUniversal+Media+LLC" TargetMode="External"/><Relationship Id="rId2131" Type="http://schemas.openxmlformats.org/officeDocument/2006/relationships/hyperlink" Target="https://www.google.com/search?newwindow=1&amp;ei=2MT0XrvGGM-vytMP1OyDgAY&amp;q=site%3Alinkedin.com+Shelly+Punter+Campus+Programs+Recruiter+NBCUniversal+Media+LLC" TargetMode="External"/><Relationship Id="rId2132" Type="http://schemas.openxmlformats.org/officeDocument/2006/relationships/hyperlink" Target="https://www.google.com/search?newwindow=1&amp;ei=2MT0XrvGGM-vytMP1OyDgAY&amp;q=site%3Alinkedin.com+Catherine+Salzman+Campus+Recruiter+NBCUniversal+Media+LLC" TargetMode="External"/><Relationship Id="rId2133" Type="http://schemas.openxmlformats.org/officeDocument/2006/relationships/hyperlink" Target="https://www.google.com/search?newwindow=1&amp;ei=2MT0XrvGGM-vytMP1OyDgAY&amp;q=site%3Alinkedin.com+Gabrielle+Zuccaro+Campus+Recruiter+Nestl%C3%A9" TargetMode="External"/><Relationship Id="rId2134" Type="http://schemas.openxmlformats.org/officeDocument/2006/relationships/hyperlink" Target="https://www.google.com/search?newwindow=1&amp;ei=2MT0XrvGGM-vytMP1OyDgAY&amp;q=site%3Alinkedin.com+Jennifer+Davis+Campus+Recruiter+Nestl%C3%A9" TargetMode="External"/><Relationship Id="rId2135" Type="http://schemas.openxmlformats.org/officeDocument/2006/relationships/hyperlink" Target="https://www.google.com/search?newwindow=1&amp;ei=2MT0XrvGGM-vytMP1OyDgAY&amp;q=site%3Alinkedin.com+Chris+Heckman+Campus+Recruiter+Nestl%C3%A9+Waters" TargetMode="External"/><Relationship Id="rId2136" Type="http://schemas.openxmlformats.org/officeDocument/2006/relationships/hyperlink" Target="https://www.google.com/search?newwindow=1&amp;ei=2MT0XrvGGM-vytMP1OyDgAY&amp;q=site%3Alinkedin.com+Jennifer+Wishart+Graduate+Recruiter" TargetMode="External"/><Relationship Id="rId2160" Type="http://schemas.openxmlformats.org/officeDocument/2006/relationships/hyperlink" Target="https://www.google.com/search?newwindow=1&amp;ei=2MT0XrvGGM-vytMP1OyDgAY&amp;q=site%3Alinkedin.com+Jamie+Lockwood+University+Recruiter+NVIDIA" TargetMode="External"/><Relationship Id="rId2161" Type="http://schemas.openxmlformats.org/officeDocument/2006/relationships/hyperlink" Target="https://www.google.com/search?newwindow=1&amp;ei=2MT0XrvGGM-vytMP1OyDgAY&amp;q=site%3Alinkedin.com+Anne+Rose+Associate+Director+University+Student+Recruitment" TargetMode="External"/><Relationship Id="rId2162" Type="http://schemas.openxmlformats.org/officeDocument/2006/relationships/hyperlink" Target="https://www.google.com/search?newwindow=1&amp;ei=2MT0XrvGGM-vytMP1OyDgAY&amp;q=site%3Alinkedin.com+Alexandre+Tremblay+CPA+CA+Student+Programs+Coordinator" TargetMode="External"/><Relationship Id="rId2163" Type="http://schemas.openxmlformats.org/officeDocument/2006/relationships/hyperlink" Target="https://www.google.com/search?newwindow=1&amp;ei=2MT0XrvGGM-vytMP1OyDgAY&amp;q=site%3Alinkedin.com+Catherine+Corbeil+Student+Resource+Planning+and+Student+Programs" TargetMode="External"/><Relationship Id="rId2164" Type="http://schemas.openxmlformats.org/officeDocument/2006/relationships/hyperlink" Target="https://www.google.com/search?newwindow=1&amp;ei=2MT0XrvGGM-vytMP1OyDgAY&amp;q=site%3Alinkedin.com+Carmelle+N%27Goran+Student+Resource+Planning+and+Student+Programs" TargetMode="External"/><Relationship Id="rId2165" Type="http://schemas.openxmlformats.org/officeDocument/2006/relationships/hyperlink" Target="https://www.google.com/search?newwindow=1&amp;ei=2MT0XrvGGM-vytMP1OyDgAY&amp;q=site%3Alinkedin.com+Amanda+Cauchon+Student+Human+Resources+(Resource+Planning+and+Student+Programs)" TargetMode="External"/><Relationship Id="rId2166" Type="http://schemas.openxmlformats.org/officeDocument/2006/relationships/hyperlink" Target="https://www.google.com/search?newwindow=1&amp;ei=2MT0XrvGGM-vytMP1OyDgAY&amp;q=site%3Alinkedin.com+Jason+Wilson+Resource+Planning+&amp;+Student+Programs+Assistant" TargetMode="External"/><Relationship Id="rId2167" Type="http://schemas.openxmlformats.org/officeDocument/2006/relationships/hyperlink" Target="https://www.google.com/search?newwindow=1&amp;ei=2MT0XrvGGM-vytMP1OyDgAY&amp;q=site%3Alinkedin.com+Jennifer+Hum+Student+Programs+Coordinator" TargetMode="External"/><Relationship Id="rId2168" Type="http://schemas.openxmlformats.org/officeDocument/2006/relationships/hyperlink" Target="https://www.google.com/search?newwindow=1&amp;ei=2MT0XrvGGM-vytMP1OyDgAY&amp;q=site%3Alinkedin.com+Jasmine+Iyengar+Student+-+HR+Planning+Programs+and+Reporting" TargetMode="External"/><Relationship Id="rId2169" Type="http://schemas.openxmlformats.org/officeDocument/2006/relationships/hyperlink" Target="https://www.google.com/search?newwindow=1&amp;ei=2MT0XrvGGM-vytMP1OyDgAY&amp;q=site%3Alinkedin.com+Johanna+Lambert+Senior+Campus+Recruiter+Oliver+Wyman" TargetMode="External"/><Relationship Id="rId2159" Type="http://schemas.openxmlformats.org/officeDocument/2006/relationships/hyperlink" Target="https://www.google.com/search?newwindow=1&amp;ei=2MT0XrvGGM-vytMP1OyDgAY&amp;q=site%3Alinkedin.com+Ashley+Jetson+University+Recruiter+Research+and+Applied+Research+NVIDIA" TargetMode="External"/><Relationship Id="rId2150" Type="http://schemas.openxmlformats.org/officeDocument/2006/relationships/hyperlink" Target="https://www.google.com/search?newwindow=1&amp;ei=2MT0XrvGGM-vytMP1OyDgAY&amp;q=site%3Alinkedin.com+Wendell+Tull+Campus+Recruiting+Manager+NVIDIA" TargetMode="External"/><Relationship Id="rId2151" Type="http://schemas.openxmlformats.org/officeDocument/2006/relationships/hyperlink" Target="https://www.google.com/search?newwindow=1&amp;ei=2MT0XrvGGM-vytMP1OyDgAY&amp;q=site%3Alinkedin.com+Nancy+Huynh+University+Recruiter+NVIDIA" TargetMode="External"/><Relationship Id="rId2152" Type="http://schemas.openxmlformats.org/officeDocument/2006/relationships/hyperlink" Target="https://www.google.com/search?newwindow=1&amp;ei=2MT0XrvGGM-vytMP1OyDgAY&amp;q=site%3Alinkedin.com+Jennifer+R.+University+Recruiter+NVIDIA" TargetMode="External"/><Relationship Id="rId2153" Type="http://schemas.openxmlformats.org/officeDocument/2006/relationships/hyperlink" Target="https://www.google.com/search?newwindow=1&amp;ei=2MT0XrvGGM-vytMP1OyDgAY&amp;q=site%3Alinkedin.com+Cynthia+Le+University+Recruiting+Campus+Manager+NVIDIA" TargetMode="External"/><Relationship Id="rId2154" Type="http://schemas.openxmlformats.org/officeDocument/2006/relationships/hyperlink" Target="https://www.google.com/search?newwindow=1&amp;ei=2MT0XrvGGM-vytMP1OyDgAY&amp;q=site%3Alinkedin.com+Ray+Rufino+University+Recruiter+NVIDIA" TargetMode="External"/><Relationship Id="rId2155" Type="http://schemas.openxmlformats.org/officeDocument/2006/relationships/hyperlink" Target="https://www.google.com/search?newwindow=1&amp;ei=2MT0XrvGGM-vytMP1OyDgAY&amp;q=site%3Alinkedin.com+Lauren+Silveira+Campus+Manager+University+Recruiting+NVIDIA" TargetMode="External"/><Relationship Id="rId2156" Type="http://schemas.openxmlformats.org/officeDocument/2006/relationships/hyperlink" Target="https://www.google.com/search?newwindow=1&amp;ei=2MT0XrvGGM-vytMP1OyDgAY&amp;q=site%3Alinkedin.com+Olga+Nikolaev+University+Recruiter+-+Hardware+Engineering+Deep+Learning+&amp;+Autonomous+Vehicles+NVIDIA" TargetMode="External"/><Relationship Id="rId2157" Type="http://schemas.openxmlformats.org/officeDocument/2006/relationships/hyperlink" Target="https://www.google.com/search?newwindow=1&amp;ei=2MT0XrvGGM-vytMP1OyDgAY&amp;q=site%3Alinkedin.com+Eric+Vargas+University+Recruiter+NVIDIA" TargetMode="External"/><Relationship Id="rId2158" Type="http://schemas.openxmlformats.org/officeDocument/2006/relationships/hyperlink" Target="https://www.google.com/search?newwindow=1&amp;ei=2MT0XrvGGM-vytMP1OyDgAY&amp;q=site%3Alinkedin.com+Crystal+Aggarwal+University+Recruiter+NVIDIA" TargetMode="External"/><Relationship Id="rId2104" Type="http://schemas.openxmlformats.org/officeDocument/2006/relationships/hyperlink" Target="https://www.google.com/search?newwindow=1&amp;ei=2MT0XrvGGM-vytMP1OyDgAY&amp;q=site%3Alinkedin.com+Sarah+Roberts+Junior+Campus+Recruiter+Morgan+Stanley" TargetMode="External"/><Relationship Id="rId2105" Type="http://schemas.openxmlformats.org/officeDocument/2006/relationships/hyperlink" Target="https://www.google.com/search?newwindow=1&amp;ei=2MT0XrvGGM-vytMP1OyDgAY&amp;q=site%3Alinkedin.com+Taylor+Swanson+Campus+Recruiter+Morgan+Stanley" TargetMode="External"/><Relationship Id="rId2106" Type="http://schemas.openxmlformats.org/officeDocument/2006/relationships/hyperlink" Target="https://www.google.com/search?newwindow=1&amp;ei=2MT0XrvGGM-vytMP1OyDgAY&amp;q=site%3Alinkedin.com+Jordan+Fuqua+Technology+Campus+Recruiter+Morgan+Stanley" TargetMode="External"/><Relationship Id="rId2107" Type="http://schemas.openxmlformats.org/officeDocument/2006/relationships/hyperlink" Target="https://www.google.com/search?newwindow=1&amp;ei=2MT0XrvGGM-vytMP1OyDgAY&amp;q=site%3Alinkedin.com+Natasha+Bhalla+Manager+Technology+Campus+Recruiting+Morgan+Stanley" TargetMode="External"/><Relationship Id="rId2108" Type="http://schemas.openxmlformats.org/officeDocument/2006/relationships/hyperlink" Target="https://www.google.com/search?newwindow=1&amp;ei=2MT0XrvGGM-vytMP1OyDgAY&amp;q=site%3Alinkedin.com+Ashleigh+Hussey+Drobnis+Campus+Recruiter+Morgan+Stanley" TargetMode="External"/><Relationship Id="rId2109" Type="http://schemas.openxmlformats.org/officeDocument/2006/relationships/hyperlink" Target="https://www.google.com/search?newwindow=1&amp;ei=2MT0XrvGGM-vytMP1OyDgAY&amp;q=site%3Alinkedin.com+Janie+Johnstone+Campus+Recruiter+Morgan+Stanley" TargetMode="External"/><Relationship Id="rId2100" Type="http://schemas.openxmlformats.org/officeDocument/2006/relationships/hyperlink" Target="https://www.google.com/search?newwindow=1&amp;ei=2MT0XrvGGM-vytMP1OyDgAY&amp;q=site%3Alinkedin.com+Christina+Belmonte+Manager+Fixed+Income+Analyst+Campus+Recruiting+Morgan+Stanley" TargetMode="External"/><Relationship Id="rId2101" Type="http://schemas.openxmlformats.org/officeDocument/2006/relationships/hyperlink" Target="https://www.google.com/search?newwindow=1&amp;ei=2MT0XrvGGM-vytMP1OyDgAY&amp;q=site%3Alinkedin.com+Katie+Robinson-Duff+Manager+Campus+Recruiting+Morgan+Stanley" TargetMode="External"/><Relationship Id="rId2102" Type="http://schemas.openxmlformats.org/officeDocument/2006/relationships/hyperlink" Target="https://www.google.com/search?newwindow=1&amp;ei=2MT0XrvGGM-vytMP1OyDgAY&amp;q=site%3Alinkedin.com+Ragland+Mackin+Director+of+Campus+Recruiting+Morgan+Stanley" TargetMode="External"/><Relationship Id="rId2103" Type="http://schemas.openxmlformats.org/officeDocument/2006/relationships/hyperlink" Target="https://www.google.com/search?newwindow=1&amp;ei=2MT0XrvGGM-vytMP1OyDgAY&amp;q=site%3Alinkedin.com+Catherine+Eicher+Campus+Recruiter+Morgan+Stanley" TargetMode="External"/><Relationship Id="rId899" Type="http://schemas.openxmlformats.org/officeDocument/2006/relationships/hyperlink" Target="https://www.google.com/search?newwindow=1&amp;ei=2MT0XrvGGM-vytMP1OyDgAY&amp;q=site%3Alinkedin.com+Taylor+Cocherell+Campus+Recruiter+Dixon+Hughes+Goodman+LLP" TargetMode="External"/><Relationship Id="rId898" Type="http://schemas.openxmlformats.org/officeDocument/2006/relationships/hyperlink" Target="https://www.google.com/search?newwindow=1&amp;ei=2MT0XrvGGM-vytMP1OyDgAY&amp;q=site%3Alinkedin.com+Nikki+Kettenacker+Campus+Recruiting+Manager+Dixon+Hughes+Goodman+LLP" TargetMode="External"/><Relationship Id="rId897" Type="http://schemas.openxmlformats.org/officeDocument/2006/relationships/hyperlink" Target="https://www.google.com/search?newwindow=1&amp;ei=2MT0XrvGGM-vytMP1OyDgAY&amp;q=site%3Alinkedin.com+Janessa+Harkley+Campus+Recruiter+Dixon+Hughes+Goodman+LLP" TargetMode="External"/><Relationship Id="rId896" Type="http://schemas.openxmlformats.org/officeDocument/2006/relationships/hyperlink" Target="https://www.google.com/search?newwindow=1&amp;ei=2MT0XrvGGM-vytMP1OyDgAY&amp;q=site%3Alinkedin.com+Kelly+Anderson+Senior+Associate+Campus+Recruiter+Dixon+Hughes+Goodman+LLP" TargetMode="External"/><Relationship Id="rId891" Type="http://schemas.openxmlformats.org/officeDocument/2006/relationships/hyperlink" Target="https://www.google.com/search?newwindow=1&amp;ei=2MT0XrvGGM-vytMP1OyDgAY&amp;q=site%3Alinkedin.com+Katherine+Brodhead+MBA+University+Relations+Recruiter+DISH+Network" TargetMode="External"/><Relationship Id="rId890" Type="http://schemas.openxmlformats.org/officeDocument/2006/relationships/hyperlink" Target="https://www.google.com/search?newwindow=1&amp;ei=2MT0XrvGGM-vytMP1OyDgAY&amp;q=site%3Alinkedin.com+Katy+Franklin+Associate+-+Human+Resources+-+Talent+Sourcing+-+Campus+Recruiter+Deutsche+Bank" TargetMode="External"/><Relationship Id="rId895" Type="http://schemas.openxmlformats.org/officeDocument/2006/relationships/hyperlink" Target="https://www.google.com/search?newwindow=1&amp;ei=2MT0XrvGGM-vytMP1OyDgAY&amp;q=site%3Alinkedin.com+Katie+Davenport+CPA+SHRM-SCP+Senior+Campus+Recruiting+Manager+Dixon+Hughes+Goodman+LLP" TargetMode="External"/><Relationship Id="rId894" Type="http://schemas.openxmlformats.org/officeDocument/2006/relationships/hyperlink" Target="https://www.google.com/search?newwindow=1&amp;ei=2MT0XrvGGM-vytMP1OyDgAY&amp;q=site%3Alinkedin.com+Kyerra+Moody+CPA+Campus+Recruiter+Dixon+Hughes+Goodman+LLP" TargetMode="External"/><Relationship Id="rId893" Type="http://schemas.openxmlformats.org/officeDocument/2006/relationships/hyperlink" Target="https://www.google.com/search?newwindow=1&amp;ei=2MT0XrvGGM-vytMP1OyDgAY&amp;q=site%3Alinkedin.com+Demi+Evans+University+Relations+Recruiter+Dish+Network" TargetMode="External"/><Relationship Id="rId892" Type="http://schemas.openxmlformats.org/officeDocument/2006/relationships/hyperlink" Target="https://www.google.com/search?newwindow=1&amp;ei=2MT0XrvGGM-vytMP1OyDgAY&amp;q=site%3Alinkedin.com+Chloe+Mercado+University+Relations+Recruiter+Dish+Network" TargetMode="External"/><Relationship Id="rId2126" Type="http://schemas.openxmlformats.org/officeDocument/2006/relationships/hyperlink" Target="https://www.google.com/search?newwindow=1&amp;ei=2MT0XrvGGM-vytMP1OyDgAY&amp;q=site%3Alinkedin.com+Paul+Lovegrove+CEO+UP+EU+&amp;+Chief+Recruitment+Officer+UP+Global" TargetMode="External"/><Relationship Id="rId2127" Type="http://schemas.openxmlformats.org/officeDocument/2006/relationships/hyperlink" Target="https://www.google.com/search?newwindow=1&amp;ei=2MT0XrvGGM-vytMP1OyDgAY&amp;q=site%3Alinkedin.com+Tim+Gutsell+Director+of+Marketing+and+Recruitment+Operations+University+Partnerships+Europe" TargetMode="External"/><Relationship Id="rId2128" Type="http://schemas.openxmlformats.org/officeDocument/2006/relationships/hyperlink" Target="https://www.google.com/search?newwindow=1&amp;ei=2MT0XrvGGM-vytMP1OyDgAY&amp;q=site%3Alinkedin.com+Pauline+Bedford+Director+of+the+Admissions+and+Recruitment+Centre+University+Partnerships+Europe" TargetMode="External"/><Relationship Id="rId2129" Type="http://schemas.openxmlformats.org/officeDocument/2006/relationships/hyperlink" Target="https://www.google.com/search?newwindow=1&amp;ei=2MT0XrvGGM-vytMP1OyDgAY&amp;q=site%3Alinkedin.com+Candice+Burgess+Recruiter+Campus+Programs+NBCUniversal+Media+LLC" TargetMode="External"/><Relationship Id="rId2120" Type="http://schemas.openxmlformats.org/officeDocument/2006/relationships/hyperlink" Target="https://www.google.com/search?newwindow=1&amp;ei=2MT0XrvGGM-vytMP1OyDgAY&amp;q=site%3Alinkedin.com+Kelsey+Hicks+Senior+Campus+Recruiter+Moss+Adams" TargetMode="External"/><Relationship Id="rId2121" Type="http://schemas.openxmlformats.org/officeDocument/2006/relationships/hyperlink" Target="https://www.google.com/search?newwindow=1&amp;ei=2MT0XrvGGM-vytMP1OyDgAY&amp;q=site%3Alinkedin.com+Camellia+Sarmadi+Campus+Recruiting+Manager+Moss+Adams+LLP" TargetMode="External"/><Relationship Id="rId2122" Type="http://schemas.openxmlformats.org/officeDocument/2006/relationships/hyperlink" Target="https://www.google.com/search?newwindow=1&amp;ei=2MT0XrvGGM-vytMP1OyDgAY&amp;q=site%3Alinkedin.com+Lauren+Knoche+Campus+Recruiter+and+HR+Senior+Associate+Moss+Adams+LLP" TargetMode="External"/><Relationship Id="rId2123" Type="http://schemas.openxmlformats.org/officeDocument/2006/relationships/hyperlink" Target="https://www.google.com/search?newwindow=1&amp;ei=2MT0XrvGGM-vytMP1OyDgAY&amp;q=site%3Alinkedin.com+Alicia+Markey+Hahn+Campus+Recruiting+Manager+Moss+Adams+LLP" TargetMode="External"/><Relationship Id="rId2124" Type="http://schemas.openxmlformats.org/officeDocument/2006/relationships/hyperlink" Target="https://www.google.com/search?newwindow=1&amp;ei=2MT0XrvGGM-vytMP1OyDgAY&amp;q=site%3Alinkedin.com+Jessica+Billings+Campus+Recruiter+Moss+Adams+LLP" TargetMode="External"/><Relationship Id="rId2125" Type="http://schemas.openxmlformats.org/officeDocument/2006/relationships/hyperlink" Target="https://www.google.com/search?newwindow=1&amp;ei=2MT0XrvGGM-vytMP1OyDgAY&amp;q=site%3Alinkedin.com+Rachel+Nobbs+Senior+Campus+Recruiter+Moss+Adams+LLP+-+San+Diego" TargetMode="External"/><Relationship Id="rId2115" Type="http://schemas.openxmlformats.org/officeDocument/2006/relationships/hyperlink" Target="https://www.google.com/search?newwindow=1&amp;ei=2MT0XrvGGM-vytMP1OyDgAY&amp;q=site%3Alinkedin.com+Rose+Azadan+Martinez+Regional+Campus+Recruiting+Senior+Manager+Moss+Adams" TargetMode="External"/><Relationship Id="rId2116" Type="http://schemas.openxmlformats.org/officeDocument/2006/relationships/hyperlink" Target="https://www.google.com/search?newwindow=1&amp;ei=2MT0XrvGGM-vytMP1OyDgAY&amp;q=site%3Alinkedin.com+Meryll+Locquiao+Senior+Campus+Recruiter+Moss+Adams" TargetMode="External"/><Relationship Id="rId2117" Type="http://schemas.openxmlformats.org/officeDocument/2006/relationships/hyperlink" Target="https://www.google.com/search?newwindow=1&amp;ei=2MT0XrvGGM-vytMP1OyDgAY&amp;q=site%3Alinkedin.com+Isabella+Nguyen+Senior+Campus+Recruiter+Moss+Adams" TargetMode="External"/><Relationship Id="rId2118" Type="http://schemas.openxmlformats.org/officeDocument/2006/relationships/hyperlink" Target="https://www.google.com/search?newwindow=1&amp;ei=2MT0XrvGGM-vytMP1OyDgAY&amp;q=site%3Alinkedin.com+Julia+Dull+Campus+Recruiting+Manager+Moss+Adams" TargetMode="External"/><Relationship Id="rId2119" Type="http://schemas.openxmlformats.org/officeDocument/2006/relationships/hyperlink" Target="https://www.google.com/search?newwindow=1&amp;ei=2MT0XrvGGM-vytMP1OyDgAY&amp;q=site%3Alinkedin.com+Ellen+Price+Campus+Recruiter+Moss+Adams" TargetMode="External"/><Relationship Id="rId2110" Type="http://schemas.openxmlformats.org/officeDocument/2006/relationships/hyperlink" Target="https://www.google.com/search?newwindow=1&amp;ei=2MT0XrvGGM-vytMP1OyDgAY&amp;q=site%3Alinkedin.com+Lea+Bylina+Campus+Recruiter+Moss+Adams" TargetMode="External"/><Relationship Id="rId2111" Type="http://schemas.openxmlformats.org/officeDocument/2006/relationships/hyperlink" Target="https://www.google.com/search?newwindow=1&amp;ei=2MT0XrvGGM-vytMP1OyDgAY&amp;q=site%3Alinkedin.com+Adam+Schwab+Campus+Recruiter+Moss+Adams" TargetMode="External"/><Relationship Id="rId2112" Type="http://schemas.openxmlformats.org/officeDocument/2006/relationships/hyperlink" Target="https://www.google.com/search?newwindow=1&amp;ei=2MT0XrvGGM-vytMP1OyDgAY&amp;q=site%3Alinkedin.com+Leanne+Lutkus+Regional+Campus+Recruiting+Manager+Moss+Adams" TargetMode="External"/><Relationship Id="rId2113" Type="http://schemas.openxmlformats.org/officeDocument/2006/relationships/hyperlink" Target="https://www.google.com/search?newwindow=1&amp;ei=2MT0XrvGGM-vytMP1OyDgAY&amp;q=site%3Alinkedin.com+Angela+Sparks+Campus+Recruiter+Moss+Adams" TargetMode="External"/><Relationship Id="rId2114" Type="http://schemas.openxmlformats.org/officeDocument/2006/relationships/hyperlink" Target="https://www.google.com/search?newwindow=1&amp;ei=2MT0XrvGGM-vytMP1OyDgAY&amp;q=site%3Alinkedin.com+Patricia+Hewitt+Campus+Recruiting+Manager+Moss+Adam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6.43"/>
    <col customWidth="1" min="2" max="2" width="21.43"/>
    <col customWidth="1" min="3" max="3" width="8.0"/>
    <col customWidth="1" min="4" max="4" width="18.71"/>
    <col customWidth="1" min="5" max="5" width="27.29"/>
    <col customWidth="1" min="10" max="10" width="1.43"/>
  </cols>
  <sheetData>
    <row r="1" ht="33.75" customHeight="1">
      <c r="A1" s="1" t="s">
        <v>0</v>
      </c>
    </row>
    <row r="2">
      <c r="A2" s="2" t="s">
        <v>1</v>
      </c>
    </row>
    <row r="3">
      <c r="A3" s="3" t="s">
        <v>2</v>
      </c>
      <c r="B3" s="3" t="s">
        <v>3</v>
      </c>
      <c r="C3" s="4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/>
    </row>
    <row r="4">
      <c r="A4" s="5" t="s">
        <v>11</v>
      </c>
      <c r="B4" s="5" t="s">
        <v>12</v>
      </c>
      <c r="C4" s="6" t="s">
        <v>13</v>
      </c>
      <c r="D4" s="5" t="s">
        <v>14</v>
      </c>
      <c r="E4" s="5" t="s">
        <v>15</v>
      </c>
      <c r="F4" s="5" t="s">
        <v>16</v>
      </c>
      <c r="G4" s="5" t="s">
        <v>17</v>
      </c>
      <c r="H4" s="5" t="s">
        <v>18</v>
      </c>
      <c r="I4" s="7" t="s">
        <v>19</v>
      </c>
      <c r="J4" s="8" t="s">
        <v>13</v>
      </c>
    </row>
    <row r="5">
      <c r="A5" s="5" t="s">
        <v>20</v>
      </c>
      <c r="B5" s="5" t="s">
        <v>21</v>
      </c>
      <c r="C5" s="5" t="s">
        <v>4</v>
      </c>
      <c r="D5" s="5" t="s">
        <v>14</v>
      </c>
      <c r="E5" s="5" t="s">
        <v>22</v>
      </c>
      <c r="F5" s="5" t="s">
        <v>16</v>
      </c>
      <c r="G5" s="5" t="s">
        <v>17</v>
      </c>
      <c r="H5" s="5" t="s">
        <v>18</v>
      </c>
      <c r="I5" s="7" t="s">
        <v>23</v>
      </c>
      <c r="J5" s="8" t="s">
        <v>13</v>
      </c>
    </row>
    <row r="6">
      <c r="A6" s="9" t="s">
        <v>24</v>
      </c>
      <c r="B6" s="5" t="s">
        <v>25</v>
      </c>
      <c r="C6" s="6" t="s">
        <v>13</v>
      </c>
      <c r="D6" s="5" t="s">
        <v>14</v>
      </c>
      <c r="E6" s="5" t="s">
        <v>26</v>
      </c>
      <c r="F6" s="5" t="s">
        <v>16</v>
      </c>
      <c r="G6" s="5" t="s">
        <v>17</v>
      </c>
      <c r="H6" s="5" t="s">
        <v>18</v>
      </c>
      <c r="I6" s="8" t="s">
        <v>27</v>
      </c>
      <c r="J6" s="8" t="s">
        <v>13</v>
      </c>
    </row>
    <row r="7">
      <c r="A7" s="5" t="s">
        <v>28</v>
      </c>
      <c r="B7" s="5" t="s">
        <v>25</v>
      </c>
      <c r="C7" s="6" t="s">
        <v>13</v>
      </c>
      <c r="D7" s="5" t="s">
        <v>14</v>
      </c>
      <c r="E7" s="5" t="s">
        <v>29</v>
      </c>
      <c r="F7" s="5" t="s">
        <v>16</v>
      </c>
      <c r="G7" s="5" t="s">
        <v>17</v>
      </c>
      <c r="H7" s="5" t="s">
        <v>18</v>
      </c>
      <c r="I7" s="7" t="s">
        <v>30</v>
      </c>
      <c r="J7" s="8" t="s">
        <v>13</v>
      </c>
    </row>
    <row r="8">
      <c r="A8" s="5" t="s">
        <v>11</v>
      </c>
      <c r="B8" s="5" t="s">
        <v>12</v>
      </c>
      <c r="C8" s="6" t="s">
        <v>13</v>
      </c>
      <c r="D8" s="5" t="s">
        <v>14</v>
      </c>
      <c r="E8" s="5" t="s">
        <v>15</v>
      </c>
      <c r="F8" s="5" t="s">
        <v>16</v>
      </c>
      <c r="G8" s="5" t="s">
        <v>17</v>
      </c>
      <c r="H8" s="5" t="s">
        <v>18</v>
      </c>
      <c r="I8" s="7" t="s">
        <v>19</v>
      </c>
      <c r="J8" s="8" t="s">
        <v>13</v>
      </c>
    </row>
    <row r="9">
      <c r="A9" s="5" t="s">
        <v>31</v>
      </c>
      <c r="B9" s="5" t="s">
        <v>32</v>
      </c>
      <c r="C9" s="6" t="s">
        <v>13</v>
      </c>
      <c r="D9" s="5" t="s">
        <v>14</v>
      </c>
      <c r="E9" s="5" t="s">
        <v>33</v>
      </c>
      <c r="F9" s="5" t="s">
        <v>16</v>
      </c>
      <c r="G9" s="5" t="s">
        <v>17</v>
      </c>
      <c r="H9" s="5" t="s">
        <v>18</v>
      </c>
      <c r="I9" s="7" t="s">
        <v>34</v>
      </c>
      <c r="J9" s="8" t="s">
        <v>13</v>
      </c>
    </row>
    <row r="10">
      <c r="A10" s="5" t="s">
        <v>35</v>
      </c>
      <c r="B10" s="5" t="s">
        <v>25</v>
      </c>
      <c r="C10" s="6" t="s">
        <v>13</v>
      </c>
      <c r="D10" s="5" t="s">
        <v>14</v>
      </c>
      <c r="E10" s="5" t="s">
        <v>36</v>
      </c>
      <c r="F10" s="5" t="s">
        <v>37</v>
      </c>
      <c r="G10" s="5" t="s">
        <v>38</v>
      </c>
      <c r="H10" s="5" t="s">
        <v>18</v>
      </c>
      <c r="I10" s="7" t="s">
        <v>39</v>
      </c>
      <c r="J10" s="8" t="s">
        <v>13</v>
      </c>
    </row>
    <row r="11">
      <c r="A11" s="5" t="s">
        <v>40</v>
      </c>
      <c r="B11" s="5" t="s">
        <v>41</v>
      </c>
      <c r="C11" s="6" t="s">
        <v>13</v>
      </c>
      <c r="D11" s="5" t="s">
        <v>14</v>
      </c>
      <c r="E11" s="5" t="s">
        <v>42</v>
      </c>
      <c r="F11" s="5" t="s">
        <v>43</v>
      </c>
      <c r="G11" s="5" t="s">
        <v>44</v>
      </c>
      <c r="H11" s="5" t="s">
        <v>18</v>
      </c>
      <c r="I11" s="7" t="s">
        <v>45</v>
      </c>
      <c r="J11" s="8" t="s">
        <v>13</v>
      </c>
    </row>
    <row r="12">
      <c r="A12" s="5" t="s">
        <v>46</v>
      </c>
      <c r="B12" s="5" t="s">
        <v>47</v>
      </c>
      <c r="C12" s="6" t="s">
        <v>13</v>
      </c>
      <c r="D12" s="5" t="s">
        <v>14</v>
      </c>
      <c r="E12" s="5" t="s">
        <v>48</v>
      </c>
      <c r="F12" s="5" t="s">
        <v>49</v>
      </c>
      <c r="G12" s="5" t="s">
        <v>50</v>
      </c>
      <c r="H12" s="5" t="s">
        <v>18</v>
      </c>
      <c r="I12" s="7" t="s">
        <v>51</v>
      </c>
      <c r="J12" s="8" t="s">
        <v>13</v>
      </c>
    </row>
    <row r="13">
      <c r="A13" s="5" t="s">
        <v>52</v>
      </c>
      <c r="B13" s="5" t="s">
        <v>25</v>
      </c>
      <c r="C13" s="6" t="s">
        <v>13</v>
      </c>
      <c r="D13" s="5" t="s">
        <v>14</v>
      </c>
      <c r="E13" s="5" t="s">
        <v>53</v>
      </c>
      <c r="F13" s="5" t="s">
        <v>49</v>
      </c>
      <c r="G13" s="5" t="s">
        <v>50</v>
      </c>
      <c r="H13" s="5" t="s">
        <v>18</v>
      </c>
      <c r="I13" s="7" t="s">
        <v>54</v>
      </c>
      <c r="J13" s="8" t="s">
        <v>13</v>
      </c>
    </row>
    <row r="14">
      <c r="A14" s="5" t="s">
        <v>55</v>
      </c>
      <c r="B14" s="5" t="s">
        <v>25</v>
      </c>
      <c r="C14" s="6" t="s">
        <v>13</v>
      </c>
      <c r="D14" s="5" t="s">
        <v>14</v>
      </c>
      <c r="E14" s="5" t="s">
        <v>56</v>
      </c>
      <c r="F14" s="5" t="s">
        <v>49</v>
      </c>
      <c r="G14" s="5" t="s">
        <v>50</v>
      </c>
      <c r="H14" s="5" t="s">
        <v>18</v>
      </c>
      <c r="I14" s="7" t="s">
        <v>57</v>
      </c>
      <c r="J14" s="8" t="s">
        <v>13</v>
      </c>
    </row>
    <row r="15">
      <c r="A15" s="5" t="s">
        <v>58</v>
      </c>
      <c r="B15" s="5" t="s">
        <v>59</v>
      </c>
      <c r="C15" s="6" t="s">
        <v>13</v>
      </c>
      <c r="D15" s="5" t="s">
        <v>14</v>
      </c>
      <c r="E15" s="5" t="s">
        <v>60</v>
      </c>
      <c r="F15" s="5" t="s">
        <v>49</v>
      </c>
      <c r="G15" s="5" t="s">
        <v>50</v>
      </c>
      <c r="H15" s="5" t="s">
        <v>18</v>
      </c>
      <c r="I15" s="7" t="s">
        <v>61</v>
      </c>
      <c r="J15" s="8" t="s">
        <v>13</v>
      </c>
    </row>
    <row r="16">
      <c r="A16" s="5" t="s">
        <v>62</v>
      </c>
      <c r="B16" s="5" t="s">
        <v>47</v>
      </c>
      <c r="C16" s="6" t="s">
        <v>13</v>
      </c>
      <c r="D16" s="5" t="s">
        <v>14</v>
      </c>
      <c r="E16" s="5" t="s">
        <v>63</v>
      </c>
      <c r="F16" s="6" t="s">
        <v>64</v>
      </c>
      <c r="G16" s="6" t="s">
        <v>65</v>
      </c>
      <c r="H16" s="5" t="s">
        <v>18</v>
      </c>
      <c r="I16" s="7" t="s">
        <v>66</v>
      </c>
      <c r="J16" s="8" t="s">
        <v>13</v>
      </c>
    </row>
    <row r="17">
      <c r="A17" s="5" t="s">
        <v>67</v>
      </c>
      <c r="B17" s="5" t="s">
        <v>25</v>
      </c>
      <c r="C17" s="6" t="s">
        <v>13</v>
      </c>
      <c r="D17" s="5" t="s">
        <v>14</v>
      </c>
      <c r="E17" s="5" t="s">
        <v>68</v>
      </c>
      <c r="F17" s="6" t="s">
        <v>64</v>
      </c>
      <c r="G17" s="6" t="s">
        <v>65</v>
      </c>
      <c r="H17" s="5" t="s">
        <v>18</v>
      </c>
      <c r="I17" s="7" t="s">
        <v>69</v>
      </c>
      <c r="J17" s="8" t="s">
        <v>13</v>
      </c>
    </row>
    <row r="18">
      <c r="A18" s="5" t="s">
        <v>70</v>
      </c>
      <c r="B18" s="5" t="s">
        <v>25</v>
      </c>
      <c r="C18" s="6" t="s">
        <v>13</v>
      </c>
      <c r="D18" s="5" t="s">
        <v>14</v>
      </c>
      <c r="E18" s="5" t="s">
        <v>29</v>
      </c>
      <c r="F18" s="6" t="s">
        <v>64</v>
      </c>
      <c r="G18" s="6" t="s">
        <v>65</v>
      </c>
      <c r="H18" s="5" t="s">
        <v>18</v>
      </c>
      <c r="I18" s="7" t="s">
        <v>71</v>
      </c>
      <c r="J18" s="8" t="s">
        <v>13</v>
      </c>
    </row>
    <row r="19">
      <c r="A19" s="5" t="s">
        <v>72</v>
      </c>
      <c r="B19" s="5" t="s">
        <v>73</v>
      </c>
      <c r="C19" s="6" t="s">
        <v>13</v>
      </c>
      <c r="D19" s="5" t="s">
        <v>14</v>
      </c>
      <c r="E19" s="5" t="s">
        <v>74</v>
      </c>
      <c r="F19" s="5" t="s">
        <v>75</v>
      </c>
      <c r="G19" s="5" t="s">
        <v>76</v>
      </c>
      <c r="H19" s="5" t="s">
        <v>18</v>
      </c>
      <c r="I19" s="7" t="s">
        <v>77</v>
      </c>
      <c r="J19" s="8" t="s">
        <v>13</v>
      </c>
    </row>
    <row r="20">
      <c r="A20" s="5" t="s">
        <v>78</v>
      </c>
      <c r="B20" s="5" t="s">
        <v>25</v>
      </c>
      <c r="C20" s="6" t="s">
        <v>13</v>
      </c>
      <c r="D20" s="5" t="s">
        <v>14</v>
      </c>
      <c r="E20" s="5" t="s">
        <v>79</v>
      </c>
      <c r="F20" s="5" t="s">
        <v>80</v>
      </c>
      <c r="G20" s="5" t="s">
        <v>38</v>
      </c>
      <c r="H20" s="5" t="s">
        <v>18</v>
      </c>
      <c r="I20" s="7" t="s">
        <v>81</v>
      </c>
      <c r="J20" s="8" t="s">
        <v>13</v>
      </c>
    </row>
    <row r="21">
      <c r="A21" s="5" t="s">
        <v>82</v>
      </c>
      <c r="B21" s="5" t="s">
        <v>83</v>
      </c>
      <c r="C21" s="6" t="s">
        <v>13</v>
      </c>
      <c r="D21" s="5" t="s">
        <v>14</v>
      </c>
      <c r="E21" s="5" t="s">
        <v>84</v>
      </c>
      <c r="F21" s="5" t="s">
        <v>85</v>
      </c>
      <c r="G21" s="5" t="s">
        <v>86</v>
      </c>
      <c r="H21" s="5" t="s">
        <v>18</v>
      </c>
      <c r="I21" s="7" t="s">
        <v>87</v>
      </c>
      <c r="J21" s="8" t="s">
        <v>13</v>
      </c>
    </row>
    <row r="22">
      <c r="A22" s="5" t="s">
        <v>88</v>
      </c>
      <c r="B22" s="5" t="s">
        <v>89</v>
      </c>
      <c r="C22" s="6" t="s">
        <v>13</v>
      </c>
      <c r="D22" s="5" t="s">
        <v>14</v>
      </c>
      <c r="E22" s="5" t="s">
        <v>36</v>
      </c>
      <c r="F22" s="5" t="s">
        <v>90</v>
      </c>
      <c r="G22" s="5" t="s">
        <v>91</v>
      </c>
      <c r="H22" s="5" t="s">
        <v>18</v>
      </c>
      <c r="I22" s="7" t="s">
        <v>92</v>
      </c>
      <c r="J22" s="8" t="s">
        <v>13</v>
      </c>
    </row>
    <row r="23">
      <c r="A23" s="5" t="s">
        <v>93</v>
      </c>
      <c r="B23" s="5" t="s">
        <v>25</v>
      </c>
      <c r="C23" s="6" t="s">
        <v>13</v>
      </c>
      <c r="D23" s="5" t="s">
        <v>14</v>
      </c>
      <c r="E23" s="5" t="s">
        <v>94</v>
      </c>
      <c r="F23" s="5" t="s">
        <v>95</v>
      </c>
      <c r="G23" s="5" t="s">
        <v>96</v>
      </c>
      <c r="H23" s="5" t="s">
        <v>18</v>
      </c>
      <c r="I23" s="7" t="s">
        <v>97</v>
      </c>
      <c r="J23" s="8" t="s">
        <v>13</v>
      </c>
    </row>
    <row r="24">
      <c r="A24" s="5" t="s">
        <v>98</v>
      </c>
      <c r="B24" s="5" t="s">
        <v>99</v>
      </c>
      <c r="C24" s="6" t="s">
        <v>13</v>
      </c>
      <c r="D24" s="5" t="s">
        <v>14</v>
      </c>
      <c r="E24" s="5" t="s">
        <v>100</v>
      </c>
      <c r="F24" s="5" t="s">
        <v>101</v>
      </c>
      <c r="G24" s="5" t="s">
        <v>102</v>
      </c>
      <c r="H24" s="5" t="s">
        <v>18</v>
      </c>
      <c r="I24" s="7" t="s">
        <v>103</v>
      </c>
      <c r="J24" s="8" t="s">
        <v>13</v>
      </c>
    </row>
    <row r="25">
      <c r="A25" s="5" t="s">
        <v>104</v>
      </c>
      <c r="B25" s="5" t="s">
        <v>105</v>
      </c>
      <c r="C25" s="6" t="s">
        <v>13</v>
      </c>
      <c r="D25" s="5" t="s">
        <v>14</v>
      </c>
      <c r="E25" s="5" t="s">
        <v>106</v>
      </c>
      <c r="F25" s="5" t="s">
        <v>107</v>
      </c>
      <c r="G25" s="5" t="s">
        <v>102</v>
      </c>
      <c r="H25" s="5" t="s">
        <v>18</v>
      </c>
      <c r="I25" s="7" t="s">
        <v>108</v>
      </c>
      <c r="J25" s="8" t="s">
        <v>13</v>
      </c>
    </row>
    <row r="26">
      <c r="A26" s="5" t="s">
        <v>109</v>
      </c>
      <c r="B26" s="5" t="s">
        <v>110</v>
      </c>
      <c r="C26" s="6" t="s">
        <v>13</v>
      </c>
      <c r="D26" s="5" t="s">
        <v>14</v>
      </c>
      <c r="E26" s="5" t="s">
        <v>111</v>
      </c>
      <c r="F26" s="5" t="s">
        <v>112</v>
      </c>
      <c r="G26" s="5" t="s">
        <v>38</v>
      </c>
      <c r="H26" s="5" t="s">
        <v>18</v>
      </c>
      <c r="I26" s="7" t="s">
        <v>113</v>
      </c>
      <c r="J26" s="8" t="s">
        <v>13</v>
      </c>
    </row>
    <row r="27">
      <c r="A27" s="5" t="s">
        <v>114</v>
      </c>
      <c r="B27" s="5" t="s">
        <v>115</v>
      </c>
      <c r="C27" s="6" t="s">
        <v>13</v>
      </c>
      <c r="D27" s="5" t="s">
        <v>14</v>
      </c>
      <c r="E27" s="5" t="s">
        <v>116</v>
      </c>
      <c r="F27" s="5" t="s">
        <v>117</v>
      </c>
      <c r="G27" s="5" t="s">
        <v>44</v>
      </c>
      <c r="H27" s="5" t="s">
        <v>18</v>
      </c>
      <c r="I27" s="7" t="s">
        <v>118</v>
      </c>
      <c r="J27" s="8" t="s">
        <v>13</v>
      </c>
    </row>
    <row r="28">
      <c r="A28" s="5" t="s">
        <v>119</v>
      </c>
      <c r="B28" s="5" t="s">
        <v>120</v>
      </c>
      <c r="C28" s="6" t="s">
        <v>13</v>
      </c>
      <c r="D28" s="5" t="s">
        <v>14</v>
      </c>
      <c r="E28" s="5" t="s">
        <v>121</v>
      </c>
      <c r="F28" s="5" t="s">
        <v>122</v>
      </c>
      <c r="G28" s="5" t="s">
        <v>44</v>
      </c>
      <c r="H28" s="5" t="s">
        <v>18</v>
      </c>
      <c r="I28" s="7" t="s">
        <v>123</v>
      </c>
      <c r="J28" s="8" t="s">
        <v>13</v>
      </c>
    </row>
    <row r="29">
      <c r="A29" s="5" t="s">
        <v>124</v>
      </c>
      <c r="B29" s="5" t="s">
        <v>25</v>
      </c>
      <c r="C29" s="6" t="s">
        <v>13</v>
      </c>
      <c r="D29" s="5" t="s">
        <v>14</v>
      </c>
      <c r="E29" s="5" t="s">
        <v>125</v>
      </c>
      <c r="F29" s="5" t="s">
        <v>122</v>
      </c>
      <c r="G29" s="5" t="s">
        <v>44</v>
      </c>
      <c r="H29" s="5" t="s">
        <v>18</v>
      </c>
      <c r="I29" s="7" t="s">
        <v>126</v>
      </c>
      <c r="J29" s="8" t="s">
        <v>13</v>
      </c>
    </row>
    <row r="30">
      <c r="A30" s="5" t="s">
        <v>127</v>
      </c>
      <c r="B30" s="5" t="s">
        <v>25</v>
      </c>
      <c r="C30" s="6" t="s">
        <v>13</v>
      </c>
      <c r="D30" s="5" t="s">
        <v>14</v>
      </c>
      <c r="F30" s="5" t="s">
        <v>128</v>
      </c>
      <c r="G30" s="5" t="s">
        <v>17</v>
      </c>
      <c r="H30" s="5" t="s">
        <v>18</v>
      </c>
      <c r="I30" s="7" t="s">
        <v>129</v>
      </c>
      <c r="J30" s="8" t="s">
        <v>13</v>
      </c>
    </row>
    <row r="31">
      <c r="A31" s="5" t="s">
        <v>130</v>
      </c>
      <c r="B31" s="5" t="s">
        <v>25</v>
      </c>
      <c r="C31" s="6" t="s">
        <v>13</v>
      </c>
      <c r="D31" s="5" t="s">
        <v>14</v>
      </c>
      <c r="E31" s="5" t="s">
        <v>131</v>
      </c>
      <c r="F31" s="5" t="s">
        <v>132</v>
      </c>
      <c r="G31" s="5" t="s">
        <v>133</v>
      </c>
      <c r="H31" s="5" t="s">
        <v>18</v>
      </c>
      <c r="I31" s="7" t="s">
        <v>134</v>
      </c>
      <c r="J31" s="8" t="s">
        <v>13</v>
      </c>
    </row>
    <row r="32">
      <c r="A32" s="5" t="s">
        <v>135</v>
      </c>
      <c r="B32" s="5" t="s">
        <v>25</v>
      </c>
      <c r="C32" s="6" t="s">
        <v>13</v>
      </c>
      <c r="D32" s="5" t="s">
        <v>14</v>
      </c>
      <c r="E32" s="5" t="s">
        <v>136</v>
      </c>
      <c r="F32" s="5" t="s">
        <v>137</v>
      </c>
      <c r="G32" s="5" t="s">
        <v>137</v>
      </c>
      <c r="H32" s="5" t="s">
        <v>18</v>
      </c>
      <c r="I32" s="7" t="s">
        <v>138</v>
      </c>
      <c r="J32" s="8" t="s">
        <v>13</v>
      </c>
    </row>
    <row r="33">
      <c r="A33" s="5" t="s">
        <v>139</v>
      </c>
      <c r="B33" s="5" t="s">
        <v>140</v>
      </c>
      <c r="C33" s="6" t="s">
        <v>13</v>
      </c>
      <c r="D33" s="5" t="s">
        <v>14</v>
      </c>
      <c r="F33" s="5" t="s">
        <v>137</v>
      </c>
      <c r="G33" s="5" t="s">
        <v>137</v>
      </c>
      <c r="H33" s="5" t="s">
        <v>18</v>
      </c>
      <c r="I33" s="7" t="s">
        <v>141</v>
      </c>
      <c r="J33" s="8" t="s">
        <v>13</v>
      </c>
    </row>
    <row r="34">
      <c r="A34" s="5" t="s">
        <v>142</v>
      </c>
      <c r="B34" s="5" t="s">
        <v>143</v>
      </c>
      <c r="C34" s="6" t="s">
        <v>13</v>
      </c>
      <c r="D34" s="5" t="s">
        <v>14</v>
      </c>
      <c r="E34" s="5" t="s">
        <v>144</v>
      </c>
      <c r="F34" s="5" t="s">
        <v>137</v>
      </c>
      <c r="G34" s="5" t="s">
        <v>137</v>
      </c>
      <c r="H34" s="5" t="s">
        <v>18</v>
      </c>
      <c r="I34" s="7" t="s">
        <v>145</v>
      </c>
      <c r="J34" s="8" t="s">
        <v>13</v>
      </c>
    </row>
    <row r="35">
      <c r="A35" s="5" t="s">
        <v>146</v>
      </c>
      <c r="B35" s="5" t="s">
        <v>25</v>
      </c>
      <c r="C35" s="6" t="s">
        <v>13</v>
      </c>
      <c r="D35" s="5" t="s">
        <v>14</v>
      </c>
      <c r="E35" s="5" t="s">
        <v>36</v>
      </c>
      <c r="F35" s="5" t="s">
        <v>137</v>
      </c>
      <c r="G35" s="5" t="s">
        <v>137</v>
      </c>
      <c r="H35" s="5" t="s">
        <v>18</v>
      </c>
      <c r="I35" s="7" t="s">
        <v>147</v>
      </c>
      <c r="J35" s="8" t="s">
        <v>13</v>
      </c>
    </row>
    <row r="36">
      <c r="A36" s="5" t="s">
        <v>148</v>
      </c>
      <c r="B36" s="5" t="s">
        <v>25</v>
      </c>
      <c r="C36" s="6" t="s">
        <v>13</v>
      </c>
      <c r="D36" s="5" t="s">
        <v>14</v>
      </c>
      <c r="E36" s="5" t="s">
        <v>149</v>
      </c>
      <c r="F36" s="5" t="s">
        <v>150</v>
      </c>
      <c r="G36" s="5" t="s">
        <v>44</v>
      </c>
      <c r="H36" s="5" t="s">
        <v>18</v>
      </c>
      <c r="I36" s="7" t="s">
        <v>151</v>
      </c>
      <c r="J36" s="8" t="s">
        <v>13</v>
      </c>
    </row>
    <row r="37">
      <c r="A37" s="5" t="s">
        <v>152</v>
      </c>
      <c r="B37" s="5" t="s">
        <v>25</v>
      </c>
      <c r="C37" s="6" t="s">
        <v>13</v>
      </c>
      <c r="D37" s="5" t="s">
        <v>14</v>
      </c>
      <c r="E37" s="5" t="s">
        <v>111</v>
      </c>
      <c r="F37" s="5" t="s">
        <v>153</v>
      </c>
      <c r="G37" s="5" t="s">
        <v>154</v>
      </c>
      <c r="H37" s="5" t="s">
        <v>18</v>
      </c>
      <c r="I37" s="7" t="s">
        <v>155</v>
      </c>
      <c r="J37" s="8" t="s">
        <v>13</v>
      </c>
    </row>
    <row r="38">
      <c r="A38" s="5" t="s">
        <v>156</v>
      </c>
      <c r="B38" s="5" t="s">
        <v>157</v>
      </c>
      <c r="C38" s="6" t="s">
        <v>13</v>
      </c>
      <c r="D38" s="5" t="s">
        <v>14</v>
      </c>
      <c r="E38" s="5" t="s">
        <v>94</v>
      </c>
      <c r="F38" s="5" t="s">
        <v>153</v>
      </c>
      <c r="G38" s="5" t="s">
        <v>154</v>
      </c>
      <c r="H38" s="5" t="s">
        <v>18</v>
      </c>
      <c r="I38" s="7" t="s">
        <v>158</v>
      </c>
      <c r="J38" s="8" t="s">
        <v>13</v>
      </c>
    </row>
    <row r="39">
      <c r="A39" s="5" t="s">
        <v>159</v>
      </c>
      <c r="B39" s="5" t="s">
        <v>160</v>
      </c>
      <c r="C39" s="6" t="s">
        <v>13</v>
      </c>
      <c r="D39" s="5" t="s">
        <v>14</v>
      </c>
      <c r="E39" s="5" t="s">
        <v>79</v>
      </c>
      <c r="F39" s="5" t="s">
        <v>153</v>
      </c>
      <c r="G39" s="5" t="s">
        <v>154</v>
      </c>
      <c r="H39" s="5" t="s">
        <v>18</v>
      </c>
      <c r="I39" s="7" t="s">
        <v>161</v>
      </c>
      <c r="J39" s="8" t="s">
        <v>13</v>
      </c>
    </row>
    <row r="40">
      <c r="A40" s="5" t="s">
        <v>162</v>
      </c>
      <c r="B40" s="5" t="s">
        <v>25</v>
      </c>
      <c r="C40" s="6" t="s">
        <v>13</v>
      </c>
      <c r="D40" s="5" t="s">
        <v>14</v>
      </c>
      <c r="E40" s="5" t="s">
        <v>36</v>
      </c>
      <c r="F40" s="5" t="s">
        <v>153</v>
      </c>
      <c r="G40" s="5" t="s">
        <v>154</v>
      </c>
      <c r="H40" s="5" t="s">
        <v>18</v>
      </c>
      <c r="I40" s="7" t="s">
        <v>163</v>
      </c>
      <c r="J40" s="8" t="s">
        <v>13</v>
      </c>
    </row>
    <row r="41">
      <c r="A41" s="5" t="s">
        <v>164</v>
      </c>
      <c r="B41" s="5" t="s">
        <v>25</v>
      </c>
      <c r="C41" s="6" t="s">
        <v>13</v>
      </c>
      <c r="D41" s="5" t="s">
        <v>14</v>
      </c>
      <c r="E41" s="5" t="s">
        <v>165</v>
      </c>
      <c r="F41" s="5" t="s">
        <v>166</v>
      </c>
      <c r="G41" s="5" t="s">
        <v>44</v>
      </c>
      <c r="H41" s="5" t="s">
        <v>18</v>
      </c>
      <c r="I41" s="7" t="s">
        <v>167</v>
      </c>
      <c r="J41" s="8" t="s">
        <v>13</v>
      </c>
    </row>
    <row r="42">
      <c r="A42" s="5" t="s">
        <v>168</v>
      </c>
      <c r="B42" s="5" t="s">
        <v>25</v>
      </c>
      <c r="C42" s="6" t="s">
        <v>13</v>
      </c>
      <c r="D42" s="5" t="s">
        <v>14</v>
      </c>
      <c r="E42" s="5" t="s">
        <v>121</v>
      </c>
      <c r="F42" s="5" t="s">
        <v>169</v>
      </c>
      <c r="G42" s="5" t="s">
        <v>44</v>
      </c>
      <c r="H42" s="5" t="s">
        <v>18</v>
      </c>
      <c r="I42" s="7" t="s">
        <v>170</v>
      </c>
      <c r="J42" s="8" t="s">
        <v>13</v>
      </c>
    </row>
    <row r="43">
      <c r="A43" s="5" t="s">
        <v>171</v>
      </c>
      <c r="B43" s="5" t="s">
        <v>25</v>
      </c>
      <c r="C43" s="6" t="s">
        <v>13</v>
      </c>
      <c r="D43" s="5" t="s">
        <v>14</v>
      </c>
      <c r="E43" s="5" t="s">
        <v>48</v>
      </c>
      <c r="F43" s="5" t="s">
        <v>102</v>
      </c>
      <c r="G43" s="5" t="s">
        <v>172</v>
      </c>
      <c r="H43" s="5" t="s">
        <v>18</v>
      </c>
      <c r="I43" s="7" t="s">
        <v>173</v>
      </c>
      <c r="J43" s="8" t="s">
        <v>13</v>
      </c>
    </row>
    <row r="44">
      <c r="A44" s="5" t="s">
        <v>174</v>
      </c>
      <c r="B44" s="5" t="s">
        <v>25</v>
      </c>
      <c r="C44" s="6" t="s">
        <v>13</v>
      </c>
      <c r="D44" s="5" t="s">
        <v>14</v>
      </c>
      <c r="E44" s="5" t="s">
        <v>175</v>
      </c>
      <c r="F44" s="5" t="s">
        <v>102</v>
      </c>
      <c r="G44" s="5" t="s">
        <v>172</v>
      </c>
      <c r="H44" s="5" t="s">
        <v>18</v>
      </c>
      <c r="I44" s="7" t="s">
        <v>176</v>
      </c>
      <c r="J44" s="8" t="s">
        <v>13</v>
      </c>
    </row>
    <row r="45">
      <c r="A45" s="5" t="s">
        <v>177</v>
      </c>
      <c r="B45" s="5" t="s">
        <v>178</v>
      </c>
      <c r="C45" s="6" t="s">
        <v>13</v>
      </c>
      <c r="D45" s="5" t="s">
        <v>14</v>
      </c>
      <c r="E45" s="5" t="s">
        <v>179</v>
      </c>
      <c r="F45" s="5" t="s">
        <v>102</v>
      </c>
      <c r="G45" s="5" t="s">
        <v>172</v>
      </c>
      <c r="H45" s="5" t="s">
        <v>18</v>
      </c>
      <c r="I45" s="7" t="s">
        <v>180</v>
      </c>
      <c r="J45" s="8" t="s">
        <v>13</v>
      </c>
    </row>
    <row r="46">
      <c r="A46" s="5" t="s">
        <v>181</v>
      </c>
      <c r="B46" s="5" t="s">
        <v>25</v>
      </c>
      <c r="C46" s="6" t="s">
        <v>13</v>
      </c>
      <c r="D46" s="5" t="s">
        <v>14</v>
      </c>
      <c r="E46" s="5" t="s">
        <v>182</v>
      </c>
      <c r="F46" s="5" t="s">
        <v>183</v>
      </c>
      <c r="G46" s="5" t="s">
        <v>184</v>
      </c>
      <c r="H46" s="5" t="s">
        <v>18</v>
      </c>
      <c r="I46" s="7" t="s">
        <v>185</v>
      </c>
      <c r="J46" s="8" t="s">
        <v>13</v>
      </c>
    </row>
    <row r="47">
      <c r="A47" s="5" t="s">
        <v>186</v>
      </c>
      <c r="B47" s="5" t="s">
        <v>187</v>
      </c>
      <c r="C47" s="6" t="s">
        <v>13</v>
      </c>
      <c r="D47" s="5" t="s">
        <v>14</v>
      </c>
      <c r="E47" s="5" t="s">
        <v>188</v>
      </c>
      <c r="F47" s="5" t="s">
        <v>189</v>
      </c>
      <c r="G47" s="5" t="s">
        <v>184</v>
      </c>
      <c r="H47" s="5" t="s">
        <v>18</v>
      </c>
      <c r="I47" s="8" t="s">
        <v>190</v>
      </c>
      <c r="J47" s="8" t="s">
        <v>13</v>
      </c>
    </row>
    <row r="48">
      <c r="A48" s="5" t="s">
        <v>191</v>
      </c>
      <c r="B48" s="5" t="s">
        <v>25</v>
      </c>
      <c r="C48" s="6" t="s">
        <v>13</v>
      </c>
      <c r="D48" s="5" t="s">
        <v>14</v>
      </c>
      <c r="E48" s="5" t="s">
        <v>192</v>
      </c>
      <c r="F48" s="5" t="s">
        <v>102</v>
      </c>
      <c r="G48" s="5" t="s">
        <v>172</v>
      </c>
      <c r="H48" s="5" t="s">
        <v>18</v>
      </c>
      <c r="I48" s="7" t="s">
        <v>193</v>
      </c>
      <c r="J48" s="8" t="s">
        <v>13</v>
      </c>
    </row>
    <row r="49">
      <c r="A49" s="5" t="s">
        <v>194</v>
      </c>
      <c r="B49" s="5" t="s">
        <v>32</v>
      </c>
      <c r="C49" s="6" t="s">
        <v>13</v>
      </c>
      <c r="D49" s="5" t="s">
        <v>14</v>
      </c>
      <c r="E49" s="5" t="s">
        <v>36</v>
      </c>
      <c r="F49" s="6" t="s">
        <v>64</v>
      </c>
      <c r="G49" s="6" t="s">
        <v>65</v>
      </c>
      <c r="H49" s="5" t="s">
        <v>18</v>
      </c>
      <c r="I49" s="7" t="s">
        <v>195</v>
      </c>
      <c r="J49" s="8" t="s">
        <v>13</v>
      </c>
    </row>
    <row r="50">
      <c r="A50" s="5" t="s">
        <v>196</v>
      </c>
      <c r="B50" s="5" t="s">
        <v>197</v>
      </c>
      <c r="C50" s="6" t="s">
        <v>13</v>
      </c>
      <c r="D50" s="5" t="s">
        <v>198</v>
      </c>
      <c r="E50" s="5" t="s">
        <v>149</v>
      </c>
      <c r="F50" s="5" t="s">
        <v>122</v>
      </c>
      <c r="G50" s="5" t="s">
        <v>44</v>
      </c>
      <c r="H50" s="5" t="s">
        <v>18</v>
      </c>
      <c r="I50" s="8" t="s">
        <v>199</v>
      </c>
      <c r="J50" s="8" t="s">
        <v>13</v>
      </c>
    </row>
    <row r="51">
      <c r="A51" s="5" t="s">
        <v>200</v>
      </c>
      <c r="B51" s="5" t="s">
        <v>25</v>
      </c>
      <c r="C51" s="6" t="s">
        <v>13</v>
      </c>
      <c r="D51" s="5" t="s">
        <v>201</v>
      </c>
      <c r="E51" s="5" t="s">
        <v>42</v>
      </c>
      <c r="F51" s="5" t="s">
        <v>202</v>
      </c>
      <c r="G51" s="5" t="s">
        <v>203</v>
      </c>
      <c r="H51" s="5" t="s">
        <v>18</v>
      </c>
      <c r="I51" s="7" t="s">
        <v>204</v>
      </c>
      <c r="J51" s="8" t="s">
        <v>13</v>
      </c>
    </row>
    <row r="52">
      <c r="A52" s="5" t="s">
        <v>205</v>
      </c>
      <c r="B52" s="5" t="s">
        <v>206</v>
      </c>
      <c r="C52" s="6" t="s">
        <v>13</v>
      </c>
      <c r="D52" s="5" t="s">
        <v>201</v>
      </c>
      <c r="E52" s="5" t="s">
        <v>207</v>
      </c>
      <c r="F52" s="5" t="s">
        <v>49</v>
      </c>
      <c r="G52" s="5" t="s">
        <v>50</v>
      </c>
      <c r="H52" s="5" t="s">
        <v>18</v>
      </c>
      <c r="I52" s="8" t="s">
        <v>208</v>
      </c>
      <c r="J52" s="8" t="s">
        <v>13</v>
      </c>
    </row>
    <row r="53">
      <c r="A53" s="5" t="s">
        <v>209</v>
      </c>
      <c r="B53" s="5" t="s">
        <v>25</v>
      </c>
      <c r="C53" s="6" t="s">
        <v>13</v>
      </c>
      <c r="D53" s="5" t="s">
        <v>201</v>
      </c>
      <c r="E53" s="5" t="s">
        <v>165</v>
      </c>
      <c r="F53" s="5" t="s">
        <v>80</v>
      </c>
      <c r="G53" s="5" t="s">
        <v>38</v>
      </c>
      <c r="H53" s="5" t="s">
        <v>18</v>
      </c>
      <c r="I53" s="8" t="s">
        <v>210</v>
      </c>
      <c r="J53" s="8" t="s">
        <v>13</v>
      </c>
    </row>
    <row r="54">
      <c r="A54" s="5" t="s">
        <v>211</v>
      </c>
      <c r="B54" s="5" t="s">
        <v>212</v>
      </c>
      <c r="C54" s="6" t="s">
        <v>13</v>
      </c>
      <c r="D54" s="5" t="s">
        <v>201</v>
      </c>
      <c r="E54" s="5" t="s">
        <v>213</v>
      </c>
      <c r="F54" s="5" t="s">
        <v>214</v>
      </c>
      <c r="G54" s="5" t="s">
        <v>76</v>
      </c>
      <c r="H54" s="5" t="s">
        <v>18</v>
      </c>
      <c r="I54" s="7" t="s">
        <v>215</v>
      </c>
      <c r="J54" s="8" t="s">
        <v>13</v>
      </c>
    </row>
    <row r="55">
      <c r="A55" s="5" t="s">
        <v>216</v>
      </c>
      <c r="B55" s="5" t="s">
        <v>25</v>
      </c>
      <c r="C55" s="6" t="s">
        <v>13</v>
      </c>
      <c r="D55" s="5" t="s">
        <v>201</v>
      </c>
      <c r="E55" s="5" t="s">
        <v>217</v>
      </c>
      <c r="F55" s="5" t="s">
        <v>218</v>
      </c>
      <c r="G55" s="5" t="s">
        <v>219</v>
      </c>
      <c r="H55" s="5" t="s">
        <v>18</v>
      </c>
      <c r="I55" s="7" t="s">
        <v>220</v>
      </c>
      <c r="J55" s="8" t="s">
        <v>13</v>
      </c>
    </row>
    <row r="56">
      <c r="A56" s="5" t="s">
        <v>221</v>
      </c>
      <c r="B56" s="5" t="s">
        <v>25</v>
      </c>
      <c r="C56" s="6" t="s">
        <v>13</v>
      </c>
      <c r="D56" s="5" t="s">
        <v>201</v>
      </c>
      <c r="E56" s="5" t="s">
        <v>222</v>
      </c>
      <c r="F56" s="5" t="s">
        <v>223</v>
      </c>
      <c r="G56" s="5" t="s">
        <v>224</v>
      </c>
      <c r="H56" s="5" t="s">
        <v>18</v>
      </c>
      <c r="I56" s="7" t="s">
        <v>225</v>
      </c>
      <c r="J56" s="8" t="s">
        <v>13</v>
      </c>
    </row>
    <row r="57">
      <c r="A57" s="5" t="s">
        <v>226</v>
      </c>
      <c r="B57" s="5" t="s">
        <v>110</v>
      </c>
      <c r="C57" s="6" t="s">
        <v>13</v>
      </c>
      <c r="D57" s="5" t="s">
        <v>227</v>
      </c>
      <c r="E57" s="5" t="s">
        <v>228</v>
      </c>
      <c r="F57" s="5" t="s">
        <v>229</v>
      </c>
      <c r="G57" s="5" t="s">
        <v>86</v>
      </c>
      <c r="H57" s="5" t="s">
        <v>18</v>
      </c>
      <c r="I57" s="7" t="s">
        <v>230</v>
      </c>
      <c r="J57" s="8" t="s">
        <v>13</v>
      </c>
    </row>
    <row r="58">
      <c r="A58" s="5" t="s">
        <v>231</v>
      </c>
      <c r="B58" s="5" t="s">
        <v>232</v>
      </c>
      <c r="C58" s="6" t="s">
        <v>13</v>
      </c>
      <c r="D58" s="5" t="s">
        <v>227</v>
      </c>
      <c r="E58" s="5" t="s">
        <v>233</v>
      </c>
      <c r="F58" s="5" t="s">
        <v>37</v>
      </c>
      <c r="G58" s="5" t="s">
        <v>38</v>
      </c>
      <c r="H58" s="5" t="s">
        <v>18</v>
      </c>
      <c r="I58" s="7" t="s">
        <v>234</v>
      </c>
      <c r="J58" s="8" t="s">
        <v>13</v>
      </c>
    </row>
    <row r="59">
      <c r="A59" s="5" t="s">
        <v>235</v>
      </c>
      <c r="B59" s="5" t="s">
        <v>236</v>
      </c>
      <c r="C59" s="6" t="s">
        <v>13</v>
      </c>
      <c r="D59" s="5" t="s">
        <v>227</v>
      </c>
      <c r="E59" s="5" t="s">
        <v>237</v>
      </c>
      <c r="F59" s="6" t="s">
        <v>64</v>
      </c>
      <c r="G59" s="6" t="s">
        <v>65</v>
      </c>
      <c r="H59" s="5" t="s">
        <v>18</v>
      </c>
      <c r="I59" s="7" t="s">
        <v>238</v>
      </c>
      <c r="J59" s="8" t="s">
        <v>13</v>
      </c>
    </row>
    <row r="60">
      <c r="A60" s="5" t="s">
        <v>239</v>
      </c>
      <c r="B60" s="5" t="s">
        <v>240</v>
      </c>
      <c r="C60" s="6" t="s">
        <v>4</v>
      </c>
      <c r="D60" s="5" t="s">
        <v>227</v>
      </c>
      <c r="E60" s="5" t="s">
        <v>241</v>
      </c>
      <c r="F60" s="5" t="s">
        <v>85</v>
      </c>
      <c r="G60" s="5" t="s">
        <v>86</v>
      </c>
      <c r="H60" s="5" t="s">
        <v>18</v>
      </c>
      <c r="I60" s="8" t="s">
        <v>242</v>
      </c>
      <c r="J60" s="8" t="s">
        <v>13</v>
      </c>
    </row>
    <row r="61">
      <c r="A61" s="5" t="s">
        <v>243</v>
      </c>
      <c r="B61" s="5" t="s">
        <v>244</v>
      </c>
      <c r="C61" s="6" t="s">
        <v>13</v>
      </c>
      <c r="D61" s="5" t="s">
        <v>227</v>
      </c>
      <c r="E61" s="5" t="s">
        <v>237</v>
      </c>
      <c r="F61" s="5" t="s">
        <v>85</v>
      </c>
      <c r="G61" s="5" t="s">
        <v>86</v>
      </c>
      <c r="H61" s="5" t="s">
        <v>18</v>
      </c>
      <c r="I61" s="7" t="s">
        <v>245</v>
      </c>
      <c r="J61" s="8" t="s">
        <v>13</v>
      </c>
    </row>
    <row r="62">
      <c r="A62" s="5" t="s">
        <v>246</v>
      </c>
      <c r="B62" s="5" t="s">
        <v>110</v>
      </c>
      <c r="C62" s="6" t="s">
        <v>13</v>
      </c>
      <c r="D62" s="5" t="s">
        <v>227</v>
      </c>
      <c r="E62" s="5" t="s">
        <v>228</v>
      </c>
      <c r="F62" s="5" t="s">
        <v>90</v>
      </c>
      <c r="G62" s="5" t="s">
        <v>91</v>
      </c>
      <c r="H62" s="5" t="s">
        <v>18</v>
      </c>
      <c r="I62" s="7" t="s">
        <v>247</v>
      </c>
      <c r="J62" s="8" t="s">
        <v>13</v>
      </c>
    </row>
    <row r="63">
      <c r="A63" s="5" t="s">
        <v>248</v>
      </c>
      <c r="B63" s="5" t="s">
        <v>110</v>
      </c>
      <c r="C63" s="6" t="s">
        <v>13</v>
      </c>
      <c r="D63" s="5" t="s">
        <v>227</v>
      </c>
      <c r="E63" s="5" t="s">
        <v>237</v>
      </c>
      <c r="F63" s="5" t="s">
        <v>249</v>
      </c>
      <c r="G63" s="5" t="s">
        <v>44</v>
      </c>
      <c r="H63" s="5" t="s">
        <v>18</v>
      </c>
      <c r="I63" s="7" t="s">
        <v>250</v>
      </c>
      <c r="J63" s="8" t="s">
        <v>13</v>
      </c>
    </row>
    <row r="64">
      <c r="A64" s="5" t="s">
        <v>251</v>
      </c>
      <c r="B64" s="5" t="s">
        <v>252</v>
      </c>
      <c r="C64" s="6" t="s">
        <v>13</v>
      </c>
      <c r="D64" s="5" t="s">
        <v>227</v>
      </c>
      <c r="E64" s="5" t="s">
        <v>237</v>
      </c>
      <c r="F64" s="5" t="s">
        <v>253</v>
      </c>
      <c r="G64" s="5" t="s">
        <v>224</v>
      </c>
      <c r="H64" s="5" t="s">
        <v>18</v>
      </c>
      <c r="I64" s="7" t="s">
        <v>254</v>
      </c>
      <c r="J64" s="8" t="s">
        <v>13</v>
      </c>
    </row>
    <row r="65">
      <c r="A65" s="5" t="s">
        <v>255</v>
      </c>
      <c r="B65" s="5" t="s">
        <v>256</v>
      </c>
      <c r="C65" s="6" t="s">
        <v>13</v>
      </c>
      <c r="D65" s="5" t="s">
        <v>227</v>
      </c>
      <c r="E65" s="5" t="s">
        <v>257</v>
      </c>
      <c r="F65" s="5" t="s">
        <v>258</v>
      </c>
      <c r="G65" s="5" t="s">
        <v>259</v>
      </c>
      <c r="H65" s="5" t="s">
        <v>18</v>
      </c>
      <c r="I65" s="7" t="s">
        <v>260</v>
      </c>
      <c r="J65" s="8" t="s">
        <v>13</v>
      </c>
    </row>
    <row r="66">
      <c r="A66" s="5" t="s">
        <v>261</v>
      </c>
      <c r="B66" s="5" t="s">
        <v>262</v>
      </c>
      <c r="C66" s="6" t="s">
        <v>13</v>
      </c>
      <c r="D66" s="5" t="s">
        <v>227</v>
      </c>
      <c r="E66" s="5" t="s">
        <v>237</v>
      </c>
      <c r="F66" s="5" t="s">
        <v>263</v>
      </c>
      <c r="G66" s="5" t="s">
        <v>264</v>
      </c>
      <c r="H66" s="5" t="s">
        <v>18</v>
      </c>
      <c r="I66" s="7" t="s">
        <v>265</v>
      </c>
      <c r="J66" s="8" t="s">
        <v>13</v>
      </c>
    </row>
    <row r="67">
      <c r="A67" s="5" t="s">
        <v>266</v>
      </c>
      <c r="B67" s="5" t="s">
        <v>267</v>
      </c>
      <c r="C67" s="6" t="s">
        <v>13</v>
      </c>
      <c r="D67" s="5" t="s">
        <v>227</v>
      </c>
      <c r="E67" s="5" t="s">
        <v>268</v>
      </c>
      <c r="F67" s="5" t="s">
        <v>269</v>
      </c>
      <c r="G67" s="5" t="s">
        <v>133</v>
      </c>
      <c r="H67" s="5" t="s">
        <v>18</v>
      </c>
      <c r="I67" s="8" t="s">
        <v>270</v>
      </c>
      <c r="J67" s="8" t="s">
        <v>13</v>
      </c>
    </row>
    <row r="68">
      <c r="A68" s="5" t="s">
        <v>271</v>
      </c>
      <c r="B68" s="5" t="s">
        <v>272</v>
      </c>
      <c r="C68" s="6" t="s">
        <v>13</v>
      </c>
      <c r="D68" s="5" t="s">
        <v>227</v>
      </c>
      <c r="E68" s="5" t="s">
        <v>237</v>
      </c>
      <c r="F68" s="5" t="s">
        <v>273</v>
      </c>
      <c r="G68" s="5" t="s">
        <v>17</v>
      </c>
      <c r="H68" s="5" t="s">
        <v>18</v>
      </c>
      <c r="I68" s="7" t="s">
        <v>274</v>
      </c>
      <c r="J68" s="8" t="s">
        <v>13</v>
      </c>
    </row>
    <row r="69">
      <c r="A69" s="5" t="s">
        <v>275</v>
      </c>
      <c r="B69" s="5" t="s">
        <v>276</v>
      </c>
      <c r="C69" s="6" t="s">
        <v>13</v>
      </c>
      <c r="D69" s="5" t="s">
        <v>227</v>
      </c>
      <c r="E69" s="5" t="s">
        <v>277</v>
      </c>
      <c r="F69" s="5" t="s">
        <v>132</v>
      </c>
      <c r="G69" s="5" t="s">
        <v>133</v>
      </c>
      <c r="H69" s="5" t="s">
        <v>18</v>
      </c>
      <c r="I69" s="7" t="s">
        <v>278</v>
      </c>
      <c r="J69" s="8" t="s">
        <v>13</v>
      </c>
    </row>
    <row r="70">
      <c r="A70" s="5" t="s">
        <v>279</v>
      </c>
      <c r="B70" s="5" t="s">
        <v>110</v>
      </c>
      <c r="C70" s="6" t="s">
        <v>13</v>
      </c>
      <c r="D70" s="5" t="s">
        <v>227</v>
      </c>
      <c r="E70" s="5" t="s">
        <v>237</v>
      </c>
      <c r="F70" s="5" t="s">
        <v>132</v>
      </c>
      <c r="G70" s="5" t="s">
        <v>133</v>
      </c>
      <c r="H70" s="5" t="s">
        <v>18</v>
      </c>
      <c r="I70" s="7" t="s">
        <v>280</v>
      </c>
      <c r="J70" s="8" t="s">
        <v>13</v>
      </c>
    </row>
    <row r="71">
      <c r="A71" s="5" t="s">
        <v>281</v>
      </c>
      <c r="B71" s="5" t="s">
        <v>282</v>
      </c>
      <c r="C71" s="6" t="s">
        <v>13</v>
      </c>
      <c r="D71" s="5" t="s">
        <v>227</v>
      </c>
      <c r="E71" s="5" t="s">
        <v>283</v>
      </c>
      <c r="F71" s="5" t="s">
        <v>132</v>
      </c>
      <c r="G71" s="5" t="s">
        <v>133</v>
      </c>
      <c r="H71" s="5" t="s">
        <v>18</v>
      </c>
      <c r="I71" s="7" t="s">
        <v>284</v>
      </c>
      <c r="J71" s="8" t="s">
        <v>13</v>
      </c>
    </row>
    <row r="72">
      <c r="A72" s="5" t="s">
        <v>285</v>
      </c>
      <c r="B72" s="5" t="s">
        <v>286</v>
      </c>
      <c r="C72" s="6" t="s">
        <v>13</v>
      </c>
      <c r="D72" s="5" t="s">
        <v>227</v>
      </c>
      <c r="E72" s="5" t="s">
        <v>237</v>
      </c>
      <c r="F72" s="5" t="s">
        <v>287</v>
      </c>
      <c r="G72" s="5" t="s">
        <v>137</v>
      </c>
      <c r="H72" s="5" t="s">
        <v>18</v>
      </c>
      <c r="I72" s="7" t="s">
        <v>288</v>
      </c>
      <c r="J72" s="8" t="s">
        <v>13</v>
      </c>
    </row>
    <row r="73">
      <c r="A73" s="5" t="s">
        <v>289</v>
      </c>
      <c r="B73" s="5" t="s">
        <v>290</v>
      </c>
      <c r="C73" s="6" t="s">
        <v>13</v>
      </c>
      <c r="D73" s="5" t="s">
        <v>227</v>
      </c>
      <c r="E73" s="5" t="s">
        <v>237</v>
      </c>
      <c r="F73" s="5" t="s">
        <v>291</v>
      </c>
      <c r="G73" s="5" t="s">
        <v>44</v>
      </c>
      <c r="H73" s="5" t="s">
        <v>18</v>
      </c>
      <c r="I73" s="7" t="s">
        <v>292</v>
      </c>
      <c r="J73" s="8" t="s">
        <v>13</v>
      </c>
    </row>
    <row r="74">
      <c r="A74" s="5" t="s">
        <v>293</v>
      </c>
      <c r="B74" s="5" t="s">
        <v>294</v>
      </c>
      <c r="C74" s="6" t="s">
        <v>13</v>
      </c>
      <c r="D74" s="5" t="s">
        <v>227</v>
      </c>
      <c r="E74" s="5" t="s">
        <v>237</v>
      </c>
      <c r="F74" s="5" t="s">
        <v>295</v>
      </c>
      <c r="G74" s="5" t="s">
        <v>154</v>
      </c>
      <c r="H74" s="5" t="s">
        <v>18</v>
      </c>
      <c r="I74" s="7" t="s">
        <v>296</v>
      </c>
      <c r="J74" s="8" t="s">
        <v>13</v>
      </c>
    </row>
    <row r="75">
      <c r="A75" s="5" t="s">
        <v>297</v>
      </c>
      <c r="B75" s="5" t="s">
        <v>298</v>
      </c>
      <c r="C75" s="6" t="s">
        <v>13</v>
      </c>
      <c r="D75" s="5" t="s">
        <v>227</v>
      </c>
      <c r="E75" s="5" t="s">
        <v>237</v>
      </c>
      <c r="F75" s="5" t="s">
        <v>299</v>
      </c>
      <c r="G75" s="5" t="s">
        <v>44</v>
      </c>
      <c r="H75" s="5" t="s">
        <v>18</v>
      </c>
      <c r="I75" s="7" t="s">
        <v>300</v>
      </c>
      <c r="J75" s="8" t="s">
        <v>13</v>
      </c>
    </row>
    <row r="76">
      <c r="A76" s="5" t="s">
        <v>301</v>
      </c>
      <c r="B76" s="5" t="s">
        <v>302</v>
      </c>
      <c r="C76" s="6" t="s">
        <v>13</v>
      </c>
      <c r="D76" s="5" t="s">
        <v>227</v>
      </c>
      <c r="E76" s="5" t="s">
        <v>233</v>
      </c>
      <c r="F76" s="5" t="s">
        <v>166</v>
      </c>
      <c r="G76" s="5" t="s">
        <v>44</v>
      </c>
      <c r="H76" s="5" t="s">
        <v>18</v>
      </c>
      <c r="I76" s="7" t="s">
        <v>303</v>
      </c>
      <c r="J76" s="8" t="s">
        <v>13</v>
      </c>
    </row>
    <row r="77">
      <c r="A77" s="5" t="s">
        <v>304</v>
      </c>
      <c r="B77" s="5" t="s">
        <v>305</v>
      </c>
      <c r="C77" s="6" t="s">
        <v>13</v>
      </c>
      <c r="D77" s="5" t="s">
        <v>227</v>
      </c>
      <c r="E77" s="5" t="s">
        <v>233</v>
      </c>
      <c r="F77" s="5" t="s">
        <v>166</v>
      </c>
      <c r="G77" s="5" t="s">
        <v>44</v>
      </c>
      <c r="H77" s="5" t="s">
        <v>18</v>
      </c>
      <c r="I77" s="7" t="s">
        <v>306</v>
      </c>
      <c r="J77" s="8" t="s">
        <v>13</v>
      </c>
    </row>
    <row r="78">
      <c r="A78" s="5" t="s">
        <v>307</v>
      </c>
      <c r="B78" s="5" t="s">
        <v>308</v>
      </c>
      <c r="C78" s="6" t="s">
        <v>4</v>
      </c>
      <c r="D78" s="5" t="s">
        <v>227</v>
      </c>
      <c r="E78" s="5" t="s">
        <v>165</v>
      </c>
      <c r="F78" s="5" t="s">
        <v>166</v>
      </c>
      <c r="G78" s="5" t="s">
        <v>44</v>
      </c>
      <c r="H78" s="5" t="s">
        <v>18</v>
      </c>
      <c r="I78" s="8" t="s">
        <v>309</v>
      </c>
      <c r="J78" s="8" t="s">
        <v>13</v>
      </c>
    </row>
    <row r="79">
      <c r="A79" s="5" t="s">
        <v>310</v>
      </c>
      <c r="B79" s="5" t="s">
        <v>110</v>
      </c>
      <c r="C79" s="6" t="s">
        <v>13</v>
      </c>
      <c r="D79" s="5" t="s">
        <v>227</v>
      </c>
      <c r="E79" s="5" t="s">
        <v>79</v>
      </c>
      <c r="F79" s="5" t="s">
        <v>311</v>
      </c>
      <c r="G79" s="5" t="s">
        <v>102</v>
      </c>
      <c r="H79" s="5" t="s">
        <v>18</v>
      </c>
      <c r="I79" s="7" t="s">
        <v>312</v>
      </c>
      <c r="J79" s="8" t="s">
        <v>13</v>
      </c>
    </row>
    <row r="80">
      <c r="A80" s="5" t="s">
        <v>313</v>
      </c>
      <c r="B80" s="5" t="s">
        <v>110</v>
      </c>
      <c r="C80" s="6" t="s">
        <v>13</v>
      </c>
      <c r="D80" s="5" t="s">
        <v>227</v>
      </c>
      <c r="E80" s="5" t="s">
        <v>314</v>
      </c>
      <c r="F80" s="5" t="s">
        <v>311</v>
      </c>
      <c r="G80" s="5" t="s">
        <v>102</v>
      </c>
      <c r="H80" s="5" t="s">
        <v>18</v>
      </c>
      <c r="I80" s="7" t="s">
        <v>315</v>
      </c>
      <c r="J80" s="8" t="s">
        <v>13</v>
      </c>
    </row>
    <row r="81">
      <c r="A81" s="5" t="s">
        <v>316</v>
      </c>
      <c r="B81" s="5" t="s">
        <v>256</v>
      </c>
      <c r="C81" s="6" t="s">
        <v>13</v>
      </c>
      <c r="D81" s="5" t="s">
        <v>227</v>
      </c>
      <c r="E81" s="5" t="s">
        <v>228</v>
      </c>
      <c r="F81" s="5" t="s">
        <v>311</v>
      </c>
      <c r="G81" s="5" t="s">
        <v>102</v>
      </c>
      <c r="H81" s="5" t="s">
        <v>18</v>
      </c>
      <c r="I81" s="7" t="s">
        <v>317</v>
      </c>
      <c r="J81" s="8" t="s">
        <v>13</v>
      </c>
    </row>
    <row r="82">
      <c r="A82" s="5" t="s">
        <v>318</v>
      </c>
      <c r="B82" s="5" t="s">
        <v>319</v>
      </c>
      <c r="C82" s="6" t="s">
        <v>13</v>
      </c>
      <c r="D82" s="5" t="s">
        <v>227</v>
      </c>
      <c r="E82" s="5" t="s">
        <v>26</v>
      </c>
      <c r="F82" s="5" t="s">
        <v>311</v>
      </c>
      <c r="G82" s="5" t="s">
        <v>102</v>
      </c>
      <c r="H82" s="5" t="s">
        <v>18</v>
      </c>
      <c r="I82" s="7" t="s">
        <v>320</v>
      </c>
      <c r="J82" s="8" t="s">
        <v>13</v>
      </c>
    </row>
    <row r="83">
      <c r="A83" s="5" t="s">
        <v>321</v>
      </c>
      <c r="B83" s="5" t="s">
        <v>110</v>
      </c>
      <c r="C83" s="6" t="s">
        <v>13</v>
      </c>
      <c r="D83" s="5" t="s">
        <v>227</v>
      </c>
      <c r="E83" s="5" t="s">
        <v>322</v>
      </c>
      <c r="F83" s="5" t="s">
        <v>311</v>
      </c>
      <c r="G83" s="5" t="s">
        <v>102</v>
      </c>
      <c r="H83" s="5" t="s">
        <v>18</v>
      </c>
      <c r="I83" s="7" t="s">
        <v>323</v>
      </c>
      <c r="J83" s="8" t="s">
        <v>13</v>
      </c>
    </row>
    <row r="84">
      <c r="A84" s="5" t="s">
        <v>324</v>
      </c>
      <c r="B84" s="5" t="s">
        <v>325</v>
      </c>
      <c r="C84" s="6" t="s">
        <v>13</v>
      </c>
      <c r="D84" s="5" t="s">
        <v>227</v>
      </c>
      <c r="E84" s="5" t="s">
        <v>228</v>
      </c>
      <c r="F84" s="5" t="s">
        <v>311</v>
      </c>
      <c r="G84" s="5" t="s">
        <v>102</v>
      </c>
      <c r="H84" s="5" t="s">
        <v>18</v>
      </c>
      <c r="I84" s="8" t="s">
        <v>326</v>
      </c>
      <c r="J84" s="8" t="s">
        <v>13</v>
      </c>
    </row>
    <row r="85">
      <c r="A85" s="5" t="s">
        <v>327</v>
      </c>
      <c r="B85" s="5" t="s">
        <v>328</v>
      </c>
      <c r="C85" s="6" t="s">
        <v>13</v>
      </c>
      <c r="D85" s="5" t="s">
        <v>227</v>
      </c>
      <c r="E85" s="5" t="s">
        <v>188</v>
      </c>
      <c r="F85" s="5" t="s">
        <v>311</v>
      </c>
      <c r="G85" s="5" t="s">
        <v>102</v>
      </c>
      <c r="H85" s="5" t="s">
        <v>18</v>
      </c>
      <c r="I85" s="7" t="s">
        <v>329</v>
      </c>
      <c r="J85" s="8" t="s">
        <v>13</v>
      </c>
    </row>
    <row r="86">
      <c r="A86" s="5" t="s">
        <v>330</v>
      </c>
      <c r="B86" s="5" t="s">
        <v>110</v>
      </c>
      <c r="C86" s="6" t="s">
        <v>13</v>
      </c>
      <c r="D86" s="5" t="s">
        <v>227</v>
      </c>
      <c r="E86" s="5" t="s">
        <v>331</v>
      </c>
      <c r="F86" s="5" t="s">
        <v>311</v>
      </c>
      <c r="G86" s="5" t="s">
        <v>102</v>
      </c>
      <c r="H86" s="5" t="s">
        <v>18</v>
      </c>
      <c r="I86" s="7" t="s">
        <v>332</v>
      </c>
      <c r="J86" s="8" t="s">
        <v>13</v>
      </c>
    </row>
    <row r="87">
      <c r="A87" s="5" t="s">
        <v>333</v>
      </c>
      <c r="B87" s="5" t="s">
        <v>256</v>
      </c>
      <c r="C87" s="6" t="s">
        <v>13</v>
      </c>
      <c r="D87" s="5" t="s">
        <v>227</v>
      </c>
      <c r="E87" s="5" t="s">
        <v>228</v>
      </c>
      <c r="F87" s="5" t="s">
        <v>311</v>
      </c>
      <c r="G87" s="5" t="s">
        <v>102</v>
      </c>
      <c r="H87" s="5" t="s">
        <v>18</v>
      </c>
      <c r="I87" s="7" t="s">
        <v>334</v>
      </c>
      <c r="J87" s="8" t="s">
        <v>13</v>
      </c>
    </row>
    <row r="88">
      <c r="A88" s="5" t="s">
        <v>335</v>
      </c>
      <c r="B88" s="5" t="s">
        <v>110</v>
      </c>
      <c r="C88" s="6" t="s">
        <v>13</v>
      </c>
      <c r="D88" s="5" t="s">
        <v>227</v>
      </c>
      <c r="E88" s="5" t="s">
        <v>228</v>
      </c>
      <c r="F88" s="5" t="s">
        <v>311</v>
      </c>
      <c r="G88" s="5" t="s">
        <v>102</v>
      </c>
      <c r="H88" s="5" t="s">
        <v>18</v>
      </c>
      <c r="I88" s="7" t="s">
        <v>336</v>
      </c>
      <c r="J88" s="8" t="s">
        <v>13</v>
      </c>
    </row>
    <row r="89">
      <c r="A89" s="5" t="s">
        <v>337</v>
      </c>
      <c r="B89" s="5" t="s">
        <v>338</v>
      </c>
      <c r="C89" s="6" t="s">
        <v>13</v>
      </c>
      <c r="D89" s="5" t="s">
        <v>227</v>
      </c>
      <c r="E89" s="5" t="s">
        <v>339</v>
      </c>
      <c r="F89" s="5" t="s">
        <v>311</v>
      </c>
      <c r="G89" s="5" t="s">
        <v>102</v>
      </c>
      <c r="H89" s="5" t="s">
        <v>18</v>
      </c>
      <c r="I89" s="7" t="s">
        <v>340</v>
      </c>
      <c r="J89" s="8" t="s">
        <v>13</v>
      </c>
    </row>
    <row r="90">
      <c r="A90" s="5" t="s">
        <v>341</v>
      </c>
      <c r="B90" s="5" t="s">
        <v>342</v>
      </c>
      <c r="C90" s="6" t="s">
        <v>13</v>
      </c>
      <c r="D90" s="5" t="s">
        <v>227</v>
      </c>
      <c r="E90" s="5" t="s">
        <v>26</v>
      </c>
      <c r="F90" s="5" t="s">
        <v>311</v>
      </c>
      <c r="G90" s="5" t="s">
        <v>102</v>
      </c>
      <c r="H90" s="5" t="s">
        <v>18</v>
      </c>
      <c r="I90" s="7" t="s">
        <v>343</v>
      </c>
      <c r="J90" s="8" t="s">
        <v>13</v>
      </c>
    </row>
    <row r="91">
      <c r="A91" s="5" t="s">
        <v>344</v>
      </c>
      <c r="B91" s="5" t="s">
        <v>325</v>
      </c>
      <c r="C91" s="6" t="s">
        <v>13</v>
      </c>
      <c r="D91" s="5" t="s">
        <v>227</v>
      </c>
      <c r="E91" s="5" t="s">
        <v>345</v>
      </c>
      <c r="F91" s="5" t="s">
        <v>311</v>
      </c>
      <c r="G91" s="5" t="s">
        <v>102</v>
      </c>
      <c r="H91" s="5" t="s">
        <v>18</v>
      </c>
      <c r="I91" s="8" t="s">
        <v>346</v>
      </c>
      <c r="J91" s="8" t="s">
        <v>13</v>
      </c>
    </row>
    <row r="92">
      <c r="A92" s="5" t="s">
        <v>347</v>
      </c>
      <c r="B92" s="5" t="s">
        <v>348</v>
      </c>
      <c r="C92" s="6" t="s">
        <v>13</v>
      </c>
      <c r="D92" s="5" t="s">
        <v>227</v>
      </c>
      <c r="E92" s="5" t="s">
        <v>228</v>
      </c>
      <c r="F92" s="5" t="s">
        <v>311</v>
      </c>
      <c r="G92" s="5" t="s">
        <v>102</v>
      </c>
      <c r="H92" s="5" t="s">
        <v>18</v>
      </c>
      <c r="I92" s="8" t="s">
        <v>349</v>
      </c>
      <c r="J92" s="8" t="s">
        <v>13</v>
      </c>
    </row>
    <row r="93">
      <c r="A93" s="5" t="s">
        <v>350</v>
      </c>
      <c r="B93" s="5" t="s">
        <v>110</v>
      </c>
      <c r="C93" s="6" t="s">
        <v>13</v>
      </c>
      <c r="D93" s="5" t="s">
        <v>227</v>
      </c>
      <c r="E93" s="5" t="s">
        <v>351</v>
      </c>
      <c r="F93" s="5" t="s">
        <v>311</v>
      </c>
      <c r="G93" s="5" t="s">
        <v>102</v>
      </c>
      <c r="H93" s="5" t="s">
        <v>18</v>
      </c>
      <c r="I93" s="7" t="s">
        <v>352</v>
      </c>
      <c r="J93" s="8" t="s">
        <v>13</v>
      </c>
    </row>
    <row r="94">
      <c r="A94" s="5" t="s">
        <v>353</v>
      </c>
      <c r="B94" s="5" t="s">
        <v>348</v>
      </c>
      <c r="C94" s="6" t="s">
        <v>13</v>
      </c>
      <c r="D94" s="5" t="s">
        <v>227</v>
      </c>
      <c r="E94" s="5" t="s">
        <v>354</v>
      </c>
      <c r="F94" s="5" t="s">
        <v>311</v>
      </c>
      <c r="G94" s="5" t="s">
        <v>102</v>
      </c>
      <c r="H94" s="5" t="s">
        <v>18</v>
      </c>
      <c r="I94" s="8" t="s">
        <v>355</v>
      </c>
      <c r="J94" s="8" t="s">
        <v>13</v>
      </c>
    </row>
    <row r="95">
      <c r="A95" s="5" t="s">
        <v>356</v>
      </c>
      <c r="B95" s="5" t="s">
        <v>110</v>
      </c>
      <c r="C95" s="6" t="s">
        <v>13</v>
      </c>
      <c r="D95" s="5" t="s">
        <v>227</v>
      </c>
      <c r="E95" s="5" t="s">
        <v>228</v>
      </c>
      <c r="F95" s="5" t="s">
        <v>311</v>
      </c>
      <c r="G95" s="5" t="s">
        <v>102</v>
      </c>
      <c r="H95" s="5" t="s">
        <v>18</v>
      </c>
      <c r="I95" s="7" t="s">
        <v>357</v>
      </c>
      <c r="J95" s="8" t="s">
        <v>13</v>
      </c>
    </row>
    <row r="96">
      <c r="A96" s="5" t="s">
        <v>358</v>
      </c>
      <c r="B96" s="5" t="s">
        <v>110</v>
      </c>
      <c r="C96" s="6" t="s">
        <v>13</v>
      </c>
      <c r="D96" s="5" t="s">
        <v>227</v>
      </c>
      <c r="E96" s="5" t="s">
        <v>351</v>
      </c>
      <c r="F96" s="5" t="s">
        <v>311</v>
      </c>
      <c r="G96" s="5" t="s">
        <v>102</v>
      </c>
      <c r="H96" s="5" t="s">
        <v>18</v>
      </c>
      <c r="I96" s="7" t="s">
        <v>359</v>
      </c>
      <c r="J96" s="8" t="s">
        <v>13</v>
      </c>
    </row>
    <row r="97">
      <c r="A97" s="5" t="s">
        <v>360</v>
      </c>
      <c r="B97" s="5" t="s">
        <v>361</v>
      </c>
      <c r="C97" s="6" t="s">
        <v>13</v>
      </c>
      <c r="D97" s="5" t="s">
        <v>227</v>
      </c>
      <c r="E97" s="5" t="s">
        <v>26</v>
      </c>
      <c r="F97" s="5" t="s">
        <v>311</v>
      </c>
      <c r="G97" s="5" t="s">
        <v>102</v>
      </c>
      <c r="H97" s="5" t="s">
        <v>18</v>
      </c>
      <c r="I97" s="7" t="s">
        <v>362</v>
      </c>
      <c r="J97" s="8" t="s">
        <v>13</v>
      </c>
    </row>
    <row r="98">
      <c r="A98" s="5" t="s">
        <v>363</v>
      </c>
      <c r="B98" s="5" t="s">
        <v>364</v>
      </c>
      <c r="C98" s="6" t="s">
        <v>13</v>
      </c>
      <c r="D98" s="5" t="s">
        <v>227</v>
      </c>
      <c r="E98" s="5" t="s">
        <v>365</v>
      </c>
      <c r="F98" s="5" t="s">
        <v>311</v>
      </c>
      <c r="G98" s="5" t="s">
        <v>102</v>
      </c>
      <c r="H98" s="5" t="s">
        <v>18</v>
      </c>
      <c r="I98" s="8" t="s">
        <v>366</v>
      </c>
      <c r="J98" s="8" t="s">
        <v>13</v>
      </c>
    </row>
    <row r="99">
      <c r="A99" s="5" t="s">
        <v>367</v>
      </c>
      <c r="B99" s="5" t="s">
        <v>110</v>
      </c>
      <c r="C99" s="6" t="s">
        <v>13</v>
      </c>
      <c r="D99" s="5" t="s">
        <v>227</v>
      </c>
      <c r="E99" s="5" t="s">
        <v>228</v>
      </c>
      <c r="F99" s="5" t="s">
        <v>368</v>
      </c>
      <c r="G99" s="5" t="s">
        <v>91</v>
      </c>
      <c r="H99" s="5" t="s">
        <v>18</v>
      </c>
      <c r="I99" s="7" t="s">
        <v>369</v>
      </c>
      <c r="J99" s="8" t="s">
        <v>13</v>
      </c>
    </row>
    <row r="100">
      <c r="A100" s="5" t="s">
        <v>370</v>
      </c>
      <c r="B100" s="5" t="s">
        <v>371</v>
      </c>
      <c r="C100" s="6" t="s">
        <v>13</v>
      </c>
      <c r="D100" s="5" t="s">
        <v>227</v>
      </c>
      <c r="E100" s="5" t="s">
        <v>144</v>
      </c>
      <c r="F100" s="5" t="s">
        <v>372</v>
      </c>
      <c r="G100" s="5" t="s">
        <v>86</v>
      </c>
      <c r="H100" s="5" t="s">
        <v>18</v>
      </c>
      <c r="I100" s="7" t="s">
        <v>373</v>
      </c>
      <c r="J100" s="8" t="s">
        <v>13</v>
      </c>
    </row>
    <row r="101">
      <c r="A101" s="5" t="s">
        <v>374</v>
      </c>
      <c r="B101" s="5" t="s">
        <v>375</v>
      </c>
      <c r="C101" s="6" t="s">
        <v>13</v>
      </c>
      <c r="D101" s="5" t="s">
        <v>227</v>
      </c>
      <c r="E101" s="5" t="s">
        <v>376</v>
      </c>
      <c r="F101" s="6" t="s">
        <v>377</v>
      </c>
      <c r="G101" s="6" t="s">
        <v>378</v>
      </c>
      <c r="H101" s="5" t="s">
        <v>18</v>
      </c>
      <c r="I101" s="7" t="s">
        <v>379</v>
      </c>
      <c r="J101" s="8" t="s">
        <v>13</v>
      </c>
    </row>
    <row r="102">
      <c r="A102" s="5" t="s">
        <v>380</v>
      </c>
      <c r="B102" s="5" t="s">
        <v>381</v>
      </c>
      <c r="C102" s="6" t="s">
        <v>13</v>
      </c>
      <c r="D102" s="5" t="s">
        <v>227</v>
      </c>
      <c r="E102" s="5" t="s">
        <v>331</v>
      </c>
      <c r="F102" s="5" t="s">
        <v>382</v>
      </c>
      <c r="G102" s="5" t="s">
        <v>102</v>
      </c>
      <c r="H102" s="5" t="s">
        <v>18</v>
      </c>
      <c r="I102" s="7" t="s">
        <v>383</v>
      </c>
      <c r="J102" s="8" t="s">
        <v>13</v>
      </c>
    </row>
    <row r="103">
      <c r="A103" s="5" t="s">
        <v>384</v>
      </c>
      <c r="B103" s="5" t="s">
        <v>385</v>
      </c>
      <c r="C103" s="6" t="s">
        <v>13</v>
      </c>
      <c r="D103" s="5" t="s">
        <v>386</v>
      </c>
      <c r="E103" s="5" t="s">
        <v>387</v>
      </c>
      <c r="F103" s="5" t="s">
        <v>388</v>
      </c>
      <c r="G103" s="5" t="s">
        <v>203</v>
      </c>
      <c r="H103" s="5" t="s">
        <v>18</v>
      </c>
      <c r="I103" s="7" t="s">
        <v>389</v>
      </c>
      <c r="J103" s="8" t="s">
        <v>13</v>
      </c>
    </row>
    <row r="104">
      <c r="A104" s="5" t="s">
        <v>390</v>
      </c>
      <c r="B104" s="5" t="s">
        <v>371</v>
      </c>
      <c r="C104" s="6" t="s">
        <v>13</v>
      </c>
      <c r="D104" s="5" t="s">
        <v>386</v>
      </c>
      <c r="E104" s="5" t="s">
        <v>339</v>
      </c>
      <c r="F104" s="5" t="s">
        <v>137</v>
      </c>
      <c r="G104" s="5" t="s">
        <v>137</v>
      </c>
      <c r="H104" s="5" t="s">
        <v>18</v>
      </c>
      <c r="I104" s="7" t="s">
        <v>391</v>
      </c>
      <c r="J104" s="8" t="s">
        <v>13</v>
      </c>
    </row>
    <row r="105">
      <c r="A105" s="5" t="s">
        <v>392</v>
      </c>
      <c r="B105" s="5" t="s">
        <v>393</v>
      </c>
      <c r="C105" s="6" t="s">
        <v>13</v>
      </c>
      <c r="D105" s="5" t="s">
        <v>386</v>
      </c>
      <c r="E105" s="5" t="s">
        <v>63</v>
      </c>
      <c r="F105" s="5" t="s">
        <v>137</v>
      </c>
      <c r="G105" s="5" t="s">
        <v>137</v>
      </c>
      <c r="H105" s="5" t="s">
        <v>18</v>
      </c>
      <c r="I105" s="7" t="s">
        <v>394</v>
      </c>
      <c r="J105" s="8" t="s">
        <v>13</v>
      </c>
    </row>
    <row r="106">
      <c r="A106" s="5" t="s">
        <v>395</v>
      </c>
      <c r="B106" s="5" t="s">
        <v>25</v>
      </c>
      <c r="C106" s="6" t="s">
        <v>13</v>
      </c>
      <c r="D106" s="5" t="s">
        <v>386</v>
      </c>
      <c r="E106" s="5" t="s">
        <v>84</v>
      </c>
      <c r="F106" s="5" t="s">
        <v>137</v>
      </c>
      <c r="G106" s="5" t="s">
        <v>137</v>
      </c>
      <c r="H106" s="5" t="s">
        <v>18</v>
      </c>
      <c r="I106" s="7" t="s">
        <v>396</v>
      </c>
      <c r="J106" s="8" t="s">
        <v>13</v>
      </c>
    </row>
    <row r="107">
      <c r="A107" s="5" t="s">
        <v>397</v>
      </c>
      <c r="B107" s="5" t="s">
        <v>398</v>
      </c>
      <c r="C107" s="6" t="s">
        <v>13</v>
      </c>
      <c r="D107" s="5" t="s">
        <v>386</v>
      </c>
      <c r="E107" s="5" t="s">
        <v>399</v>
      </c>
      <c r="F107" s="5" t="s">
        <v>223</v>
      </c>
      <c r="G107" s="5" t="s">
        <v>224</v>
      </c>
      <c r="H107" s="5" t="s">
        <v>18</v>
      </c>
      <c r="I107" s="8" t="s">
        <v>400</v>
      </c>
      <c r="J107" s="8" t="s">
        <v>13</v>
      </c>
    </row>
    <row r="108">
      <c r="A108" s="5" t="s">
        <v>401</v>
      </c>
      <c r="B108" s="5" t="s">
        <v>25</v>
      </c>
      <c r="C108" s="6" t="s">
        <v>13</v>
      </c>
      <c r="D108" s="5" t="s">
        <v>386</v>
      </c>
      <c r="E108" s="5" t="s">
        <v>29</v>
      </c>
      <c r="F108" s="5" t="s">
        <v>223</v>
      </c>
      <c r="G108" s="5" t="s">
        <v>224</v>
      </c>
      <c r="H108" s="5" t="s">
        <v>18</v>
      </c>
      <c r="I108" s="7" t="s">
        <v>402</v>
      </c>
      <c r="J108" s="8" t="s">
        <v>13</v>
      </c>
    </row>
    <row r="109">
      <c r="A109" s="5" t="s">
        <v>403</v>
      </c>
      <c r="B109" s="5" t="s">
        <v>404</v>
      </c>
      <c r="C109" s="6" t="s">
        <v>13</v>
      </c>
      <c r="D109" s="5" t="s">
        <v>405</v>
      </c>
      <c r="E109" s="5" t="s">
        <v>63</v>
      </c>
      <c r="F109" s="5" t="s">
        <v>43</v>
      </c>
      <c r="G109" s="5" t="s">
        <v>44</v>
      </c>
      <c r="H109" s="5" t="s">
        <v>18</v>
      </c>
      <c r="I109" s="7" t="s">
        <v>406</v>
      </c>
      <c r="J109" s="8" t="s">
        <v>13</v>
      </c>
    </row>
    <row r="110">
      <c r="A110" s="5" t="s">
        <v>407</v>
      </c>
      <c r="B110" s="5" t="s">
        <v>408</v>
      </c>
      <c r="C110" s="6" t="s">
        <v>13</v>
      </c>
      <c r="D110" s="5" t="s">
        <v>405</v>
      </c>
      <c r="E110" s="5" t="s">
        <v>409</v>
      </c>
      <c r="F110" s="5" t="s">
        <v>410</v>
      </c>
      <c r="G110" s="5" t="s">
        <v>44</v>
      </c>
      <c r="H110" s="5" t="s">
        <v>18</v>
      </c>
      <c r="I110" s="7" t="s">
        <v>411</v>
      </c>
      <c r="J110" s="8" t="s">
        <v>13</v>
      </c>
    </row>
    <row r="111">
      <c r="A111" s="5" t="s">
        <v>412</v>
      </c>
      <c r="B111" s="5" t="s">
        <v>413</v>
      </c>
      <c r="C111" s="6" t="s">
        <v>13</v>
      </c>
      <c r="D111" s="5" t="s">
        <v>405</v>
      </c>
      <c r="E111" s="5" t="s">
        <v>48</v>
      </c>
      <c r="F111" s="5" t="s">
        <v>414</v>
      </c>
      <c r="G111" s="5" t="s">
        <v>44</v>
      </c>
      <c r="H111" s="5" t="s">
        <v>18</v>
      </c>
      <c r="I111" s="8" t="s">
        <v>415</v>
      </c>
      <c r="J111" s="8" t="s">
        <v>13</v>
      </c>
    </row>
    <row r="112">
      <c r="A112" s="5" t="s">
        <v>416</v>
      </c>
      <c r="B112" s="5" t="s">
        <v>417</v>
      </c>
      <c r="C112" s="6" t="s">
        <v>4</v>
      </c>
      <c r="D112" s="5" t="s">
        <v>405</v>
      </c>
      <c r="E112" s="5" t="s">
        <v>418</v>
      </c>
      <c r="F112" s="5" t="s">
        <v>414</v>
      </c>
      <c r="G112" s="5" t="s">
        <v>44</v>
      </c>
      <c r="H112" s="5" t="s">
        <v>18</v>
      </c>
      <c r="I112" s="7" t="s">
        <v>419</v>
      </c>
      <c r="J112" s="8" t="s">
        <v>13</v>
      </c>
    </row>
    <row r="113">
      <c r="A113" s="5" t="s">
        <v>420</v>
      </c>
      <c r="B113" s="5" t="s">
        <v>404</v>
      </c>
      <c r="C113" s="6" t="s">
        <v>13</v>
      </c>
      <c r="D113" s="5" t="s">
        <v>405</v>
      </c>
      <c r="E113" s="5" t="s">
        <v>421</v>
      </c>
      <c r="F113" s="5" t="s">
        <v>414</v>
      </c>
      <c r="G113" s="5" t="s">
        <v>44</v>
      </c>
      <c r="H113" s="5" t="s">
        <v>18</v>
      </c>
      <c r="I113" s="7" t="s">
        <v>422</v>
      </c>
      <c r="J113" s="8" t="s">
        <v>13</v>
      </c>
    </row>
    <row r="114">
      <c r="A114" s="5" t="s">
        <v>423</v>
      </c>
      <c r="B114" s="5" t="s">
        <v>424</v>
      </c>
      <c r="C114" s="6" t="s">
        <v>13</v>
      </c>
      <c r="D114" s="5" t="s">
        <v>405</v>
      </c>
      <c r="E114" s="5" t="s">
        <v>425</v>
      </c>
      <c r="F114" s="5" t="s">
        <v>426</v>
      </c>
      <c r="G114" s="5" t="s">
        <v>427</v>
      </c>
      <c r="H114" s="5" t="s">
        <v>18</v>
      </c>
      <c r="I114" s="7" t="s">
        <v>428</v>
      </c>
      <c r="J114" s="8" t="s">
        <v>13</v>
      </c>
    </row>
    <row r="115">
      <c r="A115" s="5" t="s">
        <v>429</v>
      </c>
      <c r="B115" s="5" t="s">
        <v>404</v>
      </c>
      <c r="C115" s="6" t="s">
        <v>13</v>
      </c>
      <c r="D115" s="5" t="s">
        <v>405</v>
      </c>
      <c r="E115" s="5" t="s">
        <v>430</v>
      </c>
      <c r="F115" s="5" t="s">
        <v>112</v>
      </c>
      <c r="G115" s="5" t="s">
        <v>38</v>
      </c>
      <c r="H115" s="5" t="s">
        <v>18</v>
      </c>
      <c r="I115" s="7" t="s">
        <v>431</v>
      </c>
      <c r="J115" s="8" t="s">
        <v>13</v>
      </c>
    </row>
    <row r="116">
      <c r="A116" s="5" t="s">
        <v>432</v>
      </c>
      <c r="B116" s="5" t="s">
        <v>413</v>
      </c>
      <c r="C116" s="6" t="s">
        <v>13</v>
      </c>
      <c r="D116" s="5" t="s">
        <v>405</v>
      </c>
      <c r="E116" s="5" t="s">
        <v>48</v>
      </c>
      <c r="F116" s="5" t="s">
        <v>433</v>
      </c>
      <c r="G116" s="5" t="s">
        <v>44</v>
      </c>
      <c r="H116" s="5" t="s">
        <v>18</v>
      </c>
      <c r="I116" s="8" t="s">
        <v>434</v>
      </c>
      <c r="J116" s="8" t="s">
        <v>13</v>
      </c>
    </row>
    <row r="117">
      <c r="A117" s="5" t="s">
        <v>435</v>
      </c>
      <c r="B117" s="5" t="s">
        <v>436</v>
      </c>
      <c r="C117" s="6" t="s">
        <v>13</v>
      </c>
      <c r="D117" s="5" t="s">
        <v>405</v>
      </c>
      <c r="E117" s="5" t="s">
        <v>437</v>
      </c>
      <c r="F117" s="5" t="s">
        <v>433</v>
      </c>
      <c r="G117" s="5" t="s">
        <v>44</v>
      </c>
      <c r="H117" s="5" t="s">
        <v>18</v>
      </c>
      <c r="I117" s="7" t="s">
        <v>438</v>
      </c>
      <c r="J117" s="8" t="s">
        <v>13</v>
      </c>
    </row>
    <row r="118">
      <c r="A118" s="5" t="s">
        <v>439</v>
      </c>
      <c r="B118" s="5" t="s">
        <v>440</v>
      </c>
      <c r="C118" s="6" t="s">
        <v>13</v>
      </c>
      <c r="D118" s="5" t="s">
        <v>405</v>
      </c>
      <c r="E118" s="5" t="s">
        <v>441</v>
      </c>
      <c r="F118" s="5" t="s">
        <v>166</v>
      </c>
      <c r="G118" s="5" t="s">
        <v>44</v>
      </c>
      <c r="H118" s="5" t="s">
        <v>18</v>
      </c>
      <c r="I118" s="7" t="s">
        <v>442</v>
      </c>
      <c r="J118" s="8" t="s">
        <v>13</v>
      </c>
    </row>
    <row r="119">
      <c r="A119" s="5" t="s">
        <v>443</v>
      </c>
      <c r="B119" s="5" t="s">
        <v>404</v>
      </c>
      <c r="C119" s="6" t="s">
        <v>13</v>
      </c>
      <c r="D119" s="5" t="s">
        <v>405</v>
      </c>
      <c r="E119" s="5" t="s">
        <v>399</v>
      </c>
      <c r="F119" s="5" t="s">
        <v>166</v>
      </c>
      <c r="G119" s="5" t="s">
        <v>44</v>
      </c>
      <c r="H119" s="5" t="s">
        <v>18</v>
      </c>
      <c r="I119" s="7" t="s">
        <v>444</v>
      </c>
      <c r="J119" s="8" t="s">
        <v>13</v>
      </c>
    </row>
    <row r="120">
      <c r="A120" s="5" t="s">
        <v>445</v>
      </c>
      <c r="B120" s="5" t="s">
        <v>404</v>
      </c>
      <c r="C120" s="6" t="s">
        <v>13</v>
      </c>
      <c r="D120" s="5" t="s">
        <v>405</v>
      </c>
      <c r="E120" s="5" t="s">
        <v>446</v>
      </c>
      <c r="F120" s="5" t="s">
        <v>166</v>
      </c>
      <c r="G120" s="5" t="s">
        <v>44</v>
      </c>
      <c r="H120" s="5" t="s">
        <v>18</v>
      </c>
      <c r="I120" s="7" t="s">
        <v>447</v>
      </c>
      <c r="J120" s="8" t="s">
        <v>13</v>
      </c>
    </row>
    <row r="121">
      <c r="A121" s="5" t="s">
        <v>448</v>
      </c>
      <c r="B121" s="5" t="s">
        <v>449</v>
      </c>
      <c r="C121" s="6" t="s">
        <v>13</v>
      </c>
      <c r="D121" s="5" t="s">
        <v>405</v>
      </c>
      <c r="E121" s="5" t="s">
        <v>399</v>
      </c>
      <c r="F121" s="5" t="s">
        <v>166</v>
      </c>
      <c r="G121" s="5" t="s">
        <v>44</v>
      </c>
      <c r="H121" s="5" t="s">
        <v>18</v>
      </c>
      <c r="I121" s="7" t="s">
        <v>450</v>
      </c>
      <c r="J121" s="8" t="s">
        <v>13</v>
      </c>
    </row>
    <row r="122">
      <c r="A122" s="5" t="s">
        <v>451</v>
      </c>
      <c r="B122" s="5" t="s">
        <v>404</v>
      </c>
      <c r="C122" s="6" t="s">
        <v>13</v>
      </c>
      <c r="D122" s="5" t="s">
        <v>405</v>
      </c>
      <c r="E122" s="5" t="s">
        <v>165</v>
      </c>
      <c r="F122" s="5" t="s">
        <v>166</v>
      </c>
      <c r="G122" s="5" t="s">
        <v>44</v>
      </c>
      <c r="H122" s="5" t="s">
        <v>18</v>
      </c>
      <c r="I122" s="7" t="s">
        <v>452</v>
      </c>
      <c r="J122" s="8" t="s">
        <v>13</v>
      </c>
    </row>
    <row r="123">
      <c r="A123" s="5" t="s">
        <v>453</v>
      </c>
      <c r="B123" s="5" t="s">
        <v>454</v>
      </c>
      <c r="C123" s="6" t="s">
        <v>13</v>
      </c>
      <c r="D123" s="5" t="s">
        <v>405</v>
      </c>
      <c r="E123" s="5" t="s">
        <v>455</v>
      </c>
      <c r="F123" s="5" t="s">
        <v>166</v>
      </c>
      <c r="G123" s="5" t="s">
        <v>44</v>
      </c>
      <c r="H123" s="5" t="s">
        <v>18</v>
      </c>
      <c r="I123" s="8" t="s">
        <v>456</v>
      </c>
      <c r="J123" s="8" t="s">
        <v>13</v>
      </c>
    </row>
    <row r="124">
      <c r="A124" s="5" t="s">
        <v>457</v>
      </c>
      <c r="B124" s="5" t="s">
        <v>458</v>
      </c>
      <c r="C124" s="6" t="s">
        <v>13</v>
      </c>
      <c r="D124" s="5" t="s">
        <v>405</v>
      </c>
      <c r="E124" s="5" t="s">
        <v>459</v>
      </c>
      <c r="F124" s="5" t="s">
        <v>169</v>
      </c>
      <c r="G124" s="5" t="s">
        <v>44</v>
      </c>
      <c r="H124" s="5" t="s">
        <v>18</v>
      </c>
      <c r="I124" s="7" t="s">
        <v>460</v>
      </c>
      <c r="J124" s="8" t="s">
        <v>13</v>
      </c>
    </row>
    <row r="125">
      <c r="A125" s="5" t="s">
        <v>461</v>
      </c>
      <c r="B125" s="5" t="s">
        <v>462</v>
      </c>
      <c r="C125" s="6" t="s">
        <v>13</v>
      </c>
      <c r="D125" s="5" t="s">
        <v>405</v>
      </c>
      <c r="E125" s="5" t="s">
        <v>463</v>
      </c>
      <c r="F125" s="5" t="s">
        <v>169</v>
      </c>
      <c r="G125" s="5" t="s">
        <v>44</v>
      </c>
      <c r="H125" s="5" t="s">
        <v>18</v>
      </c>
      <c r="I125" s="8" t="s">
        <v>464</v>
      </c>
      <c r="J125" s="8" t="s">
        <v>13</v>
      </c>
    </row>
    <row r="126">
      <c r="A126" s="5" t="s">
        <v>465</v>
      </c>
      <c r="B126" s="5" t="s">
        <v>404</v>
      </c>
      <c r="C126" s="6" t="s">
        <v>13</v>
      </c>
      <c r="D126" s="5" t="s">
        <v>405</v>
      </c>
      <c r="E126" s="5" t="s">
        <v>15</v>
      </c>
      <c r="F126" s="5" t="s">
        <v>169</v>
      </c>
      <c r="G126" s="5" t="s">
        <v>44</v>
      </c>
      <c r="H126" s="5" t="s">
        <v>18</v>
      </c>
      <c r="I126" s="7" t="s">
        <v>466</v>
      </c>
      <c r="J126" s="8" t="s">
        <v>13</v>
      </c>
    </row>
    <row r="127">
      <c r="A127" s="5" t="s">
        <v>467</v>
      </c>
      <c r="B127" s="5" t="s">
        <v>404</v>
      </c>
      <c r="C127" s="6" t="s">
        <v>13</v>
      </c>
      <c r="D127" s="5" t="s">
        <v>405</v>
      </c>
      <c r="E127" s="5" t="s">
        <v>222</v>
      </c>
      <c r="F127" s="5" t="s">
        <v>468</v>
      </c>
      <c r="G127" s="5" t="s">
        <v>44</v>
      </c>
      <c r="H127" s="5" t="s">
        <v>18</v>
      </c>
      <c r="I127" s="7" t="s">
        <v>469</v>
      </c>
      <c r="J127" s="8" t="s">
        <v>13</v>
      </c>
    </row>
    <row r="128">
      <c r="A128" s="5" t="s">
        <v>470</v>
      </c>
      <c r="B128" s="5" t="s">
        <v>471</v>
      </c>
      <c r="C128" s="6" t="s">
        <v>13</v>
      </c>
      <c r="D128" s="5" t="s">
        <v>405</v>
      </c>
      <c r="E128" s="5" t="s">
        <v>472</v>
      </c>
      <c r="F128" s="5" t="s">
        <v>468</v>
      </c>
      <c r="G128" s="5" t="s">
        <v>44</v>
      </c>
      <c r="H128" s="5" t="s">
        <v>18</v>
      </c>
      <c r="I128" s="7" t="s">
        <v>473</v>
      </c>
      <c r="J128" s="8" t="s">
        <v>13</v>
      </c>
    </row>
    <row r="129">
      <c r="A129" s="5" t="s">
        <v>474</v>
      </c>
      <c r="B129" s="5" t="s">
        <v>475</v>
      </c>
      <c r="C129" s="6" t="s">
        <v>13</v>
      </c>
      <c r="D129" s="5" t="s">
        <v>476</v>
      </c>
      <c r="E129" s="5" t="s">
        <v>477</v>
      </c>
      <c r="F129" s="5" t="s">
        <v>122</v>
      </c>
      <c r="G129" s="5" t="s">
        <v>44</v>
      </c>
      <c r="H129" s="5" t="s">
        <v>18</v>
      </c>
      <c r="I129" s="7" t="s">
        <v>478</v>
      </c>
      <c r="J129" s="8" t="s">
        <v>13</v>
      </c>
    </row>
    <row r="130">
      <c r="A130" s="5" t="s">
        <v>479</v>
      </c>
      <c r="B130" s="5" t="s">
        <v>480</v>
      </c>
      <c r="C130" s="6" t="s">
        <v>13</v>
      </c>
      <c r="D130" s="5" t="s">
        <v>476</v>
      </c>
      <c r="E130" s="5" t="s">
        <v>29</v>
      </c>
      <c r="F130" s="5" t="s">
        <v>80</v>
      </c>
      <c r="G130" s="5" t="s">
        <v>38</v>
      </c>
      <c r="H130" s="5" t="s">
        <v>18</v>
      </c>
      <c r="I130" s="7" t="s">
        <v>481</v>
      </c>
      <c r="J130" s="8" t="s">
        <v>13</v>
      </c>
    </row>
    <row r="131">
      <c r="A131" s="5" t="s">
        <v>482</v>
      </c>
      <c r="B131" s="5" t="s">
        <v>483</v>
      </c>
      <c r="C131" s="6" t="s">
        <v>13</v>
      </c>
      <c r="D131" s="5" t="s">
        <v>476</v>
      </c>
      <c r="E131" s="5" t="s">
        <v>484</v>
      </c>
      <c r="F131" s="5" t="s">
        <v>485</v>
      </c>
      <c r="G131" s="5" t="s">
        <v>44</v>
      </c>
      <c r="H131" s="5" t="s">
        <v>18</v>
      </c>
      <c r="I131" s="7" t="s">
        <v>486</v>
      </c>
      <c r="J131" s="8" t="s">
        <v>13</v>
      </c>
    </row>
    <row r="132">
      <c r="A132" s="5" t="s">
        <v>487</v>
      </c>
      <c r="B132" s="5" t="s">
        <v>483</v>
      </c>
      <c r="C132" s="6" t="s">
        <v>13</v>
      </c>
      <c r="D132" s="5" t="s">
        <v>476</v>
      </c>
      <c r="E132" s="5" t="s">
        <v>488</v>
      </c>
      <c r="F132" s="5" t="s">
        <v>485</v>
      </c>
      <c r="G132" s="5" t="s">
        <v>44</v>
      </c>
      <c r="H132" s="5" t="s">
        <v>18</v>
      </c>
      <c r="I132" s="7" t="s">
        <v>489</v>
      </c>
      <c r="J132" s="8" t="s">
        <v>13</v>
      </c>
    </row>
    <row r="133">
      <c r="A133" s="5" t="s">
        <v>490</v>
      </c>
      <c r="B133" s="5" t="s">
        <v>491</v>
      </c>
      <c r="C133" s="6" t="s">
        <v>13</v>
      </c>
      <c r="D133" s="5" t="s">
        <v>492</v>
      </c>
      <c r="E133" s="5" t="s">
        <v>144</v>
      </c>
      <c r="F133" s="5" t="s">
        <v>377</v>
      </c>
      <c r="G133" s="5" t="s">
        <v>378</v>
      </c>
      <c r="H133" s="5" t="s">
        <v>18</v>
      </c>
      <c r="I133" s="7" t="s">
        <v>493</v>
      </c>
      <c r="J133" s="8" t="s">
        <v>13</v>
      </c>
    </row>
    <row r="134">
      <c r="A134" s="5" t="s">
        <v>494</v>
      </c>
      <c r="B134" s="5" t="s">
        <v>495</v>
      </c>
      <c r="C134" s="6" t="s">
        <v>13</v>
      </c>
      <c r="D134" s="5" t="s">
        <v>492</v>
      </c>
      <c r="E134" s="5" t="s">
        <v>496</v>
      </c>
      <c r="F134" s="5" t="s">
        <v>49</v>
      </c>
      <c r="G134" s="5" t="s">
        <v>50</v>
      </c>
      <c r="H134" s="5" t="s">
        <v>18</v>
      </c>
      <c r="I134" s="8" t="s">
        <v>497</v>
      </c>
      <c r="J134" s="8" t="s">
        <v>13</v>
      </c>
    </row>
    <row r="135">
      <c r="A135" s="5" t="s">
        <v>498</v>
      </c>
      <c r="B135" s="5" t="s">
        <v>499</v>
      </c>
      <c r="C135" s="6" t="s">
        <v>13</v>
      </c>
      <c r="D135" s="5" t="s">
        <v>492</v>
      </c>
      <c r="E135" s="5" t="s">
        <v>500</v>
      </c>
      <c r="F135" s="5" t="s">
        <v>49</v>
      </c>
      <c r="G135" s="5" t="s">
        <v>50</v>
      </c>
      <c r="H135" s="5" t="s">
        <v>18</v>
      </c>
      <c r="I135" s="8" t="s">
        <v>501</v>
      </c>
      <c r="J135" s="8" t="s">
        <v>13</v>
      </c>
    </row>
    <row r="136">
      <c r="A136" s="5" t="s">
        <v>502</v>
      </c>
      <c r="B136" s="5" t="s">
        <v>503</v>
      </c>
      <c r="C136" s="6" t="s">
        <v>13</v>
      </c>
      <c r="D136" s="5" t="s">
        <v>492</v>
      </c>
      <c r="E136" s="5" t="s">
        <v>339</v>
      </c>
      <c r="F136" s="5" t="s">
        <v>49</v>
      </c>
      <c r="G136" s="5" t="s">
        <v>50</v>
      </c>
      <c r="H136" s="5" t="s">
        <v>18</v>
      </c>
      <c r="I136" s="8" t="s">
        <v>504</v>
      </c>
      <c r="J136" s="8" t="s">
        <v>13</v>
      </c>
    </row>
    <row r="137">
      <c r="A137" s="5" t="s">
        <v>505</v>
      </c>
      <c r="B137" s="5" t="s">
        <v>25</v>
      </c>
      <c r="C137" s="6" t="s">
        <v>13</v>
      </c>
      <c r="D137" s="5" t="s">
        <v>492</v>
      </c>
      <c r="E137" s="5" t="s">
        <v>446</v>
      </c>
      <c r="F137" s="5" t="s">
        <v>49</v>
      </c>
      <c r="G137" s="5" t="s">
        <v>50</v>
      </c>
      <c r="H137" s="5" t="s">
        <v>18</v>
      </c>
      <c r="I137" s="7" t="s">
        <v>506</v>
      </c>
      <c r="J137" s="8" t="s">
        <v>13</v>
      </c>
    </row>
    <row r="138">
      <c r="A138" s="5" t="s">
        <v>507</v>
      </c>
      <c r="B138" s="5" t="s">
        <v>508</v>
      </c>
      <c r="C138" s="6" t="s">
        <v>13</v>
      </c>
      <c r="D138" s="5" t="s">
        <v>492</v>
      </c>
      <c r="E138" s="5" t="s">
        <v>399</v>
      </c>
      <c r="F138" s="5" t="s">
        <v>49</v>
      </c>
      <c r="G138" s="5" t="s">
        <v>50</v>
      </c>
      <c r="H138" s="5" t="s">
        <v>18</v>
      </c>
      <c r="I138" s="7" t="s">
        <v>509</v>
      </c>
      <c r="J138" s="8" t="s">
        <v>13</v>
      </c>
    </row>
    <row r="139">
      <c r="A139" s="5" t="s">
        <v>510</v>
      </c>
      <c r="B139" s="5" t="s">
        <v>511</v>
      </c>
      <c r="C139" s="6" t="s">
        <v>13</v>
      </c>
      <c r="D139" s="5" t="s">
        <v>492</v>
      </c>
      <c r="E139" s="5" t="s">
        <v>512</v>
      </c>
      <c r="F139" s="5" t="s">
        <v>49</v>
      </c>
      <c r="G139" s="5" t="s">
        <v>50</v>
      </c>
      <c r="H139" s="5" t="s">
        <v>18</v>
      </c>
      <c r="I139" s="8" t="s">
        <v>513</v>
      </c>
      <c r="J139" s="8" t="s">
        <v>13</v>
      </c>
    </row>
    <row r="140">
      <c r="A140" s="5" t="s">
        <v>514</v>
      </c>
      <c r="B140" s="5" t="s">
        <v>515</v>
      </c>
      <c r="C140" s="6" t="s">
        <v>13</v>
      </c>
      <c r="D140" s="5" t="s">
        <v>492</v>
      </c>
      <c r="E140" s="5" t="s">
        <v>144</v>
      </c>
      <c r="F140" s="5" t="s">
        <v>49</v>
      </c>
      <c r="G140" s="5" t="s">
        <v>50</v>
      </c>
      <c r="H140" s="5" t="s">
        <v>18</v>
      </c>
      <c r="I140" s="7" t="s">
        <v>516</v>
      </c>
      <c r="J140" s="8" t="s">
        <v>13</v>
      </c>
    </row>
    <row r="141">
      <c r="A141" s="5" t="s">
        <v>498</v>
      </c>
      <c r="B141" s="5" t="s">
        <v>499</v>
      </c>
      <c r="C141" s="6" t="s">
        <v>13</v>
      </c>
      <c r="D141" s="5" t="s">
        <v>492</v>
      </c>
      <c r="E141" s="5" t="s">
        <v>500</v>
      </c>
      <c r="F141" s="5" t="s">
        <v>49</v>
      </c>
      <c r="G141" s="5" t="s">
        <v>50</v>
      </c>
      <c r="H141" s="5" t="s">
        <v>18</v>
      </c>
      <c r="I141" s="8" t="s">
        <v>501</v>
      </c>
      <c r="J141" s="8" t="s">
        <v>13</v>
      </c>
    </row>
    <row r="142">
      <c r="A142" s="5" t="s">
        <v>517</v>
      </c>
      <c r="B142" s="5" t="s">
        <v>518</v>
      </c>
      <c r="C142" s="6" t="s">
        <v>13</v>
      </c>
      <c r="D142" s="5" t="s">
        <v>492</v>
      </c>
      <c r="E142" s="5" t="s">
        <v>79</v>
      </c>
      <c r="F142" s="5" t="s">
        <v>49</v>
      </c>
      <c r="G142" s="5" t="s">
        <v>50</v>
      </c>
      <c r="H142" s="5" t="s">
        <v>18</v>
      </c>
      <c r="I142" s="7" t="s">
        <v>519</v>
      </c>
      <c r="J142" s="8" t="s">
        <v>13</v>
      </c>
    </row>
    <row r="143">
      <c r="A143" s="5" t="s">
        <v>494</v>
      </c>
      <c r="B143" s="5" t="s">
        <v>520</v>
      </c>
      <c r="C143" s="6" t="s">
        <v>13</v>
      </c>
      <c r="D143" s="5" t="s">
        <v>492</v>
      </c>
      <c r="E143" s="5" t="s">
        <v>121</v>
      </c>
      <c r="F143" s="5" t="s">
        <v>49</v>
      </c>
      <c r="G143" s="5" t="s">
        <v>50</v>
      </c>
      <c r="H143" s="5" t="s">
        <v>18</v>
      </c>
      <c r="I143" s="8" t="s">
        <v>521</v>
      </c>
      <c r="J143" s="8" t="s">
        <v>13</v>
      </c>
    </row>
    <row r="144">
      <c r="A144" s="5" t="s">
        <v>522</v>
      </c>
      <c r="B144" s="5" t="s">
        <v>178</v>
      </c>
      <c r="C144" s="6" t="s">
        <v>13</v>
      </c>
      <c r="D144" s="5" t="s">
        <v>492</v>
      </c>
      <c r="E144" s="5" t="s">
        <v>523</v>
      </c>
      <c r="F144" s="5" t="s">
        <v>49</v>
      </c>
      <c r="G144" s="5" t="s">
        <v>50</v>
      </c>
      <c r="H144" s="5" t="s">
        <v>18</v>
      </c>
      <c r="I144" s="7" t="s">
        <v>524</v>
      </c>
      <c r="J144" s="8" t="s">
        <v>13</v>
      </c>
    </row>
    <row r="145">
      <c r="A145" s="5" t="s">
        <v>525</v>
      </c>
      <c r="B145" s="5" t="s">
        <v>25</v>
      </c>
      <c r="C145" s="6" t="s">
        <v>13</v>
      </c>
      <c r="D145" s="5" t="s">
        <v>492</v>
      </c>
      <c r="E145" s="5" t="s">
        <v>526</v>
      </c>
      <c r="F145" s="5" t="s">
        <v>49</v>
      </c>
      <c r="G145" s="5" t="s">
        <v>50</v>
      </c>
      <c r="H145" s="5" t="s">
        <v>18</v>
      </c>
      <c r="I145" s="7" t="s">
        <v>527</v>
      </c>
      <c r="J145" s="8" t="s">
        <v>13</v>
      </c>
    </row>
    <row r="146">
      <c r="A146" s="5" t="s">
        <v>528</v>
      </c>
      <c r="B146" s="5" t="s">
        <v>529</v>
      </c>
      <c r="C146" s="6" t="s">
        <v>13</v>
      </c>
      <c r="D146" s="5" t="s">
        <v>492</v>
      </c>
      <c r="F146" s="5" t="s">
        <v>49</v>
      </c>
      <c r="G146" s="5" t="s">
        <v>50</v>
      </c>
      <c r="H146" s="5" t="s">
        <v>18</v>
      </c>
      <c r="I146" s="7" t="s">
        <v>530</v>
      </c>
      <c r="J146" s="8" t="s">
        <v>13</v>
      </c>
    </row>
    <row r="147">
      <c r="A147" s="5" t="s">
        <v>531</v>
      </c>
      <c r="B147" s="5" t="s">
        <v>480</v>
      </c>
      <c r="C147" s="6" t="s">
        <v>13</v>
      </c>
      <c r="D147" s="5" t="s">
        <v>492</v>
      </c>
      <c r="E147" s="5" t="s">
        <v>125</v>
      </c>
      <c r="F147" s="5" t="s">
        <v>49</v>
      </c>
      <c r="G147" s="5" t="s">
        <v>50</v>
      </c>
      <c r="H147" s="5" t="s">
        <v>18</v>
      </c>
      <c r="I147" s="7" t="s">
        <v>532</v>
      </c>
      <c r="J147" s="8" t="s">
        <v>13</v>
      </c>
    </row>
    <row r="148">
      <c r="A148" s="5" t="s">
        <v>533</v>
      </c>
      <c r="B148" s="5" t="s">
        <v>515</v>
      </c>
      <c r="C148" s="6" t="s">
        <v>13</v>
      </c>
      <c r="D148" s="5" t="s">
        <v>492</v>
      </c>
      <c r="E148" s="5" t="s">
        <v>26</v>
      </c>
      <c r="F148" s="5" t="s">
        <v>49</v>
      </c>
      <c r="G148" s="5" t="s">
        <v>50</v>
      </c>
      <c r="H148" s="5" t="s">
        <v>18</v>
      </c>
      <c r="I148" s="7" t="s">
        <v>534</v>
      </c>
      <c r="J148" s="8" t="s">
        <v>13</v>
      </c>
    </row>
    <row r="149">
      <c r="A149" s="5" t="s">
        <v>535</v>
      </c>
      <c r="B149" s="5" t="s">
        <v>536</v>
      </c>
      <c r="C149" s="6" t="s">
        <v>13</v>
      </c>
      <c r="D149" s="5" t="s">
        <v>492</v>
      </c>
      <c r="E149" s="5" t="s">
        <v>496</v>
      </c>
      <c r="F149" s="5" t="s">
        <v>49</v>
      </c>
      <c r="G149" s="5" t="s">
        <v>50</v>
      </c>
      <c r="H149" s="5" t="s">
        <v>18</v>
      </c>
      <c r="I149" s="8" t="s">
        <v>537</v>
      </c>
      <c r="J149" s="8" t="s">
        <v>13</v>
      </c>
    </row>
    <row r="150">
      <c r="A150" s="5" t="s">
        <v>538</v>
      </c>
      <c r="B150" s="5" t="s">
        <v>539</v>
      </c>
      <c r="C150" s="5" t="s">
        <v>4</v>
      </c>
      <c r="D150" s="5" t="s">
        <v>492</v>
      </c>
      <c r="E150" s="5" t="s">
        <v>217</v>
      </c>
      <c r="F150" s="5" t="s">
        <v>49</v>
      </c>
      <c r="G150" s="5" t="s">
        <v>50</v>
      </c>
      <c r="H150" s="5" t="s">
        <v>18</v>
      </c>
      <c r="I150" s="7" t="s">
        <v>540</v>
      </c>
      <c r="J150" s="8" t="s">
        <v>13</v>
      </c>
    </row>
    <row r="151">
      <c r="A151" s="5" t="s">
        <v>541</v>
      </c>
      <c r="B151" s="5" t="s">
        <v>542</v>
      </c>
      <c r="C151" s="6" t="s">
        <v>13</v>
      </c>
      <c r="D151" s="5" t="s">
        <v>492</v>
      </c>
      <c r="E151" s="5" t="s">
        <v>339</v>
      </c>
      <c r="F151" s="5" t="s">
        <v>49</v>
      </c>
      <c r="G151" s="5" t="s">
        <v>50</v>
      </c>
      <c r="H151" s="5" t="s">
        <v>18</v>
      </c>
      <c r="I151" s="8" t="s">
        <v>543</v>
      </c>
      <c r="J151" s="8" t="s">
        <v>13</v>
      </c>
    </row>
    <row r="152">
      <c r="A152" s="5" t="s">
        <v>544</v>
      </c>
      <c r="B152" s="5" t="s">
        <v>545</v>
      </c>
      <c r="C152" s="6" t="s">
        <v>13</v>
      </c>
      <c r="D152" s="5" t="s">
        <v>492</v>
      </c>
      <c r="E152" s="5" t="s">
        <v>144</v>
      </c>
      <c r="F152" s="5" t="s">
        <v>49</v>
      </c>
      <c r="G152" s="5" t="s">
        <v>50</v>
      </c>
      <c r="H152" s="5" t="s">
        <v>18</v>
      </c>
      <c r="I152" s="7" t="s">
        <v>546</v>
      </c>
      <c r="J152" s="8" t="s">
        <v>13</v>
      </c>
    </row>
    <row r="153">
      <c r="A153" s="5" t="s">
        <v>547</v>
      </c>
      <c r="B153" s="5" t="s">
        <v>548</v>
      </c>
      <c r="C153" s="6" t="s">
        <v>13</v>
      </c>
      <c r="D153" s="5" t="s">
        <v>492</v>
      </c>
      <c r="E153" s="5" t="s">
        <v>192</v>
      </c>
      <c r="F153" s="5" t="s">
        <v>49</v>
      </c>
      <c r="G153" s="5" t="s">
        <v>50</v>
      </c>
      <c r="H153" s="5" t="s">
        <v>18</v>
      </c>
      <c r="I153" s="7" t="s">
        <v>549</v>
      </c>
      <c r="J153" s="8" t="s">
        <v>13</v>
      </c>
    </row>
    <row r="154">
      <c r="A154" s="5" t="s">
        <v>531</v>
      </c>
      <c r="B154" s="5" t="s">
        <v>480</v>
      </c>
      <c r="C154" s="6" t="s">
        <v>13</v>
      </c>
      <c r="D154" s="5" t="s">
        <v>492</v>
      </c>
      <c r="E154" s="5" t="s">
        <v>125</v>
      </c>
      <c r="F154" s="5" t="s">
        <v>49</v>
      </c>
      <c r="G154" s="5" t="s">
        <v>50</v>
      </c>
      <c r="H154" s="5" t="s">
        <v>18</v>
      </c>
      <c r="I154" s="7" t="s">
        <v>532</v>
      </c>
      <c r="J154" s="8" t="s">
        <v>13</v>
      </c>
    </row>
    <row r="155">
      <c r="A155" s="5" t="s">
        <v>550</v>
      </c>
      <c r="B155" s="5" t="s">
        <v>25</v>
      </c>
      <c r="C155" s="6" t="s">
        <v>13</v>
      </c>
      <c r="D155" s="5" t="s">
        <v>492</v>
      </c>
      <c r="F155" s="5" t="s">
        <v>49</v>
      </c>
      <c r="G155" s="5" t="s">
        <v>50</v>
      </c>
      <c r="H155" s="5" t="s">
        <v>18</v>
      </c>
      <c r="I155" s="7" t="s">
        <v>551</v>
      </c>
      <c r="J155" s="8" t="s">
        <v>13</v>
      </c>
    </row>
    <row r="156">
      <c r="A156" s="5" t="s">
        <v>552</v>
      </c>
      <c r="B156" s="5" t="s">
        <v>553</v>
      </c>
      <c r="C156" s="6" t="s">
        <v>13</v>
      </c>
      <c r="D156" s="5" t="s">
        <v>492</v>
      </c>
      <c r="E156" s="5" t="s">
        <v>554</v>
      </c>
      <c r="F156" s="5" t="s">
        <v>75</v>
      </c>
      <c r="G156" s="6" t="s">
        <v>76</v>
      </c>
      <c r="H156" s="5" t="s">
        <v>18</v>
      </c>
      <c r="I156" s="7" t="s">
        <v>555</v>
      </c>
      <c r="J156" s="8" t="s">
        <v>13</v>
      </c>
    </row>
    <row r="157">
      <c r="A157" s="5" t="s">
        <v>556</v>
      </c>
      <c r="B157" s="5" t="s">
        <v>557</v>
      </c>
      <c r="C157" s="6" t="s">
        <v>13</v>
      </c>
      <c r="D157" s="5" t="s">
        <v>492</v>
      </c>
      <c r="F157" s="5" t="s">
        <v>558</v>
      </c>
      <c r="G157" s="5" t="s">
        <v>50</v>
      </c>
      <c r="H157" s="5" t="s">
        <v>18</v>
      </c>
      <c r="I157" s="7" t="s">
        <v>559</v>
      </c>
      <c r="J157" s="8" t="s">
        <v>13</v>
      </c>
    </row>
    <row r="158">
      <c r="A158" s="5" t="s">
        <v>560</v>
      </c>
      <c r="B158" s="5" t="s">
        <v>561</v>
      </c>
      <c r="C158" s="6" t="s">
        <v>13</v>
      </c>
      <c r="D158" s="5" t="s">
        <v>492</v>
      </c>
      <c r="E158" s="5" t="s">
        <v>63</v>
      </c>
      <c r="F158" s="5" t="s">
        <v>80</v>
      </c>
      <c r="G158" s="5" t="s">
        <v>38</v>
      </c>
      <c r="H158" s="5" t="s">
        <v>18</v>
      </c>
      <c r="I158" s="8" t="s">
        <v>562</v>
      </c>
      <c r="J158" s="8" t="s">
        <v>13</v>
      </c>
    </row>
    <row r="159">
      <c r="A159" s="5" t="s">
        <v>563</v>
      </c>
      <c r="B159" s="5" t="s">
        <v>564</v>
      </c>
      <c r="C159" s="6" t="s">
        <v>13</v>
      </c>
      <c r="D159" s="5" t="s">
        <v>492</v>
      </c>
      <c r="E159" s="5" t="s">
        <v>565</v>
      </c>
      <c r="F159" s="5" t="s">
        <v>566</v>
      </c>
      <c r="G159" s="5" t="s">
        <v>38</v>
      </c>
      <c r="H159" s="5" t="s">
        <v>18</v>
      </c>
      <c r="I159" s="8" t="s">
        <v>567</v>
      </c>
      <c r="J159" s="8" t="s">
        <v>13</v>
      </c>
    </row>
    <row r="160">
      <c r="A160" s="5" t="s">
        <v>568</v>
      </c>
      <c r="B160" s="5" t="s">
        <v>569</v>
      </c>
      <c r="C160" s="6" t="s">
        <v>13</v>
      </c>
      <c r="D160" s="5" t="s">
        <v>492</v>
      </c>
      <c r="E160" s="5" t="s">
        <v>570</v>
      </c>
      <c r="F160" s="5" t="s">
        <v>122</v>
      </c>
      <c r="G160" s="5" t="s">
        <v>44</v>
      </c>
      <c r="H160" s="5" t="s">
        <v>18</v>
      </c>
      <c r="I160" s="8" t="s">
        <v>571</v>
      </c>
      <c r="J160" s="8" t="s">
        <v>13</v>
      </c>
    </row>
    <row r="161">
      <c r="A161" s="5" t="s">
        <v>572</v>
      </c>
      <c r="B161" s="5" t="s">
        <v>573</v>
      </c>
      <c r="C161" s="6" t="s">
        <v>13</v>
      </c>
      <c r="D161" s="5" t="s">
        <v>492</v>
      </c>
      <c r="E161" s="5" t="s">
        <v>574</v>
      </c>
      <c r="F161" s="5" t="s">
        <v>575</v>
      </c>
      <c r="G161" s="5" t="s">
        <v>137</v>
      </c>
      <c r="H161" s="5" t="s">
        <v>18</v>
      </c>
      <c r="I161" s="8" t="s">
        <v>576</v>
      </c>
      <c r="J161" s="8" t="s">
        <v>13</v>
      </c>
    </row>
    <row r="162">
      <c r="A162" s="5" t="s">
        <v>577</v>
      </c>
      <c r="B162" s="5" t="s">
        <v>578</v>
      </c>
      <c r="C162" s="6" t="s">
        <v>13</v>
      </c>
      <c r="D162" s="5" t="s">
        <v>492</v>
      </c>
      <c r="E162" s="5" t="s">
        <v>579</v>
      </c>
      <c r="F162" s="5" t="s">
        <v>137</v>
      </c>
      <c r="G162" s="5" t="s">
        <v>137</v>
      </c>
      <c r="H162" s="5" t="s">
        <v>18</v>
      </c>
      <c r="I162" s="8" t="s">
        <v>580</v>
      </c>
      <c r="J162" s="8" t="s">
        <v>13</v>
      </c>
    </row>
    <row r="163">
      <c r="A163" s="5" t="s">
        <v>581</v>
      </c>
      <c r="B163" s="5" t="s">
        <v>582</v>
      </c>
      <c r="C163" s="6" t="s">
        <v>13</v>
      </c>
      <c r="D163" s="5" t="s">
        <v>492</v>
      </c>
      <c r="E163" s="5" t="s">
        <v>165</v>
      </c>
      <c r="F163" s="5" t="s">
        <v>137</v>
      </c>
      <c r="G163" s="5" t="s">
        <v>137</v>
      </c>
      <c r="H163" s="5" t="s">
        <v>18</v>
      </c>
      <c r="I163" s="7" t="s">
        <v>583</v>
      </c>
      <c r="J163" s="8" t="s">
        <v>13</v>
      </c>
    </row>
    <row r="164">
      <c r="A164" s="5" t="s">
        <v>584</v>
      </c>
      <c r="B164" s="5" t="s">
        <v>511</v>
      </c>
      <c r="C164" s="6" t="s">
        <v>13</v>
      </c>
      <c r="D164" s="5" t="s">
        <v>492</v>
      </c>
      <c r="E164" s="5" t="s">
        <v>585</v>
      </c>
      <c r="F164" s="5" t="s">
        <v>137</v>
      </c>
      <c r="G164" s="5" t="s">
        <v>137</v>
      </c>
      <c r="H164" s="5" t="s">
        <v>18</v>
      </c>
      <c r="I164" s="8" t="s">
        <v>586</v>
      </c>
      <c r="J164" s="8" t="s">
        <v>13</v>
      </c>
    </row>
    <row r="165">
      <c r="A165" s="5" t="s">
        <v>577</v>
      </c>
      <c r="B165" s="5" t="s">
        <v>578</v>
      </c>
      <c r="C165" s="6" t="s">
        <v>13</v>
      </c>
      <c r="D165" s="5" t="s">
        <v>492</v>
      </c>
      <c r="E165" s="5" t="s">
        <v>579</v>
      </c>
      <c r="F165" s="5" t="s">
        <v>137</v>
      </c>
      <c r="G165" s="5" t="s">
        <v>137</v>
      </c>
      <c r="H165" s="5" t="s">
        <v>18</v>
      </c>
      <c r="I165" s="8" t="s">
        <v>580</v>
      </c>
      <c r="J165" s="8" t="s">
        <v>13</v>
      </c>
    </row>
    <row r="166">
      <c r="A166" s="5" t="s">
        <v>587</v>
      </c>
      <c r="B166" s="5" t="s">
        <v>511</v>
      </c>
      <c r="C166" s="6" t="s">
        <v>13</v>
      </c>
      <c r="D166" s="5" t="s">
        <v>492</v>
      </c>
      <c r="E166" s="5" t="s">
        <v>121</v>
      </c>
      <c r="F166" s="5" t="s">
        <v>137</v>
      </c>
      <c r="G166" s="5" t="s">
        <v>137</v>
      </c>
      <c r="H166" s="5" t="s">
        <v>18</v>
      </c>
      <c r="I166" s="8" t="s">
        <v>588</v>
      </c>
      <c r="J166" s="8" t="s">
        <v>13</v>
      </c>
    </row>
    <row r="167">
      <c r="A167" s="5" t="s">
        <v>589</v>
      </c>
      <c r="B167" s="5" t="s">
        <v>25</v>
      </c>
      <c r="C167" s="6" t="s">
        <v>13</v>
      </c>
      <c r="D167" s="5" t="s">
        <v>492</v>
      </c>
      <c r="E167" s="5" t="s">
        <v>233</v>
      </c>
      <c r="F167" s="5" t="s">
        <v>137</v>
      </c>
      <c r="G167" s="5" t="s">
        <v>137</v>
      </c>
      <c r="H167" s="5" t="s">
        <v>18</v>
      </c>
      <c r="I167" s="7" t="s">
        <v>590</v>
      </c>
      <c r="J167" s="8" t="s">
        <v>13</v>
      </c>
    </row>
    <row r="168">
      <c r="A168" s="5" t="s">
        <v>591</v>
      </c>
      <c r="B168" s="5" t="s">
        <v>592</v>
      </c>
      <c r="C168" s="6" t="s">
        <v>13</v>
      </c>
      <c r="D168" s="5" t="s">
        <v>492</v>
      </c>
      <c r="E168" s="5" t="s">
        <v>268</v>
      </c>
      <c r="F168" s="5" t="s">
        <v>137</v>
      </c>
      <c r="G168" s="5" t="s">
        <v>137</v>
      </c>
      <c r="H168" s="5" t="s">
        <v>18</v>
      </c>
      <c r="I168" s="8" t="s">
        <v>593</v>
      </c>
      <c r="J168" s="8" t="s">
        <v>13</v>
      </c>
    </row>
    <row r="169">
      <c r="A169" s="5" t="s">
        <v>594</v>
      </c>
      <c r="B169" s="5" t="s">
        <v>595</v>
      </c>
      <c r="C169" s="6" t="s">
        <v>13</v>
      </c>
      <c r="D169" s="5" t="s">
        <v>492</v>
      </c>
      <c r="E169" s="5" t="s">
        <v>136</v>
      </c>
      <c r="F169" s="5" t="s">
        <v>137</v>
      </c>
      <c r="G169" s="5" t="s">
        <v>137</v>
      </c>
      <c r="H169" s="5" t="s">
        <v>18</v>
      </c>
      <c r="I169" s="8" t="s">
        <v>596</v>
      </c>
      <c r="J169" s="8" t="s">
        <v>13</v>
      </c>
    </row>
    <row r="170">
      <c r="A170" s="5" t="s">
        <v>597</v>
      </c>
      <c r="B170" s="5" t="s">
        <v>25</v>
      </c>
      <c r="C170" s="6" t="s">
        <v>13</v>
      </c>
      <c r="D170" s="5" t="s">
        <v>492</v>
      </c>
      <c r="E170" s="5" t="s">
        <v>100</v>
      </c>
      <c r="F170" s="5" t="s">
        <v>137</v>
      </c>
      <c r="G170" s="5" t="s">
        <v>137</v>
      </c>
      <c r="H170" s="5" t="s">
        <v>18</v>
      </c>
      <c r="I170" s="7" t="s">
        <v>598</v>
      </c>
      <c r="J170" s="8" t="s">
        <v>13</v>
      </c>
    </row>
    <row r="171">
      <c r="A171" s="5" t="s">
        <v>599</v>
      </c>
      <c r="B171" s="5" t="s">
        <v>600</v>
      </c>
      <c r="C171" s="6" t="s">
        <v>4</v>
      </c>
      <c r="D171" s="5" t="s">
        <v>492</v>
      </c>
      <c r="E171" s="5" t="s">
        <v>228</v>
      </c>
      <c r="F171" s="5" t="s">
        <v>601</v>
      </c>
      <c r="G171" s="5" t="s">
        <v>137</v>
      </c>
      <c r="H171" s="5" t="s">
        <v>18</v>
      </c>
      <c r="I171" s="8" t="s">
        <v>602</v>
      </c>
      <c r="J171" s="8" t="s">
        <v>13</v>
      </c>
    </row>
    <row r="172">
      <c r="A172" s="5" t="s">
        <v>603</v>
      </c>
      <c r="B172" s="5" t="s">
        <v>604</v>
      </c>
      <c r="C172" s="6" t="s">
        <v>13</v>
      </c>
      <c r="D172" s="5" t="s">
        <v>492</v>
      </c>
      <c r="E172" s="5" t="s">
        <v>213</v>
      </c>
      <c r="F172" s="5" t="s">
        <v>102</v>
      </c>
      <c r="G172" s="5" t="s">
        <v>172</v>
      </c>
      <c r="H172" s="5" t="s">
        <v>18</v>
      </c>
      <c r="I172" s="7" t="s">
        <v>605</v>
      </c>
      <c r="J172" s="8" t="s">
        <v>13</v>
      </c>
    </row>
    <row r="173">
      <c r="A173" s="5" t="s">
        <v>603</v>
      </c>
      <c r="B173" s="5" t="s">
        <v>604</v>
      </c>
      <c r="C173" s="6" t="s">
        <v>13</v>
      </c>
      <c r="D173" s="5" t="s">
        <v>492</v>
      </c>
      <c r="E173" s="5" t="s">
        <v>213</v>
      </c>
      <c r="F173" s="5" t="s">
        <v>102</v>
      </c>
      <c r="G173" s="5" t="s">
        <v>172</v>
      </c>
      <c r="H173" s="5" t="s">
        <v>18</v>
      </c>
      <c r="I173" s="7" t="s">
        <v>605</v>
      </c>
      <c r="J173" s="8" t="s">
        <v>13</v>
      </c>
    </row>
    <row r="174">
      <c r="A174" s="5" t="s">
        <v>606</v>
      </c>
      <c r="B174" s="5" t="s">
        <v>25</v>
      </c>
      <c r="C174" s="6" t="s">
        <v>13</v>
      </c>
      <c r="D174" s="5" t="s">
        <v>492</v>
      </c>
      <c r="E174" s="5" t="s">
        <v>607</v>
      </c>
      <c r="F174" s="5" t="s">
        <v>608</v>
      </c>
      <c r="G174" s="5" t="s">
        <v>609</v>
      </c>
      <c r="H174" s="5" t="s">
        <v>18</v>
      </c>
      <c r="I174" s="7" t="s">
        <v>610</v>
      </c>
      <c r="J174" s="8" t="s">
        <v>13</v>
      </c>
    </row>
    <row r="175">
      <c r="A175" s="5" t="s">
        <v>611</v>
      </c>
      <c r="B175" s="5" t="s">
        <v>25</v>
      </c>
      <c r="C175" s="6" t="s">
        <v>13</v>
      </c>
      <c r="D175" s="5" t="s">
        <v>492</v>
      </c>
      <c r="E175" s="5" t="s">
        <v>612</v>
      </c>
      <c r="F175" s="5" t="s">
        <v>608</v>
      </c>
      <c r="G175" s="5" t="s">
        <v>50</v>
      </c>
      <c r="H175" s="5" t="s">
        <v>18</v>
      </c>
      <c r="I175" s="7" t="s">
        <v>613</v>
      </c>
      <c r="J175" s="8" t="s">
        <v>13</v>
      </c>
    </row>
    <row r="176">
      <c r="A176" s="5" t="s">
        <v>614</v>
      </c>
      <c r="B176" s="5" t="s">
        <v>25</v>
      </c>
      <c r="C176" s="6" t="s">
        <v>13</v>
      </c>
      <c r="D176" s="5" t="s">
        <v>492</v>
      </c>
      <c r="E176" s="5" t="s">
        <v>331</v>
      </c>
      <c r="F176" s="5" t="s">
        <v>122</v>
      </c>
      <c r="G176" s="5" t="s">
        <v>44</v>
      </c>
      <c r="H176" s="5" t="s">
        <v>18</v>
      </c>
      <c r="I176" s="7" t="s">
        <v>615</v>
      </c>
      <c r="J176" s="8" t="s">
        <v>13</v>
      </c>
    </row>
    <row r="177">
      <c r="A177" s="5" t="s">
        <v>616</v>
      </c>
      <c r="B177" s="5" t="s">
        <v>25</v>
      </c>
      <c r="C177" s="6" t="s">
        <v>13</v>
      </c>
      <c r="D177" s="5" t="s">
        <v>492</v>
      </c>
      <c r="E177" s="5" t="s">
        <v>283</v>
      </c>
      <c r="F177" s="5" t="s">
        <v>137</v>
      </c>
      <c r="G177" s="5" t="s">
        <v>137</v>
      </c>
      <c r="H177" s="5" t="s">
        <v>18</v>
      </c>
      <c r="I177" s="7" t="s">
        <v>617</v>
      </c>
      <c r="J177" s="8" t="s">
        <v>13</v>
      </c>
    </row>
    <row r="178">
      <c r="A178" s="5" t="s">
        <v>618</v>
      </c>
      <c r="B178" s="5" t="s">
        <v>511</v>
      </c>
      <c r="C178" s="6" t="s">
        <v>13</v>
      </c>
      <c r="D178" s="5" t="s">
        <v>492</v>
      </c>
      <c r="E178" s="5" t="s">
        <v>144</v>
      </c>
      <c r="F178" s="5" t="s">
        <v>137</v>
      </c>
      <c r="G178" s="5" t="s">
        <v>137</v>
      </c>
      <c r="H178" s="5" t="s">
        <v>18</v>
      </c>
      <c r="I178" s="8" t="s">
        <v>619</v>
      </c>
      <c r="J178" s="8" t="s">
        <v>13</v>
      </c>
    </row>
    <row r="179">
      <c r="A179" s="5" t="s">
        <v>620</v>
      </c>
      <c r="B179" s="5" t="s">
        <v>178</v>
      </c>
      <c r="C179" s="6" t="s">
        <v>13</v>
      </c>
      <c r="D179" s="5" t="s">
        <v>621</v>
      </c>
      <c r="E179" s="5" t="s">
        <v>622</v>
      </c>
      <c r="F179" s="5" t="s">
        <v>137</v>
      </c>
      <c r="G179" s="5" t="s">
        <v>137</v>
      </c>
      <c r="H179" s="5" t="s">
        <v>18</v>
      </c>
      <c r="I179" s="7" t="s">
        <v>623</v>
      </c>
      <c r="J179" s="8" t="s">
        <v>13</v>
      </c>
    </row>
    <row r="180">
      <c r="A180" s="5" t="s">
        <v>624</v>
      </c>
      <c r="B180" s="5" t="s">
        <v>625</v>
      </c>
      <c r="C180" s="6" t="s">
        <v>13</v>
      </c>
      <c r="D180" s="5" t="s">
        <v>621</v>
      </c>
      <c r="E180" s="5" t="s">
        <v>626</v>
      </c>
      <c r="F180" s="5" t="s">
        <v>137</v>
      </c>
      <c r="G180" s="5" t="s">
        <v>137</v>
      </c>
      <c r="H180" s="5" t="s">
        <v>18</v>
      </c>
      <c r="I180" s="7" t="s">
        <v>627</v>
      </c>
      <c r="J180" s="8" t="s">
        <v>13</v>
      </c>
    </row>
    <row r="181">
      <c r="A181" s="5" t="s">
        <v>628</v>
      </c>
      <c r="B181" s="5" t="s">
        <v>25</v>
      </c>
      <c r="C181" s="6" t="s">
        <v>13</v>
      </c>
      <c r="D181" s="5" t="s">
        <v>621</v>
      </c>
      <c r="F181" s="5" t="s">
        <v>137</v>
      </c>
      <c r="G181" s="5" t="s">
        <v>137</v>
      </c>
      <c r="H181" s="5" t="s">
        <v>18</v>
      </c>
      <c r="I181" s="7" t="s">
        <v>629</v>
      </c>
      <c r="J181" s="8" t="s">
        <v>13</v>
      </c>
    </row>
    <row r="182">
      <c r="A182" s="5" t="s">
        <v>630</v>
      </c>
      <c r="B182" s="5" t="s">
        <v>631</v>
      </c>
      <c r="C182" s="6" t="s">
        <v>13</v>
      </c>
      <c r="D182" s="5" t="s">
        <v>621</v>
      </c>
      <c r="E182" s="5" t="s">
        <v>441</v>
      </c>
      <c r="F182" s="5" t="s">
        <v>137</v>
      </c>
      <c r="G182" s="5" t="s">
        <v>137</v>
      </c>
      <c r="H182" s="5" t="s">
        <v>18</v>
      </c>
      <c r="I182" s="7" t="s">
        <v>632</v>
      </c>
      <c r="J182" s="8" t="s">
        <v>13</v>
      </c>
    </row>
    <row r="183">
      <c r="A183" s="5" t="s">
        <v>633</v>
      </c>
      <c r="B183" s="5" t="s">
        <v>25</v>
      </c>
      <c r="C183" s="6" t="s">
        <v>13</v>
      </c>
      <c r="D183" s="5" t="s">
        <v>634</v>
      </c>
      <c r="E183" s="5" t="s">
        <v>15</v>
      </c>
      <c r="F183" s="5" t="s">
        <v>635</v>
      </c>
      <c r="G183" s="5" t="s">
        <v>76</v>
      </c>
      <c r="H183" s="5" t="s">
        <v>18</v>
      </c>
      <c r="I183" s="7" t="s">
        <v>636</v>
      </c>
      <c r="J183" s="8" t="s">
        <v>13</v>
      </c>
    </row>
    <row r="184">
      <c r="A184" s="5" t="s">
        <v>637</v>
      </c>
      <c r="B184" s="5" t="s">
        <v>371</v>
      </c>
      <c r="C184" s="6" t="s">
        <v>13</v>
      </c>
      <c r="D184" s="5" t="s">
        <v>634</v>
      </c>
      <c r="E184" s="5" t="s">
        <v>131</v>
      </c>
      <c r="F184" s="5" t="s">
        <v>80</v>
      </c>
      <c r="G184" s="5" t="s">
        <v>38</v>
      </c>
      <c r="H184" s="5" t="s">
        <v>18</v>
      </c>
      <c r="I184" s="7" t="s">
        <v>638</v>
      </c>
      <c r="J184" s="8" t="s">
        <v>13</v>
      </c>
    </row>
    <row r="185">
      <c r="A185" s="5" t="s">
        <v>639</v>
      </c>
      <c r="B185" s="5" t="s">
        <v>25</v>
      </c>
      <c r="C185" s="6" t="s">
        <v>13</v>
      </c>
      <c r="D185" s="5" t="s">
        <v>634</v>
      </c>
      <c r="E185" s="5" t="s">
        <v>125</v>
      </c>
      <c r="F185" s="5" t="s">
        <v>166</v>
      </c>
      <c r="G185" s="5" t="s">
        <v>44</v>
      </c>
      <c r="H185" s="5" t="s">
        <v>18</v>
      </c>
      <c r="I185" s="7" t="s">
        <v>640</v>
      </c>
      <c r="J185" s="8" t="s">
        <v>13</v>
      </c>
    </row>
    <row r="186">
      <c r="A186" s="5" t="s">
        <v>641</v>
      </c>
      <c r="B186" s="5" t="s">
        <v>642</v>
      </c>
      <c r="C186" s="6" t="s">
        <v>13</v>
      </c>
      <c r="D186" s="5" t="s">
        <v>634</v>
      </c>
      <c r="E186" s="5" t="s">
        <v>106</v>
      </c>
      <c r="F186" s="5" t="s">
        <v>16</v>
      </c>
      <c r="G186" s="5" t="s">
        <v>17</v>
      </c>
      <c r="H186" s="5" t="s">
        <v>18</v>
      </c>
      <c r="I186" s="8" t="s">
        <v>643</v>
      </c>
      <c r="J186" s="8" t="s">
        <v>13</v>
      </c>
    </row>
    <row r="187">
      <c r="A187" s="5" t="s">
        <v>644</v>
      </c>
      <c r="B187" s="5" t="s">
        <v>645</v>
      </c>
      <c r="C187" s="6" t="s">
        <v>13</v>
      </c>
      <c r="D187" s="5" t="s">
        <v>634</v>
      </c>
      <c r="E187" s="5" t="s">
        <v>63</v>
      </c>
      <c r="F187" s="5" t="s">
        <v>49</v>
      </c>
      <c r="G187" s="5" t="s">
        <v>50</v>
      </c>
      <c r="H187" s="5" t="s">
        <v>18</v>
      </c>
      <c r="I187" s="8" t="s">
        <v>646</v>
      </c>
      <c r="J187" s="8" t="s">
        <v>13</v>
      </c>
    </row>
    <row r="188">
      <c r="A188" s="5" t="s">
        <v>647</v>
      </c>
      <c r="B188" s="5" t="s">
        <v>371</v>
      </c>
      <c r="C188" s="6" t="s">
        <v>13</v>
      </c>
      <c r="D188" s="5" t="s">
        <v>634</v>
      </c>
      <c r="E188" s="5" t="s">
        <v>648</v>
      </c>
      <c r="F188" s="6" t="s">
        <v>64</v>
      </c>
      <c r="G188" s="6" t="s">
        <v>65</v>
      </c>
      <c r="H188" s="5" t="s">
        <v>18</v>
      </c>
      <c r="I188" s="8" t="s">
        <v>649</v>
      </c>
      <c r="J188" s="8" t="s">
        <v>13</v>
      </c>
    </row>
    <row r="189">
      <c r="A189" s="5" t="s">
        <v>650</v>
      </c>
      <c r="B189" s="5" t="s">
        <v>25</v>
      </c>
      <c r="C189" s="6" t="s">
        <v>13</v>
      </c>
      <c r="D189" s="5" t="s">
        <v>634</v>
      </c>
      <c r="E189" s="5" t="s">
        <v>651</v>
      </c>
      <c r="F189" s="5" t="s">
        <v>75</v>
      </c>
      <c r="G189" s="5" t="s">
        <v>76</v>
      </c>
      <c r="H189" s="5" t="s">
        <v>18</v>
      </c>
      <c r="I189" s="8" t="s">
        <v>652</v>
      </c>
      <c r="J189" s="8" t="s">
        <v>13</v>
      </c>
    </row>
    <row r="190">
      <c r="A190" s="5" t="s">
        <v>650</v>
      </c>
      <c r="B190" s="5" t="s">
        <v>25</v>
      </c>
      <c r="C190" s="6" t="s">
        <v>13</v>
      </c>
      <c r="D190" s="5" t="s">
        <v>634</v>
      </c>
      <c r="E190" s="5" t="s">
        <v>651</v>
      </c>
      <c r="F190" s="5" t="s">
        <v>75</v>
      </c>
      <c r="G190" s="5" t="s">
        <v>76</v>
      </c>
      <c r="H190" s="5" t="s">
        <v>18</v>
      </c>
      <c r="I190" s="8" t="s">
        <v>652</v>
      </c>
      <c r="J190" s="8" t="s">
        <v>13</v>
      </c>
    </row>
    <row r="191">
      <c r="A191" s="5" t="s">
        <v>653</v>
      </c>
      <c r="B191" s="5" t="s">
        <v>25</v>
      </c>
      <c r="C191" s="6" t="s">
        <v>13</v>
      </c>
      <c r="D191" s="5" t="s">
        <v>634</v>
      </c>
      <c r="E191" s="5" t="s">
        <v>654</v>
      </c>
      <c r="F191" s="5" t="s">
        <v>655</v>
      </c>
      <c r="G191" s="5" t="s">
        <v>65</v>
      </c>
      <c r="H191" s="5" t="s">
        <v>18</v>
      </c>
      <c r="I191" s="8" t="s">
        <v>656</v>
      </c>
      <c r="J191" s="8" t="s">
        <v>13</v>
      </c>
    </row>
    <row r="192">
      <c r="A192" s="5" t="s">
        <v>657</v>
      </c>
      <c r="B192" s="5" t="s">
        <v>371</v>
      </c>
      <c r="C192" s="6" t="s">
        <v>13</v>
      </c>
      <c r="D192" s="5" t="s">
        <v>634</v>
      </c>
      <c r="E192" s="5" t="s">
        <v>496</v>
      </c>
      <c r="F192" s="5" t="s">
        <v>658</v>
      </c>
      <c r="G192" s="5" t="s">
        <v>91</v>
      </c>
      <c r="H192" s="5" t="s">
        <v>18</v>
      </c>
      <c r="I192" s="8" t="s">
        <v>659</v>
      </c>
      <c r="J192" s="8" t="s">
        <v>13</v>
      </c>
    </row>
    <row r="193">
      <c r="A193" s="5" t="s">
        <v>660</v>
      </c>
      <c r="B193" s="5" t="s">
        <v>25</v>
      </c>
      <c r="C193" s="6" t="s">
        <v>13</v>
      </c>
      <c r="D193" s="5" t="s">
        <v>634</v>
      </c>
      <c r="E193" s="5" t="s">
        <v>661</v>
      </c>
      <c r="F193" s="5" t="s">
        <v>122</v>
      </c>
      <c r="G193" s="5" t="s">
        <v>44</v>
      </c>
      <c r="H193" s="5" t="s">
        <v>18</v>
      </c>
      <c r="I193" s="8" t="s">
        <v>662</v>
      </c>
      <c r="J193" s="8" t="s">
        <v>13</v>
      </c>
    </row>
    <row r="194">
      <c r="A194" s="5" t="s">
        <v>663</v>
      </c>
      <c r="B194" s="5" t="s">
        <v>371</v>
      </c>
      <c r="C194" s="6" t="s">
        <v>13</v>
      </c>
      <c r="D194" s="5" t="s">
        <v>634</v>
      </c>
      <c r="E194" s="5" t="s">
        <v>345</v>
      </c>
      <c r="F194" s="5" t="s">
        <v>137</v>
      </c>
      <c r="G194" s="5" t="s">
        <v>137</v>
      </c>
      <c r="H194" s="5" t="s">
        <v>18</v>
      </c>
      <c r="I194" s="8" t="s">
        <v>664</v>
      </c>
      <c r="J194" s="8" t="s">
        <v>13</v>
      </c>
    </row>
    <row r="195">
      <c r="A195" s="5" t="s">
        <v>665</v>
      </c>
      <c r="B195" s="5" t="s">
        <v>25</v>
      </c>
      <c r="C195" s="6" t="s">
        <v>13</v>
      </c>
      <c r="D195" s="5" t="s">
        <v>634</v>
      </c>
      <c r="E195" s="5" t="s">
        <v>666</v>
      </c>
      <c r="F195" s="5" t="s">
        <v>311</v>
      </c>
      <c r="G195" s="5" t="s">
        <v>102</v>
      </c>
      <c r="H195" s="5" t="s">
        <v>18</v>
      </c>
      <c r="I195" s="8" t="s">
        <v>667</v>
      </c>
      <c r="J195" s="8" t="s">
        <v>13</v>
      </c>
    </row>
    <row r="196">
      <c r="A196" s="5" t="s">
        <v>668</v>
      </c>
      <c r="B196" s="5" t="s">
        <v>371</v>
      </c>
      <c r="C196" s="6" t="s">
        <v>13</v>
      </c>
      <c r="D196" s="5" t="s">
        <v>634</v>
      </c>
      <c r="E196" s="5" t="s">
        <v>441</v>
      </c>
      <c r="F196" s="5" t="s">
        <v>669</v>
      </c>
      <c r="G196" s="5" t="s">
        <v>17</v>
      </c>
      <c r="H196" s="5" t="s">
        <v>18</v>
      </c>
      <c r="I196" s="8" t="s">
        <v>670</v>
      </c>
      <c r="J196" s="8" t="s">
        <v>13</v>
      </c>
    </row>
    <row r="197">
      <c r="A197" s="5" t="s">
        <v>671</v>
      </c>
      <c r="B197" s="5" t="s">
        <v>672</v>
      </c>
      <c r="C197" s="6" t="s">
        <v>13</v>
      </c>
      <c r="D197" s="5" t="s">
        <v>634</v>
      </c>
      <c r="E197" s="5" t="s">
        <v>207</v>
      </c>
      <c r="F197" s="5" t="s">
        <v>673</v>
      </c>
      <c r="G197" s="5" t="s">
        <v>137</v>
      </c>
      <c r="H197" s="5" t="s">
        <v>18</v>
      </c>
      <c r="I197" s="8" t="s">
        <v>674</v>
      </c>
      <c r="J197" s="8" t="s">
        <v>13</v>
      </c>
    </row>
    <row r="198">
      <c r="A198" s="5" t="s">
        <v>675</v>
      </c>
      <c r="B198" s="5" t="s">
        <v>371</v>
      </c>
      <c r="C198" s="6" t="s">
        <v>13</v>
      </c>
      <c r="D198" s="5" t="s">
        <v>634</v>
      </c>
      <c r="E198" s="5" t="s">
        <v>79</v>
      </c>
      <c r="F198" s="5" t="s">
        <v>102</v>
      </c>
      <c r="G198" s="5" t="s">
        <v>172</v>
      </c>
      <c r="H198" s="5" t="s">
        <v>18</v>
      </c>
      <c r="I198" s="8" t="s">
        <v>676</v>
      </c>
      <c r="J198" s="8" t="s">
        <v>13</v>
      </c>
    </row>
    <row r="199">
      <c r="A199" s="5" t="s">
        <v>677</v>
      </c>
      <c r="B199" s="5" t="s">
        <v>678</v>
      </c>
      <c r="C199" s="6" t="s">
        <v>13</v>
      </c>
      <c r="D199" s="5" t="s">
        <v>634</v>
      </c>
      <c r="E199" s="5" t="s">
        <v>149</v>
      </c>
      <c r="F199" s="5" t="s">
        <v>679</v>
      </c>
      <c r="G199" s="5" t="s">
        <v>65</v>
      </c>
      <c r="H199" s="5" t="s">
        <v>18</v>
      </c>
      <c r="I199" s="8" t="s">
        <v>680</v>
      </c>
      <c r="J199" s="8" t="s">
        <v>13</v>
      </c>
    </row>
    <row r="200">
      <c r="A200" s="5" t="s">
        <v>681</v>
      </c>
      <c r="B200" s="5" t="s">
        <v>25</v>
      </c>
      <c r="C200" s="6" t="s">
        <v>13</v>
      </c>
      <c r="D200" s="5" t="s">
        <v>682</v>
      </c>
      <c r="E200" s="5" t="s">
        <v>455</v>
      </c>
      <c r="F200" s="5" t="s">
        <v>16</v>
      </c>
      <c r="G200" s="5" t="s">
        <v>17</v>
      </c>
      <c r="H200" s="5" t="s">
        <v>18</v>
      </c>
      <c r="I200" s="7" t="s">
        <v>683</v>
      </c>
      <c r="J200" s="8" t="s">
        <v>13</v>
      </c>
    </row>
    <row r="201">
      <c r="A201" s="5" t="s">
        <v>684</v>
      </c>
      <c r="B201" s="5" t="s">
        <v>685</v>
      </c>
      <c r="C201" s="6" t="s">
        <v>13</v>
      </c>
      <c r="D201" s="5" t="s">
        <v>682</v>
      </c>
      <c r="E201" s="5" t="s">
        <v>686</v>
      </c>
      <c r="F201" s="5" t="s">
        <v>16</v>
      </c>
      <c r="G201" s="5" t="s">
        <v>17</v>
      </c>
      <c r="H201" s="5" t="s">
        <v>18</v>
      </c>
      <c r="I201" s="8" t="s">
        <v>687</v>
      </c>
      <c r="J201" s="8" t="s">
        <v>13</v>
      </c>
    </row>
    <row r="202">
      <c r="A202" s="5" t="s">
        <v>688</v>
      </c>
      <c r="B202" s="5" t="s">
        <v>25</v>
      </c>
      <c r="C202" s="6" t="s">
        <v>13</v>
      </c>
      <c r="D202" s="5" t="s">
        <v>682</v>
      </c>
      <c r="E202" s="5" t="s">
        <v>29</v>
      </c>
      <c r="F202" s="5" t="s">
        <v>16</v>
      </c>
      <c r="G202" s="5" t="s">
        <v>17</v>
      </c>
      <c r="H202" s="5" t="s">
        <v>18</v>
      </c>
      <c r="I202" s="8" t="s">
        <v>689</v>
      </c>
      <c r="J202" s="8" t="s">
        <v>13</v>
      </c>
    </row>
    <row r="203">
      <c r="A203" s="5" t="s">
        <v>690</v>
      </c>
      <c r="B203" s="5" t="s">
        <v>25</v>
      </c>
      <c r="C203" s="6" t="s">
        <v>13</v>
      </c>
      <c r="D203" s="5" t="s">
        <v>682</v>
      </c>
      <c r="E203" s="5" t="s">
        <v>691</v>
      </c>
      <c r="F203" s="5" t="s">
        <v>137</v>
      </c>
      <c r="G203" s="5" t="s">
        <v>137</v>
      </c>
      <c r="H203" s="5" t="s">
        <v>18</v>
      </c>
      <c r="I203" s="7" t="s">
        <v>692</v>
      </c>
      <c r="J203" s="8" t="s">
        <v>13</v>
      </c>
    </row>
    <row r="204">
      <c r="A204" s="5" t="s">
        <v>693</v>
      </c>
      <c r="B204" s="5" t="s">
        <v>625</v>
      </c>
      <c r="C204" s="6" t="s">
        <v>13</v>
      </c>
      <c r="D204" s="5" t="s">
        <v>682</v>
      </c>
      <c r="E204" s="5" t="s">
        <v>694</v>
      </c>
      <c r="F204" s="5" t="s">
        <v>137</v>
      </c>
      <c r="G204" s="5" t="s">
        <v>137</v>
      </c>
      <c r="H204" s="5" t="s">
        <v>18</v>
      </c>
      <c r="I204" s="7" t="s">
        <v>695</v>
      </c>
      <c r="J204" s="8" t="s">
        <v>13</v>
      </c>
    </row>
    <row r="205">
      <c r="A205" s="5" t="s">
        <v>696</v>
      </c>
      <c r="B205" s="5" t="s">
        <v>625</v>
      </c>
      <c r="C205" s="6" t="s">
        <v>13</v>
      </c>
      <c r="D205" s="5" t="s">
        <v>682</v>
      </c>
      <c r="E205" s="5" t="s">
        <v>697</v>
      </c>
      <c r="F205" s="5" t="s">
        <v>137</v>
      </c>
      <c r="G205" s="5" t="s">
        <v>137</v>
      </c>
      <c r="H205" s="5" t="s">
        <v>18</v>
      </c>
      <c r="I205" s="7" t="s">
        <v>698</v>
      </c>
      <c r="J205" s="8" t="s">
        <v>13</v>
      </c>
    </row>
    <row r="206">
      <c r="A206" s="5" t="s">
        <v>699</v>
      </c>
      <c r="B206" s="5" t="s">
        <v>25</v>
      </c>
      <c r="C206" s="6" t="s">
        <v>13</v>
      </c>
      <c r="D206" s="5" t="s">
        <v>682</v>
      </c>
      <c r="E206" s="5" t="s">
        <v>36</v>
      </c>
      <c r="F206" s="5" t="s">
        <v>137</v>
      </c>
      <c r="G206" s="5" t="s">
        <v>137</v>
      </c>
      <c r="H206" s="5" t="s">
        <v>18</v>
      </c>
      <c r="I206" s="7" t="s">
        <v>700</v>
      </c>
      <c r="J206" s="8" t="s">
        <v>13</v>
      </c>
    </row>
    <row r="207">
      <c r="A207" s="5" t="s">
        <v>701</v>
      </c>
      <c r="B207" s="5" t="s">
        <v>47</v>
      </c>
      <c r="C207" s="6" t="s">
        <v>13</v>
      </c>
      <c r="D207" s="5" t="s">
        <v>702</v>
      </c>
      <c r="E207" s="5" t="s">
        <v>331</v>
      </c>
      <c r="F207" s="5" t="s">
        <v>703</v>
      </c>
      <c r="G207" s="5" t="s">
        <v>137</v>
      </c>
      <c r="H207" s="5" t="s">
        <v>18</v>
      </c>
      <c r="I207" s="7" t="s">
        <v>704</v>
      </c>
      <c r="J207" s="8" t="s">
        <v>13</v>
      </c>
    </row>
    <row r="208">
      <c r="A208" s="5" t="s">
        <v>705</v>
      </c>
      <c r="B208" s="5" t="s">
        <v>25</v>
      </c>
      <c r="C208" s="6" t="s">
        <v>13</v>
      </c>
      <c r="D208" s="5" t="s">
        <v>702</v>
      </c>
      <c r="E208" s="5" t="s">
        <v>387</v>
      </c>
      <c r="F208" s="5" t="s">
        <v>706</v>
      </c>
      <c r="G208" s="5" t="s">
        <v>96</v>
      </c>
      <c r="H208" s="5" t="s">
        <v>18</v>
      </c>
      <c r="I208" s="7" t="s">
        <v>707</v>
      </c>
      <c r="J208" s="8" t="s">
        <v>13</v>
      </c>
    </row>
    <row r="209">
      <c r="A209" s="5" t="s">
        <v>708</v>
      </c>
      <c r="B209" s="5" t="s">
        <v>709</v>
      </c>
      <c r="C209" s="6" t="s">
        <v>13</v>
      </c>
      <c r="D209" s="5" t="s">
        <v>702</v>
      </c>
      <c r="E209" s="5" t="s">
        <v>241</v>
      </c>
      <c r="F209" s="5" t="s">
        <v>137</v>
      </c>
      <c r="G209" s="5" t="s">
        <v>137</v>
      </c>
      <c r="H209" s="5" t="s">
        <v>18</v>
      </c>
      <c r="I209" s="7" t="s">
        <v>710</v>
      </c>
      <c r="J209" s="8" t="s">
        <v>13</v>
      </c>
    </row>
    <row r="210">
      <c r="A210" s="5" t="s">
        <v>711</v>
      </c>
      <c r="B210" s="5" t="s">
        <v>25</v>
      </c>
      <c r="C210" s="6" t="s">
        <v>13</v>
      </c>
      <c r="D210" s="5" t="s">
        <v>702</v>
      </c>
      <c r="E210" s="5" t="s">
        <v>712</v>
      </c>
      <c r="F210" s="5" t="s">
        <v>137</v>
      </c>
      <c r="G210" s="5" t="s">
        <v>137</v>
      </c>
      <c r="H210" s="5" t="s">
        <v>18</v>
      </c>
      <c r="I210" s="7" t="s">
        <v>713</v>
      </c>
      <c r="J210" s="8" t="s">
        <v>13</v>
      </c>
    </row>
    <row r="211">
      <c r="A211" s="5" t="s">
        <v>714</v>
      </c>
      <c r="B211" s="5" t="s">
        <v>715</v>
      </c>
      <c r="C211" s="6" t="s">
        <v>13</v>
      </c>
      <c r="D211" s="5" t="s">
        <v>702</v>
      </c>
      <c r="E211" s="5" t="s">
        <v>716</v>
      </c>
      <c r="F211" s="5" t="s">
        <v>137</v>
      </c>
      <c r="G211" s="5" t="s">
        <v>137</v>
      </c>
      <c r="H211" s="5" t="s">
        <v>18</v>
      </c>
      <c r="I211" s="7" t="s">
        <v>717</v>
      </c>
      <c r="J211" s="8" t="s">
        <v>13</v>
      </c>
    </row>
    <row r="212">
      <c r="A212" s="5" t="s">
        <v>718</v>
      </c>
      <c r="B212" s="5" t="s">
        <v>715</v>
      </c>
      <c r="C212" s="6" t="s">
        <v>13</v>
      </c>
      <c r="D212" s="5" t="s">
        <v>702</v>
      </c>
      <c r="E212" s="5" t="s">
        <v>351</v>
      </c>
      <c r="F212" s="5" t="s">
        <v>137</v>
      </c>
      <c r="G212" s="5" t="s">
        <v>137</v>
      </c>
      <c r="H212" s="5" t="s">
        <v>18</v>
      </c>
      <c r="I212" s="7" t="s">
        <v>719</v>
      </c>
      <c r="J212" s="8" t="s">
        <v>13</v>
      </c>
    </row>
    <row r="213">
      <c r="A213" s="5" t="s">
        <v>720</v>
      </c>
      <c r="B213" s="5" t="s">
        <v>715</v>
      </c>
      <c r="C213" s="6" t="s">
        <v>13</v>
      </c>
      <c r="D213" s="5" t="s">
        <v>702</v>
      </c>
      <c r="E213" s="5" t="s">
        <v>36</v>
      </c>
      <c r="F213" s="5" t="s">
        <v>137</v>
      </c>
      <c r="G213" s="5" t="s">
        <v>137</v>
      </c>
      <c r="H213" s="5" t="s">
        <v>18</v>
      </c>
      <c r="I213" s="7" t="s">
        <v>721</v>
      </c>
      <c r="J213" s="8" t="s">
        <v>13</v>
      </c>
    </row>
    <row r="214">
      <c r="A214" s="5" t="s">
        <v>722</v>
      </c>
      <c r="B214" s="5" t="s">
        <v>715</v>
      </c>
      <c r="C214" s="6" t="s">
        <v>13</v>
      </c>
      <c r="D214" s="5" t="s">
        <v>702</v>
      </c>
      <c r="E214" s="5" t="s">
        <v>441</v>
      </c>
      <c r="F214" s="5" t="s">
        <v>137</v>
      </c>
      <c r="G214" s="5" t="s">
        <v>137</v>
      </c>
      <c r="H214" s="5" t="s">
        <v>18</v>
      </c>
      <c r="I214" s="7" t="s">
        <v>723</v>
      </c>
      <c r="J214" s="8" t="s">
        <v>13</v>
      </c>
    </row>
    <row r="215">
      <c r="A215" s="5" t="s">
        <v>724</v>
      </c>
      <c r="B215" s="5" t="s">
        <v>25</v>
      </c>
      <c r="C215" s="6" t="s">
        <v>13</v>
      </c>
      <c r="D215" s="5" t="s">
        <v>702</v>
      </c>
      <c r="E215" s="5" t="s">
        <v>512</v>
      </c>
      <c r="F215" s="5" t="s">
        <v>137</v>
      </c>
      <c r="G215" s="5" t="s">
        <v>137</v>
      </c>
      <c r="H215" s="5" t="s">
        <v>18</v>
      </c>
      <c r="I215" s="7" t="s">
        <v>725</v>
      </c>
      <c r="J215" s="8" t="s">
        <v>13</v>
      </c>
    </row>
    <row r="216">
      <c r="A216" s="5" t="s">
        <v>726</v>
      </c>
      <c r="B216" s="5" t="s">
        <v>715</v>
      </c>
      <c r="C216" s="6" t="s">
        <v>13</v>
      </c>
      <c r="D216" s="5" t="s">
        <v>702</v>
      </c>
      <c r="E216" s="5" t="s">
        <v>727</v>
      </c>
      <c r="F216" s="5" t="s">
        <v>137</v>
      </c>
      <c r="G216" s="5" t="s">
        <v>137</v>
      </c>
      <c r="H216" s="5" t="s">
        <v>18</v>
      </c>
      <c r="I216" s="7" t="s">
        <v>728</v>
      </c>
      <c r="J216" s="8" t="s">
        <v>13</v>
      </c>
    </row>
    <row r="217">
      <c r="A217" s="5" t="s">
        <v>729</v>
      </c>
      <c r="B217" s="5" t="s">
        <v>25</v>
      </c>
      <c r="C217" s="6" t="s">
        <v>13</v>
      </c>
      <c r="D217" s="5" t="s">
        <v>702</v>
      </c>
      <c r="E217" s="5" t="s">
        <v>175</v>
      </c>
      <c r="F217" s="5" t="s">
        <v>137</v>
      </c>
      <c r="G217" s="5" t="s">
        <v>137</v>
      </c>
      <c r="H217" s="5" t="s">
        <v>18</v>
      </c>
      <c r="I217" s="7" t="s">
        <v>730</v>
      </c>
      <c r="J217" s="8" t="s">
        <v>13</v>
      </c>
    </row>
    <row r="218">
      <c r="A218" s="5" t="s">
        <v>731</v>
      </c>
      <c r="B218" s="5" t="s">
        <v>25</v>
      </c>
      <c r="C218" s="6" t="s">
        <v>13</v>
      </c>
      <c r="D218" s="5" t="s">
        <v>702</v>
      </c>
      <c r="E218" s="5" t="s">
        <v>121</v>
      </c>
      <c r="F218" s="5" t="s">
        <v>137</v>
      </c>
      <c r="G218" s="5" t="s">
        <v>137</v>
      </c>
      <c r="H218" s="5" t="s">
        <v>18</v>
      </c>
      <c r="I218" s="7" t="s">
        <v>732</v>
      </c>
      <c r="J218" s="8" t="s">
        <v>13</v>
      </c>
    </row>
    <row r="219">
      <c r="A219" s="5" t="s">
        <v>733</v>
      </c>
      <c r="B219" s="5" t="s">
        <v>715</v>
      </c>
      <c r="C219" s="6" t="s">
        <v>13</v>
      </c>
      <c r="D219" s="5" t="s">
        <v>702</v>
      </c>
      <c r="E219" s="5" t="s">
        <v>734</v>
      </c>
      <c r="F219" s="5" t="s">
        <v>137</v>
      </c>
      <c r="G219" s="5" t="s">
        <v>137</v>
      </c>
      <c r="H219" s="5" t="s">
        <v>18</v>
      </c>
      <c r="I219" s="7" t="s">
        <v>735</v>
      </c>
      <c r="J219" s="8" t="s">
        <v>13</v>
      </c>
    </row>
    <row r="220">
      <c r="A220" s="5" t="s">
        <v>736</v>
      </c>
      <c r="B220" s="5" t="s">
        <v>25</v>
      </c>
      <c r="C220" s="6" t="s">
        <v>13</v>
      </c>
      <c r="D220" s="5" t="s">
        <v>737</v>
      </c>
      <c r="E220" s="5" t="s">
        <v>512</v>
      </c>
      <c r="F220" s="5" t="s">
        <v>738</v>
      </c>
      <c r="G220" s="5" t="s">
        <v>154</v>
      </c>
      <c r="H220" s="5" t="s">
        <v>18</v>
      </c>
      <c r="I220" s="8" t="s">
        <v>739</v>
      </c>
      <c r="J220" s="8" t="s">
        <v>13</v>
      </c>
    </row>
    <row r="221">
      <c r="A221" s="5" t="s">
        <v>740</v>
      </c>
      <c r="B221" s="5" t="s">
        <v>741</v>
      </c>
      <c r="C221" s="6" t="s">
        <v>13</v>
      </c>
      <c r="D221" s="5" t="s">
        <v>737</v>
      </c>
      <c r="E221" s="5" t="s">
        <v>222</v>
      </c>
      <c r="F221" s="5" t="s">
        <v>295</v>
      </c>
      <c r="G221" s="5" t="s">
        <v>154</v>
      </c>
      <c r="H221" s="5" t="s">
        <v>18</v>
      </c>
      <c r="I221" s="7" t="s">
        <v>742</v>
      </c>
      <c r="J221" s="8" t="s">
        <v>13</v>
      </c>
    </row>
    <row r="222">
      <c r="A222" s="5" t="s">
        <v>743</v>
      </c>
      <c r="B222" s="5" t="s">
        <v>744</v>
      </c>
      <c r="C222" s="6" t="s">
        <v>13</v>
      </c>
      <c r="D222" s="5" t="s">
        <v>737</v>
      </c>
      <c r="E222" s="5" t="s">
        <v>228</v>
      </c>
      <c r="F222" s="5" t="s">
        <v>295</v>
      </c>
      <c r="G222" s="5" t="s">
        <v>154</v>
      </c>
      <c r="H222" s="5" t="s">
        <v>18</v>
      </c>
      <c r="I222" s="7" t="s">
        <v>745</v>
      </c>
      <c r="J222" s="8" t="s">
        <v>13</v>
      </c>
    </row>
    <row r="223">
      <c r="A223" s="5" t="s">
        <v>746</v>
      </c>
      <c r="B223" s="5" t="s">
        <v>747</v>
      </c>
      <c r="C223" s="6" t="s">
        <v>13</v>
      </c>
      <c r="D223" s="5" t="s">
        <v>737</v>
      </c>
      <c r="E223" s="5" t="s">
        <v>79</v>
      </c>
      <c r="F223" s="5" t="s">
        <v>295</v>
      </c>
      <c r="G223" s="5" t="s">
        <v>154</v>
      </c>
      <c r="H223" s="5" t="s">
        <v>18</v>
      </c>
      <c r="I223" s="7" t="s">
        <v>748</v>
      </c>
      <c r="J223" s="8" t="s">
        <v>13</v>
      </c>
    </row>
    <row r="224">
      <c r="A224" s="5" t="s">
        <v>749</v>
      </c>
      <c r="B224" s="5" t="s">
        <v>750</v>
      </c>
      <c r="C224" s="6" t="s">
        <v>13</v>
      </c>
      <c r="D224" s="5" t="s">
        <v>737</v>
      </c>
      <c r="E224" s="5" t="s">
        <v>192</v>
      </c>
      <c r="F224" s="5" t="s">
        <v>295</v>
      </c>
      <c r="G224" s="5" t="s">
        <v>154</v>
      </c>
      <c r="H224" s="5" t="s">
        <v>18</v>
      </c>
      <c r="I224" s="7" t="s">
        <v>751</v>
      </c>
      <c r="J224" s="8" t="s">
        <v>13</v>
      </c>
    </row>
    <row r="225">
      <c r="A225" s="5" t="s">
        <v>752</v>
      </c>
      <c r="B225" s="5" t="s">
        <v>480</v>
      </c>
      <c r="C225" s="6" t="s">
        <v>13</v>
      </c>
      <c r="D225" s="5" t="s">
        <v>753</v>
      </c>
      <c r="E225" s="5" t="s">
        <v>754</v>
      </c>
      <c r="F225" s="5" t="s">
        <v>755</v>
      </c>
      <c r="G225" s="6" t="s">
        <v>756</v>
      </c>
      <c r="H225" s="5" t="s">
        <v>18</v>
      </c>
      <c r="I225" s="7" t="s">
        <v>757</v>
      </c>
      <c r="J225" s="8" t="s">
        <v>13</v>
      </c>
    </row>
    <row r="226">
      <c r="A226" s="5" t="s">
        <v>758</v>
      </c>
      <c r="B226" s="5" t="s">
        <v>480</v>
      </c>
      <c r="C226" s="6" t="s">
        <v>13</v>
      </c>
      <c r="D226" s="5" t="s">
        <v>753</v>
      </c>
      <c r="F226" s="5" t="s">
        <v>382</v>
      </c>
      <c r="G226" s="5" t="s">
        <v>102</v>
      </c>
      <c r="H226" s="5" t="s">
        <v>18</v>
      </c>
      <c r="I226" s="7" t="s">
        <v>759</v>
      </c>
      <c r="J226" s="8" t="s">
        <v>13</v>
      </c>
    </row>
    <row r="227">
      <c r="A227" s="5" t="s">
        <v>760</v>
      </c>
      <c r="B227" s="5" t="s">
        <v>761</v>
      </c>
      <c r="C227" s="6" t="s">
        <v>13</v>
      </c>
      <c r="D227" s="5" t="s">
        <v>753</v>
      </c>
      <c r="E227" s="5" t="s">
        <v>512</v>
      </c>
      <c r="F227" s="5" t="s">
        <v>762</v>
      </c>
      <c r="G227" s="5" t="s">
        <v>763</v>
      </c>
      <c r="H227" s="5" t="s">
        <v>18</v>
      </c>
      <c r="I227" s="8" t="s">
        <v>764</v>
      </c>
      <c r="J227" s="8" t="s">
        <v>13</v>
      </c>
    </row>
    <row r="228">
      <c r="A228" s="5" t="s">
        <v>765</v>
      </c>
      <c r="B228" s="5" t="s">
        <v>766</v>
      </c>
      <c r="C228" s="6" t="s">
        <v>13</v>
      </c>
      <c r="D228" s="5" t="s">
        <v>753</v>
      </c>
      <c r="E228" s="5" t="s">
        <v>94</v>
      </c>
      <c r="F228" s="5" t="s">
        <v>767</v>
      </c>
      <c r="G228" s="5" t="s">
        <v>102</v>
      </c>
      <c r="H228" s="5" t="s">
        <v>18</v>
      </c>
      <c r="I228" s="7" t="s">
        <v>768</v>
      </c>
      <c r="J228" s="8" t="s">
        <v>13</v>
      </c>
    </row>
    <row r="229">
      <c r="A229" s="5" t="s">
        <v>769</v>
      </c>
      <c r="B229" s="5" t="s">
        <v>770</v>
      </c>
      <c r="C229" s="6" t="s">
        <v>13</v>
      </c>
      <c r="D229" s="5" t="s">
        <v>753</v>
      </c>
      <c r="E229" s="5" t="s">
        <v>268</v>
      </c>
      <c r="F229" s="5" t="s">
        <v>311</v>
      </c>
      <c r="G229" s="5" t="s">
        <v>102</v>
      </c>
      <c r="H229" s="5" t="s">
        <v>18</v>
      </c>
      <c r="I229" s="7" t="s">
        <v>771</v>
      </c>
      <c r="J229" s="8" t="s">
        <v>13</v>
      </c>
    </row>
    <row r="230">
      <c r="A230" s="5" t="s">
        <v>772</v>
      </c>
      <c r="B230" s="5" t="s">
        <v>773</v>
      </c>
      <c r="C230" s="6" t="s">
        <v>13</v>
      </c>
      <c r="D230" s="5" t="s">
        <v>753</v>
      </c>
      <c r="E230" s="5" t="s">
        <v>774</v>
      </c>
      <c r="F230" s="5" t="s">
        <v>775</v>
      </c>
      <c r="G230" s="5" t="s">
        <v>102</v>
      </c>
      <c r="H230" s="5" t="s">
        <v>18</v>
      </c>
      <c r="I230" s="7" t="s">
        <v>776</v>
      </c>
      <c r="J230" s="8" t="s">
        <v>13</v>
      </c>
    </row>
    <row r="231">
      <c r="A231" s="5" t="s">
        <v>777</v>
      </c>
      <c r="B231" s="5" t="s">
        <v>778</v>
      </c>
      <c r="C231" s="6" t="s">
        <v>13</v>
      </c>
      <c r="D231" s="6" t="s">
        <v>753</v>
      </c>
      <c r="E231" s="5" t="s">
        <v>779</v>
      </c>
      <c r="F231" s="5" t="s">
        <v>780</v>
      </c>
      <c r="G231" s="5" t="s">
        <v>781</v>
      </c>
      <c r="H231" s="5" t="s">
        <v>18</v>
      </c>
      <c r="I231" s="8" t="s">
        <v>782</v>
      </c>
      <c r="J231" s="8" t="s">
        <v>13</v>
      </c>
    </row>
    <row r="232">
      <c r="A232" s="5" t="s">
        <v>783</v>
      </c>
      <c r="B232" s="5" t="s">
        <v>480</v>
      </c>
      <c r="C232" s="6" t="s">
        <v>13</v>
      </c>
      <c r="D232" s="6" t="s">
        <v>753</v>
      </c>
      <c r="E232" s="5" t="s">
        <v>784</v>
      </c>
      <c r="F232" s="5" t="s">
        <v>311</v>
      </c>
      <c r="G232" s="5" t="s">
        <v>102</v>
      </c>
      <c r="H232" s="5" t="s">
        <v>18</v>
      </c>
      <c r="I232" s="7" t="s">
        <v>785</v>
      </c>
      <c r="J232" s="8" t="s">
        <v>13</v>
      </c>
    </row>
    <row r="233">
      <c r="A233" s="5" t="s">
        <v>786</v>
      </c>
      <c r="B233" s="5" t="s">
        <v>787</v>
      </c>
      <c r="C233" s="6" t="s">
        <v>13</v>
      </c>
      <c r="D233" s="6" t="s">
        <v>753</v>
      </c>
      <c r="E233" s="5" t="s">
        <v>716</v>
      </c>
      <c r="F233" s="5" t="s">
        <v>788</v>
      </c>
      <c r="G233" s="5" t="s">
        <v>102</v>
      </c>
      <c r="H233" s="5" t="s">
        <v>18</v>
      </c>
      <c r="I233" s="7" t="s">
        <v>789</v>
      </c>
      <c r="J233" s="8" t="s">
        <v>13</v>
      </c>
    </row>
    <row r="234">
      <c r="A234" s="5" t="s">
        <v>790</v>
      </c>
      <c r="B234" s="5" t="s">
        <v>110</v>
      </c>
      <c r="C234" s="6" t="s">
        <v>13</v>
      </c>
      <c r="D234" s="5" t="s">
        <v>791</v>
      </c>
      <c r="E234" s="5" t="s">
        <v>792</v>
      </c>
      <c r="F234" s="5" t="s">
        <v>793</v>
      </c>
      <c r="G234" s="5" t="s">
        <v>184</v>
      </c>
      <c r="H234" s="5" t="s">
        <v>18</v>
      </c>
      <c r="I234" s="7" t="s">
        <v>794</v>
      </c>
      <c r="J234" s="8" t="s">
        <v>13</v>
      </c>
    </row>
    <row r="235">
      <c r="A235" s="5" t="s">
        <v>795</v>
      </c>
      <c r="B235" s="5" t="s">
        <v>796</v>
      </c>
      <c r="C235" s="6" t="s">
        <v>13</v>
      </c>
      <c r="D235" s="5" t="s">
        <v>791</v>
      </c>
      <c r="E235" s="5" t="s">
        <v>797</v>
      </c>
      <c r="F235" s="5" t="s">
        <v>137</v>
      </c>
      <c r="G235" s="5" t="s">
        <v>137</v>
      </c>
      <c r="H235" s="5" t="s">
        <v>18</v>
      </c>
      <c r="I235" s="8" t="s">
        <v>798</v>
      </c>
      <c r="J235" s="8" t="s">
        <v>13</v>
      </c>
    </row>
    <row r="236">
      <c r="A236" s="5" t="s">
        <v>799</v>
      </c>
      <c r="B236" s="5" t="s">
        <v>800</v>
      </c>
      <c r="C236" s="6" t="s">
        <v>13</v>
      </c>
      <c r="D236" s="5" t="s">
        <v>791</v>
      </c>
      <c r="E236" s="5" t="s">
        <v>100</v>
      </c>
      <c r="F236" s="5" t="s">
        <v>801</v>
      </c>
      <c r="G236" s="5" t="s">
        <v>50</v>
      </c>
      <c r="H236" s="5" t="s">
        <v>18</v>
      </c>
      <c r="I236" s="7" t="s">
        <v>802</v>
      </c>
      <c r="J236" s="8" t="s">
        <v>13</v>
      </c>
    </row>
    <row r="237">
      <c r="A237" s="5" t="s">
        <v>803</v>
      </c>
      <c r="B237" s="5" t="s">
        <v>804</v>
      </c>
      <c r="C237" s="6" t="s">
        <v>13</v>
      </c>
      <c r="D237" s="5" t="s">
        <v>791</v>
      </c>
      <c r="E237" s="5" t="s">
        <v>144</v>
      </c>
      <c r="F237" s="5" t="s">
        <v>805</v>
      </c>
      <c r="G237" s="5" t="s">
        <v>184</v>
      </c>
      <c r="H237" s="5" t="s">
        <v>18</v>
      </c>
      <c r="I237" s="7" t="s">
        <v>806</v>
      </c>
      <c r="J237" s="8" t="s">
        <v>13</v>
      </c>
    </row>
    <row r="238">
      <c r="A238" s="5" t="s">
        <v>803</v>
      </c>
      <c r="B238" s="5" t="s">
        <v>804</v>
      </c>
      <c r="C238" s="6" t="s">
        <v>13</v>
      </c>
      <c r="D238" s="5" t="s">
        <v>791</v>
      </c>
      <c r="E238" s="5" t="s">
        <v>144</v>
      </c>
      <c r="F238" s="5" t="s">
        <v>805</v>
      </c>
      <c r="G238" s="5" t="s">
        <v>184</v>
      </c>
      <c r="H238" s="5" t="s">
        <v>18</v>
      </c>
      <c r="I238" s="7" t="s">
        <v>806</v>
      </c>
      <c r="J238" s="8" t="s">
        <v>13</v>
      </c>
    </row>
    <row r="239">
      <c r="A239" s="5" t="s">
        <v>807</v>
      </c>
      <c r="B239" s="5" t="s">
        <v>808</v>
      </c>
      <c r="C239" s="6" t="s">
        <v>13</v>
      </c>
      <c r="D239" s="5" t="s">
        <v>791</v>
      </c>
      <c r="E239" s="5" t="s">
        <v>79</v>
      </c>
      <c r="F239" s="5" t="s">
        <v>102</v>
      </c>
      <c r="G239" s="5" t="s">
        <v>172</v>
      </c>
      <c r="H239" s="5" t="s">
        <v>18</v>
      </c>
      <c r="I239" s="8" t="s">
        <v>809</v>
      </c>
      <c r="J239" s="8" t="s">
        <v>13</v>
      </c>
    </row>
    <row r="240">
      <c r="A240" s="5" t="s">
        <v>810</v>
      </c>
      <c r="B240" s="5" t="s">
        <v>811</v>
      </c>
      <c r="C240" s="6" t="s">
        <v>13</v>
      </c>
      <c r="D240" s="5" t="s">
        <v>812</v>
      </c>
      <c r="E240" s="5" t="s">
        <v>94</v>
      </c>
      <c r="F240" s="5" t="s">
        <v>16</v>
      </c>
      <c r="G240" s="5" t="s">
        <v>17</v>
      </c>
      <c r="H240" s="5" t="s">
        <v>18</v>
      </c>
      <c r="I240" s="7" t="s">
        <v>813</v>
      </c>
      <c r="J240" s="8" t="s">
        <v>13</v>
      </c>
    </row>
    <row r="241">
      <c r="A241" s="5" t="s">
        <v>814</v>
      </c>
      <c r="B241" s="5" t="s">
        <v>25</v>
      </c>
      <c r="C241" s="6" t="s">
        <v>13</v>
      </c>
      <c r="D241" s="5" t="s">
        <v>812</v>
      </c>
      <c r="E241" s="5" t="s">
        <v>207</v>
      </c>
      <c r="F241" s="5" t="s">
        <v>16</v>
      </c>
      <c r="G241" s="5" t="s">
        <v>17</v>
      </c>
      <c r="H241" s="5" t="s">
        <v>18</v>
      </c>
      <c r="I241" s="7" t="s">
        <v>815</v>
      </c>
      <c r="J241" s="8" t="s">
        <v>13</v>
      </c>
    </row>
    <row r="242">
      <c r="A242" s="5" t="s">
        <v>816</v>
      </c>
      <c r="B242" s="5" t="s">
        <v>817</v>
      </c>
      <c r="C242" s="6" t="s">
        <v>13</v>
      </c>
      <c r="D242" s="5" t="s">
        <v>812</v>
      </c>
      <c r="E242" s="5" t="s">
        <v>222</v>
      </c>
      <c r="F242" s="5" t="s">
        <v>818</v>
      </c>
      <c r="G242" s="5" t="s">
        <v>763</v>
      </c>
      <c r="H242" s="5" t="s">
        <v>18</v>
      </c>
      <c r="I242" s="7" t="s">
        <v>819</v>
      </c>
      <c r="J242" s="8" t="s">
        <v>13</v>
      </c>
    </row>
    <row r="243">
      <c r="A243" s="5" t="s">
        <v>820</v>
      </c>
      <c r="B243" s="5" t="s">
        <v>821</v>
      </c>
      <c r="C243" s="6" t="s">
        <v>13</v>
      </c>
      <c r="D243" s="5" t="s">
        <v>812</v>
      </c>
      <c r="E243" s="5" t="s">
        <v>822</v>
      </c>
      <c r="F243" s="5" t="s">
        <v>64</v>
      </c>
      <c r="G243" s="5" t="s">
        <v>65</v>
      </c>
      <c r="H243" s="5" t="s">
        <v>18</v>
      </c>
      <c r="I243" s="7" t="s">
        <v>823</v>
      </c>
      <c r="J243" s="8" t="s">
        <v>13</v>
      </c>
    </row>
    <row r="244">
      <c r="A244" s="5" t="s">
        <v>824</v>
      </c>
      <c r="B244" s="5" t="s">
        <v>25</v>
      </c>
      <c r="C244" s="6" t="s">
        <v>13</v>
      </c>
      <c r="D244" s="5" t="s">
        <v>812</v>
      </c>
      <c r="E244" s="5" t="s">
        <v>42</v>
      </c>
      <c r="F244" s="5" t="s">
        <v>825</v>
      </c>
      <c r="G244" s="6" t="s">
        <v>756</v>
      </c>
      <c r="H244" s="5" t="s">
        <v>18</v>
      </c>
      <c r="I244" s="7" t="s">
        <v>826</v>
      </c>
      <c r="J244" s="8" t="s">
        <v>13</v>
      </c>
    </row>
    <row r="245">
      <c r="A245" s="5" t="s">
        <v>827</v>
      </c>
      <c r="B245" s="5" t="s">
        <v>828</v>
      </c>
      <c r="C245" s="6" t="s">
        <v>13</v>
      </c>
      <c r="D245" s="5" t="s">
        <v>812</v>
      </c>
      <c r="E245" s="5" t="s">
        <v>165</v>
      </c>
      <c r="F245" s="5" t="s">
        <v>80</v>
      </c>
      <c r="G245" s="5" t="s">
        <v>38</v>
      </c>
      <c r="H245" s="5" t="s">
        <v>18</v>
      </c>
      <c r="I245" s="7" t="s">
        <v>829</v>
      </c>
      <c r="J245" s="8" t="s">
        <v>13</v>
      </c>
    </row>
    <row r="246">
      <c r="A246" s="5" t="s">
        <v>830</v>
      </c>
      <c r="B246" s="5" t="s">
        <v>831</v>
      </c>
      <c r="C246" s="6" t="s">
        <v>13</v>
      </c>
      <c r="D246" s="5" t="s">
        <v>812</v>
      </c>
      <c r="E246" s="5" t="s">
        <v>832</v>
      </c>
      <c r="F246" s="5" t="s">
        <v>833</v>
      </c>
      <c r="G246" s="5" t="s">
        <v>203</v>
      </c>
      <c r="H246" s="5" t="s">
        <v>18</v>
      </c>
      <c r="I246" s="7" t="s">
        <v>834</v>
      </c>
      <c r="J246" s="8" t="s">
        <v>13</v>
      </c>
    </row>
    <row r="247">
      <c r="A247" s="5" t="s">
        <v>835</v>
      </c>
      <c r="B247" s="5" t="s">
        <v>836</v>
      </c>
      <c r="C247" s="6" t="s">
        <v>13</v>
      </c>
      <c r="D247" s="5" t="s">
        <v>812</v>
      </c>
      <c r="E247" s="5" t="s">
        <v>512</v>
      </c>
      <c r="F247" s="5" t="s">
        <v>112</v>
      </c>
      <c r="G247" s="5" t="s">
        <v>38</v>
      </c>
      <c r="H247" s="5" t="s">
        <v>18</v>
      </c>
      <c r="I247" s="8" t="s">
        <v>837</v>
      </c>
      <c r="J247" s="8" t="s">
        <v>13</v>
      </c>
    </row>
    <row r="248">
      <c r="A248" s="5" t="s">
        <v>838</v>
      </c>
      <c r="B248" s="5" t="s">
        <v>839</v>
      </c>
      <c r="C248" s="6" t="s">
        <v>13</v>
      </c>
      <c r="D248" s="5" t="s">
        <v>812</v>
      </c>
      <c r="E248" s="5" t="s">
        <v>840</v>
      </c>
      <c r="F248" s="5" t="s">
        <v>299</v>
      </c>
      <c r="G248" s="5" t="s">
        <v>44</v>
      </c>
      <c r="H248" s="5" t="s">
        <v>18</v>
      </c>
      <c r="I248" s="7" t="s">
        <v>841</v>
      </c>
      <c r="J248" s="8" t="s">
        <v>13</v>
      </c>
    </row>
    <row r="249">
      <c r="A249" s="5" t="s">
        <v>810</v>
      </c>
      <c r="B249" s="5" t="s">
        <v>25</v>
      </c>
      <c r="C249" s="6" t="s">
        <v>13</v>
      </c>
      <c r="D249" s="5" t="s">
        <v>812</v>
      </c>
      <c r="E249" s="5" t="s">
        <v>111</v>
      </c>
      <c r="F249" s="5" t="s">
        <v>16</v>
      </c>
      <c r="G249" s="5" t="s">
        <v>17</v>
      </c>
      <c r="H249" s="5" t="s">
        <v>18</v>
      </c>
      <c r="I249" s="7" t="s">
        <v>842</v>
      </c>
      <c r="J249" s="8" t="s">
        <v>13</v>
      </c>
    </row>
    <row r="250">
      <c r="A250" s="5" t="s">
        <v>843</v>
      </c>
      <c r="B250" s="5" t="s">
        <v>844</v>
      </c>
      <c r="C250" s="6" t="s">
        <v>13</v>
      </c>
      <c r="D250" s="5" t="s">
        <v>845</v>
      </c>
      <c r="E250" s="5" t="s">
        <v>228</v>
      </c>
      <c r="F250" s="5" t="s">
        <v>183</v>
      </c>
      <c r="G250" s="5" t="s">
        <v>184</v>
      </c>
      <c r="H250" s="5" t="s">
        <v>18</v>
      </c>
      <c r="I250" s="7" t="s">
        <v>846</v>
      </c>
      <c r="J250" s="8" t="s">
        <v>13</v>
      </c>
    </row>
    <row r="251">
      <c r="A251" s="5" t="s">
        <v>847</v>
      </c>
      <c r="B251" s="5" t="s">
        <v>25</v>
      </c>
      <c r="C251" s="6" t="s">
        <v>13</v>
      </c>
      <c r="D251" s="5" t="s">
        <v>845</v>
      </c>
      <c r="E251" s="5" t="s">
        <v>848</v>
      </c>
      <c r="F251" s="5" t="s">
        <v>189</v>
      </c>
      <c r="G251" s="5" t="s">
        <v>184</v>
      </c>
      <c r="H251" s="5" t="s">
        <v>18</v>
      </c>
      <c r="I251" s="7" t="s">
        <v>849</v>
      </c>
      <c r="J251" s="8" t="s">
        <v>13</v>
      </c>
    </row>
    <row r="252">
      <c r="A252" s="5" t="s">
        <v>850</v>
      </c>
      <c r="B252" s="5" t="s">
        <v>25</v>
      </c>
      <c r="C252" s="6" t="s">
        <v>13</v>
      </c>
      <c r="D252" s="5" t="s">
        <v>845</v>
      </c>
      <c r="F252" s="5" t="s">
        <v>189</v>
      </c>
      <c r="G252" s="5" t="s">
        <v>184</v>
      </c>
      <c r="H252" s="5" t="s">
        <v>18</v>
      </c>
      <c r="I252" s="7" t="s">
        <v>851</v>
      </c>
      <c r="J252" s="8" t="s">
        <v>13</v>
      </c>
    </row>
    <row r="253">
      <c r="A253" s="5" t="s">
        <v>852</v>
      </c>
      <c r="B253" s="5" t="s">
        <v>25</v>
      </c>
      <c r="C253" s="6" t="s">
        <v>13</v>
      </c>
      <c r="D253" s="5" t="s">
        <v>845</v>
      </c>
      <c r="E253" s="5" t="s">
        <v>192</v>
      </c>
      <c r="F253" s="5" t="s">
        <v>16</v>
      </c>
      <c r="G253" s="5" t="s">
        <v>17</v>
      </c>
      <c r="H253" s="5" t="s">
        <v>18</v>
      </c>
      <c r="I253" s="7" t="s">
        <v>853</v>
      </c>
      <c r="J253" s="8" t="s">
        <v>13</v>
      </c>
    </row>
    <row r="254">
      <c r="A254" s="5" t="s">
        <v>854</v>
      </c>
      <c r="B254" s="5" t="s">
        <v>25</v>
      </c>
      <c r="C254" s="6" t="s">
        <v>13</v>
      </c>
      <c r="D254" s="5" t="s">
        <v>845</v>
      </c>
      <c r="E254" s="5" t="s">
        <v>331</v>
      </c>
      <c r="F254" s="5" t="s">
        <v>855</v>
      </c>
      <c r="G254" s="5" t="s">
        <v>184</v>
      </c>
      <c r="H254" s="5" t="s">
        <v>18</v>
      </c>
      <c r="I254" s="7" t="s">
        <v>856</v>
      </c>
      <c r="J254" s="8" t="s">
        <v>13</v>
      </c>
    </row>
    <row r="255">
      <c r="A255" s="5" t="s">
        <v>857</v>
      </c>
      <c r="B255" s="5" t="s">
        <v>25</v>
      </c>
      <c r="C255" s="6" t="s">
        <v>13</v>
      </c>
      <c r="D255" s="5" t="s">
        <v>845</v>
      </c>
      <c r="E255" s="5" t="s">
        <v>228</v>
      </c>
      <c r="F255" s="5" t="s">
        <v>858</v>
      </c>
      <c r="G255" s="5" t="s">
        <v>38</v>
      </c>
      <c r="H255" s="5" t="s">
        <v>18</v>
      </c>
      <c r="I255" s="7" t="s">
        <v>859</v>
      </c>
      <c r="J255" s="8" t="s">
        <v>13</v>
      </c>
    </row>
    <row r="256">
      <c r="A256" s="5" t="s">
        <v>860</v>
      </c>
      <c r="B256" s="5" t="s">
        <v>861</v>
      </c>
      <c r="C256" s="6" t="s">
        <v>13</v>
      </c>
      <c r="D256" s="5" t="s">
        <v>845</v>
      </c>
      <c r="E256" s="5" t="s">
        <v>848</v>
      </c>
      <c r="F256" s="5" t="s">
        <v>862</v>
      </c>
      <c r="G256" s="5" t="s">
        <v>184</v>
      </c>
      <c r="H256" s="5" t="s">
        <v>18</v>
      </c>
      <c r="I256" s="8" t="s">
        <v>863</v>
      </c>
      <c r="J256" s="8" t="s">
        <v>13</v>
      </c>
    </row>
    <row r="257">
      <c r="A257" s="5" t="s">
        <v>864</v>
      </c>
      <c r="B257" s="5" t="s">
        <v>25</v>
      </c>
      <c r="C257" s="6" t="s">
        <v>13</v>
      </c>
      <c r="D257" s="5" t="s">
        <v>845</v>
      </c>
      <c r="E257" s="5" t="s">
        <v>237</v>
      </c>
      <c r="F257" s="5" t="s">
        <v>865</v>
      </c>
      <c r="G257" s="5" t="s">
        <v>184</v>
      </c>
      <c r="H257" s="5" t="s">
        <v>18</v>
      </c>
      <c r="I257" s="7" t="s">
        <v>866</v>
      </c>
      <c r="J257" s="8" t="s">
        <v>13</v>
      </c>
    </row>
    <row r="258">
      <c r="A258" s="5" t="s">
        <v>867</v>
      </c>
      <c r="B258" s="5" t="s">
        <v>25</v>
      </c>
      <c r="C258" s="6" t="s">
        <v>13</v>
      </c>
      <c r="D258" s="5" t="s">
        <v>845</v>
      </c>
      <c r="E258" s="5" t="s">
        <v>228</v>
      </c>
      <c r="F258" s="5" t="s">
        <v>137</v>
      </c>
      <c r="G258" s="5" t="s">
        <v>137</v>
      </c>
      <c r="H258" s="5" t="s">
        <v>18</v>
      </c>
      <c r="I258" s="7" t="s">
        <v>868</v>
      </c>
      <c r="J258" s="8" t="s">
        <v>13</v>
      </c>
    </row>
    <row r="259">
      <c r="A259" s="5" t="s">
        <v>869</v>
      </c>
      <c r="B259" s="5" t="s">
        <v>870</v>
      </c>
      <c r="C259" s="6" t="s">
        <v>13</v>
      </c>
      <c r="D259" s="5" t="s">
        <v>845</v>
      </c>
      <c r="E259" s="5" t="s">
        <v>149</v>
      </c>
      <c r="F259" s="5" t="s">
        <v>137</v>
      </c>
      <c r="G259" s="5" t="s">
        <v>137</v>
      </c>
      <c r="H259" s="5" t="s">
        <v>18</v>
      </c>
      <c r="I259" s="8" t="s">
        <v>871</v>
      </c>
      <c r="J259" s="8" t="s">
        <v>13</v>
      </c>
    </row>
    <row r="260">
      <c r="A260" s="5" t="s">
        <v>872</v>
      </c>
      <c r="B260" s="5" t="s">
        <v>25</v>
      </c>
      <c r="C260" s="6" t="s">
        <v>13</v>
      </c>
      <c r="D260" s="5" t="s">
        <v>845</v>
      </c>
      <c r="E260" s="5" t="s">
        <v>228</v>
      </c>
      <c r="F260" s="5" t="s">
        <v>137</v>
      </c>
      <c r="G260" s="5" t="s">
        <v>137</v>
      </c>
      <c r="H260" s="5" t="s">
        <v>18</v>
      </c>
      <c r="I260" s="7" t="s">
        <v>873</v>
      </c>
      <c r="J260" s="8" t="s">
        <v>13</v>
      </c>
    </row>
    <row r="261">
      <c r="A261" s="5" t="s">
        <v>874</v>
      </c>
      <c r="B261" s="5" t="s">
        <v>875</v>
      </c>
      <c r="C261" s="6" t="s">
        <v>13</v>
      </c>
      <c r="D261" s="5" t="s">
        <v>845</v>
      </c>
      <c r="E261" s="5" t="s">
        <v>29</v>
      </c>
      <c r="F261" s="5" t="s">
        <v>876</v>
      </c>
      <c r="G261" s="5" t="s">
        <v>184</v>
      </c>
      <c r="H261" s="5" t="s">
        <v>18</v>
      </c>
      <c r="I261" s="8" t="s">
        <v>877</v>
      </c>
      <c r="J261" s="8" t="s">
        <v>13</v>
      </c>
    </row>
    <row r="262">
      <c r="A262" s="5" t="s">
        <v>878</v>
      </c>
      <c r="B262" s="5" t="s">
        <v>879</v>
      </c>
      <c r="C262" s="6" t="s">
        <v>13</v>
      </c>
      <c r="D262" s="5" t="s">
        <v>845</v>
      </c>
      <c r="E262" s="5" t="s">
        <v>100</v>
      </c>
      <c r="F262" s="5" t="s">
        <v>876</v>
      </c>
      <c r="G262" s="5" t="s">
        <v>184</v>
      </c>
      <c r="H262" s="5" t="s">
        <v>18</v>
      </c>
      <c r="I262" s="8" t="s">
        <v>880</v>
      </c>
      <c r="J262" s="8" t="s">
        <v>13</v>
      </c>
    </row>
    <row r="263">
      <c r="A263" s="5" t="s">
        <v>881</v>
      </c>
      <c r="B263" s="5" t="s">
        <v>25</v>
      </c>
      <c r="C263" s="6" t="s">
        <v>13</v>
      </c>
      <c r="D263" s="5" t="s">
        <v>845</v>
      </c>
      <c r="E263" s="5" t="s">
        <v>100</v>
      </c>
      <c r="F263" s="5" t="s">
        <v>876</v>
      </c>
      <c r="G263" s="5" t="s">
        <v>184</v>
      </c>
      <c r="H263" s="5" t="s">
        <v>18</v>
      </c>
      <c r="I263" s="7" t="s">
        <v>882</v>
      </c>
      <c r="J263" s="8" t="s">
        <v>13</v>
      </c>
    </row>
    <row r="264">
      <c r="A264" s="5" t="s">
        <v>883</v>
      </c>
      <c r="B264" s="5" t="s">
        <v>25</v>
      </c>
      <c r="C264" s="6" t="s">
        <v>13</v>
      </c>
      <c r="D264" s="5" t="s">
        <v>845</v>
      </c>
      <c r="E264" s="5" t="s">
        <v>228</v>
      </c>
      <c r="F264" s="5" t="s">
        <v>876</v>
      </c>
      <c r="G264" s="5" t="s">
        <v>184</v>
      </c>
      <c r="H264" s="5" t="s">
        <v>18</v>
      </c>
      <c r="I264" s="7" t="s">
        <v>884</v>
      </c>
      <c r="J264" s="8" t="s">
        <v>13</v>
      </c>
    </row>
    <row r="265">
      <c r="A265" s="5" t="s">
        <v>885</v>
      </c>
      <c r="B265" s="5" t="s">
        <v>796</v>
      </c>
      <c r="C265" s="6" t="s">
        <v>13</v>
      </c>
      <c r="D265" s="5" t="s">
        <v>845</v>
      </c>
      <c r="E265" s="5" t="s">
        <v>886</v>
      </c>
      <c r="F265" s="5" t="s">
        <v>876</v>
      </c>
      <c r="G265" s="5" t="s">
        <v>184</v>
      </c>
      <c r="H265" s="5" t="s">
        <v>18</v>
      </c>
      <c r="I265" s="8" t="s">
        <v>887</v>
      </c>
      <c r="J265" s="8" t="s">
        <v>13</v>
      </c>
    </row>
    <row r="266">
      <c r="A266" s="5" t="s">
        <v>888</v>
      </c>
      <c r="B266" s="5" t="s">
        <v>889</v>
      </c>
      <c r="C266" s="6" t="s">
        <v>13</v>
      </c>
      <c r="D266" s="5" t="s">
        <v>845</v>
      </c>
      <c r="E266" s="5" t="s">
        <v>890</v>
      </c>
      <c r="F266" s="5" t="s">
        <v>876</v>
      </c>
      <c r="G266" s="5" t="s">
        <v>184</v>
      </c>
      <c r="H266" s="5" t="s">
        <v>18</v>
      </c>
      <c r="I266" s="8" t="s">
        <v>891</v>
      </c>
      <c r="J266" s="8" t="s">
        <v>13</v>
      </c>
    </row>
    <row r="267">
      <c r="A267" s="5" t="s">
        <v>892</v>
      </c>
      <c r="B267" s="5" t="s">
        <v>893</v>
      </c>
      <c r="C267" s="6" t="s">
        <v>13</v>
      </c>
      <c r="D267" s="5" t="s">
        <v>845</v>
      </c>
      <c r="E267" s="5" t="s">
        <v>149</v>
      </c>
      <c r="F267" s="5" t="s">
        <v>876</v>
      </c>
      <c r="G267" s="5" t="s">
        <v>184</v>
      </c>
      <c r="H267" s="5" t="s">
        <v>18</v>
      </c>
      <c r="I267" s="7" t="s">
        <v>894</v>
      </c>
      <c r="J267" s="8" t="s">
        <v>13</v>
      </c>
    </row>
    <row r="268">
      <c r="A268" s="5" t="s">
        <v>895</v>
      </c>
      <c r="B268" s="5" t="s">
        <v>25</v>
      </c>
      <c r="C268" s="6" t="s">
        <v>13</v>
      </c>
      <c r="D268" s="5" t="s">
        <v>845</v>
      </c>
      <c r="E268" s="5" t="s">
        <v>149</v>
      </c>
      <c r="F268" s="5" t="s">
        <v>876</v>
      </c>
      <c r="G268" s="5" t="s">
        <v>184</v>
      </c>
      <c r="H268" s="5" t="s">
        <v>18</v>
      </c>
      <c r="I268" s="8" t="s">
        <v>896</v>
      </c>
      <c r="J268" s="8" t="s">
        <v>13</v>
      </c>
    </row>
    <row r="269">
      <c r="A269" s="5" t="s">
        <v>897</v>
      </c>
      <c r="B269" s="5" t="s">
        <v>898</v>
      </c>
      <c r="C269" s="6" t="s">
        <v>13</v>
      </c>
      <c r="D269" s="5" t="s">
        <v>845</v>
      </c>
      <c r="E269" s="5" t="s">
        <v>100</v>
      </c>
      <c r="F269" s="5" t="s">
        <v>876</v>
      </c>
      <c r="G269" s="5" t="s">
        <v>184</v>
      </c>
      <c r="H269" s="5" t="s">
        <v>18</v>
      </c>
      <c r="I269" s="8" t="s">
        <v>899</v>
      </c>
      <c r="J269" s="8" t="s">
        <v>13</v>
      </c>
    </row>
    <row r="270">
      <c r="A270" s="5" t="s">
        <v>900</v>
      </c>
      <c r="B270" s="5" t="s">
        <v>25</v>
      </c>
      <c r="C270" s="6" t="s">
        <v>13</v>
      </c>
      <c r="D270" s="5" t="s">
        <v>845</v>
      </c>
      <c r="E270" s="5" t="s">
        <v>901</v>
      </c>
      <c r="F270" s="5" t="s">
        <v>876</v>
      </c>
      <c r="G270" s="5" t="s">
        <v>184</v>
      </c>
      <c r="H270" s="5" t="s">
        <v>18</v>
      </c>
      <c r="I270" s="7" t="s">
        <v>902</v>
      </c>
      <c r="J270" s="8" t="s">
        <v>13</v>
      </c>
    </row>
    <row r="271">
      <c r="A271" s="5" t="s">
        <v>903</v>
      </c>
      <c r="B271" s="5" t="s">
        <v>25</v>
      </c>
      <c r="C271" s="6" t="s">
        <v>13</v>
      </c>
      <c r="D271" s="5" t="s">
        <v>845</v>
      </c>
      <c r="E271" s="5" t="s">
        <v>421</v>
      </c>
      <c r="F271" s="5" t="s">
        <v>876</v>
      </c>
      <c r="G271" s="5" t="s">
        <v>184</v>
      </c>
      <c r="H271" s="5" t="s">
        <v>18</v>
      </c>
      <c r="I271" s="7" t="s">
        <v>904</v>
      </c>
      <c r="J271" s="8" t="s">
        <v>13</v>
      </c>
    </row>
    <row r="272">
      <c r="A272" s="5" t="s">
        <v>905</v>
      </c>
      <c r="B272" s="5" t="s">
        <v>906</v>
      </c>
      <c r="C272" s="6" t="s">
        <v>13</v>
      </c>
      <c r="D272" s="5" t="s">
        <v>845</v>
      </c>
      <c r="E272" s="5" t="s">
        <v>74</v>
      </c>
      <c r="F272" s="5" t="s">
        <v>876</v>
      </c>
      <c r="G272" s="5" t="s">
        <v>184</v>
      </c>
      <c r="H272" s="5" t="s">
        <v>18</v>
      </c>
      <c r="I272" s="8" t="s">
        <v>907</v>
      </c>
      <c r="J272" s="8" t="s">
        <v>13</v>
      </c>
    </row>
    <row r="273">
      <c r="A273" s="5" t="s">
        <v>908</v>
      </c>
      <c r="B273" s="5" t="s">
        <v>25</v>
      </c>
      <c r="C273" s="6" t="s">
        <v>13</v>
      </c>
      <c r="D273" s="5" t="s">
        <v>845</v>
      </c>
      <c r="E273" s="5" t="s">
        <v>909</v>
      </c>
      <c r="F273" s="5" t="s">
        <v>876</v>
      </c>
      <c r="G273" s="5" t="s">
        <v>184</v>
      </c>
      <c r="H273" s="5" t="s">
        <v>18</v>
      </c>
      <c r="I273" s="7" t="s">
        <v>910</v>
      </c>
      <c r="J273" s="8" t="s">
        <v>13</v>
      </c>
    </row>
    <row r="274">
      <c r="A274" s="5" t="s">
        <v>911</v>
      </c>
      <c r="B274" s="5" t="s">
        <v>371</v>
      </c>
      <c r="C274" s="6" t="s">
        <v>13</v>
      </c>
      <c r="D274" s="5" t="s">
        <v>845</v>
      </c>
      <c r="E274" s="5" t="s">
        <v>136</v>
      </c>
      <c r="F274" s="5" t="s">
        <v>102</v>
      </c>
      <c r="G274" s="5" t="s">
        <v>172</v>
      </c>
      <c r="H274" s="5" t="s">
        <v>18</v>
      </c>
      <c r="I274" s="8" t="s">
        <v>912</v>
      </c>
      <c r="J274" s="8" t="s">
        <v>13</v>
      </c>
    </row>
    <row r="275">
      <c r="A275" s="5" t="s">
        <v>913</v>
      </c>
      <c r="B275" s="5" t="s">
        <v>914</v>
      </c>
      <c r="C275" s="6" t="s">
        <v>13</v>
      </c>
      <c r="D275" s="5" t="s">
        <v>845</v>
      </c>
      <c r="E275" s="5" t="s">
        <v>574</v>
      </c>
      <c r="F275" s="5" t="s">
        <v>102</v>
      </c>
      <c r="G275" s="5" t="s">
        <v>172</v>
      </c>
      <c r="H275" s="5" t="s">
        <v>18</v>
      </c>
      <c r="I275" s="8" t="s">
        <v>915</v>
      </c>
      <c r="J275" s="8" t="s">
        <v>13</v>
      </c>
    </row>
    <row r="276">
      <c r="A276" s="5" t="s">
        <v>916</v>
      </c>
      <c r="B276" s="5" t="s">
        <v>25</v>
      </c>
      <c r="C276" s="6" t="s">
        <v>13</v>
      </c>
      <c r="D276" s="5" t="s">
        <v>845</v>
      </c>
      <c r="E276" s="5" t="s">
        <v>182</v>
      </c>
      <c r="F276" s="5" t="s">
        <v>102</v>
      </c>
      <c r="G276" s="5" t="s">
        <v>172</v>
      </c>
      <c r="H276" s="5" t="s">
        <v>18</v>
      </c>
      <c r="I276" s="7" t="s">
        <v>917</v>
      </c>
      <c r="J276" s="8" t="s">
        <v>13</v>
      </c>
    </row>
    <row r="277">
      <c r="A277" s="5" t="s">
        <v>918</v>
      </c>
      <c r="B277" s="5" t="s">
        <v>919</v>
      </c>
      <c r="C277" s="6" t="s">
        <v>13</v>
      </c>
      <c r="D277" s="5" t="s">
        <v>845</v>
      </c>
      <c r="E277" s="5" t="s">
        <v>512</v>
      </c>
      <c r="F277" s="5" t="s">
        <v>102</v>
      </c>
      <c r="G277" s="5" t="s">
        <v>172</v>
      </c>
      <c r="H277" s="5" t="s">
        <v>18</v>
      </c>
      <c r="I277" s="7" t="s">
        <v>920</v>
      </c>
      <c r="J277" s="8" t="s">
        <v>13</v>
      </c>
    </row>
    <row r="278">
      <c r="A278" s="5" t="s">
        <v>921</v>
      </c>
      <c r="B278" s="5" t="s">
        <v>371</v>
      </c>
      <c r="C278" s="6" t="s">
        <v>13</v>
      </c>
      <c r="D278" s="5" t="s">
        <v>845</v>
      </c>
      <c r="E278" s="5" t="s">
        <v>48</v>
      </c>
      <c r="F278" s="5" t="s">
        <v>102</v>
      </c>
      <c r="G278" s="5" t="s">
        <v>172</v>
      </c>
      <c r="H278" s="5" t="s">
        <v>18</v>
      </c>
      <c r="I278" s="7" t="s">
        <v>922</v>
      </c>
      <c r="J278" s="8" t="s">
        <v>13</v>
      </c>
    </row>
    <row r="279">
      <c r="A279" s="5" t="s">
        <v>923</v>
      </c>
      <c r="B279" s="5" t="s">
        <v>924</v>
      </c>
      <c r="C279" s="6" t="s">
        <v>13</v>
      </c>
      <c r="D279" s="5" t="s">
        <v>845</v>
      </c>
      <c r="E279" s="5" t="s">
        <v>217</v>
      </c>
      <c r="F279" s="5" t="s">
        <v>102</v>
      </c>
      <c r="G279" s="5" t="s">
        <v>172</v>
      </c>
      <c r="H279" s="5" t="s">
        <v>18</v>
      </c>
      <c r="I279" s="7" t="s">
        <v>925</v>
      </c>
      <c r="J279" s="8" t="s">
        <v>13</v>
      </c>
    </row>
    <row r="280">
      <c r="A280" s="5" t="s">
        <v>926</v>
      </c>
      <c r="B280" s="5" t="s">
        <v>927</v>
      </c>
      <c r="C280" s="6" t="s">
        <v>13</v>
      </c>
      <c r="D280" s="5" t="s">
        <v>845</v>
      </c>
      <c r="E280" s="5" t="s">
        <v>149</v>
      </c>
      <c r="F280" s="5" t="s">
        <v>102</v>
      </c>
      <c r="G280" s="5" t="s">
        <v>172</v>
      </c>
      <c r="H280" s="5" t="s">
        <v>18</v>
      </c>
      <c r="I280" s="7" t="s">
        <v>928</v>
      </c>
      <c r="J280" s="8" t="s">
        <v>13</v>
      </c>
    </row>
    <row r="281">
      <c r="A281" s="5" t="s">
        <v>929</v>
      </c>
      <c r="B281" s="5" t="s">
        <v>930</v>
      </c>
      <c r="C281" s="6" t="s">
        <v>13</v>
      </c>
      <c r="D281" s="5" t="s">
        <v>845</v>
      </c>
      <c r="E281" s="5" t="s">
        <v>60</v>
      </c>
      <c r="F281" s="5" t="s">
        <v>102</v>
      </c>
      <c r="G281" s="5" t="s">
        <v>172</v>
      </c>
      <c r="H281" s="5" t="s">
        <v>18</v>
      </c>
      <c r="I281" s="7" t="s">
        <v>931</v>
      </c>
      <c r="J281" s="8" t="s">
        <v>13</v>
      </c>
    </row>
    <row r="282">
      <c r="A282" s="5" t="s">
        <v>932</v>
      </c>
      <c r="B282" s="5" t="s">
        <v>25</v>
      </c>
      <c r="C282" s="6" t="s">
        <v>13</v>
      </c>
      <c r="D282" s="5" t="s">
        <v>845</v>
      </c>
      <c r="E282" s="5" t="s">
        <v>100</v>
      </c>
      <c r="F282" s="5" t="s">
        <v>102</v>
      </c>
      <c r="G282" s="5" t="s">
        <v>172</v>
      </c>
      <c r="H282" s="5" t="s">
        <v>18</v>
      </c>
      <c r="I282" s="7" t="s">
        <v>933</v>
      </c>
      <c r="J282" s="8" t="s">
        <v>13</v>
      </c>
    </row>
    <row r="283">
      <c r="A283" s="5" t="s">
        <v>934</v>
      </c>
      <c r="B283" s="5" t="s">
        <v>25</v>
      </c>
      <c r="C283" s="6" t="s">
        <v>13</v>
      </c>
      <c r="D283" s="5" t="s">
        <v>845</v>
      </c>
      <c r="E283" s="5" t="s">
        <v>100</v>
      </c>
      <c r="F283" s="5" t="s">
        <v>102</v>
      </c>
      <c r="G283" s="5" t="s">
        <v>172</v>
      </c>
      <c r="H283" s="5" t="s">
        <v>18</v>
      </c>
      <c r="I283" s="7" t="s">
        <v>935</v>
      </c>
      <c r="J283" s="8" t="s">
        <v>13</v>
      </c>
    </row>
    <row r="284">
      <c r="A284" s="5" t="s">
        <v>936</v>
      </c>
      <c r="B284" s="5" t="s">
        <v>25</v>
      </c>
      <c r="C284" s="6" t="s">
        <v>13</v>
      </c>
      <c r="D284" s="5" t="s">
        <v>845</v>
      </c>
      <c r="E284" s="5" t="s">
        <v>228</v>
      </c>
      <c r="F284" s="5" t="s">
        <v>608</v>
      </c>
      <c r="G284" s="5" t="s">
        <v>609</v>
      </c>
      <c r="H284" s="5" t="s">
        <v>18</v>
      </c>
      <c r="I284" s="7" t="s">
        <v>937</v>
      </c>
      <c r="J284" s="8" t="s">
        <v>13</v>
      </c>
    </row>
    <row r="285">
      <c r="A285" s="5" t="s">
        <v>938</v>
      </c>
      <c r="B285" s="5" t="s">
        <v>939</v>
      </c>
      <c r="C285" s="6" t="s">
        <v>13</v>
      </c>
      <c r="D285" s="5" t="s">
        <v>940</v>
      </c>
      <c r="E285" s="5" t="s">
        <v>512</v>
      </c>
      <c r="F285" s="5" t="s">
        <v>80</v>
      </c>
      <c r="G285" s="5" t="s">
        <v>38</v>
      </c>
      <c r="H285" s="5" t="s">
        <v>18</v>
      </c>
      <c r="I285" s="7" t="s">
        <v>941</v>
      </c>
      <c r="J285" s="8" t="s">
        <v>13</v>
      </c>
    </row>
    <row r="286">
      <c r="A286" s="5" t="s">
        <v>942</v>
      </c>
      <c r="B286" s="5" t="s">
        <v>943</v>
      </c>
      <c r="C286" s="6" t="s">
        <v>13</v>
      </c>
      <c r="D286" s="5" t="s">
        <v>940</v>
      </c>
      <c r="E286" s="5" t="s">
        <v>455</v>
      </c>
      <c r="F286" s="5" t="s">
        <v>944</v>
      </c>
      <c r="G286" s="5" t="s">
        <v>945</v>
      </c>
      <c r="H286" s="5" t="s">
        <v>18</v>
      </c>
      <c r="I286" s="7" t="s">
        <v>946</v>
      </c>
      <c r="J286" s="8" t="s">
        <v>13</v>
      </c>
    </row>
    <row r="287">
      <c r="A287" s="5" t="s">
        <v>947</v>
      </c>
      <c r="B287" s="5" t="s">
        <v>110</v>
      </c>
      <c r="C287" s="6" t="s">
        <v>13</v>
      </c>
      <c r="D287" s="5" t="s">
        <v>940</v>
      </c>
      <c r="E287" s="5" t="s">
        <v>144</v>
      </c>
      <c r="F287" s="5" t="s">
        <v>948</v>
      </c>
      <c r="G287" s="5" t="s">
        <v>949</v>
      </c>
      <c r="H287" s="5" t="s">
        <v>18</v>
      </c>
      <c r="I287" s="8" t="s">
        <v>950</v>
      </c>
      <c r="J287" s="8" t="s">
        <v>13</v>
      </c>
    </row>
    <row r="288">
      <c r="A288" s="5" t="s">
        <v>951</v>
      </c>
      <c r="B288" s="5" t="s">
        <v>952</v>
      </c>
      <c r="C288" s="6" t="s">
        <v>13</v>
      </c>
      <c r="D288" s="5" t="s">
        <v>940</v>
      </c>
      <c r="E288" s="5" t="s">
        <v>441</v>
      </c>
      <c r="F288" s="5" t="s">
        <v>953</v>
      </c>
      <c r="G288" s="5" t="s">
        <v>954</v>
      </c>
      <c r="H288" s="5" t="s">
        <v>18</v>
      </c>
      <c r="I288" s="7" t="s">
        <v>955</v>
      </c>
      <c r="J288" s="8" t="s">
        <v>13</v>
      </c>
    </row>
    <row r="289">
      <c r="A289" s="5" t="s">
        <v>956</v>
      </c>
      <c r="B289" s="5" t="s">
        <v>957</v>
      </c>
      <c r="C289" s="6" t="s">
        <v>13</v>
      </c>
      <c r="D289" s="5" t="s">
        <v>940</v>
      </c>
      <c r="E289" s="5" t="s">
        <v>958</v>
      </c>
      <c r="F289" s="5" t="s">
        <v>953</v>
      </c>
      <c r="G289" s="5" t="s">
        <v>954</v>
      </c>
      <c r="H289" s="5" t="s">
        <v>18</v>
      </c>
      <c r="I289" s="8" t="s">
        <v>959</v>
      </c>
      <c r="J289" s="8" t="s">
        <v>13</v>
      </c>
    </row>
    <row r="290">
      <c r="A290" s="5" t="s">
        <v>960</v>
      </c>
      <c r="B290" s="5" t="s">
        <v>25</v>
      </c>
      <c r="C290" s="6" t="s">
        <v>13</v>
      </c>
      <c r="D290" s="5" t="s">
        <v>940</v>
      </c>
      <c r="F290" s="5" t="s">
        <v>961</v>
      </c>
      <c r="G290" s="5" t="s">
        <v>962</v>
      </c>
      <c r="H290" s="5" t="s">
        <v>18</v>
      </c>
      <c r="I290" s="7" t="s">
        <v>963</v>
      </c>
      <c r="J290" s="8" t="s">
        <v>13</v>
      </c>
    </row>
    <row r="291">
      <c r="A291" s="5" t="s">
        <v>964</v>
      </c>
      <c r="B291" s="5" t="s">
        <v>480</v>
      </c>
      <c r="C291" s="6" t="s">
        <v>13</v>
      </c>
      <c r="D291" s="5" t="s">
        <v>965</v>
      </c>
      <c r="F291" s="5" t="s">
        <v>16</v>
      </c>
      <c r="G291" s="5" t="s">
        <v>17</v>
      </c>
      <c r="H291" s="5" t="s">
        <v>18</v>
      </c>
      <c r="I291" s="7" t="s">
        <v>966</v>
      </c>
      <c r="J291" s="8" t="s">
        <v>13</v>
      </c>
    </row>
    <row r="292">
      <c r="A292" s="5" t="s">
        <v>967</v>
      </c>
      <c r="B292" s="5" t="s">
        <v>480</v>
      </c>
      <c r="C292" s="6" t="s">
        <v>13</v>
      </c>
      <c r="D292" s="5" t="s">
        <v>965</v>
      </c>
      <c r="E292" s="5" t="s">
        <v>106</v>
      </c>
      <c r="F292" s="5" t="s">
        <v>968</v>
      </c>
      <c r="G292" s="5" t="s">
        <v>184</v>
      </c>
      <c r="H292" s="5" t="s">
        <v>18</v>
      </c>
      <c r="I292" s="7" t="s">
        <v>969</v>
      </c>
      <c r="J292" s="8" t="s">
        <v>13</v>
      </c>
    </row>
    <row r="293">
      <c r="A293" s="5" t="s">
        <v>970</v>
      </c>
      <c r="B293" s="5" t="s">
        <v>971</v>
      </c>
      <c r="C293" s="6" t="s">
        <v>13</v>
      </c>
      <c r="D293" s="5" t="s">
        <v>965</v>
      </c>
      <c r="E293" s="5" t="s">
        <v>15</v>
      </c>
      <c r="F293" s="5" t="s">
        <v>85</v>
      </c>
      <c r="G293" s="5" t="s">
        <v>86</v>
      </c>
      <c r="H293" s="5" t="s">
        <v>18</v>
      </c>
      <c r="I293" s="7" t="s">
        <v>972</v>
      </c>
      <c r="J293" s="8" t="s">
        <v>13</v>
      </c>
    </row>
    <row r="294">
      <c r="A294" s="5" t="s">
        <v>973</v>
      </c>
      <c r="B294" s="5" t="s">
        <v>974</v>
      </c>
      <c r="C294" s="6" t="s">
        <v>13</v>
      </c>
      <c r="D294" s="5" t="s">
        <v>965</v>
      </c>
      <c r="E294" s="5" t="s">
        <v>217</v>
      </c>
      <c r="F294" s="5" t="s">
        <v>975</v>
      </c>
      <c r="G294" s="5" t="s">
        <v>427</v>
      </c>
      <c r="H294" s="5" t="s">
        <v>18</v>
      </c>
      <c r="I294" s="8" t="s">
        <v>976</v>
      </c>
      <c r="J294" s="8" t="s">
        <v>13</v>
      </c>
    </row>
    <row r="295">
      <c r="A295" s="5" t="s">
        <v>977</v>
      </c>
      <c r="B295" s="5" t="s">
        <v>480</v>
      </c>
      <c r="C295" s="6" t="s">
        <v>13</v>
      </c>
      <c r="D295" s="5" t="s">
        <v>965</v>
      </c>
      <c r="E295" s="5" t="s">
        <v>29</v>
      </c>
      <c r="F295" s="5" t="s">
        <v>975</v>
      </c>
      <c r="G295" s="5" t="s">
        <v>427</v>
      </c>
      <c r="H295" s="5" t="s">
        <v>18</v>
      </c>
      <c r="I295" s="7" t="s">
        <v>978</v>
      </c>
      <c r="J295" s="8" t="s">
        <v>13</v>
      </c>
    </row>
    <row r="296">
      <c r="A296" s="5" t="s">
        <v>979</v>
      </c>
      <c r="B296" s="5" t="s">
        <v>480</v>
      </c>
      <c r="C296" s="6" t="s">
        <v>13</v>
      </c>
      <c r="D296" s="5" t="s">
        <v>965</v>
      </c>
      <c r="E296" s="5" t="s">
        <v>980</v>
      </c>
      <c r="F296" s="5" t="s">
        <v>975</v>
      </c>
      <c r="G296" s="6" t="s">
        <v>427</v>
      </c>
      <c r="H296" s="5" t="s">
        <v>18</v>
      </c>
      <c r="I296" s="7" t="s">
        <v>981</v>
      </c>
      <c r="J296" s="8" t="s">
        <v>13</v>
      </c>
    </row>
    <row r="297">
      <c r="A297" s="5" t="s">
        <v>982</v>
      </c>
      <c r="B297" s="5" t="s">
        <v>25</v>
      </c>
      <c r="C297" s="6" t="s">
        <v>13</v>
      </c>
      <c r="D297" s="5" t="s">
        <v>965</v>
      </c>
      <c r="E297" s="5" t="s">
        <v>222</v>
      </c>
      <c r="F297" s="5" t="s">
        <v>975</v>
      </c>
      <c r="G297" s="5" t="s">
        <v>427</v>
      </c>
      <c r="H297" s="5" t="s">
        <v>18</v>
      </c>
      <c r="I297" s="7" t="s">
        <v>983</v>
      </c>
      <c r="J297" s="8" t="s">
        <v>13</v>
      </c>
    </row>
    <row r="298">
      <c r="A298" s="5" t="s">
        <v>984</v>
      </c>
      <c r="B298" s="5" t="s">
        <v>985</v>
      </c>
      <c r="C298" s="6" t="s">
        <v>13</v>
      </c>
      <c r="D298" s="5" t="s">
        <v>965</v>
      </c>
      <c r="E298" s="5" t="s">
        <v>666</v>
      </c>
      <c r="F298" s="5" t="s">
        <v>986</v>
      </c>
      <c r="G298" s="5" t="s">
        <v>184</v>
      </c>
      <c r="H298" s="5" t="s">
        <v>18</v>
      </c>
      <c r="I298" s="7" t="s">
        <v>987</v>
      </c>
      <c r="J298" s="8" t="s">
        <v>13</v>
      </c>
    </row>
    <row r="299">
      <c r="A299" s="5" t="s">
        <v>988</v>
      </c>
      <c r="B299" s="5" t="s">
        <v>480</v>
      </c>
      <c r="C299" s="6" t="s">
        <v>13</v>
      </c>
      <c r="D299" s="5" t="s">
        <v>965</v>
      </c>
      <c r="E299" s="5" t="s">
        <v>48</v>
      </c>
      <c r="F299" s="5" t="s">
        <v>295</v>
      </c>
      <c r="G299" s="5" t="s">
        <v>154</v>
      </c>
      <c r="H299" s="5" t="s">
        <v>18</v>
      </c>
      <c r="I299" s="7" t="s">
        <v>989</v>
      </c>
      <c r="J299" s="8" t="s">
        <v>13</v>
      </c>
    </row>
    <row r="300">
      <c r="A300" s="5" t="s">
        <v>990</v>
      </c>
      <c r="B300" s="5" t="s">
        <v>991</v>
      </c>
      <c r="C300" s="6" t="s">
        <v>13</v>
      </c>
      <c r="D300" s="5" t="s">
        <v>965</v>
      </c>
      <c r="E300" s="5" t="s">
        <v>268</v>
      </c>
      <c r="F300" s="5" t="s">
        <v>102</v>
      </c>
      <c r="G300" s="5" t="s">
        <v>172</v>
      </c>
      <c r="H300" s="5" t="s">
        <v>18</v>
      </c>
      <c r="I300" s="7" t="s">
        <v>992</v>
      </c>
      <c r="J300" s="8" t="s">
        <v>13</v>
      </c>
    </row>
    <row r="301">
      <c r="A301" s="5" t="s">
        <v>993</v>
      </c>
      <c r="B301" s="5" t="s">
        <v>25</v>
      </c>
      <c r="C301" s="6" t="s">
        <v>13</v>
      </c>
      <c r="D301" s="5" t="s">
        <v>994</v>
      </c>
      <c r="E301" s="5" t="s">
        <v>399</v>
      </c>
      <c r="F301" s="5" t="s">
        <v>377</v>
      </c>
      <c r="G301" s="5" t="s">
        <v>378</v>
      </c>
      <c r="H301" s="5" t="s">
        <v>18</v>
      </c>
      <c r="I301" s="7" t="s">
        <v>995</v>
      </c>
      <c r="J301" s="8" t="s">
        <v>13</v>
      </c>
    </row>
    <row r="302">
      <c r="A302" s="5" t="s">
        <v>996</v>
      </c>
      <c r="B302" s="5" t="s">
        <v>25</v>
      </c>
      <c r="C302" s="6" t="s">
        <v>13</v>
      </c>
      <c r="D302" s="5" t="s">
        <v>994</v>
      </c>
      <c r="E302" s="5" t="s">
        <v>136</v>
      </c>
      <c r="F302" s="5" t="s">
        <v>377</v>
      </c>
      <c r="G302" s="5" t="s">
        <v>378</v>
      </c>
      <c r="H302" s="5" t="s">
        <v>18</v>
      </c>
      <c r="I302" s="7" t="s">
        <v>997</v>
      </c>
      <c r="J302" s="8" t="s">
        <v>13</v>
      </c>
    </row>
    <row r="303">
      <c r="A303" s="5" t="s">
        <v>998</v>
      </c>
      <c r="B303" s="5" t="s">
        <v>47</v>
      </c>
      <c r="C303" s="6" t="s">
        <v>13</v>
      </c>
      <c r="D303" s="5" t="s">
        <v>994</v>
      </c>
      <c r="E303" s="5" t="s">
        <v>455</v>
      </c>
      <c r="F303" s="5" t="s">
        <v>377</v>
      </c>
      <c r="G303" s="5" t="s">
        <v>378</v>
      </c>
      <c r="H303" s="5" t="s">
        <v>18</v>
      </c>
      <c r="I303" s="7" t="s">
        <v>999</v>
      </c>
      <c r="J303" s="8" t="s">
        <v>13</v>
      </c>
    </row>
    <row r="304">
      <c r="A304" s="5" t="s">
        <v>1000</v>
      </c>
      <c r="B304" s="5" t="s">
        <v>25</v>
      </c>
      <c r="C304" s="6" t="s">
        <v>13</v>
      </c>
      <c r="D304" s="5" t="s">
        <v>994</v>
      </c>
      <c r="E304" s="5" t="s">
        <v>222</v>
      </c>
      <c r="F304" s="5" t="s">
        <v>388</v>
      </c>
      <c r="G304" s="5" t="s">
        <v>203</v>
      </c>
      <c r="H304" s="5" t="s">
        <v>18</v>
      </c>
      <c r="I304" s="7" t="s">
        <v>1001</v>
      </c>
      <c r="J304" s="8" t="s">
        <v>13</v>
      </c>
    </row>
    <row r="305">
      <c r="A305" s="5" t="s">
        <v>1002</v>
      </c>
      <c r="B305" s="5" t="s">
        <v>1003</v>
      </c>
      <c r="C305" s="6" t="s">
        <v>13</v>
      </c>
      <c r="D305" s="5" t="s">
        <v>994</v>
      </c>
      <c r="E305" s="5" t="s">
        <v>237</v>
      </c>
      <c r="F305" s="5" t="s">
        <v>1004</v>
      </c>
      <c r="G305" s="5" t="s">
        <v>378</v>
      </c>
      <c r="H305" s="5" t="s">
        <v>18</v>
      </c>
      <c r="I305" s="8" t="s">
        <v>1005</v>
      </c>
      <c r="J305" s="8" t="s">
        <v>13</v>
      </c>
    </row>
    <row r="306">
      <c r="A306" s="5" t="s">
        <v>1006</v>
      </c>
      <c r="B306" s="5" t="s">
        <v>110</v>
      </c>
      <c r="C306" s="6" t="s">
        <v>13</v>
      </c>
      <c r="D306" s="5" t="s">
        <v>1007</v>
      </c>
      <c r="F306" s="5" t="s">
        <v>1008</v>
      </c>
      <c r="G306" s="5" t="s">
        <v>44</v>
      </c>
      <c r="H306" s="5" t="s">
        <v>18</v>
      </c>
      <c r="I306" s="7" t="s">
        <v>1009</v>
      </c>
      <c r="J306" s="8" t="s">
        <v>13</v>
      </c>
    </row>
    <row r="307">
      <c r="A307" s="5" t="s">
        <v>1010</v>
      </c>
      <c r="B307" s="5" t="s">
        <v>1011</v>
      </c>
      <c r="C307" s="6" t="s">
        <v>13</v>
      </c>
      <c r="D307" s="5" t="s">
        <v>1007</v>
      </c>
      <c r="E307" s="5" t="s">
        <v>217</v>
      </c>
      <c r="F307" s="5" t="s">
        <v>85</v>
      </c>
      <c r="G307" s="5" t="s">
        <v>86</v>
      </c>
      <c r="H307" s="5" t="s">
        <v>18</v>
      </c>
      <c r="I307" s="7" t="s">
        <v>1012</v>
      </c>
      <c r="J307" s="8" t="s">
        <v>13</v>
      </c>
    </row>
    <row r="308">
      <c r="A308" s="5" t="s">
        <v>1013</v>
      </c>
      <c r="B308" s="5" t="s">
        <v>110</v>
      </c>
      <c r="C308" s="6" t="s">
        <v>13</v>
      </c>
      <c r="D308" s="5" t="s">
        <v>1007</v>
      </c>
      <c r="E308" s="5" t="s">
        <v>345</v>
      </c>
      <c r="F308" s="5" t="s">
        <v>801</v>
      </c>
      <c r="G308" s="5" t="s">
        <v>50</v>
      </c>
      <c r="H308" s="5" t="s">
        <v>18</v>
      </c>
      <c r="I308" s="8" t="s">
        <v>1014</v>
      </c>
      <c r="J308" s="8" t="s">
        <v>13</v>
      </c>
    </row>
    <row r="309">
      <c r="A309" s="5" t="s">
        <v>1015</v>
      </c>
      <c r="B309" s="5" t="s">
        <v>110</v>
      </c>
      <c r="C309" s="6" t="s">
        <v>13</v>
      </c>
      <c r="D309" s="5" t="s">
        <v>1007</v>
      </c>
      <c r="E309" s="5" t="s">
        <v>351</v>
      </c>
      <c r="F309" s="5" t="s">
        <v>166</v>
      </c>
      <c r="G309" s="5" t="s">
        <v>44</v>
      </c>
      <c r="H309" s="5" t="s">
        <v>18</v>
      </c>
      <c r="I309" s="7" t="s">
        <v>1016</v>
      </c>
      <c r="J309" s="8" t="s">
        <v>13</v>
      </c>
    </row>
    <row r="310">
      <c r="A310" s="5" t="s">
        <v>1017</v>
      </c>
      <c r="B310" s="5" t="s">
        <v>110</v>
      </c>
      <c r="C310" s="6" t="s">
        <v>13</v>
      </c>
      <c r="D310" s="5" t="s">
        <v>1007</v>
      </c>
      <c r="E310" s="5" t="s">
        <v>331</v>
      </c>
      <c r="F310" s="5" t="s">
        <v>1018</v>
      </c>
      <c r="G310" s="5" t="s">
        <v>203</v>
      </c>
      <c r="H310" s="5" t="s">
        <v>18</v>
      </c>
      <c r="I310" s="7" t="s">
        <v>1019</v>
      </c>
      <c r="J310" s="8" t="s">
        <v>13</v>
      </c>
    </row>
    <row r="311">
      <c r="A311" s="5" t="s">
        <v>1020</v>
      </c>
      <c r="B311" s="5" t="s">
        <v>1021</v>
      </c>
      <c r="C311" s="6" t="s">
        <v>13</v>
      </c>
      <c r="D311" s="5" t="s">
        <v>1007</v>
      </c>
      <c r="E311" s="5" t="s">
        <v>268</v>
      </c>
      <c r="F311" s="5" t="s">
        <v>1022</v>
      </c>
      <c r="G311" s="5" t="s">
        <v>264</v>
      </c>
      <c r="H311" s="5" t="s">
        <v>18</v>
      </c>
      <c r="I311" s="8" t="s">
        <v>1023</v>
      </c>
      <c r="J311" s="8" t="s">
        <v>13</v>
      </c>
    </row>
    <row r="312">
      <c r="A312" s="5" t="s">
        <v>1020</v>
      </c>
      <c r="B312" s="5" t="s">
        <v>1024</v>
      </c>
      <c r="C312" s="6" t="s">
        <v>13</v>
      </c>
      <c r="D312" s="5" t="s">
        <v>1007</v>
      </c>
      <c r="E312" s="5" t="s">
        <v>1025</v>
      </c>
      <c r="F312" s="5" t="s">
        <v>1022</v>
      </c>
      <c r="G312" s="5" t="s">
        <v>264</v>
      </c>
      <c r="H312" s="5" t="s">
        <v>18</v>
      </c>
      <c r="I312" s="7" t="s">
        <v>1026</v>
      </c>
      <c r="J312" s="8" t="s">
        <v>13</v>
      </c>
    </row>
    <row r="313">
      <c r="A313" s="5" t="s">
        <v>1027</v>
      </c>
      <c r="B313" s="5" t="s">
        <v>1028</v>
      </c>
      <c r="C313" s="6" t="s">
        <v>13</v>
      </c>
      <c r="D313" s="5" t="s">
        <v>1007</v>
      </c>
      <c r="E313" s="5" t="s">
        <v>727</v>
      </c>
      <c r="F313" s="6" t="s">
        <v>64</v>
      </c>
      <c r="G313" s="6" t="s">
        <v>65</v>
      </c>
      <c r="H313" s="5" t="s">
        <v>18</v>
      </c>
      <c r="I313" s="7" t="s">
        <v>1029</v>
      </c>
      <c r="J313" s="8" t="s">
        <v>13</v>
      </c>
    </row>
    <row r="314">
      <c r="A314" s="5" t="s">
        <v>1030</v>
      </c>
      <c r="B314" s="5" t="s">
        <v>480</v>
      </c>
      <c r="C314" s="6" t="s">
        <v>13</v>
      </c>
      <c r="D314" s="5" t="s">
        <v>1007</v>
      </c>
      <c r="F314" s="5" t="s">
        <v>801</v>
      </c>
      <c r="G314" s="5" t="s">
        <v>50</v>
      </c>
      <c r="H314" s="5" t="s">
        <v>18</v>
      </c>
      <c r="I314" s="7" t="s">
        <v>1031</v>
      </c>
      <c r="J314" s="8" t="s">
        <v>13</v>
      </c>
    </row>
    <row r="315">
      <c r="A315" s="5" t="s">
        <v>1032</v>
      </c>
      <c r="B315" s="5" t="s">
        <v>1033</v>
      </c>
      <c r="C315" s="6" t="s">
        <v>13</v>
      </c>
      <c r="D315" s="5" t="s">
        <v>1007</v>
      </c>
      <c r="E315" s="5" t="s">
        <v>1034</v>
      </c>
      <c r="F315" s="5" t="s">
        <v>1035</v>
      </c>
      <c r="G315" s="5" t="s">
        <v>38</v>
      </c>
      <c r="H315" s="5" t="s">
        <v>18</v>
      </c>
      <c r="I315" s="7" t="s">
        <v>1036</v>
      </c>
      <c r="J315" s="8" t="s">
        <v>13</v>
      </c>
    </row>
    <row r="316">
      <c r="A316" s="5" t="s">
        <v>1037</v>
      </c>
      <c r="B316" s="5" t="s">
        <v>110</v>
      </c>
      <c r="C316" s="6" t="s">
        <v>13</v>
      </c>
      <c r="D316" s="5" t="s">
        <v>1007</v>
      </c>
      <c r="F316" s="5" t="s">
        <v>169</v>
      </c>
      <c r="G316" s="5" t="s">
        <v>44</v>
      </c>
      <c r="H316" s="5" t="s">
        <v>18</v>
      </c>
      <c r="I316" s="8" t="s">
        <v>1038</v>
      </c>
      <c r="J316" s="8" t="s">
        <v>13</v>
      </c>
    </row>
    <row r="317">
      <c r="A317" s="5" t="s">
        <v>1039</v>
      </c>
      <c r="B317" s="5" t="s">
        <v>480</v>
      </c>
      <c r="C317" s="6" t="s">
        <v>13</v>
      </c>
      <c r="D317" s="5" t="s">
        <v>1007</v>
      </c>
      <c r="F317" s="5" t="s">
        <v>1040</v>
      </c>
      <c r="G317" s="5" t="s">
        <v>50</v>
      </c>
      <c r="H317" s="5" t="s">
        <v>18</v>
      </c>
      <c r="I317" s="8" t="s">
        <v>1041</v>
      </c>
      <c r="J317" s="8" t="s">
        <v>13</v>
      </c>
    </row>
    <row r="318">
      <c r="A318" s="5" t="s">
        <v>1042</v>
      </c>
      <c r="B318" s="5" t="s">
        <v>25</v>
      </c>
      <c r="C318" s="6" t="s">
        <v>13</v>
      </c>
      <c r="D318" s="5" t="s">
        <v>1043</v>
      </c>
      <c r="E318" s="5" t="s">
        <v>512</v>
      </c>
      <c r="F318" s="5" t="s">
        <v>64</v>
      </c>
      <c r="G318" s="5" t="s">
        <v>65</v>
      </c>
      <c r="H318" s="5" t="s">
        <v>18</v>
      </c>
      <c r="I318" s="7" t="s">
        <v>1044</v>
      </c>
      <c r="J318" s="8" t="s">
        <v>13</v>
      </c>
    </row>
    <row r="319">
      <c r="A319" s="5" t="s">
        <v>1045</v>
      </c>
      <c r="B319" s="5" t="s">
        <v>371</v>
      </c>
      <c r="C319" s="6" t="s">
        <v>13</v>
      </c>
      <c r="D319" s="5" t="s">
        <v>1043</v>
      </c>
      <c r="E319" s="5" t="s">
        <v>182</v>
      </c>
      <c r="F319" s="6" t="s">
        <v>64</v>
      </c>
      <c r="G319" s="6" t="s">
        <v>65</v>
      </c>
      <c r="H319" s="5" t="s">
        <v>18</v>
      </c>
      <c r="I319" s="7" t="s">
        <v>1046</v>
      </c>
      <c r="J319" s="8" t="s">
        <v>13</v>
      </c>
    </row>
    <row r="320">
      <c r="A320" s="5" t="s">
        <v>1047</v>
      </c>
      <c r="B320" s="5" t="s">
        <v>1048</v>
      </c>
      <c r="C320" s="6" t="s">
        <v>13</v>
      </c>
      <c r="D320" s="5" t="s">
        <v>1043</v>
      </c>
      <c r="E320" s="5" t="s">
        <v>74</v>
      </c>
      <c r="F320" s="6" t="s">
        <v>64</v>
      </c>
      <c r="G320" s="6" t="s">
        <v>65</v>
      </c>
      <c r="H320" s="5" t="s">
        <v>18</v>
      </c>
      <c r="I320" s="7" t="s">
        <v>1049</v>
      </c>
      <c r="J320" s="8" t="s">
        <v>13</v>
      </c>
    </row>
    <row r="321">
      <c r="A321" s="5" t="s">
        <v>1050</v>
      </c>
      <c r="B321" s="5" t="s">
        <v>1051</v>
      </c>
      <c r="C321" s="6" t="s">
        <v>13</v>
      </c>
      <c r="D321" s="5" t="s">
        <v>1043</v>
      </c>
      <c r="E321" s="5" t="s">
        <v>79</v>
      </c>
      <c r="F321" s="5" t="s">
        <v>137</v>
      </c>
      <c r="G321" s="5" t="s">
        <v>137</v>
      </c>
      <c r="H321" s="5" t="s">
        <v>18</v>
      </c>
      <c r="I321" s="8" t="s">
        <v>1052</v>
      </c>
      <c r="J321" s="8" t="s">
        <v>13</v>
      </c>
    </row>
    <row r="322">
      <c r="A322" s="5" t="s">
        <v>1053</v>
      </c>
      <c r="B322" s="5" t="s">
        <v>25</v>
      </c>
      <c r="C322" s="6" t="s">
        <v>13</v>
      </c>
      <c r="D322" s="5" t="s">
        <v>1043</v>
      </c>
      <c r="E322" s="5" t="s">
        <v>15</v>
      </c>
      <c r="F322" s="5" t="s">
        <v>137</v>
      </c>
      <c r="G322" s="5" t="s">
        <v>137</v>
      </c>
      <c r="H322" s="5" t="s">
        <v>18</v>
      </c>
      <c r="I322" s="7" t="s">
        <v>1054</v>
      </c>
      <c r="J322" s="8" t="s">
        <v>13</v>
      </c>
    </row>
    <row r="323">
      <c r="A323" s="5" t="s">
        <v>1055</v>
      </c>
      <c r="B323" s="5" t="s">
        <v>25</v>
      </c>
      <c r="C323" s="6" t="s">
        <v>13</v>
      </c>
      <c r="D323" s="5" t="s">
        <v>1043</v>
      </c>
      <c r="E323" s="5" t="s">
        <v>165</v>
      </c>
      <c r="F323" s="5" t="s">
        <v>137</v>
      </c>
      <c r="G323" s="5" t="s">
        <v>137</v>
      </c>
      <c r="H323" s="5" t="s">
        <v>18</v>
      </c>
      <c r="I323" s="7" t="s">
        <v>1056</v>
      </c>
      <c r="J323" s="8" t="s">
        <v>13</v>
      </c>
    </row>
    <row r="324">
      <c r="A324" s="5" t="s">
        <v>1057</v>
      </c>
      <c r="B324" s="5" t="s">
        <v>25</v>
      </c>
      <c r="C324" s="6" t="s">
        <v>13</v>
      </c>
      <c r="D324" s="5" t="s">
        <v>1043</v>
      </c>
      <c r="E324" s="5" t="s">
        <v>79</v>
      </c>
      <c r="F324" s="5" t="s">
        <v>137</v>
      </c>
      <c r="G324" s="5" t="s">
        <v>137</v>
      </c>
      <c r="H324" s="5" t="s">
        <v>18</v>
      </c>
      <c r="I324" s="7" t="s">
        <v>1058</v>
      </c>
      <c r="J324" s="8" t="s">
        <v>13</v>
      </c>
    </row>
    <row r="325">
      <c r="A325" s="5" t="s">
        <v>1059</v>
      </c>
      <c r="B325" s="5" t="s">
        <v>25</v>
      </c>
      <c r="C325" s="6" t="s">
        <v>13</v>
      </c>
      <c r="D325" s="5" t="s">
        <v>1043</v>
      </c>
      <c r="E325" s="5" t="s">
        <v>734</v>
      </c>
      <c r="F325" s="6" t="s">
        <v>64</v>
      </c>
      <c r="G325" s="6" t="s">
        <v>65</v>
      </c>
      <c r="H325" s="5" t="s">
        <v>18</v>
      </c>
      <c r="I325" s="7" t="s">
        <v>1060</v>
      </c>
      <c r="J325" s="8" t="s">
        <v>13</v>
      </c>
    </row>
    <row r="326">
      <c r="A326" s="5" t="s">
        <v>1061</v>
      </c>
      <c r="B326" s="5" t="s">
        <v>1048</v>
      </c>
      <c r="C326" s="6" t="s">
        <v>13</v>
      </c>
      <c r="D326" s="5" t="s">
        <v>1043</v>
      </c>
      <c r="E326" s="5" t="s">
        <v>734</v>
      </c>
      <c r="F326" s="6" t="s">
        <v>64</v>
      </c>
      <c r="G326" s="6" t="s">
        <v>65</v>
      </c>
      <c r="H326" s="5" t="s">
        <v>18</v>
      </c>
      <c r="I326" s="7" t="s">
        <v>1062</v>
      </c>
      <c r="J326" s="8" t="s">
        <v>13</v>
      </c>
    </row>
    <row r="327">
      <c r="A327" s="5" t="s">
        <v>1063</v>
      </c>
      <c r="B327" s="5" t="s">
        <v>25</v>
      </c>
      <c r="C327" s="6" t="s">
        <v>13</v>
      </c>
      <c r="D327" s="5" t="s">
        <v>1064</v>
      </c>
      <c r="E327" s="5" t="s">
        <v>1065</v>
      </c>
      <c r="F327" s="5" t="s">
        <v>16</v>
      </c>
      <c r="G327" s="5" t="s">
        <v>17</v>
      </c>
      <c r="H327" s="5" t="s">
        <v>18</v>
      </c>
      <c r="I327" s="7" t="s">
        <v>1066</v>
      </c>
      <c r="J327" s="8" t="s">
        <v>13</v>
      </c>
    </row>
    <row r="328">
      <c r="A328" s="5" t="s">
        <v>1067</v>
      </c>
      <c r="B328" s="5" t="s">
        <v>371</v>
      </c>
      <c r="C328" s="6" t="s">
        <v>13</v>
      </c>
      <c r="D328" s="5" t="s">
        <v>1064</v>
      </c>
      <c r="E328" s="5" t="s">
        <v>1068</v>
      </c>
      <c r="F328" s="5" t="s">
        <v>1069</v>
      </c>
      <c r="G328" s="5" t="s">
        <v>96</v>
      </c>
      <c r="H328" s="5" t="s">
        <v>18</v>
      </c>
      <c r="I328" s="7" t="s">
        <v>1070</v>
      </c>
      <c r="J328" s="8" t="s">
        <v>13</v>
      </c>
    </row>
    <row r="329">
      <c r="A329" s="5" t="s">
        <v>1071</v>
      </c>
      <c r="B329" s="5" t="s">
        <v>25</v>
      </c>
      <c r="C329" s="6" t="s">
        <v>13</v>
      </c>
      <c r="D329" s="5" t="s">
        <v>1064</v>
      </c>
      <c r="E329" s="5" t="s">
        <v>430</v>
      </c>
      <c r="F329" s="6" t="s">
        <v>64</v>
      </c>
      <c r="G329" s="6" t="s">
        <v>65</v>
      </c>
      <c r="H329" s="5" t="s">
        <v>18</v>
      </c>
      <c r="I329" s="7" t="s">
        <v>1072</v>
      </c>
      <c r="J329" s="8" t="s">
        <v>13</v>
      </c>
    </row>
    <row r="330">
      <c r="A330" s="5" t="s">
        <v>1073</v>
      </c>
      <c r="B330" s="5" t="s">
        <v>25</v>
      </c>
      <c r="C330" s="6" t="s">
        <v>13</v>
      </c>
      <c r="D330" s="5" t="s">
        <v>1064</v>
      </c>
      <c r="E330" s="5" t="s">
        <v>500</v>
      </c>
      <c r="F330" s="5" t="s">
        <v>80</v>
      </c>
      <c r="G330" s="5" t="s">
        <v>38</v>
      </c>
      <c r="H330" s="5" t="s">
        <v>18</v>
      </c>
      <c r="I330" s="7" t="s">
        <v>1074</v>
      </c>
      <c r="J330" s="8" t="s">
        <v>13</v>
      </c>
    </row>
    <row r="331">
      <c r="A331" s="5" t="s">
        <v>1075</v>
      </c>
      <c r="B331" s="5" t="s">
        <v>1076</v>
      </c>
      <c r="C331" s="6" t="s">
        <v>13</v>
      </c>
      <c r="D331" s="5" t="s">
        <v>1064</v>
      </c>
      <c r="E331" s="5" t="s">
        <v>579</v>
      </c>
      <c r="F331" s="5" t="s">
        <v>80</v>
      </c>
      <c r="G331" s="5" t="s">
        <v>38</v>
      </c>
      <c r="H331" s="5" t="s">
        <v>18</v>
      </c>
      <c r="I331" s="7" t="s">
        <v>1077</v>
      </c>
      <c r="J331" s="8" t="s">
        <v>13</v>
      </c>
    </row>
    <row r="332">
      <c r="A332" s="5" t="s">
        <v>1078</v>
      </c>
      <c r="B332" s="5" t="s">
        <v>25</v>
      </c>
      <c r="C332" s="6" t="s">
        <v>13</v>
      </c>
      <c r="D332" s="5" t="s">
        <v>1064</v>
      </c>
      <c r="E332" s="5" t="s">
        <v>626</v>
      </c>
      <c r="F332" s="5" t="s">
        <v>1079</v>
      </c>
      <c r="G332" s="5" t="s">
        <v>259</v>
      </c>
      <c r="H332" s="5" t="s">
        <v>18</v>
      </c>
      <c r="I332" s="7" t="s">
        <v>1080</v>
      </c>
      <c r="J332" s="8" t="s">
        <v>13</v>
      </c>
    </row>
    <row r="333">
      <c r="A333" s="5" t="s">
        <v>1081</v>
      </c>
      <c r="B333" s="5" t="s">
        <v>1082</v>
      </c>
      <c r="C333" s="6" t="s">
        <v>13</v>
      </c>
      <c r="D333" s="5" t="s">
        <v>1064</v>
      </c>
      <c r="E333" s="5" t="s">
        <v>42</v>
      </c>
      <c r="F333" s="5" t="s">
        <v>137</v>
      </c>
      <c r="G333" s="5" t="s">
        <v>137</v>
      </c>
      <c r="H333" s="5" t="s">
        <v>18</v>
      </c>
      <c r="I333" s="8" t="s">
        <v>1083</v>
      </c>
      <c r="J333" s="8" t="s">
        <v>13</v>
      </c>
    </row>
    <row r="334">
      <c r="A334" s="5" t="s">
        <v>1084</v>
      </c>
      <c r="B334" s="5" t="s">
        <v>1085</v>
      </c>
      <c r="C334" s="6" t="s">
        <v>13</v>
      </c>
      <c r="D334" s="5" t="s">
        <v>1064</v>
      </c>
      <c r="E334" s="5" t="s">
        <v>84</v>
      </c>
      <c r="F334" s="5" t="s">
        <v>137</v>
      </c>
      <c r="G334" s="5" t="s">
        <v>137</v>
      </c>
      <c r="H334" s="5" t="s">
        <v>18</v>
      </c>
      <c r="I334" s="8" t="s">
        <v>1086</v>
      </c>
      <c r="J334" s="8" t="s">
        <v>13</v>
      </c>
    </row>
    <row r="335">
      <c r="A335" s="5" t="s">
        <v>1087</v>
      </c>
      <c r="B335" s="5" t="s">
        <v>1088</v>
      </c>
      <c r="C335" s="6" t="s">
        <v>13</v>
      </c>
      <c r="D335" s="5" t="s">
        <v>1064</v>
      </c>
      <c r="E335" s="5" t="s">
        <v>1089</v>
      </c>
      <c r="F335" s="5" t="s">
        <v>137</v>
      </c>
      <c r="G335" s="5" t="s">
        <v>137</v>
      </c>
      <c r="H335" s="5" t="s">
        <v>18</v>
      </c>
      <c r="I335" s="7" t="s">
        <v>1090</v>
      </c>
      <c r="J335" s="8" t="s">
        <v>13</v>
      </c>
    </row>
    <row r="336">
      <c r="A336" s="5" t="s">
        <v>1091</v>
      </c>
      <c r="B336" s="5" t="s">
        <v>511</v>
      </c>
      <c r="C336" s="6" t="s">
        <v>13</v>
      </c>
      <c r="D336" s="5" t="s">
        <v>1064</v>
      </c>
      <c r="E336" s="5" t="s">
        <v>94</v>
      </c>
      <c r="F336" s="5" t="s">
        <v>137</v>
      </c>
      <c r="G336" s="5" t="s">
        <v>137</v>
      </c>
      <c r="H336" s="5" t="s">
        <v>18</v>
      </c>
      <c r="I336" s="8" t="s">
        <v>1092</v>
      </c>
      <c r="J336" s="8" t="s">
        <v>13</v>
      </c>
    </row>
    <row r="337">
      <c r="A337" s="5" t="s">
        <v>1093</v>
      </c>
      <c r="B337" s="5" t="s">
        <v>1094</v>
      </c>
      <c r="C337" s="6" t="s">
        <v>4</v>
      </c>
      <c r="D337" s="5" t="s">
        <v>1064</v>
      </c>
      <c r="E337" s="5" t="s">
        <v>651</v>
      </c>
      <c r="F337" s="5" t="s">
        <v>137</v>
      </c>
      <c r="G337" s="5" t="s">
        <v>137</v>
      </c>
      <c r="H337" s="5" t="s">
        <v>18</v>
      </c>
      <c r="I337" s="8" t="s">
        <v>1095</v>
      </c>
      <c r="J337" s="8" t="s">
        <v>13</v>
      </c>
    </row>
    <row r="338">
      <c r="A338" s="5" t="s">
        <v>1096</v>
      </c>
      <c r="B338" s="5" t="s">
        <v>1097</v>
      </c>
      <c r="C338" s="6" t="s">
        <v>13</v>
      </c>
      <c r="D338" s="5" t="s">
        <v>1064</v>
      </c>
      <c r="E338" s="5" t="s">
        <v>1098</v>
      </c>
      <c r="F338" s="5" t="s">
        <v>137</v>
      </c>
      <c r="G338" s="5" t="s">
        <v>137</v>
      </c>
      <c r="H338" s="5" t="s">
        <v>18</v>
      </c>
      <c r="I338" s="8" t="s">
        <v>1099</v>
      </c>
      <c r="J338" s="8" t="s">
        <v>13</v>
      </c>
    </row>
    <row r="339">
      <c r="A339" s="5" t="s">
        <v>1100</v>
      </c>
      <c r="B339" s="5" t="s">
        <v>1101</v>
      </c>
      <c r="C339" s="6" t="s">
        <v>13</v>
      </c>
      <c r="D339" s="5" t="s">
        <v>1064</v>
      </c>
      <c r="E339" s="5" t="s">
        <v>144</v>
      </c>
      <c r="F339" s="5" t="s">
        <v>137</v>
      </c>
      <c r="G339" s="5" t="s">
        <v>137</v>
      </c>
      <c r="H339" s="5" t="s">
        <v>18</v>
      </c>
      <c r="I339" s="8" t="s">
        <v>1102</v>
      </c>
      <c r="J339" s="8" t="s">
        <v>13</v>
      </c>
    </row>
    <row r="340">
      <c r="A340" s="5" t="s">
        <v>1084</v>
      </c>
      <c r="B340" s="5" t="s">
        <v>1103</v>
      </c>
      <c r="C340" s="6" t="s">
        <v>13</v>
      </c>
      <c r="D340" s="5" t="s">
        <v>1064</v>
      </c>
      <c r="E340" s="5" t="s">
        <v>848</v>
      </c>
      <c r="F340" s="5" t="s">
        <v>137</v>
      </c>
      <c r="G340" s="5" t="s">
        <v>137</v>
      </c>
      <c r="H340" s="5" t="s">
        <v>18</v>
      </c>
      <c r="I340" s="8" t="s">
        <v>1104</v>
      </c>
      <c r="J340" s="8" t="s">
        <v>13</v>
      </c>
    </row>
    <row r="341">
      <c r="A341" s="5" t="s">
        <v>1067</v>
      </c>
      <c r="B341" s="5" t="s">
        <v>25</v>
      </c>
      <c r="C341" s="6" t="s">
        <v>13</v>
      </c>
      <c r="D341" s="5" t="s">
        <v>1064</v>
      </c>
      <c r="E341" s="5" t="s">
        <v>1105</v>
      </c>
      <c r="F341" s="5" t="s">
        <v>137</v>
      </c>
      <c r="G341" s="5" t="s">
        <v>137</v>
      </c>
      <c r="H341" s="5" t="s">
        <v>18</v>
      </c>
      <c r="I341" s="7" t="s">
        <v>1106</v>
      </c>
      <c r="J341" s="8" t="s">
        <v>13</v>
      </c>
    </row>
    <row r="342">
      <c r="A342" s="5" t="s">
        <v>1107</v>
      </c>
      <c r="B342" s="5" t="s">
        <v>1108</v>
      </c>
      <c r="C342" s="6" t="s">
        <v>13</v>
      </c>
      <c r="D342" s="5" t="s">
        <v>1064</v>
      </c>
      <c r="E342" s="5" t="s">
        <v>512</v>
      </c>
      <c r="F342" s="5" t="s">
        <v>137</v>
      </c>
      <c r="G342" s="5" t="s">
        <v>137</v>
      </c>
      <c r="H342" s="5" t="s">
        <v>18</v>
      </c>
      <c r="I342" s="8" t="s">
        <v>1109</v>
      </c>
      <c r="J342" s="8" t="s">
        <v>13</v>
      </c>
    </row>
    <row r="343">
      <c r="A343" s="5" t="s">
        <v>1110</v>
      </c>
      <c r="B343" s="5" t="s">
        <v>1111</v>
      </c>
      <c r="C343" s="6" t="s">
        <v>13</v>
      </c>
      <c r="D343" s="5" t="s">
        <v>1064</v>
      </c>
      <c r="E343" s="5" t="s">
        <v>712</v>
      </c>
      <c r="F343" s="5" t="s">
        <v>137</v>
      </c>
      <c r="G343" s="5" t="s">
        <v>137</v>
      </c>
      <c r="H343" s="5" t="s">
        <v>18</v>
      </c>
      <c r="I343" s="8" t="s">
        <v>1112</v>
      </c>
      <c r="J343" s="8" t="s">
        <v>13</v>
      </c>
    </row>
    <row r="344">
      <c r="A344" s="5" t="s">
        <v>1113</v>
      </c>
      <c r="B344" s="5" t="s">
        <v>1114</v>
      </c>
      <c r="C344" s="6" t="s">
        <v>13</v>
      </c>
      <c r="D344" s="5" t="s">
        <v>1064</v>
      </c>
      <c r="E344" s="5" t="s">
        <v>222</v>
      </c>
      <c r="F344" s="5" t="s">
        <v>137</v>
      </c>
      <c r="G344" s="5" t="s">
        <v>137</v>
      </c>
      <c r="H344" s="5" t="s">
        <v>18</v>
      </c>
      <c r="I344" s="7" t="s">
        <v>1115</v>
      </c>
      <c r="J344" s="8" t="s">
        <v>13</v>
      </c>
    </row>
    <row r="345">
      <c r="A345" s="5" t="s">
        <v>1116</v>
      </c>
      <c r="B345" s="5" t="s">
        <v>1117</v>
      </c>
      <c r="C345" s="6" t="s">
        <v>13</v>
      </c>
      <c r="D345" s="5" t="s">
        <v>1064</v>
      </c>
      <c r="E345" s="5" t="s">
        <v>29</v>
      </c>
      <c r="F345" s="5" t="s">
        <v>137</v>
      </c>
      <c r="G345" s="5" t="s">
        <v>137</v>
      </c>
      <c r="H345" s="5" t="s">
        <v>18</v>
      </c>
      <c r="I345" s="7" t="s">
        <v>1118</v>
      </c>
      <c r="J345" s="8" t="s">
        <v>13</v>
      </c>
    </row>
    <row r="346">
      <c r="A346" s="5" t="s">
        <v>1119</v>
      </c>
      <c r="B346" s="5" t="s">
        <v>1120</v>
      </c>
      <c r="C346" s="6" t="s">
        <v>13</v>
      </c>
      <c r="D346" s="5" t="s">
        <v>1064</v>
      </c>
      <c r="E346" s="5" t="s">
        <v>441</v>
      </c>
      <c r="F346" s="5" t="s">
        <v>137</v>
      </c>
      <c r="G346" s="5" t="s">
        <v>137</v>
      </c>
      <c r="H346" s="5" t="s">
        <v>18</v>
      </c>
      <c r="I346" s="8" t="s">
        <v>1121</v>
      </c>
      <c r="J346" s="8" t="s">
        <v>13</v>
      </c>
    </row>
    <row r="347">
      <c r="A347" s="5" t="s">
        <v>1122</v>
      </c>
      <c r="B347" s="5" t="s">
        <v>1101</v>
      </c>
      <c r="C347" s="6" t="s">
        <v>13</v>
      </c>
      <c r="D347" s="5" t="s">
        <v>1064</v>
      </c>
      <c r="E347" s="5" t="s">
        <v>1123</v>
      </c>
      <c r="F347" s="5" t="s">
        <v>137</v>
      </c>
      <c r="G347" s="5" t="s">
        <v>137</v>
      </c>
      <c r="H347" s="5" t="s">
        <v>18</v>
      </c>
      <c r="I347" s="8" t="s">
        <v>1124</v>
      </c>
      <c r="J347" s="8" t="s">
        <v>13</v>
      </c>
    </row>
    <row r="348">
      <c r="A348" s="5" t="s">
        <v>1125</v>
      </c>
      <c r="B348" s="5" t="s">
        <v>511</v>
      </c>
      <c r="C348" s="6" t="s">
        <v>13</v>
      </c>
      <c r="D348" s="5" t="s">
        <v>1064</v>
      </c>
      <c r="E348" s="5" t="s">
        <v>421</v>
      </c>
      <c r="F348" s="5" t="s">
        <v>137</v>
      </c>
      <c r="G348" s="5" t="s">
        <v>137</v>
      </c>
      <c r="H348" s="5" t="s">
        <v>18</v>
      </c>
      <c r="I348" s="8" t="s">
        <v>1126</v>
      </c>
      <c r="J348" s="8" t="s">
        <v>13</v>
      </c>
    </row>
    <row r="349">
      <c r="A349" s="5" t="s">
        <v>1127</v>
      </c>
      <c r="B349" s="5" t="s">
        <v>1128</v>
      </c>
      <c r="C349" s="6" t="s">
        <v>13</v>
      </c>
      <c r="D349" s="5" t="s">
        <v>1064</v>
      </c>
      <c r="E349" s="5" t="s">
        <v>694</v>
      </c>
      <c r="F349" s="5" t="s">
        <v>137</v>
      </c>
      <c r="G349" s="5" t="s">
        <v>137</v>
      </c>
      <c r="H349" s="5" t="s">
        <v>18</v>
      </c>
      <c r="I349" s="7" t="s">
        <v>1129</v>
      </c>
      <c r="J349" s="8" t="s">
        <v>13</v>
      </c>
    </row>
    <row r="350">
      <c r="A350" s="5" t="s">
        <v>1130</v>
      </c>
      <c r="B350" s="5" t="s">
        <v>25</v>
      </c>
      <c r="C350" s="6" t="s">
        <v>13</v>
      </c>
      <c r="D350" s="5" t="s">
        <v>1064</v>
      </c>
      <c r="E350" s="5" t="s">
        <v>585</v>
      </c>
      <c r="F350" s="5" t="s">
        <v>1131</v>
      </c>
      <c r="G350" s="5" t="s">
        <v>203</v>
      </c>
      <c r="H350" s="5" t="s">
        <v>18</v>
      </c>
      <c r="I350" s="7" t="s">
        <v>1132</v>
      </c>
      <c r="J350" s="8" t="s">
        <v>13</v>
      </c>
    </row>
    <row r="351">
      <c r="A351" s="5" t="s">
        <v>1133</v>
      </c>
      <c r="B351" s="5" t="s">
        <v>25</v>
      </c>
      <c r="C351" s="6" t="s">
        <v>13</v>
      </c>
      <c r="D351" s="5" t="s">
        <v>1064</v>
      </c>
      <c r="E351" s="5" t="s">
        <v>1134</v>
      </c>
      <c r="F351" s="5" t="s">
        <v>1135</v>
      </c>
      <c r="G351" s="5" t="s">
        <v>96</v>
      </c>
      <c r="H351" s="5" t="s">
        <v>18</v>
      </c>
      <c r="I351" s="7" t="s">
        <v>1136</v>
      </c>
      <c r="J351" s="8" t="s">
        <v>13</v>
      </c>
    </row>
    <row r="352">
      <c r="A352" s="5" t="s">
        <v>1137</v>
      </c>
      <c r="B352" s="5" t="s">
        <v>1138</v>
      </c>
      <c r="C352" s="6" t="s">
        <v>13</v>
      </c>
      <c r="D352" s="5" t="s">
        <v>1139</v>
      </c>
      <c r="E352" s="5" t="s">
        <v>149</v>
      </c>
      <c r="F352" s="5" t="s">
        <v>833</v>
      </c>
      <c r="G352" s="5" t="s">
        <v>203</v>
      </c>
      <c r="H352" s="5" t="s">
        <v>18</v>
      </c>
      <c r="I352" s="7" t="s">
        <v>1140</v>
      </c>
      <c r="J352" s="8" t="s">
        <v>13</v>
      </c>
    </row>
    <row r="353">
      <c r="A353" s="5" t="s">
        <v>1141</v>
      </c>
      <c r="B353" s="5" t="s">
        <v>110</v>
      </c>
      <c r="C353" s="6" t="s">
        <v>13</v>
      </c>
      <c r="D353" s="5" t="s">
        <v>1139</v>
      </c>
      <c r="E353" s="5" t="s">
        <v>421</v>
      </c>
      <c r="F353" s="5" t="s">
        <v>833</v>
      </c>
      <c r="G353" s="5" t="s">
        <v>203</v>
      </c>
      <c r="H353" s="5" t="s">
        <v>18</v>
      </c>
      <c r="I353" s="7" t="s">
        <v>1142</v>
      </c>
      <c r="J353" s="8" t="s">
        <v>13</v>
      </c>
    </row>
    <row r="354">
      <c r="A354" s="5" t="s">
        <v>1143</v>
      </c>
      <c r="B354" s="5" t="s">
        <v>1144</v>
      </c>
      <c r="C354" s="6" t="s">
        <v>13</v>
      </c>
      <c r="D354" s="5" t="s">
        <v>1139</v>
      </c>
      <c r="E354" s="5" t="s">
        <v>351</v>
      </c>
      <c r="F354" s="5" t="s">
        <v>876</v>
      </c>
      <c r="G354" s="5" t="s">
        <v>184</v>
      </c>
      <c r="H354" s="5" t="s">
        <v>18</v>
      </c>
      <c r="I354" s="8" t="s">
        <v>1145</v>
      </c>
      <c r="J354" s="8" t="s">
        <v>13</v>
      </c>
    </row>
    <row r="355">
      <c r="A355" s="5" t="s">
        <v>1146</v>
      </c>
      <c r="B355" s="5" t="s">
        <v>1147</v>
      </c>
      <c r="C355" s="6" t="s">
        <v>13</v>
      </c>
      <c r="D355" s="5" t="s">
        <v>1139</v>
      </c>
      <c r="E355" s="5" t="s">
        <v>1148</v>
      </c>
      <c r="F355" s="5" t="s">
        <v>1131</v>
      </c>
      <c r="G355" s="5" t="s">
        <v>203</v>
      </c>
      <c r="H355" s="5" t="s">
        <v>18</v>
      </c>
      <c r="I355" s="7" t="s">
        <v>1149</v>
      </c>
      <c r="J355" s="8" t="s">
        <v>13</v>
      </c>
    </row>
    <row r="356">
      <c r="A356" s="5" t="s">
        <v>1150</v>
      </c>
      <c r="B356" s="5" t="s">
        <v>110</v>
      </c>
      <c r="C356" s="6" t="s">
        <v>13</v>
      </c>
      <c r="D356" s="5" t="s">
        <v>1151</v>
      </c>
      <c r="E356" s="5" t="s">
        <v>1089</v>
      </c>
      <c r="F356" s="5" t="s">
        <v>1152</v>
      </c>
      <c r="G356" s="5" t="s">
        <v>38</v>
      </c>
      <c r="H356" s="5" t="s">
        <v>18</v>
      </c>
      <c r="I356" s="7" t="s">
        <v>1153</v>
      </c>
      <c r="J356" s="8" t="s">
        <v>13</v>
      </c>
    </row>
    <row r="357">
      <c r="A357" s="5" t="s">
        <v>1154</v>
      </c>
      <c r="B357" s="5" t="s">
        <v>1155</v>
      </c>
      <c r="C357" s="6" t="s">
        <v>13</v>
      </c>
      <c r="D357" s="5" t="s">
        <v>1151</v>
      </c>
      <c r="E357" s="5" t="s">
        <v>60</v>
      </c>
      <c r="F357" s="5" t="s">
        <v>833</v>
      </c>
      <c r="G357" s="5" t="s">
        <v>203</v>
      </c>
      <c r="H357" s="5" t="s">
        <v>18</v>
      </c>
      <c r="I357" s="8" t="s">
        <v>1156</v>
      </c>
      <c r="J357" s="8" t="s">
        <v>13</v>
      </c>
    </row>
    <row r="358">
      <c r="A358" s="5" t="s">
        <v>1157</v>
      </c>
      <c r="B358" s="5" t="s">
        <v>1158</v>
      </c>
      <c r="C358" s="6" t="s">
        <v>13</v>
      </c>
      <c r="D358" s="5" t="s">
        <v>1151</v>
      </c>
      <c r="E358" s="5" t="s">
        <v>430</v>
      </c>
      <c r="F358" s="6" t="s">
        <v>64</v>
      </c>
      <c r="G358" s="6" t="s">
        <v>65</v>
      </c>
      <c r="H358" s="5" t="s">
        <v>18</v>
      </c>
      <c r="I358" s="8" t="s">
        <v>1159</v>
      </c>
      <c r="J358" s="8" t="s">
        <v>13</v>
      </c>
    </row>
    <row r="359">
      <c r="A359" s="5" t="s">
        <v>1160</v>
      </c>
      <c r="B359" s="5" t="s">
        <v>404</v>
      </c>
      <c r="C359" s="6" t="s">
        <v>13</v>
      </c>
      <c r="D359" s="5" t="s">
        <v>1161</v>
      </c>
      <c r="E359" s="5" t="s">
        <v>136</v>
      </c>
      <c r="F359" s="5" t="s">
        <v>16</v>
      </c>
      <c r="G359" s="5" t="s">
        <v>17</v>
      </c>
      <c r="H359" s="5" t="s">
        <v>18</v>
      </c>
      <c r="I359" s="7" t="s">
        <v>1162</v>
      </c>
      <c r="J359" s="8" t="s">
        <v>13</v>
      </c>
    </row>
    <row r="360">
      <c r="A360" s="5" t="s">
        <v>1163</v>
      </c>
      <c r="B360" s="5" t="s">
        <v>1164</v>
      </c>
      <c r="C360" s="6" t="s">
        <v>13</v>
      </c>
      <c r="D360" s="5" t="s">
        <v>1161</v>
      </c>
      <c r="E360" s="5" t="s">
        <v>84</v>
      </c>
      <c r="F360" s="5" t="s">
        <v>16</v>
      </c>
      <c r="G360" s="5" t="s">
        <v>17</v>
      </c>
      <c r="H360" s="5" t="s">
        <v>18</v>
      </c>
      <c r="I360" s="7" t="s">
        <v>1165</v>
      </c>
      <c r="J360" s="8" t="s">
        <v>13</v>
      </c>
    </row>
    <row r="361">
      <c r="A361" s="5" t="s">
        <v>1166</v>
      </c>
      <c r="B361" s="5" t="s">
        <v>1167</v>
      </c>
      <c r="C361" s="6" t="s">
        <v>13</v>
      </c>
      <c r="D361" s="5" t="s">
        <v>1161</v>
      </c>
      <c r="E361" s="5" t="s">
        <v>283</v>
      </c>
      <c r="F361" s="5" t="s">
        <v>153</v>
      </c>
      <c r="G361" s="5" t="s">
        <v>154</v>
      </c>
      <c r="H361" s="5" t="s">
        <v>18</v>
      </c>
      <c r="I361" s="7" t="s">
        <v>1168</v>
      </c>
      <c r="J361" s="8" t="s">
        <v>13</v>
      </c>
    </row>
    <row r="362">
      <c r="A362" s="5" t="s">
        <v>1169</v>
      </c>
      <c r="B362" s="5" t="s">
        <v>1170</v>
      </c>
      <c r="C362" s="6" t="s">
        <v>13</v>
      </c>
      <c r="D362" s="5" t="s">
        <v>1161</v>
      </c>
      <c r="E362" s="5" t="s">
        <v>217</v>
      </c>
      <c r="F362" s="5" t="s">
        <v>153</v>
      </c>
      <c r="G362" s="5" t="s">
        <v>154</v>
      </c>
      <c r="H362" s="5" t="s">
        <v>18</v>
      </c>
      <c r="I362" s="8" t="s">
        <v>1171</v>
      </c>
      <c r="J362" s="8" t="s">
        <v>13</v>
      </c>
    </row>
    <row r="363">
      <c r="A363" s="5" t="s">
        <v>1166</v>
      </c>
      <c r="B363" s="5" t="s">
        <v>1172</v>
      </c>
      <c r="C363" s="6" t="s">
        <v>13</v>
      </c>
      <c r="D363" s="5" t="s">
        <v>1161</v>
      </c>
      <c r="E363" s="5" t="s">
        <v>523</v>
      </c>
      <c r="F363" s="5" t="s">
        <v>153</v>
      </c>
      <c r="G363" s="5" t="s">
        <v>154</v>
      </c>
      <c r="H363" s="5" t="s">
        <v>18</v>
      </c>
      <c r="I363" s="7" t="s">
        <v>1173</v>
      </c>
      <c r="J363" s="8" t="s">
        <v>13</v>
      </c>
    </row>
    <row r="364">
      <c r="A364" s="5" t="s">
        <v>1174</v>
      </c>
      <c r="B364" s="5" t="s">
        <v>1175</v>
      </c>
      <c r="C364" s="6" t="s">
        <v>13</v>
      </c>
      <c r="D364" s="5" t="s">
        <v>1161</v>
      </c>
      <c r="E364" s="5" t="s">
        <v>165</v>
      </c>
      <c r="F364" s="5" t="s">
        <v>153</v>
      </c>
      <c r="G364" s="5" t="s">
        <v>154</v>
      </c>
      <c r="H364" s="5" t="s">
        <v>18</v>
      </c>
      <c r="I364" s="7" t="s">
        <v>1176</v>
      </c>
      <c r="J364" s="8" t="s">
        <v>13</v>
      </c>
    </row>
    <row r="365">
      <c r="A365" s="5" t="s">
        <v>1177</v>
      </c>
      <c r="B365" s="5" t="s">
        <v>404</v>
      </c>
      <c r="C365" s="6" t="s">
        <v>13</v>
      </c>
      <c r="D365" s="5" t="s">
        <v>1161</v>
      </c>
      <c r="E365" s="5" t="s">
        <v>686</v>
      </c>
      <c r="F365" s="5" t="s">
        <v>153</v>
      </c>
      <c r="G365" s="5" t="s">
        <v>154</v>
      </c>
      <c r="H365" s="5" t="s">
        <v>18</v>
      </c>
      <c r="I365" s="7" t="s">
        <v>1178</v>
      </c>
      <c r="J365" s="8" t="s">
        <v>13</v>
      </c>
    </row>
    <row r="366">
      <c r="A366" s="5" t="s">
        <v>1179</v>
      </c>
      <c r="B366" s="5" t="s">
        <v>1180</v>
      </c>
      <c r="C366" s="5" t="s">
        <v>4</v>
      </c>
      <c r="D366" s="5" t="s">
        <v>1161</v>
      </c>
      <c r="E366" s="5" t="s">
        <v>890</v>
      </c>
      <c r="F366" s="5" t="s">
        <v>153</v>
      </c>
      <c r="G366" s="5" t="s">
        <v>154</v>
      </c>
      <c r="H366" s="5" t="s">
        <v>18</v>
      </c>
      <c r="I366" s="7" t="s">
        <v>1181</v>
      </c>
      <c r="J366" s="8" t="s">
        <v>13</v>
      </c>
    </row>
    <row r="367">
      <c r="A367" s="5" t="s">
        <v>1174</v>
      </c>
      <c r="B367" s="5" t="s">
        <v>1175</v>
      </c>
      <c r="C367" s="6" t="s">
        <v>13</v>
      </c>
      <c r="D367" s="5" t="s">
        <v>1161</v>
      </c>
      <c r="E367" s="5" t="s">
        <v>165</v>
      </c>
      <c r="F367" s="5" t="s">
        <v>153</v>
      </c>
      <c r="G367" s="5" t="s">
        <v>154</v>
      </c>
      <c r="H367" s="5" t="s">
        <v>18</v>
      </c>
      <c r="I367" s="7" t="s">
        <v>1176</v>
      </c>
      <c r="J367" s="8" t="s">
        <v>13</v>
      </c>
    </row>
    <row r="368">
      <c r="A368" s="5" t="s">
        <v>1182</v>
      </c>
      <c r="B368" s="5" t="s">
        <v>1183</v>
      </c>
      <c r="C368" s="6" t="s">
        <v>13</v>
      </c>
      <c r="D368" s="5" t="s">
        <v>1161</v>
      </c>
      <c r="E368" s="5" t="s">
        <v>523</v>
      </c>
      <c r="F368" s="5" t="s">
        <v>153</v>
      </c>
      <c r="G368" s="5" t="s">
        <v>154</v>
      </c>
      <c r="H368" s="5" t="s">
        <v>18</v>
      </c>
      <c r="I368" s="7" t="s">
        <v>1184</v>
      </c>
      <c r="J368" s="8" t="s">
        <v>13</v>
      </c>
    </row>
    <row r="369">
      <c r="A369" s="5" t="s">
        <v>1185</v>
      </c>
      <c r="B369" s="5" t="s">
        <v>25</v>
      </c>
      <c r="C369" s="6" t="s">
        <v>13</v>
      </c>
      <c r="D369" s="5" t="s">
        <v>1186</v>
      </c>
      <c r="F369" s="5" t="s">
        <v>1187</v>
      </c>
      <c r="G369" s="5" t="s">
        <v>96</v>
      </c>
      <c r="H369" s="5" t="s">
        <v>18</v>
      </c>
      <c r="I369" s="7" t="s">
        <v>1188</v>
      </c>
      <c r="J369" s="8" t="s">
        <v>13</v>
      </c>
    </row>
    <row r="370">
      <c r="A370" s="5" t="s">
        <v>1189</v>
      </c>
      <c r="B370" s="5" t="s">
        <v>1190</v>
      </c>
      <c r="C370" s="6" t="s">
        <v>13</v>
      </c>
      <c r="D370" s="5" t="s">
        <v>1186</v>
      </c>
      <c r="E370" s="5" t="s">
        <v>241</v>
      </c>
      <c r="F370" s="5" t="s">
        <v>137</v>
      </c>
      <c r="G370" s="5" t="s">
        <v>137</v>
      </c>
      <c r="H370" s="5" t="s">
        <v>18</v>
      </c>
      <c r="I370" s="8" t="s">
        <v>1191</v>
      </c>
      <c r="J370" s="8" t="s">
        <v>13</v>
      </c>
    </row>
    <row r="371">
      <c r="A371" s="5" t="s">
        <v>1192</v>
      </c>
      <c r="B371" s="5" t="s">
        <v>1193</v>
      </c>
      <c r="C371" s="6" t="s">
        <v>13</v>
      </c>
      <c r="D371" s="5" t="s">
        <v>1186</v>
      </c>
      <c r="E371" s="5" t="s">
        <v>1194</v>
      </c>
      <c r="F371" s="5" t="s">
        <v>137</v>
      </c>
      <c r="G371" s="5" t="s">
        <v>137</v>
      </c>
      <c r="H371" s="5" t="s">
        <v>18</v>
      </c>
      <c r="I371" s="7" t="s">
        <v>1195</v>
      </c>
      <c r="J371" s="8" t="s">
        <v>13</v>
      </c>
    </row>
    <row r="372">
      <c r="A372" s="5" t="s">
        <v>1196</v>
      </c>
      <c r="B372" s="5" t="s">
        <v>1197</v>
      </c>
      <c r="C372" s="6" t="s">
        <v>13</v>
      </c>
      <c r="D372" s="5" t="s">
        <v>1186</v>
      </c>
      <c r="E372" s="5" t="s">
        <v>512</v>
      </c>
      <c r="F372" s="5" t="s">
        <v>137</v>
      </c>
      <c r="G372" s="5" t="s">
        <v>137</v>
      </c>
      <c r="H372" s="5" t="s">
        <v>18</v>
      </c>
      <c r="I372" s="7" t="s">
        <v>1198</v>
      </c>
      <c r="J372" s="8" t="s">
        <v>13</v>
      </c>
    </row>
    <row r="373">
      <c r="A373" s="5" t="s">
        <v>1199</v>
      </c>
      <c r="B373" s="5" t="s">
        <v>1200</v>
      </c>
      <c r="C373" s="6" t="s">
        <v>13</v>
      </c>
      <c r="D373" s="5" t="s">
        <v>1186</v>
      </c>
      <c r="E373" s="5" t="s">
        <v>666</v>
      </c>
      <c r="F373" s="5" t="s">
        <v>137</v>
      </c>
      <c r="G373" s="5" t="s">
        <v>137</v>
      </c>
      <c r="H373" s="5" t="s">
        <v>18</v>
      </c>
      <c r="I373" s="8" t="s">
        <v>1201</v>
      </c>
      <c r="J373" s="8" t="s">
        <v>13</v>
      </c>
    </row>
    <row r="374">
      <c r="A374" s="5" t="s">
        <v>1202</v>
      </c>
      <c r="B374" s="5" t="s">
        <v>25</v>
      </c>
      <c r="C374" s="6" t="s">
        <v>13</v>
      </c>
      <c r="D374" s="5" t="s">
        <v>1186</v>
      </c>
      <c r="E374" s="5" t="s">
        <v>697</v>
      </c>
      <c r="F374" s="5" t="s">
        <v>137</v>
      </c>
      <c r="G374" s="5" t="s">
        <v>137</v>
      </c>
      <c r="H374" s="5" t="s">
        <v>18</v>
      </c>
      <c r="I374" s="7" t="s">
        <v>1203</v>
      </c>
      <c r="J374" s="8" t="s">
        <v>13</v>
      </c>
    </row>
    <row r="375">
      <c r="A375" s="5" t="s">
        <v>1204</v>
      </c>
      <c r="B375" s="5" t="s">
        <v>25</v>
      </c>
      <c r="C375" s="6" t="s">
        <v>13</v>
      </c>
      <c r="D375" s="5" t="s">
        <v>1186</v>
      </c>
      <c r="E375" s="5" t="s">
        <v>144</v>
      </c>
      <c r="F375" s="5" t="s">
        <v>801</v>
      </c>
      <c r="G375" s="5" t="s">
        <v>50</v>
      </c>
      <c r="H375" s="5" t="s">
        <v>18</v>
      </c>
      <c r="I375" s="7" t="s">
        <v>1205</v>
      </c>
      <c r="J375" s="8" t="s">
        <v>13</v>
      </c>
    </row>
    <row r="376">
      <c r="A376" s="5" t="s">
        <v>1206</v>
      </c>
      <c r="B376" s="5" t="s">
        <v>25</v>
      </c>
      <c r="C376" s="6" t="s">
        <v>13</v>
      </c>
      <c r="D376" s="5" t="s">
        <v>1207</v>
      </c>
      <c r="E376" s="5" t="s">
        <v>48</v>
      </c>
      <c r="F376" s="5" t="s">
        <v>64</v>
      </c>
      <c r="G376" s="5" t="s">
        <v>65</v>
      </c>
      <c r="H376" s="5" t="s">
        <v>18</v>
      </c>
      <c r="I376" s="8" t="s">
        <v>1208</v>
      </c>
      <c r="J376" s="8" t="s">
        <v>13</v>
      </c>
    </row>
    <row r="377">
      <c r="A377" s="5" t="s">
        <v>1209</v>
      </c>
      <c r="B377" s="5" t="s">
        <v>25</v>
      </c>
      <c r="C377" s="6" t="s">
        <v>13</v>
      </c>
      <c r="D377" s="5" t="s">
        <v>1207</v>
      </c>
      <c r="E377" s="5" t="s">
        <v>182</v>
      </c>
      <c r="F377" s="5" t="s">
        <v>137</v>
      </c>
      <c r="G377" s="5" t="s">
        <v>137</v>
      </c>
      <c r="H377" s="5" t="s">
        <v>18</v>
      </c>
      <c r="I377" s="7" t="s">
        <v>1210</v>
      </c>
      <c r="J377" s="8" t="s">
        <v>13</v>
      </c>
    </row>
    <row r="378">
      <c r="A378" s="5" t="s">
        <v>1211</v>
      </c>
      <c r="B378" s="5" t="s">
        <v>1212</v>
      </c>
      <c r="C378" s="6" t="s">
        <v>13</v>
      </c>
      <c r="D378" s="5" t="s">
        <v>1207</v>
      </c>
      <c r="E378" s="5" t="s">
        <v>421</v>
      </c>
      <c r="F378" s="5" t="s">
        <v>166</v>
      </c>
      <c r="G378" s="5" t="s">
        <v>44</v>
      </c>
      <c r="H378" s="5" t="s">
        <v>18</v>
      </c>
      <c r="I378" s="8" t="s">
        <v>1213</v>
      </c>
      <c r="J378" s="8" t="s">
        <v>13</v>
      </c>
    </row>
    <row r="379">
      <c r="A379" s="5" t="s">
        <v>1214</v>
      </c>
      <c r="B379" s="5" t="s">
        <v>25</v>
      </c>
      <c r="C379" s="6" t="s">
        <v>13</v>
      </c>
      <c r="D379" s="5" t="s">
        <v>1207</v>
      </c>
      <c r="E379" s="5" t="s">
        <v>36</v>
      </c>
      <c r="F379" s="5" t="s">
        <v>1022</v>
      </c>
      <c r="G379" s="5" t="s">
        <v>264</v>
      </c>
      <c r="H379" s="5" t="s">
        <v>18</v>
      </c>
      <c r="I379" s="7" t="s">
        <v>1215</v>
      </c>
      <c r="J379" s="8" t="s">
        <v>13</v>
      </c>
    </row>
    <row r="380">
      <c r="A380" s="5" t="s">
        <v>1216</v>
      </c>
      <c r="B380" s="5" t="s">
        <v>1217</v>
      </c>
      <c r="C380" s="6" t="s">
        <v>13</v>
      </c>
      <c r="D380" s="5" t="s">
        <v>1218</v>
      </c>
      <c r="E380" s="5" t="s">
        <v>15</v>
      </c>
      <c r="F380" s="5" t="s">
        <v>37</v>
      </c>
      <c r="G380" s="5" t="s">
        <v>38</v>
      </c>
      <c r="H380" s="5" t="s">
        <v>18</v>
      </c>
      <c r="I380" s="8" t="s">
        <v>1219</v>
      </c>
      <c r="J380" s="8" t="s">
        <v>13</v>
      </c>
    </row>
    <row r="381">
      <c r="A381" s="5" t="s">
        <v>1220</v>
      </c>
      <c r="B381" s="5" t="s">
        <v>1221</v>
      </c>
      <c r="C381" s="6" t="s">
        <v>13</v>
      </c>
      <c r="D381" s="5" t="s">
        <v>1218</v>
      </c>
      <c r="E381" s="5" t="s">
        <v>446</v>
      </c>
      <c r="F381" s="5" t="s">
        <v>377</v>
      </c>
      <c r="G381" s="5" t="s">
        <v>378</v>
      </c>
      <c r="H381" s="5" t="s">
        <v>18</v>
      </c>
      <c r="I381" s="8" t="s">
        <v>1222</v>
      </c>
      <c r="J381" s="8" t="s">
        <v>13</v>
      </c>
    </row>
    <row r="382">
      <c r="A382" s="5" t="s">
        <v>1223</v>
      </c>
      <c r="B382" s="5" t="s">
        <v>1224</v>
      </c>
      <c r="C382" s="6" t="s">
        <v>13</v>
      </c>
      <c r="D382" s="5" t="s">
        <v>1218</v>
      </c>
      <c r="E382" s="5" t="s">
        <v>686</v>
      </c>
      <c r="F382" s="5" t="s">
        <v>112</v>
      </c>
      <c r="G382" s="5" t="s">
        <v>38</v>
      </c>
      <c r="H382" s="5" t="s">
        <v>18</v>
      </c>
      <c r="I382" s="7" t="s">
        <v>1225</v>
      </c>
      <c r="J382" s="8" t="s">
        <v>13</v>
      </c>
    </row>
    <row r="383">
      <c r="A383" s="5" t="s">
        <v>1226</v>
      </c>
      <c r="B383" s="5" t="s">
        <v>1227</v>
      </c>
      <c r="C383" s="6" t="s">
        <v>13</v>
      </c>
      <c r="D383" s="5" t="s">
        <v>1218</v>
      </c>
      <c r="E383" s="5" t="s">
        <v>192</v>
      </c>
      <c r="F383" s="5" t="s">
        <v>377</v>
      </c>
      <c r="G383" s="5" t="s">
        <v>378</v>
      </c>
      <c r="H383" s="5" t="s">
        <v>18</v>
      </c>
      <c r="I383" s="8" t="s">
        <v>1228</v>
      </c>
      <c r="J383" s="8" t="s">
        <v>13</v>
      </c>
    </row>
    <row r="384">
      <c r="A384" s="5" t="s">
        <v>1229</v>
      </c>
      <c r="B384" s="5" t="s">
        <v>413</v>
      </c>
      <c r="C384" s="6" t="s">
        <v>13</v>
      </c>
      <c r="D384" s="5" t="s">
        <v>1218</v>
      </c>
      <c r="E384" s="5" t="s">
        <v>144</v>
      </c>
      <c r="F384" s="6" t="s">
        <v>377</v>
      </c>
      <c r="G384" s="6" t="s">
        <v>378</v>
      </c>
      <c r="H384" s="5" t="s">
        <v>18</v>
      </c>
      <c r="I384" s="8" t="s">
        <v>1230</v>
      </c>
      <c r="J384" s="8" t="s">
        <v>13</v>
      </c>
    </row>
    <row r="385">
      <c r="A385" s="5" t="s">
        <v>1231</v>
      </c>
      <c r="B385" s="5" t="s">
        <v>1232</v>
      </c>
      <c r="C385" s="6" t="s">
        <v>13</v>
      </c>
      <c r="D385" s="5" t="s">
        <v>1233</v>
      </c>
      <c r="E385" s="5" t="s">
        <v>980</v>
      </c>
      <c r="F385" s="5" t="s">
        <v>183</v>
      </c>
      <c r="G385" s="5" t="s">
        <v>184</v>
      </c>
      <c r="H385" s="5" t="s">
        <v>18</v>
      </c>
      <c r="I385" s="8" t="s">
        <v>1234</v>
      </c>
      <c r="J385" s="8" t="s">
        <v>13</v>
      </c>
    </row>
    <row r="386">
      <c r="A386" s="5" t="s">
        <v>1235</v>
      </c>
      <c r="B386" s="5" t="s">
        <v>371</v>
      </c>
      <c r="C386" s="6" t="s">
        <v>13</v>
      </c>
      <c r="D386" s="5" t="s">
        <v>1233</v>
      </c>
      <c r="E386" s="5" t="s">
        <v>192</v>
      </c>
      <c r="F386" s="5" t="s">
        <v>183</v>
      </c>
      <c r="G386" s="5" t="s">
        <v>184</v>
      </c>
      <c r="H386" s="5" t="s">
        <v>18</v>
      </c>
      <c r="I386" s="7" t="s">
        <v>1236</v>
      </c>
      <c r="J386" s="8" t="s">
        <v>13</v>
      </c>
    </row>
    <row r="387">
      <c r="A387" s="5" t="s">
        <v>1237</v>
      </c>
      <c r="B387" s="5" t="s">
        <v>371</v>
      </c>
      <c r="C387" s="6" t="s">
        <v>13</v>
      </c>
      <c r="D387" s="5" t="s">
        <v>1233</v>
      </c>
      <c r="E387" s="5" t="s">
        <v>144</v>
      </c>
      <c r="F387" s="5" t="s">
        <v>183</v>
      </c>
      <c r="G387" s="5" t="s">
        <v>184</v>
      </c>
      <c r="H387" s="5" t="s">
        <v>18</v>
      </c>
      <c r="I387" s="7" t="s">
        <v>1238</v>
      </c>
      <c r="J387" s="8" t="s">
        <v>13</v>
      </c>
    </row>
    <row r="388">
      <c r="A388" s="5" t="s">
        <v>1239</v>
      </c>
      <c r="B388" s="5" t="s">
        <v>25</v>
      </c>
      <c r="C388" s="6" t="s">
        <v>13</v>
      </c>
      <c r="D388" s="5" t="s">
        <v>1233</v>
      </c>
      <c r="E388" s="5" t="s">
        <v>1240</v>
      </c>
      <c r="F388" s="5" t="s">
        <v>183</v>
      </c>
      <c r="G388" s="5" t="s">
        <v>184</v>
      </c>
      <c r="H388" s="5" t="s">
        <v>18</v>
      </c>
      <c r="I388" s="8" t="s">
        <v>1241</v>
      </c>
      <c r="J388" s="8" t="s">
        <v>13</v>
      </c>
    </row>
    <row r="389">
      <c r="A389" s="5" t="s">
        <v>1242</v>
      </c>
      <c r="B389" s="5" t="s">
        <v>1243</v>
      </c>
      <c r="C389" s="6" t="s">
        <v>13</v>
      </c>
      <c r="D389" s="5" t="s">
        <v>1233</v>
      </c>
      <c r="E389" s="5" t="s">
        <v>1244</v>
      </c>
      <c r="F389" s="5" t="s">
        <v>16</v>
      </c>
      <c r="G389" s="5" t="s">
        <v>17</v>
      </c>
      <c r="H389" s="5" t="s">
        <v>18</v>
      </c>
      <c r="I389" s="7" t="s">
        <v>1245</v>
      </c>
      <c r="J389" s="8" t="s">
        <v>13</v>
      </c>
    </row>
    <row r="390">
      <c r="A390" s="5" t="s">
        <v>1246</v>
      </c>
      <c r="B390" s="5" t="s">
        <v>25</v>
      </c>
      <c r="C390" s="6" t="s">
        <v>13</v>
      </c>
      <c r="D390" s="5" t="s">
        <v>1233</v>
      </c>
      <c r="E390" s="5" t="s">
        <v>106</v>
      </c>
      <c r="F390" s="5" t="s">
        <v>16</v>
      </c>
      <c r="G390" s="5" t="s">
        <v>17</v>
      </c>
      <c r="H390" s="5" t="s">
        <v>18</v>
      </c>
      <c r="I390" s="7" t="s">
        <v>1247</v>
      </c>
      <c r="J390" s="8" t="s">
        <v>13</v>
      </c>
    </row>
    <row r="391">
      <c r="A391" s="5" t="s">
        <v>1248</v>
      </c>
      <c r="B391" s="5" t="s">
        <v>32</v>
      </c>
      <c r="C391" s="6" t="s">
        <v>13</v>
      </c>
      <c r="D391" s="5" t="s">
        <v>1233</v>
      </c>
      <c r="E391" s="5" t="s">
        <v>1249</v>
      </c>
      <c r="F391" s="5" t="s">
        <v>16</v>
      </c>
      <c r="G391" s="5" t="s">
        <v>17</v>
      </c>
      <c r="H391" s="5" t="s">
        <v>18</v>
      </c>
      <c r="I391" s="7" t="s">
        <v>1250</v>
      </c>
      <c r="J391" s="8" t="s">
        <v>13</v>
      </c>
    </row>
    <row r="392">
      <c r="A392" s="5" t="s">
        <v>1251</v>
      </c>
      <c r="B392" s="5" t="s">
        <v>25</v>
      </c>
      <c r="C392" s="6" t="s">
        <v>13</v>
      </c>
      <c r="D392" s="5" t="s">
        <v>1233</v>
      </c>
      <c r="E392" s="5" t="s">
        <v>15</v>
      </c>
      <c r="F392" s="5" t="s">
        <v>16</v>
      </c>
      <c r="G392" s="5" t="s">
        <v>17</v>
      </c>
      <c r="H392" s="5" t="s">
        <v>18</v>
      </c>
      <c r="I392" s="7" t="s">
        <v>1252</v>
      </c>
      <c r="J392" s="8" t="s">
        <v>13</v>
      </c>
    </row>
    <row r="393">
      <c r="A393" s="5" t="s">
        <v>1253</v>
      </c>
      <c r="B393" s="5" t="s">
        <v>1254</v>
      </c>
      <c r="C393" s="6" t="s">
        <v>13</v>
      </c>
      <c r="D393" s="5" t="s">
        <v>1233</v>
      </c>
      <c r="E393" s="5" t="s">
        <v>365</v>
      </c>
      <c r="F393" s="5" t="s">
        <v>377</v>
      </c>
      <c r="G393" s="5" t="s">
        <v>378</v>
      </c>
      <c r="H393" s="5" t="s">
        <v>18</v>
      </c>
      <c r="I393" s="8" t="s">
        <v>1255</v>
      </c>
      <c r="J393" s="8" t="s">
        <v>13</v>
      </c>
    </row>
    <row r="394">
      <c r="A394" s="5" t="s">
        <v>1256</v>
      </c>
      <c r="B394" s="5" t="s">
        <v>25</v>
      </c>
      <c r="C394" s="6" t="s">
        <v>13</v>
      </c>
      <c r="D394" s="5" t="s">
        <v>1233</v>
      </c>
      <c r="E394" s="5" t="s">
        <v>63</v>
      </c>
      <c r="F394" s="6" t="s">
        <v>377</v>
      </c>
      <c r="G394" s="6" t="s">
        <v>378</v>
      </c>
      <c r="H394" s="5" t="s">
        <v>18</v>
      </c>
      <c r="I394" s="7" t="s">
        <v>1257</v>
      </c>
      <c r="J394" s="8" t="s">
        <v>13</v>
      </c>
    </row>
    <row r="395">
      <c r="A395" s="5" t="s">
        <v>1258</v>
      </c>
      <c r="B395" s="5" t="s">
        <v>25</v>
      </c>
      <c r="C395" s="6" t="s">
        <v>13</v>
      </c>
      <c r="D395" s="5" t="s">
        <v>1233</v>
      </c>
      <c r="F395" s="5" t="s">
        <v>1259</v>
      </c>
      <c r="G395" s="5" t="s">
        <v>945</v>
      </c>
      <c r="H395" s="5" t="s">
        <v>18</v>
      </c>
      <c r="I395" s="7" t="s">
        <v>1260</v>
      </c>
      <c r="J395" s="8" t="s">
        <v>13</v>
      </c>
    </row>
    <row r="396">
      <c r="A396" s="5" t="s">
        <v>1261</v>
      </c>
      <c r="B396" s="5" t="s">
        <v>25</v>
      </c>
      <c r="C396" s="6" t="s">
        <v>13</v>
      </c>
      <c r="D396" s="5" t="s">
        <v>1233</v>
      </c>
      <c r="E396" s="5" t="s">
        <v>648</v>
      </c>
      <c r="F396" s="5" t="s">
        <v>49</v>
      </c>
      <c r="G396" s="5" t="s">
        <v>50</v>
      </c>
      <c r="H396" s="5" t="s">
        <v>18</v>
      </c>
      <c r="I396" s="7" t="s">
        <v>1262</v>
      </c>
      <c r="J396" s="8" t="s">
        <v>13</v>
      </c>
    </row>
    <row r="397">
      <c r="A397" s="5" t="s">
        <v>1263</v>
      </c>
      <c r="B397" s="5" t="s">
        <v>371</v>
      </c>
      <c r="C397" s="6" t="s">
        <v>13</v>
      </c>
      <c r="D397" s="5" t="s">
        <v>1233</v>
      </c>
      <c r="E397" s="5" t="s">
        <v>496</v>
      </c>
      <c r="F397" s="6" t="s">
        <v>64</v>
      </c>
      <c r="G397" s="6" t="s">
        <v>65</v>
      </c>
      <c r="H397" s="5" t="s">
        <v>18</v>
      </c>
      <c r="I397" s="7" t="s">
        <v>1264</v>
      </c>
      <c r="J397" s="8" t="s">
        <v>13</v>
      </c>
    </row>
    <row r="398">
      <c r="A398" s="5" t="s">
        <v>1265</v>
      </c>
      <c r="B398" s="5" t="s">
        <v>371</v>
      </c>
      <c r="C398" s="6" t="s">
        <v>13</v>
      </c>
      <c r="D398" s="5" t="s">
        <v>1233</v>
      </c>
      <c r="E398" s="5" t="s">
        <v>15</v>
      </c>
      <c r="F398" s="6" t="s">
        <v>64</v>
      </c>
      <c r="G398" s="6" t="s">
        <v>65</v>
      </c>
      <c r="H398" s="5" t="s">
        <v>18</v>
      </c>
      <c r="I398" s="7" t="s">
        <v>1266</v>
      </c>
      <c r="J398" s="8" t="s">
        <v>13</v>
      </c>
    </row>
    <row r="399">
      <c r="A399" s="5" t="s">
        <v>1267</v>
      </c>
      <c r="B399" s="5" t="s">
        <v>371</v>
      </c>
      <c r="C399" s="6" t="s">
        <v>13</v>
      </c>
      <c r="D399" s="5" t="s">
        <v>1233</v>
      </c>
      <c r="E399" s="5" t="s">
        <v>94</v>
      </c>
      <c r="F399" s="6" t="s">
        <v>64</v>
      </c>
      <c r="G399" s="6" t="s">
        <v>65</v>
      </c>
      <c r="H399" s="5" t="s">
        <v>18</v>
      </c>
      <c r="I399" s="7" t="s">
        <v>1268</v>
      </c>
      <c r="J399" s="8" t="s">
        <v>13</v>
      </c>
    </row>
    <row r="400">
      <c r="A400" s="5" t="s">
        <v>1269</v>
      </c>
      <c r="B400" s="5" t="s">
        <v>371</v>
      </c>
      <c r="C400" s="6" t="s">
        <v>13</v>
      </c>
      <c r="D400" s="5" t="s">
        <v>1233</v>
      </c>
      <c r="E400" s="5" t="s">
        <v>144</v>
      </c>
      <c r="F400" s="6" t="s">
        <v>64</v>
      </c>
      <c r="G400" s="6" t="s">
        <v>65</v>
      </c>
      <c r="H400" s="5" t="s">
        <v>18</v>
      </c>
      <c r="I400" s="7" t="s">
        <v>1270</v>
      </c>
      <c r="J400" s="8" t="s">
        <v>13</v>
      </c>
    </row>
    <row r="401">
      <c r="A401" s="5" t="s">
        <v>1271</v>
      </c>
      <c r="B401" s="5" t="s">
        <v>32</v>
      </c>
      <c r="C401" s="6" t="s">
        <v>13</v>
      </c>
      <c r="D401" s="5" t="s">
        <v>1233</v>
      </c>
      <c r="E401" s="5" t="s">
        <v>228</v>
      </c>
      <c r="F401" s="6" t="s">
        <v>64</v>
      </c>
      <c r="G401" s="6" t="s">
        <v>65</v>
      </c>
      <c r="H401" s="5" t="s">
        <v>18</v>
      </c>
      <c r="I401" s="7" t="s">
        <v>1272</v>
      </c>
      <c r="J401" s="8" t="s">
        <v>13</v>
      </c>
    </row>
    <row r="402">
      <c r="A402" s="5" t="s">
        <v>1273</v>
      </c>
      <c r="B402" s="5" t="s">
        <v>32</v>
      </c>
      <c r="C402" s="6" t="s">
        <v>13</v>
      </c>
      <c r="D402" s="5" t="s">
        <v>1233</v>
      </c>
      <c r="E402" s="5" t="s">
        <v>182</v>
      </c>
      <c r="F402" s="5" t="s">
        <v>1274</v>
      </c>
      <c r="G402" s="5" t="s">
        <v>76</v>
      </c>
      <c r="H402" s="5" t="s">
        <v>18</v>
      </c>
      <c r="I402" s="7" t="s">
        <v>1275</v>
      </c>
      <c r="J402" s="8" t="s">
        <v>13</v>
      </c>
    </row>
    <row r="403">
      <c r="A403" s="5" t="s">
        <v>1276</v>
      </c>
      <c r="B403" s="5" t="s">
        <v>1277</v>
      </c>
      <c r="C403" s="6" t="s">
        <v>13</v>
      </c>
      <c r="D403" s="5" t="s">
        <v>1233</v>
      </c>
      <c r="E403" s="5" t="s">
        <v>980</v>
      </c>
      <c r="F403" s="5" t="s">
        <v>1278</v>
      </c>
      <c r="G403" s="5" t="s">
        <v>44</v>
      </c>
      <c r="H403" s="5" t="s">
        <v>18</v>
      </c>
      <c r="I403" s="7" t="s">
        <v>1279</v>
      </c>
      <c r="J403" s="8" t="s">
        <v>13</v>
      </c>
    </row>
    <row r="404">
      <c r="A404" s="5" t="s">
        <v>1280</v>
      </c>
      <c r="B404" s="5" t="s">
        <v>1281</v>
      </c>
      <c r="C404" s="6" t="s">
        <v>13</v>
      </c>
      <c r="D404" s="5" t="s">
        <v>1233</v>
      </c>
      <c r="E404" s="5" t="s">
        <v>1282</v>
      </c>
      <c r="F404" s="5" t="s">
        <v>80</v>
      </c>
      <c r="G404" s="5" t="s">
        <v>38</v>
      </c>
      <c r="H404" s="5" t="s">
        <v>18</v>
      </c>
      <c r="I404" s="7" t="s">
        <v>1283</v>
      </c>
      <c r="J404" s="8" t="s">
        <v>13</v>
      </c>
    </row>
    <row r="405">
      <c r="A405" s="5" t="s">
        <v>1284</v>
      </c>
      <c r="B405" s="5" t="s">
        <v>25</v>
      </c>
      <c r="C405" s="6" t="s">
        <v>13</v>
      </c>
      <c r="D405" s="5" t="s">
        <v>1233</v>
      </c>
      <c r="E405" s="5" t="s">
        <v>100</v>
      </c>
      <c r="F405" s="5" t="s">
        <v>80</v>
      </c>
      <c r="G405" s="5" t="s">
        <v>38</v>
      </c>
      <c r="H405" s="5" t="s">
        <v>18</v>
      </c>
      <c r="I405" s="7" t="s">
        <v>1285</v>
      </c>
      <c r="J405" s="8" t="s">
        <v>13</v>
      </c>
    </row>
    <row r="406">
      <c r="A406" s="5" t="s">
        <v>1286</v>
      </c>
      <c r="B406" s="5" t="s">
        <v>32</v>
      </c>
      <c r="C406" s="6" t="s">
        <v>13</v>
      </c>
      <c r="D406" s="5" t="s">
        <v>1233</v>
      </c>
      <c r="E406" s="5" t="s">
        <v>228</v>
      </c>
      <c r="F406" s="5" t="s">
        <v>85</v>
      </c>
      <c r="G406" s="5" t="s">
        <v>86</v>
      </c>
      <c r="H406" s="5" t="s">
        <v>18</v>
      </c>
      <c r="I406" s="7" t="s">
        <v>1287</v>
      </c>
      <c r="J406" s="8" t="s">
        <v>13</v>
      </c>
    </row>
    <row r="407">
      <c r="A407" s="5" t="s">
        <v>1288</v>
      </c>
      <c r="B407" s="5" t="s">
        <v>25</v>
      </c>
      <c r="C407" s="6" t="s">
        <v>13</v>
      </c>
      <c r="D407" s="5" t="s">
        <v>1233</v>
      </c>
      <c r="E407" s="5" t="s">
        <v>1289</v>
      </c>
      <c r="F407" s="5" t="s">
        <v>85</v>
      </c>
      <c r="G407" s="5" t="s">
        <v>86</v>
      </c>
      <c r="H407" s="5" t="s">
        <v>18</v>
      </c>
      <c r="I407" s="7" t="s">
        <v>1290</v>
      </c>
      <c r="J407" s="8" t="s">
        <v>13</v>
      </c>
    </row>
    <row r="408">
      <c r="A408" s="5" t="s">
        <v>1291</v>
      </c>
      <c r="B408" s="5" t="s">
        <v>371</v>
      </c>
      <c r="C408" s="6" t="s">
        <v>13</v>
      </c>
      <c r="D408" s="5" t="s">
        <v>1233</v>
      </c>
      <c r="E408" s="5" t="s">
        <v>1292</v>
      </c>
      <c r="F408" s="5" t="s">
        <v>90</v>
      </c>
      <c r="G408" s="5" t="s">
        <v>91</v>
      </c>
      <c r="H408" s="5" t="s">
        <v>18</v>
      </c>
      <c r="I408" s="7" t="s">
        <v>1293</v>
      </c>
      <c r="J408" s="8" t="s">
        <v>13</v>
      </c>
    </row>
    <row r="409">
      <c r="A409" s="5" t="s">
        <v>1294</v>
      </c>
      <c r="B409" s="5" t="s">
        <v>1295</v>
      </c>
      <c r="C409" s="6" t="s">
        <v>13</v>
      </c>
      <c r="D409" s="5" t="s">
        <v>1233</v>
      </c>
      <c r="E409" s="5" t="s">
        <v>192</v>
      </c>
      <c r="F409" s="5" t="s">
        <v>1296</v>
      </c>
      <c r="G409" s="5" t="s">
        <v>96</v>
      </c>
      <c r="H409" s="5" t="s">
        <v>18</v>
      </c>
      <c r="I409" s="7" t="s">
        <v>1297</v>
      </c>
      <c r="J409" s="8" t="s">
        <v>13</v>
      </c>
    </row>
    <row r="410">
      <c r="A410" s="5" t="s">
        <v>1298</v>
      </c>
      <c r="B410" s="5" t="s">
        <v>1299</v>
      </c>
      <c r="C410" s="6" t="s">
        <v>13</v>
      </c>
      <c r="D410" s="5" t="s">
        <v>1233</v>
      </c>
      <c r="E410" s="5" t="s">
        <v>1300</v>
      </c>
      <c r="F410" s="5" t="s">
        <v>1301</v>
      </c>
      <c r="G410" s="5" t="s">
        <v>96</v>
      </c>
      <c r="H410" s="5" t="s">
        <v>18</v>
      </c>
      <c r="I410" s="7" t="s">
        <v>1302</v>
      </c>
      <c r="J410" s="8" t="s">
        <v>13</v>
      </c>
    </row>
    <row r="411">
      <c r="A411" s="5" t="s">
        <v>1303</v>
      </c>
      <c r="B411" s="5" t="s">
        <v>32</v>
      </c>
      <c r="C411" s="6" t="s">
        <v>13</v>
      </c>
      <c r="D411" s="5" t="s">
        <v>1233</v>
      </c>
      <c r="E411" s="5" t="s">
        <v>26</v>
      </c>
      <c r="F411" s="5" t="s">
        <v>1304</v>
      </c>
      <c r="G411" s="5" t="s">
        <v>1305</v>
      </c>
      <c r="H411" s="5" t="s">
        <v>18</v>
      </c>
      <c r="I411" s="7" t="s">
        <v>1306</v>
      </c>
      <c r="J411" s="8" t="s">
        <v>13</v>
      </c>
    </row>
    <row r="412">
      <c r="A412" s="5" t="s">
        <v>1307</v>
      </c>
      <c r="B412" s="5" t="s">
        <v>25</v>
      </c>
      <c r="C412" s="6" t="s">
        <v>13</v>
      </c>
      <c r="D412" s="5" t="s">
        <v>1233</v>
      </c>
      <c r="E412" s="5" t="s">
        <v>459</v>
      </c>
      <c r="F412" s="5" t="s">
        <v>112</v>
      </c>
      <c r="G412" s="5" t="s">
        <v>38</v>
      </c>
      <c r="H412" s="5" t="s">
        <v>18</v>
      </c>
      <c r="I412" s="7" t="s">
        <v>1308</v>
      </c>
      <c r="J412" s="8" t="s">
        <v>13</v>
      </c>
    </row>
    <row r="413">
      <c r="A413" s="5" t="s">
        <v>1309</v>
      </c>
      <c r="B413" s="5" t="s">
        <v>32</v>
      </c>
      <c r="C413" s="6" t="s">
        <v>13</v>
      </c>
      <c r="D413" s="5" t="s">
        <v>1233</v>
      </c>
      <c r="E413" s="5" t="s">
        <v>418</v>
      </c>
      <c r="F413" s="5" t="s">
        <v>112</v>
      </c>
      <c r="G413" s="5" t="s">
        <v>38</v>
      </c>
      <c r="H413" s="5" t="s">
        <v>18</v>
      </c>
      <c r="I413" s="7" t="s">
        <v>1310</v>
      </c>
      <c r="J413" s="8" t="s">
        <v>13</v>
      </c>
    </row>
    <row r="414">
      <c r="A414" s="5" t="s">
        <v>1311</v>
      </c>
      <c r="B414" s="5" t="s">
        <v>25</v>
      </c>
      <c r="C414" s="6" t="s">
        <v>13</v>
      </c>
      <c r="D414" s="5" t="s">
        <v>1233</v>
      </c>
      <c r="E414" s="5" t="s">
        <v>376</v>
      </c>
      <c r="F414" s="5" t="s">
        <v>1312</v>
      </c>
      <c r="G414" s="5" t="s">
        <v>219</v>
      </c>
      <c r="H414" s="5" t="s">
        <v>18</v>
      </c>
      <c r="I414" s="7" t="s">
        <v>1313</v>
      </c>
      <c r="J414" s="8" t="s">
        <v>13</v>
      </c>
    </row>
    <row r="415">
      <c r="A415" s="5" t="s">
        <v>1314</v>
      </c>
      <c r="B415" s="5" t="s">
        <v>371</v>
      </c>
      <c r="C415" s="6" t="s">
        <v>13</v>
      </c>
      <c r="D415" s="5" t="s">
        <v>1233</v>
      </c>
      <c r="F415" s="5" t="s">
        <v>975</v>
      </c>
      <c r="G415" s="5" t="s">
        <v>44</v>
      </c>
      <c r="H415" s="5" t="s">
        <v>18</v>
      </c>
      <c r="I415" s="7" t="s">
        <v>1315</v>
      </c>
      <c r="J415" s="8" t="s">
        <v>13</v>
      </c>
    </row>
    <row r="416">
      <c r="A416" s="5" t="s">
        <v>1316</v>
      </c>
      <c r="B416" s="5" t="s">
        <v>371</v>
      </c>
      <c r="C416" s="6" t="s">
        <v>13</v>
      </c>
      <c r="D416" s="5" t="s">
        <v>1233</v>
      </c>
      <c r="E416" s="5" t="s">
        <v>26</v>
      </c>
      <c r="F416" s="5" t="s">
        <v>122</v>
      </c>
      <c r="G416" s="5" t="s">
        <v>44</v>
      </c>
      <c r="H416" s="5" t="s">
        <v>18</v>
      </c>
      <c r="I416" s="7" t="s">
        <v>1317</v>
      </c>
      <c r="J416" s="8" t="s">
        <v>13</v>
      </c>
    </row>
    <row r="417">
      <c r="A417" s="5" t="s">
        <v>1318</v>
      </c>
      <c r="B417" s="5" t="s">
        <v>25</v>
      </c>
      <c r="C417" s="6" t="s">
        <v>13</v>
      </c>
      <c r="D417" s="5" t="s">
        <v>1233</v>
      </c>
      <c r="F417" s="5" t="s">
        <v>122</v>
      </c>
      <c r="G417" s="5" t="s">
        <v>44</v>
      </c>
      <c r="H417" s="5" t="s">
        <v>18</v>
      </c>
      <c r="I417" s="7" t="s">
        <v>1319</v>
      </c>
      <c r="J417" s="8" t="s">
        <v>13</v>
      </c>
    </row>
    <row r="418">
      <c r="A418" s="5" t="s">
        <v>1320</v>
      </c>
      <c r="B418" s="5" t="s">
        <v>371</v>
      </c>
      <c r="C418" s="6" t="s">
        <v>13</v>
      </c>
      <c r="D418" s="5" t="s">
        <v>1233</v>
      </c>
      <c r="E418" s="5" t="s">
        <v>1321</v>
      </c>
      <c r="F418" s="5" t="s">
        <v>122</v>
      </c>
      <c r="G418" s="5" t="s">
        <v>44</v>
      </c>
      <c r="H418" s="5" t="s">
        <v>18</v>
      </c>
      <c r="I418" s="8" t="s">
        <v>1322</v>
      </c>
      <c r="J418" s="8" t="s">
        <v>13</v>
      </c>
    </row>
    <row r="419">
      <c r="A419" s="5" t="s">
        <v>1323</v>
      </c>
      <c r="B419" s="5" t="s">
        <v>1324</v>
      </c>
      <c r="C419" s="6" t="s">
        <v>13</v>
      </c>
      <c r="D419" s="5" t="s">
        <v>1233</v>
      </c>
      <c r="E419" s="5" t="s">
        <v>570</v>
      </c>
      <c r="F419" s="5" t="s">
        <v>793</v>
      </c>
      <c r="G419" s="5" t="s">
        <v>184</v>
      </c>
      <c r="H419" s="5" t="s">
        <v>18</v>
      </c>
      <c r="I419" s="7" t="s">
        <v>1325</v>
      </c>
      <c r="J419" s="8" t="s">
        <v>13</v>
      </c>
    </row>
    <row r="420">
      <c r="A420" s="5" t="s">
        <v>1326</v>
      </c>
      <c r="B420" s="5" t="s">
        <v>1327</v>
      </c>
      <c r="C420" s="6" t="s">
        <v>13</v>
      </c>
      <c r="D420" s="5" t="s">
        <v>1233</v>
      </c>
      <c r="E420" s="5" t="s">
        <v>26</v>
      </c>
      <c r="F420" s="5" t="s">
        <v>218</v>
      </c>
      <c r="G420" s="5" t="s">
        <v>219</v>
      </c>
      <c r="H420" s="5" t="s">
        <v>18</v>
      </c>
      <c r="I420" s="7" t="s">
        <v>1328</v>
      </c>
      <c r="J420" s="8" t="s">
        <v>13</v>
      </c>
    </row>
    <row r="421">
      <c r="A421" s="5" t="s">
        <v>1329</v>
      </c>
      <c r="B421" s="5" t="s">
        <v>766</v>
      </c>
      <c r="C421" s="6" t="s">
        <v>13</v>
      </c>
      <c r="D421" s="5" t="s">
        <v>1233</v>
      </c>
      <c r="E421" s="5" t="s">
        <v>421</v>
      </c>
      <c r="F421" s="5" t="s">
        <v>137</v>
      </c>
      <c r="G421" s="5" t="s">
        <v>137</v>
      </c>
      <c r="H421" s="5" t="s">
        <v>18</v>
      </c>
      <c r="I421" s="7" t="s">
        <v>1330</v>
      </c>
      <c r="J421" s="8" t="s">
        <v>13</v>
      </c>
    </row>
    <row r="422">
      <c r="A422" s="5" t="s">
        <v>1331</v>
      </c>
      <c r="B422" s="5" t="s">
        <v>1332</v>
      </c>
      <c r="C422" s="6" t="s">
        <v>13</v>
      </c>
      <c r="D422" s="5" t="s">
        <v>1233</v>
      </c>
      <c r="E422" s="5" t="s">
        <v>570</v>
      </c>
      <c r="F422" s="5" t="s">
        <v>137</v>
      </c>
      <c r="G422" s="5" t="s">
        <v>137</v>
      </c>
      <c r="H422" s="5" t="s">
        <v>18</v>
      </c>
      <c r="I422" s="8" t="s">
        <v>1333</v>
      </c>
      <c r="J422" s="8" t="s">
        <v>13</v>
      </c>
    </row>
    <row r="423">
      <c r="A423" s="5" t="s">
        <v>1334</v>
      </c>
      <c r="B423" s="5" t="s">
        <v>371</v>
      </c>
      <c r="C423" s="6" t="s">
        <v>13</v>
      </c>
      <c r="D423" s="5" t="s">
        <v>1233</v>
      </c>
      <c r="E423" s="5" t="s">
        <v>60</v>
      </c>
      <c r="F423" s="5" t="s">
        <v>137</v>
      </c>
      <c r="G423" s="5" t="s">
        <v>137</v>
      </c>
      <c r="H423" s="5" t="s">
        <v>18</v>
      </c>
      <c r="I423" s="8" t="s">
        <v>1335</v>
      </c>
      <c r="J423" s="8" t="s">
        <v>13</v>
      </c>
    </row>
    <row r="424">
      <c r="A424" s="5" t="s">
        <v>1336</v>
      </c>
      <c r="B424" s="5" t="s">
        <v>1337</v>
      </c>
      <c r="C424" s="6" t="s">
        <v>13</v>
      </c>
      <c r="D424" s="5" t="s">
        <v>1233</v>
      </c>
      <c r="E424" s="5" t="s">
        <v>15</v>
      </c>
      <c r="F424" s="5" t="s">
        <v>137</v>
      </c>
      <c r="G424" s="5" t="s">
        <v>137</v>
      </c>
      <c r="H424" s="5" t="s">
        <v>18</v>
      </c>
      <c r="I424" s="8" t="s">
        <v>1338</v>
      </c>
      <c r="J424" s="8" t="s">
        <v>13</v>
      </c>
    </row>
    <row r="425">
      <c r="A425" s="5" t="s">
        <v>1339</v>
      </c>
      <c r="B425" s="5" t="s">
        <v>25</v>
      </c>
      <c r="C425" s="6" t="s">
        <v>13</v>
      </c>
      <c r="D425" s="5" t="s">
        <v>1233</v>
      </c>
      <c r="E425" s="5" t="s">
        <v>207</v>
      </c>
      <c r="F425" s="5" t="s">
        <v>137</v>
      </c>
      <c r="G425" s="5" t="s">
        <v>137</v>
      </c>
      <c r="H425" s="5" t="s">
        <v>18</v>
      </c>
      <c r="I425" s="7" t="s">
        <v>1340</v>
      </c>
      <c r="J425" s="8" t="s">
        <v>13</v>
      </c>
    </row>
    <row r="426">
      <c r="A426" s="5" t="s">
        <v>1341</v>
      </c>
      <c r="B426" s="5" t="s">
        <v>25</v>
      </c>
      <c r="C426" s="6" t="s">
        <v>13</v>
      </c>
      <c r="D426" s="5" t="s">
        <v>1233</v>
      </c>
      <c r="E426" s="5" t="s">
        <v>574</v>
      </c>
      <c r="F426" s="5" t="s">
        <v>137</v>
      </c>
      <c r="G426" s="5" t="s">
        <v>137</v>
      </c>
      <c r="H426" s="5" t="s">
        <v>18</v>
      </c>
      <c r="I426" s="7" t="s">
        <v>1342</v>
      </c>
      <c r="J426" s="8" t="s">
        <v>13</v>
      </c>
    </row>
    <row r="427">
      <c r="A427" s="5" t="s">
        <v>1343</v>
      </c>
      <c r="B427" s="5" t="s">
        <v>1344</v>
      </c>
      <c r="C427" s="6" t="s">
        <v>13</v>
      </c>
      <c r="D427" s="5" t="s">
        <v>1233</v>
      </c>
      <c r="E427" s="5" t="s">
        <v>192</v>
      </c>
      <c r="F427" s="5" t="s">
        <v>137</v>
      </c>
      <c r="G427" s="5" t="s">
        <v>137</v>
      </c>
      <c r="H427" s="5" t="s">
        <v>18</v>
      </c>
      <c r="I427" s="7" t="s">
        <v>1345</v>
      </c>
      <c r="J427" s="8" t="s">
        <v>13</v>
      </c>
    </row>
    <row r="428">
      <c r="A428" s="5" t="s">
        <v>1346</v>
      </c>
      <c r="B428" s="5" t="s">
        <v>1347</v>
      </c>
      <c r="C428" s="6" t="s">
        <v>13</v>
      </c>
      <c r="D428" s="5" t="s">
        <v>1233</v>
      </c>
      <c r="E428" s="5" t="s">
        <v>106</v>
      </c>
      <c r="F428" s="5" t="s">
        <v>153</v>
      </c>
      <c r="G428" s="5" t="s">
        <v>154</v>
      </c>
      <c r="H428" s="5" t="s">
        <v>18</v>
      </c>
      <c r="I428" s="8" t="s">
        <v>1348</v>
      </c>
      <c r="J428" s="8" t="s">
        <v>13</v>
      </c>
    </row>
    <row r="429">
      <c r="A429" s="5" t="s">
        <v>1349</v>
      </c>
      <c r="B429" s="5" t="s">
        <v>25</v>
      </c>
      <c r="C429" s="6" t="s">
        <v>13</v>
      </c>
      <c r="D429" s="5" t="s">
        <v>1233</v>
      </c>
      <c r="E429" s="5" t="s">
        <v>15</v>
      </c>
      <c r="F429" s="5" t="s">
        <v>223</v>
      </c>
      <c r="G429" s="5" t="s">
        <v>224</v>
      </c>
      <c r="H429" s="5" t="s">
        <v>18</v>
      </c>
      <c r="I429" s="8" t="s">
        <v>1350</v>
      </c>
      <c r="J429" s="8" t="s">
        <v>13</v>
      </c>
    </row>
    <row r="430">
      <c r="A430" s="5" t="s">
        <v>1351</v>
      </c>
      <c r="B430" s="5" t="s">
        <v>25</v>
      </c>
      <c r="C430" s="6" t="s">
        <v>13</v>
      </c>
      <c r="D430" s="5" t="s">
        <v>1233</v>
      </c>
      <c r="E430" s="5" t="s">
        <v>1352</v>
      </c>
      <c r="F430" s="5" t="s">
        <v>1353</v>
      </c>
      <c r="G430" s="5" t="s">
        <v>1354</v>
      </c>
      <c r="H430" s="5" t="s">
        <v>18</v>
      </c>
      <c r="I430" s="7" t="s">
        <v>1355</v>
      </c>
      <c r="J430" s="8" t="s">
        <v>13</v>
      </c>
    </row>
    <row r="431">
      <c r="A431" s="5" t="s">
        <v>1356</v>
      </c>
      <c r="B431" s="5" t="s">
        <v>25</v>
      </c>
      <c r="C431" s="6" t="s">
        <v>13</v>
      </c>
      <c r="D431" s="5" t="s">
        <v>1233</v>
      </c>
      <c r="E431" s="5" t="s">
        <v>1357</v>
      </c>
      <c r="F431" s="5" t="s">
        <v>801</v>
      </c>
      <c r="G431" s="5" t="s">
        <v>50</v>
      </c>
      <c r="H431" s="5" t="s">
        <v>18</v>
      </c>
      <c r="I431" s="7" t="s">
        <v>1358</v>
      </c>
      <c r="J431" s="8" t="s">
        <v>13</v>
      </c>
    </row>
    <row r="432">
      <c r="A432" s="5" t="s">
        <v>1359</v>
      </c>
      <c r="B432" s="5" t="s">
        <v>371</v>
      </c>
      <c r="C432" s="6" t="s">
        <v>13</v>
      </c>
      <c r="D432" s="5" t="s">
        <v>1233</v>
      </c>
      <c r="E432" s="5" t="s">
        <v>1360</v>
      </c>
      <c r="F432" s="5" t="s">
        <v>1361</v>
      </c>
      <c r="G432" s="5" t="s">
        <v>91</v>
      </c>
      <c r="H432" s="5" t="s">
        <v>18</v>
      </c>
      <c r="I432" s="7" t="s">
        <v>1362</v>
      </c>
      <c r="J432" s="8" t="s">
        <v>13</v>
      </c>
    </row>
    <row r="433">
      <c r="A433" s="5" t="s">
        <v>1363</v>
      </c>
      <c r="B433" s="5" t="s">
        <v>371</v>
      </c>
      <c r="C433" s="6" t="s">
        <v>13</v>
      </c>
      <c r="D433" s="5" t="s">
        <v>1233</v>
      </c>
      <c r="E433" s="5" t="s">
        <v>1364</v>
      </c>
      <c r="F433" s="5" t="s">
        <v>166</v>
      </c>
      <c r="G433" s="5" t="s">
        <v>44</v>
      </c>
      <c r="H433" s="5" t="s">
        <v>18</v>
      </c>
      <c r="I433" s="7" t="s">
        <v>1365</v>
      </c>
      <c r="J433" s="8" t="s">
        <v>13</v>
      </c>
    </row>
    <row r="434">
      <c r="A434" s="5" t="s">
        <v>1366</v>
      </c>
      <c r="B434" s="5" t="s">
        <v>371</v>
      </c>
      <c r="C434" s="6" t="s">
        <v>13</v>
      </c>
      <c r="D434" s="5" t="s">
        <v>1233</v>
      </c>
      <c r="F434" s="5" t="s">
        <v>166</v>
      </c>
      <c r="G434" s="5" t="s">
        <v>44</v>
      </c>
      <c r="H434" s="5" t="s">
        <v>18</v>
      </c>
      <c r="I434" s="7" t="s">
        <v>1367</v>
      </c>
      <c r="J434" s="8" t="s">
        <v>13</v>
      </c>
    </row>
    <row r="435">
      <c r="A435" s="5" t="s">
        <v>1368</v>
      </c>
      <c r="B435" s="5" t="s">
        <v>25</v>
      </c>
      <c r="C435" s="6" t="s">
        <v>13</v>
      </c>
      <c r="D435" s="5" t="s">
        <v>1233</v>
      </c>
      <c r="E435" s="5" t="s">
        <v>36</v>
      </c>
      <c r="F435" s="5" t="s">
        <v>166</v>
      </c>
      <c r="G435" s="5" t="s">
        <v>44</v>
      </c>
      <c r="H435" s="5" t="s">
        <v>18</v>
      </c>
      <c r="I435" s="7" t="s">
        <v>1369</v>
      </c>
      <c r="J435" s="8" t="s">
        <v>13</v>
      </c>
    </row>
    <row r="436">
      <c r="A436" s="5" t="s">
        <v>1370</v>
      </c>
      <c r="B436" s="5" t="s">
        <v>25</v>
      </c>
      <c r="C436" s="6" t="s">
        <v>13</v>
      </c>
      <c r="D436" s="5" t="s">
        <v>1233</v>
      </c>
      <c r="E436" s="5" t="s">
        <v>1371</v>
      </c>
      <c r="F436" s="5" t="s">
        <v>166</v>
      </c>
      <c r="G436" s="5" t="s">
        <v>44</v>
      </c>
      <c r="H436" s="5" t="s">
        <v>18</v>
      </c>
      <c r="I436" s="7" t="s">
        <v>1372</v>
      </c>
      <c r="J436" s="8" t="s">
        <v>13</v>
      </c>
    </row>
    <row r="437">
      <c r="A437" s="5" t="s">
        <v>1373</v>
      </c>
      <c r="B437" s="5" t="s">
        <v>32</v>
      </c>
      <c r="C437" s="6" t="s">
        <v>13</v>
      </c>
      <c r="D437" s="5" t="s">
        <v>1233</v>
      </c>
      <c r="E437" s="5" t="s">
        <v>666</v>
      </c>
      <c r="F437" s="5" t="s">
        <v>166</v>
      </c>
      <c r="G437" s="5" t="s">
        <v>44</v>
      </c>
      <c r="H437" s="5" t="s">
        <v>18</v>
      </c>
      <c r="I437" s="7" t="s">
        <v>1374</v>
      </c>
      <c r="J437" s="8" t="s">
        <v>13</v>
      </c>
    </row>
    <row r="438">
      <c r="A438" s="5" t="s">
        <v>1375</v>
      </c>
      <c r="B438" s="5" t="s">
        <v>110</v>
      </c>
      <c r="C438" s="6" t="s">
        <v>13</v>
      </c>
      <c r="D438" s="5" t="s">
        <v>1233</v>
      </c>
      <c r="E438" s="5" t="s">
        <v>909</v>
      </c>
      <c r="F438" s="5" t="s">
        <v>169</v>
      </c>
      <c r="G438" s="5" t="s">
        <v>44</v>
      </c>
      <c r="H438" s="5" t="s">
        <v>18</v>
      </c>
      <c r="I438" s="7" t="s">
        <v>1376</v>
      </c>
      <c r="J438" s="8" t="s">
        <v>13</v>
      </c>
    </row>
    <row r="439">
      <c r="A439" s="5" t="s">
        <v>1377</v>
      </c>
      <c r="B439" s="5" t="s">
        <v>1378</v>
      </c>
      <c r="C439" s="6" t="s">
        <v>13</v>
      </c>
      <c r="D439" s="5" t="s">
        <v>1233</v>
      </c>
      <c r="E439" s="5" t="s">
        <v>651</v>
      </c>
      <c r="F439" s="5" t="s">
        <v>1379</v>
      </c>
      <c r="G439" s="5" t="s">
        <v>224</v>
      </c>
      <c r="H439" s="5" t="s">
        <v>18</v>
      </c>
      <c r="I439" s="7" t="s">
        <v>1380</v>
      </c>
      <c r="J439" s="8" t="s">
        <v>13</v>
      </c>
    </row>
    <row r="440">
      <c r="A440" s="5" t="s">
        <v>1381</v>
      </c>
      <c r="B440" s="5" t="s">
        <v>25</v>
      </c>
      <c r="C440" s="6" t="s">
        <v>13</v>
      </c>
      <c r="D440" s="5" t="s">
        <v>1233</v>
      </c>
      <c r="E440" s="5" t="s">
        <v>421</v>
      </c>
      <c r="F440" s="5" t="s">
        <v>311</v>
      </c>
      <c r="G440" s="5" t="s">
        <v>102</v>
      </c>
      <c r="H440" s="5" t="s">
        <v>18</v>
      </c>
      <c r="I440" s="7" t="s">
        <v>1382</v>
      </c>
      <c r="J440" s="8" t="s">
        <v>13</v>
      </c>
    </row>
    <row r="441">
      <c r="A441" s="5" t="s">
        <v>1383</v>
      </c>
      <c r="B441" s="5" t="s">
        <v>1384</v>
      </c>
      <c r="C441" s="6" t="s">
        <v>13</v>
      </c>
      <c r="D441" s="5" t="s">
        <v>1233</v>
      </c>
      <c r="E441" s="5" t="s">
        <v>365</v>
      </c>
      <c r="F441" s="5" t="s">
        <v>311</v>
      </c>
      <c r="G441" s="5" t="s">
        <v>102</v>
      </c>
      <c r="H441" s="5" t="s">
        <v>18</v>
      </c>
      <c r="I441" s="7" t="s">
        <v>1385</v>
      </c>
      <c r="J441" s="8" t="s">
        <v>13</v>
      </c>
    </row>
    <row r="442">
      <c r="A442" s="5" t="s">
        <v>1386</v>
      </c>
      <c r="B442" s="5" t="s">
        <v>1387</v>
      </c>
      <c r="C442" s="6" t="s">
        <v>13</v>
      </c>
      <c r="D442" s="5" t="s">
        <v>1233</v>
      </c>
      <c r="E442" s="5" t="s">
        <v>1364</v>
      </c>
      <c r="F442" s="5" t="s">
        <v>669</v>
      </c>
      <c r="G442" s="5" t="s">
        <v>17</v>
      </c>
      <c r="H442" s="5" t="s">
        <v>18</v>
      </c>
      <c r="I442" s="7" t="s">
        <v>1388</v>
      </c>
      <c r="J442" s="8" t="s">
        <v>13</v>
      </c>
    </row>
    <row r="443">
      <c r="A443" s="5" t="s">
        <v>1389</v>
      </c>
      <c r="B443" s="5" t="s">
        <v>1390</v>
      </c>
      <c r="C443" s="6" t="s">
        <v>13</v>
      </c>
      <c r="D443" s="5" t="s">
        <v>1233</v>
      </c>
      <c r="E443" s="5" t="s">
        <v>106</v>
      </c>
      <c r="F443" s="5" t="s">
        <v>1391</v>
      </c>
      <c r="G443" s="5" t="s">
        <v>954</v>
      </c>
      <c r="H443" s="5" t="s">
        <v>18</v>
      </c>
      <c r="I443" s="7" t="s">
        <v>1392</v>
      </c>
      <c r="J443" s="8" t="s">
        <v>13</v>
      </c>
    </row>
    <row r="444">
      <c r="A444" s="5" t="s">
        <v>1393</v>
      </c>
      <c r="B444" s="5" t="s">
        <v>25</v>
      </c>
      <c r="C444" s="6" t="s">
        <v>13</v>
      </c>
      <c r="D444" s="5" t="s">
        <v>1233</v>
      </c>
      <c r="F444" s="5" t="s">
        <v>1394</v>
      </c>
      <c r="G444" s="5" t="s">
        <v>184</v>
      </c>
      <c r="H444" s="5" t="s">
        <v>18</v>
      </c>
      <c r="I444" s="7" t="s">
        <v>1395</v>
      </c>
      <c r="J444" s="8" t="s">
        <v>13</v>
      </c>
    </row>
    <row r="445">
      <c r="A445" s="5" t="s">
        <v>1396</v>
      </c>
      <c r="B445" s="5" t="s">
        <v>1397</v>
      </c>
      <c r="C445" s="6" t="s">
        <v>13</v>
      </c>
      <c r="D445" s="5" t="s">
        <v>1233</v>
      </c>
      <c r="E445" s="5" t="s">
        <v>1398</v>
      </c>
      <c r="F445" s="5" t="s">
        <v>1399</v>
      </c>
      <c r="G445" s="5" t="s">
        <v>96</v>
      </c>
      <c r="H445" s="5" t="s">
        <v>18</v>
      </c>
      <c r="I445" s="8" t="s">
        <v>1400</v>
      </c>
      <c r="J445" s="8" t="s">
        <v>13</v>
      </c>
    </row>
    <row r="446">
      <c r="A446" s="5" t="s">
        <v>1401</v>
      </c>
      <c r="B446" s="5" t="s">
        <v>371</v>
      </c>
      <c r="C446" s="6" t="s">
        <v>13</v>
      </c>
      <c r="D446" s="5" t="s">
        <v>1233</v>
      </c>
      <c r="E446" s="5" t="s">
        <v>1123</v>
      </c>
      <c r="F446" s="5" t="s">
        <v>102</v>
      </c>
      <c r="G446" s="5" t="s">
        <v>172</v>
      </c>
      <c r="H446" s="5" t="s">
        <v>18</v>
      </c>
      <c r="I446" s="7" t="s">
        <v>1402</v>
      </c>
      <c r="J446" s="8" t="s">
        <v>13</v>
      </c>
    </row>
    <row r="447">
      <c r="A447" s="5" t="s">
        <v>1403</v>
      </c>
      <c r="B447" s="5" t="s">
        <v>32</v>
      </c>
      <c r="C447" s="6" t="s">
        <v>13</v>
      </c>
      <c r="D447" s="5" t="s">
        <v>1233</v>
      </c>
      <c r="E447" s="5" t="s">
        <v>192</v>
      </c>
      <c r="F447" s="5" t="s">
        <v>102</v>
      </c>
      <c r="G447" s="5" t="s">
        <v>172</v>
      </c>
      <c r="H447" s="5" t="s">
        <v>18</v>
      </c>
      <c r="I447" s="8" t="s">
        <v>1404</v>
      </c>
      <c r="J447" s="8" t="s">
        <v>13</v>
      </c>
    </row>
    <row r="448">
      <c r="A448" s="5" t="s">
        <v>1405</v>
      </c>
      <c r="B448" s="5" t="s">
        <v>1406</v>
      </c>
      <c r="C448" s="6" t="s">
        <v>13</v>
      </c>
      <c r="D448" s="5" t="s">
        <v>1233</v>
      </c>
      <c r="E448" s="5" t="s">
        <v>1407</v>
      </c>
      <c r="F448" s="5" t="s">
        <v>49</v>
      </c>
      <c r="G448" s="5" t="s">
        <v>50</v>
      </c>
      <c r="H448" s="5" t="s">
        <v>18</v>
      </c>
      <c r="I448" s="7" t="s">
        <v>1408</v>
      </c>
      <c r="J448" s="8" t="s">
        <v>13</v>
      </c>
    </row>
    <row r="449">
      <c r="A449" s="5" t="s">
        <v>1405</v>
      </c>
      <c r="B449" s="5" t="s">
        <v>1406</v>
      </c>
      <c r="C449" s="6" t="s">
        <v>13</v>
      </c>
      <c r="D449" s="5" t="s">
        <v>1233</v>
      </c>
      <c r="E449" s="5" t="s">
        <v>1407</v>
      </c>
      <c r="F449" s="5" t="s">
        <v>49</v>
      </c>
      <c r="G449" s="5" t="s">
        <v>50</v>
      </c>
      <c r="H449" s="5" t="s">
        <v>18</v>
      </c>
      <c r="I449" s="7" t="s">
        <v>1408</v>
      </c>
      <c r="J449" s="8" t="s">
        <v>13</v>
      </c>
    </row>
    <row r="450">
      <c r="A450" s="5" t="s">
        <v>1409</v>
      </c>
      <c r="B450" s="5" t="s">
        <v>1410</v>
      </c>
      <c r="C450" s="6" t="s">
        <v>13</v>
      </c>
      <c r="D450" s="5" t="s">
        <v>1233</v>
      </c>
      <c r="E450" s="5" t="s">
        <v>1411</v>
      </c>
      <c r="F450" s="5" t="s">
        <v>1412</v>
      </c>
      <c r="G450" s="5" t="s">
        <v>96</v>
      </c>
      <c r="H450" s="5" t="s">
        <v>18</v>
      </c>
      <c r="I450" s="7" t="s">
        <v>1413</v>
      </c>
      <c r="J450" s="8" t="s">
        <v>13</v>
      </c>
    </row>
    <row r="451">
      <c r="A451" s="5" t="s">
        <v>1414</v>
      </c>
      <c r="B451" s="5" t="s">
        <v>371</v>
      </c>
      <c r="C451" s="6" t="s">
        <v>13</v>
      </c>
      <c r="D451" s="5" t="s">
        <v>1233</v>
      </c>
      <c r="F451" s="5" t="s">
        <v>1415</v>
      </c>
      <c r="G451" s="5" t="s">
        <v>65</v>
      </c>
      <c r="H451" s="5" t="s">
        <v>18</v>
      </c>
      <c r="I451" s="7" t="s">
        <v>1416</v>
      </c>
      <c r="J451" s="8" t="s">
        <v>13</v>
      </c>
    </row>
    <row r="452">
      <c r="A452" s="5" t="s">
        <v>1417</v>
      </c>
      <c r="B452" s="5" t="s">
        <v>25</v>
      </c>
      <c r="C452" s="6" t="s">
        <v>13</v>
      </c>
      <c r="D452" s="5" t="s">
        <v>1233</v>
      </c>
      <c r="F452" s="5" t="s">
        <v>1418</v>
      </c>
      <c r="G452" s="5" t="s">
        <v>96</v>
      </c>
      <c r="H452" s="5" t="s">
        <v>18</v>
      </c>
      <c r="I452" s="7" t="s">
        <v>1419</v>
      </c>
      <c r="J452" s="8" t="s">
        <v>13</v>
      </c>
    </row>
    <row r="453">
      <c r="A453" s="5" t="s">
        <v>1420</v>
      </c>
      <c r="B453" s="5" t="s">
        <v>25</v>
      </c>
      <c r="C453" s="6" t="s">
        <v>13</v>
      </c>
      <c r="D453" s="5" t="s">
        <v>1233</v>
      </c>
      <c r="E453" s="5" t="s">
        <v>1421</v>
      </c>
      <c r="F453" s="5" t="s">
        <v>80</v>
      </c>
      <c r="G453" s="5" t="s">
        <v>38</v>
      </c>
      <c r="H453" s="5" t="s">
        <v>18</v>
      </c>
      <c r="I453" s="7" t="s">
        <v>1422</v>
      </c>
      <c r="J453" s="8" t="s">
        <v>13</v>
      </c>
    </row>
    <row r="454">
      <c r="A454" s="5" t="s">
        <v>1423</v>
      </c>
      <c r="B454" s="5" t="s">
        <v>25</v>
      </c>
      <c r="C454" s="6" t="s">
        <v>13</v>
      </c>
      <c r="D454" s="5" t="s">
        <v>1424</v>
      </c>
      <c r="E454" s="5" t="s">
        <v>1425</v>
      </c>
      <c r="F454" s="5" t="s">
        <v>183</v>
      </c>
      <c r="G454" s="5" t="s">
        <v>184</v>
      </c>
      <c r="H454" s="5" t="s">
        <v>18</v>
      </c>
      <c r="I454" s="7" t="s">
        <v>1426</v>
      </c>
      <c r="J454" s="8" t="s">
        <v>13</v>
      </c>
    </row>
    <row r="455">
      <c r="A455" s="5" t="s">
        <v>1427</v>
      </c>
      <c r="B455" s="5" t="s">
        <v>1428</v>
      </c>
      <c r="C455" s="6" t="s">
        <v>13</v>
      </c>
      <c r="D455" s="5" t="s">
        <v>1424</v>
      </c>
      <c r="E455" s="5" t="s">
        <v>500</v>
      </c>
      <c r="F455" s="5" t="s">
        <v>80</v>
      </c>
      <c r="G455" s="5" t="s">
        <v>38</v>
      </c>
      <c r="H455" s="5" t="s">
        <v>18</v>
      </c>
      <c r="I455" s="7" t="s">
        <v>1429</v>
      </c>
      <c r="J455" s="8" t="s">
        <v>13</v>
      </c>
    </row>
    <row r="456">
      <c r="A456" s="5" t="s">
        <v>1430</v>
      </c>
      <c r="B456" s="5" t="s">
        <v>25</v>
      </c>
      <c r="C456" s="6" t="s">
        <v>13</v>
      </c>
      <c r="D456" s="5" t="s">
        <v>1424</v>
      </c>
      <c r="E456" s="5" t="s">
        <v>1431</v>
      </c>
      <c r="F456" s="5" t="s">
        <v>80</v>
      </c>
      <c r="G456" s="5" t="s">
        <v>38</v>
      </c>
      <c r="H456" s="5" t="s">
        <v>18</v>
      </c>
      <c r="I456" s="7" t="s">
        <v>1432</v>
      </c>
      <c r="J456" s="8" t="s">
        <v>13</v>
      </c>
    </row>
    <row r="457">
      <c r="A457" s="5" t="s">
        <v>1433</v>
      </c>
      <c r="B457" s="5" t="s">
        <v>1128</v>
      </c>
      <c r="C457" s="6" t="s">
        <v>13</v>
      </c>
      <c r="D457" s="5" t="s">
        <v>1424</v>
      </c>
      <c r="F457" s="5" t="s">
        <v>793</v>
      </c>
      <c r="G457" s="5" t="s">
        <v>184</v>
      </c>
      <c r="H457" s="5" t="s">
        <v>18</v>
      </c>
      <c r="I457" s="7" t="s">
        <v>1434</v>
      </c>
      <c r="J457" s="8" t="s">
        <v>13</v>
      </c>
    </row>
    <row r="458">
      <c r="A458" s="5" t="s">
        <v>1435</v>
      </c>
      <c r="B458" s="5" t="s">
        <v>1436</v>
      </c>
      <c r="C458" s="6" t="s">
        <v>13</v>
      </c>
      <c r="D458" s="5" t="s">
        <v>1424</v>
      </c>
      <c r="E458" s="5" t="s">
        <v>207</v>
      </c>
      <c r="F458" s="5" t="s">
        <v>1437</v>
      </c>
      <c r="G458" s="5" t="s">
        <v>203</v>
      </c>
      <c r="H458" s="5" t="s">
        <v>18</v>
      </c>
      <c r="I458" s="8" t="s">
        <v>1438</v>
      </c>
      <c r="J458" s="8" t="s">
        <v>13</v>
      </c>
    </row>
    <row r="459">
      <c r="A459" s="5" t="s">
        <v>1439</v>
      </c>
      <c r="B459" s="5" t="s">
        <v>1440</v>
      </c>
      <c r="C459" s="6" t="s">
        <v>4</v>
      </c>
      <c r="D459" s="5" t="s">
        <v>1424</v>
      </c>
      <c r="E459" s="5" t="s">
        <v>26</v>
      </c>
      <c r="F459" s="5" t="s">
        <v>153</v>
      </c>
      <c r="G459" s="5" t="s">
        <v>154</v>
      </c>
      <c r="H459" s="5" t="s">
        <v>18</v>
      </c>
      <c r="I459" s="7" t="s">
        <v>1441</v>
      </c>
      <c r="J459" s="8" t="s">
        <v>13</v>
      </c>
    </row>
    <row r="460">
      <c r="A460" s="5" t="s">
        <v>1442</v>
      </c>
      <c r="B460" s="5" t="s">
        <v>25</v>
      </c>
      <c r="C460" s="6" t="s">
        <v>13</v>
      </c>
      <c r="D460" s="5" t="s">
        <v>1424</v>
      </c>
      <c r="F460" s="5" t="s">
        <v>669</v>
      </c>
      <c r="G460" s="5" t="s">
        <v>17</v>
      </c>
      <c r="H460" s="5" t="s">
        <v>18</v>
      </c>
      <c r="I460" s="7" t="s">
        <v>1443</v>
      </c>
      <c r="J460" s="8" t="s">
        <v>13</v>
      </c>
    </row>
    <row r="461">
      <c r="A461" s="5" t="s">
        <v>1444</v>
      </c>
      <c r="B461" s="5" t="s">
        <v>47</v>
      </c>
      <c r="C461" s="6" t="s">
        <v>13</v>
      </c>
      <c r="D461" s="5" t="s">
        <v>1424</v>
      </c>
      <c r="E461" s="5" t="s">
        <v>331</v>
      </c>
      <c r="F461" s="5" t="s">
        <v>102</v>
      </c>
      <c r="G461" s="5" t="s">
        <v>172</v>
      </c>
      <c r="H461" s="5" t="s">
        <v>18</v>
      </c>
      <c r="I461" s="7" t="s">
        <v>1445</v>
      </c>
      <c r="J461" s="8" t="s">
        <v>13</v>
      </c>
    </row>
    <row r="462">
      <c r="A462" s="5" t="s">
        <v>1446</v>
      </c>
      <c r="B462" s="5" t="s">
        <v>25</v>
      </c>
      <c r="C462" s="6" t="s">
        <v>13</v>
      </c>
      <c r="D462" s="5" t="s">
        <v>1447</v>
      </c>
      <c r="E462" s="5" t="s">
        <v>1448</v>
      </c>
      <c r="F462" s="5" t="s">
        <v>1449</v>
      </c>
      <c r="G462" s="5" t="s">
        <v>203</v>
      </c>
      <c r="H462" s="5" t="s">
        <v>18</v>
      </c>
      <c r="I462" s="7" t="s">
        <v>1450</v>
      </c>
      <c r="J462" s="8" t="s">
        <v>13</v>
      </c>
    </row>
    <row r="463">
      <c r="A463" s="5" t="s">
        <v>1451</v>
      </c>
      <c r="B463" s="5" t="s">
        <v>1452</v>
      </c>
      <c r="C463" s="6" t="s">
        <v>13</v>
      </c>
      <c r="D463" s="5" t="s">
        <v>1447</v>
      </c>
      <c r="E463" s="5" t="s">
        <v>354</v>
      </c>
      <c r="F463" s="5" t="s">
        <v>1449</v>
      </c>
      <c r="G463" s="5" t="s">
        <v>203</v>
      </c>
      <c r="H463" s="5" t="s">
        <v>18</v>
      </c>
      <c r="I463" s="7" t="s">
        <v>1453</v>
      </c>
      <c r="J463" s="8" t="s">
        <v>13</v>
      </c>
    </row>
    <row r="464">
      <c r="A464" s="5" t="s">
        <v>1454</v>
      </c>
      <c r="B464" s="5" t="s">
        <v>404</v>
      </c>
      <c r="C464" s="6" t="s">
        <v>13</v>
      </c>
      <c r="D464" s="5" t="s">
        <v>1455</v>
      </c>
      <c r="E464" s="5" t="s">
        <v>651</v>
      </c>
      <c r="F464" s="5" t="s">
        <v>85</v>
      </c>
      <c r="G464" s="5" t="s">
        <v>86</v>
      </c>
      <c r="H464" s="5" t="s">
        <v>18</v>
      </c>
      <c r="I464" s="8" t="s">
        <v>1456</v>
      </c>
      <c r="J464" s="8" t="s">
        <v>13</v>
      </c>
    </row>
    <row r="465">
      <c r="A465" s="5" t="s">
        <v>1457</v>
      </c>
      <c r="B465" s="5" t="s">
        <v>404</v>
      </c>
      <c r="C465" s="6" t="s">
        <v>13</v>
      </c>
      <c r="D465" s="5" t="s">
        <v>1455</v>
      </c>
      <c r="E465" s="5" t="s">
        <v>48</v>
      </c>
      <c r="F465" s="5" t="s">
        <v>85</v>
      </c>
      <c r="G465" s="5" t="s">
        <v>86</v>
      </c>
      <c r="H465" s="5" t="s">
        <v>18</v>
      </c>
      <c r="I465" s="7" t="s">
        <v>1458</v>
      </c>
      <c r="J465" s="8" t="s">
        <v>13</v>
      </c>
    </row>
    <row r="466">
      <c r="A466" s="5" t="s">
        <v>1459</v>
      </c>
      <c r="B466" s="5" t="s">
        <v>404</v>
      </c>
      <c r="C466" s="6" t="s">
        <v>13</v>
      </c>
      <c r="D466" s="5" t="s">
        <v>1455</v>
      </c>
      <c r="E466" s="5" t="s">
        <v>1460</v>
      </c>
      <c r="F466" s="5" t="s">
        <v>1461</v>
      </c>
      <c r="G466" s="5" t="s">
        <v>86</v>
      </c>
      <c r="H466" s="5" t="s">
        <v>18</v>
      </c>
      <c r="I466" s="7" t="s">
        <v>1462</v>
      </c>
      <c r="J466" s="8" t="s">
        <v>13</v>
      </c>
    </row>
    <row r="467">
      <c r="A467" s="5" t="s">
        <v>1463</v>
      </c>
      <c r="B467" s="5" t="s">
        <v>25</v>
      </c>
      <c r="C467" s="6" t="s">
        <v>13</v>
      </c>
      <c r="D467" s="5" t="s">
        <v>1464</v>
      </c>
      <c r="E467" s="5" t="s">
        <v>980</v>
      </c>
      <c r="F467" s="5" t="s">
        <v>16</v>
      </c>
      <c r="G467" s="5" t="s">
        <v>17</v>
      </c>
      <c r="H467" s="5" t="s">
        <v>18</v>
      </c>
      <c r="I467" s="8" t="s">
        <v>1465</v>
      </c>
      <c r="J467" s="8" t="s">
        <v>13</v>
      </c>
    </row>
    <row r="468">
      <c r="A468" s="5" t="s">
        <v>1466</v>
      </c>
      <c r="B468" s="5" t="s">
        <v>1467</v>
      </c>
      <c r="C468" s="6" t="s">
        <v>13</v>
      </c>
      <c r="D468" s="5" t="s">
        <v>1464</v>
      </c>
      <c r="E468" s="5" t="s">
        <v>26</v>
      </c>
      <c r="F468" s="5" t="s">
        <v>49</v>
      </c>
      <c r="G468" s="5" t="s">
        <v>50</v>
      </c>
      <c r="H468" s="5" t="s">
        <v>18</v>
      </c>
      <c r="I468" s="8" t="s">
        <v>1468</v>
      </c>
      <c r="J468" s="8" t="s">
        <v>13</v>
      </c>
    </row>
    <row r="469">
      <c r="A469" s="5" t="s">
        <v>1469</v>
      </c>
      <c r="B469" s="5" t="s">
        <v>1470</v>
      </c>
      <c r="C469" s="6" t="s">
        <v>13</v>
      </c>
      <c r="D469" s="5" t="s">
        <v>1464</v>
      </c>
      <c r="E469" s="5" t="s">
        <v>26</v>
      </c>
      <c r="F469" s="5" t="s">
        <v>49</v>
      </c>
      <c r="G469" s="5" t="s">
        <v>50</v>
      </c>
      <c r="H469" s="5" t="s">
        <v>18</v>
      </c>
      <c r="I469" s="8" t="s">
        <v>1471</v>
      </c>
      <c r="J469" s="8" t="s">
        <v>13</v>
      </c>
    </row>
    <row r="470">
      <c r="A470" s="5" t="s">
        <v>1472</v>
      </c>
      <c r="B470" s="5" t="s">
        <v>25</v>
      </c>
      <c r="C470" s="6" t="s">
        <v>13</v>
      </c>
      <c r="D470" s="5" t="s">
        <v>1464</v>
      </c>
      <c r="E470" s="5" t="s">
        <v>121</v>
      </c>
      <c r="F470" s="5" t="s">
        <v>1473</v>
      </c>
      <c r="G470" s="5" t="s">
        <v>50</v>
      </c>
      <c r="H470" s="5" t="s">
        <v>18</v>
      </c>
      <c r="I470" s="7" t="s">
        <v>1474</v>
      </c>
      <c r="J470" s="8" t="s">
        <v>13</v>
      </c>
    </row>
    <row r="471">
      <c r="A471" s="5" t="s">
        <v>1475</v>
      </c>
      <c r="B471" s="5" t="s">
        <v>371</v>
      </c>
      <c r="C471" s="6" t="s">
        <v>13</v>
      </c>
      <c r="D471" s="5" t="s">
        <v>1464</v>
      </c>
      <c r="E471" s="5" t="s">
        <v>26</v>
      </c>
      <c r="F471" s="5" t="s">
        <v>862</v>
      </c>
      <c r="G471" s="5" t="s">
        <v>184</v>
      </c>
      <c r="H471" s="5" t="s">
        <v>18</v>
      </c>
      <c r="I471" s="7" t="s">
        <v>1476</v>
      </c>
      <c r="J471" s="8" t="s">
        <v>13</v>
      </c>
    </row>
    <row r="472">
      <c r="A472" s="5" t="s">
        <v>1475</v>
      </c>
      <c r="B472" s="5" t="s">
        <v>371</v>
      </c>
      <c r="C472" s="6" t="s">
        <v>13</v>
      </c>
      <c r="D472" s="5" t="s">
        <v>1464</v>
      </c>
      <c r="E472" s="5" t="s">
        <v>26</v>
      </c>
      <c r="F472" s="5" t="s">
        <v>862</v>
      </c>
      <c r="G472" s="5" t="s">
        <v>184</v>
      </c>
      <c r="H472" s="5" t="s">
        <v>18</v>
      </c>
      <c r="I472" s="7" t="s">
        <v>1476</v>
      </c>
      <c r="J472" s="8" t="s">
        <v>13</v>
      </c>
    </row>
    <row r="473">
      <c r="A473" s="5" t="s">
        <v>1477</v>
      </c>
      <c r="B473" s="5" t="s">
        <v>25</v>
      </c>
      <c r="C473" s="6" t="s">
        <v>13</v>
      </c>
      <c r="D473" s="5" t="s">
        <v>1464</v>
      </c>
      <c r="E473" s="5" t="s">
        <v>651</v>
      </c>
      <c r="F473" s="5" t="s">
        <v>1478</v>
      </c>
      <c r="G473" s="5" t="s">
        <v>184</v>
      </c>
      <c r="H473" s="5" t="s">
        <v>18</v>
      </c>
      <c r="I473" s="7" t="s">
        <v>1479</v>
      </c>
      <c r="J473" s="8" t="s">
        <v>13</v>
      </c>
    </row>
    <row r="474">
      <c r="A474" s="5" t="s">
        <v>1480</v>
      </c>
      <c r="B474" s="5" t="s">
        <v>25</v>
      </c>
      <c r="C474" s="6" t="s">
        <v>13</v>
      </c>
      <c r="D474" s="5" t="s">
        <v>1464</v>
      </c>
      <c r="E474" s="5" t="s">
        <v>207</v>
      </c>
      <c r="F474" s="5" t="s">
        <v>102</v>
      </c>
      <c r="G474" s="5" t="s">
        <v>172</v>
      </c>
      <c r="H474" s="5" t="s">
        <v>18</v>
      </c>
      <c r="I474" s="8" t="s">
        <v>1481</v>
      </c>
      <c r="J474" s="8" t="s">
        <v>13</v>
      </c>
    </row>
    <row r="475">
      <c r="A475" s="5" t="s">
        <v>1482</v>
      </c>
      <c r="B475" s="5" t="s">
        <v>1483</v>
      </c>
      <c r="C475" s="6" t="s">
        <v>13</v>
      </c>
      <c r="D475" s="5" t="s">
        <v>1484</v>
      </c>
      <c r="E475" s="5" t="s">
        <v>237</v>
      </c>
      <c r="F475" s="5" t="s">
        <v>1485</v>
      </c>
      <c r="G475" s="5" t="s">
        <v>44</v>
      </c>
      <c r="H475" s="5" t="s">
        <v>18</v>
      </c>
      <c r="I475" s="8" t="s">
        <v>1486</v>
      </c>
      <c r="J475" s="8" t="s">
        <v>13</v>
      </c>
    </row>
    <row r="476">
      <c r="A476" s="5" t="s">
        <v>1487</v>
      </c>
      <c r="B476" s="5" t="s">
        <v>110</v>
      </c>
      <c r="C476" s="6" t="s">
        <v>13</v>
      </c>
      <c r="D476" s="5" t="s">
        <v>1484</v>
      </c>
      <c r="E476" s="5" t="s">
        <v>1123</v>
      </c>
      <c r="F476" s="5" t="s">
        <v>166</v>
      </c>
      <c r="G476" s="5" t="s">
        <v>44</v>
      </c>
      <c r="H476" s="5" t="s">
        <v>18</v>
      </c>
      <c r="I476" s="7" t="s">
        <v>1488</v>
      </c>
      <c r="J476" s="8" t="s">
        <v>13</v>
      </c>
    </row>
    <row r="477">
      <c r="A477" s="5" t="s">
        <v>1489</v>
      </c>
      <c r="B477" s="5" t="s">
        <v>110</v>
      </c>
      <c r="C477" s="6" t="s">
        <v>13</v>
      </c>
      <c r="D477" s="5" t="s">
        <v>1484</v>
      </c>
      <c r="E477" s="5" t="s">
        <v>455</v>
      </c>
      <c r="F477" s="5" t="s">
        <v>311</v>
      </c>
      <c r="G477" s="5" t="s">
        <v>102</v>
      </c>
      <c r="H477" s="5" t="s">
        <v>18</v>
      </c>
      <c r="I477" s="7" t="s">
        <v>1490</v>
      </c>
      <c r="J477" s="8" t="s">
        <v>13</v>
      </c>
    </row>
    <row r="478">
      <c r="A478" s="5" t="s">
        <v>1491</v>
      </c>
      <c r="B478" s="5" t="s">
        <v>1492</v>
      </c>
      <c r="C478" s="6" t="s">
        <v>13</v>
      </c>
      <c r="D478" s="5" t="s">
        <v>1493</v>
      </c>
      <c r="E478" s="5" t="s">
        <v>237</v>
      </c>
      <c r="F478" s="5" t="s">
        <v>166</v>
      </c>
      <c r="G478" s="5" t="s">
        <v>44</v>
      </c>
      <c r="H478" s="5" t="s">
        <v>18</v>
      </c>
      <c r="I478" s="8" t="s">
        <v>1494</v>
      </c>
      <c r="J478" s="8" t="s">
        <v>13</v>
      </c>
    </row>
    <row r="479">
      <c r="A479" s="5" t="s">
        <v>1495</v>
      </c>
      <c r="B479" s="5" t="s">
        <v>110</v>
      </c>
      <c r="C479" s="6" t="s">
        <v>13</v>
      </c>
      <c r="D479" s="5" t="s">
        <v>1496</v>
      </c>
      <c r="E479" s="5" t="s">
        <v>496</v>
      </c>
      <c r="F479" s="5" t="s">
        <v>37</v>
      </c>
      <c r="G479" s="5" t="s">
        <v>38</v>
      </c>
      <c r="H479" s="5" t="s">
        <v>18</v>
      </c>
      <c r="I479" s="7" t="s">
        <v>1497</v>
      </c>
      <c r="J479" s="8" t="s">
        <v>13</v>
      </c>
    </row>
    <row r="480">
      <c r="A480" s="5" t="s">
        <v>1498</v>
      </c>
      <c r="B480" s="5" t="s">
        <v>766</v>
      </c>
      <c r="C480" s="6" t="s">
        <v>13</v>
      </c>
      <c r="D480" s="5" t="s">
        <v>1496</v>
      </c>
      <c r="E480" s="5" t="s">
        <v>100</v>
      </c>
      <c r="F480" s="5" t="s">
        <v>166</v>
      </c>
      <c r="G480" s="5" t="s">
        <v>44</v>
      </c>
      <c r="H480" s="5" t="s">
        <v>18</v>
      </c>
      <c r="I480" s="7" t="s">
        <v>1499</v>
      </c>
      <c r="J480" s="8" t="s">
        <v>13</v>
      </c>
    </row>
    <row r="481">
      <c r="A481" s="5" t="s">
        <v>1500</v>
      </c>
      <c r="B481" s="5" t="s">
        <v>25</v>
      </c>
      <c r="C481" s="6" t="s">
        <v>13</v>
      </c>
      <c r="D481" s="5" t="s">
        <v>1501</v>
      </c>
      <c r="E481" s="5" t="s">
        <v>68</v>
      </c>
      <c r="F481" s="6" t="s">
        <v>377</v>
      </c>
      <c r="G481" s="6" t="s">
        <v>378</v>
      </c>
      <c r="H481" s="5" t="s">
        <v>18</v>
      </c>
      <c r="I481" s="7" t="s">
        <v>1502</v>
      </c>
      <c r="J481" s="8" t="s">
        <v>13</v>
      </c>
    </row>
    <row r="482">
      <c r="A482" s="5" t="s">
        <v>1503</v>
      </c>
      <c r="B482" s="5" t="s">
        <v>404</v>
      </c>
      <c r="C482" s="6" t="s">
        <v>13</v>
      </c>
      <c r="D482" s="5" t="s">
        <v>1501</v>
      </c>
      <c r="E482" s="5" t="s">
        <v>36</v>
      </c>
      <c r="F482" s="5" t="s">
        <v>153</v>
      </c>
      <c r="G482" s="5" t="s">
        <v>154</v>
      </c>
      <c r="H482" s="5" t="s">
        <v>18</v>
      </c>
      <c r="I482" s="8" t="s">
        <v>1504</v>
      </c>
      <c r="J482" s="8" t="s">
        <v>13</v>
      </c>
    </row>
    <row r="483">
      <c r="A483" s="5" t="s">
        <v>1505</v>
      </c>
      <c r="B483" s="5" t="s">
        <v>404</v>
      </c>
      <c r="C483" s="6" t="s">
        <v>13</v>
      </c>
      <c r="D483" s="5" t="s">
        <v>1501</v>
      </c>
      <c r="E483" s="5" t="s">
        <v>446</v>
      </c>
      <c r="F483" s="5" t="s">
        <v>608</v>
      </c>
      <c r="G483" s="5" t="s">
        <v>609</v>
      </c>
      <c r="H483" s="5" t="s">
        <v>18</v>
      </c>
      <c r="I483" s="7" t="s">
        <v>1506</v>
      </c>
      <c r="J483" s="8" t="s">
        <v>13</v>
      </c>
    </row>
    <row r="484">
      <c r="A484" s="5" t="s">
        <v>1507</v>
      </c>
      <c r="B484" s="5" t="s">
        <v>25</v>
      </c>
      <c r="C484" s="6" t="s">
        <v>13</v>
      </c>
      <c r="D484" s="5" t="s">
        <v>1501</v>
      </c>
      <c r="F484" s="5" t="s">
        <v>608</v>
      </c>
      <c r="G484" s="5" t="s">
        <v>609</v>
      </c>
      <c r="H484" s="5" t="s">
        <v>18</v>
      </c>
      <c r="I484" s="7" t="s">
        <v>1508</v>
      </c>
      <c r="J484" s="8" t="s">
        <v>13</v>
      </c>
    </row>
    <row r="485">
      <c r="A485" s="5" t="s">
        <v>1509</v>
      </c>
      <c r="B485" s="5" t="s">
        <v>1510</v>
      </c>
      <c r="C485" s="6" t="s">
        <v>13</v>
      </c>
      <c r="D485" s="5" t="s">
        <v>1511</v>
      </c>
      <c r="E485" s="5" t="s">
        <v>1089</v>
      </c>
      <c r="F485" s="5" t="s">
        <v>166</v>
      </c>
      <c r="G485" s="5" t="s">
        <v>44</v>
      </c>
      <c r="H485" s="5" t="s">
        <v>18</v>
      </c>
      <c r="I485" s="7" t="s">
        <v>1512</v>
      </c>
      <c r="J485" s="8" t="s">
        <v>13</v>
      </c>
    </row>
    <row r="486">
      <c r="A486" s="5" t="s">
        <v>1513</v>
      </c>
      <c r="B486" s="5" t="s">
        <v>110</v>
      </c>
      <c r="C486" s="6" t="s">
        <v>13</v>
      </c>
      <c r="D486" s="5" t="s">
        <v>1511</v>
      </c>
      <c r="E486" s="5" t="s">
        <v>222</v>
      </c>
      <c r="F486" s="5" t="s">
        <v>311</v>
      </c>
      <c r="G486" s="5" t="s">
        <v>102</v>
      </c>
      <c r="H486" s="5" t="s">
        <v>18</v>
      </c>
      <c r="I486" s="7" t="s">
        <v>1514</v>
      </c>
      <c r="J486" s="8" t="s">
        <v>13</v>
      </c>
    </row>
    <row r="487">
      <c r="A487" s="5" t="s">
        <v>1515</v>
      </c>
      <c r="B487" s="5" t="s">
        <v>1516</v>
      </c>
      <c r="C487" s="6" t="s">
        <v>13</v>
      </c>
      <c r="D487" s="5" t="s">
        <v>1517</v>
      </c>
      <c r="E487" s="5" t="s">
        <v>399</v>
      </c>
      <c r="F487" s="5" t="s">
        <v>37</v>
      </c>
      <c r="G487" s="5" t="s">
        <v>38</v>
      </c>
      <c r="H487" s="5" t="s">
        <v>18</v>
      </c>
      <c r="I487" s="7" t="s">
        <v>1518</v>
      </c>
      <c r="J487" s="8" t="s">
        <v>13</v>
      </c>
    </row>
    <row r="488">
      <c r="A488" s="5" t="s">
        <v>1519</v>
      </c>
      <c r="B488" s="5" t="s">
        <v>1516</v>
      </c>
      <c r="C488" s="6" t="s">
        <v>13</v>
      </c>
      <c r="D488" s="5" t="s">
        <v>1517</v>
      </c>
      <c r="E488" s="5" t="s">
        <v>63</v>
      </c>
      <c r="F488" s="5" t="s">
        <v>37</v>
      </c>
      <c r="G488" s="5" t="s">
        <v>38</v>
      </c>
      <c r="H488" s="5" t="s">
        <v>18</v>
      </c>
      <c r="I488" s="7" t="s">
        <v>1520</v>
      </c>
      <c r="J488" s="8" t="s">
        <v>13</v>
      </c>
    </row>
    <row r="489">
      <c r="A489" s="5" t="s">
        <v>1521</v>
      </c>
      <c r="B489" s="5" t="s">
        <v>1522</v>
      </c>
      <c r="C489" s="6" t="s">
        <v>13</v>
      </c>
      <c r="D489" s="5" t="s">
        <v>1517</v>
      </c>
      <c r="E489" s="5" t="s">
        <v>1089</v>
      </c>
      <c r="F489" s="5" t="s">
        <v>311</v>
      </c>
      <c r="G489" s="5" t="s">
        <v>102</v>
      </c>
      <c r="H489" s="5" t="s">
        <v>18</v>
      </c>
      <c r="I489" s="8" t="s">
        <v>1523</v>
      </c>
      <c r="J489" s="8" t="s">
        <v>13</v>
      </c>
    </row>
    <row r="490">
      <c r="A490" s="5" t="s">
        <v>1524</v>
      </c>
      <c r="B490" s="5" t="s">
        <v>1525</v>
      </c>
      <c r="C490" s="6" t="s">
        <v>13</v>
      </c>
      <c r="D490" s="5" t="s">
        <v>1526</v>
      </c>
      <c r="E490" s="5" t="s">
        <v>1148</v>
      </c>
      <c r="F490" s="5" t="s">
        <v>1527</v>
      </c>
      <c r="G490" s="5" t="s">
        <v>945</v>
      </c>
      <c r="H490" s="5" t="s">
        <v>18</v>
      </c>
      <c r="I490" s="8" t="s">
        <v>1528</v>
      </c>
      <c r="J490" s="8" t="s">
        <v>13</v>
      </c>
    </row>
    <row r="491">
      <c r="A491" s="5" t="s">
        <v>1529</v>
      </c>
      <c r="B491" s="5" t="s">
        <v>1530</v>
      </c>
      <c r="C491" s="6" t="s">
        <v>13</v>
      </c>
      <c r="D491" s="5" t="s">
        <v>1526</v>
      </c>
      <c r="E491" s="5" t="s">
        <v>1531</v>
      </c>
      <c r="F491" s="5" t="s">
        <v>1532</v>
      </c>
      <c r="G491" s="5" t="s">
        <v>945</v>
      </c>
      <c r="H491" s="5" t="s">
        <v>18</v>
      </c>
      <c r="I491" s="8" t="s">
        <v>1533</v>
      </c>
      <c r="J491" s="8" t="s">
        <v>13</v>
      </c>
    </row>
    <row r="492">
      <c r="A492" s="5" t="s">
        <v>1534</v>
      </c>
      <c r="B492" s="5" t="s">
        <v>25</v>
      </c>
      <c r="C492" s="6" t="s">
        <v>13</v>
      </c>
      <c r="D492" s="5" t="s">
        <v>1526</v>
      </c>
      <c r="E492" s="5" t="s">
        <v>268</v>
      </c>
      <c r="F492" s="5" t="s">
        <v>1527</v>
      </c>
      <c r="G492" s="5" t="s">
        <v>945</v>
      </c>
      <c r="H492" s="5" t="s">
        <v>18</v>
      </c>
      <c r="I492" s="7" t="s">
        <v>1535</v>
      </c>
      <c r="J492" s="8" t="s">
        <v>13</v>
      </c>
    </row>
    <row r="493">
      <c r="A493" s="5" t="s">
        <v>1536</v>
      </c>
      <c r="B493" s="5" t="s">
        <v>1537</v>
      </c>
      <c r="C493" s="6" t="s">
        <v>13</v>
      </c>
      <c r="D493" s="5" t="s">
        <v>1526</v>
      </c>
      <c r="E493" s="5" t="s">
        <v>1538</v>
      </c>
      <c r="F493" s="5" t="s">
        <v>1527</v>
      </c>
      <c r="G493" s="5" t="s">
        <v>945</v>
      </c>
      <c r="H493" s="5" t="s">
        <v>18</v>
      </c>
      <c r="I493" s="7" t="s">
        <v>1539</v>
      </c>
      <c r="J493" s="8" t="s">
        <v>13</v>
      </c>
    </row>
    <row r="494">
      <c r="A494" s="5" t="s">
        <v>1540</v>
      </c>
      <c r="B494" s="5" t="s">
        <v>1541</v>
      </c>
      <c r="C494" s="6" t="s">
        <v>13</v>
      </c>
      <c r="D494" s="5" t="s">
        <v>1526</v>
      </c>
      <c r="E494" s="5" t="s">
        <v>1300</v>
      </c>
      <c r="F494" s="5" t="s">
        <v>1527</v>
      </c>
      <c r="G494" s="5" t="s">
        <v>945</v>
      </c>
      <c r="H494" s="5" t="s">
        <v>18</v>
      </c>
      <c r="I494" s="7" t="s">
        <v>1542</v>
      </c>
      <c r="J494" s="8" t="s">
        <v>13</v>
      </c>
    </row>
    <row r="495">
      <c r="A495" s="5" t="s">
        <v>1543</v>
      </c>
      <c r="B495" s="5" t="s">
        <v>1544</v>
      </c>
      <c r="C495" s="6" t="s">
        <v>13</v>
      </c>
      <c r="D495" s="5" t="s">
        <v>1526</v>
      </c>
      <c r="E495" s="5" t="s">
        <v>63</v>
      </c>
      <c r="F495" s="5" t="s">
        <v>1527</v>
      </c>
      <c r="G495" s="5" t="s">
        <v>945</v>
      </c>
      <c r="H495" s="5" t="s">
        <v>18</v>
      </c>
      <c r="I495" s="8" t="s">
        <v>1545</v>
      </c>
      <c r="J495" s="8" t="s">
        <v>13</v>
      </c>
    </row>
    <row r="496">
      <c r="A496" s="5" t="s">
        <v>1546</v>
      </c>
      <c r="B496" s="5" t="s">
        <v>1547</v>
      </c>
      <c r="C496" s="6" t="s">
        <v>13</v>
      </c>
      <c r="D496" s="5" t="s">
        <v>1526</v>
      </c>
      <c r="E496" s="5" t="s">
        <v>418</v>
      </c>
      <c r="F496" s="5" t="s">
        <v>1527</v>
      </c>
      <c r="G496" s="5" t="s">
        <v>945</v>
      </c>
      <c r="H496" s="5" t="s">
        <v>18</v>
      </c>
      <c r="I496" s="8" t="s">
        <v>1548</v>
      </c>
      <c r="J496" s="8" t="s">
        <v>13</v>
      </c>
    </row>
    <row r="497">
      <c r="A497" s="5" t="s">
        <v>1549</v>
      </c>
      <c r="B497" s="5" t="s">
        <v>1550</v>
      </c>
      <c r="C497" s="6" t="s">
        <v>13</v>
      </c>
      <c r="D497" s="5" t="s">
        <v>1526</v>
      </c>
      <c r="E497" s="5" t="s">
        <v>26</v>
      </c>
      <c r="F497" s="5" t="s">
        <v>1527</v>
      </c>
      <c r="G497" s="5" t="s">
        <v>945</v>
      </c>
      <c r="H497" s="5" t="s">
        <v>18</v>
      </c>
      <c r="I497" s="7" t="s">
        <v>1551</v>
      </c>
      <c r="J497" s="8" t="s">
        <v>13</v>
      </c>
    </row>
    <row r="498">
      <c r="A498" s="5" t="s">
        <v>1552</v>
      </c>
      <c r="B498" s="5" t="s">
        <v>1553</v>
      </c>
      <c r="C498" s="6" t="s">
        <v>13</v>
      </c>
      <c r="D498" s="5" t="s">
        <v>1526</v>
      </c>
      <c r="E498" s="5" t="s">
        <v>144</v>
      </c>
      <c r="F498" s="5" t="s">
        <v>388</v>
      </c>
      <c r="G498" s="5" t="s">
        <v>203</v>
      </c>
      <c r="H498" s="5" t="s">
        <v>18</v>
      </c>
      <c r="I498" s="8" t="s">
        <v>1554</v>
      </c>
      <c r="J498" s="8" t="s">
        <v>13</v>
      </c>
    </row>
    <row r="499">
      <c r="A499" s="5" t="s">
        <v>1555</v>
      </c>
      <c r="B499" s="5" t="s">
        <v>25</v>
      </c>
      <c r="C499" s="6" t="s">
        <v>13</v>
      </c>
      <c r="D499" s="5" t="s">
        <v>1526</v>
      </c>
      <c r="E499" s="5" t="s">
        <v>496</v>
      </c>
      <c r="F499" s="5" t="s">
        <v>1556</v>
      </c>
      <c r="G499" s="5" t="s">
        <v>76</v>
      </c>
      <c r="H499" s="5" t="s">
        <v>18</v>
      </c>
      <c r="I499" s="7" t="s">
        <v>1557</v>
      </c>
      <c r="J499" s="8" t="s">
        <v>13</v>
      </c>
    </row>
    <row r="500">
      <c r="A500" s="5" t="s">
        <v>1558</v>
      </c>
      <c r="B500" s="5" t="s">
        <v>1559</v>
      </c>
      <c r="C500" s="6" t="s">
        <v>13</v>
      </c>
      <c r="D500" s="5" t="s">
        <v>1560</v>
      </c>
      <c r="E500" s="5" t="s">
        <v>1561</v>
      </c>
      <c r="F500" s="5" t="s">
        <v>16</v>
      </c>
      <c r="G500" s="5" t="s">
        <v>17</v>
      </c>
      <c r="H500" s="5" t="s">
        <v>18</v>
      </c>
      <c r="I500" s="7" t="s">
        <v>1562</v>
      </c>
      <c r="J500" s="8" t="s">
        <v>13</v>
      </c>
    </row>
    <row r="501">
      <c r="A501" s="5" t="s">
        <v>1563</v>
      </c>
      <c r="B501" s="5" t="s">
        <v>25</v>
      </c>
      <c r="C501" s="6" t="s">
        <v>13</v>
      </c>
      <c r="D501" s="5" t="s">
        <v>1560</v>
      </c>
      <c r="E501" s="5" t="s">
        <v>1564</v>
      </c>
      <c r="F501" s="5" t="s">
        <v>377</v>
      </c>
      <c r="G501" s="5" t="s">
        <v>378</v>
      </c>
      <c r="H501" s="5" t="s">
        <v>18</v>
      </c>
      <c r="I501" s="7" t="s">
        <v>1565</v>
      </c>
      <c r="J501" s="8" t="s">
        <v>13</v>
      </c>
    </row>
    <row r="502">
      <c r="A502" s="5" t="s">
        <v>1566</v>
      </c>
      <c r="B502" s="5" t="s">
        <v>1567</v>
      </c>
      <c r="C502" s="6" t="s">
        <v>13</v>
      </c>
      <c r="D502" s="5" t="s">
        <v>1560</v>
      </c>
      <c r="E502" s="5" t="s">
        <v>100</v>
      </c>
      <c r="F502" s="6" t="s">
        <v>377</v>
      </c>
      <c r="G502" s="6" t="s">
        <v>378</v>
      </c>
      <c r="H502" s="5" t="s">
        <v>18</v>
      </c>
      <c r="I502" s="7" t="s">
        <v>1568</v>
      </c>
      <c r="J502" s="8" t="s">
        <v>13</v>
      </c>
    </row>
    <row r="503">
      <c r="A503" s="5" t="s">
        <v>1569</v>
      </c>
      <c r="B503" s="5" t="s">
        <v>1128</v>
      </c>
      <c r="C503" s="6" t="s">
        <v>13</v>
      </c>
      <c r="D503" s="5" t="s">
        <v>1560</v>
      </c>
      <c r="E503" s="5" t="s">
        <v>1570</v>
      </c>
      <c r="F503" s="5" t="s">
        <v>703</v>
      </c>
      <c r="G503" s="5" t="s">
        <v>137</v>
      </c>
      <c r="H503" s="5" t="s">
        <v>18</v>
      </c>
      <c r="I503" s="7" t="s">
        <v>1571</v>
      </c>
      <c r="J503" s="8" t="s">
        <v>13</v>
      </c>
    </row>
    <row r="504">
      <c r="A504" s="5" t="s">
        <v>1572</v>
      </c>
      <c r="B504" s="5" t="s">
        <v>1573</v>
      </c>
      <c r="C504" s="6" t="s">
        <v>13</v>
      </c>
      <c r="D504" s="5" t="s">
        <v>1560</v>
      </c>
      <c r="F504" s="5" t="s">
        <v>703</v>
      </c>
      <c r="G504" s="5" t="s">
        <v>137</v>
      </c>
      <c r="H504" s="5" t="s">
        <v>18</v>
      </c>
      <c r="I504" s="7" t="s">
        <v>1574</v>
      </c>
      <c r="J504" s="8" t="s">
        <v>13</v>
      </c>
    </row>
    <row r="505">
      <c r="A505" s="5" t="s">
        <v>1575</v>
      </c>
      <c r="B505" s="5" t="s">
        <v>25</v>
      </c>
      <c r="C505" s="6" t="s">
        <v>13</v>
      </c>
      <c r="D505" s="5" t="s">
        <v>1560</v>
      </c>
      <c r="F505" s="6" t="s">
        <v>64</v>
      </c>
      <c r="G505" s="6" t="s">
        <v>65</v>
      </c>
      <c r="H505" s="5" t="s">
        <v>18</v>
      </c>
      <c r="I505" s="7" t="s">
        <v>1576</v>
      </c>
      <c r="J505" s="8" t="s">
        <v>13</v>
      </c>
    </row>
    <row r="506">
      <c r="A506" s="5" t="s">
        <v>1577</v>
      </c>
      <c r="B506" s="5" t="s">
        <v>25</v>
      </c>
      <c r="C506" s="6" t="s">
        <v>13</v>
      </c>
      <c r="D506" s="5" t="s">
        <v>1560</v>
      </c>
      <c r="E506" s="5" t="s">
        <v>1578</v>
      </c>
      <c r="F506" s="6" t="s">
        <v>64</v>
      </c>
      <c r="G506" s="6" t="s">
        <v>65</v>
      </c>
      <c r="H506" s="5" t="s">
        <v>18</v>
      </c>
      <c r="I506" s="7" t="s">
        <v>1579</v>
      </c>
      <c r="J506" s="8" t="s">
        <v>13</v>
      </c>
    </row>
    <row r="507">
      <c r="A507" s="5" t="s">
        <v>1580</v>
      </c>
      <c r="B507" s="5" t="s">
        <v>25</v>
      </c>
      <c r="C507" s="6" t="s">
        <v>13</v>
      </c>
      <c r="D507" s="5" t="s">
        <v>1560</v>
      </c>
      <c r="E507" s="5" t="s">
        <v>1249</v>
      </c>
      <c r="F507" s="5" t="s">
        <v>1581</v>
      </c>
      <c r="G507" s="5" t="s">
        <v>96</v>
      </c>
      <c r="H507" s="5" t="s">
        <v>18</v>
      </c>
      <c r="I507" s="7" t="s">
        <v>1582</v>
      </c>
      <c r="J507" s="8" t="s">
        <v>13</v>
      </c>
    </row>
    <row r="508">
      <c r="A508" s="5" t="s">
        <v>1583</v>
      </c>
      <c r="B508" s="5" t="s">
        <v>25</v>
      </c>
      <c r="C508" s="6" t="s">
        <v>13</v>
      </c>
      <c r="D508" s="5" t="s">
        <v>1560</v>
      </c>
      <c r="E508" s="5" t="s">
        <v>1584</v>
      </c>
      <c r="F508" s="5" t="s">
        <v>80</v>
      </c>
      <c r="G508" s="5" t="s">
        <v>38</v>
      </c>
      <c r="H508" s="5" t="s">
        <v>18</v>
      </c>
      <c r="I508" s="7" t="s">
        <v>1585</v>
      </c>
      <c r="J508" s="8" t="s">
        <v>13</v>
      </c>
    </row>
    <row r="509">
      <c r="A509" s="5" t="s">
        <v>1586</v>
      </c>
      <c r="B509" s="5" t="s">
        <v>25</v>
      </c>
      <c r="C509" s="6" t="s">
        <v>13</v>
      </c>
      <c r="D509" s="5" t="s">
        <v>1560</v>
      </c>
      <c r="E509" s="5" t="s">
        <v>1587</v>
      </c>
      <c r="F509" s="5" t="s">
        <v>85</v>
      </c>
      <c r="G509" s="5" t="s">
        <v>86</v>
      </c>
      <c r="H509" s="5" t="s">
        <v>18</v>
      </c>
      <c r="I509" s="7" t="s">
        <v>1588</v>
      </c>
      <c r="J509" s="8" t="s">
        <v>13</v>
      </c>
    </row>
    <row r="510">
      <c r="A510" s="5" t="s">
        <v>1589</v>
      </c>
      <c r="B510" s="5" t="s">
        <v>371</v>
      </c>
      <c r="C510" s="6" t="s">
        <v>13</v>
      </c>
      <c r="D510" s="5" t="s">
        <v>1560</v>
      </c>
      <c r="F510" s="5" t="s">
        <v>1590</v>
      </c>
      <c r="G510" s="5" t="s">
        <v>76</v>
      </c>
      <c r="H510" s="5" t="s">
        <v>18</v>
      </c>
      <c r="I510" s="7" t="s">
        <v>1591</v>
      </c>
      <c r="J510" s="8" t="s">
        <v>13</v>
      </c>
    </row>
    <row r="511">
      <c r="A511" s="5" t="s">
        <v>1592</v>
      </c>
      <c r="B511" s="5" t="s">
        <v>1593</v>
      </c>
      <c r="C511" s="6" t="s">
        <v>13</v>
      </c>
      <c r="D511" s="5" t="s">
        <v>1560</v>
      </c>
      <c r="F511" s="5" t="s">
        <v>833</v>
      </c>
      <c r="G511" s="5" t="s">
        <v>203</v>
      </c>
      <c r="H511" s="5" t="s">
        <v>18</v>
      </c>
      <c r="I511" s="7" t="s">
        <v>1594</v>
      </c>
      <c r="J511" s="8" t="s">
        <v>13</v>
      </c>
    </row>
    <row r="512">
      <c r="A512" s="5" t="s">
        <v>1595</v>
      </c>
      <c r="B512" s="5" t="s">
        <v>25</v>
      </c>
      <c r="C512" s="6" t="s">
        <v>13</v>
      </c>
      <c r="D512" s="5" t="s">
        <v>1560</v>
      </c>
      <c r="E512" s="5" t="s">
        <v>1596</v>
      </c>
      <c r="F512" s="5" t="s">
        <v>1597</v>
      </c>
      <c r="G512" s="5" t="s">
        <v>96</v>
      </c>
      <c r="H512" s="5" t="s">
        <v>18</v>
      </c>
      <c r="I512" s="7" t="s">
        <v>1598</v>
      </c>
      <c r="J512" s="8" t="s">
        <v>13</v>
      </c>
    </row>
    <row r="513">
      <c r="A513" s="5" t="s">
        <v>1599</v>
      </c>
      <c r="B513" s="5" t="s">
        <v>25</v>
      </c>
      <c r="C513" s="6" t="s">
        <v>13</v>
      </c>
      <c r="D513" s="5" t="s">
        <v>1560</v>
      </c>
      <c r="F513" s="5" t="s">
        <v>1600</v>
      </c>
      <c r="G513" s="5" t="s">
        <v>44</v>
      </c>
      <c r="H513" s="5" t="s">
        <v>18</v>
      </c>
      <c r="I513" s="7" t="s">
        <v>1601</v>
      </c>
      <c r="J513" s="8" t="s">
        <v>13</v>
      </c>
    </row>
    <row r="514">
      <c r="A514" s="5" t="s">
        <v>1602</v>
      </c>
      <c r="B514" s="5" t="s">
        <v>25</v>
      </c>
      <c r="C514" s="6" t="s">
        <v>13</v>
      </c>
      <c r="D514" s="5" t="s">
        <v>1560</v>
      </c>
      <c r="E514" s="5" t="s">
        <v>1603</v>
      </c>
      <c r="F514" s="5" t="s">
        <v>1604</v>
      </c>
      <c r="G514" s="5" t="s">
        <v>96</v>
      </c>
      <c r="H514" s="5" t="s">
        <v>18</v>
      </c>
      <c r="I514" s="7" t="s">
        <v>1605</v>
      </c>
      <c r="J514" s="8" t="s">
        <v>13</v>
      </c>
    </row>
    <row r="515">
      <c r="A515" s="5" t="s">
        <v>1606</v>
      </c>
      <c r="B515" s="5" t="s">
        <v>25</v>
      </c>
      <c r="C515" s="6" t="s">
        <v>13</v>
      </c>
      <c r="D515" s="5" t="s">
        <v>1560</v>
      </c>
      <c r="E515" s="5" t="s">
        <v>1607</v>
      </c>
      <c r="F515" s="5" t="s">
        <v>122</v>
      </c>
      <c r="G515" s="5" t="s">
        <v>44</v>
      </c>
      <c r="H515" s="5" t="s">
        <v>18</v>
      </c>
      <c r="I515" s="7" t="s">
        <v>1608</v>
      </c>
      <c r="J515" s="8" t="s">
        <v>13</v>
      </c>
    </row>
    <row r="516">
      <c r="A516" s="5" t="s">
        <v>1609</v>
      </c>
      <c r="B516" s="5" t="s">
        <v>25</v>
      </c>
      <c r="C516" s="6" t="s">
        <v>13</v>
      </c>
      <c r="D516" s="5" t="s">
        <v>1560</v>
      </c>
      <c r="E516" s="5" t="s">
        <v>622</v>
      </c>
      <c r="F516" s="5" t="s">
        <v>218</v>
      </c>
      <c r="G516" s="5" t="s">
        <v>219</v>
      </c>
      <c r="H516" s="5" t="s">
        <v>18</v>
      </c>
      <c r="I516" s="7" t="s">
        <v>1610</v>
      </c>
      <c r="J516" s="8" t="s">
        <v>13</v>
      </c>
    </row>
    <row r="517">
      <c r="A517" s="5" t="s">
        <v>1611</v>
      </c>
      <c r="B517" s="5" t="s">
        <v>25</v>
      </c>
      <c r="C517" s="6" t="s">
        <v>13</v>
      </c>
      <c r="D517" s="5" t="s">
        <v>1560</v>
      </c>
      <c r="E517" s="5" t="s">
        <v>144</v>
      </c>
      <c r="F517" s="5" t="s">
        <v>137</v>
      </c>
      <c r="G517" s="5" t="s">
        <v>137</v>
      </c>
      <c r="H517" s="5" t="s">
        <v>18</v>
      </c>
      <c r="I517" s="7" t="s">
        <v>1612</v>
      </c>
      <c r="J517" s="8" t="s">
        <v>13</v>
      </c>
    </row>
    <row r="518">
      <c r="A518" s="5" t="s">
        <v>1613</v>
      </c>
      <c r="B518" s="5" t="s">
        <v>25</v>
      </c>
      <c r="C518" s="6" t="s">
        <v>13</v>
      </c>
      <c r="D518" s="5" t="s">
        <v>1560</v>
      </c>
      <c r="F518" s="5" t="s">
        <v>1022</v>
      </c>
      <c r="G518" s="5" t="s">
        <v>264</v>
      </c>
      <c r="H518" s="5" t="s">
        <v>18</v>
      </c>
      <c r="I518" s="7" t="s">
        <v>1614</v>
      </c>
      <c r="J518" s="8" t="s">
        <v>13</v>
      </c>
    </row>
    <row r="519">
      <c r="A519" s="5" t="s">
        <v>1615</v>
      </c>
      <c r="B519" s="5" t="s">
        <v>1616</v>
      </c>
      <c r="C519" s="6" t="s">
        <v>13</v>
      </c>
      <c r="D519" s="5" t="s">
        <v>1560</v>
      </c>
      <c r="E519" s="5" t="s">
        <v>1617</v>
      </c>
      <c r="F519" s="5" t="s">
        <v>1618</v>
      </c>
      <c r="G519" s="5" t="s">
        <v>44</v>
      </c>
      <c r="H519" s="5" t="s">
        <v>18</v>
      </c>
      <c r="I519" s="7" t="s">
        <v>1619</v>
      </c>
      <c r="J519" s="8" t="s">
        <v>13</v>
      </c>
    </row>
    <row r="520">
      <c r="A520" s="5" t="s">
        <v>1620</v>
      </c>
      <c r="B520" s="5" t="s">
        <v>25</v>
      </c>
      <c r="C520" s="6" t="s">
        <v>13</v>
      </c>
      <c r="D520" s="5" t="s">
        <v>1560</v>
      </c>
      <c r="E520" s="5" t="s">
        <v>268</v>
      </c>
      <c r="F520" s="5" t="s">
        <v>16</v>
      </c>
      <c r="G520" s="5" t="s">
        <v>17</v>
      </c>
      <c r="H520" s="5" t="s">
        <v>18</v>
      </c>
      <c r="I520" s="7" t="s">
        <v>1621</v>
      </c>
      <c r="J520" s="8" t="s">
        <v>13</v>
      </c>
    </row>
    <row r="521">
      <c r="A521" s="5" t="s">
        <v>1622</v>
      </c>
      <c r="B521" s="5" t="s">
        <v>25</v>
      </c>
      <c r="C521" s="6" t="s">
        <v>13</v>
      </c>
      <c r="D521" s="5" t="s">
        <v>1560</v>
      </c>
      <c r="E521" s="5" t="s">
        <v>1623</v>
      </c>
      <c r="F521" s="5" t="s">
        <v>16</v>
      </c>
      <c r="G521" s="5" t="s">
        <v>17</v>
      </c>
      <c r="H521" s="5" t="s">
        <v>18</v>
      </c>
      <c r="I521" s="7" t="s">
        <v>1624</v>
      </c>
      <c r="J521" s="8" t="s">
        <v>13</v>
      </c>
    </row>
    <row r="522">
      <c r="A522" s="5" t="s">
        <v>1625</v>
      </c>
      <c r="B522" s="5" t="s">
        <v>25</v>
      </c>
      <c r="C522" s="6" t="s">
        <v>13</v>
      </c>
      <c r="D522" s="5" t="s">
        <v>1560</v>
      </c>
      <c r="E522" s="5" t="s">
        <v>716</v>
      </c>
      <c r="F522" s="5" t="s">
        <v>16</v>
      </c>
      <c r="G522" s="5" t="s">
        <v>17</v>
      </c>
      <c r="H522" s="5" t="s">
        <v>18</v>
      </c>
      <c r="I522" s="7" t="s">
        <v>1626</v>
      </c>
      <c r="J522" s="8" t="s">
        <v>13</v>
      </c>
    </row>
    <row r="523">
      <c r="A523" s="5" t="s">
        <v>1627</v>
      </c>
      <c r="B523" s="5" t="s">
        <v>1628</v>
      </c>
      <c r="C523" s="6" t="s">
        <v>13</v>
      </c>
      <c r="D523" s="5" t="s">
        <v>1560</v>
      </c>
      <c r="E523" s="5" t="s">
        <v>1629</v>
      </c>
      <c r="F523" s="5" t="s">
        <v>16</v>
      </c>
      <c r="G523" s="5" t="s">
        <v>17</v>
      </c>
      <c r="H523" s="5" t="s">
        <v>18</v>
      </c>
      <c r="I523" s="7" t="s">
        <v>1630</v>
      </c>
      <c r="J523" s="8" t="s">
        <v>13</v>
      </c>
    </row>
    <row r="524">
      <c r="A524" s="5" t="s">
        <v>1631</v>
      </c>
      <c r="B524" s="5" t="s">
        <v>1632</v>
      </c>
      <c r="C524" s="6" t="s">
        <v>13</v>
      </c>
      <c r="D524" s="5" t="s">
        <v>1560</v>
      </c>
      <c r="E524" s="5" t="s">
        <v>125</v>
      </c>
      <c r="F524" s="5" t="s">
        <v>37</v>
      </c>
      <c r="G524" s="5" t="s">
        <v>38</v>
      </c>
      <c r="H524" s="5" t="s">
        <v>18</v>
      </c>
      <c r="I524" s="8" t="s">
        <v>1633</v>
      </c>
      <c r="J524" s="8" t="s">
        <v>13</v>
      </c>
    </row>
    <row r="525">
      <c r="A525" s="5" t="s">
        <v>1216</v>
      </c>
      <c r="B525" s="5" t="s">
        <v>25</v>
      </c>
      <c r="C525" s="6" t="s">
        <v>13</v>
      </c>
      <c r="D525" s="5" t="s">
        <v>1560</v>
      </c>
      <c r="E525" s="5" t="s">
        <v>1634</v>
      </c>
      <c r="F525" s="5" t="s">
        <v>37</v>
      </c>
      <c r="G525" s="5" t="s">
        <v>38</v>
      </c>
      <c r="H525" s="5" t="s">
        <v>18</v>
      </c>
      <c r="I525" s="7" t="s">
        <v>1635</v>
      </c>
      <c r="J525" s="8" t="s">
        <v>13</v>
      </c>
    </row>
    <row r="526">
      <c r="A526" s="5" t="s">
        <v>1636</v>
      </c>
      <c r="B526" s="5" t="s">
        <v>25</v>
      </c>
      <c r="C526" s="6" t="s">
        <v>13</v>
      </c>
      <c r="D526" s="5" t="s">
        <v>1560</v>
      </c>
      <c r="E526" s="5" t="s">
        <v>1637</v>
      </c>
      <c r="F526" s="5" t="s">
        <v>1638</v>
      </c>
      <c r="G526" s="5" t="s">
        <v>1639</v>
      </c>
      <c r="H526" s="5" t="s">
        <v>18</v>
      </c>
      <c r="I526" s="7" t="s">
        <v>1640</v>
      </c>
      <c r="J526" s="8" t="s">
        <v>13</v>
      </c>
    </row>
    <row r="527">
      <c r="A527" s="5" t="s">
        <v>1641</v>
      </c>
      <c r="B527" s="5" t="s">
        <v>25</v>
      </c>
      <c r="C527" s="6" t="s">
        <v>13</v>
      </c>
      <c r="D527" s="5" t="s">
        <v>1560</v>
      </c>
      <c r="E527" s="5" t="s">
        <v>1642</v>
      </c>
      <c r="F527" s="5" t="s">
        <v>1643</v>
      </c>
      <c r="G527" s="5" t="s">
        <v>91</v>
      </c>
      <c r="H527" s="5" t="s">
        <v>18</v>
      </c>
      <c r="I527" s="7" t="s">
        <v>1644</v>
      </c>
      <c r="J527" s="8" t="s">
        <v>13</v>
      </c>
    </row>
    <row r="528">
      <c r="A528" s="5" t="s">
        <v>1645</v>
      </c>
      <c r="B528" s="5" t="s">
        <v>25</v>
      </c>
      <c r="C528" s="6" t="s">
        <v>13</v>
      </c>
      <c r="D528" s="5" t="s">
        <v>1560</v>
      </c>
      <c r="E528" s="5" t="s">
        <v>26</v>
      </c>
      <c r="F528" s="5" t="s">
        <v>377</v>
      </c>
      <c r="G528" s="5" t="s">
        <v>378</v>
      </c>
      <c r="H528" s="5" t="s">
        <v>18</v>
      </c>
      <c r="I528" s="7" t="s">
        <v>1646</v>
      </c>
      <c r="J528" s="8" t="s">
        <v>13</v>
      </c>
    </row>
    <row r="529">
      <c r="A529" s="5" t="s">
        <v>1647</v>
      </c>
      <c r="B529" s="5" t="s">
        <v>1648</v>
      </c>
      <c r="C529" s="6" t="s">
        <v>13</v>
      </c>
      <c r="D529" s="5" t="s">
        <v>1560</v>
      </c>
      <c r="E529" s="5" t="s">
        <v>277</v>
      </c>
      <c r="F529" s="5" t="s">
        <v>377</v>
      </c>
      <c r="G529" s="5" t="s">
        <v>378</v>
      </c>
      <c r="H529" s="5" t="s">
        <v>18</v>
      </c>
      <c r="I529" s="8" t="s">
        <v>1649</v>
      </c>
      <c r="J529" s="8" t="s">
        <v>13</v>
      </c>
    </row>
    <row r="530">
      <c r="A530" s="5" t="s">
        <v>1650</v>
      </c>
      <c r="B530" s="5" t="s">
        <v>25</v>
      </c>
      <c r="C530" s="6" t="s">
        <v>13</v>
      </c>
      <c r="D530" s="5" t="s">
        <v>1560</v>
      </c>
      <c r="E530" s="5" t="s">
        <v>144</v>
      </c>
      <c r="F530" s="6" t="s">
        <v>377</v>
      </c>
      <c r="G530" s="6" t="s">
        <v>378</v>
      </c>
      <c r="H530" s="5" t="s">
        <v>18</v>
      </c>
      <c r="I530" s="7" t="s">
        <v>1651</v>
      </c>
      <c r="J530" s="8" t="s">
        <v>13</v>
      </c>
    </row>
    <row r="531">
      <c r="A531" s="5" t="s">
        <v>1652</v>
      </c>
      <c r="B531" s="5" t="s">
        <v>1653</v>
      </c>
      <c r="C531" s="6" t="s">
        <v>13</v>
      </c>
      <c r="D531" s="5" t="s">
        <v>1560</v>
      </c>
      <c r="E531" s="5" t="s">
        <v>268</v>
      </c>
      <c r="F531" s="6" t="s">
        <v>377</v>
      </c>
      <c r="G531" s="6" t="s">
        <v>378</v>
      </c>
      <c r="H531" s="5" t="s">
        <v>18</v>
      </c>
      <c r="I531" s="8" t="s">
        <v>1654</v>
      </c>
      <c r="J531" s="8" t="s">
        <v>13</v>
      </c>
    </row>
    <row r="532">
      <c r="A532" s="5" t="s">
        <v>1655</v>
      </c>
      <c r="B532" s="5" t="s">
        <v>1656</v>
      </c>
      <c r="C532" s="6" t="s">
        <v>13</v>
      </c>
      <c r="D532" s="5" t="s">
        <v>1560</v>
      </c>
      <c r="E532" s="5" t="s">
        <v>277</v>
      </c>
      <c r="F532" s="6" t="s">
        <v>377</v>
      </c>
      <c r="G532" s="6" t="s">
        <v>378</v>
      </c>
      <c r="H532" s="5" t="s">
        <v>18</v>
      </c>
      <c r="I532" s="8" t="s">
        <v>1657</v>
      </c>
      <c r="J532" s="8" t="s">
        <v>13</v>
      </c>
    </row>
    <row r="533">
      <c r="A533" s="5" t="s">
        <v>1658</v>
      </c>
      <c r="B533" s="5" t="s">
        <v>1659</v>
      </c>
      <c r="C533" s="6" t="s">
        <v>13</v>
      </c>
      <c r="D533" s="5" t="s">
        <v>1560</v>
      </c>
      <c r="E533" s="5" t="s">
        <v>277</v>
      </c>
      <c r="F533" s="6" t="s">
        <v>377</v>
      </c>
      <c r="G533" s="6" t="s">
        <v>378</v>
      </c>
      <c r="H533" s="5" t="s">
        <v>18</v>
      </c>
      <c r="I533" s="8" t="s">
        <v>1660</v>
      </c>
      <c r="J533" s="8" t="s">
        <v>13</v>
      </c>
    </row>
    <row r="534">
      <c r="A534" s="5" t="s">
        <v>1661</v>
      </c>
      <c r="B534" s="5" t="s">
        <v>25</v>
      </c>
      <c r="C534" s="6" t="s">
        <v>13</v>
      </c>
      <c r="D534" s="5" t="s">
        <v>1560</v>
      </c>
      <c r="E534" s="5" t="s">
        <v>774</v>
      </c>
      <c r="F534" s="6" t="s">
        <v>377</v>
      </c>
      <c r="G534" s="6" t="s">
        <v>378</v>
      </c>
      <c r="H534" s="5" t="s">
        <v>18</v>
      </c>
      <c r="I534" s="7" t="s">
        <v>1662</v>
      </c>
      <c r="J534" s="8" t="s">
        <v>13</v>
      </c>
    </row>
    <row r="535">
      <c r="A535" s="5" t="s">
        <v>1663</v>
      </c>
      <c r="B535" s="5" t="s">
        <v>25</v>
      </c>
      <c r="C535" s="6" t="s">
        <v>13</v>
      </c>
      <c r="D535" s="5" t="s">
        <v>1560</v>
      </c>
      <c r="E535" s="5" t="s">
        <v>136</v>
      </c>
      <c r="F535" s="5" t="s">
        <v>1664</v>
      </c>
      <c r="G535" s="5" t="s">
        <v>1305</v>
      </c>
      <c r="H535" s="5" t="s">
        <v>18</v>
      </c>
      <c r="I535" s="7" t="s">
        <v>1665</v>
      </c>
      <c r="J535" s="8" t="s">
        <v>13</v>
      </c>
    </row>
    <row r="536">
      <c r="A536" s="5" t="s">
        <v>1666</v>
      </c>
      <c r="B536" s="5" t="s">
        <v>371</v>
      </c>
      <c r="C536" s="6" t="s">
        <v>13</v>
      </c>
      <c r="D536" s="5" t="s">
        <v>1560</v>
      </c>
      <c r="E536" s="5" t="s">
        <v>1667</v>
      </c>
      <c r="F536" s="5" t="s">
        <v>49</v>
      </c>
      <c r="G536" s="5" t="s">
        <v>50</v>
      </c>
      <c r="H536" s="5" t="s">
        <v>18</v>
      </c>
      <c r="I536" s="7" t="s">
        <v>1668</v>
      </c>
      <c r="J536" s="8" t="s">
        <v>13</v>
      </c>
    </row>
    <row r="537">
      <c r="A537" s="5" t="s">
        <v>1669</v>
      </c>
      <c r="B537" s="5" t="s">
        <v>25</v>
      </c>
      <c r="C537" s="6" t="s">
        <v>13</v>
      </c>
      <c r="D537" s="5" t="s">
        <v>1560</v>
      </c>
      <c r="E537" s="5" t="s">
        <v>26</v>
      </c>
      <c r="F537" s="5" t="s">
        <v>49</v>
      </c>
      <c r="G537" s="5" t="s">
        <v>50</v>
      </c>
      <c r="H537" s="5" t="s">
        <v>18</v>
      </c>
      <c r="I537" s="7" t="s">
        <v>1670</v>
      </c>
      <c r="J537" s="8" t="s">
        <v>13</v>
      </c>
    </row>
    <row r="538">
      <c r="A538" s="5" t="s">
        <v>1671</v>
      </c>
      <c r="B538" s="5" t="s">
        <v>25</v>
      </c>
      <c r="C538" s="6" t="s">
        <v>13</v>
      </c>
      <c r="D538" s="5" t="s">
        <v>1560</v>
      </c>
      <c r="E538" s="5" t="s">
        <v>691</v>
      </c>
      <c r="F538" s="5" t="s">
        <v>49</v>
      </c>
      <c r="G538" s="5" t="s">
        <v>50</v>
      </c>
      <c r="H538" s="5" t="s">
        <v>18</v>
      </c>
      <c r="I538" s="7" t="s">
        <v>1672</v>
      </c>
      <c r="J538" s="8" t="s">
        <v>13</v>
      </c>
    </row>
    <row r="539">
      <c r="A539" s="5" t="s">
        <v>1673</v>
      </c>
      <c r="B539" s="5" t="s">
        <v>25</v>
      </c>
      <c r="C539" s="6" t="s">
        <v>13</v>
      </c>
      <c r="D539" s="5" t="s">
        <v>1560</v>
      </c>
      <c r="E539" s="5" t="s">
        <v>1282</v>
      </c>
      <c r="F539" s="5" t="s">
        <v>49</v>
      </c>
      <c r="G539" s="5" t="s">
        <v>50</v>
      </c>
      <c r="H539" s="5" t="s">
        <v>18</v>
      </c>
      <c r="I539" s="7" t="s">
        <v>1674</v>
      </c>
      <c r="J539" s="8" t="s">
        <v>13</v>
      </c>
    </row>
    <row r="540">
      <c r="A540" s="5" t="s">
        <v>1675</v>
      </c>
      <c r="B540" s="5" t="s">
        <v>25</v>
      </c>
      <c r="C540" s="6" t="s">
        <v>13</v>
      </c>
      <c r="D540" s="5" t="s">
        <v>1560</v>
      </c>
      <c r="E540" s="5" t="s">
        <v>1676</v>
      </c>
      <c r="F540" s="5" t="s">
        <v>64</v>
      </c>
      <c r="G540" s="5" t="s">
        <v>65</v>
      </c>
      <c r="H540" s="5" t="s">
        <v>18</v>
      </c>
      <c r="I540" s="7" t="s">
        <v>1677</v>
      </c>
      <c r="J540" s="8" t="s">
        <v>13</v>
      </c>
    </row>
    <row r="541">
      <c r="A541" s="5" t="s">
        <v>1678</v>
      </c>
      <c r="B541" s="5" t="s">
        <v>25</v>
      </c>
      <c r="C541" s="6" t="s">
        <v>13</v>
      </c>
      <c r="D541" s="5" t="s">
        <v>1560</v>
      </c>
      <c r="E541" s="5" t="s">
        <v>1634</v>
      </c>
      <c r="F541" s="6" t="s">
        <v>64</v>
      </c>
      <c r="G541" s="6" t="s">
        <v>65</v>
      </c>
      <c r="H541" s="5" t="s">
        <v>18</v>
      </c>
      <c r="I541" s="7" t="s">
        <v>1679</v>
      </c>
      <c r="J541" s="8" t="s">
        <v>13</v>
      </c>
    </row>
    <row r="542">
      <c r="A542" s="5" t="s">
        <v>1680</v>
      </c>
      <c r="B542" s="5" t="s">
        <v>25</v>
      </c>
      <c r="C542" s="6" t="s">
        <v>13</v>
      </c>
      <c r="D542" s="5" t="s">
        <v>1560</v>
      </c>
      <c r="E542" s="5" t="s">
        <v>29</v>
      </c>
      <c r="F542" s="6" t="s">
        <v>64</v>
      </c>
      <c r="G542" s="6" t="s">
        <v>65</v>
      </c>
      <c r="H542" s="5" t="s">
        <v>18</v>
      </c>
      <c r="I542" s="7" t="s">
        <v>1681</v>
      </c>
      <c r="J542" s="8" t="s">
        <v>13</v>
      </c>
    </row>
    <row r="543">
      <c r="A543" s="5" t="s">
        <v>1682</v>
      </c>
      <c r="B543" s="5" t="s">
        <v>1683</v>
      </c>
      <c r="C543" s="6" t="s">
        <v>13</v>
      </c>
      <c r="D543" s="5" t="s">
        <v>1560</v>
      </c>
      <c r="E543" s="5" t="s">
        <v>1684</v>
      </c>
      <c r="F543" s="6" t="s">
        <v>64</v>
      </c>
      <c r="G543" s="6" t="s">
        <v>65</v>
      </c>
      <c r="H543" s="5" t="s">
        <v>18</v>
      </c>
      <c r="I543" s="8" t="s">
        <v>1685</v>
      </c>
      <c r="J543" s="8" t="s">
        <v>13</v>
      </c>
    </row>
    <row r="544">
      <c r="A544" s="5" t="s">
        <v>1686</v>
      </c>
      <c r="B544" s="5" t="s">
        <v>25</v>
      </c>
      <c r="C544" s="6" t="s">
        <v>13</v>
      </c>
      <c r="D544" s="5" t="s">
        <v>1560</v>
      </c>
      <c r="E544" s="5" t="s">
        <v>354</v>
      </c>
      <c r="F544" s="6" t="s">
        <v>64</v>
      </c>
      <c r="G544" s="6" t="s">
        <v>65</v>
      </c>
      <c r="H544" s="5" t="s">
        <v>18</v>
      </c>
      <c r="I544" s="7" t="s">
        <v>1687</v>
      </c>
      <c r="J544" s="8" t="s">
        <v>13</v>
      </c>
    </row>
    <row r="545">
      <c r="A545" s="5" t="s">
        <v>1688</v>
      </c>
      <c r="B545" s="5" t="s">
        <v>25</v>
      </c>
      <c r="C545" s="6" t="s">
        <v>13</v>
      </c>
      <c r="D545" s="5" t="s">
        <v>1560</v>
      </c>
      <c r="E545" s="5" t="s">
        <v>409</v>
      </c>
      <c r="F545" s="6" t="s">
        <v>64</v>
      </c>
      <c r="G545" s="6" t="s">
        <v>65</v>
      </c>
      <c r="H545" s="5" t="s">
        <v>18</v>
      </c>
      <c r="I545" s="7" t="s">
        <v>1689</v>
      </c>
      <c r="J545" s="8" t="s">
        <v>13</v>
      </c>
    </row>
    <row r="546">
      <c r="A546" s="5" t="s">
        <v>1690</v>
      </c>
      <c r="B546" s="5" t="s">
        <v>1691</v>
      </c>
      <c r="C546" s="6" t="s">
        <v>13</v>
      </c>
      <c r="D546" s="5" t="s">
        <v>1560</v>
      </c>
      <c r="E546" s="5" t="s">
        <v>1692</v>
      </c>
      <c r="F546" s="6" t="s">
        <v>64</v>
      </c>
      <c r="G546" s="6" t="s">
        <v>65</v>
      </c>
      <c r="H546" s="5" t="s">
        <v>18</v>
      </c>
      <c r="I546" s="8" t="s">
        <v>1693</v>
      </c>
      <c r="J546" s="8" t="s">
        <v>13</v>
      </c>
    </row>
    <row r="547">
      <c r="A547" s="5" t="s">
        <v>1694</v>
      </c>
      <c r="B547" s="5" t="s">
        <v>1656</v>
      </c>
      <c r="C547" s="6" t="s">
        <v>13</v>
      </c>
      <c r="D547" s="5" t="s">
        <v>1560</v>
      </c>
      <c r="E547" s="5" t="s">
        <v>22</v>
      </c>
      <c r="F547" s="6" t="s">
        <v>64</v>
      </c>
      <c r="G547" s="6" t="s">
        <v>65</v>
      </c>
      <c r="H547" s="5" t="s">
        <v>18</v>
      </c>
      <c r="I547" s="8" t="s">
        <v>1695</v>
      </c>
      <c r="J547" s="8" t="s">
        <v>13</v>
      </c>
    </row>
    <row r="548">
      <c r="A548" s="5" t="s">
        <v>1696</v>
      </c>
      <c r="B548" s="5" t="s">
        <v>25</v>
      </c>
      <c r="C548" s="6" t="s">
        <v>13</v>
      </c>
      <c r="D548" s="5" t="s">
        <v>1560</v>
      </c>
      <c r="E548" s="5" t="s">
        <v>345</v>
      </c>
      <c r="F548" s="5" t="s">
        <v>1274</v>
      </c>
      <c r="G548" s="5" t="s">
        <v>76</v>
      </c>
      <c r="H548" s="5" t="s">
        <v>18</v>
      </c>
      <c r="I548" s="7" t="s">
        <v>1697</v>
      </c>
      <c r="J548" s="8" t="s">
        <v>13</v>
      </c>
    </row>
    <row r="549">
      <c r="A549" s="5" t="s">
        <v>1698</v>
      </c>
      <c r="B549" s="5" t="s">
        <v>1699</v>
      </c>
      <c r="C549" s="6" t="s">
        <v>13</v>
      </c>
      <c r="D549" s="5" t="s">
        <v>1560</v>
      </c>
      <c r="E549" s="5" t="s">
        <v>1148</v>
      </c>
      <c r="F549" s="5" t="s">
        <v>1700</v>
      </c>
      <c r="G549" s="5" t="s">
        <v>44</v>
      </c>
      <c r="H549" s="5" t="s">
        <v>18</v>
      </c>
      <c r="I549" s="7" t="s">
        <v>1701</v>
      </c>
      <c r="J549" s="8" t="s">
        <v>13</v>
      </c>
    </row>
    <row r="550">
      <c r="A550" s="5" t="s">
        <v>1702</v>
      </c>
      <c r="B550" s="5" t="s">
        <v>1703</v>
      </c>
      <c r="C550" s="6" t="s">
        <v>13</v>
      </c>
      <c r="D550" s="5" t="s">
        <v>1560</v>
      </c>
      <c r="E550" s="5" t="s">
        <v>1098</v>
      </c>
      <c r="F550" s="5" t="s">
        <v>635</v>
      </c>
      <c r="G550" s="5" t="s">
        <v>76</v>
      </c>
      <c r="H550" s="5" t="s">
        <v>18</v>
      </c>
      <c r="I550" s="7" t="s">
        <v>1704</v>
      </c>
      <c r="J550" s="8" t="s">
        <v>13</v>
      </c>
    </row>
    <row r="551">
      <c r="A551" s="5" t="s">
        <v>1705</v>
      </c>
      <c r="B551" s="5" t="s">
        <v>1706</v>
      </c>
      <c r="C551" s="6" t="s">
        <v>13</v>
      </c>
      <c r="D551" s="5" t="s">
        <v>1560</v>
      </c>
      <c r="E551" s="5" t="s">
        <v>268</v>
      </c>
      <c r="F551" s="5" t="s">
        <v>75</v>
      </c>
      <c r="G551" s="5" t="s">
        <v>76</v>
      </c>
      <c r="H551" s="5" t="s">
        <v>18</v>
      </c>
      <c r="I551" s="7" t="s">
        <v>1707</v>
      </c>
      <c r="J551" s="8" t="s">
        <v>13</v>
      </c>
    </row>
    <row r="552">
      <c r="A552" s="5" t="s">
        <v>1708</v>
      </c>
      <c r="B552" s="5" t="s">
        <v>25</v>
      </c>
      <c r="C552" s="6" t="s">
        <v>13</v>
      </c>
      <c r="D552" s="5" t="s">
        <v>1560</v>
      </c>
      <c r="E552" s="5" t="s">
        <v>268</v>
      </c>
      <c r="F552" s="5" t="s">
        <v>75</v>
      </c>
      <c r="G552" s="5" t="s">
        <v>945</v>
      </c>
      <c r="H552" s="5" t="s">
        <v>18</v>
      </c>
      <c r="I552" s="7" t="s">
        <v>1709</v>
      </c>
      <c r="J552" s="8" t="s">
        <v>13</v>
      </c>
    </row>
    <row r="553">
      <c r="A553" s="5" t="s">
        <v>1710</v>
      </c>
      <c r="B553" s="5" t="s">
        <v>25</v>
      </c>
      <c r="C553" s="6" t="s">
        <v>13</v>
      </c>
      <c r="D553" s="5" t="s">
        <v>1560</v>
      </c>
      <c r="E553" s="5" t="s">
        <v>188</v>
      </c>
      <c r="F553" s="5" t="s">
        <v>80</v>
      </c>
      <c r="G553" s="5" t="s">
        <v>38</v>
      </c>
      <c r="H553" s="5" t="s">
        <v>18</v>
      </c>
      <c r="I553" s="7" t="s">
        <v>1711</v>
      </c>
      <c r="J553" s="8" t="s">
        <v>13</v>
      </c>
    </row>
    <row r="554">
      <c r="A554" s="5" t="s">
        <v>1712</v>
      </c>
      <c r="B554" s="5" t="s">
        <v>1713</v>
      </c>
      <c r="C554" s="6" t="s">
        <v>13</v>
      </c>
      <c r="D554" s="5" t="s">
        <v>1560</v>
      </c>
      <c r="E554" s="5" t="s">
        <v>421</v>
      </c>
      <c r="F554" s="5" t="s">
        <v>80</v>
      </c>
      <c r="G554" s="5" t="s">
        <v>38</v>
      </c>
      <c r="H554" s="5" t="s">
        <v>18</v>
      </c>
      <c r="I554" s="8" t="s">
        <v>1714</v>
      </c>
      <c r="J554" s="8" t="s">
        <v>13</v>
      </c>
    </row>
    <row r="555">
      <c r="A555" s="5" t="s">
        <v>1715</v>
      </c>
      <c r="B555" s="5" t="s">
        <v>25</v>
      </c>
      <c r="C555" s="6" t="s">
        <v>13</v>
      </c>
      <c r="D555" s="5" t="s">
        <v>1560</v>
      </c>
      <c r="E555" s="5" t="s">
        <v>42</v>
      </c>
      <c r="F555" s="5" t="s">
        <v>80</v>
      </c>
      <c r="G555" s="5" t="s">
        <v>38</v>
      </c>
      <c r="H555" s="5" t="s">
        <v>18</v>
      </c>
      <c r="I555" s="7" t="s">
        <v>1716</v>
      </c>
      <c r="J555" s="8" t="s">
        <v>13</v>
      </c>
    </row>
    <row r="556">
      <c r="A556" s="5" t="s">
        <v>1717</v>
      </c>
      <c r="B556" s="5" t="s">
        <v>25</v>
      </c>
      <c r="C556" s="6" t="s">
        <v>13</v>
      </c>
      <c r="D556" s="5" t="s">
        <v>1560</v>
      </c>
      <c r="E556" s="5" t="s">
        <v>1718</v>
      </c>
      <c r="F556" s="5" t="s">
        <v>80</v>
      </c>
      <c r="G556" s="5" t="s">
        <v>38</v>
      </c>
      <c r="H556" s="5" t="s">
        <v>18</v>
      </c>
      <c r="I556" s="7" t="s">
        <v>1719</v>
      </c>
      <c r="J556" s="8" t="s">
        <v>13</v>
      </c>
    </row>
    <row r="557">
      <c r="A557" s="5" t="s">
        <v>1720</v>
      </c>
      <c r="B557" s="5" t="s">
        <v>1721</v>
      </c>
      <c r="C557" s="6" t="s">
        <v>13</v>
      </c>
      <c r="D557" s="5" t="s">
        <v>1560</v>
      </c>
      <c r="E557" s="5" t="s">
        <v>121</v>
      </c>
      <c r="F557" s="5" t="s">
        <v>80</v>
      </c>
      <c r="G557" s="5" t="s">
        <v>38</v>
      </c>
      <c r="H557" s="5" t="s">
        <v>18</v>
      </c>
      <c r="I557" s="8" t="s">
        <v>1722</v>
      </c>
      <c r="J557" s="8" t="s">
        <v>13</v>
      </c>
    </row>
    <row r="558">
      <c r="A558" s="5" t="s">
        <v>1723</v>
      </c>
      <c r="B558" s="5" t="s">
        <v>1724</v>
      </c>
      <c r="C558" s="6" t="s">
        <v>13</v>
      </c>
      <c r="D558" s="5" t="s">
        <v>1560</v>
      </c>
      <c r="E558" s="5" t="s">
        <v>1105</v>
      </c>
      <c r="F558" s="5" t="s">
        <v>80</v>
      </c>
      <c r="G558" s="5" t="s">
        <v>38</v>
      </c>
      <c r="H558" s="5" t="s">
        <v>18</v>
      </c>
      <c r="I558" s="8" t="s">
        <v>1725</v>
      </c>
      <c r="J558" s="8" t="s">
        <v>13</v>
      </c>
    </row>
    <row r="559">
      <c r="A559" s="5" t="s">
        <v>1726</v>
      </c>
      <c r="B559" s="5" t="s">
        <v>25</v>
      </c>
      <c r="C559" s="6" t="s">
        <v>13</v>
      </c>
      <c r="D559" s="5" t="s">
        <v>1560</v>
      </c>
      <c r="E559" s="5" t="s">
        <v>626</v>
      </c>
      <c r="F559" s="5" t="s">
        <v>85</v>
      </c>
      <c r="G559" s="5" t="s">
        <v>86</v>
      </c>
      <c r="H559" s="5" t="s">
        <v>18</v>
      </c>
      <c r="I559" s="7" t="s">
        <v>1727</v>
      </c>
      <c r="J559" s="8" t="s">
        <v>13</v>
      </c>
    </row>
    <row r="560">
      <c r="A560" s="5" t="s">
        <v>1728</v>
      </c>
      <c r="B560" s="5" t="s">
        <v>25</v>
      </c>
      <c r="C560" s="6" t="s">
        <v>13</v>
      </c>
      <c r="D560" s="5" t="s">
        <v>1560</v>
      </c>
      <c r="E560" s="5" t="s">
        <v>1729</v>
      </c>
      <c r="F560" s="5" t="s">
        <v>85</v>
      </c>
      <c r="G560" s="5" t="s">
        <v>86</v>
      </c>
      <c r="H560" s="5" t="s">
        <v>18</v>
      </c>
      <c r="I560" s="7" t="s">
        <v>1730</v>
      </c>
      <c r="J560" s="8" t="s">
        <v>13</v>
      </c>
    </row>
    <row r="561">
      <c r="A561" s="5" t="s">
        <v>1731</v>
      </c>
      <c r="B561" s="5" t="s">
        <v>25</v>
      </c>
      <c r="C561" s="6" t="s">
        <v>13</v>
      </c>
      <c r="D561" s="5" t="s">
        <v>1560</v>
      </c>
      <c r="E561" s="5" t="s">
        <v>339</v>
      </c>
      <c r="F561" s="5" t="s">
        <v>90</v>
      </c>
      <c r="G561" s="5" t="s">
        <v>91</v>
      </c>
      <c r="H561" s="5" t="s">
        <v>18</v>
      </c>
      <c r="I561" s="7" t="s">
        <v>1732</v>
      </c>
      <c r="J561" s="8" t="s">
        <v>13</v>
      </c>
    </row>
    <row r="562">
      <c r="A562" s="5" t="s">
        <v>1733</v>
      </c>
      <c r="B562" s="5" t="s">
        <v>1734</v>
      </c>
      <c r="C562" s="6" t="s">
        <v>13</v>
      </c>
      <c r="D562" s="5" t="s">
        <v>1560</v>
      </c>
      <c r="E562" s="5" t="s">
        <v>175</v>
      </c>
      <c r="F562" s="5" t="s">
        <v>90</v>
      </c>
      <c r="G562" s="5" t="s">
        <v>91</v>
      </c>
      <c r="H562" s="5" t="s">
        <v>18</v>
      </c>
      <c r="I562" s="8" t="s">
        <v>1735</v>
      </c>
      <c r="J562" s="8" t="s">
        <v>13</v>
      </c>
    </row>
    <row r="563">
      <c r="A563" s="5" t="s">
        <v>1736</v>
      </c>
      <c r="B563" s="5" t="s">
        <v>25</v>
      </c>
      <c r="C563" s="6" t="s">
        <v>13</v>
      </c>
      <c r="D563" s="5" t="s">
        <v>1560</v>
      </c>
      <c r="E563" s="5" t="s">
        <v>686</v>
      </c>
      <c r="F563" s="5" t="s">
        <v>90</v>
      </c>
      <c r="G563" s="5" t="s">
        <v>91</v>
      </c>
      <c r="H563" s="5" t="s">
        <v>18</v>
      </c>
      <c r="I563" s="7" t="s">
        <v>1737</v>
      </c>
      <c r="J563" s="8" t="s">
        <v>13</v>
      </c>
    </row>
    <row r="564">
      <c r="A564" s="5" t="s">
        <v>1738</v>
      </c>
      <c r="B564" s="5" t="s">
        <v>1739</v>
      </c>
      <c r="C564" s="6" t="s">
        <v>13</v>
      </c>
      <c r="D564" s="5" t="s">
        <v>1560</v>
      </c>
      <c r="E564" s="5" t="s">
        <v>712</v>
      </c>
      <c r="F564" s="5" t="s">
        <v>1187</v>
      </c>
      <c r="G564" s="5" t="s">
        <v>96</v>
      </c>
      <c r="H564" s="5" t="s">
        <v>18</v>
      </c>
      <c r="I564" s="7" t="s">
        <v>1740</v>
      </c>
      <c r="J564" s="8" t="s">
        <v>13</v>
      </c>
    </row>
    <row r="565">
      <c r="A565" s="5" t="s">
        <v>1741</v>
      </c>
      <c r="B565" s="5" t="s">
        <v>25</v>
      </c>
      <c r="C565" s="6" t="s">
        <v>13</v>
      </c>
      <c r="D565" s="5" t="s">
        <v>1560</v>
      </c>
      <c r="E565" s="5" t="s">
        <v>94</v>
      </c>
      <c r="F565" s="5" t="s">
        <v>112</v>
      </c>
      <c r="G565" s="5" t="s">
        <v>38</v>
      </c>
      <c r="H565" s="5" t="s">
        <v>18</v>
      </c>
      <c r="I565" s="7" t="s">
        <v>1742</v>
      </c>
      <c r="J565" s="8" t="s">
        <v>13</v>
      </c>
    </row>
    <row r="566">
      <c r="A566" s="5" t="s">
        <v>1743</v>
      </c>
      <c r="B566" s="5" t="s">
        <v>1744</v>
      </c>
      <c r="C566" s="6" t="s">
        <v>13</v>
      </c>
      <c r="D566" s="5" t="s">
        <v>1560</v>
      </c>
      <c r="E566" s="5" t="s">
        <v>421</v>
      </c>
      <c r="F566" s="5" t="s">
        <v>112</v>
      </c>
      <c r="G566" s="5" t="s">
        <v>38</v>
      </c>
      <c r="H566" s="5" t="s">
        <v>18</v>
      </c>
      <c r="I566" s="7" t="s">
        <v>1745</v>
      </c>
      <c r="J566" s="8" t="s">
        <v>13</v>
      </c>
    </row>
    <row r="567">
      <c r="A567" s="5" t="s">
        <v>1746</v>
      </c>
      <c r="B567" s="5" t="s">
        <v>25</v>
      </c>
      <c r="C567" s="6" t="s">
        <v>13</v>
      </c>
      <c r="D567" s="5" t="s">
        <v>1560</v>
      </c>
      <c r="E567" s="5" t="s">
        <v>48</v>
      </c>
      <c r="F567" s="5" t="s">
        <v>112</v>
      </c>
      <c r="G567" s="5" t="s">
        <v>38</v>
      </c>
      <c r="H567" s="5" t="s">
        <v>18</v>
      </c>
      <c r="I567" s="7" t="s">
        <v>1747</v>
      </c>
      <c r="J567" s="8" t="s">
        <v>13</v>
      </c>
    </row>
    <row r="568">
      <c r="A568" s="5" t="s">
        <v>1748</v>
      </c>
      <c r="B568" s="5" t="s">
        <v>1656</v>
      </c>
      <c r="C568" s="6" t="s">
        <v>13</v>
      </c>
      <c r="D568" s="5" t="s">
        <v>1560</v>
      </c>
      <c r="E568" s="5" t="s">
        <v>277</v>
      </c>
      <c r="F568" s="5" t="s">
        <v>112</v>
      </c>
      <c r="G568" s="5" t="s">
        <v>38</v>
      </c>
      <c r="H568" s="5" t="s">
        <v>18</v>
      </c>
      <c r="I568" s="8" t="s">
        <v>1749</v>
      </c>
      <c r="J568" s="8" t="s">
        <v>13</v>
      </c>
    </row>
    <row r="569">
      <c r="A569" s="5" t="s">
        <v>1750</v>
      </c>
      <c r="B569" s="5" t="s">
        <v>25</v>
      </c>
      <c r="C569" s="6" t="s">
        <v>13</v>
      </c>
      <c r="D569" s="5" t="s">
        <v>1560</v>
      </c>
      <c r="E569" s="5" t="s">
        <v>1751</v>
      </c>
      <c r="F569" s="5" t="s">
        <v>112</v>
      </c>
      <c r="G569" s="5" t="s">
        <v>38</v>
      </c>
      <c r="H569" s="5" t="s">
        <v>18</v>
      </c>
      <c r="I569" s="7" t="s">
        <v>1752</v>
      </c>
      <c r="J569" s="8" t="s">
        <v>13</v>
      </c>
    </row>
    <row r="570">
      <c r="A570" s="5" t="s">
        <v>1753</v>
      </c>
      <c r="B570" s="5" t="s">
        <v>25</v>
      </c>
      <c r="C570" s="6" t="s">
        <v>13</v>
      </c>
      <c r="D570" s="5" t="s">
        <v>1560</v>
      </c>
      <c r="E570" s="5" t="s">
        <v>268</v>
      </c>
      <c r="F570" s="5" t="s">
        <v>112</v>
      </c>
      <c r="G570" s="5" t="s">
        <v>38</v>
      </c>
      <c r="H570" s="5" t="s">
        <v>18</v>
      </c>
      <c r="I570" s="7" t="s">
        <v>1754</v>
      </c>
      <c r="J570" s="8" t="s">
        <v>13</v>
      </c>
    </row>
    <row r="571">
      <c r="A571" s="5" t="s">
        <v>1755</v>
      </c>
      <c r="B571" s="5" t="s">
        <v>1756</v>
      </c>
      <c r="C571" s="6" t="s">
        <v>13</v>
      </c>
      <c r="D571" s="5" t="s">
        <v>1560</v>
      </c>
      <c r="E571" s="5" t="s">
        <v>421</v>
      </c>
      <c r="F571" s="5" t="s">
        <v>112</v>
      </c>
      <c r="G571" s="5" t="s">
        <v>38</v>
      </c>
      <c r="H571" s="5" t="s">
        <v>18</v>
      </c>
      <c r="I571" s="7" t="s">
        <v>1757</v>
      </c>
      <c r="J571" s="8" t="s">
        <v>13</v>
      </c>
    </row>
    <row r="572">
      <c r="A572" s="5" t="s">
        <v>1758</v>
      </c>
      <c r="B572" s="5" t="s">
        <v>25</v>
      </c>
      <c r="C572" s="6" t="s">
        <v>13</v>
      </c>
      <c r="D572" s="5" t="s">
        <v>1560</v>
      </c>
      <c r="E572" s="5" t="s">
        <v>1759</v>
      </c>
      <c r="F572" s="5" t="s">
        <v>1527</v>
      </c>
      <c r="G572" s="5" t="s">
        <v>945</v>
      </c>
      <c r="H572" s="5" t="s">
        <v>18</v>
      </c>
      <c r="I572" s="7" t="s">
        <v>1760</v>
      </c>
      <c r="J572" s="8" t="s">
        <v>13</v>
      </c>
    </row>
    <row r="573">
      <c r="A573" s="5" t="s">
        <v>1761</v>
      </c>
      <c r="B573" s="5" t="s">
        <v>25</v>
      </c>
      <c r="C573" s="6" t="s">
        <v>13</v>
      </c>
      <c r="D573" s="5" t="s">
        <v>1560</v>
      </c>
      <c r="E573" s="5" t="s">
        <v>331</v>
      </c>
      <c r="F573" s="5" t="s">
        <v>1449</v>
      </c>
      <c r="G573" s="5" t="s">
        <v>203</v>
      </c>
      <c r="H573" s="5" t="s">
        <v>18</v>
      </c>
      <c r="I573" s="7" t="s">
        <v>1762</v>
      </c>
      <c r="J573" s="8" t="s">
        <v>13</v>
      </c>
    </row>
    <row r="574">
      <c r="A574" s="5" t="s">
        <v>1763</v>
      </c>
      <c r="B574" s="5" t="s">
        <v>25</v>
      </c>
      <c r="C574" s="6" t="s">
        <v>13</v>
      </c>
      <c r="D574" s="5" t="s">
        <v>1560</v>
      </c>
      <c r="E574" s="5" t="s">
        <v>192</v>
      </c>
      <c r="F574" s="5" t="s">
        <v>1449</v>
      </c>
      <c r="G574" s="5" t="s">
        <v>203</v>
      </c>
      <c r="H574" s="5" t="s">
        <v>18</v>
      </c>
      <c r="I574" s="7" t="s">
        <v>1764</v>
      </c>
      <c r="J574" s="8" t="s">
        <v>13</v>
      </c>
    </row>
    <row r="575">
      <c r="A575" s="5" t="s">
        <v>1765</v>
      </c>
      <c r="B575" s="5" t="s">
        <v>1766</v>
      </c>
      <c r="C575" s="6" t="s">
        <v>13</v>
      </c>
      <c r="D575" s="5" t="s">
        <v>1560</v>
      </c>
      <c r="E575" s="5" t="s">
        <v>268</v>
      </c>
      <c r="F575" s="5" t="s">
        <v>122</v>
      </c>
      <c r="G575" s="5" t="s">
        <v>44</v>
      </c>
      <c r="H575" s="5" t="s">
        <v>18</v>
      </c>
      <c r="I575" s="7" t="s">
        <v>1767</v>
      </c>
      <c r="J575" s="8" t="s">
        <v>13</v>
      </c>
    </row>
    <row r="576">
      <c r="A576" s="5" t="s">
        <v>1768</v>
      </c>
      <c r="B576" s="5" t="s">
        <v>1769</v>
      </c>
      <c r="C576" s="6" t="s">
        <v>13</v>
      </c>
      <c r="D576" s="5" t="s">
        <v>1560</v>
      </c>
      <c r="E576" s="5" t="s">
        <v>488</v>
      </c>
      <c r="F576" s="5" t="s">
        <v>122</v>
      </c>
      <c r="G576" s="5" t="s">
        <v>44</v>
      </c>
      <c r="H576" s="5" t="s">
        <v>18</v>
      </c>
      <c r="I576" s="8" t="s">
        <v>1770</v>
      </c>
      <c r="J576" s="8" t="s">
        <v>13</v>
      </c>
    </row>
    <row r="577">
      <c r="A577" s="5" t="s">
        <v>1771</v>
      </c>
      <c r="B577" s="5" t="s">
        <v>1772</v>
      </c>
      <c r="C577" s="6" t="s">
        <v>13</v>
      </c>
      <c r="D577" s="5" t="s">
        <v>1560</v>
      </c>
      <c r="E577" s="5" t="s">
        <v>277</v>
      </c>
      <c r="F577" s="5" t="s">
        <v>122</v>
      </c>
      <c r="G577" s="5" t="s">
        <v>44</v>
      </c>
      <c r="H577" s="5" t="s">
        <v>18</v>
      </c>
      <c r="I577" s="8" t="s">
        <v>1773</v>
      </c>
      <c r="J577" s="8" t="s">
        <v>13</v>
      </c>
    </row>
    <row r="578">
      <c r="A578" s="5" t="s">
        <v>1774</v>
      </c>
      <c r="B578" s="5" t="s">
        <v>1775</v>
      </c>
      <c r="C578" s="6" t="s">
        <v>13</v>
      </c>
      <c r="D578" s="5" t="s">
        <v>1560</v>
      </c>
      <c r="E578" s="5" t="s">
        <v>79</v>
      </c>
      <c r="F578" s="5" t="s">
        <v>122</v>
      </c>
      <c r="G578" s="5" t="s">
        <v>44</v>
      </c>
      <c r="H578" s="5" t="s">
        <v>18</v>
      </c>
      <c r="I578" s="7" t="s">
        <v>1776</v>
      </c>
      <c r="J578" s="8" t="s">
        <v>13</v>
      </c>
    </row>
    <row r="579">
      <c r="A579" s="5" t="s">
        <v>1777</v>
      </c>
      <c r="B579" s="5" t="s">
        <v>25</v>
      </c>
      <c r="C579" s="6" t="s">
        <v>13</v>
      </c>
      <c r="D579" s="5" t="s">
        <v>1560</v>
      </c>
      <c r="E579" s="5" t="s">
        <v>207</v>
      </c>
      <c r="F579" s="5" t="s">
        <v>122</v>
      </c>
      <c r="G579" s="5" t="s">
        <v>44</v>
      </c>
      <c r="H579" s="5" t="s">
        <v>18</v>
      </c>
      <c r="I579" s="7" t="s">
        <v>1778</v>
      </c>
      <c r="J579" s="8" t="s">
        <v>13</v>
      </c>
    </row>
    <row r="580">
      <c r="A580" s="5" t="s">
        <v>1779</v>
      </c>
      <c r="B580" s="5" t="s">
        <v>1780</v>
      </c>
      <c r="C580" s="6" t="s">
        <v>13</v>
      </c>
      <c r="D580" s="5" t="s">
        <v>1560</v>
      </c>
      <c r="E580" s="5" t="s">
        <v>1123</v>
      </c>
      <c r="F580" s="5" t="s">
        <v>122</v>
      </c>
      <c r="G580" s="5" t="s">
        <v>44</v>
      </c>
      <c r="H580" s="5" t="s">
        <v>18</v>
      </c>
      <c r="I580" s="8" t="s">
        <v>1781</v>
      </c>
      <c r="J580" s="8" t="s">
        <v>13</v>
      </c>
    </row>
    <row r="581">
      <c r="A581" s="5" t="s">
        <v>1782</v>
      </c>
      <c r="B581" s="5" t="s">
        <v>25</v>
      </c>
      <c r="C581" s="6" t="s">
        <v>13</v>
      </c>
      <c r="D581" s="5" t="s">
        <v>1560</v>
      </c>
      <c r="E581" s="5" t="s">
        <v>53</v>
      </c>
      <c r="F581" s="5" t="s">
        <v>122</v>
      </c>
      <c r="G581" s="5" t="s">
        <v>44</v>
      </c>
      <c r="H581" s="5" t="s">
        <v>18</v>
      </c>
      <c r="I581" s="7" t="s">
        <v>1783</v>
      </c>
      <c r="J581" s="8" t="s">
        <v>13</v>
      </c>
    </row>
    <row r="582">
      <c r="A582" s="5" t="s">
        <v>1784</v>
      </c>
      <c r="B582" s="5" t="s">
        <v>1785</v>
      </c>
      <c r="C582" s="6" t="s">
        <v>13</v>
      </c>
      <c r="D582" s="5" t="s">
        <v>1560</v>
      </c>
      <c r="E582" s="5" t="s">
        <v>79</v>
      </c>
      <c r="F582" s="5" t="s">
        <v>793</v>
      </c>
      <c r="G582" s="5" t="s">
        <v>184</v>
      </c>
      <c r="H582" s="5" t="s">
        <v>18</v>
      </c>
      <c r="I582" s="7" t="s">
        <v>1786</v>
      </c>
      <c r="J582" s="8" t="s">
        <v>13</v>
      </c>
    </row>
    <row r="583">
      <c r="A583" s="5" t="s">
        <v>1787</v>
      </c>
      <c r="B583" s="5" t="s">
        <v>25</v>
      </c>
      <c r="C583" s="6" t="s">
        <v>13</v>
      </c>
      <c r="D583" s="5" t="s">
        <v>1560</v>
      </c>
      <c r="E583" s="5" t="s">
        <v>1098</v>
      </c>
      <c r="F583" s="5" t="s">
        <v>953</v>
      </c>
      <c r="G583" s="5" t="s">
        <v>954</v>
      </c>
      <c r="H583" s="5" t="s">
        <v>18</v>
      </c>
      <c r="I583" s="7" t="s">
        <v>1788</v>
      </c>
      <c r="J583" s="8" t="s">
        <v>13</v>
      </c>
    </row>
    <row r="584">
      <c r="A584" s="5" t="s">
        <v>1789</v>
      </c>
      <c r="B584" s="5" t="s">
        <v>25</v>
      </c>
      <c r="C584" s="6" t="s">
        <v>13</v>
      </c>
      <c r="D584" s="5" t="s">
        <v>1560</v>
      </c>
      <c r="E584" s="5" t="s">
        <v>512</v>
      </c>
      <c r="F584" s="5" t="s">
        <v>575</v>
      </c>
      <c r="G584" s="5" t="s">
        <v>137</v>
      </c>
      <c r="H584" s="5" t="s">
        <v>18</v>
      </c>
      <c r="I584" s="8" t="s">
        <v>1790</v>
      </c>
      <c r="J584" s="8" t="s">
        <v>13</v>
      </c>
    </row>
    <row r="585">
      <c r="A585" s="5" t="s">
        <v>1791</v>
      </c>
      <c r="B585" s="5" t="s">
        <v>25</v>
      </c>
      <c r="C585" s="6" t="s">
        <v>13</v>
      </c>
      <c r="D585" s="5" t="s">
        <v>1560</v>
      </c>
      <c r="E585" s="5" t="s">
        <v>63</v>
      </c>
      <c r="F585" s="5" t="s">
        <v>132</v>
      </c>
      <c r="G585" s="5" t="s">
        <v>133</v>
      </c>
      <c r="H585" s="5" t="s">
        <v>18</v>
      </c>
      <c r="I585" s="7" t="s">
        <v>1792</v>
      </c>
      <c r="J585" s="8" t="s">
        <v>13</v>
      </c>
    </row>
    <row r="586">
      <c r="A586" s="5" t="s">
        <v>1793</v>
      </c>
      <c r="B586" s="5" t="s">
        <v>1794</v>
      </c>
      <c r="C586" s="6" t="s">
        <v>13</v>
      </c>
      <c r="D586" s="5" t="s">
        <v>1560</v>
      </c>
      <c r="E586" s="5" t="s">
        <v>84</v>
      </c>
      <c r="F586" s="5" t="s">
        <v>132</v>
      </c>
      <c r="G586" s="5" t="s">
        <v>133</v>
      </c>
      <c r="H586" s="5" t="s">
        <v>18</v>
      </c>
      <c r="I586" s="8" t="s">
        <v>1795</v>
      </c>
      <c r="J586" s="8" t="s">
        <v>13</v>
      </c>
    </row>
    <row r="587">
      <c r="A587" s="5" t="s">
        <v>1796</v>
      </c>
      <c r="B587" s="5" t="s">
        <v>25</v>
      </c>
      <c r="C587" s="6" t="s">
        <v>13</v>
      </c>
      <c r="D587" s="5" t="s">
        <v>1560</v>
      </c>
      <c r="E587" s="5" t="s">
        <v>1025</v>
      </c>
      <c r="F587" s="5" t="s">
        <v>137</v>
      </c>
      <c r="G587" s="5" t="s">
        <v>137</v>
      </c>
      <c r="H587" s="5" t="s">
        <v>18</v>
      </c>
      <c r="I587" s="7" t="s">
        <v>1797</v>
      </c>
      <c r="J587" s="8" t="s">
        <v>13</v>
      </c>
    </row>
    <row r="588">
      <c r="A588" s="5" t="s">
        <v>1798</v>
      </c>
      <c r="B588" s="5" t="s">
        <v>1470</v>
      </c>
      <c r="C588" s="6" t="s">
        <v>13</v>
      </c>
      <c r="D588" s="5" t="s">
        <v>1560</v>
      </c>
      <c r="E588" s="5" t="s">
        <v>106</v>
      </c>
      <c r="F588" s="5" t="s">
        <v>137</v>
      </c>
      <c r="G588" s="5" t="s">
        <v>137</v>
      </c>
      <c r="H588" s="5" t="s">
        <v>18</v>
      </c>
      <c r="I588" s="8" t="s">
        <v>1799</v>
      </c>
      <c r="J588" s="8" t="s">
        <v>13</v>
      </c>
    </row>
    <row r="589">
      <c r="A589" s="5" t="s">
        <v>1800</v>
      </c>
      <c r="B589" s="5" t="s">
        <v>25</v>
      </c>
      <c r="C589" s="6" t="s">
        <v>13</v>
      </c>
      <c r="D589" s="5" t="s">
        <v>1560</v>
      </c>
      <c r="E589" s="5" t="s">
        <v>1629</v>
      </c>
      <c r="F589" s="5" t="s">
        <v>137</v>
      </c>
      <c r="G589" s="5" t="s">
        <v>137</v>
      </c>
      <c r="H589" s="5" t="s">
        <v>18</v>
      </c>
      <c r="I589" s="7" t="s">
        <v>1801</v>
      </c>
      <c r="J589" s="8" t="s">
        <v>13</v>
      </c>
    </row>
    <row r="590">
      <c r="A590" s="5" t="s">
        <v>1802</v>
      </c>
      <c r="B590" s="5" t="s">
        <v>25</v>
      </c>
      <c r="C590" s="6" t="s">
        <v>13</v>
      </c>
      <c r="D590" s="5" t="s">
        <v>1560</v>
      </c>
      <c r="E590" s="5" t="s">
        <v>1629</v>
      </c>
      <c r="F590" s="5" t="s">
        <v>137</v>
      </c>
      <c r="G590" s="5" t="s">
        <v>137</v>
      </c>
      <c r="H590" s="5" t="s">
        <v>18</v>
      </c>
      <c r="I590" s="7" t="s">
        <v>1803</v>
      </c>
      <c r="J590" s="8" t="s">
        <v>13</v>
      </c>
    </row>
    <row r="591">
      <c r="A591" s="5" t="s">
        <v>1804</v>
      </c>
      <c r="B591" s="5" t="s">
        <v>1805</v>
      </c>
      <c r="C591" s="6" t="s">
        <v>13</v>
      </c>
      <c r="D591" s="5" t="s">
        <v>1560</v>
      </c>
      <c r="E591" s="5" t="s">
        <v>1806</v>
      </c>
      <c r="F591" s="5" t="s">
        <v>137</v>
      </c>
      <c r="G591" s="5" t="s">
        <v>137</v>
      </c>
      <c r="H591" s="5" t="s">
        <v>18</v>
      </c>
      <c r="I591" s="8" t="s">
        <v>1807</v>
      </c>
      <c r="J591" s="8" t="s">
        <v>13</v>
      </c>
    </row>
    <row r="592">
      <c r="A592" s="5" t="s">
        <v>1808</v>
      </c>
      <c r="B592" s="5" t="s">
        <v>25</v>
      </c>
      <c r="C592" s="6" t="s">
        <v>13</v>
      </c>
      <c r="D592" s="5" t="s">
        <v>1560</v>
      </c>
      <c r="E592" s="5" t="s">
        <v>1809</v>
      </c>
      <c r="F592" s="5" t="s">
        <v>137</v>
      </c>
      <c r="G592" s="5" t="s">
        <v>137</v>
      </c>
      <c r="H592" s="5" t="s">
        <v>18</v>
      </c>
      <c r="I592" s="7" t="s">
        <v>1810</v>
      </c>
      <c r="J592" s="8" t="s">
        <v>13</v>
      </c>
    </row>
    <row r="593">
      <c r="A593" s="5" t="s">
        <v>1811</v>
      </c>
      <c r="B593" s="5" t="s">
        <v>1812</v>
      </c>
      <c r="C593" s="6" t="s">
        <v>13</v>
      </c>
      <c r="D593" s="5" t="s">
        <v>1560</v>
      </c>
      <c r="E593" s="5" t="s">
        <v>496</v>
      </c>
      <c r="F593" s="5" t="s">
        <v>137</v>
      </c>
      <c r="G593" s="5" t="s">
        <v>137</v>
      </c>
      <c r="H593" s="5" t="s">
        <v>18</v>
      </c>
      <c r="I593" s="7" t="s">
        <v>1813</v>
      </c>
      <c r="J593" s="8" t="s">
        <v>13</v>
      </c>
    </row>
    <row r="594">
      <c r="A594" s="5" t="s">
        <v>1814</v>
      </c>
      <c r="B594" s="5" t="s">
        <v>1815</v>
      </c>
      <c r="C594" s="6" t="s">
        <v>13</v>
      </c>
      <c r="D594" s="5" t="s">
        <v>1560</v>
      </c>
      <c r="E594" s="5" t="s">
        <v>144</v>
      </c>
      <c r="F594" s="5" t="s">
        <v>137</v>
      </c>
      <c r="G594" s="5" t="s">
        <v>137</v>
      </c>
      <c r="H594" s="5" t="s">
        <v>18</v>
      </c>
      <c r="I594" s="8" t="s">
        <v>1816</v>
      </c>
      <c r="J594" s="8" t="s">
        <v>13</v>
      </c>
    </row>
    <row r="595">
      <c r="A595" s="5" t="s">
        <v>1817</v>
      </c>
      <c r="B595" s="5" t="s">
        <v>1818</v>
      </c>
      <c r="C595" s="6" t="s">
        <v>13</v>
      </c>
      <c r="D595" s="5" t="s">
        <v>1560</v>
      </c>
      <c r="E595" s="5" t="s">
        <v>1460</v>
      </c>
      <c r="F595" s="5" t="s">
        <v>137</v>
      </c>
      <c r="G595" s="5" t="s">
        <v>137</v>
      </c>
      <c r="H595" s="5" t="s">
        <v>18</v>
      </c>
      <c r="I595" s="8" t="s">
        <v>1819</v>
      </c>
      <c r="J595" s="8" t="s">
        <v>13</v>
      </c>
    </row>
    <row r="596">
      <c r="A596" s="5" t="s">
        <v>1820</v>
      </c>
      <c r="B596" s="5" t="s">
        <v>1821</v>
      </c>
      <c r="C596" s="5" t="s">
        <v>4</v>
      </c>
      <c r="D596" s="5" t="s">
        <v>1560</v>
      </c>
      <c r="E596" s="5" t="s">
        <v>651</v>
      </c>
      <c r="F596" s="5" t="s">
        <v>137</v>
      </c>
      <c r="G596" s="5" t="s">
        <v>137</v>
      </c>
      <c r="H596" s="5" t="s">
        <v>18</v>
      </c>
      <c r="I596" s="7" t="s">
        <v>1822</v>
      </c>
      <c r="J596" s="8" t="s">
        <v>13</v>
      </c>
    </row>
    <row r="597">
      <c r="A597" s="5" t="s">
        <v>1823</v>
      </c>
      <c r="B597" s="5" t="s">
        <v>1780</v>
      </c>
      <c r="C597" s="6" t="s">
        <v>13</v>
      </c>
      <c r="D597" s="5" t="s">
        <v>1560</v>
      </c>
      <c r="E597" s="5" t="s">
        <v>1065</v>
      </c>
      <c r="F597" s="5" t="s">
        <v>137</v>
      </c>
      <c r="G597" s="5" t="s">
        <v>137</v>
      </c>
      <c r="H597" s="5" t="s">
        <v>18</v>
      </c>
      <c r="I597" s="8" t="s">
        <v>1824</v>
      </c>
      <c r="J597" s="8" t="s">
        <v>13</v>
      </c>
    </row>
    <row r="598">
      <c r="A598" s="5" t="s">
        <v>1825</v>
      </c>
      <c r="B598" s="5" t="s">
        <v>25</v>
      </c>
      <c r="C598" s="6" t="s">
        <v>13</v>
      </c>
      <c r="D598" s="5" t="s">
        <v>1560</v>
      </c>
      <c r="E598" s="5" t="s">
        <v>840</v>
      </c>
      <c r="F598" s="5" t="s">
        <v>137</v>
      </c>
      <c r="G598" s="5" t="s">
        <v>137</v>
      </c>
      <c r="H598" s="5" t="s">
        <v>18</v>
      </c>
      <c r="I598" s="7" t="s">
        <v>1826</v>
      </c>
      <c r="J598" s="8" t="s">
        <v>13</v>
      </c>
    </row>
    <row r="599">
      <c r="A599" s="5" t="s">
        <v>1827</v>
      </c>
      <c r="B599" s="5" t="s">
        <v>1470</v>
      </c>
      <c r="C599" s="6" t="s">
        <v>13</v>
      </c>
      <c r="D599" s="5" t="s">
        <v>1560</v>
      </c>
      <c r="E599" s="5" t="s">
        <v>165</v>
      </c>
      <c r="F599" s="5" t="s">
        <v>137</v>
      </c>
      <c r="G599" s="5" t="s">
        <v>137</v>
      </c>
      <c r="H599" s="5" t="s">
        <v>18</v>
      </c>
      <c r="I599" s="8" t="s">
        <v>1828</v>
      </c>
      <c r="J599" s="8" t="s">
        <v>13</v>
      </c>
    </row>
    <row r="600">
      <c r="A600" s="5" t="s">
        <v>1829</v>
      </c>
      <c r="B600" s="5" t="s">
        <v>1706</v>
      </c>
      <c r="C600" s="6" t="s">
        <v>13</v>
      </c>
      <c r="D600" s="5" t="s">
        <v>1560</v>
      </c>
      <c r="E600" s="5" t="s">
        <v>1830</v>
      </c>
      <c r="F600" s="5" t="s">
        <v>137</v>
      </c>
      <c r="G600" s="5" t="s">
        <v>137</v>
      </c>
      <c r="H600" s="5" t="s">
        <v>18</v>
      </c>
      <c r="I600" s="7" t="s">
        <v>1831</v>
      </c>
      <c r="J600" s="8" t="s">
        <v>13</v>
      </c>
    </row>
    <row r="601">
      <c r="A601" s="5" t="s">
        <v>1832</v>
      </c>
      <c r="B601" s="5" t="s">
        <v>25</v>
      </c>
      <c r="C601" s="6" t="s">
        <v>13</v>
      </c>
      <c r="D601" s="5" t="s">
        <v>1560</v>
      </c>
      <c r="E601" s="5" t="s">
        <v>1300</v>
      </c>
      <c r="F601" s="5" t="s">
        <v>153</v>
      </c>
      <c r="G601" s="5" t="s">
        <v>154</v>
      </c>
      <c r="H601" s="5" t="s">
        <v>18</v>
      </c>
      <c r="I601" s="7" t="s">
        <v>1833</v>
      </c>
      <c r="J601" s="8" t="s">
        <v>13</v>
      </c>
    </row>
    <row r="602">
      <c r="A602" s="5" t="s">
        <v>1834</v>
      </c>
      <c r="B602" s="5" t="s">
        <v>25</v>
      </c>
      <c r="C602" s="6" t="s">
        <v>13</v>
      </c>
      <c r="D602" s="5" t="s">
        <v>1560</v>
      </c>
      <c r="E602" s="5" t="s">
        <v>376</v>
      </c>
      <c r="F602" s="5" t="s">
        <v>153</v>
      </c>
      <c r="G602" s="5" t="s">
        <v>154</v>
      </c>
      <c r="H602" s="5" t="s">
        <v>18</v>
      </c>
      <c r="I602" s="7" t="s">
        <v>1835</v>
      </c>
      <c r="J602" s="8" t="s">
        <v>13</v>
      </c>
    </row>
    <row r="603">
      <c r="A603" s="5" t="s">
        <v>1836</v>
      </c>
      <c r="B603" s="5" t="s">
        <v>25</v>
      </c>
      <c r="C603" s="6" t="s">
        <v>13</v>
      </c>
      <c r="D603" s="5" t="s">
        <v>1560</v>
      </c>
      <c r="E603" s="5" t="s">
        <v>901</v>
      </c>
      <c r="F603" s="5" t="s">
        <v>153</v>
      </c>
      <c r="G603" s="5" t="s">
        <v>154</v>
      </c>
      <c r="H603" s="5" t="s">
        <v>18</v>
      </c>
      <c r="I603" s="7" t="s">
        <v>1837</v>
      </c>
      <c r="J603" s="8" t="s">
        <v>13</v>
      </c>
    </row>
    <row r="604">
      <c r="A604" s="5" t="s">
        <v>1838</v>
      </c>
      <c r="B604" s="5" t="s">
        <v>1839</v>
      </c>
      <c r="C604" s="6" t="s">
        <v>13</v>
      </c>
      <c r="D604" s="5" t="s">
        <v>1560</v>
      </c>
      <c r="E604" s="5" t="s">
        <v>1098</v>
      </c>
      <c r="F604" s="5" t="s">
        <v>153</v>
      </c>
      <c r="G604" s="5" t="s">
        <v>154</v>
      </c>
      <c r="H604" s="5" t="s">
        <v>18</v>
      </c>
      <c r="I604" s="8" t="s">
        <v>1840</v>
      </c>
      <c r="J604" s="8" t="s">
        <v>13</v>
      </c>
    </row>
    <row r="605">
      <c r="A605" s="5" t="s">
        <v>1841</v>
      </c>
      <c r="B605" s="5" t="s">
        <v>1842</v>
      </c>
      <c r="C605" s="6" t="s">
        <v>13</v>
      </c>
      <c r="D605" s="5" t="s">
        <v>1560</v>
      </c>
      <c r="E605" s="5" t="s">
        <v>345</v>
      </c>
      <c r="F605" s="5" t="s">
        <v>153</v>
      </c>
      <c r="G605" s="5" t="s">
        <v>154</v>
      </c>
      <c r="H605" s="5" t="s">
        <v>18</v>
      </c>
      <c r="I605" s="8" t="s">
        <v>1843</v>
      </c>
      <c r="J605" s="8" t="s">
        <v>13</v>
      </c>
    </row>
    <row r="606">
      <c r="A606" s="5" t="s">
        <v>1844</v>
      </c>
      <c r="B606" s="5" t="s">
        <v>1845</v>
      </c>
      <c r="C606" s="6" t="s">
        <v>13</v>
      </c>
      <c r="D606" s="5" t="s">
        <v>1560</v>
      </c>
      <c r="E606" s="5" t="s">
        <v>1846</v>
      </c>
      <c r="F606" s="5" t="s">
        <v>223</v>
      </c>
      <c r="G606" s="5" t="s">
        <v>224</v>
      </c>
      <c r="H606" s="5" t="s">
        <v>18</v>
      </c>
      <c r="I606" s="8" t="s">
        <v>1847</v>
      </c>
      <c r="J606" s="8" t="s">
        <v>13</v>
      </c>
    </row>
    <row r="607">
      <c r="A607" s="5" t="s">
        <v>1848</v>
      </c>
      <c r="B607" s="5" t="s">
        <v>25</v>
      </c>
      <c r="C607" s="6" t="s">
        <v>13</v>
      </c>
      <c r="D607" s="5" t="s">
        <v>1560</v>
      </c>
      <c r="E607" s="5" t="s">
        <v>1849</v>
      </c>
      <c r="F607" s="5" t="s">
        <v>295</v>
      </c>
      <c r="G607" s="5" t="s">
        <v>154</v>
      </c>
      <c r="H607" s="5" t="s">
        <v>18</v>
      </c>
      <c r="I607" s="7" t="s">
        <v>1850</v>
      </c>
      <c r="J607" s="8" t="s">
        <v>13</v>
      </c>
    </row>
    <row r="608">
      <c r="A608" s="5" t="s">
        <v>1851</v>
      </c>
      <c r="B608" s="5" t="s">
        <v>1785</v>
      </c>
      <c r="C608" s="6" t="s">
        <v>13</v>
      </c>
      <c r="D608" s="5" t="s">
        <v>1560</v>
      </c>
      <c r="E608" s="5" t="s">
        <v>79</v>
      </c>
      <c r="F608" s="5" t="s">
        <v>1852</v>
      </c>
      <c r="G608" s="5" t="s">
        <v>38</v>
      </c>
      <c r="H608" s="5" t="s">
        <v>18</v>
      </c>
      <c r="I608" s="7" t="s">
        <v>1853</v>
      </c>
      <c r="J608" s="8" t="s">
        <v>13</v>
      </c>
    </row>
    <row r="609">
      <c r="A609" s="5" t="s">
        <v>1854</v>
      </c>
      <c r="B609" s="5" t="s">
        <v>25</v>
      </c>
      <c r="C609" s="6" t="s">
        <v>13</v>
      </c>
      <c r="D609" s="5" t="s">
        <v>1560</v>
      </c>
      <c r="E609" s="5" t="s">
        <v>1300</v>
      </c>
      <c r="F609" s="5" t="s">
        <v>1855</v>
      </c>
      <c r="G609" s="5" t="s">
        <v>96</v>
      </c>
      <c r="H609" s="5" t="s">
        <v>18</v>
      </c>
      <c r="I609" s="7" t="s">
        <v>1856</v>
      </c>
      <c r="J609" s="8" t="s">
        <v>13</v>
      </c>
    </row>
    <row r="610">
      <c r="A610" s="5" t="s">
        <v>1857</v>
      </c>
      <c r="B610" s="5" t="s">
        <v>1858</v>
      </c>
      <c r="C610" s="6" t="s">
        <v>13</v>
      </c>
      <c r="D610" s="5" t="s">
        <v>1560</v>
      </c>
      <c r="E610" s="5" t="s">
        <v>1460</v>
      </c>
      <c r="F610" s="5" t="s">
        <v>1859</v>
      </c>
      <c r="G610" s="5" t="s">
        <v>44</v>
      </c>
      <c r="H610" s="5" t="s">
        <v>18</v>
      </c>
      <c r="I610" s="7" t="s">
        <v>1860</v>
      </c>
      <c r="J610" s="8" t="s">
        <v>13</v>
      </c>
    </row>
    <row r="611">
      <c r="A611" s="5" t="s">
        <v>1861</v>
      </c>
      <c r="B611" s="5" t="s">
        <v>25</v>
      </c>
      <c r="C611" s="6" t="s">
        <v>13</v>
      </c>
      <c r="D611" s="5" t="s">
        <v>1560</v>
      </c>
      <c r="E611" s="5" t="s">
        <v>1148</v>
      </c>
      <c r="F611" s="5" t="s">
        <v>780</v>
      </c>
      <c r="G611" s="5" t="s">
        <v>781</v>
      </c>
      <c r="H611" s="5" t="s">
        <v>18</v>
      </c>
      <c r="I611" s="7" t="s">
        <v>1862</v>
      </c>
      <c r="J611" s="8" t="s">
        <v>13</v>
      </c>
    </row>
    <row r="612">
      <c r="A612" s="5" t="s">
        <v>1863</v>
      </c>
      <c r="B612" s="5" t="s">
        <v>25</v>
      </c>
      <c r="C612" s="6" t="s">
        <v>13</v>
      </c>
      <c r="D612" s="5" t="s">
        <v>1560</v>
      </c>
      <c r="E612" s="5" t="s">
        <v>125</v>
      </c>
      <c r="F612" s="5" t="s">
        <v>1035</v>
      </c>
      <c r="G612" s="5" t="s">
        <v>38</v>
      </c>
      <c r="H612" s="5" t="s">
        <v>18</v>
      </c>
      <c r="I612" s="7" t="s">
        <v>1864</v>
      </c>
      <c r="J612" s="8" t="s">
        <v>13</v>
      </c>
    </row>
    <row r="613">
      <c r="A613" s="5" t="s">
        <v>1865</v>
      </c>
      <c r="B613" s="5" t="s">
        <v>1866</v>
      </c>
      <c r="C613" s="6" t="s">
        <v>13</v>
      </c>
      <c r="D613" s="5" t="s">
        <v>1560</v>
      </c>
      <c r="E613" s="5" t="s">
        <v>1642</v>
      </c>
      <c r="F613" s="5" t="s">
        <v>1867</v>
      </c>
      <c r="G613" s="5" t="s">
        <v>44</v>
      </c>
      <c r="H613" s="5" t="s">
        <v>18</v>
      </c>
      <c r="I613" s="8" t="s">
        <v>1868</v>
      </c>
      <c r="J613" s="8" t="s">
        <v>13</v>
      </c>
    </row>
    <row r="614">
      <c r="A614" s="5" t="s">
        <v>1869</v>
      </c>
      <c r="B614" s="5" t="s">
        <v>371</v>
      </c>
      <c r="C614" s="6" t="s">
        <v>13</v>
      </c>
      <c r="D614" s="5" t="s">
        <v>1560</v>
      </c>
      <c r="E614" s="5" t="s">
        <v>217</v>
      </c>
      <c r="F614" s="5" t="s">
        <v>166</v>
      </c>
      <c r="G614" s="5" t="s">
        <v>44</v>
      </c>
      <c r="H614" s="5" t="s">
        <v>18</v>
      </c>
      <c r="I614" s="7" t="s">
        <v>1870</v>
      </c>
      <c r="J614" s="8" t="s">
        <v>13</v>
      </c>
    </row>
    <row r="615">
      <c r="A615" s="5" t="s">
        <v>1871</v>
      </c>
      <c r="B615" s="5" t="s">
        <v>25</v>
      </c>
      <c r="C615" s="6" t="s">
        <v>13</v>
      </c>
      <c r="D615" s="5" t="s">
        <v>1560</v>
      </c>
      <c r="E615" s="5" t="s">
        <v>1460</v>
      </c>
      <c r="F615" s="5" t="s">
        <v>166</v>
      </c>
      <c r="G615" s="5" t="s">
        <v>44</v>
      </c>
      <c r="H615" s="5" t="s">
        <v>18</v>
      </c>
      <c r="I615" s="7" t="s">
        <v>1872</v>
      </c>
      <c r="J615" s="8" t="s">
        <v>13</v>
      </c>
    </row>
    <row r="616">
      <c r="A616" s="5" t="s">
        <v>1873</v>
      </c>
      <c r="B616" s="5" t="s">
        <v>1874</v>
      </c>
      <c r="C616" s="6" t="s">
        <v>13</v>
      </c>
      <c r="D616" s="5" t="s">
        <v>1560</v>
      </c>
      <c r="E616" s="5" t="s">
        <v>277</v>
      </c>
      <c r="F616" s="5" t="s">
        <v>169</v>
      </c>
      <c r="G616" s="5" t="s">
        <v>44</v>
      </c>
      <c r="H616" s="5" t="s">
        <v>18</v>
      </c>
      <c r="I616" s="8" t="s">
        <v>1875</v>
      </c>
      <c r="J616" s="8" t="s">
        <v>13</v>
      </c>
    </row>
    <row r="617">
      <c r="A617" s="5" t="s">
        <v>1876</v>
      </c>
      <c r="B617" s="5" t="s">
        <v>1877</v>
      </c>
      <c r="C617" s="6" t="s">
        <v>13</v>
      </c>
      <c r="D617" s="5" t="s">
        <v>1560</v>
      </c>
      <c r="F617" s="5" t="s">
        <v>169</v>
      </c>
      <c r="G617" s="5" t="s">
        <v>44</v>
      </c>
      <c r="H617" s="5" t="s">
        <v>18</v>
      </c>
      <c r="I617" s="7" t="s">
        <v>1878</v>
      </c>
      <c r="J617" s="8" t="s">
        <v>13</v>
      </c>
    </row>
    <row r="618">
      <c r="A618" s="5" t="s">
        <v>1879</v>
      </c>
      <c r="B618" s="5" t="s">
        <v>25</v>
      </c>
      <c r="C618" s="6" t="s">
        <v>13</v>
      </c>
      <c r="D618" s="5" t="s">
        <v>1560</v>
      </c>
      <c r="E618" s="5" t="s">
        <v>1880</v>
      </c>
      <c r="F618" s="5" t="s">
        <v>311</v>
      </c>
      <c r="G618" s="5" t="s">
        <v>102</v>
      </c>
      <c r="H618" s="5" t="s">
        <v>18</v>
      </c>
      <c r="I618" s="7" t="s">
        <v>1881</v>
      </c>
      <c r="J618" s="8" t="s">
        <v>13</v>
      </c>
    </row>
    <row r="619">
      <c r="A619" s="5" t="s">
        <v>1882</v>
      </c>
      <c r="B619" s="5" t="s">
        <v>1883</v>
      </c>
      <c r="C619" s="6" t="s">
        <v>13</v>
      </c>
      <c r="D619" s="5" t="s">
        <v>1560</v>
      </c>
      <c r="E619" s="5" t="s">
        <v>111</v>
      </c>
      <c r="F619" s="5" t="s">
        <v>311</v>
      </c>
      <c r="G619" s="5" t="s">
        <v>102</v>
      </c>
      <c r="H619" s="5" t="s">
        <v>18</v>
      </c>
      <c r="I619" s="7" t="s">
        <v>1884</v>
      </c>
      <c r="J619" s="8" t="s">
        <v>13</v>
      </c>
    </row>
    <row r="620">
      <c r="A620" s="5" t="s">
        <v>1885</v>
      </c>
      <c r="B620" s="5" t="s">
        <v>25</v>
      </c>
      <c r="C620" s="6" t="s">
        <v>13</v>
      </c>
      <c r="D620" s="5" t="s">
        <v>1560</v>
      </c>
      <c r="E620" s="5" t="s">
        <v>182</v>
      </c>
      <c r="F620" s="5" t="s">
        <v>1886</v>
      </c>
      <c r="G620" s="5" t="s">
        <v>184</v>
      </c>
      <c r="H620" s="5" t="s">
        <v>18</v>
      </c>
      <c r="I620" s="7" t="s">
        <v>1887</v>
      </c>
      <c r="J620" s="8" t="s">
        <v>13</v>
      </c>
    </row>
    <row r="621">
      <c r="A621" s="5" t="s">
        <v>1888</v>
      </c>
      <c r="B621" s="5" t="s">
        <v>1889</v>
      </c>
      <c r="C621" s="6" t="s">
        <v>13</v>
      </c>
      <c r="D621" s="5" t="s">
        <v>1560</v>
      </c>
      <c r="E621" s="5" t="s">
        <v>277</v>
      </c>
      <c r="F621" s="5" t="s">
        <v>1131</v>
      </c>
      <c r="G621" s="5" t="s">
        <v>203</v>
      </c>
      <c r="H621" s="5" t="s">
        <v>18</v>
      </c>
      <c r="I621" s="7" t="s">
        <v>1890</v>
      </c>
      <c r="J621" s="8" t="s">
        <v>13</v>
      </c>
    </row>
    <row r="622">
      <c r="A622" s="5" t="s">
        <v>1891</v>
      </c>
      <c r="B622" s="5" t="s">
        <v>1656</v>
      </c>
      <c r="C622" s="6" t="s">
        <v>13</v>
      </c>
      <c r="D622" s="5" t="s">
        <v>1560</v>
      </c>
      <c r="E622" s="5" t="s">
        <v>1892</v>
      </c>
      <c r="F622" s="5" t="s">
        <v>1893</v>
      </c>
      <c r="G622" s="5" t="s">
        <v>96</v>
      </c>
      <c r="H622" s="5" t="s">
        <v>18</v>
      </c>
      <c r="I622" s="8" t="s">
        <v>1894</v>
      </c>
      <c r="J622" s="8" t="s">
        <v>13</v>
      </c>
    </row>
    <row r="623">
      <c r="A623" s="5" t="s">
        <v>1895</v>
      </c>
      <c r="B623" s="5" t="s">
        <v>1896</v>
      </c>
      <c r="C623" s="6" t="s">
        <v>13</v>
      </c>
      <c r="D623" s="5" t="s">
        <v>1560</v>
      </c>
      <c r="E623" s="5" t="s">
        <v>686</v>
      </c>
      <c r="F623" s="5" t="s">
        <v>102</v>
      </c>
      <c r="G623" s="5" t="s">
        <v>172</v>
      </c>
      <c r="H623" s="5" t="s">
        <v>18</v>
      </c>
      <c r="I623" s="7" t="s">
        <v>1897</v>
      </c>
      <c r="J623" s="8" t="s">
        <v>13</v>
      </c>
    </row>
    <row r="624">
      <c r="A624" s="5" t="s">
        <v>1898</v>
      </c>
      <c r="B624" s="5" t="s">
        <v>1899</v>
      </c>
      <c r="C624" s="6" t="s">
        <v>13</v>
      </c>
      <c r="D624" s="5" t="s">
        <v>1560</v>
      </c>
      <c r="E624" s="5" t="s">
        <v>277</v>
      </c>
      <c r="F624" s="5" t="s">
        <v>102</v>
      </c>
      <c r="G624" s="5" t="s">
        <v>172</v>
      </c>
      <c r="H624" s="5" t="s">
        <v>18</v>
      </c>
      <c r="I624" s="8" t="s">
        <v>1900</v>
      </c>
      <c r="J624" s="8" t="s">
        <v>13</v>
      </c>
    </row>
    <row r="625">
      <c r="A625" s="5" t="s">
        <v>1901</v>
      </c>
      <c r="B625" s="5" t="s">
        <v>1902</v>
      </c>
      <c r="C625" s="6" t="s">
        <v>13</v>
      </c>
      <c r="D625" s="5" t="s">
        <v>1560</v>
      </c>
      <c r="E625" s="5" t="s">
        <v>182</v>
      </c>
      <c r="F625" s="5" t="s">
        <v>102</v>
      </c>
      <c r="G625" s="5" t="s">
        <v>172</v>
      </c>
      <c r="H625" s="5" t="s">
        <v>18</v>
      </c>
      <c r="I625" s="8" t="s">
        <v>1903</v>
      </c>
      <c r="J625" s="8" t="s">
        <v>13</v>
      </c>
    </row>
    <row r="626">
      <c r="A626" s="5" t="s">
        <v>1904</v>
      </c>
      <c r="B626" s="5" t="s">
        <v>1905</v>
      </c>
      <c r="C626" s="6" t="s">
        <v>13</v>
      </c>
      <c r="D626" s="5" t="s">
        <v>1560</v>
      </c>
      <c r="E626" s="5" t="s">
        <v>84</v>
      </c>
      <c r="F626" s="5" t="s">
        <v>608</v>
      </c>
      <c r="G626" s="5" t="s">
        <v>50</v>
      </c>
      <c r="H626" s="5" t="s">
        <v>18</v>
      </c>
      <c r="I626" s="8" t="s">
        <v>1906</v>
      </c>
      <c r="J626" s="8" t="s">
        <v>13</v>
      </c>
    </row>
    <row r="627">
      <c r="A627" s="5" t="s">
        <v>1907</v>
      </c>
      <c r="B627" s="5" t="s">
        <v>110</v>
      </c>
      <c r="C627" s="6" t="s">
        <v>13</v>
      </c>
      <c r="D627" s="5" t="s">
        <v>1908</v>
      </c>
      <c r="E627" s="5" t="s">
        <v>165</v>
      </c>
      <c r="F627" s="5" t="s">
        <v>37</v>
      </c>
      <c r="G627" s="5" t="s">
        <v>38</v>
      </c>
      <c r="H627" s="5" t="s">
        <v>18</v>
      </c>
      <c r="I627" s="7" t="s">
        <v>1909</v>
      </c>
      <c r="J627" s="8" t="s">
        <v>13</v>
      </c>
    </row>
    <row r="628">
      <c r="A628" s="5" t="s">
        <v>1910</v>
      </c>
      <c r="B628" s="5" t="s">
        <v>110</v>
      </c>
      <c r="C628" s="6" t="s">
        <v>13</v>
      </c>
      <c r="D628" s="5" t="s">
        <v>1908</v>
      </c>
      <c r="E628" s="5" t="s">
        <v>136</v>
      </c>
      <c r="F628" s="5" t="s">
        <v>377</v>
      </c>
      <c r="G628" s="5" t="s">
        <v>378</v>
      </c>
      <c r="H628" s="5" t="s">
        <v>18</v>
      </c>
      <c r="I628" s="7" t="s">
        <v>1911</v>
      </c>
      <c r="J628" s="8" t="s">
        <v>13</v>
      </c>
    </row>
    <row r="629">
      <c r="A629" s="5" t="s">
        <v>1912</v>
      </c>
      <c r="B629" s="5" t="s">
        <v>1913</v>
      </c>
      <c r="C629" s="6" t="s">
        <v>13</v>
      </c>
      <c r="D629" s="5" t="s">
        <v>1908</v>
      </c>
      <c r="E629" s="5" t="s">
        <v>131</v>
      </c>
      <c r="F629" s="5" t="s">
        <v>1914</v>
      </c>
      <c r="G629" s="5" t="s">
        <v>378</v>
      </c>
      <c r="H629" s="5" t="s">
        <v>18</v>
      </c>
      <c r="I629" s="7" t="s">
        <v>1915</v>
      </c>
      <c r="J629" s="8" t="s">
        <v>13</v>
      </c>
    </row>
    <row r="630">
      <c r="A630" s="5" t="s">
        <v>1916</v>
      </c>
      <c r="B630" s="5" t="s">
        <v>110</v>
      </c>
      <c r="C630" s="6" t="s">
        <v>13</v>
      </c>
      <c r="D630" s="5" t="s">
        <v>1908</v>
      </c>
      <c r="E630" s="5" t="s">
        <v>179</v>
      </c>
      <c r="F630" s="5" t="s">
        <v>1917</v>
      </c>
      <c r="G630" s="5" t="s">
        <v>44</v>
      </c>
      <c r="H630" s="5" t="s">
        <v>18</v>
      </c>
      <c r="I630" s="7" t="s">
        <v>1918</v>
      </c>
      <c r="J630" s="8" t="s">
        <v>13</v>
      </c>
    </row>
    <row r="631">
      <c r="A631" s="5" t="s">
        <v>1919</v>
      </c>
      <c r="B631" s="5" t="s">
        <v>1920</v>
      </c>
      <c r="C631" s="6" t="s">
        <v>13</v>
      </c>
      <c r="D631" s="5" t="s">
        <v>1908</v>
      </c>
      <c r="E631" s="5" t="s">
        <v>1921</v>
      </c>
      <c r="F631" s="5" t="s">
        <v>1922</v>
      </c>
      <c r="G631" s="5" t="s">
        <v>44</v>
      </c>
      <c r="H631" s="5" t="s">
        <v>18</v>
      </c>
      <c r="I631" s="7" t="s">
        <v>1923</v>
      </c>
      <c r="J631" s="8" t="s">
        <v>13</v>
      </c>
    </row>
    <row r="632">
      <c r="A632" s="5" t="s">
        <v>1924</v>
      </c>
      <c r="B632" s="5" t="s">
        <v>1925</v>
      </c>
      <c r="C632" s="6" t="s">
        <v>13</v>
      </c>
      <c r="D632" s="5" t="s">
        <v>1908</v>
      </c>
      <c r="E632" s="5" t="s">
        <v>585</v>
      </c>
      <c r="F632" s="5" t="s">
        <v>122</v>
      </c>
      <c r="G632" s="5" t="s">
        <v>44</v>
      </c>
      <c r="H632" s="5" t="s">
        <v>18</v>
      </c>
      <c r="I632" s="8" t="s">
        <v>1926</v>
      </c>
      <c r="J632" s="8" t="s">
        <v>13</v>
      </c>
    </row>
    <row r="633">
      <c r="A633" s="5" t="s">
        <v>1927</v>
      </c>
      <c r="B633" s="5" t="s">
        <v>110</v>
      </c>
      <c r="C633" s="6" t="s">
        <v>13</v>
      </c>
      <c r="D633" s="5" t="s">
        <v>1908</v>
      </c>
      <c r="E633" s="5" t="s">
        <v>697</v>
      </c>
      <c r="F633" s="5" t="s">
        <v>122</v>
      </c>
      <c r="G633" s="5" t="s">
        <v>44</v>
      </c>
      <c r="H633" s="5" t="s">
        <v>18</v>
      </c>
      <c r="I633" s="7" t="s">
        <v>1928</v>
      </c>
      <c r="J633" s="8" t="s">
        <v>13</v>
      </c>
    </row>
    <row r="634">
      <c r="A634" s="5" t="s">
        <v>1929</v>
      </c>
      <c r="B634" s="5" t="s">
        <v>1930</v>
      </c>
      <c r="C634" s="6" t="s">
        <v>13</v>
      </c>
      <c r="D634" s="5" t="s">
        <v>1908</v>
      </c>
      <c r="E634" s="5" t="s">
        <v>409</v>
      </c>
      <c r="F634" s="5" t="s">
        <v>1931</v>
      </c>
      <c r="G634" s="5" t="s">
        <v>44</v>
      </c>
      <c r="H634" s="5" t="s">
        <v>18</v>
      </c>
      <c r="I634" s="7" t="s">
        <v>1932</v>
      </c>
      <c r="J634" s="8" t="s">
        <v>13</v>
      </c>
    </row>
    <row r="635">
      <c r="A635" s="5" t="s">
        <v>1933</v>
      </c>
      <c r="B635" s="5" t="s">
        <v>1934</v>
      </c>
      <c r="C635" s="6" t="s">
        <v>13</v>
      </c>
      <c r="D635" s="5" t="s">
        <v>1908</v>
      </c>
      <c r="E635" s="5" t="s">
        <v>691</v>
      </c>
      <c r="F635" s="5" t="s">
        <v>1931</v>
      </c>
      <c r="G635" s="5" t="s">
        <v>44</v>
      </c>
      <c r="H635" s="5" t="s">
        <v>18</v>
      </c>
      <c r="I635" s="7" t="s">
        <v>1935</v>
      </c>
      <c r="J635" s="8" t="s">
        <v>13</v>
      </c>
    </row>
    <row r="636">
      <c r="A636" s="5" t="s">
        <v>1936</v>
      </c>
      <c r="B636" s="5" t="s">
        <v>110</v>
      </c>
      <c r="C636" s="6" t="s">
        <v>13</v>
      </c>
      <c r="D636" s="5" t="s">
        <v>1908</v>
      </c>
      <c r="E636" s="5" t="s">
        <v>727</v>
      </c>
      <c r="F636" s="5" t="s">
        <v>218</v>
      </c>
      <c r="G636" s="5" t="s">
        <v>219</v>
      </c>
      <c r="H636" s="5" t="s">
        <v>18</v>
      </c>
      <c r="I636" s="8" t="s">
        <v>1937</v>
      </c>
      <c r="J636" s="8" t="s">
        <v>13</v>
      </c>
    </row>
    <row r="637">
      <c r="A637" s="5" t="s">
        <v>1938</v>
      </c>
      <c r="B637" s="5" t="s">
        <v>1939</v>
      </c>
      <c r="C637" s="6" t="s">
        <v>13</v>
      </c>
      <c r="D637" s="5" t="s">
        <v>1908</v>
      </c>
      <c r="E637" s="5" t="s">
        <v>399</v>
      </c>
      <c r="F637" s="5" t="s">
        <v>433</v>
      </c>
      <c r="G637" s="5" t="s">
        <v>44</v>
      </c>
      <c r="H637" s="5" t="s">
        <v>18</v>
      </c>
      <c r="I637" s="8" t="s">
        <v>1940</v>
      </c>
      <c r="J637" s="8" t="s">
        <v>13</v>
      </c>
    </row>
    <row r="638">
      <c r="A638" s="5" t="s">
        <v>1941</v>
      </c>
      <c r="B638" s="5" t="s">
        <v>1942</v>
      </c>
      <c r="C638" s="6" t="s">
        <v>13</v>
      </c>
      <c r="D638" s="5" t="s">
        <v>1908</v>
      </c>
      <c r="E638" s="5" t="s">
        <v>446</v>
      </c>
      <c r="F638" s="5" t="s">
        <v>433</v>
      </c>
      <c r="G638" s="5" t="s">
        <v>44</v>
      </c>
      <c r="H638" s="5" t="s">
        <v>18</v>
      </c>
      <c r="I638" s="8" t="s">
        <v>1943</v>
      </c>
      <c r="J638" s="8" t="s">
        <v>13</v>
      </c>
    </row>
    <row r="639">
      <c r="A639" s="5" t="s">
        <v>1944</v>
      </c>
      <c r="B639" s="5" t="s">
        <v>1945</v>
      </c>
      <c r="C639" s="6" t="s">
        <v>13</v>
      </c>
      <c r="D639" s="5" t="s">
        <v>1908</v>
      </c>
      <c r="E639" s="5" t="s">
        <v>496</v>
      </c>
      <c r="F639" s="5" t="s">
        <v>137</v>
      </c>
      <c r="G639" s="5" t="s">
        <v>137</v>
      </c>
      <c r="H639" s="5" t="s">
        <v>18</v>
      </c>
      <c r="I639" s="8" t="s">
        <v>1946</v>
      </c>
      <c r="J639" s="8" t="s">
        <v>13</v>
      </c>
    </row>
    <row r="640">
      <c r="A640" s="5" t="s">
        <v>1947</v>
      </c>
      <c r="B640" s="5" t="s">
        <v>110</v>
      </c>
      <c r="C640" s="6" t="s">
        <v>13</v>
      </c>
      <c r="D640" s="5" t="s">
        <v>1908</v>
      </c>
      <c r="E640" s="5" t="s">
        <v>1634</v>
      </c>
      <c r="F640" s="5" t="s">
        <v>137</v>
      </c>
      <c r="G640" s="5" t="s">
        <v>137</v>
      </c>
      <c r="H640" s="5" t="s">
        <v>18</v>
      </c>
      <c r="I640" s="7" t="s">
        <v>1948</v>
      </c>
      <c r="J640" s="8" t="s">
        <v>13</v>
      </c>
    </row>
    <row r="641">
      <c r="A641" s="5" t="s">
        <v>1949</v>
      </c>
      <c r="B641" s="5" t="s">
        <v>110</v>
      </c>
      <c r="C641" s="6" t="s">
        <v>13</v>
      </c>
      <c r="D641" s="5" t="s">
        <v>1908</v>
      </c>
      <c r="E641" s="5" t="s">
        <v>1950</v>
      </c>
      <c r="F641" s="5" t="s">
        <v>137</v>
      </c>
      <c r="G641" s="5" t="s">
        <v>137</v>
      </c>
      <c r="H641" s="5" t="s">
        <v>18</v>
      </c>
      <c r="I641" s="7" t="s">
        <v>1951</v>
      </c>
      <c r="J641" s="8" t="s">
        <v>13</v>
      </c>
    </row>
    <row r="642">
      <c r="A642" s="5" t="s">
        <v>1952</v>
      </c>
      <c r="B642" s="5" t="s">
        <v>110</v>
      </c>
      <c r="C642" s="6" t="s">
        <v>13</v>
      </c>
      <c r="D642" s="5" t="s">
        <v>1908</v>
      </c>
      <c r="E642" s="5" t="s">
        <v>68</v>
      </c>
      <c r="F642" s="5" t="s">
        <v>137</v>
      </c>
      <c r="G642" s="5" t="s">
        <v>137</v>
      </c>
      <c r="H642" s="5" t="s">
        <v>18</v>
      </c>
      <c r="I642" s="7" t="s">
        <v>1953</v>
      </c>
      <c r="J642" s="8" t="s">
        <v>13</v>
      </c>
    </row>
    <row r="643">
      <c r="A643" s="5" t="s">
        <v>1954</v>
      </c>
      <c r="B643" s="5" t="s">
        <v>1955</v>
      </c>
      <c r="C643" s="6" t="s">
        <v>13</v>
      </c>
      <c r="D643" s="5" t="s">
        <v>1908</v>
      </c>
      <c r="E643" s="5" t="s">
        <v>182</v>
      </c>
      <c r="F643" s="5" t="s">
        <v>137</v>
      </c>
      <c r="G643" s="5" t="s">
        <v>137</v>
      </c>
      <c r="H643" s="5" t="s">
        <v>18</v>
      </c>
      <c r="I643" s="7" t="s">
        <v>1956</v>
      </c>
      <c r="J643" s="8" t="s">
        <v>13</v>
      </c>
    </row>
    <row r="644">
      <c r="A644" s="5" t="s">
        <v>1957</v>
      </c>
      <c r="B644" s="5" t="s">
        <v>110</v>
      </c>
      <c r="C644" s="6" t="s">
        <v>13</v>
      </c>
      <c r="D644" s="5" t="s">
        <v>1908</v>
      </c>
      <c r="E644" s="5" t="s">
        <v>100</v>
      </c>
      <c r="F644" s="5" t="s">
        <v>137</v>
      </c>
      <c r="G644" s="5" t="s">
        <v>137</v>
      </c>
      <c r="H644" s="5" t="s">
        <v>18</v>
      </c>
      <c r="I644" s="7" t="s">
        <v>1958</v>
      </c>
      <c r="J644" s="8" t="s">
        <v>13</v>
      </c>
    </row>
    <row r="645">
      <c r="A645" s="5" t="s">
        <v>1959</v>
      </c>
      <c r="B645" s="5" t="s">
        <v>25</v>
      </c>
      <c r="C645" s="6" t="s">
        <v>13</v>
      </c>
      <c r="D645" s="5" t="s">
        <v>1908</v>
      </c>
      <c r="E645" s="5" t="s">
        <v>901</v>
      </c>
      <c r="F645" s="5" t="s">
        <v>1960</v>
      </c>
      <c r="G645" s="5" t="s">
        <v>1961</v>
      </c>
      <c r="H645" s="5" t="s">
        <v>18</v>
      </c>
      <c r="I645" s="7" t="s">
        <v>1962</v>
      </c>
      <c r="J645" s="8" t="s">
        <v>13</v>
      </c>
    </row>
    <row r="646">
      <c r="A646" s="5" t="s">
        <v>1963</v>
      </c>
      <c r="B646" s="5" t="s">
        <v>1964</v>
      </c>
      <c r="C646" s="6" t="s">
        <v>13</v>
      </c>
      <c r="D646" s="5" t="s">
        <v>1908</v>
      </c>
      <c r="E646" s="5" t="s">
        <v>1123</v>
      </c>
      <c r="F646" s="5" t="s">
        <v>1965</v>
      </c>
      <c r="G646" s="5" t="s">
        <v>44</v>
      </c>
      <c r="H646" s="5" t="s">
        <v>18</v>
      </c>
      <c r="I646" s="7" t="s">
        <v>1966</v>
      </c>
      <c r="J646" s="8" t="s">
        <v>13</v>
      </c>
    </row>
    <row r="647">
      <c r="A647" s="5" t="s">
        <v>1967</v>
      </c>
      <c r="B647" s="5" t="s">
        <v>1968</v>
      </c>
      <c r="C647" s="6" t="s">
        <v>13</v>
      </c>
      <c r="D647" s="5" t="s">
        <v>1908</v>
      </c>
      <c r="E647" s="5" t="s">
        <v>691</v>
      </c>
      <c r="F647" s="5" t="s">
        <v>1969</v>
      </c>
      <c r="G647" s="5" t="s">
        <v>44</v>
      </c>
      <c r="H647" s="5" t="s">
        <v>18</v>
      </c>
      <c r="I647" s="7" t="s">
        <v>1970</v>
      </c>
      <c r="J647" s="8" t="s">
        <v>13</v>
      </c>
    </row>
    <row r="648">
      <c r="A648" s="5" t="s">
        <v>1971</v>
      </c>
      <c r="B648" s="5" t="s">
        <v>1972</v>
      </c>
      <c r="C648" s="6" t="s">
        <v>13</v>
      </c>
      <c r="D648" s="5" t="s">
        <v>1908</v>
      </c>
      <c r="E648" s="5" t="s">
        <v>68</v>
      </c>
      <c r="F648" s="5" t="s">
        <v>166</v>
      </c>
      <c r="G648" s="5" t="s">
        <v>44</v>
      </c>
      <c r="H648" s="5" t="s">
        <v>18</v>
      </c>
      <c r="I648" s="8" t="s">
        <v>1973</v>
      </c>
      <c r="J648" s="8" t="s">
        <v>13</v>
      </c>
    </row>
    <row r="649">
      <c r="A649" s="5" t="s">
        <v>1974</v>
      </c>
      <c r="B649" s="5" t="s">
        <v>1939</v>
      </c>
      <c r="C649" s="6" t="s">
        <v>13</v>
      </c>
      <c r="D649" s="5" t="s">
        <v>1908</v>
      </c>
      <c r="E649" s="5" t="s">
        <v>512</v>
      </c>
      <c r="F649" s="5" t="s">
        <v>166</v>
      </c>
      <c r="G649" s="5" t="s">
        <v>44</v>
      </c>
      <c r="H649" s="5" t="s">
        <v>18</v>
      </c>
      <c r="I649" s="8" t="s">
        <v>1975</v>
      </c>
      <c r="J649" s="8" t="s">
        <v>13</v>
      </c>
    </row>
    <row r="650">
      <c r="A650" s="5" t="s">
        <v>1976</v>
      </c>
      <c r="B650" s="5" t="s">
        <v>110</v>
      </c>
      <c r="C650" s="6" t="s">
        <v>13</v>
      </c>
      <c r="D650" s="5" t="s">
        <v>1908</v>
      </c>
      <c r="E650" s="5" t="s">
        <v>585</v>
      </c>
      <c r="F650" s="5" t="s">
        <v>166</v>
      </c>
      <c r="G650" s="5" t="s">
        <v>44</v>
      </c>
      <c r="H650" s="5" t="s">
        <v>18</v>
      </c>
      <c r="I650" s="7" t="s">
        <v>1977</v>
      </c>
      <c r="J650" s="8" t="s">
        <v>13</v>
      </c>
    </row>
    <row r="651">
      <c r="A651" s="5" t="s">
        <v>1978</v>
      </c>
      <c r="B651" s="5" t="s">
        <v>1979</v>
      </c>
      <c r="C651" s="6" t="s">
        <v>13</v>
      </c>
      <c r="D651" s="5" t="s">
        <v>1908</v>
      </c>
      <c r="E651" s="5" t="s">
        <v>1729</v>
      </c>
      <c r="F651" s="5" t="s">
        <v>166</v>
      </c>
      <c r="G651" s="5" t="s">
        <v>44</v>
      </c>
      <c r="H651" s="5" t="s">
        <v>18</v>
      </c>
      <c r="I651" s="7" t="s">
        <v>1980</v>
      </c>
      <c r="J651" s="8" t="s">
        <v>13</v>
      </c>
    </row>
    <row r="652">
      <c r="A652" s="5" t="s">
        <v>1981</v>
      </c>
      <c r="B652" s="5" t="s">
        <v>1982</v>
      </c>
      <c r="C652" s="6" t="s">
        <v>13</v>
      </c>
      <c r="D652" s="5" t="s">
        <v>1908</v>
      </c>
      <c r="E652" s="5" t="s">
        <v>697</v>
      </c>
      <c r="F652" s="5" t="s">
        <v>166</v>
      </c>
      <c r="G652" s="5" t="s">
        <v>44</v>
      </c>
      <c r="H652" s="5" t="s">
        <v>18</v>
      </c>
      <c r="I652" s="7" t="s">
        <v>1983</v>
      </c>
      <c r="J652" s="8" t="s">
        <v>13</v>
      </c>
    </row>
    <row r="653">
      <c r="A653" s="5" t="s">
        <v>1984</v>
      </c>
      <c r="B653" s="5" t="s">
        <v>1985</v>
      </c>
      <c r="C653" s="6" t="s">
        <v>13</v>
      </c>
      <c r="D653" s="5" t="s">
        <v>1908</v>
      </c>
      <c r="E653" s="5" t="s">
        <v>727</v>
      </c>
      <c r="F653" s="5" t="s">
        <v>166</v>
      </c>
      <c r="G653" s="5" t="s">
        <v>44</v>
      </c>
      <c r="H653" s="5" t="s">
        <v>18</v>
      </c>
      <c r="I653" s="8" t="s">
        <v>1986</v>
      </c>
      <c r="J653" s="8" t="s">
        <v>13</v>
      </c>
    </row>
    <row r="654">
      <c r="A654" s="5" t="s">
        <v>1987</v>
      </c>
      <c r="B654" s="5" t="s">
        <v>110</v>
      </c>
      <c r="C654" s="6" t="s">
        <v>13</v>
      </c>
      <c r="D654" s="5" t="s">
        <v>1908</v>
      </c>
      <c r="E654" s="5" t="s">
        <v>1282</v>
      </c>
      <c r="F654" s="5" t="s">
        <v>166</v>
      </c>
      <c r="G654" s="5" t="s">
        <v>44</v>
      </c>
      <c r="H654" s="5" t="s">
        <v>18</v>
      </c>
      <c r="I654" s="7" t="s">
        <v>1988</v>
      </c>
      <c r="J654" s="8" t="s">
        <v>13</v>
      </c>
    </row>
    <row r="655">
      <c r="A655" s="5" t="s">
        <v>1989</v>
      </c>
      <c r="B655" s="5" t="s">
        <v>1990</v>
      </c>
      <c r="C655" s="6" t="s">
        <v>13</v>
      </c>
      <c r="D655" s="5" t="s">
        <v>1908</v>
      </c>
      <c r="E655" s="5" t="s">
        <v>585</v>
      </c>
      <c r="F655" s="5" t="s">
        <v>166</v>
      </c>
      <c r="G655" s="5" t="s">
        <v>44</v>
      </c>
      <c r="H655" s="5" t="s">
        <v>18</v>
      </c>
      <c r="I655" s="8" t="s">
        <v>1991</v>
      </c>
      <c r="J655" s="8" t="s">
        <v>13</v>
      </c>
    </row>
    <row r="656">
      <c r="A656" s="5" t="s">
        <v>1992</v>
      </c>
      <c r="B656" s="5" t="s">
        <v>1939</v>
      </c>
      <c r="C656" s="6" t="s">
        <v>13</v>
      </c>
      <c r="D656" s="5" t="s">
        <v>1908</v>
      </c>
      <c r="E656" s="5" t="s">
        <v>1993</v>
      </c>
      <c r="F656" s="5" t="s">
        <v>166</v>
      </c>
      <c r="G656" s="5" t="s">
        <v>44</v>
      </c>
      <c r="H656" s="5" t="s">
        <v>18</v>
      </c>
      <c r="I656" s="8" t="s">
        <v>1994</v>
      </c>
      <c r="J656" s="8" t="s">
        <v>13</v>
      </c>
    </row>
    <row r="657">
      <c r="A657" s="5" t="s">
        <v>1995</v>
      </c>
      <c r="B657" s="5" t="s">
        <v>1996</v>
      </c>
      <c r="C657" s="6" t="s">
        <v>13</v>
      </c>
      <c r="D657" s="5" t="s">
        <v>1908</v>
      </c>
      <c r="E657" s="5" t="s">
        <v>579</v>
      </c>
      <c r="F657" s="5" t="s">
        <v>166</v>
      </c>
      <c r="G657" s="5" t="s">
        <v>44</v>
      </c>
      <c r="H657" s="5" t="s">
        <v>18</v>
      </c>
      <c r="I657" s="8" t="s">
        <v>1997</v>
      </c>
      <c r="J657" s="8" t="s">
        <v>13</v>
      </c>
    </row>
    <row r="658">
      <c r="A658" s="5" t="s">
        <v>1998</v>
      </c>
      <c r="B658" s="5" t="s">
        <v>110</v>
      </c>
      <c r="C658" s="6" t="s">
        <v>13</v>
      </c>
      <c r="D658" s="5" t="s">
        <v>1908</v>
      </c>
      <c r="E658" s="5" t="s">
        <v>165</v>
      </c>
      <c r="F658" s="5" t="s">
        <v>166</v>
      </c>
      <c r="G658" s="5" t="s">
        <v>44</v>
      </c>
      <c r="H658" s="5" t="s">
        <v>18</v>
      </c>
      <c r="I658" s="7" t="s">
        <v>1999</v>
      </c>
      <c r="J658" s="8" t="s">
        <v>13</v>
      </c>
    </row>
    <row r="659">
      <c r="A659" s="5" t="s">
        <v>2000</v>
      </c>
      <c r="B659" s="5" t="s">
        <v>1996</v>
      </c>
      <c r="C659" s="6" t="s">
        <v>13</v>
      </c>
      <c r="D659" s="5" t="s">
        <v>1908</v>
      </c>
      <c r="E659" s="5" t="s">
        <v>84</v>
      </c>
      <c r="F659" s="5" t="s">
        <v>166</v>
      </c>
      <c r="G659" s="5" t="s">
        <v>44</v>
      </c>
      <c r="H659" s="5" t="s">
        <v>18</v>
      </c>
      <c r="I659" s="8" t="s">
        <v>2001</v>
      </c>
      <c r="J659" s="8" t="s">
        <v>13</v>
      </c>
    </row>
    <row r="660">
      <c r="A660" s="5" t="s">
        <v>2002</v>
      </c>
      <c r="B660" s="5" t="s">
        <v>110</v>
      </c>
      <c r="C660" s="6" t="s">
        <v>13</v>
      </c>
      <c r="D660" s="5" t="s">
        <v>1908</v>
      </c>
      <c r="E660" s="5" t="s">
        <v>179</v>
      </c>
      <c r="F660" s="5" t="s">
        <v>166</v>
      </c>
      <c r="G660" s="5" t="s">
        <v>44</v>
      </c>
      <c r="H660" s="5" t="s">
        <v>18</v>
      </c>
      <c r="I660" s="7" t="s">
        <v>2003</v>
      </c>
      <c r="J660" s="8" t="s">
        <v>13</v>
      </c>
    </row>
    <row r="661">
      <c r="A661" s="5" t="s">
        <v>2004</v>
      </c>
      <c r="B661" s="5" t="s">
        <v>110</v>
      </c>
      <c r="C661" s="6" t="s">
        <v>13</v>
      </c>
      <c r="D661" s="5" t="s">
        <v>1908</v>
      </c>
      <c r="E661" s="5" t="s">
        <v>125</v>
      </c>
      <c r="F661" s="5" t="s">
        <v>166</v>
      </c>
      <c r="G661" s="5" t="s">
        <v>44</v>
      </c>
      <c r="H661" s="5" t="s">
        <v>18</v>
      </c>
      <c r="I661" s="7" t="s">
        <v>2005</v>
      </c>
      <c r="J661" s="8" t="s">
        <v>13</v>
      </c>
    </row>
    <row r="662">
      <c r="A662" s="5" t="s">
        <v>2006</v>
      </c>
      <c r="B662" s="5" t="s">
        <v>110</v>
      </c>
      <c r="C662" s="6" t="s">
        <v>13</v>
      </c>
      <c r="D662" s="5" t="s">
        <v>1908</v>
      </c>
      <c r="E662" s="5" t="s">
        <v>179</v>
      </c>
      <c r="F662" s="5" t="s">
        <v>166</v>
      </c>
      <c r="G662" s="5" t="s">
        <v>44</v>
      </c>
      <c r="H662" s="5" t="s">
        <v>18</v>
      </c>
      <c r="I662" s="7" t="s">
        <v>2007</v>
      </c>
      <c r="J662" s="8" t="s">
        <v>13</v>
      </c>
    </row>
    <row r="663">
      <c r="A663" s="5" t="s">
        <v>2008</v>
      </c>
      <c r="B663" s="5" t="s">
        <v>2009</v>
      </c>
      <c r="C663" s="6" t="s">
        <v>13</v>
      </c>
      <c r="D663" s="5" t="s">
        <v>1908</v>
      </c>
      <c r="E663" s="5" t="s">
        <v>697</v>
      </c>
      <c r="F663" s="5" t="s">
        <v>166</v>
      </c>
      <c r="G663" s="5" t="s">
        <v>44</v>
      </c>
      <c r="H663" s="5" t="s">
        <v>18</v>
      </c>
      <c r="I663" s="7" t="s">
        <v>2010</v>
      </c>
      <c r="J663" s="8" t="s">
        <v>13</v>
      </c>
    </row>
    <row r="664">
      <c r="A664" s="5" t="s">
        <v>2011</v>
      </c>
      <c r="B664" s="5" t="s">
        <v>1939</v>
      </c>
      <c r="C664" s="6" t="s">
        <v>13</v>
      </c>
      <c r="D664" s="5" t="s">
        <v>1908</v>
      </c>
      <c r="E664" s="5" t="s">
        <v>1880</v>
      </c>
      <c r="F664" s="5" t="s">
        <v>166</v>
      </c>
      <c r="G664" s="5" t="s">
        <v>44</v>
      </c>
      <c r="H664" s="5" t="s">
        <v>18</v>
      </c>
      <c r="I664" s="8" t="s">
        <v>2012</v>
      </c>
      <c r="J664" s="8" t="s">
        <v>13</v>
      </c>
    </row>
    <row r="665">
      <c r="A665" s="5" t="s">
        <v>2013</v>
      </c>
      <c r="B665" s="5" t="s">
        <v>2014</v>
      </c>
      <c r="C665" s="6" t="s">
        <v>13</v>
      </c>
      <c r="D665" s="5" t="s">
        <v>1908</v>
      </c>
      <c r="E665" s="5" t="s">
        <v>84</v>
      </c>
      <c r="F665" s="5" t="s">
        <v>166</v>
      </c>
      <c r="G665" s="5" t="s">
        <v>44</v>
      </c>
      <c r="H665" s="5" t="s">
        <v>18</v>
      </c>
      <c r="I665" s="8" t="s">
        <v>2015</v>
      </c>
      <c r="J665" s="8" t="s">
        <v>13</v>
      </c>
    </row>
    <row r="666">
      <c r="A666" s="5" t="s">
        <v>2016</v>
      </c>
      <c r="B666" s="5" t="s">
        <v>2017</v>
      </c>
      <c r="C666" s="6" t="s">
        <v>13</v>
      </c>
      <c r="D666" s="5" t="s">
        <v>1908</v>
      </c>
      <c r="E666" s="5" t="s">
        <v>694</v>
      </c>
      <c r="F666" s="5" t="s">
        <v>166</v>
      </c>
      <c r="G666" s="5" t="s">
        <v>44</v>
      </c>
      <c r="H666" s="5" t="s">
        <v>18</v>
      </c>
      <c r="I666" s="8" t="s">
        <v>2018</v>
      </c>
      <c r="J666" s="8" t="s">
        <v>13</v>
      </c>
    </row>
    <row r="667">
      <c r="A667" s="5" t="s">
        <v>2019</v>
      </c>
      <c r="B667" s="5" t="s">
        <v>2020</v>
      </c>
      <c r="C667" s="6" t="s">
        <v>13</v>
      </c>
      <c r="D667" s="5" t="s">
        <v>1908</v>
      </c>
      <c r="E667" s="5" t="s">
        <v>331</v>
      </c>
      <c r="F667" s="5" t="s">
        <v>166</v>
      </c>
      <c r="G667" s="5" t="s">
        <v>44</v>
      </c>
      <c r="H667" s="5" t="s">
        <v>18</v>
      </c>
      <c r="I667" s="7" t="s">
        <v>2021</v>
      </c>
      <c r="J667" s="8" t="s">
        <v>13</v>
      </c>
    </row>
    <row r="668">
      <c r="A668" s="5" t="s">
        <v>2022</v>
      </c>
      <c r="B668" s="5" t="s">
        <v>110</v>
      </c>
      <c r="C668" s="6" t="s">
        <v>13</v>
      </c>
      <c r="D668" s="5" t="s">
        <v>1908</v>
      </c>
      <c r="E668" s="5" t="s">
        <v>716</v>
      </c>
      <c r="F668" s="5" t="s">
        <v>166</v>
      </c>
      <c r="G668" s="5" t="s">
        <v>44</v>
      </c>
      <c r="H668" s="5" t="s">
        <v>18</v>
      </c>
      <c r="I668" s="7" t="s">
        <v>2023</v>
      </c>
      <c r="J668" s="8" t="s">
        <v>13</v>
      </c>
    </row>
    <row r="669">
      <c r="A669" s="5" t="s">
        <v>2024</v>
      </c>
      <c r="B669" s="5" t="s">
        <v>110</v>
      </c>
      <c r="C669" s="6" t="s">
        <v>13</v>
      </c>
      <c r="D669" s="5" t="s">
        <v>1908</v>
      </c>
      <c r="E669" s="5" t="s">
        <v>1538</v>
      </c>
      <c r="F669" s="5" t="s">
        <v>166</v>
      </c>
      <c r="G669" s="5" t="s">
        <v>44</v>
      </c>
      <c r="H669" s="5" t="s">
        <v>18</v>
      </c>
      <c r="I669" s="7" t="s">
        <v>2025</v>
      </c>
      <c r="J669" s="8" t="s">
        <v>13</v>
      </c>
    </row>
    <row r="670">
      <c r="A670" s="5" t="s">
        <v>2026</v>
      </c>
      <c r="B670" s="5" t="s">
        <v>110</v>
      </c>
      <c r="C670" s="6" t="s">
        <v>13</v>
      </c>
      <c r="D670" s="5" t="s">
        <v>1908</v>
      </c>
      <c r="E670" s="5" t="s">
        <v>526</v>
      </c>
      <c r="F670" s="5" t="s">
        <v>166</v>
      </c>
      <c r="G670" s="5" t="s">
        <v>44</v>
      </c>
      <c r="H670" s="5" t="s">
        <v>18</v>
      </c>
      <c r="I670" s="7" t="s">
        <v>2027</v>
      </c>
      <c r="J670" s="8" t="s">
        <v>13</v>
      </c>
    </row>
    <row r="671">
      <c r="A671" s="5" t="s">
        <v>2028</v>
      </c>
      <c r="B671" s="5" t="s">
        <v>2029</v>
      </c>
      <c r="C671" s="6" t="s">
        <v>13</v>
      </c>
      <c r="D671" s="5" t="s">
        <v>1908</v>
      </c>
      <c r="E671" s="5" t="s">
        <v>15</v>
      </c>
      <c r="F671" s="5" t="s">
        <v>169</v>
      </c>
      <c r="G671" s="5" t="s">
        <v>44</v>
      </c>
      <c r="H671" s="5" t="s">
        <v>18</v>
      </c>
      <c r="I671" s="7" t="s">
        <v>2030</v>
      </c>
      <c r="J671" s="8" t="s">
        <v>13</v>
      </c>
    </row>
    <row r="672">
      <c r="A672" s="5" t="s">
        <v>2031</v>
      </c>
      <c r="B672" s="5" t="s">
        <v>110</v>
      </c>
      <c r="C672" s="6" t="s">
        <v>13</v>
      </c>
      <c r="D672" s="5" t="s">
        <v>1908</v>
      </c>
      <c r="E672" s="5" t="s">
        <v>2032</v>
      </c>
      <c r="F672" s="5" t="s">
        <v>169</v>
      </c>
      <c r="G672" s="5" t="s">
        <v>44</v>
      </c>
      <c r="H672" s="5" t="s">
        <v>18</v>
      </c>
      <c r="I672" s="7" t="s">
        <v>2033</v>
      </c>
      <c r="J672" s="8" t="s">
        <v>13</v>
      </c>
    </row>
    <row r="673">
      <c r="A673" s="5" t="s">
        <v>2034</v>
      </c>
      <c r="B673" s="5" t="s">
        <v>110</v>
      </c>
      <c r="C673" s="6" t="s">
        <v>13</v>
      </c>
      <c r="D673" s="5" t="s">
        <v>1908</v>
      </c>
      <c r="E673" s="5" t="s">
        <v>2035</v>
      </c>
      <c r="F673" s="5" t="s">
        <v>169</v>
      </c>
      <c r="G673" s="5" t="s">
        <v>44</v>
      </c>
      <c r="H673" s="5" t="s">
        <v>18</v>
      </c>
      <c r="I673" s="7" t="s">
        <v>2036</v>
      </c>
      <c r="J673" s="8" t="s">
        <v>13</v>
      </c>
    </row>
    <row r="674">
      <c r="A674" s="5" t="s">
        <v>2037</v>
      </c>
      <c r="B674" s="5" t="s">
        <v>110</v>
      </c>
      <c r="C674" s="6" t="s">
        <v>13</v>
      </c>
      <c r="D674" s="5" t="s">
        <v>1908</v>
      </c>
      <c r="E674" s="5" t="s">
        <v>2035</v>
      </c>
      <c r="F674" s="5" t="s">
        <v>169</v>
      </c>
      <c r="G674" s="5" t="s">
        <v>44</v>
      </c>
      <c r="H674" s="5" t="s">
        <v>18</v>
      </c>
      <c r="I674" s="7" t="s">
        <v>2038</v>
      </c>
      <c r="J674" s="8" t="s">
        <v>13</v>
      </c>
    </row>
    <row r="675">
      <c r="A675" s="5" t="s">
        <v>2039</v>
      </c>
      <c r="B675" s="5" t="s">
        <v>110</v>
      </c>
      <c r="C675" s="6" t="s">
        <v>13</v>
      </c>
      <c r="D675" s="5" t="s">
        <v>1908</v>
      </c>
      <c r="E675" s="5" t="s">
        <v>331</v>
      </c>
      <c r="F675" s="5" t="s">
        <v>169</v>
      </c>
      <c r="G675" s="5" t="s">
        <v>44</v>
      </c>
      <c r="H675" s="5" t="s">
        <v>18</v>
      </c>
      <c r="I675" s="7" t="s">
        <v>2040</v>
      </c>
      <c r="J675" s="8" t="s">
        <v>13</v>
      </c>
    </row>
    <row r="676">
      <c r="A676" s="5" t="s">
        <v>2041</v>
      </c>
      <c r="B676" s="5" t="s">
        <v>110</v>
      </c>
      <c r="C676" s="6" t="s">
        <v>13</v>
      </c>
      <c r="D676" s="5" t="s">
        <v>1908</v>
      </c>
      <c r="E676" s="5" t="s">
        <v>42</v>
      </c>
      <c r="F676" s="5" t="s">
        <v>2042</v>
      </c>
      <c r="G676" s="5" t="s">
        <v>44</v>
      </c>
      <c r="H676" s="5" t="s">
        <v>18</v>
      </c>
      <c r="I676" s="7" t="s">
        <v>2043</v>
      </c>
      <c r="J676" s="8" t="s">
        <v>13</v>
      </c>
    </row>
    <row r="677">
      <c r="A677" s="5" t="s">
        <v>2044</v>
      </c>
      <c r="B677" s="5" t="s">
        <v>1985</v>
      </c>
      <c r="C677" s="6" t="s">
        <v>13</v>
      </c>
      <c r="D677" s="5" t="s">
        <v>1908</v>
      </c>
      <c r="E677" s="5" t="s">
        <v>213</v>
      </c>
      <c r="F677" s="5" t="s">
        <v>485</v>
      </c>
      <c r="G677" s="5" t="s">
        <v>44</v>
      </c>
      <c r="H677" s="5" t="s">
        <v>18</v>
      </c>
      <c r="I677" s="8" t="s">
        <v>2045</v>
      </c>
      <c r="J677" s="8" t="s">
        <v>13</v>
      </c>
    </row>
    <row r="678">
      <c r="A678" s="5" t="s">
        <v>2046</v>
      </c>
      <c r="B678" s="5" t="s">
        <v>1945</v>
      </c>
      <c r="C678" s="6" t="s">
        <v>13</v>
      </c>
      <c r="D678" s="5" t="s">
        <v>1908</v>
      </c>
      <c r="E678" s="5" t="s">
        <v>512</v>
      </c>
      <c r="F678" s="5" t="s">
        <v>2047</v>
      </c>
      <c r="G678" s="5" t="s">
        <v>44</v>
      </c>
      <c r="H678" s="5" t="s">
        <v>18</v>
      </c>
      <c r="I678" s="8" t="s">
        <v>2048</v>
      </c>
      <c r="J678" s="8" t="s">
        <v>13</v>
      </c>
    </row>
    <row r="679">
      <c r="A679" s="5" t="s">
        <v>2049</v>
      </c>
      <c r="B679" s="5" t="s">
        <v>110</v>
      </c>
      <c r="C679" s="6" t="s">
        <v>13</v>
      </c>
      <c r="D679" s="5" t="s">
        <v>1908</v>
      </c>
      <c r="E679" s="5" t="s">
        <v>712</v>
      </c>
      <c r="F679" s="5" t="s">
        <v>2047</v>
      </c>
      <c r="G679" s="5" t="s">
        <v>44</v>
      </c>
      <c r="H679" s="5" t="s">
        <v>18</v>
      </c>
      <c r="I679" s="7" t="s">
        <v>2050</v>
      </c>
      <c r="J679" s="8" t="s">
        <v>13</v>
      </c>
    </row>
    <row r="680">
      <c r="A680" s="5" t="s">
        <v>2051</v>
      </c>
      <c r="B680" s="5" t="s">
        <v>2052</v>
      </c>
      <c r="C680" s="6" t="s">
        <v>13</v>
      </c>
      <c r="D680" s="5" t="s">
        <v>1908</v>
      </c>
      <c r="E680" s="5" t="s">
        <v>512</v>
      </c>
      <c r="F680" s="5" t="s">
        <v>311</v>
      </c>
      <c r="G680" s="5" t="s">
        <v>102</v>
      </c>
      <c r="H680" s="5" t="s">
        <v>18</v>
      </c>
      <c r="I680" s="7" t="s">
        <v>2053</v>
      </c>
      <c r="J680" s="8" t="s">
        <v>13</v>
      </c>
    </row>
    <row r="681">
      <c r="A681" s="5" t="s">
        <v>2054</v>
      </c>
      <c r="B681" s="5" t="s">
        <v>110</v>
      </c>
      <c r="C681" s="6" t="s">
        <v>13</v>
      </c>
      <c r="D681" s="5" t="s">
        <v>1908</v>
      </c>
      <c r="E681" s="5" t="s">
        <v>15</v>
      </c>
      <c r="F681" s="5" t="s">
        <v>311</v>
      </c>
      <c r="G681" s="5" t="s">
        <v>102</v>
      </c>
      <c r="H681" s="5" t="s">
        <v>18</v>
      </c>
      <c r="I681" s="7" t="s">
        <v>2055</v>
      </c>
      <c r="J681" s="8" t="s">
        <v>13</v>
      </c>
    </row>
    <row r="682">
      <c r="A682" s="5" t="s">
        <v>2056</v>
      </c>
      <c r="B682" s="5" t="s">
        <v>2057</v>
      </c>
      <c r="C682" s="6" t="s">
        <v>13</v>
      </c>
      <c r="D682" s="5" t="s">
        <v>1908</v>
      </c>
      <c r="E682" s="5" t="s">
        <v>136</v>
      </c>
      <c r="F682" s="5" t="s">
        <v>311</v>
      </c>
      <c r="G682" s="5" t="s">
        <v>102</v>
      </c>
      <c r="H682" s="5" t="s">
        <v>18</v>
      </c>
      <c r="I682" s="8" t="s">
        <v>2058</v>
      </c>
      <c r="J682" s="8" t="s">
        <v>13</v>
      </c>
    </row>
    <row r="683">
      <c r="A683" s="5" t="s">
        <v>2059</v>
      </c>
      <c r="B683" s="5" t="s">
        <v>2060</v>
      </c>
      <c r="C683" s="6" t="s">
        <v>13</v>
      </c>
      <c r="D683" s="5" t="s">
        <v>1908</v>
      </c>
      <c r="E683" s="5" t="s">
        <v>182</v>
      </c>
      <c r="F683" s="5" t="s">
        <v>311</v>
      </c>
      <c r="G683" s="5" t="s">
        <v>102</v>
      </c>
      <c r="H683" s="5" t="s">
        <v>18</v>
      </c>
      <c r="I683" s="7" t="s">
        <v>2061</v>
      </c>
      <c r="J683" s="8" t="s">
        <v>13</v>
      </c>
    </row>
    <row r="684">
      <c r="A684" s="5" t="s">
        <v>2062</v>
      </c>
      <c r="B684" s="5" t="s">
        <v>110</v>
      </c>
      <c r="C684" s="6" t="s">
        <v>13</v>
      </c>
      <c r="D684" s="5" t="s">
        <v>1908</v>
      </c>
      <c r="E684" s="5" t="s">
        <v>418</v>
      </c>
      <c r="F684" s="5" t="s">
        <v>311</v>
      </c>
      <c r="G684" s="5" t="s">
        <v>102</v>
      </c>
      <c r="H684" s="5" t="s">
        <v>18</v>
      </c>
      <c r="I684" s="7" t="s">
        <v>2063</v>
      </c>
      <c r="J684" s="8" t="s">
        <v>13</v>
      </c>
    </row>
    <row r="685">
      <c r="A685" s="5" t="s">
        <v>2064</v>
      </c>
      <c r="B685" s="5" t="s">
        <v>2065</v>
      </c>
      <c r="C685" s="6" t="s">
        <v>13</v>
      </c>
      <c r="D685" s="5" t="s">
        <v>1908</v>
      </c>
      <c r="E685" s="5" t="s">
        <v>207</v>
      </c>
      <c r="F685" s="5" t="s">
        <v>311</v>
      </c>
      <c r="G685" s="5" t="s">
        <v>102</v>
      </c>
      <c r="H685" s="5" t="s">
        <v>18</v>
      </c>
      <c r="I685" s="8" t="s">
        <v>2066</v>
      </c>
      <c r="J685" s="8" t="s">
        <v>13</v>
      </c>
    </row>
    <row r="686">
      <c r="A686" s="5" t="s">
        <v>2067</v>
      </c>
      <c r="B686" s="5" t="s">
        <v>2068</v>
      </c>
      <c r="C686" s="6" t="s">
        <v>13</v>
      </c>
      <c r="D686" s="5" t="s">
        <v>1908</v>
      </c>
      <c r="E686" s="5" t="s">
        <v>399</v>
      </c>
      <c r="F686" s="5" t="s">
        <v>311</v>
      </c>
      <c r="G686" s="5" t="s">
        <v>102</v>
      </c>
      <c r="H686" s="5" t="s">
        <v>18</v>
      </c>
      <c r="I686" s="7" t="s">
        <v>2069</v>
      </c>
      <c r="J686" s="8" t="s">
        <v>13</v>
      </c>
    </row>
    <row r="687">
      <c r="A687" s="5" t="s">
        <v>2070</v>
      </c>
      <c r="B687" s="5" t="s">
        <v>2057</v>
      </c>
      <c r="C687" s="6" t="s">
        <v>13</v>
      </c>
      <c r="D687" s="5" t="s">
        <v>1908</v>
      </c>
      <c r="E687" s="5" t="s">
        <v>651</v>
      </c>
      <c r="F687" s="5" t="s">
        <v>311</v>
      </c>
      <c r="G687" s="5" t="s">
        <v>102</v>
      </c>
      <c r="H687" s="5" t="s">
        <v>18</v>
      </c>
      <c r="I687" s="8" t="s">
        <v>2071</v>
      </c>
      <c r="J687" s="8" t="s">
        <v>13</v>
      </c>
    </row>
    <row r="688">
      <c r="A688" s="5" t="s">
        <v>2072</v>
      </c>
      <c r="B688" s="5" t="s">
        <v>110</v>
      </c>
      <c r="C688" s="6" t="s">
        <v>13</v>
      </c>
      <c r="D688" s="5" t="s">
        <v>1908</v>
      </c>
      <c r="E688" s="5" t="s">
        <v>331</v>
      </c>
      <c r="F688" s="5" t="s">
        <v>311</v>
      </c>
      <c r="G688" s="5" t="s">
        <v>102</v>
      </c>
      <c r="H688" s="5" t="s">
        <v>18</v>
      </c>
      <c r="I688" s="7" t="s">
        <v>2073</v>
      </c>
      <c r="J688" s="8" t="s">
        <v>13</v>
      </c>
    </row>
    <row r="689">
      <c r="A689" s="5" t="s">
        <v>2074</v>
      </c>
      <c r="B689" s="5" t="s">
        <v>2075</v>
      </c>
      <c r="C689" s="6" t="s">
        <v>13</v>
      </c>
      <c r="D689" s="5" t="s">
        <v>1908</v>
      </c>
      <c r="E689" s="5" t="s">
        <v>446</v>
      </c>
      <c r="F689" s="5" t="s">
        <v>311</v>
      </c>
      <c r="G689" s="5" t="s">
        <v>102</v>
      </c>
      <c r="H689" s="5" t="s">
        <v>18</v>
      </c>
      <c r="I689" s="8" t="s">
        <v>2076</v>
      </c>
      <c r="J689" s="8" t="s">
        <v>13</v>
      </c>
    </row>
    <row r="690">
      <c r="A690" s="5" t="s">
        <v>2077</v>
      </c>
      <c r="B690" s="5" t="s">
        <v>110</v>
      </c>
      <c r="C690" s="6" t="s">
        <v>13</v>
      </c>
      <c r="D690" s="5" t="s">
        <v>1908</v>
      </c>
      <c r="E690" s="5" t="s">
        <v>179</v>
      </c>
      <c r="F690" s="5" t="s">
        <v>468</v>
      </c>
      <c r="G690" s="5" t="s">
        <v>44</v>
      </c>
      <c r="H690" s="5" t="s">
        <v>18</v>
      </c>
      <c r="I690" s="7" t="s">
        <v>2078</v>
      </c>
      <c r="J690" s="8" t="s">
        <v>13</v>
      </c>
    </row>
    <row r="691">
      <c r="A691" s="5" t="s">
        <v>2079</v>
      </c>
      <c r="B691" s="5" t="s">
        <v>110</v>
      </c>
      <c r="C691" s="6" t="s">
        <v>13</v>
      </c>
      <c r="D691" s="5" t="s">
        <v>1908</v>
      </c>
      <c r="E691" s="5" t="s">
        <v>661</v>
      </c>
      <c r="F691" s="5" t="s">
        <v>468</v>
      </c>
      <c r="G691" s="5" t="s">
        <v>44</v>
      </c>
      <c r="H691" s="5" t="s">
        <v>18</v>
      </c>
      <c r="I691" s="7" t="s">
        <v>2080</v>
      </c>
      <c r="J691" s="8" t="s">
        <v>13</v>
      </c>
    </row>
    <row r="692">
      <c r="A692" s="5" t="s">
        <v>2081</v>
      </c>
      <c r="B692" s="5" t="s">
        <v>110</v>
      </c>
      <c r="C692" s="6" t="s">
        <v>13</v>
      </c>
      <c r="D692" s="5" t="s">
        <v>1908</v>
      </c>
      <c r="E692" s="5" t="s">
        <v>1321</v>
      </c>
      <c r="F692" s="5" t="s">
        <v>1135</v>
      </c>
      <c r="G692" s="5" t="s">
        <v>44</v>
      </c>
      <c r="H692" s="5" t="s">
        <v>18</v>
      </c>
      <c r="I692" s="7" t="s">
        <v>2082</v>
      </c>
      <c r="J692" s="8" t="s">
        <v>13</v>
      </c>
    </row>
    <row r="693">
      <c r="A693" s="5" t="s">
        <v>2083</v>
      </c>
      <c r="B693" s="5" t="s">
        <v>2084</v>
      </c>
      <c r="C693" s="6" t="s">
        <v>13</v>
      </c>
      <c r="D693" s="5" t="s">
        <v>2085</v>
      </c>
      <c r="E693" s="5" t="s">
        <v>579</v>
      </c>
      <c r="F693" s="5" t="s">
        <v>2086</v>
      </c>
      <c r="G693" s="5" t="s">
        <v>91</v>
      </c>
      <c r="H693" s="5" t="s">
        <v>18</v>
      </c>
      <c r="I693" s="7" t="s">
        <v>2087</v>
      </c>
      <c r="J693" s="8" t="s">
        <v>13</v>
      </c>
    </row>
    <row r="694">
      <c r="A694" s="5" t="s">
        <v>2088</v>
      </c>
      <c r="B694" s="5" t="s">
        <v>25</v>
      </c>
      <c r="C694" s="6" t="s">
        <v>13</v>
      </c>
      <c r="D694" s="5" t="s">
        <v>2085</v>
      </c>
      <c r="E694" s="5" t="s">
        <v>2089</v>
      </c>
      <c r="F694" s="5" t="s">
        <v>2086</v>
      </c>
      <c r="G694" s="5" t="s">
        <v>91</v>
      </c>
      <c r="H694" s="5" t="s">
        <v>18</v>
      </c>
      <c r="I694" s="7" t="s">
        <v>2090</v>
      </c>
      <c r="J694" s="8" t="s">
        <v>13</v>
      </c>
    </row>
    <row r="695">
      <c r="A695" s="5" t="s">
        <v>2091</v>
      </c>
      <c r="B695" s="5" t="s">
        <v>2092</v>
      </c>
      <c r="C695" s="6" t="s">
        <v>13</v>
      </c>
      <c r="D695" s="5" t="s">
        <v>2085</v>
      </c>
      <c r="E695" s="5" t="s">
        <v>345</v>
      </c>
      <c r="F695" s="5" t="s">
        <v>90</v>
      </c>
      <c r="G695" s="5" t="s">
        <v>91</v>
      </c>
      <c r="H695" s="5" t="s">
        <v>18</v>
      </c>
      <c r="I695" s="7" t="s">
        <v>2093</v>
      </c>
      <c r="J695" s="8" t="s">
        <v>13</v>
      </c>
    </row>
    <row r="696">
      <c r="A696" s="5" t="s">
        <v>2094</v>
      </c>
      <c r="B696" s="5" t="s">
        <v>2095</v>
      </c>
      <c r="C696" s="6" t="s">
        <v>13</v>
      </c>
      <c r="D696" s="5" t="s">
        <v>2085</v>
      </c>
      <c r="E696" s="5" t="s">
        <v>22</v>
      </c>
      <c r="F696" s="5" t="s">
        <v>2096</v>
      </c>
      <c r="G696" s="5" t="s">
        <v>91</v>
      </c>
      <c r="H696" s="5" t="s">
        <v>18</v>
      </c>
      <c r="I696" s="7" t="s">
        <v>2097</v>
      </c>
      <c r="J696" s="8" t="s">
        <v>13</v>
      </c>
    </row>
    <row r="697">
      <c r="A697" s="5" t="s">
        <v>2098</v>
      </c>
      <c r="B697" s="5" t="s">
        <v>110</v>
      </c>
      <c r="C697" s="6" t="s">
        <v>13</v>
      </c>
      <c r="D697" s="5" t="s">
        <v>2099</v>
      </c>
      <c r="E697" s="5" t="s">
        <v>496</v>
      </c>
      <c r="F697" s="5" t="s">
        <v>2100</v>
      </c>
      <c r="G697" s="5" t="s">
        <v>264</v>
      </c>
      <c r="H697" s="5" t="s">
        <v>18</v>
      </c>
      <c r="I697" s="8" t="s">
        <v>2101</v>
      </c>
      <c r="J697" s="8" t="s">
        <v>13</v>
      </c>
    </row>
    <row r="698">
      <c r="A698" s="5" t="s">
        <v>2102</v>
      </c>
      <c r="B698" s="5" t="s">
        <v>404</v>
      </c>
      <c r="C698" s="6" t="s">
        <v>13</v>
      </c>
      <c r="D698" s="5" t="s">
        <v>2099</v>
      </c>
      <c r="E698" s="5" t="s">
        <v>354</v>
      </c>
      <c r="F698" s="5" t="s">
        <v>2103</v>
      </c>
      <c r="G698" s="5" t="s">
        <v>962</v>
      </c>
      <c r="H698" s="5" t="s">
        <v>18</v>
      </c>
      <c r="I698" s="7" t="s">
        <v>2104</v>
      </c>
      <c r="J698" s="8" t="s">
        <v>13</v>
      </c>
    </row>
    <row r="699">
      <c r="A699" s="5" t="s">
        <v>2105</v>
      </c>
      <c r="B699" s="5" t="s">
        <v>404</v>
      </c>
      <c r="C699" s="6" t="s">
        <v>13</v>
      </c>
      <c r="D699" s="5" t="s">
        <v>2099</v>
      </c>
      <c r="E699" s="5" t="s">
        <v>136</v>
      </c>
      <c r="F699" s="5" t="s">
        <v>2100</v>
      </c>
      <c r="G699" s="5" t="s">
        <v>264</v>
      </c>
      <c r="H699" s="5" t="s">
        <v>18</v>
      </c>
      <c r="I699" s="7" t="s">
        <v>2106</v>
      </c>
      <c r="J699" s="8" t="s">
        <v>13</v>
      </c>
    </row>
    <row r="700">
      <c r="A700" s="5" t="s">
        <v>2107</v>
      </c>
      <c r="B700" s="5" t="s">
        <v>404</v>
      </c>
      <c r="C700" s="6" t="s">
        <v>13</v>
      </c>
      <c r="D700" s="5" t="s">
        <v>2099</v>
      </c>
      <c r="E700" s="5" t="s">
        <v>100</v>
      </c>
      <c r="F700" s="5" t="s">
        <v>2100</v>
      </c>
      <c r="G700" s="5" t="s">
        <v>264</v>
      </c>
      <c r="H700" s="5" t="s">
        <v>18</v>
      </c>
      <c r="I700" s="7" t="s">
        <v>2108</v>
      </c>
      <c r="J700" s="8" t="s">
        <v>13</v>
      </c>
    </row>
    <row r="701">
      <c r="A701" s="5" t="s">
        <v>2109</v>
      </c>
      <c r="B701" s="5" t="s">
        <v>404</v>
      </c>
      <c r="C701" s="6" t="s">
        <v>13</v>
      </c>
      <c r="D701" s="5" t="s">
        <v>2099</v>
      </c>
      <c r="E701" s="5" t="s">
        <v>217</v>
      </c>
      <c r="F701" s="5" t="s">
        <v>2110</v>
      </c>
      <c r="G701" s="5" t="s">
        <v>962</v>
      </c>
      <c r="H701" s="5" t="s">
        <v>18</v>
      </c>
      <c r="I701" s="8" t="s">
        <v>2111</v>
      </c>
      <c r="J701" s="8" t="s">
        <v>13</v>
      </c>
    </row>
    <row r="702">
      <c r="A702" s="5" t="s">
        <v>2112</v>
      </c>
      <c r="B702" s="5" t="s">
        <v>404</v>
      </c>
      <c r="C702" s="6" t="s">
        <v>13</v>
      </c>
      <c r="D702" s="5" t="s">
        <v>2099</v>
      </c>
      <c r="E702" s="5" t="s">
        <v>2035</v>
      </c>
      <c r="F702" s="5" t="s">
        <v>2113</v>
      </c>
      <c r="G702" s="5" t="s">
        <v>102</v>
      </c>
      <c r="H702" s="5" t="s">
        <v>18</v>
      </c>
      <c r="I702" s="7" t="s">
        <v>2114</v>
      </c>
      <c r="J702" s="8" t="s">
        <v>13</v>
      </c>
    </row>
    <row r="703">
      <c r="A703" s="5" t="s">
        <v>2115</v>
      </c>
      <c r="B703" s="5" t="s">
        <v>2116</v>
      </c>
      <c r="C703" s="6" t="s">
        <v>13</v>
      </c>
      <c r="D703" s="5" t="s">
        <v>2117</v>
      </c>
      <c r="E703" s="5" t="s">
        <v>192</v>
      </c>
      <c r="F703" s="5" t="s">
        <v>16</v>
      </c>
      <c r="G703" s="5" t="s">
        <v>17</v>
      </c>
      <c r="H703" s="5" t="s">
        <v>18</v>
      </c>
      <c r="I703" s="7" t="s">
        <v>2118</v>
      </c>
      <c r="J703" s="8" t="s">
        <v>13</v>
      </c>
    </row>
    <row r="704">
      <c r="A704" s="5" t="s">
        <v>2119</v>
      </c>
      <c r="B704" s="5" t="s">
        <v>25</v>
      </c>
      <c r="C704" s="6" t="s">
        <v>13</v>
      </c>
      <c r="D704" s="5" t="s">
        <v>2117</v>
      </c>
      <c r="E704" s="5" t="s">
        <v>2120</v>
      </c>
      <c r="F704" s="5" t="s">
        <v>16</v>
      </c>
      <c r="G704" s="5" t="s">
        <v>17</v>
      </c>
      <c r="H704" s="5" t="s">
        <v>18</v>
      </c>
      <c r="I704" s="7" t="s">
        <v>2121</v>
      </c>
      <c r="J704" s="8" t="s">
        <v>13</v>
      </c>
    </row>
    <row r="705">
      <c r="A705" s="5" t="s">
        <v>2122</v>
      </c>
      <c r="B705" s="5" t="s">
        <v>766</v>
      </c>
      <c r="C705" s="6" t="s">
        <v>13</v>
      </c>
      <c r="D705" s="5" t="s">
        <v>2117</v>
      </c>
      <c r="E705" s="5" t="s">
        <v>496</v>
      </c>
      <c r="F705" s="5" t="s">
        <v>37</v>
      </c>
      <c r="G705" s="5" t="s">
        <v>38</v>
      </c>
      <c r="H705" s="5" t="s">
        <v>18</v>
      </c>
      <c r="I705" s="7" t="s">
        <v>2123</v>
      </c>
      <c r="J705" s="8" t="s">
        <v>13</v>
      </c>
    </row>
    <row r="706">
      <c r="A706" s="5" t="s">
        <v>2124</v>
      </c>
      <c r="B706" s="5" t="s">
        <v>2125</v>
      </c>
      <c r="C706" s="6" t="s">
        <v>13</v>
      </c>
      <c r="D706" s="5" t="s">
        <v>2117</v>
      </c>
      <c r="E706" s="5" t="s">
        <v>26</v>
      </c>
      <c r="F706" s="5" t="s">
        <v>2126</v>
      </c>
      <c r="G706" s="5" t="s">
        <v>203</v>
      </c>
      <c r="H706" s="5" t="s">
        <v>18</v>
      </c>
      <c r="I706" s="8" t="s">
        <v>2127</v>
      </c>
      <c r="J706" s="8" t="s">
        <v>13</v>
      </c>
    </row>
    <row r="707">
      <c r="A707" s="5" t="s">
        <v>2128</v>
      </c>
      <c r="B707" s="5" t="s">
        <v>110</v>
      </c>
      <c r="C707" s="6" t="s">
        <v>13</v>
      </c>
      <c r="D707" s="5" t="s">
        <v>2117</v>
      </c>
      <c r="E707" s="5" t="s">
        <v>15</v>
      </c>
      <c r="F707" s="5" t="s">
        <v>49</v>
      </c>
      <c r="G707" s="5" t="s">
        <v>50</v>
      </c>
      <c r="H707" s="5" t="s">
        <v>18</v>
      </c>
      <c r="I707" s="7" t="s">
        <v>2129</v>
      </c>
      <c r="J707" s="8" t="s">
        <v>13</v>
      </c>
    </row>
    <row r="708">
      <c r="A708" s="5" t="s">
        <v>2130</v>
      </c>
      <c r="B708" s="5" t="s">
        <v>952</v>
      </c>
      <c r="C708" s="6" t="s">
        <v>13</v>
      </c>
      <c r="D708" s="5" t="s">
        <v>2117</v>
      </c>
      <c r="E708" s="5" t="s">
        <v>268</v>
      </c>
      <c r="F708" s="5" t="s">
        <v>49</v>
      </c>
      <c r="G708" s="5" t="s">
        <v>50</v>
      </c>
      <c r="H708" s="5" t="s">
        <v>18</v>
      </c>
      <c r="I708" s="7" t="s">
        <v>2131</v>
      </c>
      <c r="J708" s="8" t="s">
        <v>13</v>
      </c>
    </row>
    <row r="709">
      <c r="A709" s="5" t="s">
        <v>2132</v>
      </c>
      <c r="B709" s="5" t="s">
        <v>2133</v>
      </c>
      <c r="C709" s="6" t="s">
        <v>4</v>
      </c>
      <c r="D709" s="5" t="s">
        <v>2117</v>
      </c>
      <c r="E709" s="5" t="s">
        <v>48</v>
      </c>
      <c r="F709" s="5" t="s">
        <v>64</v>
      </c>
      <c r="G709" s="5" t="s">
        <v>65</v>
      </c>
      <c r="H709" s="5" t="s">
        <v>18</v>
      </c>
      <c r="I709" s="7" t="s">
        <v>2134</v>
      </c>
      <c r="J709" s="8" t="s">
        <v>13</v>
      </c>
    </row>
    <row r="710">
      <c r="A710" s="5" t="s">
        <v>2135</v>
      </c>
      <c r="B710" s="5" t="s">
        <v>25</v>
      </c>
      <c r="C710" s="6" t="s">
        <v>13</v>
      </c>
      <c r="D710" s="5" t="s">
        <v>2117</v>
      </c>
      <c r="E710" s="5" t="s">
        <v>283</v>
      </c>
      <c r="F710" s="5" t="s">
        <v>635</v>
      </c>
      <c r="G710" s="5" t="s">
        <v>76</v>
      </c>
      <c r="H710" s="5" t="s">
        <v>18</v>
      </c>
      <c r="I710" s="7" t="s">
        <v>2136</v>
      </c>
      <c r="J710" s="8" t="s">
        <v>13</v>
      </c>
    </row>
    <row r="711">
      <c r="A711" s="5" t="s">
        <v>2137</v>
      </c>
      <c r="B711" s="5" t="s">
        <v>110</v>
      </c>
      <c r="C711" s="6" t="s">
        <v>13</v>
      </c>
      <c r="D711" s="5" t="s">
        <v>2117</v>
      </c>
      <c r="E711" s="5" t="s">
        <v>106</v>
      </c>
      <c r="F711" s="5" t="s">
        <v>80</v>
      </c>
      <c r="G711" s="5" t="s">
        <v>38</v>
      </c>
      <c r="H711" s="5" t="s">
        <v>18</v>
      </c>
      <c r="I711" s="7" t="s">
        <v>2138</v>
      </c>
      <c r="J711" s="8" t="s">
        <v>13</v>
      </c>
    </row>
    <row r="712">
      <c r="A712" s="5" t="s">
        <v>2139</v>
      </c>
      <c r="B712" s="5" t="s">
        <v>2140</v>
      </c>
      <c r="C712" s="6" t="s">
        <v>13</v>
      </c>
      <c r="D712" s="5" t="s">
        <v>2117</v>
      </c>
      <c r="E712" s="5" t="s">
        <v>712</v>
      </c>
      <c r="F712" s="5" t="s">
        <v>2141</v>
      </c>
      <c r="G712" s="5" t="s">
        <v>50</v>
      </c>
      <c r="H712" s="5" t="s">
        <v>18</v>
      </c>
      <c r="I712" s="8" t="s">
        <v>2142</v>
      </c>
      <c r="J712" s="8" t="s">
        <v>13</v>
      </c>
    </row>
    <row r="713">
      <c r="A713" s="5" t="s">
        <v>2139</v>
      </c>
      <c r="B713" s="5" t="s">
        <v>32</v>
      </c>
      <c r="C713" s="6" t="s">
        <v>13</v>
      </c>
      <c r="D713" s="5" t="s">
        <v>2117</v>
      </c>
      <c r="E713" s="5" t="s">
        <v>585</v>
      </c>
      <c r="F713" s="5" t="s">
        <v>2141</v>
      </c>
      <c r="G713" s="5" t="s">
        <v>50</v>
      </c>
      <c r="H713" s="5" t="s">
        <v>18</v>
      </c>
      <c r="I713" s="7" t="s">
        <v>2143</v>
      </c>
      <c r="J713" s="8" t="s">
        <v>13</v>
      </c>
    </row>
    <row r="714">
      <c r="A714" s="5" t="s">
        <v>2144</v>
      </c>
      <c r="B714" s="5" t="s">
        <v>110</v>
      </c>
      <c r="C714" s="6" t="s">
        <v>13</v>
      </c>
      <c r="D714" s="5" t="s">
        <v>2117</v>
      </c>
      <c r="E714" s="5" t="s">
        <v>496</v>
      </c>
      <c r="F714" s="5" t="s">
        <v>2145</v>
      </c>
      <c r="G714" s="5" t="s">
        <v>203</v>
      </c>
      <c r="H714" s="5" t="s">
        <v>18</v>
      </c>
      <c r="I714" s="7" t="s">
        <v>2146</v>
      </c>
      <c r="J714" s="8" t="s">
        <v>13</v>
      </c>
    </row>
    <row r="715">
      <c r="A715" s="5" t="s">
        <v>2147</v>
      </c>
      <c r="B715" s="5" t="s">
        <v>110</v>
      </c>
      <c r="C715" s="6" t="s">
        <v>13</v>
      </c>
      <c r="D715" s="5" t="s">
        <v>2117</v>
      </c>
      <c r="E715" s="5" t="s">
        <v>686</v>
      </c>
      <c r="F715" s="5" t="s">
        <v>2145</v>
      </c>
      <c r="G715" s="5" t="s">
        <v>203</v>
      </c>
      <c r="H715" s="5" t="s">
        <v>18</v>
      </c>
      <c r="I715" s="7" t="s">
        <v>2148</v>
      </c>
      <c r="J715" s="8" t="s">
        <v>13</v>
      </c>
    </row>
    <row r="716">
      <c r="A716" s="5" t="s">
        <v>2149</v>
      </c>
      <c r="B716" s="5" t="s">
        <v>2150</v>
      </c>
      <c r="C716" s="6" t="s">
        <v>13</v>
      </c>
      <c r="D716" s="5" t="s">
        <v>2117</v>
      </c>
      <c r="E716" s="5" t="s">
        <v>283</v>
      </c>
      <c r="F716" s="5" t="s">
        <v>2145</v>
      </c>
      <c r="G716" s="5" t="s">
        <v>203</v>
      </c>
      <c r="H716" s="5" t="s">
        <v>18</v>
      </c>
      <c r="I716" s="8" t="s">
        <v>2151</v>
      </c>
      <c r="J716" s="8" t="s">
        <v>13</v>
      </c>
    </row>
    <row r="717">
      <c r="A717" s="5" t="s">
        <v>2152</v>
      </c>
      <c r="B717" s="5" t="s">
        <v>2153</v>
      </c>
      <c r="C717" s="6" t="s">
        <v>13</v>
      </c>
      <c r="D717" s="5" t="s">
        <v>2117</v>
      </c>
      <c r="E717" s="5" t="s">
        <v>446</v>
      </c>
      <c r="F717" s="5" t="s">
        <v>2145</v>
      </c>
      <c r="G717" s="5" t="s">
        <v>203</v>
      </c>
      <c r="H717" s="5" t="s">
        <v>18</v>
      </c>
      <c r="I717" s="7" t="s">
        <v>2154</v>
      </c>
      <c r="J717" s="8" t="s">
        <v>13</v>
      </c>
    </row>
    <row r="718">
      <c r="A718" s="5" t="s">
        <v>2152</v>
      </c>
      <c r="B718" s="5" t="s">
        <v>2155</v>
      </c>
      <c r="C718" s="6" t="s">
        <v>13</v>
      </c>
      <c r="D718" s="5" t="s">
        <v>2117</v>
      </c>
      <c r="E718" s="5" t="s">
        <v>958</v>
      </c>
      <c r="F718" s="5" t="s">
        <v>2145</v>
      </c>
      <c r="G718" s="5" t="s">
        <v>203</v>
      </c>
      <c r="H718" s="5" t="s">
        <v>18</v>
      </c>
      <c r="I718" s="8" t="s">
        <v>2156</v>
      </c>
      <c r="J718" s="8" t="s">
        <v>13</v>
      </c>
    </row>
    <row r="719">
      <c r="A719" s="5" t="s">
        <v>2157</v>
      </c>
      <c r="B719" s="5" t="s">
        <v>952</v>
      </c>
      <c r="C719" s="6" t="s">
        <v>13</v>
      </c>
      <c r="D719" s="5" t="s">
        <v>2117</v>
      </c>
      <c r="E719" s="5" t="s">
        <v>26</v>
      </c>
      <c r="F719" s="5" t="s">
        <v>658</v>
      </c>
      <c r="G719" s="5" t="s">
        <v>91</v>
      </c>
      <c r="H719" s="5" t="s">
        <v>18</v>
      </c>
      <c r="I719" s="7" t="s">
        <v>2158</v>
      </c>
      <c r="J719" s="8" t="s">
        <v>13</v>
      </c>
    </row>
    <row r="720">
      <c r="A720" s="5" t="s">
        <v>2159</v>
      </c>
      <c r="B720" s="5" t="s">
        <v>2160</v>
      </c>
      <c r="C720" s="6" t="s">
        <v>13</v>
      </c>
      <c r="D720" s="5" t="s">
        <v>2117</v>
      </c>
      <c r="E720" s="5" t="s">
        <v>74</v>
      </c>
      <c r="F720" s="5" t="s">
        <v>2161</v>
      </c>
      <c r="G720" s="5" t="s">
        <v>76</v>
      </c>
      <c r="H720" s="5" t="s">
        <v>18</v>
      </c>
      <c r="I720" s="8" t="s">
        <v>2162</v>
      </c>
      <c r="J720" s="8" t="s">
        <v>13</v>
      </c>
    </row>
    <row r="721">
      <c r="A721" s="5" t="s">
        <v>2163</v>
      </c>
      <c r="B721" s="5" t="s">
        <v>110</v>
      </c>
      <c r="C721" s="6" t="s">
        <v>13</v>
      </c>
      <c r="D721" s="5" t="s">
        <v>2117</v>
      </c>
      <c r="E721" s="5" t="s">
        <v>192</v>
      </c>
      <c r="F721" s="5" t="s">
        <v>2164</v>
      </c>
      <c r="G721" s="5" t="s">
        <v>203</v>
      </c>
      <c r="H721" s="5" t="s">
        <v>18</v>
      </c>
      <c r="I721" s="7" t="s">
        <v>2165</v>
      </c>
      <c r="J721" s="8" t="s">
        <v>13</v>
      </c>
    </row>
    <row r="722">
      <c r="A722" s="5" t="s">
        <v>2166</v>
      </c>
      <c r="B722" s="5" t="s">
        <v>766</v>
      </c>
      <c r="C722" s="6" t="s">
        <v>13</v>
      </c>
      <c r="D722" s="5" t="s">
        <v>2117</v>
      </c>
      <c r="E722" s="5" t="s">
        <v>106</v>
      </c>
      <c r="F722" s="5" t="s">
        <v>1437</v>
      </c>
      <c r="G722" s="5" t="s">
        <v>203</v>
      </c>
      <c r="H722" s="5" t="s">
        <v>18</v>
      </c>
      <c r="I722" s="7" t="s">
        <v>2167</v>
      </c>
      <c r="J722" s="8" t="s">
        <v>13</v>
      </c>
    </row>
    <row r="723">
      <c r="A723" s="5" t="s">
        <v>2168</v>
      </c>
      <c r="B723" s="5" t="s">
        <v>2169</v>
      </c>
      <c r="C723" s="6" t="s">
        <v>13</v>
      </c>
      <c r="D723" s="5" t="s">
        <v>2117</v>
      </c>
      <c r="E723" s="5" t="s">
        <v>79</v>
      </c>
      <c r="F723" s="5" t="s">
        <v>153</v>
      </c>
      <c r="G723" s="5" t="s">
        <v>154</v>
      </c>
      <c r="H723" s="5" t="s">
        <v>18</v>
      </c>
      <c r="I723" s="7" t="s">
        <v>2170</v>
      </c>
      <c r="J723" s="8" t="s">
        <v>13</v>
      </c>
    </row>
    <row r="724">
      <c r="A724" s="5" t="s">
        <v>2171</v>
      </c>
      <c r="B724" s="5" t="s">
        <v>110</v>
      </c>
      <c r="C724" s="6" t="s">
        <v>13</v>
      </c>
      <c r="D724" s="5" t="s">
        <v>2117</v>
      </c>
      <c r="E724" s="5" t="s">
        <v>48</v>
      </c>
      <c r="F724" s="5" t="s">
        <v>153</v>
      </c>
      <c r="G724" s="5" t="s">
        <v>154</v>
      </c>
      <c r="H724" s="5" t="s">
        <v>18</v>
      </c>
      <c r="I724" s="7" t="s">
        <v>2172</v>
      </c>
      <c r="J724" s="8" t="s">
        <v>13</v>
      </c>
    </row>
    <row r="725">
      <c r="A725" s="5" t="s">
        <v>2173</v>
      </c>
      <c r="B725" s="5" t="s">
        <v>2174</v>
      </c>
      <c r="C725" s="6" t="s">
        <v>4</v>
      </c>
      <c r="D725" s="5" t="s">
        <v>2117</v>
      </c>
      <c r="E725" s="5" t="s">
        <v>822</v>
      </c>
      <c r="F725" s="5" t="s">
        <v>153</v>
      </c>
      <c r="G725" s="5" t="s">
        <v>154</v>
      </c>
      <c r="H725" s="5" t="s">
        <v>18</v>
      </c>
      <c r="I725" s="7" t="s">
        <v>2175</v>
      </c>
      <c r="J725" s="8" t="s">
        <v>13</v>
      </c>
    </row>
    <row r="726">
      <c r="A726" s="5" t="s">
        <v>2176</v>
      </c>
      <c r="B726" s="5" t="s">
        <v>2177</v>
      </c>
      <c r="C726" s="6" t="s">
        <v>13</v>
      </c>
      <c r="D726" s="5" t="s">
        <v>2117</v>
      </c>
      <c r="E726" s="5" t="s">
        <v>651</v>
      </c>
      <c r="F726" s="5" t="s">
        <v>2178</v>
      </c>
      <c r="G726" s="5" t="s">
        <v>1305</v>
      </c>
      <c r="H726" s="5" t="s">
        <v>18</v>
      </c>
      <c r="I726" s="8" t="s">
        <v>2179</v>
      </c>
      <c r="J726" s="8" t="s">
        <v>13</v>
      </c>
    </row>
    <row r="727">
      <c r="A727" s="5" t="s">
        <v>2180</v>
      </c>
      <c r="B727" s="5" t="s">
        <v>2181</v>
      </c>
      <c r="C727" s="6" t="s">
        <v>13</v>
      </c>
      <c r="D727" s="5" t="s">
        <v>2117</v>
      </c>
      <c r="E727" s="5" t="s">
        <v>106</v>
      </c>
      <c r="F727" s="5" t="s">
        <v>102</v>
      </c>
      <c r="G727" s="5" t="s">
        <v>172</v>
      </c>
      <c r="H727" s="5" t="s">
        <v>18</v>
      </c>
      <c r="I727" s="7" t="s">
        <v>2182</v>
      </c>
      <c r="J727" s="8" t="s">
        <v>13</v>
      </c>
    </row>
    <row r="728">
      <c r="A728" s="5" t="s">
        <v>2183</v>
      </c>
      <c r="B728" s="5" t="s">
        <v>2184</v>
      </c>
      <c r="C728" s="6" t="s">
        <v>13</v>
      </c>
      <c r="D728" s="5" t="s">
        <v>2185</v>
      </c>
      <c r="E728" s="5" t="s">
        <v>523</v>
      </c>
      <c r="F728" s="6" t="s">
        <v>64</v>
      </c>
      <c r="G728" s="6" t="s">
        <v>65</v>
      </c>
      <c r="H728" s="5" t="s">
        <v>18</v>
      </c>
      <c r="I728" s="7" t="s">
        <v>2186</v>
      </c>
      <c r="J728" s="8" t="s">
        <v>13</v>
      </c>
    </row>
    <row r="729">
      <c r="A729" s="5" t="s">
        <v>2187</v>
      </c>
      <c r="B729" s="5" t="s">
        <v>2188</v>
      </c>
      <c r="C729" s="6" t="s">
        <v>13</v>
      </c>
      <c r="D729" s="5" t="s">
        <v>2185</v>
      </c>
      <c r="E729" s="5" t="s">
        <v>1460</v>
      </c>
      <c r="F729" s="5" t="s">
        <v>658</v>
      </c>
      <c r="G729" s="5" t="s">
        <v>91</v>
      </c>
      <c r="H729" s="5" t="s">
        <v>18</v>
      </c>
      <c r="I729" s="8" t="s">
        <v>2189</v>
      </c>
      <c r="J729" s="8" t="s">
        <v>13</v>
      </c>
    </row>
    <row r="730">
      <c r="A730" s="5" t="s">
        <v>2190</v>
      </c>
      <c r="B730" s="5" t="s">
        <v>2191</v>
      </c>
      <c r="C730" s="6" t="s">
        <v>13</v>
      </c>
      <c r="D730" s="5" t="s">
        <v>2185</v>
      </c>
      <c r="E730" s="5" t="s">
        <v>890</v>
      </c>
      <c r="F730" s="6" t="s">
        <v>377</v>
      </c>
      <c r="G730" s="6" t="s">
        <v>378</v>
      </c>
      <c r="H730" s="5" t="s">
        <v>18</v>
      </c>
      <c r="I730" s="8" t="s">
        <v>2192</v>
      </c>
      <c r="J730" s="8" t="s">
        <v>13</v>
      </c>
    </row>
    <row r="731">
      <c r="A731" s="5" t="s">
        <v>2193</v>
      </c>
      <c r="B731" s="5" t="s">
        <v>2194</v>
      </c>
      <c r="C731" s="6" t="s">
        <v>13</v>
      </c>
      <c r="D731" s="5" t="s">
        <v>2185</v>
      </c>
      <c r="E731" s="5" t="s">
        <v>1289</v>
      </c>
      <c r="F731" s="5" t="s">
        <v>2195</v>
      </c>
      <c r="G731" s="5" t="s">
        <v>219</v>
      </c>
      <c r="H731" s="5" t="s">
        <v>18</v>
      </c>
      <c r="I731" s="7" t="s">
        <v>2196</v>
      </c>
      <c r="J731" s="8" t="s">
        <v>13</v>
      </c>
    </row>
    <row r="732">
      <c r="A732" s="5" t="s">
        <v>2197</v>
      </c>
      <c r="B732" s="5" t="s">
        <v>115</v>
      </c>
      <c r="C732" s="6" t="s">
        <v>13</v>
      </c>
      <c r="D732" s="5" t="s">
        <v>2185</v>
      </c>
      <c r="E732" s="5" t="s">
        <v>1289</v>
      </c>
      <c r="F732" s="5" t="s">
        <v>183</v>
      </c>
      <c r="G732" s="5" t="s">
        <v>184</v>
      </c>
      <c r="H732" s="5" t="s">
        <v>18</v>
      </c>
      <c r="I732" s="7" t="s">
        <v>2198</v>
      </c>
      <c r="J732" s="8" t="s">
        <v>13</v>
      </c>
    </row>
    <row r="733">
      <c r="A733" s="5" t="s">
        <v>2199</v>
      </c>
      <c r="B733" s="5" t="s">
        <v>2200</v>
      </c>
      <c r="C733" s="6" t="s">
        <v>13</v>
      </c>
      <c r="D733" s="5" t="s">
        <v>2185</v>
      </c>
      <c r="E733" s="5" t="s">
        <v>1098</v>
      </c>
      <c r="F733" s="5" t="s">
        <v>2201</v>
      </c>
      <c r="G733" s="5" t="s">
        <v>137</v>
      </c>
      <c r="H733" s="5" t="s">
        <v>18</v>
      </c>
      <c r="I733" s="8" t="s">
        <v>2202</v>
      </c>
      <c r="J733" s="8" t="s">
        <v>13</v>
      </c>
    </row>
    <row r="734">
      <c r="A734" s="5" t="s">
        <v>2203</v>
      </c>
      <c r="B734" s="5" t="s">
        <v>2204</v>
      </c>
      <c r="C734" s="6" t="s">
        <v>13</v>
      </c>
      <c r="D734" s="5" t="s">
        <v>2185</v>
      </c>
      <c r="E734" s="5" t="s">
        <v>217</v>
      </c>
      <c r="F734" s="5" t="s">
        <v>2205</v>
      </c>
      <c r="G734" s="5" t="s">
        <v>154</v>
      </c>
      <c r="H734" s="5" t="s">
        <v>18</v>
      </c>
      <c r="I734" s="7" t="s">
        <v>2206</v>
      </c>
      <c r="J734" s="8" t="s">
        <v>13</v>
      </c>
    </row>
    <row r="735">
      <c r="A735" s="5" t="s">
        <v>2207</v>
      </c>
      <c r="B735" s="5" t="s">
        <v>480</v>
      </c>
      <c r="C735" s="6" t="s">
        <v>13</v>
      </c>
      <c r="D735" s="5" t="s">
        <v>2208</v>
      </c>
      <c r="E735" s="5" t="s">
        <v>1123</v>
      </c>
      <c r="F735" s="5" t="s">
        <v>2209</v>
      </c>
      <c r="G735" s="5" t="s">
        <v>137</v>
      </c>
      <c r="H735" s="5" t="s">
        <v>18</v>
      </c>
      <c r="I735" s="7" t="s">
        <v>2210</v>
      </c>
      <c r="J735" s="8" t="s">
        <v>13</v>
      </c>
    </row>
    <row r="736">
      <c r="A736" s="5" t="s">
        <v>2211</v>
      </c>
      <c r="B736" s="5" t="s">
        <v>2212</v>
      </c>
      <c r="C736" s="6" t="s">
        <v>13</v>
      </c>
      <c r="D736" s="5" t="s">
        <v>2208</v>
      </c>
      <c r="E736" s="5" t="s">
        <v>2213</v>
      </c>
      <c r="F736" s="5" t="s">
        <v>2209</v>
      </c>
      <c r="G736" s="5" t="s">
        <v>137</v>
      </c>
      <c r="H736" s="5" t="s">
        <v>18</v>
      </c>
      <c r="I736" s="8" t="s">
        <v>2214</v>
      </c>
      <c r="J736" s="8" t="s">
        <v>13</v>
      </c>
    </row>
    <row r="737">
      <c r="A737" s="5" t="s">
        <v>2215</v>
      </c>
      <c r="B737" s="5" t="s">
        <v>2216</v>
      </c>
      <c r="C737" s="6" t="s">
        <v>13</v>
      </c>
      <c r="D737" s="5" t="s">
        <v>2208</v>
      </c>
      <c r="E737" s="5" t="s">
        <v>1364</v>
      </c>
      <c r="F737" s="5" t="s">
        <v>2209</v>
      </c>
      <c r="G737" s="5" t="s">
        <v>137</v>
      </c>
      <c r="H737" s="5" t="s">
        <v>18</v>
      </c>
      <c r="I737" s="7" t="s">
        <v>2217</v>
      </c>
      <c r="J737" s="8" t="s">
        <v>13</v>
      </c>
    </row>
    <row r="738">
      <c r="A738" s="5" t="s">
        <v>2218</v>
      </c>
      <c r="B738" s="5" t="s">
        <v>25</v>
      </c>
      <c r="C738" s="6" t="s">
        <v>13</v>
      </c>
      <c r="D738" s="5" t="s">
        <v>2208</v>
      </c>
      <c r="E738" s="5" t="s">
        <v>175</v>
      </c>
      <c r="F738" s="5" t="s">
        <v>1532</v>
      </c>
      <c r="G738" s="5" t="s">
        <v>945</v>
      </c>
      <c r="H738" s="5" t="s">
        <v>18</v>
      </c>
      <c r="I738" s="7" t="s">
        <v>2219</v>
      </c>
      <c r="J738" s="8" t="s">
        <v>13</v>
      </c>
    </row>
    <row r="739">
      <c r="A739" s="5" t="s">
        <v>2220</v>
      </c>
      <c r="B739" s="5" t="s">
        <v>2221</v>
      </c>
      <c r="C739" s="6" t="s">
        <v>13</v>
      </c>
      <c r="D739" s="5" t="s">
        <v>2208</v>
      </c>
      <c r="E739" s="5" t="s">
        <v>345</v>
      </c>
      <c r="F739" s="5" t="s">
        <v>2222</v>
      </c>
      <c r="G739" s="5" t="s">
        <v>949</v>
      </c>
      <c r="H739" s="5" t="s">
        <v>18</v>
      </c>
      <c r="I739" s="8" t="s">
        <v>2223</v>
      </c>
      <c r="J739" s="8" t="s">
        <v>13</v>
      </c>
    </row>
    <row r="740">
      <c r="A740" s="5" t="s">
        <v>2224</v>
      </c>
      <c r="B740" s="5" t="s">
        <v>2225</v>
      </c>
      <c r="C740" s="6" t="s">
        <v>13</v>
      </c>
      <c r="D740" s="5" t="s">
        <v>2208</v>
      </c>
      <c r="E740" s="5" t="s">
        <v>100</v>
      </c>
      <c r="F740" s="5" t="s">
        <v>80</v>
      </c>
      <c r="G740" s="5" t="s">
        <v>38</v>
      </c>
      <c r="H740" s="5" t="s">
        <v>18</v>
      </c>
      <c r="I740" s="7" t="s">
        <v>2226</v>
      </c>
      <c r="J740" s="8" t="s">
        <v>13</v>
      </c>
    </row>
    <row r="741">
      <c r="A741" s="5" t="s">
        <v>2227</v>
      </c>
      <c r="B741" s="5" t="s">
        <v>480</v>
      </c>
      <c r="C741" s="6" t="s">
        <v>13</v>
      </c>
      <c r="D741" s="5" t="s">
        <v>2208</v>
      </c>
      <c r="E741" s="5" t="s">
        <v>26</v>
      </c>
      <c r="F741" s="5" t="s">
        <v>80</v>
      </c>
      <c r="G741" s="5" t="s">
        <v>38</v>
      </c>
      <c r="H741" s="5" t="s">
        <v>18</v>
      </c>
      <c r="I741" s="7" t="s">
        <v>2228</v>
      </c>
      <c r="J741" s="8" t="s">
        <v>13</v>
      </c>
    </row>
    <row r="742">
      <c r="A742" s="5" t="s">
        <v>2229</v>
      </c>
      <c r="B742" s="5" t="s">
        <v>2225</v>
      </c>
      <c r="C742" s="6" t="s">
        <v>13</v>
      </c>
      <c r="D742" s="5" t="s">
        <v>2208</v>
      </c>
      <c r="E742" s="5" t="s">
        <v>1846</v>
      </c>
      <c r="F742" s="5" t="s">
        <v>80</v>
      </c>
      <c r="G742" s="5" t="s">
        <v>38</v>
      </c>
      <c r="H742" s="5" t="s">
        <v>18</v>
      </c>
      <c r="I742" s="7" t="s">
        <v>2230</v>
      </c>
      <c r="J742" s="8" t="s">
        <v>13</v>
      </c>
    </row>
    <row r="743">
      <c r="A743" s="5" t="s">
        <v>2231</v>
      </c>
      <c r="B743" s="5" t="s">
        <v>480</v>
      </c>
      <c r="C743" s="6" t="s">
        <v>13</v>
      </c>
      <c r="D743" s="5" t="s">
        <v>2208</v>
      </c>
      <c r="E743" s="5" t="s">
        <v>1407</v>
      </c>
      <c r="F743" s="5" t="s">
        <v>80</v>
      </c>
      <c r="G743" s="5" t="s">
        <v>38</v>
      </c>
      <c r="H743" s="5" t="s">
        <v>18</v>
      </c>
      <c r="I743" s="7" t="s">
        <v>2232</v>
      </c>
      <c r="J743" s="8" t="s">
        <v>13</v>
      </c>
    </row>
    <row r="744">
      <c r="A744" s="5" t="s">
        <v>2233</v>
      </c>
      <c r="B744" s="5" t="s">
        <v>2225</v>
      </c>
      <c r="C744" s="6" t="s">
        <v>13</v>
      </c>
      <c r="D744" s="5" t="s">
        <v>2208</v>
      </c>
      <c r="E744" s="5" t="s">
        <v>26</v>
      </c>
      <c r="F744" s="5" t="s">
        <v>2234</v>
      </c>
      <c r="G744" s="5" t="s">
        <v>184</v>
      </c>
      <c r="H744" s="5" t="s">
        <v>18</v>
      </c>
      <c r="I744" s="7" t="s">
        <v>2235</v>
      </c>
      <c r="J744" s="8" t="s">
        <v>13</v>
      </c>
    </row>
    <row r="745">
      <c r="A745" s="5" t="s">
        <v>2236</v>
      </c>
      <c r="B745" s="5" t="s">
        <v>2225</v>
      </c>
      <c r="C745" s="6" t="s">
        <v>13</v>
      </c>
      <c r="D745" s="5" t="s">
        <v>2208</v>
      </c>
      <c r="E745" s="5" t="s">
        <v>1364</v>
      </c>
      <c r="F745" s="5" t="s">
        <v>2234</v>
      </c>
      <c r="G745" s="5" t="s">
        <v>184</v>
      </c>
      <c r="H745" s="5" t="s">
        <v>18</v>
      </c>
      <c r="I745" s="7" t="s">
        <v>2237</v>
      </c>
      <c r="J745" s="8" t="s">
        <v>13</v>
      </c>
    </row>
    <row r="746">
      <c r="A746" s="5" t="s">
        <v>2238</v>
      </c>
      <c r="B746" s="5" t="s">
        <v>480</v>
      </c>
      <c r="C746" s="6" t="s">
        <v>13</v>
      </c>
      <c r="D746" s="5" t="s">
        <v>2208</v>
      </c>
      <c r="E746" s="5" t="s">
        <v>1634</v>
      </c>
      <c r="F746" s="5" t="s">
        <v>2234</v>
      </c>
      <c r="G746" s="5" t="s">
        <v>184</v>
      </c>
      <c r="H746" s="5" t="s">
        <v>18</v>
      </c>
      <c r="I746" s="7" t="s">
        <v>2239</v>
      </c>
      <c r="J746" s="8" t="s">
        <v>13</v>
      </c>
    </row>
    <row r="747">
      <c r="A747" s="5" t="s">
        <v>2240</v>
      </c>
      <c r="B747" s="5" t="s">
        <v>2225</v>
      </c>
      <c r="C747" s="6" t="s">
        <v>13</v>
      </c>
      <c r="D747" s="5" t="s">
        <v>2208</v>
      </c>
      <c r="E747" s="5" t="s">
        <v>2241</v>
      </c>
      <c r="F747" s="5" t="s">
        <v>112</v>
      </c>
      <c r="G747" s="5" t="s">
        <v>38</v>
      </c>
      <c r="H747" s="5" t="s">
        <v>18</v>
      </c>
      <c r="I747" s="7" t="s">
        <v>2242</v>
      </c>
      <c r="J747" s="8" t="s">
        <v>13</v>
      </c>
    </row>
    <row r="748">
      <c r="A748" s="5" t="s">
        <v>2243</v>
      </c>
      <c r="B748" s="5" t="s">
        <v>2225</v>
      </c>
      <c r="C748" s="6" t="s">
        <v>13</v>
      </c>
      <c r="D748" s="5" t="s">
        <v>2208</v>
      </c>
      <c r="E748" s="5" t="s">
        <v>94</v>
      </c>
      <c r="F748" s="5" t="s">
        <v>1527</v>
      </c>
      <c r="G748" s="5" t="s">
        <v>945</v>
      </c>
      <c r="H748" s="5" t="s">
        <v>18</v>
      </c>
      <c r="I748" s="7" t="s">
        <v>2244</v>
      </c>
      <c r="J748" s="8" t="s">
        <v>13</v>
      </c>
    </row>
    <row r="749">
      <c r="A749" s="5" t="s">
        <v>2245</v>
      </c>
      <c r="B749" s="5" t="s">
        <v>480</v>
      </c>
      <c r="C749" s="6" t="s">
        <v>13</v>
      </c>
      <c r="D749" s="5" t="s">
        <v>2208</v>
      </c>
      <c r="E749" s="5" t="s">
        <v>182</v>
      </c>
      <c r="F749" s="5" t="s">
        <v>2100</v>
      </c>
      <c r="G749" s="5" t="s">
        <v>264</v>
      </c>
      <c r="H749" s="5" t="s">
        <v>18</v>
      </c>
      <c r="I749" s="7" t="s">
        <v>2246</v>
      </c>
      <c r="J749" s="8" t="s">
        <v>13</v>
      </c>
    </row>
    <row r="750">
      <c r="A750" s="5" t="s">
        <v>2247</v>
      </c>
      <c r="B750" s="5" t="s">
        <v>2225</v>
      </c>
      <c r="C750" s="6" t="s">
        <v>13</v>
      </c>
      <c r="D750" s="5" t="s">
        <v>2208</v>
      </c>
      <c r="E750" s="5" t="s">
        <v>53</v>
      </c>
      <c r="F750" s="5" t="s">
        <v>2248</v>
      </c>
      <c r="G750" s="5" t="s">
        <v>38</v>
      </c>
      <c r="H750" s="5" t="s">
        <v>18</v>
      </c>
      <c r="I750" s="7" t="s">
        <v>2249</v>
      </c>
      <c r="J750" s="8" t="s">
        <v>13</v>
      </c>
    </row>
    <row r="751">
      <c r="A751" s="5" t="s">
        <v>2250</v>
      </c>
      <c r="B751" s="5" t="s">
        <v>2251</v>
      </c>
      <c r="C751" s="6" t="s">
        <v>13</v>
      </c>
      <c r="D751" s="5" t="s">
        <v>2208</v>
      </c>
      <c r="E751" s="5" t="s">
        <v>2252</v>
      </c>
      <c r="F751" s="5" t="s">
        <v>2253</v>
      </c>
      <c r="G751" s="5" t="s">
        <v>203</v>
      </c>
      <c r="H751" s="5" t="s">
        <v>18</v>
      </c>
      <c r="I751" s="8" t="s">
        <v>2254</v>
      </c>
      <c r="J751" s="8" t="s">
        <v>13</v>
      </c>
    </row>
    <row r="752">
      <c r="A752" s="5" t="s">
        <v>2255</v>
      </c>
      <c r="B752" s="5" t="s">
        <v>2256</v>
      </c>
      <c r="C752" s="6" t="s">
        <v>13</v>
      </c>
      <c r="D752" s="5" t="s">
        <v>2208</v>
      </c>
      <c r="E752" s="5" t="s">
        <v>26</v>
      </c>
      <c r="F752" s="5" t="s">
        <v>2257</v>
      </c>
      <c r="G752" s="5" t="s">
        <v>17</v>
      </c>
      <c r="H752" s="5" t="s">
        <v>18</v>
      </c>
      <c r="I752" s="7" t="s">
        <v>2258</v>
      </c>
      <c r="J752" s="8" t="s">
        <v>13</v>
      </c>
    </row>
    <row r="753">
      <c r="A753" s="5" t="s">
        <v>2259</v>
      </c>
      <c r="B753" s="5" t="s">
        <v>2225</v>
      </c>
      <c r="C753" s="6" t="s">
        <v>13</v>
      </c>
      <c r="D753" s="5" t="s">
        <v>2208</v>
      </c>
      <c r="E753" s="5" t="s">
        <v>1371</v>
      </c>
      <c r="F753" s="5" t="s">
        <v>137</v>
      </c>
      <c r="G753" s="5" t="s">
        <v>137</v>
      </c>
      <c r="H753" s="5" t="s">
        <v>18</v>
      </c>
      <c r="I753" s="7" t="s">
        <v>2260</v>
      </c>
      <c r="J753" s="8" t="s">
        <v>13</v>
      </c>
    </row>
    <row r="754">
      <c r="A754" s="5" t="s">
        <v>2261</v>
      </c>
      <c r="B754" s="5" t="s">
        <v>2225</v>
      </c>
      <c r="C754" s="6" t="s">
        <v>13</v>
      </c>
      <c r="D754" s="5" t="s">
        <v>2208</v>
      </c>
      <c r="E754" s="5" t="s">
        <v>100</v>
      </c>
      <c r="F754" s="5" t="s">
        <v>2262</v>
      </c>
      <c r="G754" s="5" t="s">
        <v>184</v>
      </c>
      <c r="H754" s="5" t="s">
        <v>18</v>
      </c>
      <c r="I754" s="7" t="s">
        <v>2263</v>
      </c>
      <c r="J754" s="8" t="s">
        <v>13</v>
      </c>
    </row>
    <row r="755">
      <c r="A755" s="5" t="s">
        <v>2264</v>
      </c>
      <c r="B755" s="5" t="s">
        <v>480</v>
      </c>
      <c r="C755" s="6" t="s">
        <v>13</v>
      </c>
      <c r="D755" s="5" t="s">
        <v>2208</v>
      </c>
      <c r="E755" s="5" t="s">
        <v>2265</v>
      </c>
      <c r="F755" s="5" t="s">
        <v>2266</v>
      </c>
      <c r="G755" s="5" t="s">
        <v>949</v>
      </c>
      <c r="H755" s="5" t="s">
        <v>18</v>
      </c>
      <c r="I755" s="8" t="s">
        <v>2267</v>
      </c>
      <c r="J755" s="8" t="s">
        <v>13</v>
      </c>
    </row>
    <row r="756">
      <c r="A756" s="5" t="s">
        <v>2268</v>
      </c>
      <c r="B756" s="5" t="s">
        <v>2225</v>
      </c>
      <c r="C756" s="6" t="s">
        <v>13</v>
      </c>
      <c r="D756" s="5" t="s">
        <v>2208</v>
      </c>
      <c r="E756" s="5" t="s">
        <v>2269</v>
      </c>
      <c r="F756" s="5" t="s">
        <v>2270</v>
      </c>
      <c r="G756" s="5" t="s">
        <v>44</v>
      </c>
      <c r="H756" s="5" t="s">
        <v>18</v>
      </c>
      <c r="I756" s="7" t="s">
        <v>2271</v>
      </c>
      <c r="J756" s="8" t="s">
        <v>13</v>
      </c>
    </row>
    <row r="757">
      <c r="A757" s="5" t="s">
        <v>2272</v>
      </c>
      <c r="B757" s="5" t="s">
        <v>480</v>
      </c>
      <c r="C757" s="6" t="s">
        <v>13</v>
      </c>
      <c r="D757" s="5" t="s">
        <v>2208</v>
      </c>
      <c r="E757" s="5" t="s">
        <v>1098</v>
      </c>
      <c r="F757" s="5" t="s">
        <v>299</v>
      </c>
      <c r="G757" s="5" t="s">
        <v>44</v>
      </c>
      <c r="H757" s="5" t="s">
        <v>18</v>
      </c>
      <c r="I757" s="7" t="s">
        <v>2273</v>
      </c>
      <c r="J757" s="8" t="s">
        <v>13</v>
      </c>
    </row>
    <row r="758">
      <c r="A758" s="5" t="s">
        <v>2274</v>
      </c>
      <c r="B758" s="5" t="s">
        <v>2275</v>
      </c>
      <c r="C758" s="6" t="s">
        <v>13</v>
      </c>
      <c r="D758" s="5" t="s">
        <v>2208</v>
      </c>
      <c r="E758" s="5" t="s">
        <v>2276</v>
      </c>
      <c r="F758" s="5" t="s">
        <v>311</v>
      </c>
      <c r="G758" s="5" t="s">
        <v>102</v>
      </c>
      <c r="H758" s="5" t="s">
        <v>18</v>
      </c>
      <c r="I758" s="7" t="s">
        <v>2277</v>
      </c>
      <c r="J758" s="8" t="s">
        <v>13</v>
      </c>
    </row>
    <row r="759">
      <c r="A759" s="5" t="s">
        <v>2278</v>
      </c>
      <c r="B759" s="5" t="s">
        <v>2279</v>
      </c>
      <c r="C759" s="6" t="s">
        <v>13</v>
      </c>
      <c r="D759" s="5" t="s">
        <v>2208</v>
      </c>
      <c r="E759" s="5" t="s">
        <v>2035</v>
      </c>
      <c r="F759" s="5" t="s">
        <v>1131</v>
      </c>
      <c r="G759" s="5" t="s">
        <v>203</v>
      </c>
      <c r="H759" s="5" t="s">
        <v>18</v>
      </c>
      <c r="I759" s="7" t="s">
        <v>2280</v>
      </c>
      <c r="J759" s="8" t="s">
        <v>13</v>
      </c>
    </row>
    <row r="760">
      <c r="A760" s="5" t="s">
        <v>2281</v>
      </c>
      <c r="B760" s="5" t="s">
        <v>2216</v>
      </c>
      <c r="C760" s="6" t="s">
        <v>13</v>
      </c>
      <c r="D760" s="5" t="s">
        <v>2208</v>
      </c>
      <c r="E760" s="5" t="s">
        <v>74</v>
      </c>
      <c r="F760" s="5" t="s">
        <v>2282</v>
      </c>
      <c r="G760" s="5" t="s">
        <v>224</v>
      </c>
      <c r="H760" s="5" t="s">
        <v>18</v>
      </c>
      <c r="I760" s="7" t="s">
        <v>2283</v>
      </c>
      <c r="J760" s="8" t="s">
        <v>13</v>
      </c>
    </row>
    <row r="761">
      <c r="A761" s="5" t="s">
        <v>2284</v>
      </c>
      <c r="B761" s="5" t="s">
        <v>2285</v>
      </c>
      <c r="C761" s="6" t="s">
        <v>13</v>
      </c>
      <c r="D761" s="5" t="s">
        <v>2208</v>
      </c>
      <c r="E761" s="5" t="s">
        <v>228</v>
      </c>
      <c r="F761" s="5" t="s">
        <v>102</v>
      </c>
      <c r="G761" s="5" t="s">
        <v>172</v>
      </c>
      <c r="H761" s="5" t="s">
        <v>18</v>
      </c>
      <c r="I761" s="7" t="s">
        <v>2286</v>
      </c>
      <c r="J761" s="8" t="s">
        <v>13</v>
      </c>
    </row>
    <row r="762">
      <c r="A762" s="5" t="s">
        <v>2287</v>
      </c>
      <c r="B762" s="5" t="s">
        <v>2225</v>
      </c>
      <c r="C762" s="6" t="s">
        <v>13</v>
      </c>
      <c r="D762" s="5" t="s">
        <v>2208</v>
      </c>
      <c r="E762" s="5" t="s">
        <v>2288</v>
      </c>
      <c r="F762" s="5" t="s">
        <v>102</v>
      </c>
      <c r="G762" s="5" t="s">
        <v>172</v>
      </c>
      <c r="H762" s="5" t="s">
        <v>18</v>
      </c>
      <c r="I762" s="7" t="s">
        <v>2289</v>
      </c>
      <c r="J762" s="8" t="s">
        <v>13</v>
      </c>
    </row>
    <row r="763">
      <c r="A763" s="5" t="s">
        <v>2290</v>
      </c>
      <c r="B763" s="5" t="s">
        <v>480</v>
      </c>
      <c r="C763" s="6" t="s">
        <v>13</v>
      </c>
      <c r="D763" s="5" t="s">
        <v>2208</v>
      </c>
      <c r="F763" s="5" t="s">
        <v>102</v>
      </c>
      <c r="G763" s="5" t="s">
        <v>172</v>
      </c>
      <c r="H763" s="5" t="s">
        <v>18</v>
      </c>
      <c r="I763" s="7" t="s">
        <v>2291</v>
      </c>
      <c r="J763" s="8" t="s">
        <v>13</v>
      </c>
    </row>
    <row r="764">
      <c r="A764" s="5" t="s">
        <v>2292</v>
      </c>
      <c r="B764" s="5" t="s">
        <v>2225</v>
      </c>
      <c r="C764" s="6" t="s">
        <v>13</v>
      </c>
      <c r="D764" s="5" t="s">
        <v>2208</v>
      </c>
      <c r="E764" s="5" t="s">
        <v>1421</v>
      </c>
      <c r="F764" s="5" t="s">
        <v>2293</v>
      </c>
      <c r="G764" s="5" t="s">
        <v>137</v>
      </c>
      <c r="H764" s="5" t="s">
        <v>18</v>
      </c>
      <c r="I764" s="7" t="s">
        <v>2294</v>
      </c>
      <c r="J764" s="8" t="s">
        <v>13</v>
      </c>
    </row>
    <row r="765">
      <c r="A765" s="5" t="s">
        <v>2295</v>
      </c>
      <c r="B765" s="5" t="s">
        <v>2296</v>
      </c>
      <c r="C765" s="6" t="s">
        <v>13</v>
      </c>
      <c r="D765" s="5" t="s">
        <v>2297</v>
      </c>
      <c r="E765" s="5" t="s">
        <v>832</v>
      </c>
      <c r="F765" s="5" t="s">
        <v>37</v>
      </c>
      <c r="G765" s="5" t="s">
        <v>38</v>
      </c>
      <c r="H765" s="5" t="s">
        <v>18</v>
      </c>
      <c r="I765" s="8" t="s">
        <v>2298</v>
      </c>
      <c r="J765" s="8" t="s">
        <v>13</v>
      </c>
    </row>
    <row r="766">
      <c r="A766" s="5" t="s">
        <v>2299</v>
      </c>
      <c r="B766" s="5" t="s">
        <v>2300</v>
      </c>
      <c r="C766" s="6" t="s">
        <v>13</v>
      </c>
      <c r="D766" s="5" t="s">
        <v>2297</v>
      </c>
      <c r="E766" s="5" t="s">
        <v>351</v>
      </c>
      <c r="F766" s="5" t="s">
        <v>1643</v>
      </c>
      <c r="G766" s="5" t="s">
        <v>763</v>
      </c>
      <c r="H766" s="5" t="s">
        <v>18</v>
      </c>
      <c r="I766" s="7" t="s">
        <v>2301</v>
      </c>
      <c r="J766" s="8" t="s">
        <v>13</v>
      </c>
    </row>
    <row r="767">
      <c r="A767" s="5" t="s">
        <v>2302</v>
      </c>
      <c r="B767" s="5" t="s">
        <v>2303</v>
      </c>
      <c r="C767" s="6" t="s">
        <v>13</v>
      </c>
      <c r="D767" s="5" t="s">
        <v>2297</v>
      </c>
      <c r="E767" s="5" t="s">
        <v>165</v>
      </c>
      <c r="F767" s="5" t="s">
        <v>80</v>
      </c>
      <c r="G767" s="5" t="s">
        <v>38</v>
      </c>
      <c r="H767" s="5" t="s">
        <v>18</v>
      </c>
      <c r="I767" s="7" t="s">
        <v>2304</v>
      </c>
      <c r="J767" s="8" t="s">
        <v>13</v>
      </c>
    </row>
    <row r="768">
      <c r="A768" s="5" t="s">
        <v>2305</v>
      </c>
      <c r="B768" s="5" t="s">
        <v>715</v>
      </c>
      <c r="C768" s="6" t="s">
        <v>13</v>
      </c>
      <c r="D768" s="5" t="s">
        <v>2297</v>
      </c>
      <c r="E768" s="5" t="s">
        <v>351</v>
      </c>
      <c r="F768" s="5" t="s">
        <v>80</v>
      </c>
      <c r="G768" s="5" t="s">
        <v>38</v>
      </c>
      <c r="H768" s="5" t="s">
        <v>18</v>
      </c>
      <c r="I768" s="7" t="s">
        <v>2306</v>
      </c>
      <c r="J768" s="8" t="s">
        <v>13</v>
      </c>
    </row>
    <row r="769">
      <c r="A769" s="5" t="s">
        <v>2307</v>
      </c>
      <c r="B769" s="5" t="s">
        <v>2308</v>
      </c>
      <c r="C769" s="6" t="s">
        <v>13</v>
      </c>
      <c r="D769" s="5" t="s">
        <v>2297</v>
      </c>
      <c r="E769" s="5" t="s">
        <v>165</v>
      </c>
      <c r="F769" s="5" t="s">
        <v>80</v>
      </c>
      <c r="G769" s="5" t="s">
        <v>38</v>
      </c>
      <c r="H769" s="5" t="s">
        <v>18</v>
      </c>
      <c r="I769" s="8" t="s">
        <v>2309</v>
      </c>
      <c r="J769" s="8" t="s">
        <v>13</v>
      </c>
    </row>
    <row r="770">
      <c r="A770" s="5" t="s">
        <v>2310</v>
      </c>
      <c r="B770" s="5" t="s">
        <v>715</v>
      </c>
      <c r="C770" s="6" t="s">
        <v>13</v>
      </c>
      <c r="D770" s="5" t="s">
        <v>2297</v>
      </c>
      <c r="E770" s="5" t="s">
        <v>523</v>
      </c>
      <c r="F770" s="5" t="s">
        <v>80</v>
      </c>
      <c r="G770" s="5" t="s">
        <v>38</v>
      </c>
      <c r="H770" s="5" t="s">
        <v>18</v>
      </c>
      <c r="I770" s="7" t="s">
        <v>2311</v>
      </c>
      <c r="J770" s="8" t="s">
        <v>13</v>
      </c>
    </row>
    <row r="771">
      <c r="A771" s="5" t="s">
        <v>2312</v>
      </c>
      <c r="B771" s="5" t="s">
        <v>404</v>
      </c>
      <c r="C771" s="6" t="s">
        <v>13</v>
      </c>
      <c r="D771" s="5" t="s">
        <v>2297</v>
      </c>
      <c r="E771" s="5" t="s">
        <v>339</v>
      </c>
      <c r="F771" s="5" t="s">
        <v>80</v>
      </c>
      <c r="G771" s="5" t="s">
        <v>38</v>
      </c>
      <c r="H771" s="5" t="s">
        <v>18</v>
      </c>
      <c r="I771" s="7" t="s">
        <v>2313</v>
      </c>
      <c r="J771" s="8" t="s">
        <v>13</v>
      </c>
    </row>
    <row r="772">
      <c r="A772" s="5" t="s">
        <v>2314</v>
      </c>
      <c r="B772" s="5" t="s">
        <v>2315</v>
      </c>
      <c r="C772" s="6" t="s">
        <v>13</v>
      </c>
      <c r="D772" s="5" t="s">
        <v>2297</v>
      </c>
      <c r="E772" s="5" t="s">
        <v>222</v>
      </c>
      <c r="F772" s="5" t="s">
        <v>80</v>
      </c>
      <c r="G772" s="5" t="s">
        <v>38</v>
      </c>
      <c r="H772" s="5" t="s">
        <v>18</v>
      </c>
      <c r="I772" s="8" t="s">
        <v>2316</v>
      </c>
      <c r="J772" s="8" t="s">
        <v>13</v>
      </c>
    </row>
    <row r="773">
      <c r="A773" s="5" t="s">
        <v>2317</v>
      </c>
      <c r="B773" s="5" t="s">
        <v>2318</v>
      </c>
      <c r="C773" s="6" t="s">
        <v>13</v>
      </c>
      <c r="D773" s="5" t="s">
        <v>2297</v>
      </c>
      <c r="E773" s="5" t="s">
        <v>222</v>
      </c>
      <c r="F773" s="5" t="s">
        <v>80</v>
      </c>
      <c r="G773" s="5" t="s">
        <v>38</v>
      </c>
      <c r="H773" s="5" t="s">
        <v>18</v>
      </c>
      <c r="I773" s="8" t="s">
        <v>2319</v>
      </c>
      <c r="J773" s="8" t="s">
        <v>13</v>
      </c>
    </row>
    <row r="774">
      <c r="A774" s="5" t="s">
        <v>2320</v>
      </c>
      <c r="B774" s="5" t="s">
        <v>2321</v>
      </c>
      <c r="C774" s="6" t="s">
        <v>13</v>
      </c>
      <c r="D774" s="5" t="s">
        <v>2297</v>
      </c>
      <c r="E774" s="5" t="s">
        <v>2322</v>
      </c>
      <c r="F774" s="5" t="s">
        <v>1187</v>
      </c>
      <c r="G774" s="5" t="s">
        <v>96</v>
      </c>
      <c r="H774" s="5" t="s">
        <v>18</v>
      </c>
      <c r="I774" s="7" t="s">
        <v>2323</v>
      </c>
      <c r="J774" s="8" t="s">
        <v>13</v>
      </c>
    </row>
    <row r="775">
      <c r="A775" s="5" t="s">
        <v>2324</v>
      </c>
      <c r="B775" s="5" t="s">
        <v>2325</v>
      </c>
      <c r="C775" s="6" t="s">
        <v>13</v>
      </c>
      <c r="D775" s="5" t="s">
        <v>2297</v>
      </c>
      <c r="E775" s="5" t="s">
        <v>121</v>
      </c>
      <c r="F775" s="5" t="s">
        <v>137</v>
      </c>
      <c r="G775" s="5" t="s">
        <v>137</v>
      </c>
      <c r="H775" s="5" t="s">
        <v>18</v>
      </c>
      <c r="I775" s="8" t="s">
        <v>2326</v>
      </c>
      <c r="J775" s="8" t="s">
        <v>13</v>
      </c>
    </row>
    <row r="776">
      <c r="A776" s="5" t="s">
        <v>2327</v>
      </c>
      <c r="B776" s="5" t="s">
        <v>25</v>
      </c>
      <c r="C776" s="6" t="s">
        <v>13</v>
      </c>
      <c r="D776" s="5" t="s">
        <v>2297</v>
      </c>
      <c r="E776" s="5" t="s">
        <v>554</v>
      </c>
      <c r="F776" s="5" t="s">
        <v>137</v>
      </c>
      <c r="G776" s="5" t="s">
        <v>137</v>
      </c>
      <c r="H776" s="5" t="s">
        <v>18</v>
      </c>
      <c r="I776" s="7" t="s">
        <v>2328</v>
      </c>
      <c r="J776" s="8" t="s">
        <v>13</v>
      </c>
    </row>
    <row r="777">
      <c r="A777" s="5" t="s">
        <v>2329</v>
      </c>
      <c r="B777" s="5" t="s">
        <v>2325</v>
      </c>
      <c r="C777" s="6" t="s">
        <v>13</v>
      </c>
      <c r="D777" s="5" t="s">
        <v>2297</v>
      </c>
      <c r="E777" s="5" t="s">
        <v>1950</v>
      </c>
      <c r="F777" s="5" t="s">
        <v>137</v>
      </c>
      <c r="G777" s="5" t="s">
        <v>137</v>
      </c>
      <c r="H777" s="5" t="s">
        <v>18</v>
      </c>
      <c r="I777" s="8" t="s">
        <v>2330</v>
      </c>
      <c r="J777" s="8" t="s">
        <v>13</v>
      </c>
    </row>
    <row r="778">
      <c r="A778" s="5" t="s">
        <v>2331</v>
      </c>
      <c r="B778" s="5" t="s">
        <v>2332</v>
      </c>
      <c r="C778" s="6" t="s">
        <v>13</v>
      </c>
      <c r="D778" s="5" t="s">
        <v>2297</v>
      </c>
      <c r="E778" s="5" t="s">
        <v>63</v>
      </c>
      <c r="F778" s="5" t="s">
        <v>137</v>
      </c>
      <c r="G778" s="5" t="s">
        <v>137</v>
      </c>
      <c r="H778" s="5" t="s">
        <v>18</v>
      </c>
      <c r="I778" s="8" t="s">
        <v>2333</v>
      </c>
      <c r="J778" s="8" t="s">
        <v>13</v>
      </c>
    </row>
    <row r="779">
      <c r="A779" s="5" t="s">
        <v>2334</v>
      </c>
      <c r="B779" s="5" t="s">
        <v>2335</v>
      </c>
      <c r="C779" s="6" t="s">
        <v>13</v>
      </c>
      <c r="D779" s="5" t="s">
        <v>2297</v>
      </c>
      <c r="E779" s="5" t="s">
        <v>74</v>
      </c>
      <c r="F779" s="5" t="s">
        <v>137</v>
      </c>
      <c r="G779" s="5" t="s">
        <v>137</v>
      </c>
      <c r="H779" s="5" t="s">
        <v>18</v>
      </c>
      <c r="I779" s="7" t="s">
        <v>2336</v>
      </c>
      <c r="J779" s="8" t="s">
        <v>13</v>
      </c>
    </row>
    <row r="780">
      <c r="A780" s="5" t="s">
        <v>2337</v>
      </c>
      <c r="B780" s="5" t="s">
        <v>2338</v>
      </c>
      <c r="C780" s="6" t="s">
        <v>13</v>
      </c>
      <c r="D780" s="5" t="s">
        <v>2297</v>
      </c>
      <c r="E780" s="5" t="s">
        <v>496</v>
      </c>
      <c r="F780" s="5" t="s">
        <v>2339</v>
      </c>
      <c r="G780" s="5" t="s">
        <v>781</v>
      </c>
      <c r="H780" s="5" t="s">
        <v>18</v>
      </c>
      <c r="I780" s="8" t="s">
        <v>2340</v>
      </c>
      <c r="J780" s="8" t="s">
        <v>13</v>
      </c>
    </row>
    <row r="781">
      <c r="A781" s="5" t="s">
        <v>2341</v>
      </c>
      <c r="B781" s="5" t="s">
        <v>2342</v>
      </c>
      <c r="C781" s="6" t="s">
        <v>13</v>
      </c>
      <c r="D781" s="5" t="s">
        <v>2297</v>
      </c>
      <c r="E781" s="5" t="s">
        <v>579</v>
      </c>
      <c r="F781" s="5" t="s">
        <v>2343</v>
      </c>
      <c r="G781" s="5" t="s">
        <v>38</v>
      </c>
      <c r="H781" s="5" t="s">
        <v>18</v>
      </c>
      <c r="I781" s="7" t="s">
        <v>2344</v>
      </c>
      <c r="J781" s="8" t="s">
        <v>13</v>
      </c>
    </row>
    <row r="782">
      <c r="A782" s="5" t="s">
        <v>2345</v>
      </c>
      <c r="B782" s="5" t="s">
        <v>25</v>
      </c>
      <c r="C782" s="6" t="s">
        <v>13</v>
      </c>
      <c r="D782" s="5" t="s">
        <v>2297</v>
      </c>
      <c r="E782" s="5" t="s">
        <v>2265</v>
      </c>
      <c r="F782" s="5" t="s">
        <v>780</v>
      </c>
      <c r="G782" s="5" t="s">
        <v>781</v>
      </c>
      <c r="H782" s="5" t="s">
        <v>18</v>
      </c>
      <c r="I782" s="7" t="s">
        <v>2346</v>
      </c>
      <c r="J782" s="8" t="s">
        <v>13</v>
      </c>
    </row>
    <row r="783">
      <c r="A783" s="5" t="s">
        <v>2347</v>
      </c>
      <c r="B783" s="5" t="s">
        <v>2348</v>
      </c>
      <c r="C783" s="6" t="s">
        <v>13</v>
      </c>
      <c r="D783" s="5" t="s">
        <v>2349</v>
      </c>
      <c r="E783" s="5" t="s">
        <v>832</v>
      </c>
      <c r="F783" s="5" t="s">
        <v>37</v>
      </c>
      <c r="G783" s="5" t="s">
        <v>38</v>
      </c>
      <c r="H783" s="5" t="s">
        <v>18</v>
      </c>
      <c r="I783" s="8" t="s">
        <v>2350</v>
      </c>
      <c r="J783" s="8" t="s">
        <v>13</v>
      </c>
    </row>
    <row r="784">
      <c r="A784" s="5" t="s">
        <v>2351</v>
      </c>
      <c r="B784" s="5" t="s">
        <v>328</v>
      </c>
      <c r="C784" s="6" t="s">
        <v>13</v>
      </c>
      <c r="D784" s="5" t="s">
        <v>2349</v>
      </c>
      <c r="E784" s="5" t="s">
        <v>268</v>
      </c>
      <c r="F784" s="5" t="s">
        <v>37</v>
      </c>
      <c r="G784" s="5" t="s">
        <v>38</v>
      </c>
      <c r="H784" s="5" t="s">
        <v>18</v>
      </c>
      <c r="I784" s="7" t="s">
        <v>2352</v>
      </c>
      <c r="J784" s="8" t="s">
        <v>13</v>
      </c>
    </row>
    <row r="785">
      <c r="A785" s="5" t="s">
        <v>2353</v>
      </c>
      <c r="B785" s="5" t="s">
        <v>2354</v>
      </c>
      <c r="C785" s="6" t="s">
        <v>13</v>
      </c>
      <c r="D785" s="5" t="s">
        <v>2349</v>
      </c>
      <c r="E785" s="5" t="s">
        <v>832</v>
      </c>
      <c r="F785" s="5" t="s">
        <v>37</v>
      </c>
      <c r="G785" s="5" t="s">
        <v>38</v>
      </c>
      <c r="H785" s="5" t="s">
        <v>18</v>
      </c>
      <c r="I785" s="7" t="s">
        <v>2355</v>
      </c>
      <c r="J785" s="8" t="s">
        <v>13</v>
      </c>
    </row>
    <row r="786">
      <c r="A786" s="5" t="s">
        <v>2356</v>
      </c>
      <c r="B786" s="5" t="s">
        <v>2357</v>
      </c>
      <c r="C786" s="6" t="s">
        <v>13</v>
      </c>
      <c r="D786" s="5" t="s">
        <v>2349</v>
      </c>
      <c r="E786" s="5" t="s">
        <v>217</v>
      </c>
      <c r="F786" s="5" t="s">
        <v>37</v>
      </c>
      <c r="G786" s="5" t="s">
        <v>38</v>
      </c>
      <c r="H786" s="5" t="s">
        <v>18</v>
      </c>
      <c r="I786" s="7" t="s">
        <v>2358</v>
      </c>
      <c r="J786" s="8" t="s">
        <v>13</v>
      </c>
    </row>
    <row r="787">
      <c r="A787" s="5" t="s">
        <v>2359</v>
      </c>
      <c r="B787" s="5" t="s">
        <v>110</v>
      </c>
      <c r="C787" s="6" t="s">
        <v>13</v>
      </c>
      <c r="D787" s="5" t="s">
        <v>2349</v>
      </c>
      <c r="E787" s="5" t="s">
        <v>283</v>
      </c>
      <c r="F787" s="5" t="s">
        <v>37</v>
      </c>
      <c r="G787" s="5" t="s">
        <v>38</v>
      </c>
      <c r="H787" s="5" t="s">
        <v>18</v>
      </c>
      <c r="I787" s="7" t="s">
        <v>2360</v>
      </c>
      <c r="J787" s="8" t="s">
        <v>13</v>
      </c>
    </row>
    <row r="788">
      <c r="A788" s="5" t="s">
        <v>2361</v>
      </c>
      <c r="B788" s="5" t="s">
        <v>110</v>
      </c>
      <c r="C788" s="6" t="s">
        <v>13</v>
      </c>
      <c r="D788" s="5" t="s">
        <v>2349</v>
      </c>
      <c r="E788" s="5" t="s">
        <v>2362</v>
      </c>
      <c r="F788" s="5" t="s">
        <v>37</v>
      </c>
      <c r="G788" s="5" t="s">
        <v>38</v>
      </c>
      <c r="H788" s="5" t="s">
        <v>18</v>
      </c>
      <c r="I788" s="7" t="s">
        <v>2363</v>
      </c>
      <c r="J788" s="8" t="s">
        <v>13</v>
      </c>
    </row>
    <row r="789">
      <c r="A789" s="5" t="s">
        <v>2364</v>
      </c>
      <c r="B789" s="5" t="s">
        <v>2365</v>
      </c>
      <c r="C789" s="6" t="s">
        <v>13</v>
      </c>
      <c r="D789" s="5" t="s">
        <v>2349</v>
      </c>
      <c r="E789" s="5" t="s">
        <v>94</v>
      </c>
      <c r="F789" s="5" t="s">
        <v>37</v>
      </c>
      <c r="G789" s="5" t="s">
        <v>38</v>
      </c>
      <c r="H789" s="5" t="s">
        <v>18</v>
      </c>
      <c r="I789" s="7" t="s">
        <v>2366</v>
      </c>
      <c r="J789" s="8" t="s">
        <v>13</v>
      </c>
    </row>
    <row r="790">
      <c r="A790" s="5" t="s">
        <v>2367</v>
      </c>
      <c r="B790" s="5" t="s">
        <v>2368</v>
      </c>
      <c r="C790" s="6" t="s">
        <v>13</v>
      </c>
      <c r="D790" s="5" t="s">
        <v>2349</v>
      </c>
      <c r="E790" s="5" t="s">
        <v>179</v>
      </c>
      <c r="F790" s="5" t="s">
        <v>37</v>
      </c>
      <c r="G790" s="5" t="s">
        <v>38</v>
      </c>
      <c r="H790" s="5" t="s">
        <v>18</v>
      </c>
      <c r="I790" s="7" t="s">
        <v>2369</v>
      </c>
      <c r="J790" s="8" t="s">
        <v>13</v>
      </c>
    </row>
    <row r="791">
      <c r="A791" s="5" t="s">
        <v>2370</v>
      </c>
      <c r="B791" s="5" t="s">
        <v>2371</v>
      </c>
      <c r="C791" s="6" t="s">
        <v>13</v>
      </c>
      <c r="D791" s="5" t="s">
        <v>2349</v>
      </c>
      <c r="E791" s="5" t="s">
        <v>2265</v>
      </c>
      <c r="F791" s="5" t="s">
        <v>37</v>
      </c>
      <c r="G791" s="5" t="s">
        <v>38</v>
      </c>
      <c r="H791" s="5" t="s">
        <v>18</v>
      </c>
      <c r="I791" s="7" t="s">
        <v>2372</v>
      </c>
      <c r="J791" s="8" t="s">
        <v>13</v>
      </c>
    </row>
    <row r="792">
      <c r="A792" s="5" t="s">
        <v>2373</v>
      </c>
      <c r="B792" s="5" t="s">
        <v>25</v>
      </c>
      <c r="C792" s="6" t="s">
        <v>13</v>
      </c>
      <c r="D792" s="5" t="s">
        <v>2349</v>
      </c>
      <c r="E792" s="5" t="s">
        <v>345</v>
      </c>
      <c r="F792" s="5" t="s">
        <v>37</v>
      </c>
      <c r="G792" s="5" t="s">
        <v>38</v>
      </c>
      <c r="H792" s="5" t="s">
        <v>18</v>
      </c>
      <c r="I792" s="7" t="s">
        <v>2374</v>
      </c>
      <c r="J792" s="8" t="s">
        <v>13</v>
      </c>
    </row>
    <row r="793">
      <c r="A793" s="5" t="s">
        <v>2375</v>
      </c>
      <c r="B793" s="5" t="s">
        <v>2376</v>
      </c>
      <c r="C793" s="6" t="s">
        <v>13</v>
      </c>
      <c r="D793" s="5" t="s">
        <v>2349</v>
      </c>
      <c r="E793" s="5" t="s">
        <v>1364</v>
      </c>
      <c r="F793" s="5" t="s">
        <v>37</v>
      </c>
      <c r="G793" s="5" t="s">
        <v>38</v>
      </c>
      <c r="H793" s="5" t="s">
        <v>18</v>
      </c>
      <c r="I793" s="7" t="s">
        <v>2377</v>
      </c>
      <c r="J793" s="8" t="s">
        <v>13</v>
      </c>
    </row>
    <row r="794">
      <c r="A794" s="5" t="s">
        <v>2378</v>
      </c>
      <c r="B794" s="5" t="s">
        <v>25</v>
      </c>
      <c r="C794" s="6" t="s">
        <v>13</v>
      </c>
      <c r="D794" s="5" t="s">
        <v>2349</v>
      </c>
      <c r="E794" s="5" t="s">
        <v>36</v>
      </c>
      <c r="F794" s="6" t="s">
        <v>377</v>
      </c>
      <c r="G794" s="6" t="s">
        <v>378</v>
      </c>
      <c r="H794" s="5" t="s">
        <v>18</v>
      </c>
      <c r="I794" s="7" t="s">
        <v>2379</v>
      </c>
      <c r="J794" s="8" t="s">
        <v>13</v>
      </c>
    </row>
    <row r="795">
      <c r="A795" s="5" t="s">
        <v>2380</v>
      </c>
      <c r="B795" s="5" t="s">
        <v>2381</v>
      </c>
      <c r="C795" s="6" t="s">
        <v>13</v>
      </c>
      <c r="D795" s="5" t="s">
        <v>2349</v>
      </c>
      <c r="E795" s="5" t="s">
        <v>886</v>
      </c>
      <c r="F795" s="5" t="s">
        <v>2382</v>
      </c>
      <c r="G795" s="5" t="s">
        <v>86</v>
      </c>
      <c r="H795" s="5" t="s">
        <v>18</v>
      </c>
      <c r="I795" s="7" t="s">
        <v>2383</v>
      </c>
      <c r="J795" s="8" t="s">
        <v>13</v>
      </c>
    </row>
    <row r="796">
      <c r="A796" s="5" t="s">
        <v>2384</v>
      </c>
      <c r="B796" s="5" t="s">
        <v>110</v>
      </c>
      <c r="C796" s="6" t="s">
        <v>13</v>
      </c>
      <c r="D796" s="5" t="s">
        <v>2349</v>
      </c>
      <c r="E796" s="5" t="s">
        <v>1448</v>
      </c>
      <c r="F796" s="5" t="s">
        <v>414</v>
      </c>
      <c r="G796" s="5" t="s">
        <v>44</v>
      </c>
      <c r="H796" s="5" t="s">
        <v>18</v>
      </c>
      <c r="I796" s="7" t="s">
        <v>2385</v>
      </c>
      <c r="J796" s="8" t="s">
        <v>13</v>
      </c>
    </row>
    <row r="797">
      <c r="A797" s="5" t="s">
        <v>2386</v>
      </c>
      <c r="B797" s="5" t="s">
        <v>2381</v>
      </c>
      <c r="C797" s="6" t="s">
        <v>13</v>
      </c>
      <c r="D797" s="5" t="s">
        <v>2349</v>
      </c>
      <c r="E797" s="5" t="s">
        <v>1830</v>
      </c>
      <c r="F797" s="5" t="s">
        <v>2387</v>
      </c>
      <c r="G797" s="5" t="s">
        <v>96</v>
      </c>
      <c r="H797" s="5" t="s">
        <v>18</v>
      </c>
      <c r="I797" s="7" t="s">
        <v>2388</v>
      </c>
      <c r="J797" s="8" t="s">
        <v>13</v>
      </c>
    </row>
    <row r="798">
      <c r="A798" s="5" t="s">
        <v>2389</v>
      </c>
      <c r="B798" s="5" t="s">
        <v>381</v>
      </c>
      <c r="C798" s="6" t="s">
        <v>13</v>
      </c>
      <c r="D798" s="5" t="s">
        <v>2349</v>
      </c>
      <c r="E798" s="5" t="s">
        <v>106</v>
      </c>
      <c r="F798" s="5" t="s">
        <v>2390</v>
      </c>
      <c r="G798" s="5" t="s">
        <v>102</v>
      </c>
      <c r="H798" s="5" t="s">
        <v>18</v>
      </c>
      <c r="I798" s="7" t="s">
        <v>2391</v>
      </c>
      <c r="J798" s="8" t="s">
        <v>13</v>
      </c>
    </row>
    <row r="799">
      <c r="A799" s="5" t="s">
        <v>2392</v>
      </c>
      <c r="B799" s="5" t="s">
        <v>2393</v>
      </c>
      <c r="C799" s="6" t="s">
        <v>13</v>
      </c>
      <c r="D799" s="5" t="s">
        <v>2349</v>
      </c>
      <c r="E799" s="5" t="s">
        <v>149</v>
      </c>
      <c r="F799" s="5" t="s">
        <v>433</v>
      </c>
      <c r="G799" s="5" t="s">
        <v>44</v>
      </c>
      <c r="H799" s="5" t="s">
        <v>18</v>
      </c>
      <c r="I799" s="7" t="s">
        <v>2394</v>
      </c>
      <c r="J799" s="8" t="s">
        <v>13</v>
      </c>
    </row>
    <row r="800">
      <c r="A800" s="5" t="s">
        <v>2395</v>
      </c>
      <c r="B800" s="5" t="s">
        <v>1028</v>
      </c>
      <c r="C800" s="6" t="s">
        <v>13</v>
      </c>
      <c r="D800" s="5" t="s">
        <v>2349</v>
      </c>
      <c r="E800" s="5" t="s">
        <v>909</v>
      </c>
      <c r="F800" s="5" t="s">
        <v>433</v>
      </c>
      <c r="G800" s="5" t="s">
        <v>44</v>
      </c>
      <c r="H800" s="5" t="s">
        <v>18</v>
      </c>
      <c r="I800" s="7" t="s">
        <v>2396</v>
      </c>
      <c r="J800" s="8" t="s">
        <v>13</v>
      </c>
    </row>
    <row r="801">
      <c r="A801" s="5" t="s">
        <v>2397</v>
      </c>
      <c r="B801" s="5" t="s">
        <v>480</v>
      </c>
      <c r="C801" s="6" t="s">
        <v>13</v>
      </c>
      <c r="D801" s="5" t="s">
        <v>2349</v>
      </c>
      <c r="E801" s="5" t="s">
        <v>1570</v>
      </c>
      <c r="F801" s="5" t="s">
        <v>433</v>
      </c>
      <c r="G801" s="5" t="s">
        <v>44</v>
      </c>
      <c r="H801" s="5" t="s">
        <v>18</v>
      </c>
      <c r="I801" s="7" t="s">
        <v>2398</v>
      </c>
      <c r="J801" s="8" t="s">
        <v>13</v>
      </c>
    </row>
    <row r="802">
      <c r="A802" s="5" t="s">
        <v>2399</v>
      </c>
      <c r="B802" s="5" t="s">
        <v>2400</v>
      </c>
      <c r="C802" s="6" t="s">
        <v>13</v>
      </c>
      <c r="D802" s="5" t="s">
        <v>2349</v>
      </c>
      <c r="E802" s="5" t="s">
        <v>437</v>
      </c>
      <c r="F802" s="5" t="s">
        <v>433</v>
      </c>
      <c r="G802" s="5" t="s">
        <v>44</v>
      </c>
      <c r="H802" s="5" t="s">
        <v>18</v>
      </c>
      <c r="I802" s="7" t="s">
        <v>2401</v>
      </c>
      <c r="J802" s="8" t="s">
        <v>13</v>
      </c>
    </row>
    <row r="803">
      <c r="A803" s="5" t="s">
        <v>2402</v>
      </c>
      <c r="B803" s="5" t="s">
        <v>381</v>
      </c>
      <c r="C803" s="6" t="s">
        <v>13</v>
      </c>
      <c r="D803" s="5" t="s">
        <v>2349</v>
      </c>
      <c r="E803" s="5" t="s">
        <v>94</v>
      </c>
      <c r="F803" s="5" t="s">
        <v>433</v>
      </c>
      <c r="G803" s="5" t="s">
        <v>44</v>
      </c>
      <c r="H803" s="5" t="s">
        <v>18</v>
      </c>
      <c r="I803" s="7" t="s">
        <v>2403</v>
      </c>
      <c r="J803" s="8" t="s">
        <v>13</v>
      </c>
    </row>
    <row r="804">
      <c r="A804" s="5" t="s">
        <v>2404</v>
      </c>
      <c r="B804" s="5" t="s">
        <v>2405</v>
      </c>
      <c r="C804" s="6" t="s">
        <v>13</v>
      </c>
      <c r="D804" s="5" t="s">
        <v>2349</v>
      </c>
      <c r="E804" s="5" t="s">
        <v>376</v>
      </c>
      <c r="F804" s="5" t="s">
        <v>2406</v>
      </c>
      <c r="G804" s="5" t="s">
        <v>378</v>
      </c>
      <c r="H804" s="5" t="s">
        <v>18</v>
      </c>
      <c r="I804" s="7" t="s">
        <v>2407</v>
      </c>
      <c r="J804" s="8" t="s">
        <v>13</v>
      </c>
    </row>
    <row r="805">
      <c r="A805" s="5" t="s">
        <v>2408</v>
      </c>
      <c r="B805" s="5" t="s">
        <v>480</v>
      </c>
      <c r="C805" s="6" t="s">
        <v>13</v>
      </c>
      <c r="D805" s="5" t="s">
        <v>2349</v>
      </c>
      <c r="E805" s="5" t="s">
        <v>1289</v>
      </c>
      <c r="F805" s="5" t="s">
        <v>137</v>
      </c>
      <c r="G805" s="5" t="s">
        <v>137</v>
      </c>
      <c r="H805" s="5" t="s">
        <v>18</v>
      </c>
      <c r="I805" s="7" t="s">
        <v>2409</v>
      </c>
      <c r="J805" s="8" t="s">
        <v>13</v>
      </c>
    </row>
    <row r="806">
      <c r="A806" s="5" t="s">
        <v>2410</v>
      </c>
      <c r="B806" s="5" t="s">
        <v>110</v>
      </c>
      <c r="C806" s="6" t="s">
        <v>13</v>
      </c>
      <c r="D806" s="5" t="s">
        <v>2349</v>
      </c>
      <c r="E806" s="5" t="s">
        <v>500</v>
      </c>
      <c r="F806" s="5" t="s">
        <v>137</v>
      </c>
      <c r="G806" s="5" t="s">
        <v>137</v>
      </c>
      <c r="H806" s="5" t="s">
        <v>18</v>
      </c>
      <c r="I806" s="7" t="s">
        <v>2411</v>
      </c>
      <c r="J806" s="8" t="s">
        <v>13</v>
      </c>
    </row>
    <row r="807">
      <c r="A807" s="5" t="s">
        <v>2412</v>
      </c>
      <c r="B807" s="5" t="s">
        <v>2413</v>
      </c>
      <c r="C807" s="6" t="s">
        <v>13</v>
      </c>
      <c r="D807" s="5" t="s">
        <v>2349</v>
      </c>
      <c r="F807" s="5" t="s">
        <v>137</v>
      </c>
      <c r="G807" s="5" t="s">
        <v>137</v>
      </c>
      <c r="H807" s="5" t="s">
        <v>18</v>
      </c>
      <c r="I807" s="7" t="s">
        <v>2414</v>
      </c>
      <c r="J807" s="8" t="s">
        <v>13</v>
      </c>
    </row>
    <row r="808">
      <c r="A808" s="5" t="s">
        <v>2415</v>
      </c>
      <c r="B808" s="5" t="s">
        <v>480</v>
      </c>
      <c r="C808" s="6" t="s">
        <v>13</v>
      </c>
      <c r="D808" s="5" t="s">
        <v>2349</v>
      </c>
      <c r="E808" s="5" t="s">
        <v>1105</v>
      </c>
      <c r="F808" s="5" t="s">
        <v>295</v>
      </c>
      <c r="G808" s="5" t="s">
        <v>154</v>
      </c>
      <c r="H808" s="5" t="s">
        <v>18</v>
      </c>
      <c r="I808" s="7" t="s">
        <v>2416</v>
      </c>
      <c r="J808" s="8" t="s">
        <v>13</v>
      </c>
    </row>
    <row r="809">
      <c r="A809" s="5" t="s">
        <v>2417</v>
      </c>
      <c r="B809" s="5" t="s">
        <v>2418</v>
      </c>
      <c r="C809" s="6" t="s">
        <v>13</v>
      </c>
      <c r="D809" s="5" t="s">
        <v>2349</v>
      </c>
      <c r="E809" s="5" t="s">
        <v>268</v>
      </c>
      <c r="F809" s="5" t="s">
        <v>2419</v>
      </c>
      <c r="G809" s="5" t="s">
        <v>102</v>
      </c>
      <c r="H809" s="5" t="s">
        <v>18</v>
      </c>
      <c r="I809" s="7" t="s">
        <v>2420</v>
      </c>
      <c r="J809" s="8" t="s">
        <v>13</v>
      </c>
    </row>
    <row r="810">
      <c r="A810" s="5" t="s">
        <v>2421</v>
      </c>
      <c r="B810" s="5" t="s">
        <v>2348</v>
      </c>
      <c r="C810" s="6" t="s">
        <v>13</v>
      </c>
      <c r="D810" s="5" t="s">
        <v>2349</v>
      </c>
      <c r="E810" s="5" t="s">
        <v>48</v>
      </c>
      <c r="F810" s="5" t="s">
        <v>166</v>
      </c>
      <c r="G810" s="5" t="s">
        <v>44</v>
      </c>
      <c r="H810" s="5" t="s">
        <v>18</v>
      </c>
      <c r="I810" s="8" t="s">
        <v>2422</v>
      </c>
      <c r="J810" s="8" t="s">
        <v>13</v>
      </c>
    </row>
    <row r="811">
      <c r="A811" s="5" t="s">
        <v>2423</v>
      </c>
      <c r="B811" s="5" t="s">
        <v>2424</v>
      </c>
      <c r="C811" s="6" t="s">
        <v>13</v>
      </c>
      <c r="D811" s="5" t="s">
        <v>2349</v>
      </c>
      <c r="E811" s="5" t="s">
        <v>48</v>
      </c>
      <c r="F811" s="5" t="s">
        <v>166</v>
      </c>
      <c r="G811" s="5" t="s">
        <v>44</v>
      </c>
      <c r="H811" s="5" t="s">
        <v>18</v>
      </c>
      <c r="I811" s="7" t="s">
        <v>2425</v>
      </c>
      <c r="J811" s="8" t="s">
        <v>13</v>
      </c>
    </row>
    <row r="812">
      <c r="A812" s="5" t="s">
        <v>2426</v>
      </c>
      <c r="B812" s="5" t="s">
        <v>2427</v>
      </c>
      <c r="C812" s="6" t="s">
        <v>13</v>
      </c>
      <c r="D812" s="5" t="s">
        <v>2349</v>
      </c>
      <c r="E812" s="5" t="s">
        <v>2428</v>
      </c>
      <c r="F812" s="5" t="s">
        <v>166</v>
      </c>
      <c r="G812" s="5" t="s">
        <v>44</v>
      </c>
      <c r="H812" s="5" t="s">
        <v>18</v>
      </c>
      <c r="I812" s="7" t="s">
        <v>2429</v>
      </c>
      <c r="J812" s="8" t="s">
        <v>13</v>
      </c>
    </row>
    <row r="813">
      <c r="A813" s="5" t="s">
        <v>2430</v>
      </c>
      <c r="B813" s="5" t="s">
        <v>2431</v>
      </c>
      <c r="C813" s="6" t="s">
        <v>13</v>
      </c>
      <c r="D813" s="5" t="s">
        <v>2349</v>
      </c>
      <c r="E813" s="5" t="s">
        <v>1718</v>
      </c>
      <c r="F813" s="5" t="s">
        <v>166</v>
      </c>
      <c r="G813" s="5" t="s">
        <v>44</v>
      </c>
      <c r="H813" s="5" t="s">
        <v>18</v>
      </c>
      <c r="I813" s="7" t="s">
        <v>2432</v>
      </c>
      <c r="J813" s="8" t="s">
        <v>13</v>
      </c>
    </row>
    <row r="814">
      <c r="A814" s="5" t="s">
        <v>2433</v>
      </c>
      <c r="B814" s="5" t="s">
        <v>25</v>
      </c>
      <c r="C814" s="6" t="s">
        <v>13</v>
      </c>
      <c r="D814" s="5" t="s">
        <v>2349</v>
      </c>
      <c r="F814" s="5" t="s">
        <v>166</v>
      </c>
      <c r="G814" s="5" t="s">
        <v>44</v>
      </c>
      <c r="H814" s="5" t="s">
        <v>18</v>
      </c>
      <c r="I814" s="7" t="s">
        <v>2434</v>
      </c>
      <c r="J814" s="8" t="s">
        <v>13</v>
      </c>
    </row>
    <row r="815">
      <c r="A815" s="5" t="s">
        <v>2435</v>
      </c>
      <c r="B815" s="5" t="s">
        <v>328</v>
      </c>
      <c r="C815" s="6" t="s">
        <v>13</v>
      </c>
      <c r="D815" s="5" t="s">
        <v>2349</v>
      </c>
      <c r="E815" s="5" t="s">
        <v>651</v>
      </c>
      <c r="F815" s="5" t="s">
        <v>166</v>
      </c>
      <c r="G815" s="5" t="s">
        <v>44</v>
      </c>
      <c r="H815" s="5" t="s">
        <v>18</v>
      </c>
      <c r="I815" s="7" t="s">
        <v>2436</v>
      </c>
      <c r="J815" s="8" t="s">
        <v>13</v>
      </c>
    </row>
    <row r="816">
      <c r="A816" s="5" t="s">
        <v>2437</v>
      </c>
      <c r="B816" s="5" t="s">
        <v>110</v>
      </c>
      <c r="C816" s="6" t="s">
        <v>13</v>
      </c>
      <c r="D816" s="5" t="s">
        <v>2349</v>
      </c>
      <c r="E816" s="5" t="s">
        <v>213</v>
      </c>
      <c r="F816" s="5" t="s">
        <v>166</v>
      </c>
      <c r="G816" s="5" t="s">
        <v>44</v>
      </c>
      <c r="H816" s="5" t="s">
        <v>18</v>
      </c>
      <c r="I816" s="7" t="s">
        <v>2438</v>
      </c>
      <c r="J816" s="8" t="s">
        <v>13</v>
      </c>
    </row>
    <row r="817">
      <c r="A817" s="5" t="s">
        <v>2439</v>
      </c>
      <c r="B817" s="5" t="s">
        <v>2440</v>
      </c>
      <c r="C817" s="6" t="s">
        <v>13</v>
      </c>
      <c r="D817" s="5" t="s">
        <v>2349</v>
      </c>
      <c r="E817" s="5" t="s">
        <v>1371</v>
      </c>
      <c r="F817" s="5" t="s">
        <v>169</v>
      </c>
      <c r="G817" s="5" t="s">
        <v>44</v>
      </c>
      <c r="H817" s="5" t="s">
        <v>18</v>
      </c>
      <c r="I817" s="7" t="s">
        <v>2441</v>
      </c>
      <c r="J817" s="8" t="s">
        <v>13</v>
      </c>
    </row>
    <row r="818">
      <c r="A818" s="5" t="s">
        <v>2442</v>
      </c>
      <c r="B818" s="5" t="s">
        <v>2443</v>
      </c>
      <c r="C818" s="6" t="s">
        <v>13</v>
      </c>
      <c r="D818" s="5" t="s">
        <v>2349</v>
      </c>
      <c r="E818" s="5" t="s">
        <v>2428</v>
      </c>
      <c r="F818" s="5" t="s">
        <v>169</v>
      </c>
      <c r="G818" s="5" t="s">
        <v>44</v>
      </c>
      <c r="H818" s="5" t="s">
        <v>18</v>
      </c>
      <c r="I818" s="8" t="s">
        <v>2444</v>
      </c>
      <c r="J818" s="8" t="s">
        <v>13</v>
      </c>
    </row>
    <row r="819">
      <c r="A819" s="5" t="s">
        <v>2445</v>
      </c>
      <c r="B819" s="5" t="s">
        <v>2446</v>
      </c>
      <c r="C819" s="6" t="s">
        <v>13</v>
      </c>
      <c r="D819" s="5" t="s">
        <v>2349</v>
      </c>
      <c r="E819" s="5" t="s">
        <v>1460</v>
      </c>
      <c r="F819" s="5" t="s">
        <v>311</v>
      </c>
      <c r="G819" s="5" t="s">
        <v>102</v>
      </c>
      <c r="H819" s="5" t="s">
        <v>18</v>
      </c>
      <c r="I819" s="8" t="s">
        <v>2447</v>
      </c>
      <c r="J819" s="8" t="s">
        <v>13</v>
      </c>
    </row>
    <row r="820">
      <c r="A820" s="5" t="s">
        <v>2448</v>
      </c>
      <c r="B820" s="5" t="s">
        <v>110</v>
      </c>
      <c r="C820" s="6" t="s">
        <v>13</v>
      </c>
      <c r="D820" s="5" t="s">
        <v>2349</v>
      </c>
      <c r="E820" s="5" t="s">
        <v>1751</v>
      </c>
      <c r="F820" s="5" t="s">
        <v>311</v>
      </c>
      <c r="G820" s="5" t="s">
        <v>102</v>
      </c>
      <c r="H820" s="5" t="s">
        <v>18</v>
      </c>
      <c r="I820" s="7" t="s">
        <v>2449</v>
      </c>
      <c r="J820" s="8" t="s">
        <v>13</v>
      </c>
    </row>
    <row r="821">
      <c r="A821" s="5" t="s">
        <v>2450</v>
      </c>
      <c r="B821" s="5" t="s">
        <v>110</v>
      </c>
      <c r="C821" s="6" t="s">
        <v>13</v>
      </c>
      <c r="D821" s="5" t="s">
        <v>2349</v>
      </c>
      <c r="E821" s="5" t="s">
        <v>446</v>
      </c>
      <c r="F821" s="5" t="s">
        <v>468</v>
      </c>
      <c r="G821" s="5" t="s">
        <v>44</v>
      </c>
      <c r="H821" s="5" t="s">
        <v>18</v>
      </c>
      <c r="I821" s="7" t="s">
        <v>2451</v>
      </c>
      <c r="J821" s="8" t="s">
        <v>13</v>
      </c>
    </row>
    <row r="822">
      <c r="A822" s="5" t="s">
        <v>2452</v>
      </c>
      <c r="B822" s="5" t="s">
        <v>2453</v>
      </c>
      <c r="C822" s="6" t="s">
        <v>13</v>
      </c>
      <c r="D822" s="5" t="s">
        <v>2349</v>
      </c>
      <c r="E822" s="5" t="s">
        <v>144</v>
      </c>
      <c r="F822" s="5" t="s">
        <v>468</v>
      </c>
      <c r="G822" s="5" t="s">
        <v>44</v>
      </c>
      <c r="H822" s="5" t="s">
        <v>18</v>
      </c>
      <c r="I822" s="7" t="s">
        <v>2454</v>
      </c>
      <c r="J822" s="8" t="s">
        <v>13</v>
      </c>
    </row>
    <row r="823">
      <c r="A823" s="5" t="s">
        <v>2455</v>
      </c>
      <c r="B823" s="5" t="s">
        <v>110</v>
      </c>
      <c r="C823" s="6" t="s">
        <v>13</v>
      </c>
      <c r="D823" s="5" t="s">
        <v>2349</v>
      </c>
      <c r="E823" s="5" t="s">
        <v>144</v>
      </c>
      <c r="F823" s="5" t="s">
        <v>37</v>
      </c>
      <c r="G823" s="5" t="s">
        <v>38</v>
      </c>
      <c r="H823" s="5" t="s">
        <v>18</v>
      </c>
      <c r="I823" s="7" t="s">
        <v>2456</v>
      </c>
      <c r="J823" s="8" t="s">
        <v>13</v>
      </c>
    </row>
    <row r="824">
      <c r="A824" s="5" t="s">
        <v>2457</v>
      </c>
      <c r="B824" s="5" t="s">
        <v>25</v>
      </c>
      <c r="C824" s="6" t="s">
        <v>13</v>
      </c>
      <c r="D824" s="5" t="s">
        <v>2458</v>
      </c>
      <c r="F824" s="5" t="s">
        <v>2100</v>
      </c>
      <c r="G824" s="5" t="s">
        <v>264</v>
      </c>
      <c r="H824" s="5" t="s">
        <v>18</v>
      </c>
      <c r="I824" s="7" t="s">
        <v>2459</v>
      </c>
      <c r="J824" s="8" t="s">
        <v>13</v>
      </c>
    </row>
    <row r="825">
      <c r="A825" s="5" t="s">
        <v>2460</v>
      </c>
      <c r="B825" s="5" t="s">
        <v>110</v>
      </c>
      <c r="C825" s="6" t="s">
        <v>13</v>
      </c>
      <c r="D825" s="5" t="s">
        <v>2458</v>
      </c>
      <c r="E825" s="5" t="s">
        <v>48</v>
      </c>
      <c r="F825" s="5" t="s">
        <v>16</v>
      </c>
      <c r="G825" s="5" t="s">
        <v>17</v>
      </c>
      <c r="H825" s="5" t="s">
        <v>18</v>
      </c>
      <c r="I825" s="7" t="s">
        <v>2461</v>
      </c>
      <c r="J825" s="8" t="s">
        <v>13</v>
      </c>
    </row>
    <row r="826">
      <c r="A826" s="5" t="s">
        <v>2462</v>
      </c>
      <c r="B826" s="5" t="s">
        <v>766</v>
      </c>
      <c r="C826" s="6" t="s">
        <v>13</v>
      </c>
      <c r="D826" s="5" t="s">
        <v>2458</v>
      </c>
      <c r="E826" s="5" t="s">
        <v>192</v>
      </c>
      <c r="F826" s="5" t="s">
        <v>49</v>
      </c>
      <c r="G826" s="5" t="s">
        <v>50</v>
      </c>
      <c r="H826" s="5" t="s">
        <v>18</v>
      </c>
      <c r="I826" s="7" t="s">
        <v>2463</v>
      </c>
      <c r="J826" s="8" t="s">
        <v>13</v>
      </c>
    </row>
    <row r="827">
      <c r="A827" s="5" t="s">
        <v>2464</v>
      </c>
      <c r="B827" s="5" t="s">
        <v>110</v>
      </c>
      <c r="C827" s="6" t="s">
        <v>13</v>
      </c>
      <c r="D827" s="5" t="s">
        <v>2458</v>
      </c>
      <c r="E827" s="5" t="s">
        <v>909</v>
      </c>
      <c r="F827" s="6" t="s">
        <v>64</v>
      </c>
      <c r="G827" s="6" t="s">
        <v>65</v>
      </c>
      <c r="H827" s="5" t="s">
        <v>18</v>
      </c>
      <c r="I827" s="7" t="s">
        <v>2465</v>
      </c>
      <c r="J827" s="8" t="s">
        <v>13</v>
      </c>
    </row>
    <row r="828">
      <c r="A828" s="5" t="s">
        <v>2466</v>
      </c>
      <c r="B828" s="5" t="s">
        <v>110</v>
      </c>
      <c r="C828" s="6" t="s">
        <v>13</v>
      </c>
      <c r="D828" s="5" t="s">
        <v>2458</v>
      </c>
      <c r="E828" s="5" t="s">
        <v>144</v>
      </c>
      <c r="F828" s="6" t="s">
        <v>64</v>
      </c>
      <c r="G828" s="6" t="s">
        <v>65</v>
      </c>
      <c r="H828" s="5" t="s">
        <v>18</v>
      </c>
      <c r="I828" s="7" t="s">
        <v>2467</v>
      </c>
      <c r="J828" s="8" t="s">
        <v>13</v>
      </c>
    </row>
    <row r="829">
      <c r="A829" s="5" t="s">
        <v>2468</v>
      </c>
      <c r="B829" s="5" t="s">
        <v>110</v>
      </c>
      <c r="C829" s="6" t="s">
        <v>13</v>
      </c>
      <c r="D829" s="5" t="s">
        <v>2458</v>
      </c>
      <c r="E829" s="5" t="s">
        <v>686</v>
      </c>
      <c r="F829" s="5" t="s">
        <v>1274</v>
      </c>
      <c r="G829" s="5" t="s">
        <v>76</v>
      </c>
      <c r="H829" s="5" t="s">
        <v>18</v>
      </c>
      <c r="I829" s="7" t="s">
        <v>2469</v>
      </c>
      <c r="J829" s="8" t="s">
        <v>13</v>
      </c>
    </row>
    <row r="830">
      <c r="A830" s="5" t="s">
        <v>2470</v>
      </c>
      <c r="B830" s="5" t="s">
        <v>110</v>
      </c>
      <c r="C830" s="6" t="s">
        <v>13</v>
      </c>
      <c r="D830" s="5" t="s">
        <v>2458</v>
      </c>
      <c r="E830" s="5" t="s">
        <v>182</v>
      </c>
      <c r="F830" s="5" t="s">
        <v>635</v>
      </c>
      <c r="G830" s="5" t="s">
        <v>76</v>
      </c>
      <c r="H830" s="5" t="s">
        <v>18</v>
      </c>
      <c r="I830" s="7" t="s">
        <v>2471</v>
      </c>
      <c r="J830" s="8" t="s">
        <v>13</v>
      </c>
    </row>
    <row r="831">
      <c r="A831" s="5" t="s">
        <v>2472</v>
      </c>
      <c r="B831" s="5" t="s">
        <v>2473</v>
      </c>
      <c r="C831" s="6" t="s">
        <v>13</v>
      </c>
      <c r="D831" s="5" t="s">
        <v>2458</v>
      </c>
      <c r="E831" s="5" t="s">
        <v>1025</v>
      </c>
      <c r="F831" s="5" t="s">
        <v>80</v>
      </c>
      <c r="G831" s="5" t="s">
        <v>38</v>
      </c>
      <c r="H831" s="5" t="s">
        <v>18</v>
      </c>
      <c r="I831" s="8" t="s">
        <v>2474</v>
      </c>
      <c r="J831" s="8" t="s">
        <v>13</v>
      </c>
    </row>
    <row r="832">
      <c r="A832" s="5" t="s">
        <v>2475</v>
      </c>
      <c r="B832" s="5" t="s">
        <v>2476</v>
      </c>
      <c r="C832" s="6" t="s">
        <v>13</v>
      </c>
      <c r="D832" s="5" t="s">
        <v>2458</v>
      </c>
      <c r="E832" s="5" t="s">
        <v>188</v>
      </c>
      <c r="F832" s="5" t="s">
        <v>80</v>
      </c>
      <c r="G832" s="5" t="s">
        <v>38</v>
      </c>
      <c r="H832" s="5" t="s">
        <v>18</v>
      </c>
      <c r="I832" s="8" t="s">
        <v>2477</v>
      </c>
      <c r="J832" s="8" t="s">
        <v>13</v>
      </c>
    </row>
    <row r="833">
      <c r="A833" s="5" t="s">
        <v>2478</v>
      </c>
      <c r="B833" s="5" t="s">
        <v>766</v>
      </c>
      <c r="C833" s="6" t="s">
        <v>13</v>
      </c>
      <c r="D833" s="5" t="s">
        <v>2458</v>
      </c>
      <c r="E833" s="5" t="s">
        <v>144</v>
      </c>
      <c r="F833" s="5" t="s">
        <v>112</v>
      </c>
      <c r="G833" s="5" t="s">
        <v>38</v>
      </c>
      <c r="H833" s="5" t="s">
        <v>18</v>
      </c>
      <c r="I833" s="7" t="s">
        <v>2479</v>
      </c>
      <c r="J833" s="8" t="s">
        <v>13</v>
      </c>
    </row>
    <row r="834">
      <c r="A834" s="5" t="s">
        <v>2480</v>
      </c>
      <c r="B834" s="5" t="s">
        <v>110</v>
      </c>
      <c r="C834" s="6" t="s">
        <v>13</v>
      </c>
      <c r="D834" s="5" t="s">
        <v>2458</v>
      </c>
      <c r="E834" s="5" t="s">
        <v>651</v>
      </c>
      <c r="F834" s="5" t="s">
        <v>166</v>
      </c>
      <c r="G834" s="5" t="s">
        <v>44</v>
      </c>
      <c r="H834" s="5" t="s">
        <v>18</v>
      </c>
      <c r="I834" s="8" t="s">
        <v>2481</v>
      </c>
      <c r="J834" s="8" t="s">
        <v>13</v>
      </c>
    </row>
    <row r="835">
      <c r="A835" s="5" t="s">
        <v>2482</v>
      </c>
      <c r="B835" s="5" t="s">
        <v>766</v>
      </c>
      <c r="C835" s="6" t="s">
        <v>13</v>
      </c>
      <c r="D835" s="5" t="s">
        <v>2458</v>
      </c>
      <c r="E835" s="5" t="s">
        <v>192</v>
      </c>
      <c r="F835" s="5" t="s">
        <v>1131</v>
      </c>
      <c r="G835" s="5" t="s">
        <v>203</v>
      </c>
      <c r="H835" s="5" t="s">
        <v>18</v>
      </c>
      <c r="I835" s="7" t="s">
        <v>2483</v>
      </c>
      <c r="J835" s="8" t="s">
        <v>13</v>
      </c>
    </row>
    <row r="836">
      <c r="A836" s="5" t="s">
        <v>2484</v>
      </c>
      <c r="B836" s="5" t="s">
        <v>110</v>
      </c>
      <c r="C836" s="6" t="s">
        <v>13</v>
      </c>
      <c r="D836" s="5" t="s">
        <v>2458</v>
      </c>
      <c r="E836" s="5" t="s">
        <v>421</v>
      </c>
      <c r="F836" s="5" t="s">
        <v>102</v>
      </c>
      <c r="G836" s="5" t="s">
        <v>172</v>
      </c>
      <c r="H836" s="5" t="s">
        <v>18</v>
      </c>
      <c r="I836" s="7" t="s">
        <v>2485</v>
      </c>
      <c r="J836" s="8" t="s">
        <v>13</v>
      </c>
    </row>
    <row r="837">
      <c r="A837" s="5" t="s">
        <v>2486</v>
      </c>
      <c r="B837" s="5" t="s">
        <v>2487</v>
      </c>
      <c r="C837" s="6" t="s">
        <v>13</v>
      </c>
      <c r="D837" s="5" t="s">
        <v>2488</v>
      </c>
      <c r="E837" s="5" t="s">
        <v>421</v>
      </c>
      <c r="F837" s="5" t="s">
        <v>1274</v>
      </c>
      <c r="G837" s="5" t="s">
        <v>76</v>
      </c>
      <c r="H837" s="5" t="s">
        <v>18</v>
      </c>
      <c r="I837" s="7" t="s">
        <v>2489</v>
      </c>
      <c r="J837" s="8" t="s">
        <v>13</v>
      </c>
    </row>
    <row r="838">
      <c r="A838" s="5" t="s">
        <v>2490</v>
      </c>
      <c r="B838" s="5" t="s">
        <v>110</v>
      </c>
      <c r="C838" s="6" t="s">
        <v>13</v>
      </c>
      <c r="D838" s="5" t="s">
        <v>2488</v>
      </c>
      <c r="E838" s="5" t="s">
        <v>237</v>
      </c>
      <c r="F838" s="5" t="s">
        <v>2491</v>
      </c>
      <c r="G838" s="5" t="s">
        <v>44</v>
      </c>
      <c r="H838" s="5" t="s">
        <v>18</v>
      </c>
      <c r="I838" s="7" t="s">
        <v>2492</v>
      </c>
      <c r="J838" s="8" t="s">
        <v>13</v>
      </c>
    </row>
    <row r="839">
      <c r="A839" s="5" t="s">
        <v>2493</v>
      </c>
      <c r="B839" s="5" t="s">
        <v>2494</v>
      </c>
      <c r="C839" s="6" t="s">
        <v>13</v>
      </c>
      <c r="D839" s="5" t="s">
        <v>2488</v>
      </c>
      <c r="E839" s="5" t="s">
        <v>2495</v>
      </c>
      <c r="F839" s="5" t="s">
        <v>223</v>
      </c>
      <c r="G839" s="5" t="s">
        <v>224</v>
      </c>
      <c r="H839" s="5" t="s">
        <v>18</v>
      </c>
      <c r="I839" s="7" t="s">
        <v>2496</v>
      </c>
      <c r="J839" s="8" t="s">
        <v>13</v>
      </c>
    </row>
    <row r="840">
      <c r="A840" s="5" t="s">
        <v>2497</v>
      </c>
      <c r="B840" s="5" t="s">
        <v>404</v>
      </c>
      <c r="C840" s="6" t="s">
        <v>13</v>
      </c>
      <c r="D840" s="5" t="s">
        <v>2488</v>
      </c>
      <c r="E840" s="5" t="s">
        <v>268</v>
      </c>
      <c r="F840" s="5" t="s">
        <v>801</v>
      </c>
      <c r="G840" s="5" t="s">
        <v>50</v>
      </c>
      <c r="H840" s="5" t="s">
        <v>18</v>
      </c>
      <c r="I840" s="7" t="s">
        <v>2498</v>
      </c>
      <c r="J840" s="8" t="s">
        <v>13</v>
      </c>
    </row>
    <row r="841">
      <c r="A841" s="5" t="s">
        <v>2499</v>
      </c>
      <c r="B841" s="5" t="s">
        <v>625</v>
      </c>
      <c r="C841" s="6" t="s">
        <v>13</v>
      </c>
      <c r="D841" s="5" t="s">
        <v>2500</v>
      </c>
      <c r="E841" s="5" t="s">
        <v>727</v>
      </c>
      <c r="F841" s="5" t="s">
        <v>377</v>
      </c>
      <c r="G841" s="5" t="s">
        <v>378</v>
      </c>
      <c r="H841" s="5" t="s">
        <v>18</v>
      </c>
      <c r="I841" s="7" t="s">
        <v>2501</v>
      </c>
      <c r="J841" s="8" t="s">
        <v>13</v>
      </c>
    </row>
    <row r="842">
      <c r="A842" s="5" t="s">
        <v>2502</v>
      </c>
      <c r="B842" s="5" t="s">
        <v>2503</v>
      </c>
      <c r="C842" s="6" t="s">
        <v>13</v>
      </c>
      <c r="D842" s="5" t="s">
        <v>2500</v>
      </c>
      <c r="E842" s="5" t="s">
        <v>48</v>
      </c>
      <c r="F842" s="5" t="s">
        <v>377</v>
      </c>
      <c r="G842" s="5" t="s">
        <v>378</v>
      </c>
      <c r="H842" s="5" t="s">
        <v>18</v>
      </c>
      <c r="I842" s="7" t="s">
        <v>2504</v>
      </c>
      <c r="J842" s="8" t="s">
        <v>13</v>
      </c>
    </row>
    <row r="843">
      <c r="A843" s="5" t="s">
        <v>2505</v>
      </c>
      <c r="B843" s="5" t="s">
        <v>2506</v>
      </c>
      <c r="C843" s="6" t="s">
        <v>13</v>
      </c>
      <c r="D843" s="5" t="s">
        <v>2500</v>
      </c>
      <c r="E843" s="5" t="s">
        <v>980</v>
      </c>
      <c r="F843" s="6" t="s">
        <v>377</v>
      </c>
      <c r="G843" s="6" t="s">
        <v>378</v>
      </c>
      <c r="H843" s="5" t="s">
        <v>18</v>
      </c>
      <c r="I843" s="8" t="s">
        <v>2507</v>
      </c>
      <c r="J843" s="8" t="s">
        <v>13</v>
      </c>
    </row>
    <row r="844">
      <c r="A844" s="5" t="s">
        <v>2508</v>
      </c>
      <c r="B844" s="5" t="s">
        <v>25</v>
      </c>
      <c r="C844" s="6" t="s">
        <v>13</v>
      </c>
      <c r="D844" s="5" t="s">
        <v>2500</v>
      </c>
      <c r="E844" s="5" t="s">
        <v>26</v>
      </c>
      <c r="F844" s="6" t="s">
        <v>377</v>
      </c>
      <c r="G844" s="6" t="s">
        <v>378</v>
      </c>
      <c r="H844" s="5" t="s">
        <v>18</v>
      </c>
      <c r="I844" s="7" t="s">
        <v>2509</v>
      </c>
      <c r="J844" s="8" t="s">
        <v>13</v>
      </c>
    </row>
    <row r="845">
      <c r="A845" s="5" t="s">
        <v>2510</v>
      </c>
      <c r="B845" s="5" t="s">
        <v>2511</v>
      </c>
      <c r="C845" s="6" t="s">
        <v>13</v>
      </c>
      <c r="D845" s="5" t="s">
        <v>2500</v>
      </c>
      <c r="E845" s="5" t="s">
        <v>192</v>
      </c>
      <c r="F845" s="6" t="s">
        <v>377</v>
      </c>
      <c r="G845" s="6" t="s">
        <v>378</v>
      </c>
      <c r="H845" s="5" t="s">
        <v>18</v>
      </c>
      <c r="I845" s="7" t="s">
        <v>2512</v>
      </c>
      <c r="J845" s="8" t="s">
        <v>13</v>
      </c>
    </row>
    <row r="846">
      <c r="A846" s="5" t="s">
        <v>2513</v>
      </c>
      <c r="B846" s="5" t="s">
        <v>110</v>
      </c>
      <c r="C846" s="6" t="s">
        <v>13</v>
      </c>
      <c r="D846" s="5" t="s">
        <v>2514</v>
      </c>
      <c r="E846" s="5" t="s">
        <v>237</v>
      </c>
      <c r="F846" s="5" t="s">
        <v>122</v>
      </c>
      <c r="G846" s="5" t="s">
        <v>44</v>
      </c>
      <c r="H846" s="5" t="s">
        <v>18</v>
      </c>
      <c r="I846" s="7" t="s">
        <v>2515</v>
      </c>
      <c r="J846" s="8" t="s">
        <v>13</v>
      </c>
    </row>
    <row r="847">
      <c r="A847" s="5" t="s">
        <v>2516</v>
      </c>
      <c r="B847" s="5" t="s">
        <v>110</v>
      </c>
      <c r="C847" s="6" t="s">
        <v>13</v>
      </c>
      <c r="D847" s="5" t="s">
        <v>2514</v>
      </c>
      <c r="E847" s="5" t="s">
        <v>237</v>
      </c>
      <c r="F847" s="5" t="s">
        <v>122</v>
      </c>
      <c r="G847" s="5" t="s">
        <v>44</v>
      </c>
      <c r="H847" s="5" t="s">
        <v>18</v>
      </c>
      <c r="I847" s="7" t="s">
        <v>2517</v>
      </c>
      <c r="J847" s="8" t="s">
        <v>13</v>
      </c>
    </row>
    <row r="848">
      <c r="A848" s="5" t="s">
        <v>2518</v>
      </c>
      <c r="B848" s="5" t="s">
        <v>2519</v>
      </c>
      <c r="C848" s="6" t="s">
        <v>13</v>
      </c>
      <c r="D848" s="5" t="s">
        <v>2520</v>
      </c>
      <c r="E848" s="5" t="s">
        <v>100</v>
      </c>
      <c r="F848" s="5" t="s">
        <v>2521</v>
      </c>
      <c r="G848" s="5" t="s">
        <v>137</v>
      </c>
      <c r="H848" s="5" t="s">
        <v>18</v>
      </c>
      <c r="I848" s="7" t="s">
        <v>2522</v>
      </c>
      <c r="J848" s="8" t="s">
        <v>13</v>
      </c>
    </row>
    <row r="849">
      <c r="A849" s="5" t="s">
        <v>2523</v>
      </c>
      <c r="B849" s="5" t="s">
        <v>2524</v>
      </c>
      <c r="C849" s="6" t="s">
        <v>4</v>
      </c>
      <c r="D849" s="5" t="s">
        <v>2520</v>
      </c>
      <c r="E849" s="5" t="s">
        <v>2525</v>
      </c>
      <c r="F849" s="5" t="s">
        <v>2526</v>
      </c>
      <c r="G849" s="5" t="s">
        <v>50</v>
      </c>
      <c r="H849" s="5" t="s">
        <v>18</v>
      </c>
      <c r="I849" s="7" t="s">
        <v>2527</v>
      </c>
      <c r="J849" s="8" t="s">
        <v>13</v>
      </c>
    </row>
    <row r="850">
      <c r="A850" s="5" t="s">
        <v>2528</v>
      </c>
      <c r="B850" s="5" t="s">
        <v>2529</v>
      </c>
      <c r="C850" s="6" t="s">
        <v>13</v>
      </c>
      <c r="D850" s="5" t="s">
        <v>2530</v>
      </c>
      <c r="E850" s="5" t="s">
        <v>421</v>
      </c>
      <c r="F850" s="5" t="s">
        <v>37</v>
      </c>
      <c r="G850" s="5" t="s">
        <v>38</v>
      </c>
      <c r="H850" s="5" t="s">
        <v>18</v>
      </c>
      <c r="I850" s="7" t="s">
        <v>2531</v>
      </c>
      <c r="J850" s="8" t="s">
        <v>13</v>
      </c>
    </row>
    <row r="851">
      <c r="A851" s="5" t="s">
        <v>2532</v>
      </c>
      <c r="B851" s="5" t="s">
        <v>2533</v>
      </c>
      <c r="C851" s="6" t="s">
        <v>13</v>
      </c>
      <c r="D851" s="5" t="s">
        <v>2530</v>
      </c>
      <c r="E851" s="5" t="s">
        <v>29</v>
      </c>
      <c r="F851" s="6" t="s">
        <v>64</v>
      </c>
      <c r="G851" s="6" t="s">
        <v>65</v>
      </c>
      <c r="H851" s="5" t="s">
        <v>18</v>
      </c>
      <c r="I851" s="7" t="s">
        <v>2534</v>
      </c>
      <c r="J851" s="8" t="s">
        <v>13</v>
      </c>
    </row>
    <row r="852">
      <c r="A852" s="5" t="s">
        <v>2535</v>
      </c>
      <c r="B852" s="5" t="s">
        <v>110</v>
      </c>
      <c r="C852" s="6" t="s">
        <v>13</v>
      </c>
      <c r="D852" s="5" t="s">
        <v>2530</v>
      </c>
      <c r="E852" s="5" t="s">
        <v>712</v>
      </c>
      <c r="F852" s="5" t="s">
        <v>2536</v>
      </c>
      <c r="G852" s="5" t="s">
        <v>86</v>
      </c>
      <c r="H852" s="5" t="s">
        <v>18</v>
      </c>
      <c r="I852" s="7" t="s">
        <v>2537</v>
      </c>
      <c r="J852" s="8" t="s">
        <v>13</v>
      </c>
    </row>
    <row r="853">
      <c r="A853" s="5" t="s">
        <v>2538</v>
      </c>
      <c r="B853" s="5" t="s">
        <v>2539</v>
      </c>
      <c r="C853" s="6" t="s">
        <v>13</v>
      </c>
      <c r="D853" s="5" t="s">
        <v>2530</v>
      </c>
      <c r="E853" s="5" t="s">
        <v>890</v>
      </c>
      <c r="F853" s="5" t="s">
        <v>2540</v>
      </c>
      <c r="G853" s="5" t="s">
        <v>1305</v>
      </c>
      <c r="H853" s="5" t="s">
        <v>18</v>
      </c>
      <c r="I853" s="7" t="s">
        <v>2541</v>
      </c>
      <c r="J853" s="8" t="s">
        <v>13</v>
      </c>
    </row>
    <row r="854">
      <c r="A854" s="5" t="s">
        <v>2542</v>
      </c>
      <c r="B854" s="5" t="s">
        <v>2543</v>
      </c>
      <c r="C854" s="6" t="s">
        <v>13</v>
      </c>
      <c r="D854" s="5" t="s">
        <v>2530</v>
      </c>
      <c r="E854" s="5" t="s">
        <v>2544</v>
      </c>
      <c r="F854" s="5" t="s">
        <v>2545</v>
      </c>
      <c r="G854" s="5" t="s">
        <v>38</v>
      </c>
      <c r="H854" s="5" t="s">
        <v>18</v>
      </c>
      <c r="I854" s="8" t="s">
        <v>2546</v>
      </c>
      <c r="J854" s="8" t="s">
        <v>13</v>
      </c>
    </row>
    <row r="855">
      <c r="A855" s="5" t="s">
        <v>2547</v>
      </c>
      <c r="B855" s="5" t="s">
        <v>110</v>
      </c>
      <c r="C855" s="6" t="s">
        <v>13</v>
      </c>
      <c r="D855" s="5" t="s">
        <v>2530</v>
      </c>
      <c r="E855" s="5" t="s">
        <v>686</v>
      </c>
      <c r="F855" s="5" t="s">
        <v>311</v>
      </c>
      <c r="G855" s="5" t="s">
        <v>102</v>
      </c>
      <c r="H855" s="5" t="s">
        <v>18</v>
      </c>
      <c r="I855" s="7" t="s">
        <v>2548</v>
      </c>
      <c r="J855" s="8" t="s">
        <v>13</v>
      </c>
    </row>
    <row r="856">
      <c r="A856" s="5" t="s">
        <v>2549</v>
      </c>
      <c r="B856" s="5" t="s">
        <v>2550</v>
      </c>
      <c r="C856" s="6" t="s">
        <v>13</v>
      </c>
      <c r="D856" s="5" t="s">
        <v>2551</v>
      </c>
      <c r="E856" s="5" t="s">
        <v>131</v>
      </c>
      <c r="F856" s="5" t="s">
        <v>2552</v>
      </c>
      <c r="G856" s="5" t="s">
        <v>96</v>
      </c>
      <c r="H856" s="5" t="s">
        <v>18</v>
      </c>
      <c r="I856" s="7" t="s">
        <v>2553</v>
      </c>
      <c r="J856" s="8" t="s">
        <v>13</v>
      </c>
    </row>
    <row r="857">
      <c r="A857" s="5" t="s">
        <v>2554</v>
      </c>
      <c r="B857" s="5" t="s">
        <v>25</v>
      </c>
      <c r="C857" s="6" t="s">
        <v>13</v>
      </c>
      <c r="D857" s="5" t="s">
        <v>2551</v>
      </c>
      <c r="E857" s="5" t="s">
        <v>648</v>
      </c>
      <c r="F857" s="5" t="s">
        <v>2555</v>
      </c>
      <c r="G857" s="5" t="s">
        <v>96</v>
      </c>
      <c r="H857" s="5" t="s">
        <v>18</v>
      </c>
      <c r="I857" s="7" t="s">
        <v>2556</v>
      </c>
      <c r="J857" s="8" t="s">
        <v>13</v>
      </c>
    </row>
    <row r="858">
      <c r="A858" s="5" t="s">
        <v>2557</v>
      </c>
      <c r="B858" s="5" t="s">
        <v>2558</v>
      </c>
      <c r="C858" s="6" t="s">
        <v>13</v>
      </c>
      <c r="D858" s="5" t="s">
        <v>2551</v>
      </c>
      <c r="E858" s="5" t="s">
        <v>188</v>
      </c>
      <c r="F858" s="5" t="s">
        <v>1527</v>
      </c>
      <c r="G858" s="5" t="s">
        <v>945</v>
      </c>
      <c r="H858" s="5" t="s">
        <v>18</v>
      </c>
      <c r="I858" s="7" t="s">
        <v>2559</v>
      </c>
      <c r="J858" s="8" t="s">
        <v>13</v>
      </c>
    </row>
    <row r="859">
      <c r="A859" s="5" t="s">
        <v>2560</v>
      </c>
      <c r="B859" s="5" t="s">
        <v>25</v>
      </c>
      <c r="C859" s="6" t="s">
        <v>13</v>
      </c>
      <c r="D859" s="5" t="s">
        <v>2551</v>
      </c>
      <c r="E859" s="5" t="s">
        <v>188</v>
      </c>
      <c r="F859" s="5" t="s">
        <v>1527</v>
      </c>
      <c r="G859" s="5" t="s">
        <v>945</v>
      </c>
      <c r="H859" s="5" t="s">
        <v>18</v>
      </c>
      <c r="I859" s="7" t="s">
        <v>2561</v>
      </c>
      <c r="J859" s="8" t="s">
        <v>13</v>
      </c>
    </row>
    <row r="860">
      <c r="A860" s="5" t="s">
        <v>2562</v>
      </c>
      <c r="B860" s="5" t="s">
        <v>2563</v>
      </c>
      <c r="C860" s="6" t="s">
        <v>13</v>
      </c>
      <c r="D860" s="5" t="s">
        <v>2551</v>
      </c>
      <c r="E860" s="5" t="s">
        <v>1880</v>
      </c>
      <c r="F860" s="5" t="s">
        <v>137</v>
      </c>
      <c r="G860" s="5" t="s">
        <v>137</v>
      </c>
      <c r="H860" s="5" t="s">
        <v>18</v>
      </c>
      <c r="I860" s="7" t="s">
        <v>2564</v>
      </c>
      <c r="J860" s="8" t="s">
        <v>13</v>
      </c>
    </row>
    <row r="861">
      <c r="A861" s="5" t="s">
        <v>2565</v>
      </c>
      <c r="B861" s="5" t="s">
        <v>25</v>
      </c>
      <c r="C861" s="6" t="s">
        <v>13</v>
      </c>
      <c r="D861" s="5" t="s">
        <v>2551</v>
      </c>
      <c r="E861" s="5" t="s">
        <v>106</v>
      </c>
      <c r="F861" s="5" t="s">
        <v>137</v>
      </c>
      <c r="G861" s="5" t="s">
        <v>137</v>
      </c>
      <c r="H861" s="5" t="s">
        <v>18</v>
      </c>
      <c r="I861" s="7" t="s">
        <v>2566</v>
      </c>
      <c r="J861" s="8" t="s">
        <v>13</v>
      </c>
    </row>
    <row r="862">
      <c r="A862" s="5" t="s">
        <v>2567</v>
      </c>
      <c r="B862" s="5" t="s">
        <v>2568</v>
      </c>
      <c r="C862" s="6" t="s">
        <v>13</v>
      </c>
      <c r="D862" s="5" t="s">
        <v>2551</v>
      </c>
      <c r="E862" s="5" t="s">
        <v>418</v>
      </c>
      <c r="F862" s="5" t="s">
        <v>137</v>
      </c>
      <c r="G862" s="5" t="s">
        <v>137</v>
      </c>
      <c r="H862" s="5" t="s">
        <v>18</v>
      </c>
      <c r="I862" s="7" t="s">
        <v>2569</v>
      </c>
      <c r="J862" s="8" t="s">
        <v>13</v>
      </c>
    </row>
    <row r="863">
      <c r="A863" s="5" t="s">
        <v>2570</v>
      </c>
      <c r="B863" s="5" t="s">
        <v>2571</v>
      </c>
      <c r="C863" s="6" t="s">
        <v>13</v>
      </c>
      <c r="D863" s="5" t="s">
        <v>2572</v>
      </c>
      <c r="E863" s="5" t="s">
        <v>2573</v>
      </c>
      <c r="F863" s="5" t="s">
        <v>2574</v>
      </c>
      <c r="G863" s="5" t="s">
        <v>2575</v>
      </c>
      <c r="H863" s="5" t="s">
        <v>18</v>
      </c>
      <c r="I863" s="7" t="s">
        <v>2576</v>
      </c>
      <c r="J863" s="8" t="s">
        <v>13</v>
      </c>
    </row>
    <row r="864">
      <c r="A864" s="5" t="s">
        <v>2577</v>
      </c>
      <c r="B864" s="5" t="s">
        <v>2578</v>
      </c>
      <c r="C864" s="6" t="s">
        <v>13</v>
      </c>
      <c r="D864" s="5" t="s">
        <v>2572</v>
      </c>
      <c r="E864" s="5" t="s">
        <v>26</v>
      </c>
      <c r="F864" s="5" t="s">
        <v>2579</v>
      </c>
      <c r="G864" s="5" t="s">
        <v>44</v>
      </c>
      <c r="H864" s="5" t="s">
        <v>18</v>
      </c>
      <c r="I864" s="7" t="s">
        <v>2580</v>
      </c>
      <c r="J864" s="8" t="s">
        <v>13</v>
      </c>
    </row>
    <row r="865">
      <c r="A865" s="5" t="s">
        <v>2581</v>
      </c>
      <c r="B865" s="5" t="s">
        <v>2582</v>
      </c>
      <c r="C865" s="6" t="s">
        <v>13</v>
      </c>
      <c r="D865" s="5" t="s">
        <v>2572</v>
      </c>
      <c r="E865" s="5" t="s">
        <v>2544</v>
      </c>
      <c r="F865" s="5" t="s">
        <v>2583</v>
      </c>
      <c r="G865" s="5" t="s">
        <v>1354</v>
      </c>
      <c r="H865" s="5" t="s">
        <v>18</v>
      </c>
      <c r="I865" s="7" t="s">
        <v>2584</v>
      </c>
      <c r="J865" s="8" t="s">
        <v>13</v>
      </c>
    </row>
    <row r="866">
      <c r="A866" s="5" t="s">
        <v>2581</v>
      </c>
      <c r="B866" s="5" t="s">
        <v>2582</v>
      </c>
      <c r="C866" s="6" t="s">
        <v>13</v>
      </c>
      <c r="D866" s="5" t="s">
        <v>2572</v>
      </c>
      <c r="E866" s="5" t="s">
        <v>2544</v>
      </c>
      <c r="F866" s="5" t="s">
        <v>2583</v>
      </c>
      <c r="G866" s="5" t="s">
        <v>1354</v>
      </c>
      <c r="H866" s="5" t="s">
        <v>18</v>
      </c>
      <c r="I866" s="7" t="s">
        <v>2584</v>
      </c>
      <c r="J866" s="8" t="s">
        <v>13</v>
      </c>
    </row>
    <row r="867">
      <c r="A867" s="5" t="s">
        <v>2585</v>
      </c>
      <c r="B867" s="5" t="s">
        <v>371</v>
      </c>
      <c r="C867" s="6" t="s">
        <v>13</v>
      </c>
      <c r="D867" s="5" t="s">
        <v>2572</v>
      </c>
      <c r="E867" s="5" t="s">
        <v>1357</v>
      </c>
      <c r="F867" s="5" t="s">
        <v>2586</v>
      </c>
      <c r="G867" s="5" t="s">
        <v>224</v>
      </c>
      <c r="H867" s="5" t="s">
        <v>18</v>
      </c>
      <c r="I867" s="7" t="s">
        <v>2587</v>
      </c>
      <c r="J867" s="8" t="s">
        <v>13</v>
      </c>
    </row>
    <row r="868">
      <c r="A868" s="5" t="s">
        <v>2588</v>
      </c>
      <c r="B868" s="5" t="s">
        <v>110</v>
      </c>
      <c r="C868" s="6" t="s">
        <v>13</v>
      </c>
      <c r="D868" s="5" t="s">
        <v>2589</v>
      </c>
      <c r="E868" s="5" t="s">
        <v>654</v>
      </c>
      <c r="F868" s="5" t="s">
        <v>218</v>
      </c>
      <c r="G868" s="5" t="s">
        <v>219</v>
      </c>
      <c r="H868" s="5" t="s">
        <v>18</v>
      </c>
      <c r="I868" s="7" t="s">
        <v>2590</v>
      </c>
      <c r="J868" s="8" t="s">
        <v>13</v>
      </c>
    </row>
    <row r="869">
      <c r="A869" s="5" t="s">
        <v>2591</v>
      </c>
      <c r="B869" s="5" t="s">
        <v>110</v>
      </c>
      <c r="C869" s="6" t="s">
        <v>13</v>
      </c>
      <c r="D869" s="5" t="s">
        <v>2589</v>
      </c>
      <c r="E869" s="5" t="s">
        <v>84</v>
      </c>
      <c r="F869" s="5" t="s">
        <v>218</v>
      </c>
      <c r="G869" s="5" t="s">
        <v>219</v>
      </c>
      <c r="H869" s="5" t="s">
        <v>18</v>
      </c>
      <c r="I869" s="7" t="s">
        <v>2592</v>
      </c>
      <c r="J869" s="8" t="s">
        <v>13</v>
      </c>
    </row>
    <row r="870">
      <c r="A870" s="5" t="s">
        <v>2593</v>
      </c>
      <c r="B870" s="5" t="s">
        <v>110</v>
      </c>
      <c r="C870" s="6" t="s">
        <v>13</v>
      </c>
      <c r="D870" s="5" t="s">
        <v>2589</v>
      </c>
      <c r="E870" s="5" t="s">
        <v>1300</v>
      </c>
      <c r="F870" s="5" t="s">
        <v>218</v>
      </c>
      <c r="G870" s="5" t="s">
        <v>219</v>
      </c>
      <c r="H870" s="5" t="s">
        <v>18</v>
      </c>
      <c r="I870" s="7" t="s">
        <v>2594</v>
      </c>
      <c r="J870" s="8" t="s">
        <v>13</v>
      </c>
    </row>
    <row r="871">
      <c r="A871" s="5" t="s">
        <v>2595</v>
      </c>
      <c r="B871" s="5" t="s">
        <v>110</v>
      </c>
      <c r="C871" s="6" t="s">
        <v>13</v>
      </c>
      <c r="D871" s="5" t="s">
        <v>2589</v>
      </c>
      <c r="E871" s="5" t="s">
        <v>409</v>
      </c>
      <c r="F871" s="5" t="s">
        <v>1867</v>
      </c>
      <c r="G871" s="5" t="s">
        <v>44</v>
      </c>
      <c r="H871" s="5" t="s">
        <v>18</v>
      </c>
      <c r="I871" s="7" t="s">
        <v>2596</v>
      </c>
      <c r="J871" s="8" t="s">
        <v>13</v>
      </c>
    </row>
    <row r="872">
      <c r="A872" s="5" t="s">
        <v>2597</v>
      </c>
      <c r="B872" s="5" t="s">
        <v>766</v>
      </c>
      <c r="C872" s="6" t="s">
        <v>13</v>
      </c>
      <c r="D872" s="5" t="s">
        <v>2589</v>
      </c>
      <c r="E872" s="5" t="s">
        <v>345</v>
      </c>
      <c r="F872" s="5" t="s">
        <v>1867</v>
      </c>
      <c r="G872" s="5" t="s">
        <v>44</v>
      </c>
      <c r="H872" s="5" t="s">
        <v>18</v>
      </c>
      <c r="I872" s="7" t="s">
        <v>2598</v>
      </c>
      <c r="J872" s="8" t="s">
        <v>13</v>
      </c>
    </row>
    <row r="873">
      <c r="A873" s="5" t="s">
        <v>2599</v>
      </c>
      <c r="B873" s="5" t="s">
        <v>110</v>
      </c>
      <c r="C873" s="6" t="s">
        <v>13</v>
      </c>
      <c r="D873" s="5" t="s">
        <v>2589</v>
      </c>
      <c r="F873" s="5" t="s">
        <v>1867</v>
      </c>
      <c r="G873" s="5" t="s">
        <v>44</v>
      </c>
      <c r="H873" s="5" t="s">
        <v>18</v>
      </c>
      <c r="I873" s="7" t="s">
        <v>2600</v>
      </c>
      <c r="J873" s="8" t="s">
        <v>13</v>
      </c>
    </row>
    <row r="874">
      <c r="A874" s="5" t="s">
        <v>2601</v>
      </c>
      <c r="B874" s="5" t="s">
        <v>2602</v>
      </c>
      <c r="C874" s="6" t="s">
        <v>4</v>
      </c>
      <c r="D874" s="5" t="s">
        <v>2589</v>
      </c>
      <c r="E874" s="5" t="s">
        <v>909</v>
      </c>
      <c r="F874" s="5" t="s">
        <v>166</v>
      </c>
      <c r="G874" s="5" t="s">
        <v>44</v>
      </c>
      <c r="H874" s="5" t="s">
        <v>18</v>
      </c>
      <c r="I874" s="8" t="s">
        <v>2603</v>
      </c>
      <c r="J874" s="8" t="s">
        <v>13</v>
      </c>
    </row>
    <row r="875">
      <c r="A875" s="5" t="s">
        <v>2604</v>
      </c>
      <c r="B875" s="5" t="s">
        <v>2605</v>
      </c>
      <c r="C875" s="6" t="s">
        <v>13</v>
      </c>
      <c r="D875" s="5" t="s">
        <v>2589</v>
      </c>
      <c r="E875" s="5" t="s">
        <v>345</v>
      </c>
      <c r="F875" s="5" t="s">
        <v>166</v>
      </c>
      <c r="G875" s="5" t="s">
        <v>44</v>
      </c>
      <c r="H875" s="5" t="s">
        <v>18</v>
      </c>
      <c r="I875" s="7" t="s">
        <v>2606</v>
      </c>
      <c r="J875" s="8" t="s">
        <v>13</v>
      </c>
    </row>
    <row r="876">
      <c r="A876" s="5" t="s">
        <v>2607</v>
      </c>
      <c r="B876" s="5" t="s">
        <v>2608</v>
      </c>
      <c r="C876" s="6" t="s">
        <v>13</v>
      </c>
      <c r="D876" s="5" t="s">
        <v>2589</v>
      </c>
      <c r="E876" s="5" t="s">
        <v>192</v>
      </c>
      <c r="F876" s="5" t="s">
        <v>2282</v>
      </c>
      <c r="G876" s="5" t="s">
        <v>224</v>
      </c>
      <c r="H876" s="5" t="s">
        <v>18</v>
      </c>
      <c r="I876" s="7" t="s">
        <v>2609</v>
      </c>
      <c r="J876" s="8" t="s">
        <v>13</v>
      </c>
    </row>
    <row r="877">
      <c r="A877" s="5" t="s">
        <v>2610</v>
      </c>
      <c r="B877" s="5" t="s">
        <v>480</v>
      </c>
      <c r="C877" s="6" t="s">
        <v>13</v>
      </c>
      <c r="D877" s="5" t="s">
        <v>2611</v>
      </c>
      <c r="E877" s="5" t="s">
        <v>2612</v>
      </c>
      <c r="F877" s="5" t="s">
        <v>2613</v>
      </c>
      <c r="G877" s="5" t="s">
        <v>949</v>
      </c>
      <c r="H877" s="5" t="s">
        <v>18</v>
      </c>
      <c r="I877" s="8" t="s">
        <v>2614</v>
      </c>
      <c r="J877" s="8" t="s">
        <v>13</v>
      </c>
    </row>
    <row r="878">
      <c r="A878" s="5" t="s">
        <v>2615</v>
      </c>
      <c r="B878" s="5" t="s">
        <v>404</v>
      </c>
      <c r="C878" s="6" t="s">
        <v>13</v>
      </c>
      <c r="D878" s="5" t="s">
        <v>2611</v>
      </c>
      <c r="E878" s="5" t="s">
        <v>523</v>
      </c>
      <c r="F878" s="5" t="s">
        <v>2616</v>
      </c>
      <c r="G878" s="5" t="s">
        <v>65</v>
      </c>
      <c r="H878" s="5" t="s">
        <v>18</v>
      </c>
      <c r="I878" s="7" t="s">
        <v>2617</v>
      </c>
      <c r="J878" s="8" t="s">
        <v>13</v>
      </c>
    </row>
    <row r="879">
      <c r="A879" s="5" t="s">
        <v>2618</v>
      </c>
      <c r="B879" s="5" t="s">
        <v>2619</v>
      </c>
      <c r="C879" s="6" t="s">
        <v>13</v>
      </c>
      <c r="D879" s="5" t="s">
        <v>2611</v>
      </c>
      <c r="E879" s="5" t="s">
        <v>277</v>
      </c>
      <c r="F879" s="5" t="s">
        <v>2616</v>
      </c>
      <c r="G879" s="5" t="s">
        <v>65</v>
      </c>
      <c r="H879" s="5" t="s">
        <v>18</v>
      </c>
      <c r="I879" s="7" t="s">
        <v>2620</v>
      </c>
      <c r="J879" s="8" t="s">
        <v>13</v>
      </c>
    </row>
    <row r="880">
      <c r="A880" s="5" t="s">
        <v>2621</v>
      </c>
      <c r="B880" s="5" t="s">
        <v>404</v>
      </c>
      <c r="C880" s="6" t="s">
        <v>13</v>
      </c>
      <c r="D880" s="5" t="s">
        <v>2611</v>
      </c>
      <c r="E880" s="5" t="s">
        <v>1364</v>
      </c>
      <c r="F880" s="5" t="s">
        <v>2616</v>
      </c>
      <c r="G880" s="5" t="s">
        <v>65</v>
      </c>
      <c r="H880" s="5" t="s">
        <v>18</v>
      </c>
      <c r="I880" s="7" t="s">
        <v>2622</v>
      </c>
      <c r="J880" s="8" t="s">
        <v>13</v>
      </c>
    </row>
    <row r="881">
      <c r="A881" s="5" t="s">
        <v>2623</v>
      </c>
      <c r="B881" s="5" t="s">
        <v>2624</v>
      </c>
      <c r="C881" s="6" t="s">
        <v>13</v>
      </c>
      <c r="D881" s="5" t="s">
        <v>2625</v>
      </c>
      <c r="E881" s="5" t="s">
        <v>217</v>
      </c>
      <c r="F881" s="5" t="s">
        <v>2626</v>
      </c>
      <c r="G881" s="5" t="s">
        <v>203</v>
      </c>
      <c r="H881" s="5" t="s">
        <v>18</v>
      </c>
      <c r="I881" s="8" t="s">
        <v>2627</v>
      </c>
      <c r="J881" s="8" t="s">
        <v>13</v>
      </c>
    </row>
    <row r="882">
      <c r="A882" s="5" t="s">
        <v>2628</v>
      </c>
      <c r="B882" s="5" t="s">
        <v>110</v>
      </c>
      <c r="C882" s="6" t="s">
        <v>13</v>
      </c>
      <c r="D882" s="5" t="s">
        <v>2625</v>
      </c>
      <c r="F882" s="5" t="s">
        <v>2629</v>
      </c>
      <c r="G882" s="5" t="s">
        <v>96</v>
      </c>
      <c r="H882" s="5" t="s">
        <v>18</v>
      </c>
      <c r="I882" s="7" t="s">
        <v>2630</v>
      </c>
      <c r="J882" s="8" t="s">
        <v>13</v>
      </c>
    </row>
    <row r="883">
      <c r="A883" s="5" t="s">
        <v>2631</v>
      </c>
      <c r="B883" s="5" t="s">
        <v>2632</v>
      </c>
      <c r="C883" s="6" t="s">
        <v>13</v>
      </c>
      <c r="D883" s="5" t="s">
        <v>2625</v>
      </c>
      <c r="E883" s="5" t="s">
        <v>832</v>
      </c>
      <c r="F883" s="5" t="s">
        <v>2633</v>
      </c>
      <c r="G883" s="5" t="s">
        <v>203</v>
      </c>
      <c r="H883" s="5" t="s">
        <v>18</v>
      </c>
      <c r="I883" s="8" t="s">
        <v>2634</v>
      </c>
      <c r="J883" s="8" t="s">
        <v>13</v>
      </c>
    </row>
    <row r="884">
      <c r="A884" s="5" t="s">
        <v>2635</v>
      </c>
      <c r="B884" s="5" t="s">
        <v>2636</v>
      </c>
      <c r="C884" s="6" t="s">
        <v>13</v>
      </c>
      <c r="D884" s="5" t="s">
        <v>2625</v>
      </c>
      <c r="E884" s="5" t="s">
        <v>188</v>
      </c>
      <c r="F884" s="5" t="s">
        <v>1131</v>
      </c>
      <c r="G884" s="5" t="s">
        <v>203</v>
      </c>
      <c r="H884" s="5" t="s">
        <v>18</v>
      </c>
      <c r="I884" s="7" t="s">
        <v>2637</v>
      </c>
      <c r="J884" s="8" t="s">
        <v>13</v>
      </c>
    </row>
    <row r="885">
      <c r="A885" s="5" t="s">
        <v>2638</v>
      </c>
      <c r="B885" s="5" t="s">
        <v>2639</v>
      </c>
      <c r="C885" s="6" t="s">
        <v>13</v>
      </c>
      <c r="D885" s="5" t="s">
        <v>2625</v>
      </c>
      <c r="E885" s="5" t="s">
        <v>217</v>
      </c>
      <c r="F885" s="5" t="s">
        <v>1131</v>
      </c>
      <c r="G885" s="5" t="s">
        <v>203</v>
      </c>
      <c r="H885" s="5" t="s">
        <v>18</v>
      </c>
      <c r="I885" s="8" t="s">
        <v>2640</v>
      </c>
      <c r="J885" s="8" t="s">
        <v>13</v>
      </c>
    </row>
    <row r="886">
      <c r="A886" s="5" t="s">
        <v>2641</v>
      </c>
      <c r="B886" s="5" t="s">
        <v>110</v>
      </c>
      <c r="C886" s="6" t="s">
        <v>13</v>
      </c>
      <c r="D886" s="5" t="s">
        <v>2642</v>
      </c>
      <c r="E886" s="5" t="s">
        <v>111</v>
      </c>
      <c r="F886" s="5" t="s">
        <v>2643</v>
      </c>
      <c r="G886" s="5" t="s">
        <v>44</v>
      </c>
      <c r="H886" s="5" t="s">
        <v>18</v>
      </c>
      <c r="I886" s="8" t="s">
        <v>2644</v>
      </c>
      <c r="J886" s="8" t="s">
        <v>13</v>
      </c>
    </row>
    <row r="887">
      <c r="A887" s="5" t="s">
        <v>2645</v>
      </c>
      <c r="B887" s="5" t="s">
        <v>25</v>
      </c>
      <c r="C887" s="6" t="s">
        <v>13</v>
      </c>
      <c r="D887" s="5" t="s">
        <v>2646</v>
      </c>
      <c r="E887" s="5" t="s">
        <v>1637</v>
      </c>
      <c r="F887" s="5" t="s">
        <v>1187</v>
      </c>
      <c r="G887" s="5" t="s">
        <v>96</v>
      </c>
      <c r="H887" s="5" t="s">
        <v>18</v>
      </c>
      <c r="I887" s="7" t="s">
        <v>2647</v>
      </c>
      <c r="J887" s="8" t="s">
        <v>13</v>
      </c>
    </row>
    <row r="888">
      <c r="A888" s="5" t="s">
        <v>2648</v>
      </c>
      <c r="B888" s="5" t="s">
        <v>2649</v>
      </c>
      <c r="C888" s="6" t="s">
        <v>13</v>
      </c>
      <c r="D888" s="5" t="s">
        <v>2646</v>
      </c>
      <c r="E888" s="5" t="s">
        <v>2650</v>
      </c>
      <c r="F888" s="5" t="s">
        <v>137</v>
      </c>
      <c r="G888" s="5" t="s">
        <v>137</v>
      </c>
      <c r="H888" s="5" t="s">
        <v>18</v>
      </c>
      <c r="I888" s="7" t="s">
        <v>2651</v>
      </c>
      <c r="J888" s="8" t="s">
        <v>13</v>
      </c>
    </row>
    <row r="889">
      <c r="A889" s="5" t="s">
        <v>2652</v>
      </c>
      <c r="B889" s="5" t="s">
        <v>25</v>
      </c>
      <c r="C889" s="6" t="s">
        <v>13</v>
      </c>
      <c r="D889" s="5" t="s">
        <v>2646</v>
      </c>
      <c r="F889" s="5" t="s">
        <v>137</v>
      </c>
      <c r="G889" s="5" t="s">
        <v>137</v>
      </c>
      <c r="H889" s="5" t="s">
        <v>18</v>
      </c>
      <c r="I889" s="7" t="s">
        <v>2653</v>
      </c>
      <c r="J889" s="8" t="s">
        <v>13</v>
      </c>
    </row>
    <row r="890">
      <c r="A890" s="5" t="s">
        <v>2654</v>
      </c>
      <c r="B890" s="5" t="s">
        <v>2655</v>
      </c>
      <c r="C890" s="6" t="s">
        <v>13</v>
      </c>
      <c r="D890" s="5" t="s">
        <v>2646</v>
      </c>
      <c r="E890" s="5" t="s">
        <v>283</v>
      </c>
      <c r="F890" s="5" t="s">
        <v>137</v>
      </c>
      <c r="G890" s="5" t="s">
        <v>137</v>
      </c>
      <c r="H890" s="5" t="s">
        <v>18</v>
      </c>
      <c r="I890" s="8" t="s">
        <v>2656</v>
      </c>
      <c r="J890" s="8" t="s">
        <v>13</v>
      </c>
    </row>
    <row r="891">
      <c r="A891" s="5" t="s">
        <v>2657</v>
      </c>
      <c r="B891" s="5" t="s">
        <v>2658</v>
      </c>
      <c r="C891" s="6" t="s">
        <v>13</v>
      </c>
      <c r="D891" s="5" t="s">
        <v>2646</v>
      </c>
      <c r="E891" s="5" t="s">
        <v>822</v>
      </c>
      <c r="F891" s="5" t="s">
        <v>137</v>
      </c>
      <c r="G891" s="5" t="s">
        <v>137</v>
      </c>
      <c r="H891" s="5" t="s">
        <v>18</v>
      </c>
      <c r="I891" s="7" t="s">
        <v>2659</v>
      </c>
      <c r="J891" s="8" t="s">
        <v>13</v>
      </c>
    </row>
    <row r="892">
      <c r="A892" s="5" t="s">
        <v>2660</v>
      </c>
      <c r="B892" s="5" t="s">
        <v>2661</v>
      </c>
      <c r="C892" s="6" t="s">
        <v>13</v>
      </c>
      <c r="D892" s="5" t="s">
        <v>2646</v>
      </c>
      <c r="E892" s="5" t="s">
        <v>26</v>
      </c>
      <c r="F892" s="5" t="s">
        <v>2662</v>
      </c>
      <c r="G892" s="5" t="s">
        <v>203</v>
      </c>
      <c r="H892" s="5" t="s">
        <v>18</v>
      </c>
      <c r="I892" s="7" t="s">
        <v>2663</v>
      </c>
      <c r="J892" s="8" t="s">
        <v>13</v>
      </c>
    </row>
    <row r="893">
      <c r="A893" s="5" t="s">
        <v>2664</v>
      </c>
      <c r="B893" s="5" t="s">
        <v>2665</v>
      </c>
      <c r="C893" s="6" t="s">
        <v>13</v>
      </c>
      <c r="D893" s="5" t="s">
        <v>2646</v>
      </c>
      <c r="E893" s="5" t="s">
        <v>2288</v>
      </c>
      <c r="F893" s="5" t="s">
        <v>2666</v>
      </c>
      <c r="G893" s="5" t="s">
        <v>609</v>
      </c>
      <c r="H893" s="5" t="s">
        <v>18</v>
      </c>
      <c r="I893" s="8" t="s">
        <v>2667</v>
      </c>
      <c r="J893" s="8" t="s">
        <v>13</v>
      </c>
    </row>
    <row r="894">
      <c r="A894" s="5" t="s">
        <v>2664</v>
      </c>
      <c r="B894" s="5" t="s">
        <v>2665</v>
      </c>
      <c r="C894" s="6" t="s">
        <v>13</v>
      </c>
      <c r="D894" s="5" t="s">
        <v>2646</v>
      </c>
      <c r="E894" s="5" t="s">
        <v>2288</v>
      </c>
      <c r="F894" s="5" t="s">
        <v>2666</v>
      </c>
      <c r="G894" s="5" t="s">
        <v>609</v>
      </c>
      <c r="H894" s="5" t="s">
        <v>18</v>
      </c>
      <c r="I894" s="8" t="s">
        <v>2667</v>
      </c>
      <c r="J894" s="8" t="s">
        <v>13</v>
      </c>
    </row>
    <row r="895">
      <c r="A895" s="5" t="s">
        <v>2668</v>
      </c>
      <c r="B895" s="5" t="s">
        <v>2669</v>
      </c>
      <c r="C895" s="6" t="s">
        <v>13</v>
      </c>
      <c r="D895" s="5" t="s">
        <v>2646</v>
      </c>
      <c r="E895" s="5" t="s">
        <v>2670</v>
      </c>
      <c r="F895" s="5" t="s">
        <v>75</v>
      </c>
      <c r="G895" s="6" t="s">
        <v>76</v>
      </c>
      <c r="H895" s="5" t="s">
        <v>18</v>
      </c>
      <c r="I895" s="7" t="s">
        <v>2671</v>
      </c>
      <c r="J895" s="8" t="s">
        <v>13</v>
      </c>
    </row>
    <row r="896">
      <c r="A896" s="5" t="s">
        <v>2672</v>
      </c>
      <c r="B896" s="5" t="s">
        <v>625</v>
      </c>
      <c r="C896" s="6" t="s">
        <v>13</v>
      </c>
      <c r="D896" s="5" t="s">
        <v>2646</v>
      </c>
      <c r="E896" s="5" t="s">
        <v>512</v>
      </c>
      <c r="F896" s="5" t="s">
        <v>703</v>
      </c>
      <c r="G896" s="5" t="s">
        <v>137</v>
      </c>
      <c r="H896" s="5" t="s">
        <v>18</v>
      </c>
      <c r="I896" s="7" t="s">
        <v>2673</v>
      </c>
      <c r="J896" s="8" t="s">
        <v>13</v>
      </c>
    </row>
    <row r="897">
      <c r="A897" s="5" t="s">
        <v>2674</v>
      </c>
      <c r="B897" s="5" t="s">
        <v>2675</v>
      </c>
      <c r="C897" s="6" t="s">
        <v>13</v>
      </c>
      <c r="D897" s="5" t="s">
        <v>2646</v>
      </c>
      <c r="E897" s="5" t="s">
        <v>822</v>
      </c>
      <c r="F897" s="6" t="s">
        <v>64</v>
      </c>
      <c r="G897" s="6" t="s">
        <v>65</v>
      </c>
      <c r="H897" s="5" t="s">
        <v>18</v>
      </c>
      <c r="I897" s="7" t="s">
        <v>2676</v>
      </c>
      <c r="J897" s="8" t="s">
        <v>13</v>
      </c>
    </row>
    <row r="898">
      <c r="A898" s="5" t="s">
        <v>2677</v>
      </c>
      <c r="B898" s="5" t="s">
        <v>625</v>
      </c>
      <c r="C898" s="6" t="s">
        <v>13</v>
      </c>
      <c r="D898" s="5" t="s">
        <v>2646</v>
      </c>
      <c r="E898" s="5" t="s">
        <v>496</v>
      </c>
      <c r="F898" s="6" t="s">
        <v>64</v>
      </c>
      <c r="G898" s="6" t="s">
        <v>65</v>
      </c>
      <c r="H898" s="5" t="s">
        <v>18</v>
      </c>
      <c r="I898" s="7" t="s">
        <v>2678</v>
      </c>
      <c r="J898" s="8" t="s">
        <v>13</v>
      </c>
    </row>
    <row r="899">
      <c r="A899" s="5" t="s">
        <v>2679</v>
      </c>
      <c r="B899" s="5" t="s">
        <v>2680</v>
      </c>
      <c r="C899" s="6" t="s">
        <v>13</v>
      </c>
      <c r="D899" s="5" t="s">
        <v>2646</v>
      </c>
      <c r="E899" s="5" t="s">
        <v>268</v>
      </c>
      <c r="F899" s="6" t="s">
        <v>64</v>
      </c>
      <c r="G899" s="6" t="s">
        <v>65</v>
      </c>
      <c r="H899" s="5" t="s">
        <v>18</v>
      </c>
      <c r="I899" s="8" t="s">
        <v>2681</v>
      </c>
      <c r="J899" s="8" t="s">
        <v>13</v>
      </c>
    </row>
    <row r="900">
      <c r="A900" s="5" t="s">
        <v>2682</v>
      </c>
      <c r="B900" s="5" t="s">
        <v>2683</v>
      </c>
      <c r="C900" s="6" t="s">
        <v>13</v>
      </c>
      <c r="D900" s="5" t="s">
        <v>2646</v>
      </c>
      <c r="E900" s="5" t="s">
        <v>2252</v>
      </c>
      <c r="F900" s="5" t="s">
        <v>75</v>
      </c>
      <c r="G900" s="6" t="s">
        <v>76</v>
      </c>
      <c r="H900" s="5" t="s">
        <v>18</v>
      </c>
      <c r="I900" s="7" t="s">
        <v>2684</v>
      </c>
      <c r="J900" s="8" t="s">
        <v>13</v>
      </c>
    </row>
    <row r="901">
      <c r="A901" s="5" t="s">
        <v>2685</v>
      </c>
      <c r="B901" s="5" t="s">
        <v>2686</v>
      </c>
      <c r="C901" s="6" t="s">
        <v>13</v>
      </c>
      <c r="D901" s="5" t="s">
        <v>2646</v>
      </c>
      <c r="E901" s="5" t="s">
        <v>60</v>
      </c>
      <c r="F901" s="5" t="s">
        <v>75</v>
      </c>
      <c r="G901" s="6" t="s">
        <v>76</v>
      </c>
      <c r="H901" s="5" t="s">
        <v>18</v>
      </c>
      <c r="I901" s="8" t="s">
        <v>2687</v>
      </c>
      <c r="J901" s="8" t="s">
        <v>13</v>
      </c>
    </row>
    <row r="902">
      <c r="A902" s="5" t="s">
        <v>2688</v>
      </c>
      <c r="B902" s="5" t="s">
        <v>25</v>
      </c>
      <c r="C902" s="6" t="s">
        <v>13</v>
      </c>
      <c r="D902" s="5" t="s">
        <v>2646</v>
      </c>
      <c r="E902" s="5" t="s">
        <v>1123</v>
      </c>
      <c r="F902" s="5" t="s">
        <v>75</v>
      </c>
      <c r="G902" s="5" t="s">
        <v>76</v>
      </c>
      <c r="H902" s="5" t="s">
        <v>18</v>
      </c>
      <c r="I902" s="7" t="s">
        <v>2689</v>
      </c>
      <c r="J902" s="8" t="s">
        <v>13</v>
      </c>
    </row>
    <row r="903">
      <c r="A903" s="5" t="s">
        <v>2690</v>
      </c>
      <c r="B903" s="5" t="s">
        <v>625</v>
      </c>
      <c r="C903" s="6" t="s">
        <v>13</v>
      </c>
      <c r="D903" s="5" t="s">
        <v>2646</v>
      </c>
      <c r="E903" s="5" t="s">
        <v>136</v>
      </c>
      <c r="F903" s="5" t="s">
        <v>80</v>
      </c>
      <c r="G903" s="5" t="s">
        <v>38</v>
      </c>
      <c r="H903" s="5" t="s">
        <v>18</v>
      </c>
      <c r="I903" s="7" t="s">
        <v>2691</v>
      </c>
      <c r="J903" s="8" t="s">
        <v>13</v>
      </c>
    </row>
    <row r="904">
      <c r="A904" s="5" t="s">
        <v>1045</v>
      </c>
      <c r="B904" s="5" t="s">
        <v>2692</v>
      </c>
      <c r="C904" s="6" t="s">
        <v>13</v>
      </c>
      <c r="D904" s="5" t="s">
        <v>2646</v>
      </c>
      <c r="E904" s="5" t="s">
        <v>399</v>
      </c>
      <c r="F904" s="5" t="s">
        <v>80</v>
      </c>
      <c r="G904" s="5" t="s">
        <v>38</v>
      </c>
      <c r="H904" s="5" t="s">
        <v>18</v>
      </c>
      <c r="I904" s="7" t="s">
        <v>2693</v>
      </c>
      <c r="J904" s="8" t="s">
        <v>13</v>
      </c>
    </row>
    <row r="905">
      <c r="A905" s="5" t="s">
        <v>2694</v>
      </c>
      <c r="B905" s="5" t="s">
        <v>25</v>
      </c>
      <c r="C905" s="6" t="s">
        <v>13</v>
      </c>
      <c r="D905" s="5" t="s">
        <v>2646</v>
      </c>
      <c r="E905" s="5" t="s">
        <v>136</v>
      </c>
      <c r="F905" s="5" t="s">
        <v>80</v>
      </c>
      <c r="G905" s="5" t="s">
        <v>38</v>
      </c>
      <c r="H905" s="5" t="s">
        <v>18</v>
      </c>
      <c r="I905" s="7" t="s">
        <v>2695</v>
      </c>
      <c r="J905" s="8" t="s">
        <v>13</v>
      </c>
    </row>
    <row r="906">
      <c r="A906" s="5" t="s">
        <v>2696</v>
      </c>
      <c r="B906" s="5" t="s">
        <v>2697</v>
      </c>
      <c r="C906" s="6" t="s">
        <v>13</v>
      </c>
      <c r="D906" s="5" t="s">
        <v>2646</v>
      </c>
      <c r="E906" s="5" t="s">
        <v>314</v>
      </c>
      <c r="F906" s="5" t="s">
        <v>2698</v>
      </c>
      <c r="G906" s="5" t="s">
        <v>38</v>
      </c>
      <c r="H906" s="5" t="s">
        <v>18</v>
      </c>
      <c r="I906" s="8" t="s">
        <v>2699</v>
      </c>
      <c r="J906" s="8" t="s">
        <v>13</v>
      </c>
    </row>
    <row r="907">
      <c r="A907" s="5" t="s">
        <v>2700</v>
      </c>
      <c r="B907" s="5" t="s">
        <v>2701</v>
      </c>
      <c r="C907" s="6" t="s">
        <v>13</v>
      </c>
      <c r="D907" s="5" t="s">
        <v>2646</v>
      </c>
      <c r="E907" s="5" t="s">
        <v>651</v>
      </c>
      <c r="F907" s="5" t="s">
        <v>2702</v>
      </c>
      <c r="G907" s="5" t="s">
        <v>38</v>
      </c>
      <c r="H907" s="5" t="s">
        <v>18</v>
      </c>
      <c r="I907" s="7" t="s">
        <v>2703</v>
      </c>
      <c r="J907" s="8" t="s">
        <v>13</v>
      </c>
    </row>
    <row r="908">
      <c r="A908" s="5" t="s">
        <v>2704</v>
      </c>
      <c r="B908" s="5" t="s">
        <v>2705</v>
      </c>
      <c r="C908" s="6" t="s">
        <v>13</v>
      </c>
      <c r="D908" s="5" t="s">
        <v>2646</v>
      </c>
      <c r="E908" s="5" t="s">
        <v>832</v>
      </c>
      <c r="F908" s="5" t="s">
        <v>2706</v>
      </c>
      <c r="G908" s="5" t="s">
        <v>96</v>
      </c>
      <c r="H908" s="5" t="s">
        <v>18</v>
      </c>
      <c r="I908" s="8" t="s">
        <v>2707</v>
      </c>
      <c r="J908" s="8" t="s">
        <v>13</v>
      </c>
    </row>
    <row r="909">
      <c r="A909" s="5" t="s">
        <v>2708</v>
      </c>
      <c r="B909" s="5" t="s">
        <v>25</v>
      </c>
      <c r="C909" s="6" t="s">
        <v>13</v>
      </c>
      <c r="D909" s="5" t="s">
        <v>2646</v>
      </c>
      <c r="E909" s="5" t="s">
        <v>446</v>
      </c>
      <c r="F909" s="5" t="s">
        <v>112</v>
      </c>
      <c r="G909" s="5" t="s">
        <v>38</v>
      </c>
      <c r="H909" s="5" t="s">
        <v>18</v>
      </c>
      <c r="I909" s="7" t="s">
        <v>2709</v>
      </c>
      <c r="J909" s="8" t="s">
        <v>13</v>
      </c>
    </row>
    <row r="910">
      <c r="A910" s="5" t="s">
        <v>2710</v>
      </c>
      <c r="B910" s="5" t="s">
        <v>371</v>
      </c>
      <c r="C910" s="6" t="s">
        <v>13</v>
      </c>
      <c r="D910" s="5" t="s">
        <v>2646</v>
      </c>
      <c r="E910" s="5" t="s">
        <v>455</v>
      </c>
      <c r="F910" s="5" t="s">
        <v>137</v>
      </c>
      <c r="G910" s="5" t="s">
        <v>137</v>
      </c>
      <c r="H910" s="5" t="s">
        <v>18</v>
      </c>
      <c r="I910" s="7" t="s">
        <v>2711</v>
      </c>
      <c r="J910" s="8" t="s">
        <v>13</v>
      </c>
    </row>
    <row r="911">
      <c r="A911" s="5" t="s">
        <v>2712</v>
      </c>
      <c r="B911" s="5" t="s">
        <v>371</v>
      </c>
      <c r="C911" s="6" t="s">
        <v>13</v>
      </c>
      <c r="D911" s="5" t="s">
        <v>2646</v>
      </c>
      <c r="E911" s="5" t="s">
        <v>774</v>
      </c>
      <c r="F911" s="5" t="s">
        <v>137</v>
      </c>
      <c r="G911" s="5" t="s">
        <v>137</v>
      </c>
      <c r="H911" s="5" t="s">
        <v>18</v>
      </c>
      <c r="I911" s="7" t="s">
        <v>2713</v>
      </c>
      <c r="J911" s="8" t="s">
        <v>13</v>
      </c>
    </row>
    <row r="912">
      <c r="A912" s="5" t="s">
        <v>2712</v>
      </c>
      <c r="B912" s="5" t="s">
        <v>371</v>
      </c>
      <c r="C912" s="6" t="s">
        <v>13</v>
      </c>
      <c r="D912" s="5" t="s">
        <v>2646</v>
      </c>
      <c r="E912" s="5" t="s">
        <v>774</v>
      </c>
      <c r="F912" s="5" t="s">
        <v>137</v>
      </c>
      <c r="G912" s="5" t="s">
        <v>137</v>
      </c>
      <c r="H912" s="5" t="s">
        <v>18</v>
      </c>
      <c r="I912" s="7" t="s">
        <v>2713</v>
      </c>
      <c r="J912" s="8" t="s">
        <v>13</v>
      </c>
    </row>
    <row r="913">
      <c r="A913" s="5" t="s">
        <v>2714</v>
      </c>
      <c r="B913" s="5" t="s">
        <v>2715</v>
      </c>
      <c r="C913" s="6" t="s">
        <v>13</v>
      </c>
      <c r="D913" s="5" t="s">
        <v>2646</v>
      </c>
      <c r="E913" s="5" t="s">
        <v>125</v>
      </c>
      <c r="F913" s="5" t="s">
        <v>137</v>
      </c>
      <c r="G913" s="5" t="s">
        <v>137</v>
      </c>
      <c r="H913" s="5" t="s">
        <v>18</v>
      </c>
      <c r="I913" s="8" t="s">
        <v>2716</v>
      </c>
      <c r="J913" s="8" t="s">
        <v>13</v>
      </c>
    </row>
    <row r="914">
      <c r="A914" s="5" t="s">
        <v>2717</v>
      </c>
      <c r="B914" s="5" t="s">
        <v>2718</v>
      </c>
      <c r="C914" s="6" t="s">
        <v>13</v>
      </c>
      <c r="D914" s="5" t="s">
        <v>2646</v>
      </c>
      <c r="E914" s="5" t="s">
        <v>125</v>
      </c>
      <c r="F914" s="5" t="s">
        <v>137</v>
      </c>
      <c r="G914" s="5" t="s">
        <v>137</v>
      </c>
      <c r="H914" s="5" t="s">
        <v>18</v>
      </c>
      <c r="I914" s="8" t="s">
        <v>2719</v>
      </c>
      <c r="J914" s="8" t="s">
        <v>13</v>
      </c>
    </row>
    <row r="915">
      <c r="A915" s="5" t="s">
        <v>2720</v>
      </c>
      <c r="B915" s="5" t="s">
        <v>2721</v>
      </c>
      <c r="C915" s="6" t="s">
        <v>13</v>
      </c>
      <c r="D915" s="5" t="s">
        <v>2646</v>
      </c>
      <c r="E915" s="5" t="s">
        <v>496</v>
      </c>
      <c r="F915" s="5" t="s">
        <v>137</v>
      </c>
      <c r="G915" s="5" t="s">
        <v>137</v>
      </c>
      <c r="H915" s="5" t="s">
        <v>18</v>
      </c>
      <c r="I915" s="8" t="s">
        <v>2722</v>
      </c>
      <c r="J915" s="8" t="s">
        <v>13</v>
      </c>
    </row>
    <row r="916">
      <c r="A916" s="5" t="s">
        <v>2723</v>
      </c>
      <c r="B916" s="5" t="s">
        <v>2724</v>
      </c>
      <c r="C916" s="6" t="s">
        <v>13</v>
      </c>
      <c r="D916" s="5" t="s">
        <v>2646</v>
      </c>
      <c r="E916" s="5" t="s">
        <v>188</v>
      </c>
      <c r="F916" s="5" t="s">
        <v>2725</v>
      </c>
      <c r="G916" s="5" t="s">
        <v>609</v>
      </c>
      <c r="H916" s="5" t="s">
        <v>18</v>
      </c>
      <c r="I916" s="7" t="s">
        <v>2726</v>
      </c>
      <c r="J916" s="8" t="s">
        <v>13</v>
      </c>
    </row>
    <row r="917">
      <c r="A917" s="5" t="s">
        <v>2727</v>
      </c>
      <c r="B917" s="5" t="s">
        <v>25</v>
      </c>
      <c r="C917" s="6" t="s">
        <v>13</v>
      </c>
      <c r="D917" s="5" t="s">
        <v>2646</v>
      </c>
      <c r="F917" s="5" t="s">
        <v>2725</v>
      </c>
      <c r="G917" s="5" t="s">
        <v>609</v>
      </c>
      <c r="H917" s="5" t="s">
        <v>18</v>
      </c>
      <c r="I917" s="7" t="s">
        <v>2728</v>
      </c>
      <c r="J917" s="8" t="s">
        <v>13</v>
      </c>
    </row>
    <row r="918">
      <c r="A918" s="5" t="s">
        <v>2729</v>
      </c>
      <c r="B918" s="5" t="s">
        <v>25</v>
      </c>
      <c r="C918" s="6" t="s">
        <v>13</v>
      </c>
      <c r="D918" s="5" t="s">
        <v>2646</v>
      </c>
      <c r="E918" s="5" t="s">
        <v>430</v>
      </c>
      <c r="F918" s="5" t="s">
        <v>2730</v>
      </c>
      <c r="G918" s="5" t="s">
        <v>2731</v>
      </c>
      <c r="H918" s="5" t="s">
        <v>18</v>
      </c>
      <c r="I918" s="7" t="s">
        <v>2732</v>
      </c>
      <c r="J918" s="8" t="s">
        <v>13</v>
      </c>
    </row>
    <row r="919">
      <c r="A919" s="5" t="s">
        <v>2733</v>
      </c>
      <c r="B919" s="5" t="s">
        <v>2734</v>
      </c>
      <c r="C919" s="6" t="s">
        <v>13</v>
      </c>
      <c r="D919" s="5" t="s">
        <v>2646</v>
      </c>
      <c r="E919" s="5" t="s">
        <v>387</v>
      </c>
      <c r="F919" s="5" t="s">
        <v>153</v>
      </c>
      <c r="G919" s="5" t="s">
        <v>154</v>
      </c>
      <c r="H919" s="5" t="s">
        <v>18</v>
      </c>
      <c r="I919" s="8" t="s">
        <v>2735</v>
      </c>
      <c r="J919" s="8" t="s">
        <v>13</v>
      </c>
    </row>
    <row r="920">
      <c r="A920" s="5" t="s">
        <v>2736</v>
      </c>
      <c r="B920" s="5" t="s">
        <v>2737</v>
      </c>
      <c r="C920" s="6" t="s">
        <v>4</v>
      </c>
      <c r="D920" s="5" t="s">
        <v>2646</v>
      </c>
      <c r="E920" s="5" t="s">
        <v>257</v>
      </c>
      <c r="F920" s="5" t="s">
        <v>153</v>
      </c>
      <c r="G920" s="5" t="s">
        <v>154</v>
      </c>
      <c r="H920" s="5" t="s">
        <v>18</v>
      </c>
      <c r="I920" s="8" t="s">
        <v>2738</v>
      </c>
      <c r="J920" s="8" t="s">
        <v>13</v>
      </c>
    </row>
    <row r="921">
      <c r="A921" s="5" t="s">
        <v>2739</v>
      </c>
      <c r="B921" s="5" t="s">
        <v>2740</v>
      </c>
      <c r="C921" s="6" t="s">
        <v>13</v>
      </c>
      <c r="D921" s="5" t="s">
        <v>2646</v>
      </c>
      <c r="E921" s="5" t="s">
        <v>136</v>
      </c>
      <c r="F921" s="5" t="s">
        <v>153</v>
      </c>
      <c r="G921" s="5" t="s">
        <v>154</v>
      </c>
      <c r="H921" s="5" t="s">
        <v>18</v>
      </c>
      <c r="I921" s="8" t="s">
        <v>2741</v>
      </c>
      <c r="J921" s="8" t="s">
        <v>13</v>
      </c>
    </row>
    <row r="922">
      <c r="A922" s="5" t="s">
        <v>2742</v>
      </c>
      <c r="B922" s="5" t="s">
        <v>2743</v>
      </c>
      <c r="C922" s="6" t="s">
        <v>13</v>
      </c>
      <c r="D922" s="5" t="s">
        <v>2646</v>
      </c>
      <c r="E922" s="5" t="s">
        <v>79</v>
      </c>
      <c r="F922" s="5" t="s">
        <v>153</v>
      </c>
      <c r="G922" s="5" t="s">
        <v>154</v>
      </c>
      <c r="H922" s="5" t="s">
        <v>18</v>
      </c>
      <c r="I922" s="8" t="s">
        <v>2744</v>
      </c>
      <c r="J922" s="8" t="s">
        <v>13</v>
      </c>
    </row>
    <row r="923">
      <c r="A923" s="5" t="s">
        <v>2745</v>
      </c>
      <c r="B923" s="5" t="s">
        <v>2746</v>
      </c>
      <c r="C923" s="6" t="s">
        <v>13</v>
      </c>
      <c r="D923" s="5" t="s">
        <v>2646</v>
      </c>
      <c r="E923" s="5" t="s">
        <v>15</v>
      </c>
      <c r="F923" s="5" t="s">
        <v>153</v>
      </c>
      <c r="G923" s="5" t="s">
        <v>154</v>
      </c>
      <c r="H923" s="5" t="s">
        <v>18</v>
      </c>
      <c r="I923" s="8" t="s">
        <v>2747</v>
      </c>
      <c r="J923" s="8" t="s">
        <v>13</v>
      </c>
    </row>
    <row r="924">
      <c r="A924" s="5" t="s">
        <v>2748</v>
      </c>
      <c r="B924" s="5" t="s">
        <v>2749</v>
      </c>
      <c r="C924" s="6" t="s">
        <v>13</v>
      </c>
      <c r="D924" s="5" t="s">
        <v>2646</v>
      </c>
      <c r="E924" s="5" t="s">
        <v>441</v>
      </c>
      <c r="F924" s="5" t="s">
        <v>153</v>
      </c>
      <c r="G924" s="5" t="s">
        <v>154</v>
      </c>
      <c r="H924" s="5" t="s">
        <v>18</v>
      </c>
      <c r="I924" s="8" t="s">
        <v>2750</v>
      </c>
      <c r="J924" s="8" t="s">
        <v>13</v>
      </c>
    </row>
    <row r="925">
      <c r="A925" s="5" t="s">
        <v>2751</v>
      </c>
      <c r="B925" s="5" t="s">
        <v>2752</v>
      </c>
      <c r="C925" s="6" t="s">
        <v>13</v>
      </c>
      <c r="D925" s="5" t="s">
        <v>2646</v>
      </c>
      <c r="E925" s="5" t="s">
        <v>79</v>
      </c>
      <c r="F925" s="5" t="s">
        <v>1852</v>
      </c>
      <c r="G925" s="5" t="s">
        <v>38</v>
      </c>
      <c r="H925" s="5" t="s">
        <v>18</v>
      </c>
      <c r="I925" s="7" t="s">
        <v>2753</v>
      </c>
      <c r="J925" s="8" t="s">
        <v>13</v>
      </c>
    </row>
    <row r="926">
      <c r="A926" s="5" t="s">
        <v>2754</v>
      </c>
      <c r="B926" s="5" t="s">
        <v>2755</v>
      </c>
      <c r="C926" s="6" t="s">
        <v>13</v>
      </c>
      <c r="D926" s="5" t="s">
        <v>2756</v>
      </c>
      <c r="E926" s="5" t="s">
        <v>2757</v>
      </c>
      <c r="F926" s="5" t="s">
        <v>635</v>
      </c>
      <c r="G926" s="5" t="s">
        <v>76</v>
      </c>
      <c r="H926" s="5" t="s">
        <v>18</v>
      </c>
      <c r="I926" s="7" t="s">
        <v>2758</v>
      </c>
      <c r="J926" s="8" t="s">
        <v>13</v>
      </c>
    </row>
    <row r="927">
      <c r="A927" s="5" t="s">
        <v>2759</v>
      </c>
      <c r="B927" s="5" t="s">
        <v>25</v>
      </c>
      <c r="C927" s="6" t="s">
        <v>13</v>
      </c>
      <c r="D927" s="5" t="s">
        <v>2756</v>
      </c>
      <c r="E927" s="5" t="s">
        <v>257</v>
      </c>
      <c r="F927" s="5" t="s">
        <v>635</v>
      </c>
      <c r="G927" s="5" t="s">
        <v>76</v>
      </c>
      <c r="H927" s="5" t="s">
        <v>18</v>
      </c>
      <c r="I927" s="8" t="s">
        <v>2760</v>
      </c>
      <c r="J927" s="8" t="s">
        <v>13</v>
      </c>
    </row>
    <row r="928">
      <c r="A928" s="5" t="s">
        <v>2761</v>
      </c>
      <c r="B928" s="5" t="s">
        <v>25</v>
      </c>
      <c r="C928" s="6" t="s">
        <v>13</v>
      </c>
      <c r="D928" s="5" t="s">
        <v>2756</v>
      </c>
      <c r="E928" s="5" t="s">
        <v>832</v>
      </c>
      <c r="F928" s="5" t="s">
        <v>635</v>
      </c>
      <c r="G928" s="5" t="s">
        <v>76</v>
      </c>
      <c r="H928" s="5" t="s">
        <v>18</v>
      </c>
      <c r="I928" s="7" t="s">
        <v>2762</v>
      </c>
      <c r="J928" s="8" t="s">
        <v>13</v>
      </c>
    </row>
    <row r="929">
      <c r="A929" s="5" t="s">
        <v>2763</v>
      </c>
      <c r="B929" s="5" t="s">
        <v>25</v>
      </c>
      <c r="C929" s="6" t="s">
        <v>13</v>
      </c>
      <c r="D929" s="5" t="s">
        <v>2756</v>
      </c>
      <c r="E929" s="5" t="s">
        <v>60</v>
      </c>
      <c r="F929" s="5" t="s">
        <v>635</v>
      </c>
      <c r="G929" s="5" t="s">
        <v>76</v>
      </c>
      <c r="H929" s="5" t="s">
        <v>18</v>
      </c>
      <c r="I929" s="8" t="s">
        <v>2764</v>
      </c>
      <c r="J929" s="8" t="s">
        <v>13</v>
      </c>
    </row>
    <row r="930">
      <c r="A930" s="5" t="s">
        <v>2765</v>
      </c>
      <c r="B930" s="5" t="s">
        <v>25</v>
      </c>
      <c r="C930" s="6" t="s">
        <v>13</v>
      </c>
      <c r="D930" s="5" t="s">
        <v>2756</v>
      </c>
      <c r="E930" s="5" t="s">
        <v>1244</v>
      </c>
      <c r="F930" s="5" t="s">
        <v>635</v>
      </c>
      <c r="G930" s="5" t="s">
        <v>76</v>
      </c>
      <c r="H930" s="5" t="s">
        <v>18</v>
      </c>
      <c r="I930" s="7" t="s">
        <v>2766</v>
      </c>
      <c r="J930" s="8" t="s">
        <v>13</v>
      </c>
    </row>
    <row r="931">
      <c r="A931" s="5" t="s">
        <v>2767</v>
      </c>
      <c r="B931" s="5" t="s">
        <v>25</v>
      </c>
      <c r="C931" s="6" t="s">
        <v>13</v>
      </c>
      <c r="D931" s="5" t="s">
        <v>2756</v>
      </c>
      <c r="E931" s="5" t="s">
        <v>257</v>
      </c>
      <c r="F931" s="5" t="s">
        <v>635</v>
      </c>
      <c r="G931" s="5" t="s">
        <v>76</v>
      </c>
      <c r="H931" s="5" t="s">
        <v>18</v>
      </c>
      <c r="I931" s="7" t="s">
        <v>2768</v>
      </c>
      <c r="J931" s="8" t="s">
        <v>13</v>
      </c>
    </row>
    <row r="932">
      <c r="A932" s="5" t="s">
        <v>2769</v>
      </c>
      <c r="B932" s="5" t="s">
        <v>2770</v>
      </c>
      <c r="C932" s="6" t="s">
        <v>13</v>
      </c>
      <c r="D932" s="5" t="s">
        <v>2771</v>
      </c>
      <c r="E932" s="5" t="s">
        <v>512</v>
      </c>
      <c r="F932" s="5" t="s">
        <v>2772</v>
      </c>
      <c r="G932" s="5" t="s">
        <v>219</v>
      </c>
      <c r="H932" s="5" t="s">
        <v>18</v>
      </c>
      <c r="I932" s="8" t="s">
        <v>2773</v>
      </c>
      <c r="J932" s="8" t="s">
        <v>13</v>
      </c>
    </row>
    <row r="933">
      <c r="A933" s="5" t="s">
        <v>2774</v>
      </c>
      <c r="B933" s="5" t="s">
        <v>480</v>
      </c>
      <c r="C933" s="6" t="s">
        <v>13</v>
      </c>
      <c r="D933" s="5" t="s">
        <v>2771</v>
      </c>
      <c r="E933" s="5" t="s">
        <v>886</v>
      </c>
      <c r="F933" s="5" t="s">
        <v>2772</v>
      </c>
      <c r="G933" s="5" t="s">
        <v>219</v>
      </c>
      <c r="H933" s="5" t="s">
        <v>18</v>
      </c>
      <c r="I933" s="7" t="s">
        <v>2775</v>
      </c>
      <c r="J933" s="8" t="s">
        <v>13</v>
      </c>
    </row>
    <row r="934">
      <c r="A934" s="5" t="s">
        <v>2776</v>
      </c>
      <c r="B934" s="5" t="s">
        <v>2777</v>
      </c>
      <c r="C934" s="6" t="s">
        <v>13</v>
      </c>
      <c r="D934" s="5" t="s">
        <v>2771</v>
      </c>
      <c r="E934" s="5" t="s">
        <v>222</v>
      </c>
      <c r="F934" s="5" t="s">
        <v>2778</v>
      </c>
      <c r="G934" s="5" t="s">
        <v>219</v>
      </c>
      <c r="H934" s="5" t="s">
        <v>18</v>
      </c>
      <c r="I934" s="8" t="s">
        <v>2779</v>
      </c>
      <c r="J934" s="8" t="s">
        <v>13</v>
      </c>
    </row>
    <row r="935">
      <c r="A935" s="5" t="s">
        <v>2780</v>
      </c>
      <c r="B935" s="5" t="s">
        <v>2781</v>
      </c>
      <c r="C935" s="6" t="s">
        <v>13</v>
      </c>
      <c r="D935" s="5" t="s">
        <v>2771</v>
      </c>
      <c r="F935" s="5" t="s">
        <v>2782</v>
      </c>
      <c r="G935" s="5" t="s">
        <v>219</v>
      </c>
      <c r="H935" s="5" t="s">
        <v>18</v>
      </c>
      <c r="I935" s="7" t="s">
        <v>2783</v>
      </c>
      <c r="J935" s="8" t="s">
        <v>13</v>
      </c>
    </row>
    <row r="936">
      <c r="A936" s="5" t="s">
        <v>2784</v>
      </c>
      <c r="B936" s="5" t="s">
        <v>480</v>
      </c>
      <c r="C936" s="6" t="s">
        <v>13</v>
      </c>
      <c r="D936" s="5" t="s">
        <v>2771</v>
      </c>
      <c r="E936" s="5" t="s">
        <v>1806</v>
      </c>
      <c r="F936" s="5" t="s">
        <v>2785</v>
      </c>
      <c r="G936" s="5" t="s">
        <v>219</v>
      </c>
      <c r="H936" s="5" t="s">
        <v>18</v>
      </c>
      <c r="I936" s="7" t="s">
        <v>2786</v>
      </c>
      <c r="J936" s="8" t="s">
        <v>13</v>
      </c>
    </row>
    <row r="937">
      <c r="A937" s="5" t="s">
        <v>2787</v>
      </c>
      <c r="B937" s="5" t="s">
        <v>25</v>
      </c>
      <c r="C937" s="6" t="s">
        <v>13</v>
      </c>
      <c r="D937" s="5" t="s">
        <v>2788</v>
      </c>
      <c r="E937" s="5" t="s">
        <v>1289</v>
      </c>
      <c r="F937" s="5" t="s">
        <v>1643</v>
      </c>
      <c r="G937" s="5" t="s">
        <v>763</v>
      </c>
      <c r="H937" s="5" t="s">
        <v>18</v>
      </c>
      <c r="I937" s="8" t="s">
        <v>2789</v>
      </c>
      <c r="J937" s="8" t="s">
        <v>13</v>
      </c>
    </row>
    <row r="938">
      <c r="A938" s="5" t="s">
        <v>2790</v>
      </c>
      <c r="B938" s="5" t="s">
        <v>2791</v>
      </c>
      <c r="C938" s="6" t="s">
        <v>13</v>
      </c>
      <c r="D938" s="5" t="s">
        <v>2788</v>
      </c>
      <c r="E938" s="5" t="s">
        <v>886</v>
      </c>
      <c r="F938" s="5" t="s">
        <v>2792</v>
      </c>
      <c r="G938" s="5" t="s">
        <v>38</v>
      </c>
      <c r="H938" s="5" t="s">
        <v>18</v>
      </c>
      <c r="I938" s="8" t="s">
        <v>2793</v>
      </c>
      <c r="J938" s="8" t="s">
        <v>13</v>
      </c>
    </row>
    <row r="939">
      <c r="A939" s="5" t="s">
        <v>2794</v>
      </c>
      <c r="B939" s="5" t="s">
        <v>25</v>
      </c>
      <c r="C939" s="6" t="s">
        <v>13</v>
      </c>
      <c r="D939" s="5" t="s">
        <v>2788</v>
      </c>
      <c r="E939" s="5" t="s">
        <v>832</v>
      </c>
      <c r="F939" s="5" t="s">
        <v>112</v>
      </c>
      <c r="G939" s="5" t="s">
        <v>38</v>
      </c>
      <c r="H939" s="5" t="s">
        <v>18</v>
      </c>
      <c r="I939" s="8" t="s">
        <v>2795</v>
      </c>
      <c r="J939" s="8" t="s">
        <v>13</v>
      </c>
    </row>
    <row r="940">
      <c r="A940" s="5" t="s">
        <v>2796</v>
      </c>
      <c r="B940" s="5" t="s">
        <v>2797</v>
      </c>
      <c r="C940" s="6" t="s">
        <v>13</v>
      </c>
      <c r="D940" s="5" t="s">
        <v>2788</v>
      </c>
      <c r="E940" s="5" t="s">
        <v>233</v>
      </c>
      <c r="F940" s="5" t="s">
        <v>2798</v>
      </c>
      <c r="G940" s="5" t="s">
        <v>154</v>
      </c>
      <c r="H940" s="5" t="s">
        <v>18</v>
      </c>
      <c r="I940" s="8" t="s">
        <v>2799</v>
      </c>
      <c r="J940" s="8" t="s">
        <v>13</v>
      </c>
    </row>
    <row r="941">
      <c r="A941" s="5" t="s">
        <v>2800</v>
      </c>
      <c r="B941" s="5" t="s">
        <v>2801</v>
      </c>
      <c r="C941" s="6" t="s">
        <v>13</v>
      </c>
      <c r="D941" s="5" t="s">
        <v>2788</v>
      </c>
      <c r="E941" s="5" t="s">
        <v>472</v>
      </c>
      <c r="F941" s="5" t="s">
        <v>2802</v>
      </c>
      <c r="G941" s="5" t="s">
        <v>91</v>
      </c>
      <c r="H941" s="5" t="s">
        <v>18</v>
      </c>
      <c r="I941" s="8" t="s">
        <v>2803</v>
      </c>
      <c r="J941" s="8" t="s">
        <v>13</v>
      </c>
    </row>
    <row r="942">
      <c r="A942" s="5" t="s">
        <v>2804</v>
      </c>
      <c r="B942" s="5" t="s">
        <v>25</v>
      </c>
      <c r="C942" s="6" t="s">
        <v>13</v>
      </c>
      <c r="D942" s="5" t="s">
        <v>2788</v>
      </c>
      <c r="E942" s="5" t="s">
        <v>228</v>
      </c>
      <c r="F942" s="5" t="s">
        <v>2805</v>
      </c>
      <c r="G942" s="5" t="s">
        <v>44</v>
      </c>
      <c r="H942" s="5" t="s">
        <v>18</v>
      </c>
      <c r="I942" s="8" t="s">
        <v>2806</v>
      </c>
      <c r="J942" s="8" t="s">
        <v>13</v>
      </c>
    </row>
    <row r="943">
      <c r="A943" s="5" t="s">
        <v>2807</v>
      </c>
      <c r="B943" s="5" t="s">
        <v>371</v>
      </c>
      <c r="C943" s="6" t="s">
        <v>13</v>
      </c>
      <c r="D943" s="5" t="s">
        <v>2788</v>
      </c>
      <c r="E943" s="5" t="s">
        <v>241</v>
      </c>
      <c r="F943" s="6" t="s">
        <v>64</v>
      </c>
      <c r="G943" s="6" t="s">
        <v>65</v>
      </c>
      <c r="H943" s="5" t="s">
        <v>18</v>
      </c>
      <c r="I943" s="8" t="s">
        <v>2808</v>
      </c>
      <c r="J943" s="8" t="s">
        <v>13</v>
      </c>
    </row>
    <row r="944">
      <c r="A944" s="5" t="s">
        <v>2809</v>
      </c>
      <c r="B944" s="5" t="s">
        <v>2810</v>
      </c>
      <c r="C944" s="6" t="s">
        <v>13</v>
      </c>
      <c r="D944" s="5" t="s">
        <v>2788</v>
      </c>
      <c r="E944" s="5" t="s">
        <v>909</v>
      </c>
      <c r="F944" s="6" t="s">
        <v>64</v>
      </c>
      <c r="G944" s="6" t="s">
        <v>65</v>
      </c>
      <c r="H944" s="5" t="s">
        <v>18</v>
      </c>
      <c r="I944" s="8" t="s">
        <v>2811</v>
      </c>
      <c r="J944" s="8" t="s">
        <v>13</v>
      </c>
    </row>
    <row r="945">
      <c r="A945" s="5" t="s">
        <v>2812</v>
      </c>
      <c r="B945" s="5" t="s">
        <v>2813</v>
      </c>
      <c r="C945" s="6" t="s">
        <v>13</v>
      </c>
      <c r="D945" s="5" t="s">
        <v>2788</v>
      </c>
      <c r="E945" s="5" t="s">
        <v>111</v>
      </c>
      <c r="F945" s="5" t="s">
        <v>2814</v>
      </c>
      <c r="G945" s="5" t="s">
        <v>154</v>
      </c>
      <c r="H945" s="5" t="s">
        <v>18</v>
      </c>
      <c r="I945" s="8" t="s">
        <v>2815</v>
      </c>
      <c r="J945" s="8" t="s">
        <v>13</v>
      </c>
    </row>
    <row r="946">
      <c r="A946" s="5" t="s">
        <v>2812</v>
      </c>
      <c r="B946" s="5" t="s">
        <v>2813</v>
      </c>
      <c r="C946" s="6" t="s">
        <v>13</v>
      </c>
      <c r="D946" s="5" t="s">
        <v>2788</v>
      </c>
      <c r="E946" s="5" t="s">
        <v>111</v>
      </c>
      <c r="F946" s="5" t="s">
        <v>2814</v>
      </c>
      <c r="G946" s="5" t="s">
        <v>154</v>
      </c>
      <c r="H946" s="5" t="s">
        <v>18</v>
      </c>
      <c r="I946" s="8" t="s">
        <v>2815</v>
      </c>
      <c r="J946" s="8" t="s">
        <v>13</v>
      </c>
    </row>
    <row r="947">
      <c r="A947" s="5" t="s">
        <v>2816</v>
      </c>
      <c r="B947" s="5" t="s">
        <v>2817</v>
      </c>
      <c r="C947" s="6" t="s">
        <v>13</v>
      </c>
      <c r="D947" s="5" t="s">
        <v>2788</v>
      </c>
      <c r="E947" s="5" t="s">
        <v>2818</v>
      </c>
      <c r="F947" s="5" t="s">
        <v>2819</v>
      </c>
      <c r="G947" s="5" t="s">
        <v>2820</v>
      </c>
      <c r="H947" s="5" t="s">
        <v>18</v>
      </c>
      <c r="I947" s="8" t="s">
        <v>2821</v>
      </c>
      <c r="J947" s="8" t="s">
        <v>13</v>
      </c>
    </row>
    <row r="948">
      <c r="A948" s="5" t="s">
        <v>2822</v>
      </c>
      <c r="B948" s="5" t="s">
        <v>2823</v>
      </c>
      <c r="C948" s="6" t="s">
        <v>13</v>
      </c>
      <c r="D948" s="5" t="s">
        <v>2788</v>
      </c>
      <c r="E948" s="5" t="s">
        <v>661</v>
      </c>
      <c r="F948" s="5" t="s">
        <v>137</v>
      </c>
      <c r="G948" s="5" t="s">
        <v>137</v>
      </c>
      <c r="H948" s="5" t="s">
        <v>18</v>
      </c>
      <c r="I948" s="8" t="s">
        <v>2824</v>
      </c>
      <c r="J948" s="8" t="s">
        <v>13</v>
      </c>
    </row>
    <row r="949">
      <c r="A949" s="5" t="s">
        <v>2825</v>
      </c>
      <c r="B949" s="5" t="s">
        <v>25</v>
      </c>
      <c r="C949" s="6" t="s">
        <v>13</v>
      </c>
      <c r="D949" s="5" t="s">
        <v>2788</v>
      </c>
      <c r="E949" s="5" t="s">
        <v>2826</v>
      </c>
      <c r="F949" s="5" t="s">
        <v>137</v>
      </c>
      <c r="G949" s="5" t="s">
        <v>137</v>
      </c>
      <c r="H949" s="5" t="s">
        <v>18</v>
      </c>
      <c r="I949" s="8" t="s">
        <v>2827</v>
      </c>
      <c r="J949" s="8" t="s">
        <v>13</v>
      </c>
    </row>
    <row r="950">
      <c r="A950" s="5" t="s">
        <v>2828</v>
      </c>
      <c r="B950" s="5" t="s">
        <v>2829</v>
      </c>
      <c r="C950" s="6" t="s">
        <v>13</v>
      </c>
      <c r="D950" s="5" t="s">
        <v>2788</v>
      </c>
      <c r="E950" s="5" t="s">
        <v>1538</v>
      </c>
      <c r="F950" s="5" t="s">
        <v>2830</v>
      </c>
      <c r="G950" s="5" t="s">
        <v>219</v>
      </c>
      <c r="H950" s="5" t="s">
        <v>18</v>
      </c>
      <c r="I950" s="8" t="s">
        <v>2831</v>
      </c>
      <c r="J950" s="8" t="s">
        <v>13</v>
      </c>
    </row>
    <row r="951">
      <c r="A951" s="5" t="s">
        <v>2832</v>
      </c>
      <c r="B951" s="5" t="s">
        <v>2833</v>
      </c>
      <c r="C951" s="6" t="s">
        <v>13</v>
      </c>
      <c r="D951" s="5" t="s">
        <v>2788</v>
      </c>
      <c r="E951" s="5" t="s">
        <v>409</v>
      </c>
      <c r="F951" s="5" t="s">
        <v>608</v>
      </c>
      <c r="G951" s="5" t="s">
        <v>609</v>
      </c>
      <c r="H951" s="5" t="s">
        <v>18</v>
      </c>
      <c r="I951" s="8" t="s">
        <v>2834</v>
      </c>
      <c r="J951" s="8" t="s">
        <v>13</v>
      </c>
    </row>
    <row r="952">
      <c r="A952" s="5" t="s">
        <v>2835</v>
      </c>
      <c r="B952" s="5" t="s">
        <v>766</v>
      </c>
      <c r="C952" s="6" t="s">
        <v>13</v>
      </c>
      <c r="D952" s="5" t="s">
        <v>2788</v>
      </c>
      <c r="E952" s="5" t="s">
        <v>144</v>
      </c>
      <c r="F952" s="5" t="s">
        <v>2836</v>
      </c>
      <c r="G952" s="5" t="s">
        <v>203</v>
      </c>
      <c r="H952" s="5" t="s">
        <v>18</v>
      </c>
      <c r="I952" s="8" t="s">
        <v>2837</v>
      </c>
      <c r="J952" s="8" t="s">
        <v>13</v>
      </c>
    </row>
    <row r="953">
      <c r="A953" s="5" t="s">
        <v>2838</v>
      </c>
      <c r="B953" s="5" t="s">
        <v>2155</v>
      </c>
      <c r="C953" s="6" t="s">
        <v>13</v>
      </c>
      <c r="D953" s="5" t="s">
        <v>2839</v>
      </c>
      <c r="E953" s="5" t="s">
        <v>2840</v>
      </c>
      <c r="F953" s="5" t="s">
        <v>1638</v>
      </c>
      <c r="G953" s="5" t="s">
        <v>1639</v>
      </c>
      <c r="H953" s="5" t="s">
        <v>18</v>
      </c>
      <c r="I953" s="8" t="s">
        <v>2841</v>
      </c>
      <c r="J953" s="8" t="s">
        <v>13</v>
      </c>
    </row>
    <row r="954">
      <c r="A954" s="5" t="s">
        <v>2842</v>
      </c>
      <c r="B954" s="5" t="s">
        <v>371</v>
      </c>
      <c r="C954" s="6" t="s">
        <v>13</v>
      </c>
      <c r="D954" s="5" t="s">
        <v>2839</v>
      </c>
      <c r="E954" s="5" t="s">
        <v>651</v>
      </c>
      <c r="F954" s="5" t="s">
        <v>377</v>
      </c>
      <c r="G954" s="5" t="s">
        <v>378</v>
      </c>
      <c r="H954" s="5" t="s">
        <v>18</v>
      </c>
      <c r="I954" s="7" t="s">
        <v>2843</v>
      </c>
      <c r="J954" s="8" t="s">
        <v>13</v>
      </c>
    </row>
    <row r="955">
      <c r="A955" s="5" t="s">
        <v>2844</v>
      </c>
      <c r="B955" s="5" t="s">
        <v>25</v>
      </c>
      <c r="C955" s="6" t="s">
        <v>13</v>
      </c>
      <c r="D955" s="5" t="s">
        <v>2839</v>
      </c>
      <c r="E955" s="5" t="s">
        <v>2845</v>
      </c>
      <c r="F955" s="5" t="s">
        <v>49</v>
      </c>
      <c r="G955" s="5" t="s">
        <v>50</v>
      </c>
      <c r="H955" s="5" t="s">
        <v>18</v>
      </c>
      <c r="I955" s="7" t="s">
        <v>2846</v>
      </c>
      <c r="J955" s="8" t="s">
        <v>13</v>
      </c>
    </row>
    <row r="956">
      <c r="A956" s="5" t="s">
        <v>2847</v>
      </c>
      <c r="B956" s="5" t="s">
        <v>2848</v>
      </c>
      <c r="C956" s="6" t="s">
        <v>13</v>
      </c>
      <c r="D956" s="5" t="s">
        <v>2839</v>
      </c>
      <c r="E956" s="5" t="s">
        <v>697</v>
      </c>
      <c r="F956" s="6" t="s">
        <v>64</v>
      </c>
      <c r="G956" s="6" t="s">
        <v>65</v>
      </c>
      <c r="H956" s="5" t="s">
        <v>18</v>
      </c>
      <c r="I956" s="8" t="s">
        <v>2849</v>
      </c>
      <c r="J956" s="8" t="s">
        <v>13</v>
      </c>
    </row>
    <row r="957">
      <c r="A957" s="5" t="s">
        <v>2850</v>
      </c>
      <c r="B957" s="5" t="s">
        <v>2155</v>
      </c>
      <c r="C957" s="6" t="s">
        <v>13</v>
      </c>
      <c r="D957" s="5" t="s">
        <v>2839</v>
      </c>
      <c r="E957" s="5" t="s">
        <v>2851</v>
      </c>
      <c r="F957" s="5" t="s">
        <v>2852</v>
      </c>
      <c r="G957" s="5" t="s">
        <v>17</v>
      </c>
      <c r="H957" s="5" t="s">
        <v>18</v>
      </c>
      <c r="I957" s="8" t="s">
        <v>2853</v>
      </c>
      <c r="J957" s="8" t="s">
        <v>13</v>
      </c>
    </row>
    <row r="958">
      <c r="A958" s="5" t="s">
        <v>2854</v>
      </c>
      <c r="B958" s="5" t="s">
        <v>25</v>
      </c>
      <c r="C958" s="6" t="s">
        <v>13</v>
      </c>
      <c r="D958" s="5" t="s">
        <v>2839</v>
      </c>
      <c r="E958" s="5" t="s">
        <v>421</v>
      </c>
      <c r="F958" s="5" t="s">
        <v>80</v>
      </c>
      <c r="G958" s="5" t="s">
        <v>38</v>
      </c>
      <c r="H958" s="5" t="s">
        <v>18</v>
      </c>
      <c r="I958" s="7" t="s">
        <v>2855</v>
      </c>
      <c r="J958" s="8" t="s">
        <v>13</v>
      </c>
    </row>
    <row r="959">
      <c r="A959" s="5" t="s">
        <v>2856</v>
      </c>
      <c r="B959" s="5" t="s">
        <v>2857</v>
      </c>
      <c r="C959" s="6" t="s">
        <v>13</v>
      </c>
      <c r="D959" s="5" t="s">
        <v>2839</v>
      </c>
      <c r="E959" s="5" t="s">
        <v>144</v>
      </c>
      <c r="F959" s="5" t="s">
        <v>85</v>
      </c>
      <c r="G959" s="5" t="s">
        <v>86</v>
      </c>
      <c r="H959" s="5" t="s">
        <v>18</v>
      </c>
      <c r="I959" s="8" t="s">
        <v>2858</v>
      </c>
      <c r="J959" s="8" t="s">
        <v>13</v>
      </c>
    </row>
    <row r="960">
      <c r="A960" s="5" t="s">
        <v>2859</v>
      </c>
      <c r="B960" s="5" t="s">
        <v>371</v>
      </c>
      <c r="C960" s="6" t="s">
        <v>13</v>
      </c>
      <c r="D960" s="5" t="s">
        <v>2839</v>
      </c>
      <c r="E960" s="5" t="s">
        <v>1623</v>
      </c>
      <c r="F960" s="5" t="s">
        <v>90</v>
      </c>
      <c r="G960" s="5" t="s">
        <v>91</v>
      </c>
      <c r="H960" s="5" t="s">
        <v>18</v>
      </c>
      <c r="I960" s="7" t="s">
        <v>2860</v>
      </c>
      <c r="J960" s="8" t="s">
        <v>13</v>
      </c>
    </row>
    <row r="961">
      <c r="A961" s="5" t="s">
        <v>2861</v>
      </c>
      <c r="B961" s="5" t="s">
        <v>2862</v>
      </c>
      <c r="C961" s="6" t="s">
        <v>13</v>
      </c>
      <c r="D961" s="5" t="s">
        <v>2839</v>
      </c>
      <c r="E961" s="5" t="s">
        <v>488</v>
      </c>
      <c r="F961" s="5" t="s">
        <v>112</v>
      </c>
      <c r="G961" s="5" t="s">
        <v>38</v>
      </c>
      <c r="H961" s="5" t="s">
        <v>18</v>
      </c>
      <c r="I961" s="8" t="s">
        <v>2863</v>
      </c>
      <c r="J961" s="8" t="s">
        <v>13</v>
      </c>
    </row>
    <row r="962">
      <c r="A962" s="5" t="s">
        <v>2864</v>
      </c>
      <c r="B962" s="5" t="s">
        <v>2865</v>
      </c>
      <c r="C962" s="6" t="s">
        <v>13</v>
      </c>
      <c r="D962" s="5" t="s">
        <v>2839</v>
      </c>
      <c r="E962" s="5" t="s">
        <v>2035</v>
      </c>
      <c r="F962" s="5" t="s">
        <v>112</v>
      </c>
      <c r="G962" s="5" t="s">
        <v>38</v>
      </c>
      <c r="H962" s="5" t="s">
        <v>18</v>
      </c>
      <c r="I962" s="8" t="s">
        <v>2866</v>
      </c>
      <c r="J962" s="8" t="s">
        <v>13</v>
      </c>
    </row>
    <row r="963">
      <c r="A963" s="5" t="s">
        <v>2867</v>
      </c>
      <c r="B963" s="5" t="s">
        <v>371</v>
      </c>
      <c r="C963" s="6" t="s">
        <v>13</v>
      </c>
      <c r="D963" s="5" t="s">
        <v>2839</v>
      </c>
      <c r="E963" s="5" t="s">
        <v>2868</v>
      </c>
      <c r="F963" s="5" t="s">
        <v>122</v>
      </c>
      <c r="G963" s="5" t="s">
        <v>44</v>
      </c>
      <c r="H963" s="5" t="s">
        <v>18</v>
      </c>
      <c r="I963" s="7" t="s">
        <v>2869</v>
      </c>
      <c r="J963" s="8" t="s">
        <v>13</v>
      </c>
    </row>
    <row r="964">
      <c r="A964" s="5" t="s">
        <v>2870</v>
      </c>
      <c r="B964" s="5" t="s">
        <v>2871</v>
      </c>
      <c r="C964" s="6" t="s">
        <v>13</v>
      </c>
      <c r="D964" s="5" t="s">
        <v>2839</v>
      </c>
      <c r="E964" s="5" t="s">
        <v>554</v>
      </c>
      <c r="F964" s="5" t="s">
        <v>2872</v>
      </c>
      <c r="G964" s="5" t="s">
        <v>133</v>
      </c>
      <c r="H964" s="5" t="s">
        <v>18</v>
      </c>
      <c r="I964" s="8" t="s">
        <v>2873</v>
      </c>
      <c r="J964" s="8" t="s">
        <v>13</v>
      </c>
    </row>
    <row r="965">
      <c r="A965" s="5" t="s">
        <v>2874</v>
      </c>
      <c r="B965" s="5" t="s">
        <v>25</v>
      </c>
      <c r="C965" s="6" t="s">
        <v>13</v>
      </c>
      <c r="D965" s="5" t="s">
        <v>2839</v>
      </c>
      <c r="E965" s="5" t="s">
        <v>125</v>
      </c>
      <c r="F965" s="5" t="s">
        <v>953</v>
      </c>
      <c r="G965" s="5" t="s">
        <v>954</v>
      </c>
      <c r="H965" s="5" t="s">
        <v>18</v>
      </c>
      <c r="I965" s="7" t="s">
        <v>2875</v>
      </c>
      <c r="J965" s="8" t="s">
        <v>13</v>
      </c>
    </row>
    <row r="966">
      <c r="A966" s="5" t="s">
        <v>2876</v>
      </c>
      <c r="B966" s="5" t="s">
        <v>25</v>
      </c>
      <c r="C966" s="6" t="s">
        <v>13</v>
      </c>
      <c r="D966" s="5" t="s">
        <v>2839</v>
      </c>
      <c r="E966" s="5" t="s">
        <v>425</v>
      </c>
      <c r="F966" s="5" t="s">
        <v>132</v>
      </c>
      <c r="G966" s="5" t="s">
        <v>133</v>
      </c>
      <c r="H966" s="5" t="s">
        <v>18</v>
      </c>
      <c r="I966" s="7" t="s">
        <v>2877</v>
      </c>
      <c r="J966" s="8" t="s">
        <v>13</v>
      </c>
    </row>
    <row r="967">
      <c r="A967" s="5" t="s">
        <v>2878</v>
      </c>
      <c r="B967" s="5" t="s">
        <v>2879</v>
      </c>
      <c r="C967" s="6" t="s">
        <v>13</v>
      </c>
      <c r="D967" s="5" t="s">
        <v>2839</v>
      </c>
      <c r="E967" s="5" t="s">
        <v>2288</v>
      </c>
      <c r="F967" s="5" t="s">
        <v>137</v>
      </c>
      <c r="G967" s="5" t="s">
        <v>137</v>
      </c>
      <c r="H967" s="5" t="s">
        <v>18</v>
      </c>
      <c r="I967" s="8" t="s">
        <v>2880</v>
      </c>
      <c r="J967" s="8" t="s">
        <v>13</v>
      </c>
    </row>
    <row r="968">
      <c r="A968" s="5" t="s">
        <v>2881</v>
      </c>
      <c r="B968" s="5" t="s">
        <v>2882</v>
      </c>
      <c r="C968" s="6" t="s">
        <v>13</v>
      </c>
      <c r="D968" s="5" t="s">
        <v>2839</v>
      </c>
      <c r="E968" s="5" t="s">
        <v>22</v>
      </c>
      <c r="F968" s="5" t="s">
        <v>2491</v>
      </c>
      <c r="G968" s="5" t="s">
        <v>44</v>
      </c>
      <c r="H968" s="5" t="s">
        <v>18</v>
      </c>
      <c r="I968" s="8" t="s">
        <v>2883</v>
      </c>
      <c r="J968" s="8" t="s">
        <v>13</v>
      </c>
    </row>
    <row r="969">
      <c r="A969" s="5" t="s">
        <v>2884</v>
      </c>
      <c r="B969" s="5" t="s">
        <v>625</v>
      </c>
      <c r="C969" s="6" t="s">
        <v>13</v>
      </c>
      <c r="D969" s="5" t="s">
        <v>2839</v>
      </c>
      <c r="E969" s="5" t="s">
        <v>651</v>
      </c>
      <c r="F969" s="5" t="s">
        <v>2339</v>
      </c>
      <c r="G969" s="5" t="s">
        <v>781</v>
      </c>
      <c r="H969" s="5" t="s">
        <v>18</v>
      </c>
      <c r="I969" s="7" t="s">
        <v>2885</v>
      </c>
      <c r="J969" s="8" t="s">
        <v>13</v>
      </c>
    </row>
    <row r="970">
      <c r="A970" s="5" t="s">
        <v>2886</v>
      </c>
      <c r="B970" s="5" t="s">
        <v>2887</v>
      </c>
      <c r="C970" s="6" t="s">
        <v>13</v>
      </c>
      <c r="D970" s="5" t="s">
        <v>2839</v>
      </c>
      <c r="E970" s="5" t="s">
        <v>2322</v>
      </c>
      <c r="F970" s="5" t="s">
        <v>801</v>
      </c>
      <c r="G970" s="5" t="s">
        <v>50</v>
      </c>
      <c r="H970" s="5" t="s">
        <v>18</v>
      </c>
      <c r="I970" s="7" t="s">
        <v>2888</v>
      </c>
      <c r="J970" s="8" t="s">
        <v>13</v>
      </c>
    </row>
    <row r="971">
      <c r="A971" s="5" t="s">
        <v>2889</v>
      </c>
      <c r="B971" s="5" t="s">
        <v>371</v>
      </c>
      <c r="C971" s="6" t="s">
        <v>13</v>
      </c>
      <c r="D971" s="5" t="s">
        <v>2839</v>
      </c>
      <c r="E971" s="5" t="s">
        <v>2890</v>
      </c>
      <c r="F971" s="5" t="s">
        <v>166</v>
      </c>
      <c r="G971" s="5" t="s">
        <v>44</v>
      </c>
      <c r="H971" s="5" t="s">
        <v>18</v>
      </c>
      <c r="I971" s="7" t="s">
        <v>2891</v>
      </c>
      <c r="J971" s="8" t="s">
        <v>13</v>
      </c>
    </row>
    <row r="972">
      <c r="A972" s="5" t="s">
        <v>2892</v>
      </c>
      <c r="B972" s="5" t="s">
        <v>2155</v>
      </c>
      <c r="C972" s="6" t="s">
        <v>13</v>
      </c>
      <c r="D972" s="5" t="s">
        <v>2839</v>
      </c>
      <c r="E972" s="5" t="s">
        <v>848</v>
      </c>
      <c r="F972" s="5" t="s">
        <v>102</v>
      </c>
      <c r="G972" s="5" t="s">
        <v>172</v>
      </c>
      <c r="H972" s="5" t="s">
        <v>18</v>
      </c>
      <c r="I972" s="8" t="s">
        <v>2893</v>
      </c>
      <c r="J972" s="8" t="s">
        <v>13</v>
      </c>
    </row>
    <row r="973">
      <c r="A973" s="5" t="s">
        <v>2894</v>
      </c>
      <c r="B973" s="5" t="s">
        <v>2895</v>
      </c>
      <c r="C973" s="6" t="s">
        <v>13</v>
      </c>
      <c r="D973" s="5" t="s">
        <v>2839</v>
      </c>
      <c r="E973" s="5" t="s">
        <v>188</v>
      </c>
      <c r="F973" s="5" t="s">
        <v>102</v>
      </c>
      <c r="G973" s="5" t="s">
        <v>172</v>
      </c>
      <c r="H973" s="5" t="s">
        <v>18</v>
      </c>
      <c r="I973" s="7" t="s">
        <v>2896</v>
      </c>
      <c r="J973" s="8" t="s">
        <v>13</v>
      </c>
    </row>
    <row r="974">
      <c r="A974" s="5" t="s">
        <v>2897</v>
      </c>
      <c r="B974" s="5" t="s">
        <v>371</v>
      </c>
      <c r="C974" s="6" t="s">
        <v>13</v>
      </c>
      <c r="D974" s="5" t="s">
        <v>2839</v>
      </c>
      <c r="E974" s="5" t="s">
        <v>784</v>
      </c>
      <c r="F974" s="5" t="s">
        <v>2898</v>
      </c>
      <c r="G974" s="5" t="s">
        <v>91</v>
      </c>
      <c r="H974" s="5" t="s">
        <v>18</v>
      </c>
      <c r="I974" s="7" t="s">
        <v>2899</v>
      </c>
      <c r="J974" s="8" t="s">
        <v>13</v>
      </c>
    </row>
    <row r="975">
      <c r="A975" s="5" t="s">
        <v>2900</v>
      </c>
      <c r="B975" s="5" t="s">
        <v>2155</v>
      </c>
      <c r="C975" s="6" t="s">
        <v>13</v>
      </c>
      <c r="D975" s="5" t="s">
        <v>2839</v>
      </c>
      <c r="E975" s="5" t="s">
        <v>2901</v>
      </c>
      <c r="F975" s="5" t="s">
        <v>2100</v>
      </c>
      <c r="G975" s="5" t="s">
        <v>264</v>
      </c>
      <c r="H975" s="5" t="s">
        <v>18</v>
      </c>
      <c r="I975" s="8" t="s">
        <v>2902</v>
      </c>
      <c r="J975" s="8" t="s">
        <v>13</v>
      </c>
    </row>
    <row r="976">
      <c r="A976" s="5" t="s">
        <v>2903</v>
      </c>
      <c r="B976" s="5" t="s">
        <v>371</v>
      </c>
      <c r="C976" s="6" t="s">
        <v>13</v>
      </c>
      <c r="D976" s="5" t="s">
        <v>2839</v>
      </c>
      <c r="E976" s="5" t="s">
        <v>2901</v>
      </c>
      <c r="F976" s="5" t="s">
        <v>876</v>
      </c>
      <c r="G976" s="5" t="s">
        <v>184</v>
      </c>
      <c r="H976" s="5" t="s">
        <v>18</v>
      </c>
      <c r="I976" s="7" t="s">
        <v>2904</v>
      </c>
      <c r="J976" s="8" t="s">
        <v>13</v>
      </c>
    </row>
    <row r="977">
      <c r="A977" s="5" t="s">
        <v>2905</v>
      </c>
      <c r="B977" s="5" t="s">
        <v>2857</v>
      </c>
      <c r="C977" s="6" t="s">
        <v>13</v>
      </c>
      <c r="D977" s="5" t="s">
        <v>2839</v>
      </c>
      <c r="E977" s="5" t="s">
        <v>217</v>
      </c>
      <c r="F977" s="5" t="s">
        <v>2906</v>
      </c>
      <c r="G977" s="5" t="s">
        <v>17</v>
      </c>
      <c r="H977" s="5" t="s">
        <v>18</v>
      </c>
      <c r="I977" s="8" t="s">
        <v>2907</v>
      </c>
      <c r="J977" s="8" t="s">
        <v>13</v>
      </c>
    </row>
    <row r="978">
      <c r="A978" s="5" t="s">
        <v>2908</v>
      </c>
      <c r="B978" s="5" t="s">
        <v>2155</v>
      </c>
      <c r="C978" s="6" t="s">
        <v>13</v>
      </c>
      <c r="D978" s="5" t="s">
        <v>2839</v>
      </c>
      <c r="E978" s="5" t="s">
        <v>512</v>
      </c>
      <c r="F978" s="5" t="s">
        <v>16</v>
      </c>
      <c r="G978" s="5" t="s">
        <v>17</v>
      </c>
      <c r="H978" s="5" t="s">
        <v>18</v>
      </c>
      <c r="I978" s="8" t="s">
        <v>2909</v>
      </c>
      <c r="J978" s="8" t="s">
        <v>13</v>
      </c>
    </row>
    <row r="979">
      <c r="A979" s="5" t="s">
        <v>2910</v>
      </c>
      <c r="B979" s="5" t="s">
        <v>2911</v>
      </c>
      <c r="C979" s="6" t="s">
        <v>13</v>
      </c>
      <c r="D979" s="5" t="s">
        <v>2839</v>
      </c>
      <c r="E979" s="5" t="s">
        <v>277</v>
      </c>
      <c r="F979" s="5" t="s">
        <v>16</v>
      </c>
      <c r="G979" s="5" t="s">
        <v>17</v>
      </c>
      <c r="H979" s="5" t="s">
        <v>18</v>
      </c>
      <c r="I979" s="8" t="s">
        <v>2912</v>
      </c>
      <c r="J979" s="8" t="s">
        <v>13</v>
      </c>
    </row>
    <row r="980">
      <c r="A980" s="5" t="s">
        <v>2913</v>
      </c>
      <c r="B980" s="5" t="s">
        <v>25</v>
      </c>
      <c r="C980" s="6" t="s">
        <v>13</v>
      </c>
      <c r="D980" s="5" t="s">
        <v>2839</v>
      </c>
      <c r="E980" s="5" t="s">
        <v>661</v>
      </c>
      <c r="F980" s="5" t="s">
        <v>49</v>
      </c>
      <c r="G980" s="5" t="s">
        <v>50</v>
      </c>
      <c r="H980" s="5" t="s">
        <v>18</v>
      </c>
      <c r="I980" s="7" t="s">
        <v>2914</v>
      </c>
      <c r="J980" s="8" t="s">
        <v>13</v>
      </c>
    </row>
    <row r="981">
      <c r="A981" s="5" t="s">
        <v>2915</v>
      </c>
      <c r="B981" s="5" t="s">
        <v>371</v>
      </c>
      <c r="C981" s="6" t="s">
        <v>13</v>
      </c>
      <c r="D981" s="5" t="s">
        <v>2839</v>
      </c>
      <c r="E981" s="5" t="s">
        <v>832</v>
      </c>
      <c r="F981" s="5" t="s">
        <v>64</v>
      </c>
      <c r="G981" s="5" t="s">
        <v>65</v>
      </c>
      <c r="H981" s="5" t="s">
        <v>18</v>
      </c>
      <c r="I981" s="7" t="s">
        <v>2916</v>
      </c>
      <c r="J981" s="8" t="s">
        <v>13</v>
      </c>
    </row>
    <row r="982">
      <c r="A982" s="5" t="s">
        <v>2917</v>
      </c>
      <c r="B982" s="5" t="s">
        <v>2918</v>
      </c>
      <c r="C982" s="6" t="s">
        <v>13</v>
      </c>
      <c r="D982" s="5" t="s">
        <v>2839</v>
      </c>
      <c r="E982" s="5" t="s">
        <v>84</v>
      </c>
      <c r="F982" s="5" t="s">
        <v>75</v>
      </c>
      <c r="G982" s="5" t="s">
        <v>76</v>
      </c>
      <c r="H982" s="5" t="s">
        <v>18</v>
      </c>
      <c r="I982" s="8" t="s">
        <v>2919</v>
      </c>
      <c r="J982" s="8" t="s">
        <v>13</v>
      </c>
    </row>
    <row r="983">
      <c r="A983" s="5" t="s">
        <v>2920</v>
      </c>
      <c r="B983" s="5" t="s">
        <v>371</v>
      </c>
      <c r="C983" s="6" t="s">
        <v>13</v>
      </c>
      <c r="D983" s="5" t="s">
        <v>2839</v>
      </c>
      <c r="E983" s="5" t="s">
        <v>1321</v>
      </c>
      <c r="F983" s="5" t="s">
        <v>80</v>
      </c>
      <c r="G983" s="5" t="s">
        <v>38</v>
      </c>
      <c r="H983" s="5" t="s">
        <v>18</v>
      </c>
      <c r="I983" s="7" t="s">
        <v>2921</v>
      </c>
      <c r="J983" s="8" t="s">
        <v>13</v>
      </c>
    </row>
    <row r="984">
      <c r="A984" s="5" t="s">
        <v>2922</v>
      </c>
      <c r="B984" s="5" t="s">
        <v>2923</v>
      </c>
      <c r="C984" s="6" t="s">
        <v>13</v>
      </c>
      <c r="D984" s="5" t="s">
        <v>2839</v>
      </c>
      <c r="E984" s="5" t="s">
        <v>277</v>
      </c>
      <c r="F984" s="5" t="s">
        <v>80</v>
      </c>
      <c r="G984" s="5" t="s">
        <v>38</v>
      </c>
      <c r="H984" s="5" t="s">
        <v>18</v>
      </c>
      <c r="I984" s="8" t="s">
        <v>2924</v>
      </c>
      <c r="J984" s="8" t="s">
        <v>13</v>
      </c>
    </row>
    <row r="985">
      <c r="A985" s="5" t="s">
        <v>2925</v>
      </c>
      <c r="B985" s="5" t="s">
        <v>25</v>
      </c>
      <c r="C985" s="6" t="s">
        <v>13</v>
      </c>
      <c r="D985" s="5" t="s">
        <v>2839</v>
      </c>
      <c r="E985" s="5" t="s">
        <v>1637</v>
      </c>
      <c r="F985" s="5" t="s">
        <v>80</v>
      </c>
      <c r="G985" s="5" t="s">
        <v>38</v>
      </c>
      <c r="H985" s="5" t="s">
        <v>18</v>
      </c>
      <c r="I985" s="7" t="s">
        <v>2926</v>
      </c>
      <c r="J985" s="8" t="s">
        <v>13</v>
      </c>
    </row>
    <row r="986">
      <c r="A986" s="5" t="s">
        <v>2927</v>
      </c>
      <c r="B986" s="5" t="s">
        <v>2911</v>
      </c>
      <c r="C986" s="6" t="s">
        <v>13</v>
      </c>
      <c r="D986" s="5" t="s">
        <v>2839</v>
      </c>
      <c r="E986" s="5" t="s">
        <v>277</v>
      </c>
      <c r="F986" s="5" t="s">
        <v>85</v>
      </c>
      <c r="G986" s="5" t="s">
        <v>86</v>
      </c>
      <c r="H986" s="5" t="s">
        <v>18</v>
      </c>
      <c r="I986" s="8" t="s">
        <v>2928</v>
      </c>
      <c r="J986" s="8" t="s">
        <v>13</v>
      </c>
    </row>
    <row r="987">
      <c r="A987" s="5" t="s">
        <v>2929</v>
      </c>
      <c r="B987" s="5" t="s">
        <v>2930</v>
      </c>
      <c r="C987" s="6" t="s">
        <v>13</v>
      </c>
      <c r="D987" s="5" t="s">
        <v>2839</v>
      </c>
      <c r="E987" s="5" t="s">
        <v>1098</v>
      </c>
      <c r="F987" s="5" t="s">
        <v>90</v>
      </c>
      <c r="G987" s="5" t="s">
        <v>91</v>
      </c>
      <c r="H987" s="5" t="s">
        <v>18</v>
      </c>
      <c r="I987" s="8" t="s">
        <v>2931</v>
      </c>
      <c r="J987" s="8" t="s">
        <v>13</v>
      </c>
    </row>
    <row r="988">
      <c r="A988" s="5" t="s">
        <v>2932</v>
      </c>
      <c r="B988" s="5" t="s">
        <v>625</v>
      </c>
      <c r="C988" s="6" t="s">
        <v>13</v>
      </c>
      <c r="D988" s="5" t="s">
        <v>2839</v>
      </c>
      <c r="E988" s="5" t="s">
        <v>387</v>
      </c>
      <c r="F988" s="5" t="s">
        <v>112</v>
      </c>
      <c r="G988" s="5" t="s">
        <v>38</v>
      </c>
      <c r="H988" s="5" t="s">
        <v>18</v>
      </c>
      <c r="I988" s="7" t="s">
        <v>2933</v>
      </c>
      <c r="J988" s="8" t="s">
        <v>13</v>
      </c>
    </row>
    <row r="989">
      <c r="A989" s="5" t="s">
        <v>2934</v>
      </c>
      <c r="B989" s="5" t="s">
        <v>2935</v>
      </c>
      <c r="C989" s="6" t="s">
        <v>13</v>
      </c>
      <c r="D989" s="5" t="s">
        <v>2839</v>
      </c>
      <c r="E989" s="5" t="s">
        <v>79</v>
      </c>
      <c r="F989" s="5" t="s">
        <v>122</v>
      </c>
      <c r="G989" s="5" t="s">
        <v>44</v>
      </c>
      <c r="H989" s="5" t="s">
        <v>18</v>
      </c>
      <c r="I989" s="8" t="s">
        <v>2936</v>
      </c>
      <c r="J989" s="8" t="s">
        <v>13</v>
      </c>
    </row>
    <row r="990">
      <c r="A990" s="5" t="s">
        <v>2937</v>
      </c>
      <c r="B990" s="5" t="s">
        <v>2938</v>
      </c>
      <c r="C990" s="6" t="s">
        <v>13</v>
      </c>
      <c r="D990" s="5" t="s">
        <v>2839</v>
      </c>
      <c r="E990" s="5" t="s">
        <v>217</v>
      </c>
      <c r="F990" s="5" t="s">
        <v>122</v>
      </c>
      <c r="G990" s="5" t="s">
        <v>44</v>
      </c>
      <c r="H990" s="5" t="s">
        <v>18</v>
      </c>
      <c r="I990" s="7" t="s">
        <v>2939</v>
      </c>
      <c r="J990" s="8" t="s">
        <v>13</v>
      </c>
    </row>
    <row r="991">
      <c r="A991" s="5" t="s">
        <v>2940</v>
      </c>
      <c r="B991" s="5" t="s">
        <v>2941</v>
      </c>
      <c r="C991" s="6" t="s">
        <v>13</v>
      </c>
      <c r="D991" s="5" t="s">
        <v>2839</v>
      </c>
      <c r="E991" s="5" t="s">
        <v>111</v>
      </c>
      <c r="F991" s="5" t="s">
        <v>2942</v>
      </c>
      <c r="G991" s="5" t="s">
        <v>154</v>
      </c>
      <c r="H991" s="5" t="s">
        <v>18</v>
      </c>
      <c r="I991" s="8" t="s">
        <v>2943</v>
      </c>
      <c r="J991" s="8" t="s">
        <v>13</v>
      </c>
    </row>
    <row r="992">
      <c r="A992" s="5" t="s">
        <v>2944</v>
      </c>
      <c r="B992" s="5" t="s">
        <v>2155</v>
      </c>
      <c r="C992" s="6" t="s">
        <v>13</v>
      </c>
      <c r="D992" s="5" t="s">
        <v>2839</v>
      </c>
      <c r="E992" s="5" t="s">
        <v>579</v>
      </c>
      <c r="F992" s="5" t="s">
        <v>137</v>
      </c>
      <c r="G992" s="5" t="s">
        <v>137</v>
      </c>
      <c r="H992" s="5" t="s">
        <v>18</v>
      </c>
      <c r="I992" s="8" t="s">
        <v>2945</v>
      </c>
      <c r="J992" s="8" t="s">
        <v>13</v>
      </c>
    </row>
    <row r="993">
      <c r="A993" s="5" t="s">
        <v>2946</v>
      </c>
      <c r="B993" s="5" t="s">
        <v>371</v>
      </c>
      <c r="C993" s="6" t="s">
        <v>13</v>
      </c>
      <c r="D993" s="5" t="s">
        <v>2839</v>
      </c>
      <c r="E993" s="5" t="s">
        <v>1321</v>
      </c>
      <c r="F993" s="5" t="s">
        <v>137</v>
      </c>
      <c r="G993" s="5" t="s">
        <v>137</v>
      </c>
      <c r="H993" s="5" t="s">
        <v>18</v>
      </c>
      <c r="I993" s="7" t="s">
        <v>2947</v>
      </c>
      <c r="J993" s="8" t="s">
        <v>13</v>
      </c>
    </row>
    <row r="994">
      <c r="A994" s="5" t="s">
        <v>2948</v>
      </c>
      <c r="B994" s="5" t="s">
        <v>2949</v>
      </c>
      <c r="C994" s="6" t="s">
        <v>13</v>
      </c>
      <c r="D994" s="5" t="s">
        <v>2839</v>
      </c>
      <c r="E994" s="5" t="s">
        <v>233</v>
      </c>
      <c r="F994" s="5" t="s">
        <v>2950</v>
      </c>
      <c r="G994" s="5" t="s">
        <v>17</v>
      </c>
      <c r="H994" s="5" t="s">
        <v>18</v>
      </c>
      <c r="I994" s="8" t="s">
        <v>2951</v>
      </c>
      <c r="J994" s="8" t="s">
        <v>13</v>
      </c>
    </row>
    <row r="995">
      <c r="A995" s="5" t="s">
        <v>2952</v>
      </c>
      <c r="B995" s="5" t="s">
        <v>371</v>
      </c>
      <c r="C995" s="6" t="s">
        <v>13</v>
      </c>
      <c r="D995" s="5" t="s">
        <v>2839</v>
      </c>
      <c r="E995" s="5" t="s">
        <v>2544</v>
      </c>
      <c r="F995" s="5" t="s">
        <v>1960</v>
      </c>
      <c r="G995" s="5" t="s">
        <v>1961</v>
      </c>
      <c r="H995" s="5" t="s">
        <v>18</v>
      </c>
      <c r="I995" s="8" t="s">
        <v>2953</v>
      </c>
      <c r="J995" s="8" t="s">
        <v>13</v>
      </c>
    </row>
    <row r="996">
      <c r="A996" s="5" t="s">
        <v>2954</v>
      </c>
      <c r="B996" s="5" t="s">
        <v>2155</v>
      </c>
      <c r="C996" s="6" t="s">
        <v>13</v>
      </c>
      <c r="D996" s="5" t="s">
        <v>2839</v>
      </c>
      <c r="E996" s="5" t="s">
        <v>268</v>
      </c>
      <c r="F996" s="5" t="s">
        <v>153</v>
      </c>
      <c r="G996" s="5" t="s">
        <v>154</v>
      </c>
      <c r="H996" s="5" t="s">
        <v>18</v>
      </c>
      <c r="I996" s="8" t="s">
        <v>2955</v>
      </c>
      <c r="J996" s="8" t="s">
        <v>13</v>
      </c>
    </row>
    <row r="997">
      <c r="A997" s="5" t="s">
        <v>2956</v>
      </c>
      <c r="B997" s="5" t="s">
        <v>371</v>
      </c>
      <c r="C997" s="6" t="s">
        <v>13</v>
      </c>
      <c r="D997" s="5" t="s">
        <v>2839</v>
      </c>
      <c r="E997" s="5" t="s">
        <v>165</v>
      </c>
      <c r="F997" s="5" t="s">
        <v>223</v>
      </c>
      <c r="G997" s="5" t="s">
        <v>224</v>
      </c>
      <c r="H997" s="5" t="s">
        <v>18</v>
      </c>
      <c r="I997" s="7" t="s">
        <v>2957</v>
      </c>
      <c r="J997" s="8" t="s">
        <v>13</v>
      </c>
    </row>
    <row r="998">
      <c r="A998" s="5" t="s">
        <v>2958</v>
      </c>
      <c r="B998" s="5" t="s">
        <v>2882</v>
      </c>
      <c r="C998" s="6" t="s">
        <v>13</v>
      </c>
      <c r="D998" s="5" t="s">
        <v>2839</v>
      </c>
      <c r="E998" s="5" t="s">
        <v>484</v>
      </c>
      <c r="F998" s="5" t="s">
        <v>1867</v>
      </c>
      <c r="G998" s="5" t="s">
        <v>44</v>
      </c>
      <c r="H998" s="5" t="s">
        <v>18</v>
      </c>
      <c r="I998" s="8" t="s">
        <v>2959</v>
      </c>
      <c r="J998" s="8" t="s">
        <v>13</v>
      </c>
    </row>
    <row r="999">
      <c r="A999" s="5" t="s">
        <v>2960</v>
      </c>
      <c r="B999" s="5" t="s">
        <v>25</v>
      </c>
      <c r="C999" s="6" t="s">
        <v>13</v>
      </c>
      <c r="D999" s="5" t="s">
        <v>2839</v>
      </c>
      <c r="E999" s="5" t="s">
        <v>1892</v>
      </c>
      <c r="F999" s="5" t="s">
        <v>166</v>
      </c>
      <c r="G999" s="5" t="s">
        <v>44</v>
      </c>
      <c r="H999" s="5" t="s">
        <v>18</v>
      </c>
      <c r="I999" s="7" t="s">
        <v>2961</v>
      </c>
      <c r="J999" s="8" t="s">
        <v>13</v>
      </c>
    </row>
    <row r="1000">
      <c r="A1000" s="5" t="s">
        <v>2962</v>
      </c>
      <c r="B1000" s="5" t="s">
        <v>625</v>
      </c>
      <c r="C1000" s="6" t="s">
        <v>13</v>
      </c>
      <c r="D1000" s="5" t="s">
        <v>2839</v>
      </c>
      <c r="E1000" s="5" t="s">
        <v>15</v>
      </c>
      <c r="F1000" s="5" t="s">
        <v>166</v>
      </c>
      <c r="G1000" s="5" t="s">
        <v>44</v>
      </c>
      <c r="H1000" s="5" t="s">
        <v>18</v>
      </c>
      <c r="I1000" s="7" t="s">
        <v>2963</v>
      </c>
      <c r="J1000" s="8" t="s">
        <v>13</v>
      </c>
    </row>
    <row r="1001">
      <c r="A1001" s="5" t="s">
        <v>2964</v>
      </c>
      <c r="B1001" s="5" t="s">
        <v>2965</v>
      </c>
      <c r="C1001" s="6" t="s">
        <v>13</v>
      </c>
      <c r="D1001" s="5" t="s">
        <v>2839</v>
      </c>
      <c r="E1001" s="5" t="s">
        <v>345</v>
      </c>
      <c r="F1001" s="5" t="s">
        <v>2047</v>
      </c>
      <c r="G1001" s="5" t="s">
        <v>44</v>
      </c>
      <c r="H1001" s="5" t="s">
        <v>18</v>
      </c>
      <c r="I1001" s="7" t="s">
        <v>2966</v>
      </c>
      <c r="J1001" s="8" t="s">
        <v>13</v>
      </c>
    </row>
    <row r="1002">
      <c r="A1002" s="5" t="s">
        <v>2967</v>
      </c>
      <c r="B1002" s="5" t="s">
        <v>371</v>
      </c>
      <c r="C1002" s="6" t="s">
        <v>13</v>
      </c>
      <c r="D1002" s="5" t="s">
        <v>2839</v>
      </c>
      <c r="E1002" s="5" t="s">
        <v>121</v>
      </c>
      <c r="F1002" s="5" t="s">
        <v>311</v>
      </c>
      <c r="G1002" s="5" t="s">
        <v>102</v>
      </c>
      <c r="H1002" s="5" t="s">
        <v>18</v>
      </c>
      <c r="I1002" s="7" t="s">
        <v>2968</v>
      </c>
      <c r="J1002" s="8" t="s">
        <v>13</v>
      </c>
    </row>
    <row r="1003">
      <c r="A1003" s="5" t="s">
        <v>2969</v>
      </c>
      <c r="B1003" s="5" t="s">
        <v>25</v>
      </c>
      <c r="C1003" s="6" t="s">
        <v>13</v>
      </c>
      <c r="D1003" s="5" t="s">
        <v>2839</v>
      </c>
      <c r="E1003" s="5" t="s">
        <v>29</v>
      </c>
      <c r="F1003" s="5" t="s">
        <v>311</v>
      </c>
      <c r="G1003" s="5" t="s">
        <v>102</v>
      </c>
      <c r="H1003" s="5" t="s">
        <v>18</v>
      </c>
      <c r="I1003" s="7" t="s">
        <v>2970</v>
      </c>
      <c r="J1003" s="8" t="s">
        <v>13</v>
      </c>
    </row>
    <row r="1004">
      <c r="A1004" s="5" t="s">
        <v>2971</v>
      </c>
      <c r="B1004" s="5" t="s">
        <v>2155</v>
      </c>
      <c r="C1004" s="6" t="s">
        <v>13</v>
      </c>
      <c r="D1004" s="5" t="s">
        <v>2839</v>
      </c>
      <c r="E1004" s="5" t="s">
        <v>496</v>
      </c>
      <c r="F1004" s="5" t="s">
        <v>2972</v>
      </c>
      <c r="G1004" s="5" t="s">
        <v>96</v>
      </c>
      <c r="H1004" s="5" t="s">
        <v>18</v>
      </c>
      <c r="I1004" s="8" t="s">
        <v>2973</v>
      </c>
      <c r="J1004" s="8" t="s">
        <v>13</v>
      </c>
    </row>
    <row r="1005">
      <c r="A1005" s="5" t="s">
        <v>2974</v>
      </c>
      <c r="B1005" s="5" t="s">
        <v>25</v>
      </c>
      <c r="C1005" s="6" t="s">
        <v>13</v>
      </c>
      <c r="D1005" s="5" t="s">
        <v>2839</v>
      </c>
      <c r="E1005" s="5" t="s">
        <v>2975</v>
      </c>
      <c r="F1005" s="5" t="s">
        <v>2976</v>
      </c>
      <c r="G1005" s="5" t="s">
        <v>427</v>
      </c>
      <c r="H1005" s="5" t="s">
        <v>18</v>
      </c>
      <c r="I1005" s="7" t="s">
        <v>2977</v>
      </c>
      <c r="J1005" s="8" t="s">
        <v>13</v>
      </c>
    </row>
    <row r="1006">
      <c r="A1006" s="5" t="s">
        <v>2978</v>
      </c>
      <c r="B1006" s="5" t="s">
        <v>2155</v>
      </c>
      <c r="C1006" s="6" t="s">
        <v>13</v>
      </c>
      <c r="D1006" s="5" t="s">
        <v>2839</v>
      </c>
      <c r="E1006" s="5" t="s">
        <v>409</v>
      </c>
      <c r="F1006" s="5" t="s">
        <v>2979</v>
      </c>
      <c r="G1006" s="5" t="s">
        <v>137</v>
      </c>
      <c r="H1006" s="5" t="s">
        <v>18</v>
      </c>
      <c r="I1006" s="8" t="s">
        <v>2980</v>
      </c>
      <c r="J1006" s="8" t="s">
        <v>13</v>
      </c>
    </row>
    <row r="1007">
      <c r="A1007" s="5" t="s">
        <v>2981</v>
      </c>
      <c r="B1007" s="5" t="s">
        <v>625</v>
      </c>
      <c r="C1007" s="6" t="s">
        <v>13</v>
      </c>
      <c r="D1007" s="5" t="s">
        <v>2839</v>
      </c>
      <c r="E1007" s="5" t="s">
        <v>165</v>
      </c>
      <c r="F1007" s="5" t="s">
        <v>1131</v>
      </c>
      <c r="G1007" s="5" t="s">
        <v>203</v>
      </c>
      <c r="H1007" s="5" t="s">
        <v>18</v>
      </c>
      <c r="I1007" s="7" t="s">
        <v>2982</v>
      </c>
      <c r="J1007" s="8" t="s">
        <v>13</v>
      </c>
    </row>
    <row r="1008">
      <c r="A1008" s="5" t="s">
        <v>2983</v>
      </c>
      <c r="B1008" s="5" t="s">
        <v>2984</v>
      </c>
      <c r="C1008" s="6" t="s">
        <v>13</v>
      </c>
      <c r="D1008" s="5" t="s">
        <v>2839</v>
      </c>
      <c r="E1008" s="5" t="s">
        <v>2252</v>
      </c>
      <c r="F1008" s="5" t="s">
        <v>102</v>
      </c>
      <c r="G1008" s="5" t="s">
        <v>172</v>
      </c>
      <c r="H1008" s="5" t="s">
        <v>18</v>
      </c>
      <c r="I1008" s="7" t="s">
        <v>2985</v>
      </c>
      <c r="J1008" s="8" t="s">
        <v>13</v>
      </c>
    </row>
    <row r="1009">
      <c r="A1009" s="5" t="s">
        <v>2983</v>
      </c>
      <c r="B1009" s="5" t="s">
        <v>2984</v>
      </c>
      <c r="C1009" s="6" t="s">
        <v>13</v>
      </c>
      <c r="D1009" s="5" t="s">
        <v>2839</v>
      </c>
      <c r="E1009" s="5" t="s">
        <v>2252</v>
      </c>
      <c r="F1009" s="5" t="s">
        <v>102</v>
      </c>
      <c r="G1009" s="5" t="s">
        <v>172</v>
      </c>
      <c r="H1009" s="5" t="s">
        <v>18</v>
      </c>
      <c r="I1009" s="7" t="s">
        <v>2985</v>
      </c>
      <c r="J1009" s="8" t="s">
        <v>13</v>
      </c>
    </row>
    <row r="1010">
      <c r="A1010" s="5" t="s">
        <v>2986</v>
      </c>
      <c r="B1010" s="5" t="s">
        <v>371</v>
      </c>
      <c r="C1010" s="6" t="s">
        <v>13</v>
      </c>
      <c r="D1010" s="5" t="s">
        <v>2839</v>
      </c>
      <c r="E1010" s="5" t="s">
        <v>2987</v>
      </c>
      <c r="F1010" s="5" t="s">
        <v>166</v>
      </c>
      <c r="G1010" s="5" t="s">
        <v>44</v>
      </c>
      <c r="H1010" s="5" t="s">
        <v>18</v>
      </c>
      <c r="I1010" s="8" t="s">
        <v>2988</v>
      </c>
      <c r="J1010" s="8" t="s">
        <v>13</v>
      </c>
    </row>
    <row r="1011">
      <c r="A1011" s="5" t="s">
        <v>2989</v>
      </c>
      <c r="B1011" s="5" t="s">
        <v>2990</v>
      </c>
      <c r="C1011" s="6" t="s">
        <v>13</v>
      </c>
      <c r="D1011" s="5" t="s">
        <v>2991</v>
      </c>
      <c r="E1011" s="5" t="s">
        <v>268</v>
      </c>
      <c r="F1011" s="5" t="s">
        <v>377</v>
      </c>
      <c r="G1011" s="5" t="s">
        <v>378</v>
      </c>
      <c r="H1011" s="5" t="s">
        <v>18</v>
      </c>
      <c r="I1011" s="8" t="s">
        <v>2992</v>
      </c>
      <c r="J1011" s="8" t="s">
        <v>13</v>
      </c>
    </row>
    <row r="1012">
      <c r="A1012" s="5" t="s">
        <v>2993</v>
      </c>
      <c r="B1012" s="5" t="s">
        <v>2994</v>
      </c>
      <c r="C1012" s="6" t="s">
        <v>13</v>
      </c>
      <c r="D1012" s="5" t="s">
        <v>2991</v>
      </c>
      <c r="E1012" s="5" t="s">
        <v>268</v>
      </c>
      <c r="F1012" s="5" t="s">
        <v>377</v>
      </c>
      <c r="G1012" s="5" t="s">
        <v>378</v>
      </c>
      <c r="H1012" s="5" t="s">
        <v>18</v>
      </c>
      <c r="I1012" s="8" t="s">
        <v>2995</v>
      </c>
      <c r="J1012" s="8" t="s">
        <v>13</v>
      </c>
    </row>
    <row r="1013">
      <c r="A1013" s="5" t="s">
        <v>2996</v>
      </c>
      <c r="B1013" s="5" t="s">
        <v>25</v>
      </c>
      <c r="C1013" s="6" t="s">
        <v>13</v>
      </c>
      <c r="D1013" s="5" t="s">
        <v>2991</v>
      </c>
      <c r="E1013" s="5" t="s">
        <v>165</v>
      </c>
      <c r="F1013" s="5" t="s">
        <v>377</v>
      </c>
      <c r="G1013" s="5" t="s">
        <v>378</v>
      </c>
      <c r="H1013" s="5" t="s">
        <v>18</v>
      </c>
      <c r="I1013" s="7" t="s">
        <v>2997</v>
      </c>
      <c r="J1013" s="8" t="s">
        <v>13</v>
      </c>
    </row>
    <row r="1014">
      <c r="A1014" s="5" t="s">
        <v>2998</v>
      </c>
      <c r="B1014" s="5" t="s">
        <v>2999</v>
      </c>
      <c r="C1014" s="6" t="s">
        <v>13</v>
      </c>
      <c r="D1014" s="5" t="s">
        <v>2991</v>
      </c>
      <c r="E1014" s="5" t="s">
        <v>666</v>
      </c>
      <c r="F1014" s="5" t="s">
        <v>377</v>
      </c>
      <c r="G1014" s="5" t="s">
        <v>378</v>
      </c>
      <c r="H1014" s="5" t="s">
        <v>18</v>
      </c>
      <c r="I1014" s="8" t="s">
        <v>3000</v>
      </c>
      <c r="J1014" s="8" t="s">
        <v>13</v>
      </c>
    </row>
    <row r="1015">
      <c r="A1015" s="5" t="s">
        <v>3001</v>
      </c>
      <c r="B1015" s="5" t="s">
        <v>32</v>
      </c>
      <c r="C1015" s="6" t="s">
        <v>13</v>
      </c>
      <c r="D1015" s="5" t="s">
        <v>2991</v>
      </c>
      <c r="E1015" s="5" t="s">
        <v>3002</v>
      </c>
      <c r="F1015" s="5" t="s">
        <v>377</v>
      </c>
      <c r="G1015" s="5" t="s">
        <v>378</v>
      </c>
      <c r="H1015" s="5" t="s">
        <v>18</v>
      </c>
      <c r="I1015" s="7" t="s">
        <v>3003</v>
      </c>
      <c r="J1015" s="8" t="s">
        <v>13</v>
      </c>
    </row>
    <row r="1016">
      <c r="A1016" s="5" t="s">
        <v>3004</v>
      </c>
      <c r="B1016" s="5" t="s">
        <v>32</v>
      </c>
      <c r="C1016" s="6" t="s">
        <v>13</v>
      </c>
      <c r="D1016" s="5" t="s">
        <v>2991</v>
      </c>
      <c r="E1016" s="5" t="s">
        <v>94</v>
      </c>
      <c r="F1016" s="5" t="s">
        <v>377</v>
      </c>
      <c r="G1016" s="5" t="s">
        <v>378</v>
      </c>
      <c r="H1016" s="5" t="s">
        <v>18</v>
      </c>
      <c r="I1016" s="7" t="s">
        <v>3005</v>
      </c>
      <c r="J1016" s="8" t="s">
        <v>13</v>
      </c>
    </row>
    <row r="1017">
      <c r="A1017" s="5" t="s">
        <v>3006</v>
      </c>
      <c r="B1017" s="5" t="s">
        <v>25</v>
      </c>
      <c r="C1017" s="6" t="s">
        <v>13</v>
      </c>
      <c r="D1017" s="5" t="s">
        <v>2991</v>
      </c>
      <c r="E1017" s="5" t="s">
        <v>29</v>
      </c>
      <c r="F1017" s="6" t="s">
        <v>377</v>
      </c>
      <c r="G1017" s="6" t="s">
        <v>378</v>
      </c>
      <c r="H1017" s="5" t="s">
        <v>18</v>
      </c>
      <c r="I1017" s="7" t="s">
        <v>3007</v>
      </c>
      <c r="J1017" s="8" t="s">
        <v>13</v>
      </c>
    </row>
    <row r="1018">
      <c r="A1018" s="5" t="s">
        <v>3008</v>
      </c>
      <c r="B1018" s="5" t="s">
        <v>32</v>
      </c>
      <c r="C1018" s="6" t="s">
        <v>13</v>
      </c>
      <c r="D1018" s="5" t="s">
        <v>2991</v>
      </c>
      <c r="E1018" s="5" t="s">
        <v>192</v>
      </c>
      <c r="F1018" s="6" t="s">
        <v>377</v>
      </c>
      <c r="G1018" s="6" t="s">
        <v>378</v>
      </c>
      <c r="H1018" s="5" t="s">
        <v>18</v>
      </c>
      <c r="I1018" s="8" t="s">
        <v>3009</v>
      </c>
      <c r="J1018" s="8" t="s">
        <v>13</v>
      </c>
    </row>
    <row r="1019">
      <c r="A1019" s="5" t="s">
        <v>3010</v>
      </c>
      <c r="B1019" s="5" t="s">
        <v>3011</v>
      </c>
      <c r="C1019" s="6" t="s">
        <v>13</v>
      </c>
      <c r="D1019" s="5" t="s">
        <v>2991</v>
      </c>
      <c r="E1019" s="5" t="s">
        <v>351</v>
      </c>
      <c r="F1019" s="6" t="s">
        <v>377</v>
      </c>
      <c r="G1019" s="6" t="s">
        <v>378</v>
      </c>
      <c r="H1019" s="5" t="s">
        <v>18</v>
      </c>
      <c r="I1019" s="7" t="s">
        <v>3012</v>
      </c>
      <c r="J1019" s="8" t="s">
        <v>13</v>
      </c>
    </row>
    <row r="1020">
      <c r="A1020" s="5" t="s">
        <v>3013</v>
      </c>
      <c r="B1020" s="5" t="s">
        <v>3014</v>
      </c>
      <c r="C1020" s="6" t="s">
        <v>13</v>
      </c>
      <c r="D1020" s="5" t="s">
        <v>2991</v>
      </c>
      <c r="E1020" s="5" t="s">
        <v>257</v>
      </c>
      <c r="F1020" s="6" t="s">
        <v>64</v>
      </c>
      <c r="G1020" s="6" t="s">
        <v>65</v>
      </c>
      <c r="H1020" s="5" t="s">
        <v>18</v>
      </c>
      <c r="I1020" s="8" t="s">
        <v>3015</v>
      </c>
      <c r="J1020" s="8" t="s">
        <v>13</v>
      </c>
    </row>
    <row r="1021">
      <c r="A1021" s="5" t="s">
        <v>3016</v>
      </c>
      <c r="B1021" s="5" t="s">
        <v>3017</v>
      </c>
      <c r="C1021" s="6" t="s">
        <v>13</v>
      </c>
      <c r="D1021" s="5" t="s">
        <v>2991</v>
      </c>
      <c r="E1021" s="5" t="s">
        <v>958</v>
      </c>
      <c r="F1021" s="5" t="s">
        <v>1274</v>
      </c>
      <c r="G1021" s="5" t="s">
        <v>76</v>
      </c>
      <c r="H1021" s="5" t="s">
        <v>18</v>
      </c>
      <c r="I1021" s="8" t="s">
        <v>3018</v>
      </c>
      <c r="J1021" s="8" t="s">
        <v>13</v>
      </c>
    </row>
    <row r="1022">
      <c r="A1022" s="5" t="s">
        <v>3019</v>
      </c>
      <c r="B1022" s="5" t="s">
        <v>3020</v>
      </c>
      <c r="C1022" s="6" t="s">
        <v>13</v>
      </c>
      <c r="D1022" s="5" t="s">
        <v>2991</v>
      </c>
      <c r="E1022" s="5" t="s">
        <v>257</v>
      </c>
      <c r="F1022" s="5" t="s">
        <v>80</v>
      </c>
      <c r="G1022" s="5" t="s">
        <v>38</v>
      </c>
      <c r="H1022" s="5" t="s">
        <v>18</v>
      </c>
      <c r="I1022" s="7" t="s">
        <v>3021</v>
      </c>
      <c r="J1022" s="8" t="s">
        <v>13</v>
      </c>
    </row>
    <row r="1023">
      <c r="A1023" s="5" t="s">
        <v>1223</v>
      </c>
      <c r="B1023" s="5" t="s">
        <v>25</v>
      </c>
      <c r="C1023" s="6" t="s">
        <v>13</v>
      </c>
      <c r="D1023" s="5" t="s">
        <v>2991</v>
      </c>
      <c r="E1023" s="5" t="s">
        <v>3022</v>
      </c>
      <c r="F1023" s="5" t="s">
        <v>112</v>
      </c>
      <c r="G1023" s="5" t="s">
        <v>38</v>
      </c>
      <c r="H1023" s="5" t="s">
        <v>18</v>
      </c>
      <c r="I1023" s="7" t="s">
        <v>3023</v>
      </c>
      <c r="J1023" s="8" t="s">
        <v>13</v>
      </c>
    </row>
    <row r="1024">
      <c r="A1024" s="5" t="s">
        <v>3024</v>
      </c>
      <c r="B1024" s="5" t="s">
        <v>25</v>
      </c>
      <c r="C1024" s="6" t="s">
        <v>13</v>
      </c>
      <c r="D1024" s="5" t="s">
        <v>2991</v>
      </c>
      <c r="E1024" s="5" t="s">
        <v>15</v>
      </c>
      <c r="F1024" s="5" t="s">
        <v>112</v>
      </c>
      <c r="G1024" s="5" t="s">
        <v>38</v>
      </c>
      <c r="H1024" s="5" t="s">
        <v>18</v>
      </c>
      <c r="I1024" s="8" t="s">
        <v>3025</v>
      </c>
      <c r="J1024" s="8" t="s">
        <v>13</v>
      </c>
    </row>
    <row r="1025">
      <c r="A1025" s="5" t="s">
        <v>3026</v>
      </c>
      <c r="B1025" s="5" t="s">
        <v>2155</v>
      </c>
      <c r="C1025" s="6" t="s">
        <v>13</v>
      </c>
      <c r="D1025" s="5" t="s">
        <v>2991</v>
      </c>
      <c r="E1025" s="5" t="s">
        <v>1629</v>
      </c>
      <c r="F1025" s="5" t="s">
        <v>122</v>
      </c>
      <c r="G1025" s="5" t="s">
        <v>44</v>
      </c>
      <c r="H1025" s="5" t="s">
        <v>18</v>
      </c>
      <c r="I1025" s="8" t="s">
        <v>3027</v>
      </c>
      <c r="J1025" s="8" t="s">
        <v>13</v>
      </c>
    </row>
    <row r="1026">
      <c r="A1026" s="5" t="s">
        <v>3028</v>
      </c>
      <c r="B1026" s="5" t="s">
        <v>32</v>
      </c>
      <c r="C1026" s="6" t="s">
        <v>13</v>
      </c>
      <c r="D1026" s="5" t="s">
        <v>2991</v>
      </c>
      <c r="E1026" s="5" t="s">
        <v>53</v>
      </c>
      <c r="F1026" s="5" t="s">
        <v>122</v>
      </c>
      <c r="G1026" s="5" t="s">
        <v>44</v>
      </c>
      <c r="H1026" s="5" t="s">
        <v>18</v>
      </c>
      <c r="I1026" s="7" t="s">
        <v>3029</v>
      </c>
      <c r="J1026" s="8" t="s">
        <v>13</v>
      </c>
    </row>
    <row r="1027">
      <c r="A1027" s="5" t="s">
        <v>3028</v>
      </c>
      <c r="B1027" s="5" t="s">
        <v>32</v>
      </c>
      <c r="C1027" s="6" t="s">
        <v>13</v>
      </c>
      <c r="D1027" s="5" t="s">
        <v>2991</v>
      </c>
      <c r="E1027" s="5" t="s">
        <v>53</v>
      </c>
      <c r="F1027" s="5" t="s">
        <v>122</v>
      </c>
      <c r="G1027" s="5" t="s">
        <v>44</v>
      </c>
      <c r="H1027" s="5" t="s">
        <v>18</v>
      </c>
      <c r="I1027" s="7" t="s">
        <v>3029</v>
      </c>
      <c r="J1027" s="8" t="s">
        <v>13</v>
      </c>
    </row>
    <row r="1028">
      <c r="A1028" s="5" t="s">
        <v>3030</v>
      </c>
      <c r="B1028" s="5" t="s">
        <v>3031</v>
      </c>
      <c r="C1028" s="6" t="s">
        <v>13</v>
      </c>
      <c r="D1028" s="5" t="s">
        <v>2991</v>
      </c>
      <c r="E1028" s="5" t="s">
        <v>213</v>
      </c>
      <c r="F1028" s="5" t="s">
        <v>3032</v>
      </c>
      <c r="G1028" s="5" t="s">
        <v>378</v>
      </c>
      <c r="H1028" s="5" t="s">
        <v>18</v>
      </c>
      <c r="I1028" s="8" t="s">
        <v>3033</v>
      </c>
      <c r="J1028" s="8" t="s">
        <v>13</v>
      </c>
    </row>
    <row r="1029">
      <c r="A1029" s="5" t="s">
        <v>3034</v>
      </c>
      <c r="B1029" s="5" t="s">
        <v>25</v>
      </c>
      <c r="C1029" s="6" t="s">
        <v>13</v>
      </c>
      <c r="D1029" s="5" t="s">
        <v>2991</v>
      </c>
      <c r="E1029" s="5" t="s">
        <v>217</v>
      </c>
      <c r="F1029" s="5" t="s">
        <v>1852</v>
      </c>
      <c r="G1029" s="5" t="s">
        <v>38</v>
      </c>
      <c r="H1029" s="5" t="s">
        <v>18</v>
      </c>
      <c r="I1029" s="7" t="s">
        <v>3035</v>
      </c>
      <c r="J1029" s="8" t="s">
        <v>13</v>
      </c>
    </row>
    <row r="1030">
      <c r="A1030" s="5" t="s">
        <v>3036</v>
      </c>
      <c r="B1030" s="5" t="s">
        <v>371</v>
      </c>
      <c r="C1030" s="6" t="s">
        <v>13</v>
      </c>
      <c r="D1030" s="5" t="s">
        <v>2991</v>
      </c>
      <c r="E1030" s="5" t="s">
        <v>523</v>
      </c>
      <c r="F1030" s="5" t="s">
        <v>3037</v>
      </c>
      <c r="G1030" s="5" t="s">
        <v>3038</v>
      </c>
      <c r="H1030" s="5" t="s">
        <v>18</v>
      </c>
      <c r="I1030" s="7" t="s">
        <v>3039</v>
      </c>
      <c r="J1030" s="8" t="s">
        <v>13</v>
      </c>
    </row>
    <row r="1031">
      <c r="A1031" s="5" t="s">
        <v>3040</v>
      </c>
      <c r="B1031" s="5" t="s">
        <v>361</v>
      </c>
      <c r="C1031" s="6" t="s">
        <v>13</v>
      </c>
      <c r="D1031" s="5" t="s">
        <v>2991</v>
      </c>
      <c r="E1031" s="5" t="s">
        <v>1300</v>
      </c>
      <c r="F1031" s="5" t="s">
        <v>3037</v>
      </c>
      <c r="G1031" s="5" t="s">
        <v>3038</v>
      </c>
      <c r="H1031" s="5" t="s">
        <v>18</v>
      </c>
      <c r="I1031" s="7" t="s">
        <v>3041</v>
      </c>
      <c r="J1031" s="8" t="s">
        <v>13</v>
      </c>
    </row>
    <row r="1032">
      <c r="A1032" s="5" t="s">
        <v>3042</v>
      </c>
      <c r="B1032" s="5" t="s">
        <v>32</v>
      </c>
      <c r="C1032" s="6" t="s">
        <v>13</v>
      </c>
      <c r="D1032" s="5" t="s">
        <v>2991</v>
      </c>
      <c r="E1032" s="5" t="s">
        <v>523</v>
      </c>
      <c r="F1032" s="5" t="s">
        <v>3037</v>
      </c>
      <c r="G1032" s="5" t="s">
        <v>3038</v>
      </c>
      <c r="H1032" s="5" t="s">
        <v>18</v>
      </c>
      <c r="I1032" s="7" t="s">
        <v>3043</v>
      </c>
      <c r="J1032" s="8" t="s">
        <v>13</v>
      </c>
    </row>
    <row r="1033">
      <c r="A1033" s="5" t="s">
        <v>3044</v>
      </c>
      <c r="B1033" s="5" t="s">
        <v>25</v>
      </c>
      <c r="C1033" s="6" t="s">
        <v>13</v>
      </c>
      <c r="D1033" s="5" t="s">
        <v>2991</v>
      </c>
      <c r="E1033" s="5" t="s">
        <v>36</v>
      </c>
      <c r="F1033" s="5" t="s">
        <v>3045</v>
      </c>
      <c r="G1033" s="5" t="s">
        <v>378</v>
      </c>
      <c r="H1033" s="5" t="s">
        <v>18</v>
      </c>
      <c r="I1033" s="7" t="s">
        <v>3046</v>
      </c>
      <c r="J1033" s="8" t="s">
        <v>13</v>
      </c>
    </row>
    <row r="1034">
      <c r="A1034" s="5" t="s">
        <v>3047</v>
      </c>
      <c r="B1034" s="5" t="s">
        <v>25</v>
      </c>
      <c r="C1034" s="6" t="s">
        <v>13</v>
      </c>
      <c r="D1034" s="5" t="s">
        <v>2991</v>
      </c>
      <c r="E1034" s="5" t="s">
        <v>121</v>
      </c>
      <c r="F1034" s="5" t="s">
        <v>3048</v>
      </c>
      <c r="G1034" s="5" t="s">
        <v>378</v>
      </c>
      <c r="H1034" s="5" t="s">
        <v>18</v>
      </c>
      <c r="I1034" s="7" t="s">
        <v>3049</v>
      </c>
      <c r="J1034" s="8" t="s">
        <v>13</v>
      </c>
    </row>
    <row r="1035">
      <c r="A1035" s="5" t="s">
        <v>3050</v>
      </c>
      <c r="B1035" s="5" t="s">
        <v>3051</v>
      </c>
      <c r="C1035" s="6" t="s">
        <v>13</v>
      </c>
      <c r="D1035" s="5" t="s">
        <v>2991</v>
      </c>
      <c r="E1035" s="5" t="s">
        <v>365</v>
      </c>
      <c r="F1035" s="5" t="s">
        <v>3048</v>
      </c>
      <c r="G1035" s="5" t="s">
        <v>378</v>
      </c>
      <c r="H1035" s="5" t="s">
        <v>18</v>
      </c>
      <c r="I1035" s="8" t="s">
        <v>3052</v>
      </c>
      <c r="J1035" s="8" t="s">
        <v>13</v>
      </c>
    </row>
    <row r="1036">
      <c r="A1036" s="5" t="s">
        <v>3004</v>
      </c>
      <c r="B1036" s="5" t="s">
        <v>32</v>
      </c>
      <c r="C1036" s="6" t="s">
        <v>13</v>
      </c>
      <c r="D1036" s="5" t="s">
        <v>2991</v>
      </c>
      <c r="F1036" s="5" t="s">
        <v>3053</v>
      </c>
      <c r="G1036" s="5" t="s">
        <v>378</v>
      </c>
      <c r="H1036" s="5" t="s">
        <v>18</v>
      </c>
      <c r="I1036" s="7" t="s">
        <v>3005</v>
      </c>
      <c r="J1036" s="8" t="s">
        <v>13</v>
      </c>
    </row>
    <row r="1037">
      <c r="A1037" s="5" t="s">
        <v>3054</v>
      </c>
      <c r="B1037" s="5" t="s">
        <v>32</v>
      </c>
      <c r="C1037" s="6" t="s">
        <v>13</v>
      </c>
      <c r="D1037" s="5" t="s">
        <v>3055</v>
      </c>
      <c r="E1037" s="5" t="s">
        <v>1637</v>
      </c>
      <c r="F1037" s="5" t="s">
        <v>1353</v>
      </c>
      <c r="G1037" s="5" t="s">
        <v>1354</v>
      </c>
      <c r="H1037" s="5" t="s">
        <v>18</v>
      </c>
      <c r="I1037" s="7" t="s">
        <v>3056</v>
      </c>
      <c r="J1037" s="8" t="s">
        <v>13</v>
      </c>
    </row>
    <row r="1038">
      <c r="A1038" s="5" t="s">
        <v>3057</v>
      </c>
      <c r="B1038" s="5" t="s">
        <v>3058</v>
      </c>
      <c r="C1038" s="6" t="s">
        <v>13</v>
      </c>
      <c r="D1038" s="5" t="s">
        <v>3055</v>
      </c>
      <c r="E1038" s="5" t="s">
        <v>694</v>
      </c>
      <c r="F1038" s="5" t="s">
        <v>166</v>
      </c>
      <c r="G1038" s="5" t="s">
        <v>44</v>
      </c>
      <c r="H1038" s="5" t="s">
        <v>18</v>
      </c>
      <c r="I1038" s="8" t="s">
        <v>3059</v>
      </c>
      <c r="J1038" s="8" t="s">
        <v>13</v>
      </c>
    </row>
    <row r="1039">
      <c r="A1039" s="5" t="s">
        <v>3060</v>
      </c>
      <c r="B1039" s="5" t="s">
        <v>25</v>
      </c>
      <c r="C1039" s="6" t="s">
        <v>13</v>
      </c>
      <c r="D1039" s="5" t="s">
        <v>3055</v>
      </c>
      <c r="E1039" s="5" t="s">
        <v>144</v>
      </c>
      <c r="F1039" s="5" t="s">
        <v>166</v>
      </c>
      <c r="G1039" s="5" t="s">
        <v>44</v>
      </c>
      <c r="H1039" s="5" t="s">
        <v>18</v>
      </c>
      <c r="I1039" s="7" t="s">
        <v>3061</v>
      </c>
      <c r="J1039" s="8" t="s">
        <v>13</v>
      </c>
    </row>
    <row r="1040">
      <c r="A1040" s="5" t="s">
        <v>3062</v>
      </c>
      <c r="B1040" s="5" t="s">
        <v>3063</v>
      </c>
      <c r="C1040" s="6" t="s">
        <v>13</v>
      </c>
      <c r="D1040" s="5" t="s">
        <v>3055</v>
      </c>
      <c r="E1040" s="5" t="s">
        <v>36</v>
      </c>
      <c r="F1040" s="5" t="s">
        <v>166</v>
      </c>
      <c r="G1040" s="5" t="s">
        <v>44</v>
      </c>
      <c r="H1040" s="5" t="s">
        <v>18</v>
      </c>
      <c r="I1040" s="7" t="s">
        <v>3064</v>
      </c>
      <c r="J1040" s="8" t="s">
        <v>13</v>
      </c>
    </row>
    <row r="1041">
      <c r="A1041" s="5" t="s">
        <v>3065</v>
      </c>
      <c r="B1041" s="5" t="s">
        <v>3066</v>
      </c>
      <c r="C1041" s="6" t="s">
        <v>13</v>
      </c>
      <c r="D1041" s="5" t="s">
        <v>3055</v>
      </c>
      <c r="E1041" s="5" t="s">
        <v>283</v>
      </c>
      <c r="F1041" s="5" t="s">
        <v>166</v>
      </c>
      <c r="G1041" s="5" t="s">
        <v>44</v>
      </c>
      <c r="H1041" s="5" t="s">
        <v>18</v>
      </c>
      <c r="I1041" s="8" t="s">
        <v>3067</v>
      </c>
      <c r="J1041" s="8" t="s">
        <v>13</v>
      </c>
    </row>
    <row r="1042">
      <c r="A1042" s="5" t="s">
        <v>3068</v>
      </c>
      <c r="B1042" s="5" t="s">
        <v>3069</v>
      </c>
      <c r="C1042" s="6" t="s">
        <v>13</v>
      </c>
      <c r="D1042" s="5" t="s">
        <v>3055</v>
      </c>
      <c r="E1042" s="5" t="s">
        <v>188</v>
      </c>
      <c r="F1042" s="5" t="s">
        <v>166</v>
      </c>
      <c r="G1042" s="5" t="s">
        <v>44</v>
      </c>
      <c r="H1042" s="5" t="s">
        <v>18</v>
      </c>
      <c r="I1042" s="8" t="s">
        <v>3070</v>
      </c>
      <c r="J1042" s="8" t="s">
        <v>13</v>
      </c>
    </row>
    <row r="1043">
      <c r="A1043" s="5" t="s">
        <v>3071</v>
      </c>
      <c r="B1043" s="5" t="s">
        <v>3072</v>
      </c>
      <c r="C1043" s="6" t="s">
        <v>13</v>
      </c>
      <c r="D1043" s="5" t="s">
        <v>3055</v>
      </c>
      <c r="E1043" s="5" t="s">
        <v>822</v>
      </c>
      <c r="F1043" s="5" t="s">
        <v>166</v>
      </c>
      <c r="G1043" s="5" t="s">
        <v>44</v>
      </c>
      <c r="H1043" s="5" t="s">
        <v>18</v>
      </c>
      <c r="I1043" s="8" t="s">
        <v>3073</v>
      </c>
      <c r="J1043" s="8" t="s">
        <v>13</v>
      </c>
    </row>
    <row r="1044">
      <c r="A1044" s="5" t="s">
        <v>3074</v>
      </c>
      <c r="B1044" s="5" t="s">
        <v>25</v>
      </c>
      <c r="C1044" s="6" t="s">
        <v>13</v>
      </c>
      <c r="D1044" s="5" t="s">
        <v>3055</v>
      </c>
      <c r="E1044" s="5" t="s">
        <v>121</v>
      </c>
      <c r="F1044" s="5" t="s">
        <v>166</v>
      </c>
      <c r="G1044" s="5" t="s">
        <v>44</v>
      </c>
      <c r="H1044" s="5" t="s">
        <v>18</v>
      </c>
      <c r="I1044" s="7" t="s">
        <v>3075</v>
      </c>
      <c r="J1044" s="8" t="s">
        <v>13</v>
      </c>
    </row>
    <row r="1045">
      <c r="A1045" s="5" t="s">
        <v>3071</v>
      </c>
      <c r="B1045" s="5" t="s">
        <v>3076</v>
      </c>
      <c r="C1045" s="6" t="s">
        <v>13</v>
      </c>
      <c r="D1045" s="5" t="s">
        <v>3055</v>
      </c>
      <c r="E1045" s="5" t="s">
        <v>36</v>
      </c>
      <c r="F1045" s="5" t="s">
        <v>166</v>
      </c>
      <c r="G1045" s="5" t="s">
        <v>44</v>
      </c>
      <c r="H1045" s="5" t="s">
        <v>18</v>
      </c>
      <c r="I1045" s="7" t="s">
        <v>3077</v>
      </c>
      <c r="J1045" s="8" t="s">
        <v>13</v>
      </c>
    </row>
    <row r="1046">
      <c r="A1046" s="5" t="s">
        <v>3078</v>
      </c>
      <c r="B1046" s="5" t="s">
        <v>25</v>
      </c>
      <c r="C1046" s="6" t="s">
        <v>13</v>
      </c>
      <c r="D1046" s="5" t="s">
        <v>3055</v>
      </c>
      <c r="E1046" s="5" t="s">
        <v>182</v>
      </c>
      <c r="F1046" s="5" t="s">
        <v>166</v>
      </c>
      <c r="G1046" s="5" t="s">
        <v>44</v>
      </c>
      <c r="H1046" s="5" t="s">
        <v>18</v>
      </c>
      <c r="I1046" s="7" t="s">
        <v>3079</v>
      </c>
      <c r="J1046" s="8" t="s">
        <v>13</v>
      </c>
    </row>
    <row r="1047">
      <c r="A1047" s="5" t="s">
        <v>3080</v>
      </c>
      <c r="B1047" s="5" t="s">
        <v>3081</v>
      </c>
      <c r="C1047" s="6" t="s">
        <v>13</v>
      </c>
      <c r="D1047" s="5" t="s">
        <v>3055</v>
      </c>
      <c r="E1047" s="5" t="s">
        <v>890</v>
      </c>
      <c r="F1047" s="5" t="s">
        <v>166</v>
      </c>
      <c r="G1047" s="5" t="s">
        <v>44</v>
      </c>
      <c r="H1047" s="5" t="s">
        <v>18</v>
      </c>
      <c r="I1047" s="7" t="s">
        <v>3082</v>
      </c>
      <c r="J1047" s="8" t="s">
        <v>13</v>
      </c>
    </row>
    <row r="1048">
      <c r="A1048" s="5" t="s">
        <v>3083</v>
      </c>
      <c r="B1048" s="5" t="s">
        <v>3084</v>
      </c>
      <c r="C1048" s="6" t="s">
        <v>13</v>
      </c>
      <c r="D1048" s="5" t="s">
        <v>3055</v>
      </c>
      <c r="E1048" s="5" t="s">
        <v>890</v>
      </c>
      <c r="F1048" s="5" t="s">
        <v>169</v>
      </c>
      <c r="G1048" s="5" t="s">
        <v>44</v>
      </c>
      <c r="H1048" s="5" t="s">
        <v>18</v>
      </c>
      <c r="I1048" s="8" t="s">
        <v>3085</v>
      </c>
      <c r="J1048" s="8" t="s">
        <v>13</v>
      </c>
    </row>
    <row r="1049">
      <c r="A1049" s="5" t="s">
        <v>3086</v>
      </c>
      <c r="B1049" s="5" t="s">
        <v>3087</v>
      </c>
      <c r="C1049" s="6" t="s">
        <v>13</v>
      </c>
      <c r="D1049" s="5" t="s">
        <v>3055</v>
      </c>
      <c r="E1049" s="5" t="s">
        <v>1065</v>
      </c>
      <c r="F1049" s="5" t="s">
        <v>468</v>
      </c>
      <c r="G1049" s="5" t="s">
        <v>44</v>
      </c>
      <c r="H1049" s="5" t="s">
        <v>18</v>
      </c>
      <c r="I1049" s="8" t="s">
        <v>3088</v>
      </c>
      <c r="J1049" s="8" t="s">
        <v>13</v>
      </c>
    </row>
    <row r="1050">
      <c r="A1050" s="5" t="s">
        <v>3089</v>
      </c>
      <c r="B1050" s="5" t="s">
        <v>480</v>
      </c>
      <c r="C1050" s="6" t="s">
        <v>13</v>
      </c>
      <c r="D1050" s="5" t="s">
        <v>3090</v>
      </c>
      <c r="F1050" s="5" t="s">
        <v>229</v>
      </c>
      <c r="G1050" s="5" t="s">
        <v>86</v>
      </c>
      <c r="H1050" s="5" t="s">
        <v>18</v>
      </c>
      <c r="I1050" s="7" t="s">
        <v>3091</v>
      </c>
      <c r="J1050" s="8" t="s">
        <v>13</v>
      </c>
    </row>
    <row r="1051">
      <c r="A1051" s="5" t="s">
        <v>3092</v>
      </c>
      <c r="B1051" s="5" t="s">
        <v>480</v>
      </c>
      <c r="C1051" s="6" t="s">
        <v>13</v>
      </c>
      <c r="D1051" s="5" t="s">
        <v>3090</v>
      </c>
      <c r="E1051" s="5" t="s">
        <v>192</v>
      </c>
      <c r="F1051" s="5" t="s">
        <v>1638</v>
      </c>
      <c r="G1051" s="5" t="s">
        <v>1639</v>
      </c>
      <c r="H1051" s="5" t="s">
        <v>18</v>
      </c>
      <c r="I1051" s="7" t="s">
        <v>3093</v>
      </c>
      <c r="J1051" s="8" t="s">
        <v>13</v>
      </c>
    </row>
    <row r="1052">
      <c r="A1052" s="5" t="s">
        <v>3094</v>
      </c>
      <c r="B1052" s="5" t="s">
        <v>25</v>
      </c>
      <c r="C1052" s="6" t="s">
        <v>13</v>
      </c>
      <c r="D1052" s="5" t="s">
        <v>3090</v>
      </c>
      <c r="E1052" s="5" t="s">
        <v>1240</v>
      </c>
      <c r="F1052" s="5" t="s">
        <v>3095</v>
      </c>
      <c r="G1052" s="5" t="s">
        <v>102</v>
      </c>
      <c r="H1052" s="5" t="s">
        <v>18</v>
      </c>
      <c r="I1052" s="7" t="s">
        <v>3096</v>
      </c>
      <c r="J1052" s="8" t="s">
        <v>13</v>
      </c>
    </row>
    <row r="1053">
      <c r="A1053" s="5" t="s">
        <v>3097</v>
      </c>
      <c r="B1053" s="5" t="s">
        <v>3098</v>
      </c>
      <c r="C1053" s="6" t="s">
        <v>13</v>
      </c>
      <c r="D1053" s="5" t="s">
        <v>3090</v>
      </c>
      <c r="E1053" s="5" t="s">
        <v>512</v>
      </c>
      <c r="F1053" s="5" t="s">
        <v>3099</v>
      </c>
      <c r="G1053" s="5" t="s">
        <v>154</v>
      </c>
      <c r="H1053" s="5" t="s">
        <v>18</v>
      </c>
      <c r="I1053" s="8" t="s">
        <v>3100</v>
      </c>
      <c r="J1053" s="8" t="s">
        <v>13</v>
      </c>
    </row>
    <row r="1054">
      <c r="A1054" s="5" t="s">
        <v>3101</v>
      </c>
      <c r="B1054" s="5" t="s">
        <v>3102</v>
      </c>
      <c r="C1054" s="6" t="s">
        <v>13</v>
      </c>
      <c r="D1054" s="5" t="s">
        <v>3090</v>
      </c>
      <c r="E1054" s="5" t="s">
        <v>339</v>
      </c>
      <c r="F1054" s="5" t="s">
        <v>85</v>
      </c>
      <c r="G1054" s="5" t="s">
        <v>86</v>
      </c>
      <c r="H1054" s="5" t="s">
        <v>18</v>
      </c>
      <c r="I1054" s="8" t="s">
        <v>3103</v>
      </c>
      <c r="J1054" s="8" t="s">
        <v>13</v>
      </c>
    </row>
    <row r="1055">
      <c r="A1055" s="5" t="s">
        <v>3104</v>
      </c>
      <c r="B1055" s="5" t="s">
        <v>110</v>
      </c>
      <c r="C1055" s="6" t="s">
        <v>13</v>
      </c>
      <c r="D1055" s="5" t="s">
        <v>3090</v>
      </c>
      <c r="E1055" s="5" t="s">
        <v>222</v>
      </c>
      <c r="F1055" s="5" t="s">
        <v>85</v>
      </c>
      <c r="G1055" s="5" t="s">
        <v>86</v>
      </c>
      <c r="H1055" s="5" t="s">
        <v>18</v>
      </c>
      <c r="I1055" s="7" t="s">
        <v>3105</v>
      </c>
      <c r="J1055" s="8" t="s">
        <v>13</v>
      </c>
    </row>
    <row r="1056">
      <c r="A1056" s="5" t="s">
        <v>3106</v>
      </c>
      <c r="B1056" s="5" t="s">
        <v>3107</v>
      </c>
      <c r="C1056" s="6" t="s">
        <v>13</v>
      </c>
      <c r="D1056" s="5" t="s">
        <v>3090</v>
      </c>
      <c r="E1056" s="5" t="s">
        <v>365</v>
      </c>
      <c r="F1056" s="5" t="s">
        <v>2814</v>
      </c>
      <c r="G1056" s="5" t="s">
        <v>154</v>
      </c>
      <c r="H1056" s="5" t="s">
        <v>18</v>
      </c>
      <c r="I1056" s="7" t="s">
        <v>3108</v>
      </c>
      <c r="J1056" s="8" t="s">
        <v>13</v>
      </c>
    </row>
    <row r="1057">
      <c r="A1057" s="5" t="s">
        <v>3109</v>
      </c>
      <c r="B1057" s="5" t="s">
        <v>480</v>
      </c>
      <c r="C1057" s="6" t="s">
        <v>13</v>
      </c>
      <c r="D1057" s="5" t="s">
        <v>3090</v>
      </c>
      <c r="E1057" s="5" t="s">
        <v>3110</v>
      </c>
      <c r="F1057" s="5" t="s">
        <v>3111</v>
      </c>
      <c r="G1057" s="5" t="s">
        <v>184</v>
      </c>
      <c r="H1057" s="5" t="s">
        <v>18</v>
      </c>
      <c r="I1057" s="7" t="s">
        <v>3112</v>
      </c>
      <c r="J1057" s="8" t="s">
        <v>13</v>
      </c>
    </row>
    <row r="1058">
      <c r="A1058" s="5" t="s">
        <v>3113</v>
      </c>
      <c r="B1058" s="5" t="s">
        <v>25</v>
      </c>
      <c r="C1058" s="6" t="s">
        <v>13</v>
      </c>
      <c r="D1058" s="5" t="s">
        <v>3090</v>
      </c>
      <c r="E1058" s="5" t="s">
        <v>22</v>
      </c>
      <c r="F1058" s="5" t="s">
        <v>2698</v>
      </c>
      <c r="G1058" s="5" t="s">
        <v>38</v>
      </c>
      <c r="H1058" s="5" t="s">
        <v>18</v>
      </c>
      <c r="I1058" s="7" t="s">
        <v>3114</v>
      </c>
      <c r="J1058" s="8" t="s">
        <v>13</v>
      </c>
    </row>
    <row r="1059">
      <c r="A1059" s="5" t="s">
        <v>3115</v>
      </c>
      <c r="B1059" s="5" t="s">
        <v>480</v>
      </c>
      <c r="C1059" s="6" t="s">
        <v>13</v>
      </c>
      <c r="D1059" s="5" t="s">
        <v>3090</v>
      </c>
      <c r="E1059" s="5" t="s">
        <v>15</v>
      </c>
      <c r="F1059" s="5" t="s">
        <v>3116</v>
      </c>
      <c r="G1059" s="5" t="s">
        <v>1305</v>
      </c>
      <c r="H1059" s="5" t="s">
        <v>18</v>
      </c>
      <c r="I1059" s="8" t="s">
        <v>3117</v>
      </c>
      <c r="J1059" s="8" t="s">
        <v>13</v>
      </c>
    </row>
    <row r="1060">
      <c r="A1060" s="5" t="s">
        <v>3118</v>
      </c>
      <c r="B1060" s="5" t="s">
        <v>25</v>
      </c>
      <c r="C1060" s="6" t="s">
        <v>13</v>
      </c>
      <c r="D1060" s="5" t="s">
        <v>3090</v>
      </c>
      <c r="E1060" s="5" t="s">
        <v>144</v>
      </c>
      <c r="F1060" s="5" t="s">
        <v>3119</v>
      </c>
      <c r="G1060" s="5" t="s">
        <v>154</v>
      </c>
      <c r="H1060" s="5" t="s">
        <v>18</v>
      </c>
      <c r="I1060" s="7" t="s">
        <v>3120</v>
      </c>
      <c r="J1060" s="8" t="s">
        <v>13</v>
      </c>
    </row>
    <row r="1061">
      <c r="A1061" s="5" t="s">
        <v>3121</v>
      </c>
      <c r="B1061" s="5" t="s">
        <v>480</v>
      </c>
      <c r="C1061" s="6" t="s">
        <v>13</v>
      </c>
      <c r="D1061" s="5" t="s">
        <v>3090</v>
      </c>
      <c r="E1061" s="5" t="s">
        <v>15</v>
      </c>
      <c r="F1061" s="5" t="s">
        <v>3122</v>
      </c>
      <c r="G1061" s="5" t="s">
        <v>137</v>
      </c>
      <c r="H1061" s="5" t="s">
        <v>18</v>
      </c>
      <c r="I1061" s="7" t="s">
        <v>3123</v>
      </c>
      <c r="J1061" s="8" t="s">
        <v>13</v>
      </c>
    </row>
    <row r="1062">
      <c r="A1062" s="5" t="s">
        <v>3124</v>
      </c>
      <c r="B1062" s="5" t="s">
        <v>25</v>
      </c>
      <c r="C1062" s="6" t="s">
        <v>13</v>
      </c>
      <c r="D1062" s="5" t="s">
        <v>3090</v>
      </c>
      <c r="E1062" s="5" t="s">
        <v>2288</v>
      </c>
      <c r="F1062" s="5" t="s">
        <v>122</v>
      </c>
      <c r="G1062" s="5" t="s">
        <v>44</v>
      </c>
      <c r="H1062" s="5" t="s">
        <v>18</v>
      </c>
      <c r="I1062" s="7" t="s">
        <v>3125</v>
      </c>
      <c r="J1062" s="8" t="s">
        <v>13</v>
      </c>
    </row>
    <row r="1063">
      <c r="A1063" s="5" t="s">
        <v>3126</v>
      </c>
      <c r="B1063" s="5" t="s">
        <v>480</v>
      </c>
      <c r="C1063" s="6" t="s">
        <v>13</v>
      </c>
      <c r="D1063" s="5" t="s">
        <v>3090</v>
      </c>
      <c r="E1063" s="5" t="s">
        <v>512</v>
      </c>
      <c r="F1063" s="5" t="s">
        <v>1437</v>
      </c>
      <c r="G1063" s="5" t="s">
        <v>203</v>
      </c>
      <c r="H1063" s="5" t="s">
        <v>18</v>
      </c>
      <c r="I1063" s="7" t="s">
        <v>3127</v>
      </c>
      <c r="J1063" s="8" t="s">
        <v>13</v>
      </c>
    </row>
    <row r="1064">
      <c r="A1064" s="5" t="s">
        <v>3128</v>
      </c>
      <c r="B1064" s="5" t="s">
        <v>3129</v>
      </c>
      <c r="C1064" s="6" t="s">
        <v>13</v>
      </c>
      <c r="D1064" s="5" t="s">
        <v>3090</v>
      </c>
      <c r="E1064" s="5" t="s">
        <v>579</v>
      </c>
      <c r="F1064" s="5" t="s">
        <v>153</v>
      </c>
      <c r="G1064" s="5" t="s">
        <v>154</v>
      </c>
      <c r="H1064" s="5" t="s">
        <v>18</v>
      </c>
      <c r="I1064" s="7" t="s">
        <v>3130</v>
      </c>
      <c r="J1064" s="8" t="s">
        <v>13</v>
      </c>
    </row>
    <row r="1065">
      <c r="A1065" s="5" t="s">
        <v>3131</v>
      </c>
      <c r="B1065" s="5" t="s">
        <v>3132</v>
      </c>
      <c r="C1065" s="6" t="s">
        <v>13</v>
      </c>
      <c r="D1065" s="5" t="s">
        <v>3090</v>
      </c>
      <c r="E1065" s="5" t="s">
        <v>36</v>
      </c>
      <c r="F1065" s="5" t="s">
        <v>153</v>
      </c>
      <c r="G1065" s="5" t="s">
        <v>154</v>
      </c>
      <c r="H1065" s="5" t="s">
        <v>18</v>
      </c>
      <c r="I1065" s="7" t="s">
        <v>3133</v>
      </c>
      <c r="J1065" s="8" t="s">
        <v>13</v>
      </c>
    </row>
    <row r="1066">
      <c r="A1066" s="5" t="s">
        <v>3134</v>
      </c>
      <c r="B1066" s="5" t="s">
        <v>480</v>
      </c>
      <c r="C1066" s="6" t="s">
        <v>13</v>
      </c>
      <c r="D1066" s="5" t="s">
        <v>3090</v>
      </c>
      <c r="E1066" s="5" t="s">
        <v>165</v>
      </c>
      <c r="F1066" s="5" t="s">
        <v>3135</v>
      </c>
      <c r="G1066" s="5" t="s">
        <v>154</v>
      </c>
      <c r="H1066" s="5" t="s">
        <v>18</v>
      </c>
      <c r="I1066" s="7" t="s">
        <v>3136</v>
      </c>
      <c r="J1066" s="8" t="s">
        <v>13</v>
      </c>
    </row>
    <row r="1067">
      <c r="A1067" s="5" t="s">
        <v>3137</v>
      </c>
      <c r="B1067" s="5" t="s">
        <v>25</v>
      </c>
      <c r="C1067" s="6" t="s">
        <v>13</v>
      </c>
      <c r="D1067" s="5" t="s">
        <v>3090</v>
      </c>
      <c r="E1067" s="5" t="s">
        <v>188</v>
      </c>
      <c r="F1067" s="5" t="s">
        <v>295</v>
      </c>
      <c r="G1067" s="5" t="s">
        <v>154</v>
      </c>
      <c r="H1067" s="5" t="s">
        <v>18</v>
      </c>
      <c r="I1067" s="7" t="s">
        <v>3138</v>
      </c>
      <c r="J1067" s="8" t="s">
        <v>13</v>
      </c>
    </row>
    <row r="1068">
      <c r="A1068" s="5" t="s">
        <v>3139</v>
      </c>
      <c r="B1068" s="5" t="s">
        <v>3140</v>
      </c>
      <c r="C1068" s="6" t="s">
        <v>13</v>
      </c>
      <c r="D1068" s="5" t="s">
        <v>3090</v>
      </c>
      <c r="E1068" s="5" t="s">
        <v>60</v>
      </c>
      <c r="F1068" s="5" t="s">
        <v>2339</v>
      </c>
      <c r="G1068" s="5" t="s">
        <v>781</v>
      </c>
      <c r="H1068" s="5" t="s">
        <v>18</v>
      </c>
      <c r="I1068" s="7" t="s">
        <v>3141</v>
      </c>
      <c r="J1068" s="8" t="s">
        <v>13</v>
      </c>
    </row>
    <row r="1069">
      <c r="A1069" s="5" t="s">
        <v>3142</v>
      </c>
      <c r="B1069" s="5" t="s">
        <v>3143</v>
      </c>
      <c r="C1069" s="6" t="s">
        <v>13</v>
      </c>
      <c r="D1069" s="5" t="s">
        <v>3090</v>
      </c>
      <c r="E1069" s="5" t="s">
        <v>94</v>
      </c>
      <c r="F1069" s="5" t="s">
        <v>3144</v>
      </c>
      <c r="G1069" s="5" t="s">
        <v>184</v>
      </c>
      <c r="H1069" s="5" t="s">
        <v>18</v>
      </c>
      <c r="I1069" s="7" t="s">
        <v>3145</v>
      </c>
      <c r="J1069" s="8" t="s">
        <v>13</v>
      </c>
    </row>
    <row r="1070">
      <c r="A1070" s="5" t="s">
        <v>3146</v>
      </c>
      <c r="B1070" s="5" t="s">
        <v>3147</v>
      </c>
      <c r="C1070" s="6" t="s">
        <v>13</v>
      </c>
      <c r="D1070" s="5" t="s">
        <v>3090</v>
      </c>
      <c r="E1070" s="5" t="s">
        <v>277</v>
      </c>
      <c r="F1070" s="5" t="s">
        <v>3148</v>
      </c>
      <c r="G1070" s="5" t="s">
        <v>1639</v>
      </c>
      <c r="H1070" s="5" t="s">
        <v>18</v>
      </c>
      <c r="I1070" s="7" t="s">
        <v>3149</v>
      </c>
      <c r="J1070" s="8" t="s">
        <v>13</v>
      </c>
    </row>
    <row r="1071">
      <c r="A1071" s="5" t="s">
        <v>3150</v>
      </c>
      <c r="B1071" s="5" t="s">
        <v>3151</v>
      </c>
      <c r="C1071" s="6" t="s">
        <v>13</v>
      </c>
      <c r="D1071" s="5" t="s">
        <v>3090</v>
      </c>
      <c r="E1071" s="5" t="s">
        <v>421</v>
      </c>
      <c r="F1071" s="5" t="s">
        <v>3152</v>
      </c>
      <c r="G1071" s="6" t="s">
        <v>264</v>
      </c>
      <c r="H1071" s="5" t="s">
        <v>18</v>
      </c>
      <c r="I1071" s="7" t="s">
        <v>3153</v>
      </c>
      <c r="J1071" s="8" t="s">
        <v>13</v>
      </c>
    </row>
    <row r="1072">
      <c r="A1072" s="5" t="s">
        <v>3154</v>
      </c>
      <c r="B1072" s="5" t="s">
        <v>25</v>
      </c>
      <c r="C1072" s="6" t="s">
        <v>13</v>
      </c>
      <c r="D1072" s="5" t="s">
        <v>3090</v>
      </c>
      <c r="E1072" s="5" t="s">
        <v>136</v>
      </c>
      <c r="F1072" s="5" t="s">
        <v>3155</v>
      </c>
      <c r="G1072" s="5" t="s">
        <v>763</v>
      </c>
      <c r="H1072" s="5" t="s">
        <v>18</v>
      </c>
      <c r="I1072" s="7" t="s">
        <v>3156</v>
      </c>
      <c r="J1072" s="8" t="s">
        <v>13</v>
      </c>
    </row>
    <row r="1073">
      <c r="A1073" s="5" t="s">
        <v>3157</v>
      </c>
      <c r="B1073" s="5" t="s">
        <v>25</v>
      </c>
      <c r="C1073" s="6" t="s">
        <v>13</v>
      </c>
      <c r="D1073" s="5" t="s">
        <v>3090</v>
      </c>
      <c r="E1073" s="5" t="s">
        <v>63</v>
      </c>
      <c r="F1073" s="5" t="s">
        <v>102</v>
      </c>
      <c r="G1073" s="5" t="s">
        <v>172</v>
      </c>
      <c r="H1073" s="5" t="s">
        <v>18</v>
      </c>
      <c r="I1073" s="7" t="s">
        <v>3158</v>
      </c>
      <c r="J1073" s="8" t="s">
        <v>13</v>
      </c>
    </row>
    <row r="1074">
      <c r="A1074" s="5" t="s">
        <v>3159</v>
      </c>
      <c r="B1074" s="5" t="s">
        <v>3160</v>
      </c>
      <c r="C1074" s="6" t="s">
        <v>13</v>
      </c>
      <c r="D1074" s="5" t="s">
        <v>3090</v>
      </c>
      <c r="E1074" s="5" t="s">
        <v>165</v>
      </c>
      <c r="F1074" s="5" t="s">
        <v>102</v>
      </c>
      <c r="G1074" s="5" t="s">
        <v>172</v>
      </c>
      <c r="H1074" s="5" t="s">
        <v>18</v>
      </c>
      <c r="I1074" s="8" t="s">
        <v>3161</v>
      </c>
      <c r="J1074" s="8" t="s">
        <v>13</v>
      </c>
    </row>
    <row r="1075">
      <c r="A1075" s="5" t="s">
        <v>3162</v>
      </c>
      <c r="B1075" s="5" t="s">
        <v>25</v>
      </c>
      <c r="C1075" s="6" t="s">
        <v>13</v>
      </c>
      <c r="D1075" s="5" t="s">
        <v>3090</v>
      </c>
      <c r="E1075" s="5" t="s">
        <v>192</v>
      </c>
      <c r="F1075" s="5" t="s">
        <v>102</v>
      </c>
      <c r="G1075" s="5" t="s">
        <v>172</v>
      </c>
      <c r="H1075" s="5" t="s">
        <v>18</v>
      </c>
      <c r="I1075" s="7" t="s">
        <v>3163</v>
      </c>
      <c r="J1075" s="8" t="s">
        <v>13</v>
      </c>
    </row>
    <row r="1076">
      <c r="A1076" s="5" t="s">
        <v>3164</v>
      </c>
      <c r="B1076" s="5" t="s">
        <v>480</v>
      </c>
      <c r="C1076" s="6" t="s">
        <v>13</v>
      </c>
      <c r="D1076" s="5" t="s">
        <v>3090</v>
      </c>
      <c r="E1076" s="5" t="s">
        <v>144</v>
      </c>
      <c r="F1076" s="5" t="s">
        <v>3165</v>
      </c>
      <c r="G1076" s="5" t="s">
        <v>154</v>
      </c>
      <c r="H1076" s="5" t="s">
        <v>18</v>
      </c>
      <c r="I1076" s="7" t="s">
        <v>3166</v>
      </c>
      <c r="J1076" s="8" t="s">
        <v>13</v>
      </c>
    </row>
    <row r="1077">
      <c r="A1077" s="5" t="s">
        <v>3167</v>
      </c>
      <c r="B1077" s="5" t="s">
        <v>1028</v>
      </c>
      <c r="C1077" s="6" t="s">
        <v>13</v>
      </c>
      <c r="D1077" s="5" t="s">
        <v>3168</v>
      </c>
      <c r="E1077" s="5" t="s">
        <v>455</v>
      </c>
      <c r="F1077" s="5" t="s">
        <v>166</v>
      </c>
      <c r="G1077" s="5" t="s">
        <v>44</v>
      </c>
      <c r="H1077" s="5" t="s">
        <v>18</v>
      </c>
      <c r="I1077" s="7" t="s">
        <v>3169</v>
      </c>
      <c r="J1077" s="8" t="s">
        <v>13</v>
      </c>
    </row>
    <row r="1078">
      <c r="A1078" s="5" t="s">
        <v>3170</v>
      </c>
      <c r="B1078" s="5" t="s">
        <v>110</v>
      </c>
      <c r="C1078" s="6" t="s">
        <v>13</v>
      </c>
      <c r="D1078" s="5" t="s">
        <v>3168</v>
      </c>
      <c r="F1078" s="5" t="s">
        <v>166</v>
      </c>
      <c r="G1078" s="5" t="s">
        <v>44</v>
      </c>
      <c r="H1078" s="5" t="s">
        <v>18</v>
      </c>
      <c r="I1078" s="7" t="s">
        <v>3171</v>
      </c>
      <c r="J1078" s="8" t="s">
        <v>13</v>
      </c>
    </row>
    <row r="1079">
      <c r="A1079" s="5" t="s">
        <v>3172</v>
      </c>
      <c r="B1079" s="5" t="s">
        <v>3173</v>
      </c>
      <c r="C1079" s="6" t="s">
        <v>13</v>
      </c>
      <c r="D1079" s="5" t="s">
        <v>3168</v>
      </c>
      <c r="F1079" s="5" t="s">
        <v>166</v>
      </c>
      <c r="G1079" s="5" t="s">
        <v>44</v>
      </c>
      <c r="H1079" s="5" t="s">
        <v>18</v>
      </c>
      <c r="I1079" s="7" t="s">
        <v>3174</v>
      </c>
      <c r="J1079" s="8" t="s">
        <v>13</v>
      </c>
    </row>
    <row r="1080">
      <c r="A1080" s="5" t="s">
        <v>3175</v>
      </c>
      <c r="B1080" s="5" t="s">
        <v>3176</v>
      </c>
      <c r="C1080" s="6" t="s">
        <v>13</v>
      </c>
      <c r="D1080" s="5" t="s">
        <v>3177</v>
      </c>
      <c r="E1080" s="5" t="s">
        <v>512</v>
      </c>
      <c r="F1080" s="5" t="s">
        <v>137</v>
      </c>
      <c r="G1080" s="5" t="s">
        <v>137</v>
      </c>
      <c r="H1080" s="5" t="s">
        <v>18</v>
      </c>
      <c r="I1080" s="7" t="s">
        <v>3178</v>
      </c>
      <c r="J1080" s="8" t="s">
        <v>13</v>
      </c>
    </row>
    <row r="1081">
      <c r="A1081" s="5" t="s">
        <v>3179</v>
      </c>
      <c r="B1081" s="5" t="s">
        <v>3180</v>
      </c>
      <c r="C1081" s="6" t="s">
        <v>13</v>
      </c>
      <c r="D1081" s="5" t="s">
        <v>3177</v>
      </c>
      <c r="E1081" s="5" t="s">
        <v>100</v>
      </c>
      <c r="F1081" s="5" t="s">
        <v>1131</v>
      </c>
      <c r="G1081" s="5" t="s">
        <v>203</v>
      </c>
      <c r="H1081" s="5" t="s">
        <v>18</v>
      </c>
      <c r="I1081" s="7" t="s">
        <v>3181</v>
      </c>
      <c r="J1081" s="8" t="s">
        <v>13</v>
      </c>
    </row>
    <row r="1082">
      <c r="A1082" s="5" t="s">
        <v>3182</v>
      </c>
      <c r="B1082" s="5" t="s">
        <v>3183</v>
      </c>
      <c r="C1082" s="6" t="s">
        <v>13</v>
      </c>
      <c r="D1082" s="5" t="s">
        <v>3184</v>
      </c>
      <c r="E1082" s="5" t="s">
        <v>48</v>
      </c>
      <c r="F1082" s="5" t="s">
        <v>85</v>
      </c>
      <c r="G1082" s="5" t="s">
        <v>86</v>
      </c>
      <c r="H1082" s="5" t="s">
        <v>18</v>
      </c>
      <c r="I1082" s="7" t="s">
        <v>3185</v>
      </c>
      <c r="J1082" s="8" t="s">
        <v>13</v>
      </c>
    </row>
    <row r="1083">
      <c r="A1083" s="5" t="s">
        <v>3186</v>
      </c>
      <c r="B1083" s="5" t="s">
        <v>3187</v>
      </c>
      <c r="C1083" s="6" t="s">
        <v>13</v>
      </c>
      <c r="D1083" s="5" t="s">
        <v>3184</v>
      </c>
      <c r="E1083" s="5" t="s">
        <v>399</v>
      </c>
      <c r="F1083" s="5" t="s">
        <v>122</v>
      </c>
      <c r="G1083" s="5" t="s">
        <v>44</v>
      </c>
      <c r="H1083" s="5" t="s">
        <v>18</v>
      </c>
      <c r="I1083" s="8" t="s">
        <v>3188</v>
      </c>
      <c r="J1083" s="8" t="s">
        <v>13</v>
      </c>
    </row>
    <row r="1084">
      <c r="A1084" s="5" t="s">
        <v>3189</v>
      </c>
      <c r="B1084" s="5" t="s">
        <v>3190</v>
      </c>
      <c r="C1084" s="6" t="s">
        <v>13</v>
      </c>
      <c r="D1084" s="5" t="s">
        <v>3184</v>
      </c>
      <c r="E1084" s="5" t="s">
        <v>2544</v>
      </c>
      <c r="F1084" s="5" t="s">
        <v>953</v>
      </c>
      <c r="G1084" s="5" t="s">
        <v>954</v>
      </c>
      <c r="H1084" s="5" t="s">
        <v>18</v>
      </c>
      <c r="I1084" s="7" t="s">
        <v>3191</v>
      </c>
      <c r="J1084" s="8" t="s">
        <v>13</v>
      </c>
    </row>
    <row r="1085">
      <c r="A1085" s="5" t="s">
        <v>3192</v>
      </c>
      <c r="B1085" s="5" t="s">
        <v>3193</v>
      </c>
      <c r="C1085" s="6" t="s">
        <v>13</v>
      </c>
      <c r="D1085" s="5" t="s">
        <v>3184</v>
      </c>
      <c r="E1085" s="5" t="s">
        <v>36</v>
      </c>
      <c r="F1085" s="5" t="s">
        <v>953</v>
      </c>
      <c r="G1085" s="5" t="s">
        <v>954</v>
      </c>
      <c r="H1085" s="5" t="s">
        <v>18</v>
      </c>
      <c r="I1085" s="8" t="s">
        <v>3194</v>
      </c>
      <c r="J1085" s="8" t="s">
        <v>13</v>
      </c>
    </row>
    <row r="1086">
      <c r="A1086" s="5" t="s">
        <v>3195</v>
      </c>
      <c r="B1086" s="5" t="s">
        <v>3196</v>
      </c>
      <c r="C1086" s="6" t="s">
        <v>13</v>
      </c>
      <c r="D1086" s="5" t="s">
        <v>3184</v>
      </c>
      <c r="E1086" s="5" t="s">
        <v>574</v>
      </c>
      <c r="F1086" s="5" t="s">
        <v>3197</v>
      </c>
      <c r="G1086" s="5" t="s">
        <v>954</v>
      </c>
      <c r="H1086" s="5" t="s">
        <v>18</v>
      </c>
      <c r="I1086" s="7" t="s">
        <v>3198</v>
      </c>
      <c r="J1086" s="8" t="s">
        <v>13</v>
      </c>
    </row>
    <row r="1087">
      <c r="A1087" s="5" t="s">
        <v>3199</v>
      </c>
      <c r="B1087" s="5" t="s">
        <v>371</v>
      </c>
      <c r="C1087" s="6" t="s">
        <v>13</v>
      </c>
      <c r="D1087" s="5" t="s">
        <v>3200</v>
      </c>
      <c r="E1087" s="5" t="s">
        <v>351</v>
      </c>
      <c r="F1087" s="5" t="s">
        <v>85</v>
      </c>
      <c r="G1087" s="5" t="s">
        <v>86</v>
      </c>
      <c r="H1087" s="5" t="s">
        <v>18</v>
      </c>
      <c r="I1087" s="7" t="s">
        <v>3201</v>
      </c>
      <c r="J1087" s="8" t="s">
        <v>13</v>
      </c>
    </row>
    <row r="1088">
      <c r="A1088" s="5" t="s">
        <v>3202</v>
      </c>
      <c r="B1088" s="5" t="s">
        <v>371</v>
      </c>
      <c r="C1088" s="6" t="s">
        <v>13</v>
      </c>
      <c r="D1088" s="5" t="s">
        <v>3200</v>
      </c>
      <c r="E1088" s="5" t="s">
        <v>233</v>
      </c>
      <c r="F1088" s="5" t="s">
        <v>102</v>
      </c>
      <c r="G1088" s="5" t="s">
        <v>172</v>
      </c>
      <c r="H1088" s="5" t="s">
        <v>18</v>
      </c>
      <c r="I1088" s="7" t="s">
        <v>3203</v>
      </c>
      <c r="J1088" s="8" t="s">
        <v>13</v>
      </c>
    </row>
    <row r="1089">
      <c r="A1089" s="5" t="s">
        <v>3204</v>
      </c>
      <c r="B1089" s="5" t="s">
        <v>371</v>
      </c>
      <c r="C1089" s="6" t="s">
        <v>13</v>
      </c>
      <c r="D1089" s="5" t="s">
        <v>3200</v>
      </c>
      <c r="E1089" s="5" t="s">
        <v>277</v>
      </c>
      <c r="F1089" s="5" t="s">
        <v>102</v>
      </c>
      <c r="G1089" s="5" t="s">
        <v>172</v>
      </c>
      <c r="H1089" s="5" t="s">
        <v>18</v>
      </c>
      <c r="I1089" s="7" t="s">
        <v>3205</v>
      </c>
      <c r="J1089" s="8" t="s">
        <v>13</v>
      </c>
    </row>
    <row r="1090">
      <c r="A1090" s="5" t="s">
        <v>3206</v>
      </c>
      <c r="B1090" s="5" t="s">
        <v>3207</v>
      </c>
      <c r="C1090" s="6" t="s">
        <v>13</v>
      </c>
      <c r="D1090" s="5" t="s">
        <v>3208</v>
      </c>
      <c r="E1090" s="5" t="s">
        <v>651</v>
      </c>
      <c r="F1090" s="5" t="s">
        <v>3209</v>
      </c>
      <c r="G1090" s="5" t="s">
        <v>102</v>
      </c>
      <c r="H1090" s="5" t="s">
        <v>18</v>
      </c>
      <c r="I1090" s="7" t="s">
        <v>3210</v>
      </c>
      <c r="J1090" s="8" t="s">
        <v>13</v>
      </c>
    </row>
    <row r="1091">
      <c r="A1091" s="5" t="s">
        <v>3211</v>
      </c>
      <c r="B1091" s="5" t="s">
        <v>110</v>
      </c>
      <c r="C1091" s="6" t="s">
        <v>13</v>
      </c>
      <c r="D1091" s="5" t="s">
        <v>3208</v>
      </c>
      <c r="E1091" s="5" t="s">
        <v>228</v>
      </c>
      <c r="F1091" s="5" t="s">
        <v>3209</v>
      </c>
      <c r="G1091" s="5" t="s">
        <v>102</v>
      </c>
      <c r="H1091" s="5" t="s">
        <v>18</v>
      </c>
      <c r="I1091" s="7" t="s">
        <v>3212</v>
      </c>
      <c r="J1091" s="8" t="s">
        <v>13</v>
      </c>
    </row>
    <row r="1092">
      <c r="A1092" s="5" t="s">
        <v>3213</v>
      </c>
      <c r="B1092" s="5" t="s">
        <v>110</v>
      </c>
      <c r="C1092" s="6" t="s">
        <v>13</v>
      </c>
      <c r="D1092" s="5" t="s">
        <v>3208</v>
      </c>
      <c r="E1092" s="5" t="s">
        <v>3214</v>
      </c>
      <c r="F1092" s="5" t="s">
        <v>3209</v>
      </c>
      <c r="G1092" s="5" t="s">
        <v>102</v>
      </c>
      <c r="H1092" s="5" t="s">
        <v>18</v>
      </c>
      <c r="I1092" s="7" t="s">
        <v>3215</v>
      </c>
      <c r="J1092" s="8" t="s">
        <v>13</v>
      </c>
    </row>
    <row r="1093">
      <c r="A1093" s="5" t="s">
        <v>3216</v>
      </c>
      <c r="B1093" s="5" t="s">
        <v>110</v>
      </c>
      <c r="C1093" s="6" t="s">
        <v>13</v>
      </c>
      <c r="D1093" s="5" t="s">
        <v>3208</v>
      </c>
      <c r="E1093" s="5" t="s">
        <v>63</v>
      </c>
      <c r="F1093" s="5" t="s">
        <v>3209</v>
      </c>
      <c r="G1093" s="5" t="s">
        <v>102</v>
      </c>
      <c r="H1093" s="5" t="s">
        <v>18</v>
      </c>
      <c r="I1093" s="7" t="s">
        <v>3217</v>
      </c>
      <c r="J1093" s="8" t="s">
        <v>13</v>
      </c>
    </row>
    <row r="1094">
      <c r="A1094" s="5" t="s">
        <v>3218</v>
      </c>
      <c r="B1094" s="5" t="s">
        <v>3219</v>
      </c>
      <c r="C1094" s="6" t="s">
        <v>13</v>
      </c>
      <c r="D1094" s="5" t="s">
        <v>3208</v>
      </c>
      <c r="E1094" s="5" t="s">
        <v>523</v>
      </c>
      <c r="F1094" s="5" t="s">
        <v>3209</v>
      </c>
      <c r="G1094" s="5" t="s">
        <v>102</v>
      </c>
      <c r="H1094" s="5" t="s">
        <v>18</v>
      </c>
      <c r="I1094" s="7" t="s">
        <v>3220</v>
      </c>
      <c r="J1094" s="8" t="s">
        <v>13</v>
      </c>
    </row>
    <row r="1095">
      <c r="A1095" s="5" t="s">
        <v>3221</v>
      </c>
      <c r="B1095" s="5" t="s">
        <v>110</v>
      </c>
      <c r="C1095" s="6" t="s">
        <v>13</v>
      </c>
      <c r="D1095" s="5" t="s">
        <v>3208</v>
      </c>
      <c r="E1095" s="5" t="s">
        <v>691</v>
      </c>
      <c r="F1095" s="5" t="s">
        <v>3209</v>
      </c>
      <c r="G1095" s="5" t="s">
        <v>102</v>
      </c>
      <c r="H1095" s="5" t="s">
        <v>18</v>
      </c>
      <c r="I1095" s="7" t="s">
        <v>3222</v>
      </c>
      <c r="J1095" s="8" t="s">
        <v>13</v>
      </c>
    </row>
    <row r="1096">
      <c r="A1096" s="5" t="s">
        <v>3223</v>
      </c>
      <c r="B1096" s="5" t="s">
        <v>110</v>
      </c>
      <c r="C1096" s="6" t="s">
        <v>13</v>
      </c>
      <c r="D1096" s="5" t="s">
        <v>3208</v>
      </c>
      <c r="E1096" s="5" t="s">
        <v>15</v>
      </c>
      <c r="F1096" s="5" t="s">
        <v>3224</v>
      </c>
      <c r="G1096" s="5" t="s">
        <v>102</v>
      </c>
      <c r="H1096" s="5" t="s">
        <v>18</v>
      </c>
      <c r="I1096" s="7" t="s">
        <v>3225</v>
      </c>
      <c r="J1096" s="8" t="s">
        <v>13</v>
      </c>
    </row>
    <row r="1097">
      <c r="A1097" s="5" t="s">
        <v>3226</v>
      </c>
      <c r="B1097" s="5" t="s">
        <v>110</v>
      </c>
      <c r="C1097" s="6" t="s">
        <v>13</v>
      </c>
      <c r="D1097" s="5" t="s">
        <v>3208</v>
      </c>
      <c r="E1097" s="5" t="s">
        <v>94</v>
      </c>
      <c r="F1097" s="5" t="s">
        <v>112</v>
      </c>
      <c r="G1097" s="5" t="s">
        <v>38</v>
      </c>
      <c r="H1097" s="5" t="s">
        <v>18</v>
      </c>
      <c r="I1097" s="7" t="s">
        <v>3227</v>
      </c>
      <c r="J1097" s="8" t="s">
        <v>13</v>
      </c>
    </row>
    <row r="1098">
      <c r="A1098" s="5" t="s">
        <v>3228</v>
      </c>
      <c r="B1098" s="5" t="s">
        <v>3229</v>
      </c>
      <c r="C1098" s="6" t="s">
        <v>13</v>
      </c>
      <c r="D1098" s="5" t="s">
        <v>3208</v>
      </c>
      <c r="E1098" s="5" t="s">
        <v>574</v>
      </c>
      <c r="F1098" s="5" t="s">
        <v>3230</v>
      </c>
      <c r="G1098" s="5" t="s">
        <v>102</v>
      </c>
      <c r="H1098" s="5" t="s">
        <v>18</v>
      </c>
      <c r="I1098" s="8" t="s">
        <v>3231</v>
      </c>
      <c r="J1098" s="8" t="s">
        <v>13</v>
      </c>
    </row>
    <row r="1099">
      <c r="A1099" s="5" t="s">
        <v>3232</v>
      </c>
      <c r="B1099" s="5" t="s">
        <v>110</v>
      </c>
      <c r="C1099" s="6" t="s">
        <v>13</v>
      </c>
      <c r="D1099" s="5" t="s">
        <v>3208</v>
      </c>
      <c r="E1099" s="5" t="s">
        <v>1809</v>
      </c>
      <c r="F1099" s="5" t="s">
        <v>3230</v>
      </c>
      <c r="G1099" s="5" t="s">
        <v>102</v>
      </c>
      <c r="H1099" s="5" t="s">
        <v>18</v>
      </c>
      <c r="I1099" s="7" t="s">
        <v>3233</v>
      </c>
      <c r="J1099" s="8" t="s">
        <v>13</v>
      </c>
    </row>
    <row r="1100">
      <c r="A1100" s="5" t="s">
        <v>3234</v>
      </c>
      <c r="B1100" s="5" t="s">
        <v>110</v>
      </c>
      <c r="C1100" s="6" t="s">
        <v>13</v>
      </c>
      <c r="D1100" s="5" t="s">
        <v>3208</v>
      </c>
      <c r="E1100" s="5" t="s">
        <v>574</v>
      </c>
      <c r="F1100" s="5" t="s">
        <v>2390</v>
      </c>
      <c r="G1100" s="5" t="s">
        <v>102</v>
      </c>
      <c r="H1100" s="5" t="s">
        <v>18</v>
      </c>
      <c r="I1100" s="7" t="s">
        <v>3235</v>
      </c>
      <c r="J1100" s="8" t="s">
        <v>13</v>
      </c>
    </row>
    <row r="1101">
      <c r="A1101" s="5" t="s">
        <v>3236</v>
      </c>
      <c r="B1101" s="5" t="s">
        <v>110</v>
      </c>
      <c r="C1101" s="6" t="s">
        <v>13</v>
      </c>
      <c r="D1101" s="5" t="s">
        <v>3208</v>
      </c>
      <c r="E1101" s="5" t="s">
        <v>1809</v>
      </c>
      <c r="F1101" s="5" t="s">
        <v>2390</v>
      </c>
      <c r="G1101" s="5" t="s">
        <v>102</v>
      </c>
      <c r="H1101" s="5" t="s">
        <v>18</v>
      </c>
      <c r="I1101" s="7" t="s">
        <v>3237</v>
      </c>
      <c r="J1101" s="8" t="s">
        <v>13</v>
      </c>
    </row>
    <row r="1102">
      <c r="A1102" s="5" t="s">
        <v>3238</v>
      </c>
      <c r="B1102" s="5" t="s">
        <v>110</v>
      </c>
      <c r="C1102" s="6" t="s">
        <v>13</v>
      </c>
      <c r="D1102" s="5" t="s">
        <v>3208</v>
      </c>
      <c r="E1102" s="5" t="s">
        <v>1759</v>
      </c>
      <c r="F1102" s="5" t="s">
        <v>2390</v>
      </c>
      <c r="G1102" s="5" t="s">
        <v>102</v>
      </c>
      <c r="H1102" s="5" t="s">
        <v>18</v>
      </c>
      <c r="I1102" s="7" t="s">
        <v>3239</v>
      </c>
      <c r="J1102" s="8" t="s">
        <v>13</v>
      </c>
    </row>
    <row r="1103">
      <c r="A1103" s="5" t="s">
        <v>3240</v>
      </c>
      <c r="B1103" s="5" t="s">
        <v>3241</v>
      </c>
      <c r="C1103" s="6" t="s">
        <v>13</v>
      </c>
      <c r="D1103" s="5" t="s">
        <v>3208</v>
      </c>
      <c r="E1103" s="5" t="s">
        <v>149</v>
      </c>
      <c r="F1103" s="5" t="s">
        <v>122</v>
      </c>
      <c r="G1103" s="5" t="s">
        <v>44</v>
      </c>
      <c r="H1103" s="5" t="s">
        <v>18</v>
      </c>
      <c r="I1103" s="8" t="s">
        <v>3242</v>
      </c>
      <c r="J1103" s="8" t="s">
        <v>13</v>
      </c>
    </row>
    <row r="1104">
      <c r="A1104" s="5" t="s">
        <v>3243</v>
      </c>
      <c r="B1104" s="5" t="s">
        <v>110</v>
      </c>
      <c r="C1104" s="6" t="s">
        <v>13</v>
      </c>
      <c r="D1104" s="5" t="s">
        <v>3208</v>
      </c>
      <c r="E1104" s="5" t="s">
        <v>15</v>
      </c>
      <c r="F1104" s="5" t="s">
        <v>3244</v>
      </c>
      <c r="G1104" s="5" t="s">
        <v>102</v>
      </c>
      <c r="H1104" s="5" t="s">
        <v>18</v>
      </c>
      <c r="I1104" s="7" t="s">
        <v>3245</v>
      </c>
      <c r="J1104" s="8" t="s">
        <v>13</v>
      </c>
    </row>
    <row r="1105">
      <c r="A1105" s="5" t="s">
        <v>3246</v>
      </c>
      <c r="B1105" s="5" t="s">
        <v>25</v>
      </c>
      <c r="C1105" s="6" t="s">
        <v>13</v>
      </c>
      <c r="D1105" s="5" t="s">
        <v>3208</v>
      </c>
      <c r="E1105" s="5" t="s">
        <v>1105</v>
      </c>
      <c r="F1105" s="5" t="s">
        <v>953</v>
      </c>
      <c r="G1105" s="5" t="s">
        <v>954</v>
      </c>
      <c r="H1105" s="5" t="s">
        <v>18</v>
      </c>
      <c r="I1105" s="7" t="s">
        <v>3247</v>
      </c>
      <c r="J1105" s="8" t="s">
        <v>13</v>
      </c>
    </row>
    <row r="1106">
      <c r="A1106" s="5" t="s">
        <v>3248</v>
      </c>
      <c r="B1106" s="5" t="s">
        <v>110</v>
      </c>
      <c r="C1106" s="6" t="s">
        <v>13</v>
      </c>
      <c r="D1106" s="5" t="s">
        <v>3208</v>
      </c>
      <c r="E1106" s="5" t="s">
        <v>774</v>
      </c>
      <c r="F1106" s="5" t="s">
        <v>3249</v>
      </c>
      <c r="G1106" s="5" t="s">
        <v>102</v>
      </c>
      <c r="H1106" s="5" t="s">
        <v>18</v>
      </c>
      <c r="I1106" s="7" t="s">
        <v>3250</v>
      </c>
      <c r="J1106" s="8" t="s">
        <v>13</v>
      </c>
    </row>
    <row r="1107">
      <c r="A1107" s="5" t="s">
        <v>3251</v>
      </c>
      <c r="B1107" s="5" t="s">
        <v>3252</v>
      </c>
      <c r="C1107" s="6" t="s">
        <v>13</v>
      </c>
      <c r="D1107" s="5" t="s">
        <v>3208</v>
      </c>
      <c r="E1107" s="5" t="s">
        <v>149</v>
      </c>
      <c r="F1107" s="5" t="s">
        <v>3253</v>
      </c>
      <c r="G1107" s="5" t="s">
        <v>86</v>
      </c>
      <c r="H1107" s="5" t="s">
        <v>18</v>
      </c>
      <c r="I1107" s="7" t="s">
        <v>3254</v>
      </c>
      <c r="J1107" s="8" t="s">
        <v>13</v>
      </c>
    </row>
    <row r="1108">
      <c r="A1108" s="5" t="s">
        <v>3255</v>
      </c>
      <c r="B1108" s="5" t="s">
        <v>110</v>
      </c>
      <c r="C1108" s="6" t="s">
        <v>13</v>
      </c>
      <c r="D1108" s="5" t="s">
        <v>3208</v>
      </c>
      <c r="E1108" s="5" t="s">
        <v>106</v>
      </c>
      <c r="F1108" s="5" t="s">
        <v>2419</v>
      </c>
      <c r="G1108" s="5" t="s">
        <v>102</v>
      </c>
      <c r="H1108" s="5" t="s">
        <v>18</v>
      </c>
      <c r="I1108" s="7" t="s">
        <v>3256</v>
      </c>
      <c r="J1108" s="8" t="s">
        <v>13</v>
      </c>
    </row>
    <row r="1109">
      <c r="A1109" s="5" t="s">
        <v>3257</v>
      </c>
      <c r="B1109" s="5" t="s">
        <v>110</v>
      </c>
      <c r="C1109" s="6" t="s">
        <v>13</v>
      </c>
      <c r="D1109" s="5" t="s">
        <v>3208</v>
      </c>
      <c r="E1109" s="5" t="s">
        <v>585</v>
      </c>
      <c r="F1109" s="5" t="s">
        <v>2419</v>
      </c>
      <c r="G1109" s="5" t="s">
        <v>102</v>
      </c>
      <c r="H1109" s="5" t="s">
        <v>18</v>
      </c>
      <c r="I1109" s="7" t="s">
        <v>3258</v>
      </c>
      <c r="J1109" s="8" t="s">
        <v>13</v>
      </c>
    </row>
    <row r="1110">
      <c r="A1110" s="5" t="s">
        <v>3259</v>
      </c>
      <c r="B1110" s="5" t="s">
        <v>3260</v>
      </c>
      <c r="C1110" s="6" t="s">
        <v>13</v>
      </c>
      <c r="D1110" s="5" t="s">
        <v>3208</v>
      </c>
      <c r="E1110" s="5" t="s">
        <v>2265</v>
      </c>
      <c r="F1110" s="5" t="s">
        <v>2419</v>
      </c>
      <c r="G1110" s="5" t="s">
        <v>102</v>
      </c>
      <c r="H1110" s="5" t="s">
        <v>18</v>
      </c>
      <c r="I1110" s="7" t="s">
        <v>3261</v>
      </c>
      <c r="J1110" s="8" t="s">
        <v>13</v>
      </c>
    </row>
    <row r="1111">
      <c r="A1111" s="5" t="s">
        <v>3262</v>
      </c>
      <c r="B1111" s="5" t="s">
        <v>110</v>
      </c>
      <c r="C1111" s="6" t="s">
        <v>13</v>
      </c>
      <c r="D1111" s="5" t="s">
        <v>3208</v>
      </c>
      <c r="E1111" s="5" t="s">
        <v>182</v>
      </c>
      <c r="F1111" s="5" t="s">
        <v>2419</v>
      </c>
      <c r="G1111" s="5" t="s">
        <v>102</v>
      </c>
      <c r="H1111" s="5" t="s">
        <v>18</v>
      </c>
      <c r="I1111" s="7" t="s">
        <v>3263</v>
      </c>
      <c r="J1111" s="8" t="s">
        <v>13</v>
      </c>
    </row>
    <row r="1112">
      <c r="A1112" s="5" t="s">
        <v>3264</v>
      </c>
      <c r="B1112" s="5" t="s">
        <v>2418</v>
      </c>
      <c r="C1112" s="6" t="s">
        <v>13</v>
      </c>
      <c r="D1112" s="5" t="s">
        <v>3208</v>
      </c>
      <c r="E1112" s="5" t="s">
        <v>1300</v>
      </c>
      <c r="F1112" s="5" t="s">
        <v>2419</v>
      </c>
      <c r="G1112" s="5" t="s">
        <v>102</v>
      </c>
      <c r="H1112" s="5" t="s">
        <v>18</v>
      </c>
      <c r="I1112" s="7" t="s">
        <v>3265</v>
      </c>
      <c r="J1112" s="8" t="s">
        <v>13</v>
      </c>
    </row>
    <row r="1113">
      <c r="A1113" s="5" t="s">
        <v>3266</v>
      </c>
      <c r="B1113" s="5" t="s">
        <v>3207</v>
      </c>
      <c r="C1113" s="6" t="s">
        <v>13</v>
      </c>
      <c r="D1113" s="5" t="s">
        <v>3208</v>
      </c>
      <c r="E1113" s="5" t="s">
        <v>182</v>
      </c>
      <c r="F1113" s="5" t="s">
        <v>2419</v>
      </c>
      <c r="G1113" s="5" t="s">
        <v>102</v>
      </c>
      <c r="H1113" s="5" t="s">
        <v>18</v>
      </c>
      <c r="I1113" s="7" t="s">
        <v>3267</v>
      </c>
      <c r="J1113" s="8" t="s">
        <v>13</v>
      </c>
    </row>
    <row r="1114">
      <c r="A1114" s="5" t="s">
        <v>3268</v>
      </c>
      <c r="B1114" s="5" t="s">
        <v>110</v>
      </c>
      <c r="C1114" s="6" t="s">
        <v>13</v>
      </c>
      <c r="D1114" s="5" t="s">
        <v>3208</v>
      </c>
      <c r="F1114" s="5" t="s">
        <v>2419</v>
      </c>
      <c r="G1114" s="5" t="s">
        <v>102</v>
      </c>
      <c r="H1114" s="5" t="s">
        <v>18</v>
      </c>
      <c r="I1114" s="7" t="s">
        <v>3269</v>
      </c>
      <c r="J1114" s="8" t="s">
        <v>13</v>
      </c>
    </row>
    <row r="1115">
      <c r="A1115" s="5" t="s">
        <v>3270</v>
      </c>
      <c r="B1115" s="5" t="s">
        <v>3271</v>
      </c>
      <c r="C1115" s="6" t="s">
        <v>13</v>
      </c>
      <c r="D1115" s="5" t="s">
        <v>3208</v>
      </c>
      <c r="E1115" s="5" t="s">
        <v>622</v>
      </c>
      <c r="F1115" s="5" t="s">
        <v>2419</v>
      </c>
      <c r="G1115" s="5" t="s">
        <v>102</v>
      </c>
      <c r="H1115" s="5" t="s">
        <v>18</v>
      </c>
      <c r="I1115" s="7" t="s">
        <v>3272</v>
      </c>
      <c r="J1115" s="8" t="s">
        <v>13</v>
      </c>
    </row>
    <row r="1116">
      <c r="A1116" s="5" t="s">
        <v>3273</v>
      </c>
      <c r="B1116" s="5" t="s">
        <v>1028</v>
      </c>
      <c r="C1116" s="6" t="s">
        <v>13</v>
      </c>
      <c r="D1116" s="5" t="s">
        <v>3208</v>
      </c>
      <c r="E1116" s="5" t="s">
        <v>233</v>
      </c>
      <c r="F1116" s="5" t="s">
        <v>3274</v>
      </c>
      <c r="G1116" s="5" t="s">
        <v>137</v>
      </c>
      <c r="H1116" s="5" t="s">
        <v>18</v>
      </c>
      <c r="I1116" s="7" t="s">
        <v>3275</v>
      </c>
      <c r="J1116" s="8" t="s">
        <v>13</v>
      </c>
    </row>
    <row r="1117">
      <c r="A1117" s="5" t="s">
        <v>1006</v>
      </c>
      <c r="B1117" s="5" t="s">
        <v>3276</v>
      </c>
      <c r="C1117" s="6" t="s">
        <v>13</v>
      </c>
      <c r="D1117" s="5" t="s">
        <v>3208</v>
      </c>
      <c r="E1117" s="5" t="s">
        <v>79</v>
      </c>
      <c r="F1117" s="5" t="s">
        <v>3277</v>
      </c>
      <c r="G1117" s="5" t="s">
        <v>44</v>
      </c>
      <c r="H1117" s="5" t="s">
        <v>18</v>
      </c>
      <c r="I1117" s="7" t="s">
        <v>3278</v>
      </c>
      <c r="J1117" s="8" t="s">
        <v>13</v>
      </c>
    </row>
    <row r="1118">
      <c r="A1118" s="5" t="s">
        <v>3279</v>
      </c>
      <c r="B1118" s="5" t="s">
        <v>110</v>
      </c>
      <c r="C1118" s="6" t="s">
        <v>13</v>
      </c>
      <c r="D1118" s="5" t="s">
        <v>3208</v>
      </c>
      <c r="E1118" s="5" t="s">
        <v>233</v>
      </c>
      <c r="F1118" s="5" t="s">
        <v>311</v>
      </c>
      <c r="G1118" s="5" t="s">
        <v>102</v>
      </c>
      <c r="H1118" s="5" t="s">
        <v>18</v>
      </c>
      <c r="I1118" s="7" t="s">
        <v>3280</v>
      </c>
      <c r="J1118" s="8" t="s">
        <v>13</v>
      </c>
    </row>
    <row r="1119">
      <c r="A1119" s="5" t="s">
        <v>3281</v>
      </c>
      <c r="B1119" s="5" t="s">
        <v>110</v>
      </c>
      <c r="C1119" s="6" t="s">
        <v>13</v>
      </c>
      <c r="D1119" s="5" t="s">
        <v>3208</v>
      </c>
      <c r="E1119" s="5" t="s">
        <v>79</v>
      </c>
      <c r="F1119" s="5" t="s">
        <v>311</v>
      </c>
      <c r="G1119" s="5" t="s">
        <v>102</v>
      </c>
      <c r="H1119" s="5" t="s">
        <v>18</v>
      </c>
      <c r="I1119" s="7" t="s">
        <v>3282</v>
      </c>
      <c r="J1119" s="8" t="s">
        <v>13</v>
      </c>
    </row>
    <row r="1120">
      <c r="A1120" s="5" t="s">
        <v>3283</v>
      </c>
      <c r="B1120" s="5" t="s">
        <v>110</v>
      </c>
      <c r="C1120" s="6" t="s">
        <v>13</v>
      </c>
      <c r="D1120" s="5" t="s">
        <v>3208</v>
      </c>
      <c r="E1120" s="5" t="s">
        <v>233</v>
      </c>
      <c r="F1120" s="5" t="s">
        <v>311</v>
      </c>
      <c r="G1120" s="5" t="s">
        <v>102</v>
      </c>
      <c r="H1120" s="5" t="s">
        <v>18</v>
      </c>
      <c r="I1120" s="7" t="s">
        <v>3284</v>
      </c>
      <c r="J1120" s="8" t="s">
        <v>13</v>
      </c>
    </row>
    <row r="1121">
      <c r="A1121" s="5" t="s">
        <v>3285</v>
      </c>
      <c r="B1121" s="5" t="s">
        <v>1028</v>
      </c>
      <c r="C1121" s="6" t="s">
        <v>13</v>
      </c>
      <c r="D1121" s="5" t="s">
        <v>3208</v>
      </c>
      <c r="E1121" s="5" t="s">
        <v>237</v>
      </c>
      <c r="F1121" s="5" t="s">
        <v>311</v>
      </c>
      <c r="G1121" s="5" t="s">
        <v>102</v>
      </c>
      <c r="H1121" s="5" t="s">
        <v>18</v>
      </c>
      <c r="I1121" s="7" t="s">
        <v>3286</v>
      </c>
      <c r="J1121" s="8" t="s">
        <v>13</v>
      </c>
    </row>
    <row r="1122">
      <c r="A1122" s="5" t="s">
        <v>3287</v>
      </c>
      <c r="B1122" s="5" t="s">
        <v>3288</v>
      </c>
      <c r="C1122" s="6" t="s">
        <v>13</v>
      </c>
      <c r="D1122" s="5" t="s">
        <v>3208</v>
      </c>
      <c r="E1122" s="5" t="s">
        <v>1123</v>
      </c>
      <c r="F1122" s="5" t="s">
        <v>311</v>
      </c>
      <c r="G1122" s="5" t="s">
        <v>102</v>
      </c>
      <c r="H1122" s="5" t="s">
        <v>18</v>
      </c>
      <c r="I1122" s="7" t="s">
        <v>3289</v>
      </c>
      <c r="J1122" s="8" t="s">
        <v>13</v>
      </c>
    </row>
    <row r="1123">
      <c r="A1123" s="5" t="s">
        <v>3290</v>
      </c>
      <c r="B1123" s="5" t="s">
        <v>3291</v>
      </c>
      <c r="C1123" s="6" t="s">
        <v>13</v>
      </c>
      <c r="D1123" s="5" t="s">
        <v>3208</v>
      </c>
      <c r="E1123" s="5" t="s">
        <v>1282</v>
      </c>
      <c r="F1123" s="5" t="s">
        <v>311</v>
      </c>
      <c r="G1123" s="5" t="s">
        <v>102</v>
      </c>
      <c r="H1123" s="5" t="s">
        <v>18</v>
      </c>
      <c r="I1123" s="7" t="s">
        <v>3292</v>
      </c>
      <c r="J1123" s="8" t="s">
        <v>13</v>
      </c>
    </row>
    <row r="1124">
      <c r="A1124" s="5" t="s">
        <v>3293</v>
      </c>
      <c r="B1124" s="5" t="s">
        <v>110</v>
      </c>
      <c r="C1124" s="6" t="s">
        <v>13</v>
      </c>
      <c r="D1124" s="5" t="s">
        <v>3208</v>
      </c>
      <c r="E1124" s="5" t="s">
        <v>822</v>
      </c>
      <c r="F1124" s="5" t="s">
        <v>311</v>
      </c>
      <c r="G1124" s="5" t="s">
        <v>102</v>
      </c>
      <c r="H1124" s="5" t="s">
        <v>18</v>
      </c>
      <c r="I1124" s="7" t="s">
        <v>3294</v>
      </c>
      <c r="J1124" s="8" t="s">
        <v>13</v>
      </c>
    </row>
    <row r="1125">
      <c r="A1125" s="5" t="s">
        <v>3295</v>
      </c>
      <c r="B1125" s="5" t="s">
        <v>110</v>
      </c>
      <c r="C1125" s="6" t="s">
        <v>13</v>
      </c>
      <c r="D1125" s="5" t="s">
        <v>3208</v>
      </c>
      <c r="E1125" s="5" t="s">
        <v>574</v>
      </c>
      <c r="F1125" s="5" t="s">
        <v>311</v>
      </c>
      <c r="G1125" s="5" t="s">
        <v>102</v>
      </c>
      <c r="H1125" s="5" t="s">
        <v>18</v>
      </c>
      <c r="I1125" s="7" t="s">
        <v>3296</v>
      </c>
      <c r="J1125" s="8" t="s">
        <v>13</v>
      </c>
    </row>
    <row r="1126">
      <c r="A1126" s="5" t="s">
        <v>3297</v>
      </c>
      <c r="B1126" s="5" t="s">
        <v>110</v>
      </c>
      <c r="C1126" s="6" t="s">
        <v>13</v>
      </c>
      <c r="D1126" s="5" t="s">
        <v>3208</v>
      </c>
      <c r="E1126" s="5" t="s">
        <v>237</v>
      </c>
      <c r="F1126" s="5" t="s">
        <v>311</v>
      </c>
      <c r="G1126" s="5" t="s">
        <v>102</v>
      </c>
      <c r="H1126" s="5" t="s">
        <v>18</v>
      </c>
      <c r="I1126" s="7" t="s">
        <v>3298</v>
      </c>
      <c r="J1126" s="8" t="s">
        <v>13</v>
      </c>
    </row>
    <row r="1127">
      <c r="A1127" s="5" t="s">
        <v>3299</v>
      </c>
      <c r="B1127" s="5" t="s">
        <v>110</v>
      </c>
      <c r="C1127" s="6" t="s">
        <v>13</v>
      </c>
      <c r="D1127" s="5" t="s">
        <v>3208</v>
      </c>
      <c r="E1127" s="5" t="s">
        <v>233</v>
      </c>
      <c r="F1127" s="5" t="s">
        <v>311</v>
      </c>
      <c r="G1127" s="5" t="s">
        <v>102</v>
      </c>
      <c r="H1127" s="5" t="s">
        <v>18</v>
      </c>
      <c r="I1127" s="7" t="s">
        <v>3300</v>
      </c>
      <c r="J1127" s="8" t="s">
        <v>13</v>
      </c>
    </row>
    <row r="1128">
      <c r="A1128" s="5" t="s">
        <v>3301</v>
      </c>
      <c r="B1128" s="5" t="s">
        <v>110</v>
      </c>
      <c r="C1128" s="6" t="s">
        <v>13</v>
      </c>
      <c r="D1128" s="5" t="s">
        <v>3208</v>
      </c>
      <c r="E1128" s="5" t="s">
        <v>100</v>
      </c>
      <c r="F1128" s="5" t="s">
        <v>311</v>
      </c>
      <c r="G1128" s="5" t="s">
        <v>102</v>
      </c>
      <c r="H1128" s="5" t="s">
        <v>18</v>
      </c>
      <c r="I1128" s="7" t="s">
        <v>3302</v>
      </c>
      <c r="J1128" s="8" t="s">
        <v>13</v>
      </c>
    </row>
    <row r="1129">
      <c r="A1129" s="5" t="s">
        <v>3303</v>
      </c>
      <c r="B1129" s="5" t="s">
        <v>110</v>
      </c>
      <c r="C1129" s="6" t="s">
        <v>13</v>
      </c>
      <c r="D1129" s="5" t="s">
        <v>3208</v>
      </c>
      <c r="E1129" s="5" t="s">
        <v>277</v>
      </c>
      <c r="F1129" s="5" t="s">
        <v>311</v>
      </c>
      <c r="G1129" s="5" t="s">
        <v>102</v>
      </c>
      <c r="H1129" s="5" t="s">
        <v>18</v>
      </c>
      <c r="I1129" s="7" t="s">
        <v>3304</v>
      </c>
      <c r="J1129" s="8" t="s">
        <v>13</v>
      </c>
    </row>
    <row r="1130">
      <c r="A1130" s="5" t="s">
        <v>3305</v>
      </c>
      <c r="B1130" s="5" t="s">
        <v>3306</v>
      </c>
      <c r="C1130" s="6" t="s">
        <v>13</v>
      </c>
      <c r="D1130" s="5" t="s">
        <v>3208</v>
      </c>
      <c r="E1130" s="5" t="s">
        <v>233</v>
      </c>
      <c r="F1130" s="5" t="s">
        <v>311</v>
      </c>
      <c r="G1130" s="5" t="s">
        <v>102</v>
      </c>
      <c r="H1130" s="5" t="s">
        <v>18</v>
      </c>
      <c r="I1130" s="7" t="s">
        <v>3307</v>
      </c>
      <c r="J1130" s="8" t="s">
        <v>13</v>
      </c>
    </row>
    <row r="1131">
      <c r="A1131" s="5" t="s">
        <v>3308</v>
      </c>
      <c r="B1131" s="5" t="s">
        <v>3309</v>
      </c>
      <c r="C1131" s="6" t="s">
        <v>4</v>
      </c>
      <c r="D1131" s="5" t="s">
        <v>3208</v>
      </c>
      <c r="E1131" s="5" t="s">
        <v>651</v>
      </c>
      <c r="F1131" s="5" t="s">
        <v>311</v>
      </c>
      <c r="G1131" s="5" t="s">
        <v>102</v>
      </c>
      <c r="H1131" s="5" t="s">
        <v>18</v>
      </c>
      <c r="I1131" s="7" t="s">
        <v>3310</v>
      </c>
      <c r="J1131" s="8" t="s">
        <v>13</v>
      </c>
    </row>
    <row r="1132">
      <c r="A1132" s="5" t="s">
        <v>3311</v>
      </c>
      <c r="B1132" s="5" t="s">
        <v>3312</v>
      </c>
      <c r="C1132" s="6" t="s">
        <v>13</v>
      </c>
      <c r="D1132" s="5" t="s">
        <v>3208</v>
      </c>
      <c r="E1132" s="5" t="s">
        <v>523</v>
      </c>
      <c r="F1132" s="5" t="s">
        <v>311</v>
      </c>
      <c r="G1132" s="5" t="s">
        <v>102</v>
      </c>
      <c r="H1132" s="5" t="s">
        <v>18</v>
      </c>
      <c r="I1132" s="8" t="s">
        <v>3313</v>
      </c>
      <c r="J1132" s="8" t="s">
        <v>13</v>
      </c>
    </row>
    <row r="1133">
      <c r="A1133" s="5" t="s">
        <v>3314</v>
      </c>
      <c r="B1133" s="5" t="s">
        <v>110</v>
      </c>
      <c r="C1133" s="6" t="s">
        <v>13</v>
      </c>
      <c r="D1133" s="5" t="s">
        <v>3208</v>
      </c>
      <c r="E1133" s="5" t="s">
        <v>188</v>
      </c>
      <c r="F1133" s="5" t="s">
        <v>311</v>
      </c>
      <c r="G1133" s="5" t="s">
        <v>102</v>
      </c>
      <c r="H1133" s="5" t="s">
        <v>18</v>
      </c>
      <c r="I1133" s="7" t="s">
        <v>3315</v>
      </c>
      <c r="J1133" s="8" t="s">
        <v>13</v>
      </c>
    </row>
    <row r="1134">
      <c r="A1134" s="5" t="s">
        <v>3316</v>
      </c>
      <c r="B1134" s="5" t="s">
        <v>110</v>
      </c>
      <c r="C1134" s="6" t="s">
        <v>13</v>
      </c>
      <c r="D1134" s="5" t="s">
        <v>3208</v>
      </c>
      <c r="E1134" s="5" t="s">
        <v>192</v>
      </c>
      <c r="F1134" s="5" t="s">
        <v>311</v>
      </c>
      <c r="G1134" s="5" t="s">
        <v>102</v>
      </c>
      <c r="H1134" s="5" t="s">
        <v>18</v>
      </c>
      <c r="I1134" s="7" t="s">
        <v>3317</v>
      </c>
      <c r="J1134" s="8" t="s">
        <v>13</v>
      </c>
    </row>
    <row r="1135">
      <c r="A1135" s="5" t="s">
        <v>3318</v>
      </c>
      <c r="B1135" s="5" t="s">
        <v>3319</v>
      </c>
      <c r="C1135" s="6" t="s">
        <v>13</v>
      </c>
      <c r="D1135" s="5" t="s">
        <v>3208</v>
      </c>
      <c r="E1135" s="5" t="s">
        <v>283</v>
      </c>
      <c r="F1135" s="5" t="s">
        <v>311</v>
      </c>
      <c r="G1135" s="5" t="s">
        <v>102</v>
      </c>
      <c r="H1135" s="5" t="s">
        <v>18</v>
      </c>
      <c r="I1135" s="7" t="s">
        <v>3320</v>
      </c>
      <c r="J1135" s="8" t="s">
        <v>13</v>
      </c>
    </row>
    <row r="1136">
      <c r="A1136" s="5" t="s">
        <v>3321</v>
      </c>
      <c r="B1136" s="5" t="s">
        <v>2418</v>
      </c>
      <c r="C1136" s="6" t="s">
        <v>13</v>
      </c>
      <c r="D1136" s="5" t="s">
        <v>3208</v>
      </c>
      <c r="E1136" s="5" t="s">
        <v>585</v>
      </c>
      <c r="F1136" s="5" t="s">
        <v>311</v>
      </c>
      <c r="G1136" s="5" t="s">
        <v>102</v>
      </c>
      <c r="H1136" s="5" t="s">
        <v>18</v>
      </c>
      <c r="I1136" s="7" t="s">
        <v>3322</v>
      </c>
      <c r="J1136" s="8" t="s">
        <v>13</v>
      </c>
    </row>
    <row r="1137">
      <c r="A1137" s="5" t="s">
        <v>3323</v>
      </c>
      <c r="B1137" s="5" t="s">
        <v>110</v>
      </c>
      <c r="C1137" s="6" t="s">
        <v>13</v>
      </c>
      <c r="D1137" s="5" t="s">
        <v>3208</v>
      </c>
      <c r="E1137" s="5" t="s">
        <v>387</v>
      </c>
      <c r="F1137" s="5" t="s">
        <v>311</v>
      </c>
      <c r="G1137" s="5" t="s">
        <v>102</v>
      </c>
      <c r="H1137" s="5" t="s">
        <v>18</v>
      </c>
      <c r="I1137" s="7" t="s">
        <v>3324</v>
      </c>
      <c r="J1137" s="8" t="s">
        <v>13</v>
      </c>
    </row>
    <row r="1138">
      <c r="A1138" s="5" t="s">
        <v>3325</v>
      </c>
      <c r="B1138" s="5" t="s">
        <v>110</v>
      </c>
      <c r="C1138" s="6" t="s">
        <v>13</v>
      </c>
      <c r="D1138" s="5" t="s">
        <v>3208</v>
      </c>
      <c r="E1138" s="5" t="s">
        <v>100</v>
      </c>
      <c r="F1138" s="5" t="s">
        <v>311</v>
      </c>
      <c r="G1138" s="5" t="s">
        <v>102</v>
      </c>
      <c r="H1138" s="5" t="s">
        <v>18</v>
      </c>
      <c r="I1138" s="7" t="s">
        <v>3326</v>
      </c>
      <c r="J1138" s="8" t="s">
        <v>13</v>
      </c>
    </row>
    <row r="1139">
      <c r="A1139" s="5" t="s">
        <v>3327</v>
      </c>
      <c r="B1139" s="5" t="s">
        <v>1028</v>
      </c>
      <c r="C1139" s="6" t="s">
        <v>13</v>
      </c>
      <c r="D1139" s="5" t="s">
        <v>3208</v>
      </c>
      <c r="E1139" s="5" t="s">
        <v>691</v>
      </c>
      <c r="F1139" s="5" t="s">
        <v>311</v>
      </c>
      <c r="G1139" s="5" t="s">
        <v>102</v>
      </c>
      <c r="H1139" s="5" t="s">
        <v>18</v>
      </c>
      <c r="I1139" s="7" t="s">
        <v>3328</v>
      </c>
      <c r="J1139" s="8" t="s">
        <v>13</v>
      </c>
    </row>
    <row r="1140">
      <c r="A1140" s="5" t="s">
        <v>3329</v>
      </c>
      <c r="B1140" s="5" t="s">
        <v>110</v>
      </c>
      <c r="C1140" s="6" t="s">
        <v>13</v>
      </c>
      <c r="D1140" s="5" t="s">
        <v>3208</v>
      </c>
      <c r="E1140" s="5" t="s">
        <v>686</v>
      </c>
      <c r="F1140" s="5" t="s">
        <v>311</v>
      </c>
      <c r="G1140" s="5" t="s">
        <v>102</v>
      </c>
      <c r="H1140" s="5" t="s">
        <v>18</v>
      </c>
      <c r="I1140" s="7" t="s">
        <v>3330</v>
      </c>
      <c r="J1140" s="8" t="s">
        <v>13</v>
      </c>
    </row>
    <row r="1141">
      <c r="A1141" s="5" t="s">
        <v>3331</v>
      </c>
      <c r="B1141" s="5" t="s">
        <v>110</v>
      </c>
      <c r="C1141" s="6" t="s">
        <v>13</v>
      </c>
      <c r="D1141" s="5" t="s">
        <v>3208</v>
      </c>
      <c r="E1141" s="5" t="s">
        <v>188</v>
      </c>
      <c r="F1141" s="5" t="s">
        <v>311</v>
      </c>
      <c r="G1141" s="5" t="s">
        <v>102</v>
      </c>
      <c r="H1141" s="5" t="s">
        <v>18</v>
      </c>
      <c r="I1141" s="7" t="s">
        <v>3332</v>
      </c>
      <c r="J1141" s="8" t="s">
        <v>13</v>
      </c>
    </row>
    <row r="1142">
      <c r="A1142" s="5" t="s">
        <v>3333</v>
      </c>
      <c r="B1142" s="5" t="s">
        <v>3334</v>
      </c>
      <c r="C1142" s="6" t="s">
        <v>13</v>
      </c>
      <c r="D1142" s="5" t="s">
        <v>3208</v>
      </c>
      <c r="E1142" s="5" t="s">
        <v>822</v>
      </c>
      <c r="F1142" s="5" t="s">
        <v>311</v>
      </c>
      <c r="G1142" s="5" t="s">
        <v>102</v>
      </c>
      <c r="H1142" s="5" t="s">
        <v>18</v>
      </c>
      <c r="I1142" s="7" t="s">
        <v>3335</v>
      </c>
      <c r="J1142" s="8" t="s">
        <v>13</v>
      </c>
    </row>
    <row r="1143">
      <c r="A1143" s="5" t="s">
        <v>3336</v>
      </c>
      <c r="B1143" s="5" t="s">
        <v>110</v>
      </c>
      <c r="C1143" s="6" t="s">
        <v>13</v>
      </c>
      <c r="D1143" s="5" t="s">
        <v>3208</v>
      </c>
      <c r="E1143" s="5" t="s">
        <v>79</v>
      </c>
      <c r="F1143" s="5" t="s">
        <v>311</v>
      </c>
      <c r="G1143" s="5" t="s">
        <v>102</v>
      </c>
      <c r="H1143" s="5" t="s">
        <v>18</v>
      </c>
      <c r="I1143" s="7" t="s">
        <v>3337</v>
      </c>
      <c r="J1143" s="8" t="s">
        <v>13</v>
      </c>
    </row>
    <row r="1144">
      <c r="A1144" s="5" t="s">
        <v>3338</v>
      </c>
      <c r="B1144" s="5" t="s">
        <v>110</v>
      </c>
      <c r="C1144" s="6" t="s">
        <v>13</v>
      </c>
      <c r="D1144" s="5" t="s">
        <v>3208</v>
      </c>
      <c r="E1144" s="5" t="s">
        <v>144</v>
      </c>
      <c r="F1144" s="5" t="s">
        <v>311</v>
      </c>
      <c r="G1144" s="5" t="s">
        <v>102</v>
      </c>
      <c r="H1144" s="5" t="s">
        <v>18</v>
      </c>
      <c r="I1144" s="7" t="s">
        <v>3339</v>
      </c>
      <c r="J1144" s="8" t="s">
        <v>13</v>
      </c>
    </row>
    <row r="1145">
      <c r="A1145" s="5" t="s">
        <v>3340</v>
      </c>
      <c r="B1145" s="5" t="s">
        <v>110</v>
      </c>
      <c r="C1145" s="6" t="s">
        <v>13</v>
      </c>
      <c r="D1145" s="5" t="s">
        <v>3208</v>
      </c>
      <c r="E1145" s="5" t="s">
        <v>651</v>
      </c>
      <c r="F1145" s="5" t="s">
        <v>311</v>
      </c>
      <c r="G1145" s="5" t="s">
        <v>102</v>
      </c>
      <c r="H1145" s="5" t="s">
        <v>18</v>
      </c>
      <c r="I1145" s="7" t="s">
        <v>3341</v>
      </c>
      <c r="J1145" s="8" t="s">
        <v>13</v>
      </c>
    </row>
    <row r="1146">
      <c r="A1146" s="5" t="s">
        <v>3342</v>
      </c>
      <c r="B1146" s="5" t="s">
        <v>1028</v>
      </c>
      <c r="C1146" s="6" t="s">
        <v>13</v>
      </c>
      <c r="D1146" s="5" t="s">
        <v>3208</v>
      </c>
      <c r="E1146" s="5" t="s">
        <v>848</v>
      </c>
      <c r="F1146" s="5" t="s">
        <v>311</v>
      </c>
      <c r="G1146" s="5" t="s">
        <v>102</v>
      </c>
      <c r="H1146" s="5" t="s">
        <v>18</v>
      </c>
      <c r="I1146" s="7" t="s">
        <v>3343</v>
      </c>
      <c r="J1146" s="8" t="s">
        <v>13</v>
      </c>
    </row>
    <row r="1147">
      <c r="A1147" s="5" t="s">
        <v>3344</v>
      </c>
      <c r="B1147" s="5" t="s">
        <v>110</v>
      </c>
      <c r="C1147" s="6" t="s">
        <v>13</v>
      </c>
      <c r="D1147" s="5" t="s">
        <v>3208</v>
      </c>
      <c r="E1147" s="5" t="s">
        <v>822</v>
      </c>
      <c r="F1147" s="5" t="s">
        <v>311</v>
      </c>
      <c r="G1147" s="5" t="s">
        <v>102</v>
      </c>
      <c r="H1147" s="5" t="s">
        <v>18</v>
      </c>
      <c r="I1147" s="7" t="s">
        <v>3345</v>
      </c>
      <c r="J1147" s="8" t="s">
        <v>13</v>
      </c>
    </row>
    <row r="1148">
      <c r="A1148" s="5" t="s">
        <v>3346</v>
      </c>
      <c r="B1148" s="5" t="s">
        <v>3347</v>
      </c>
      <c r="C1148" s="6" t="s">
        <v>13</v>
      </c>
      <c r="D1148" s="5" t="s">
        <v>3208</v>
      </c>
      <c r="E1148" s="5" t="s">
        <v>651</v>
      </c>
      <c r="F1148" s="5" t="s">
        <v>311</v>
      </c>
      <c r="G1148" s="5" t="s">
        <v>102</v>
      </c>
      <c r="H1148" s="5" t="s">
        <v>18</v>
      </c>
      <c r="I1148" s="7" t="s">
        <v>3348</v>
      </c>
      <c r="J1148" s="8" t="s">
        <v>13</v>
      </c>
    </row>
    <row r="1149">
      <c r="A1149" s="5" t="s">
        <v>3349</v>
      </c>
      <c r="B1149" s="5" t="s">
        <v>3350</v>
      </c>
      <c r="C1149" s="6" t="s">
        <v>13</v>
      </c>
      <c r="D1149" s="5" t="s">
        <v>3208</v>
      </c>
      <c r="E1149" s="5" t="s">
        <v>1880</v>
      </c>
      <c r="F1149" s="5" t="s">
        <v>311</v>
      </c>
      <c r="G1149" s="5" t="s">
        <v>102</v>
      </c>
      <c r="H1149" s="5" t="s">
        <v>18</v>
      </c>
      <c r="I1149" s="8" t="s">
        <v>3351</v>
      </c>
      <c r="J1149" s="8" t="s">
        <v>13</v>
      </c>
    </row>
    <row r="1150">
      <c r="A1150" s="5" t="s">
        <v>3352</v>
      </c>
      <c r="B1150" s="5" t="s">
        <v>3353</v>
      </c>
      <c r="C1150" s="6" t="s">
        <v>13</v>
      </c>
      <c r="D1150" s="5" t="s">
        <v>3208</v>
      </c>
      <c r="E1150" s="5" t="s">
        <v>79</v>
      </c>
      <c r="F1150" s="5" t="s">
        <v>311</v>
      </c>
      <c r="G1150" s="5" t="s">
        <v>102</v>
      </c>
      <c r="H1150" s="5" t="s">
        <v>18</v>
      </c>
      <c r="I1150" s="8" t="s">
        <v>3354</v>
      </c>
      <c r="J1150" s="8" t="s">
        <v>13</v>
      </c>
    </row>
    <row r="1151">
      <c r="A1151" s="5" t="s">
        <v>3355</v>
      </c>
      <c r="B1151" s="5" t="s">
        <v>110</v>
      </c>
      <c r="C1151" s="6" t="s">
        <v>13</v>
      </c>
      <c r="D1151" s="5" t="s">
        <v>3208</v>
      </c>
      <c r="E1151" s="5" t="s">
        <v>387</v>
      </c>
      <c r="F1151" s="5" t="s">
        <v>311</v>
      </c>
      <c r="G1151" s="5" t="s">
        <v>102</v>
      </c>
      <c r="H1151" s="5" t="s">
        <v>18</v>
      </c>
      <c r="I1151" s="7" t="s">
        <v>3356</v>
      </c>
      <c r="J1151" s="8" t="s">
        <v>13</v>
      </c>
    </row>
    <row r="1152">
      <c r="A1152" s="5" t="s">
        <v>3357</v>
      </c>
      <c r="B1152" s="5" t="s">
        <v>3358</v>
      </c>
      <c r="C1152" s="6" t="s">
        <v>13</v>
      </c>
      <c r="D1152" s="5" t="s">
        <v>3208</v>
      </c>
      <c r="E1152" s="5" t="s">
        <v>2288</v>
      </c>
      <c r="F1152" s="5" t="s">
        <v>311</v>
      </c>
      <c r="G1152" s="5" t="s">
        <v>102</v>
      </c>
      <c r="H1152" s="5" t="s">
        <v>18</v>
      </c>
      <c r="I1152" s="7" t="s">
        <v>3359</v>
      </c>
      <c r="J1152" s="8" t="s">
        <v>13</v>
      </c>
    </row>
    <row r="1153">
      <c r="A1153" s="5" t="s">
        <v>3360</v>
      </c>
      <c r="B1153" s="5" t="s">
        <v>110</v>
      </c>
      <c r="C1153" s="6" t="s">
        <v>13</v>
      </c>
      <c r="D1153" s="5" t="s">
        <v>3208</v>
      </c>
      <c r="E1153" s="5" t="s">
        <v>418</v>
      </c>
      <c r="F1153" s="5" t="s">
        <v>311</v>
      </c>
      <c r="G1153" s="5" t="s">
        <v>102</v>
      </c>
      <c r="H1153" s="5" t="s">
        <v>18</v>
      </c>
      <c r="I1153" s="7" t="s">
        <v>3361</v>
      </c>
      <c r="J1153" s="8" t="s">
        <v>13</v>
      </c>
    </row>
    <row r="1154">
      <c r="A1154" s="5" t="s">
        <v>3362</v>
      </c>
      <c r="B1154" s="5" t="s">
        <v>3363</v>
      </c>
      <c r="C1154" s="6" t="s">
        <v>13</v>
      </c>
      <c r="D1154" s="5" t="s">
        <v>3208</v>
      </c>
      <c r="E1154" s="5" t="s">
        <v>192</v>
      </c>
      <c r="F1154" s="5" t="s">
        <v>311</v>
      </c>
      <c r="G1154" s="5" t="s">
        <v>102</v>
      </c>
      <c r="H1154" s="5" t="s">
        <v>18</v>
      </c>
      <c r="I1154" s="8" t="s">
        <v>3364</v>
      </c>
      <c r="J1154" s="8" t="s">
        <v>13</v>
      </c>
    </row>
    <row r="1155">
      <c r="A1155" s="5" t="s">
        <v>3365</v>
      </c>
      <c r="B1155" s="5" t="s">
        <v>3366</v>
      </c>
      <c r="C1155" s="6" t="s">
        <v>13</v>
      </c>
      <c r="D1155" s="5" t="s">
        <v>3208</v>
      </c>
      <c r="E1155" s="5" t="s">
        <v>100</v>
      </c>
      <c r="F1155" s="5" t="s">
        <v>311</v>
      </c>
      <c r="G1155" s="5" t="s">
        <v>102</v>
      </c>
      <c r="H1155" s="5" t="s">
        <v>18</v>
      </c>
      <c r="I1155" s="7" t="s">
        <v>3367</v>
      </c>
      <c r="J1155" s="8" t="s">
        <v>13</v>
      </c>
    </row>
    <row r="1156">
      <c r="A1156" s="5" t="s">
        <v>3368</v>
      </c>
      <c r="B1156" s="5" t="s">
        <v>110</v>
      </c>
      <c r="C1156" s="6" t="s">
        <v>13</v>
      </c>
      <c r="D1156" s="5" t="s">
        <v>3208</v>
      </c>
      <c r="E1156" s="5" t="s">
        <v>79</v>
      </c>
      <c r="F1156" s="5" t="s">
        <v>311</v>
      </c>
      <c r="G1156" s="5" t="s">
        <v>102</v>
      </c>
      <c r="H1156" s="5" t="s">
        <v>18</v>
      </c>
      <c r="I1156" s="7" t="s">
        <v>3369</v>
      </c>
      <c r="J1156" s="8" t="s">
        <v>13</v>
      </c>
    </row>
    <row r="1157">
      <c r="A1157" s="5" t="s">
        <v>3370</v>
      </c>
      <c r="B1157" s="5" t="s">
        <v>3371</v>
      </c>
      <c r="C1157" s="6" t="s">
        <v>13</v>
      </c>
      <c r="D1157" s="5" t="s">
        <v>3208</v>
      </c>
      <c r="E1157" s="5" t="s">
        <v>446</v>
      </c>
      <c r="F1157" s="5" t="s">
        <v>311</v>
      </c>
      <c r="G1157" s="5" t="s">
        <v>102</v>
      </c>
      <c r="H1157" s="5" t="s">
        <v>18</v>
      </c>
      <c r="I1157" s="7" t="s">
        <v>3372</v>
      </c>
      <c r="J1157" s="8" t="s">
        <v>13</v>
      </c>
    </row>
    <row r="1158">
      <c r="A1158" s="5" t="s">
        <v>3373</v>
      </c>
      <c r="B1158" s="5" t="s">
        <v>3374</v>
      </c>
      <c r="C1158" s="6" t="s">
        <v>13</v>
      </c>
      <c r="D1158" s="5" t="s">
        <v>3208</v>
      </c>
      <c r="E1158" s="5" t="s">
        <v>345</v>
      </c>
      <c r="F1158" s="5" t="s">
        <v>3375</v>
      </c>
      <c r="G1158" s="5" t="s">
        <v>184</v>
      </c>
      <c r="H1158" s="5" t="s">
        <v>18</v>
      </c>
      <c r="I1158" s="7" t="s">
        <v>3376</v>
      </c>
      <c r="J1158" s="8" t="s">
        <v>13</v>
      </c>
    </row>
    <row r="1159">
      <c r="A1159" s="5" t="s">
        <v>3377</v>
      </c>
      <c r="B1159" s="5" t="s">
        <v>2155</v>
      </c>
      <c r="C1159" s="6" t="s">
        <v>13</v>
      </c>
      <c r="D1159" s="5" t="s">
        <v>3378</v>
      </c>
      <c r="E1159" s="5" t="s">
        <v>192</v>
      </c>
      <c r="F1159" s="5" t="s">
        <v>137</v>
      </c>
      <c r="G1159" s="5" t="s">
        <v>137</v>
      </c>
      <c r="H1159" s="5" t="s">
        <v>18</v>
      </c>
      <c r="I1159" s="8" t="s">
        <v>3379</v>
      </c>
      <c r="J1159" s="8" t="s">
        <v>13</v>
      </c>
    </row>
    <row r="1160">
      <c r="A1160" s="5" t="s">
        <v>3380</v>
      </c>
      <c r="B1160" s="5" t="s">
        <v>25</v>
      </c>
      <c r="C1160" s="6" t="s">
        <v>13</v>
      </c>
      <c r="D1160" s="5" t="s">
        <v>3378</v>
      </c>
      <c r="E1160" s="5" t="s">
        <v>574</v>
      </c>
      <c r="F1160" s="5" t="s">
        <v>137</v>
      </c>
      <c r="G1160" s="5" t="s">
        <v>137</v>
      </c>
      <c r="H1160" s="5" t="s">
        <v>18</v>
      </c>
      <c r="I1160" s="7" t="s">
        <v>3381</v>
      </c>
      <c r="J1160" s="8" t="s">
        <v>13</v>
      </c>
    </row>
    <row r="1161">
      <c r="A1161" s="5" t="s">
        <v>3382</v>
      </c>
      <c r="B1161" s="5" t="s">
        <v>32</v>
      </c>
      <c r="C1161" s="6" t="s">
        <v>13</v>
      </c>
      <c r="D1161" s="5" t="s">
        <v>3378</v>
      </c>
      <c r="E1161" s="5" t="s">
        <v>192</v>
      </c>
      <c r="F1161" s="5" t="s">
        <v>137</v>
      </c>
      <c r="G1161" s="5" t="s">
        <v>137</v>
      </c>
      <c r="H1161" s="5" t="s">
        <v>18</v>
      </c>
      <c r="I1161" s="7" t="s">
        <v>3383</v>
      </c>
      <c r="J1161" s="8" t="s">
        <v>13</v>
      </c>
    </row>
    <row r="1162">
      <c r="A1162" s="5" t="s">
        <v>3384</v>
      </c>
      <c r="B1162" s="5" t="s">
        <v>25</v>
      </c>
      <c r="C1162" s="6" t="s">
        <v>13</v>
      </c>
      <c r="D1162" s="5" t="s">
        <v>3378</v>
      </c>
      <c r="E1162" s="5" t="s">
        <v>228</v>
      </c>
      <c r="F1162" s="5" t="s">
        <v>137</v>
      </c>
      <c r="G1162" s="5" t="s">
        <v>137</v>
      </c>
      <c r="H1162" s="5" t="s">
        <v>18</v>
      </c>
      <c r="I1162" s="7" t="s">
        <v>3385</v>
      </c>
      <c r="J1162" s="8" t="s">
        <v>13</v>
      </c>
    </row>
    <row r="1163">
      <c r="A1163" s="5" t="s">
        <v>3386</v>
      </c>
      <c r="B1163" s="5" t="s">
        <v>25</v>
      </c>
      <c r="C1163" s="6" t="s">
        <v>13</v>
      </c>
      <c r="D1163" s="5" t="s">
        <v>3378</v>
      </c>
      <c r="E1163" s="5" t="s">
        <v>144</v>
      </c>
      <c r="F1163" s="5" t="s">
        <v>1135</v>
      </c>
      <c r="G1163" s="5" t="s">
        <v>96</v>
      </c>
      <c r="H1163" s="5" t="s">
        <v>18</v>
      </c>
      <c r="I1163" s="7" t="s">
        <v>3387</v>
      </c>
      <c r="J1163" s="8" t="s">
        <v>13</v>
      </c>
    </row>
    <row r="1164">
      <c r="A1164" s="5" t="s">
        <v>3388</v>
      </c>
      <c r="B1164" s="5" t="s">
        <v>25</v>
      </c>
      <c r="C1164" s="6" t="s">
        <v>13</v>
      </c>
      <c r="D1164" s="5" t="s">
        <v>3389</v>
      </c>
      <c r="E1164" s="5" t="s">
        <v>1950</v>
      </c>
      <c r="F1164" s="5" t="s">
        <v>1638</v>
      </c>
      <c r="G1164" s="5" t="s">
        <v>1639</v>
      </c>
      <c r="H1164" s="5" t="s">
        <v>18</v>
      </c>
      <c r="I1164" s="7" t="s">
        <v>3390</v>
      </c>
      <c r="J1164" s="8" t="s">
        <v>13</v>
      </c>
    </row>
    <row r="1165">
      <c r="A1165" s="5" t="s">
        <v>3391</v>
      </c>
      <c r="B1165" s="5" t="s">
        <v>25</v>
      </c>
      <c r="C1165" s="6" t="s">
        <v>13</v>
      </c>
      <c r="D1165" s="5" t="s">
        <v>3389</v>
      </c>
      <c r="E1165" s="5" t="s">
        <v>207</v>
      </c>
      <c r="F1165" s="5" t="s">
        <v>1638</v>
      </c>
      <c r="G1165" s="5" t="s">
        <v>1639</v>
      </c>
      <c r="H1165" s="5" t="s">
        <v>18</v>
      </c>
      <c r="I1165" s="7" t="s">
        <v>3392</v>
      </c>
      <c r="J1165" s="8" t="s">
        <v>13</v>
      </c>
    </row>
    <row r="1166">
      <c r="A1166" s="5" t="s">
        <v>3393</v>
      </c>
      <c r="B1166" s="5" t="s">
        <v>3394</v>
      </c>
      <c r="C1166" s="6" t="s">
        <v>13</v>
      </c>
      <c r="D1166" s="5" t="s">
        <v>3389</v>
      </c>
      <c r="E1166" s="5" t="s">
        <v>1460</v>
      </c>
      <c r="F1166" s="5" t="s">
        <v>3395</v>
      </c>
      <c r="G1166" s="5" t="s">
        <v>137</v>
      </c>
      <c r="H1166" s="5" t="s">
        <v>18</v>
      </c>
      <c r="I1166" s="7" t="s">
        <v>3396</v>
      </c>
      <c r="J1166" s="8" t="s">
        <v>13</v>
      </c>
    </row>
    <row r="1167">
      <c r="A1167" s="5" t="s">
        <v>3397</v>
      </c>
      <c r="B1167" s="5" t="s">
        <v>3398</v>
      </c>
      <c r="C1167" s="6" t="s">
        <v>13</v>
      </c>
      <c r="D1167" s="5" t="s">
        <v>3389</v>
      </c>
      <c r="E1167" s="5" t="s">
        <v>48</v>
      </c>
      <c r="F1167" s="5" t="s">
        <v>137</v>
      </c>
      <c r="G1167" s="5" t="s">
        <v>137</v>
      </c>
      <c r="H1167" s="5" t="s">
        <v>18</v>
      </c>
      <c r="I1167" s="8" t="s">
        <v>3399</v>
      </c>
      <c r="J1167" s="8" t="s">
        <v>13</v>
      </c>
    </row>
    <row r="1168">
      <c r="A1168" s="5" t="s">
        <v>3400</v>
      </c>
      <c r="B1168" s="5" t="s">
        <v>3401</v>
      </c>
      <c r="C1168" s="6" t="s">
        <v>13</v>
      </c>
      <c r="D1168" s="5" t="s">
        <v>3389</v>
      </c>
      <c r="E1168" s="5" t="s">
        <v>339</v>
      </c>
      <c r="F1168" s="5" t="s">
        <v>137</v>
      </c>
      <c r="G1168" s="5" t="s">
        <v>137</v>
      </c>
      <c r="H1168" s="5" t="s">
        <v>18</v>
      </c>
      <c r="I1168" s="8" t="s">
        <v>3402</v>
      </c>
      <c r="J1168" s="8" t="s">
        <v>13</v>
      </c>
    </row>
    <row r="1169">
      <c r="A1169" s="5" t="s">
        <v>3403</v>
      </c>
      <c r="B1169" s="5" t="s">
        <v>3404</v>
      </c>
      <c r="C1169" s="6" t="s">
        <v>4</v>
      </c>
      <c r="D1169" s="5" t="s">
        <v>3389</v>
      </c>
      <c r="E1169" s="5" t="s">
        <v>182</v>
      </c>
      <c r="F1169" s="5" t="s">
        <v>137</v>
      </c>
      <c r="G1169" s="5" t="s">
        <v>137</v>
      </c>
      <c r="H1169" s="5" t="s">
        <v>18</v>
      </c>
      <c r="I1169" s="8" t="s">
        <v>3405</v>
      </c>
      <c r="J1169" s="8" t="s">
        <v>13</v>
      </c>
    </row>
    <row r="1170">
      <c r="A1170" s="5" t="s">
        <v>3406</v>
      </c>
      <c r="B1170" s="5" t="s">
        <v>3407</v>
      </c>
      <c r="C1170" s="6" t="s">
        <v>13</v>
      </c>
      <c r="D1170" s="5" t="s">
        <v>3389</v>
      </c>
      <c r="E1170" s="5" t="s">
        <v>523</v>
      </c>
      <c r="F1170" s="5" t="s">
        <v>137</v>
      </c>
      <c r="G1170" s="5" t="s">
        <v>137</v>
      </c>
      <c r="H1170" s="5" t="s">
        <v>18</v>
      </c>
      <c r="I1170" s="8" t="s">
        <v>3408</v>
      </c>
      <c r="J1170" s="8" t="s">
        <v>13</v>
      </c>
    </row>
    <row r="1171">
      <c r="A1171" s="5" t="s">
        <v>3409</v>
      </c>
      <c r="B1171" s="5" t="s">
        <v>2155</v>
      </c>
      <c r="C1171" s="6" t="s">
        <v>13</v>
      </c>
      <c r="D1171" s="5" t="s">
        <v>3389</v>
      </c>
      <c r="E1171" s="5" t="s">
        <v>512</v>
      </c>
      <c r="F1171" s="5" t="s">
        <v>137</v>
      </c>
      <c r="G1171" s="5" t="s">
        <v>137</v>
      </c>
      <c r="H1171" s="5" t="s">
        <v>18</v>
      </c>
      <c r="I1171" s="8" t="s">
        <v>3410</v>
      </c>
      <c r="J1171" s="8" t="s">
        <v>13</v>
      </c>
    </row>
    <row r="1172">
      <c r="A1172" s="5" t="s">
        <v>3411</v>
      </c>
      <c r="B1172" s="5" t="s">
        <v>2155</v>
      </c>
      <c r="C1172" s="6" t="s">
        <v>13</v>
      </c>
      <c r="D1172" s="5" t="s">
        <v>3389</v>
      </c>
      <c r="E1172" s="5" t="s">
        <v>3110</v>
      </c>
      <c r="F1172" s="5" t="s">
        <v>137</v>
      </c>
      <c r="G1172" s="5" t="s">
        <v>137</v>
      </c>
      <c r="H1172" s="5" t="s">
        <v>18</v>
      </c>
      <c r="I1172" s="8" t="s">
        <v>3412</v>
      </c>
      <c r="J1172" s="8" t="s">
        <v>13</v>
      </c>
    </row>
    <row r="1173">
      <c r="A1173" s="5" t="s">
        <v>3413</v>
      </c>
      <c r="B1173" s="5" t="s">
        <v>3414</v>
      </c>
      <c r="C1173" s="6" t="s">
        <v>13</v>
      </c>
      <c r="D1173" s="5" t="s">
        <v>3389</v>
      </c>
      <c r="E1173" s="5" t="s">
        <v>106</v>
      </c>
      <c r="F1173" s="5" t="s">
        <v>137</v>
      </c>
      <c r="G1173" s="5" t="s">
        <v>137</v>
      </c>
      <c r="H1173" s="5" t="s">
        <v>18</v>
      </c>
      <c r="I1173" s="8" t="s">
        <v>3415</v>
      </c>
      <c r="J1173" s="8" t="s">
        <v>13</v>
      </c>
    </row>
    <row r="1174">
      <c r="A1174" s="5" t="s">
        <v>3416</v>
      </c>
      <c r="B1174" s="5" t="s">
        <v>2155</v>
      </c>
      <c r="C1174" s="6" t="s">
        <v>13</v>
      </c>
      <c r="D1174" s="5" t="s">
        <v>3389</v>
      </c>
      <c r="E1174" s="5" t="s">
        <v>26</v>
      </c>
      <c r="F1174" s="5" t="s">
        <v>137</v>
      </c>
      <c r="G1174" s="5" t="s">
        <v>137</v>
      </c>
      <c r="H1174" s="5" t="s">
        <v>18</v>
      </c>
      <c r="I1174" s="8" t="s">
        <v>3417</v>
      </c>
      <c r="J1174" s="8" t="s">
        <v>13</v>
      </c>
    </row>
    <row r="1175">
      <c r="A1175" s="5" t="s">
        <v>3418</v>
      </c>
      <c r="B1175" s="5" t="s">
        <v>3419</v>
      </c>
      <c r="C1175" s="6" t="s">
        <v>13</v>
      </c>
      <c r="D1175" s="5" t="s">
        <v>3389</v>
      </c>
      <c r="E1175" s="5" t="s">
        <v>121</v>
      </c>
      <c r="F1175" s="5" t="s">
        <v>137</v>
      </c>
      <c r="G1175" s="5" t="s">
        <v>137</v>
      </c>
      <c r="H1175" s="5" t="s">
        <v>18</v>
      </c>
      <c r="I1175" s="7" t="s">
        <v>3420</v>
      </c>
      <c r="J1175" s="8" t="s">
        <v>13</v>
      </c>
    </row>
    <row r="1176">
      <c r="A1176" s="5" t="s">
        <v>3421</v>
      </c>
      <c r="B1176" s="5" t="s">
        <v>25</v>
      </c>
      <c r="C1176" s="6" t="s">
        <v>13</v>
      </c>
      <c r="D1176" s="5" t="s">
        <v>3389</v>
      </c>
      <c r="E1176" s="5" t="s">
        <v>1460</v>
      </c>
      <c r="F1176" s="5" t="s">
        <v>137</v>
      </c>
      <c r="G1176" s="5" t="s">
        <v>137</v>
      </c>
      <c r="H1176" s="5" t="s">
        <v>18</v>
      </c>
      <c r="I1176" s="7" t="s">
        <v>3422</v>
      </c>
      <c r="J1176" s="8" t="s">
        <v>13</v>
      </c>
    </row>
    <row r="1177">
      <c r="A1177" s="5" t="s">
        <v>3423</v>
      </c>
      <c r="B1177" s="5" t="s">
        <v>3424</v>
      </c>
      <c r="C1177" s="6" t="s">
        <v>13</v>
      </c>
      <c r="D1177" s="5" t="s">
        <v>3389</v>
      </c>
      <c r="E1177" s="5" t="s">
        <v>585</v>
      </c>
      <c r="F1177" s="5" t="s">
        <v>137</v>
      </c>
      <c r="G1177" s="5" t="s">
        <v>137</v>
      </c>
      <c r="H1177" s="5" t="s">
        <v>18</v>
      </c>
      <c r="I1177" s="7" t="s">
        <v>3425</v>
      </c>
      <c r="J1177" s="8" t="s">
        <v>13</v>
      </c>
    </row>
    <row r="1178">
      <c r="A1178" s="5" t="s">
        <v>3426</v>
      </c>
      <c r="B1178" s="5" t="s">
        <v>25</v>
      </c>
      <c r="C1178" s="6" t="s">
        <v>13</v>
      </c>
      <c r="D1178" s="5" t="s">
        <v>3389</v>
      </c>
      <c r="E1178" s="5" t="s">
        <v>455</v>
      </c>
      <c r="F1178" s="5" t="s">
        <v>137</v>
      </c>
      <c r="G1178" s="5" t="s">
        <v>137</v>
      </c>
      <c r="H1178" s="5" t="s">
        <v>18</v>
      </c>
      <c r="I1178" s="7" t="s">
        <v>3427</v>
      </c>
      <c r="J1178" s="8" t="s">
        <v>13</v>
      </c>
    </row>
    <row r="1179">
      <c r="A1179" s="5" t="s">
        <v>3428</v>
      </c>
      <c r="B1179" s="5" t="s">
        <v>206</v>
      </c>
      <c r="C1179" s="6" t="s">
        <v>13</v>
      </c>
      <c r="D1179" s="5" t="s">
        <v>3389</v>
      </c>
      <c r="E1179" s="5" t="s">
        <v>3429</v>
      </c>
      <c r="F1179" s="5" t="s">
        <v>137</v>
      </c>
      <c r="G1179" s="5" t="s">
        <v>137</v>
      </c>
      <c r="H1179" s="5" t="s">
        <v>18</v>
      </c>
      <c r="I1179" s="7" t="s">
        <v>3430</v>
      </c>
      <c r="J1179" s="8" t="s">
        <v>13</v>
      </c>
    </row>
    <row r="1180">
      <c r="A1180" s="5" t="s">
        <v>3431</v>
      </c>
      <c r="B1180" s="5" t="s">
        <v>3432</v>
      </c>
      <c r="C1180" s="6" t="s">
        <v>13</v>
      </c>
      <c r="D1180" s="5" t="s">
        <v>3389</v>
      </c>
      <c r="E1180" s="5" t="s">
        <v>121</v>
      </c>
      <c r="F1180" s="5" t="s">
        <v>137</v>
      </c>
      <c r="G1180" s="5" t="s">
        <v>137</v>
      </c>
      <c r="H1180" s="5" t="s">
        <v>18</v>
      </c>
      <c r="I1180" s="8" t="s">
        <v>3433</v>
      </c>
      <c r="J1180" s="8" t="s">
        <v>13</v>
      </c>
    </row>
    <row r="1181">
      <c r="A1181" s="5" t="s">
        <v>3431</v>
      </c>
      <c r="B1181" s="5" t="s">
        <v>3432</v>
      </c>
      <c r="C1181" s="6" t="s">
        <v>13</v>
      </c>
      <c r="D1181" s="5" t="s">
        <v>3389</v>
      </c>
      <c r="E1181" s="5" t="s">
        <v>121</v>
      </c>
      <c r="F1181" s="5" t="s">
        <v>137</v>
      </c>
      <c r="G1181" s="5" t="s">
        <v>137</v>
      </c>
      <c r="H1181" s="5" t="s">
        <v>18</v>
      </c>
      <c r="I1181" s="8" t="s">
        <v>3433</v>
      </c>
      <c r="J1181" s="8" t="s">
        <v>13</v>
      </c>
    </row>
    <row r="1182">
      <c r="A1182" s="5" t="s">
        <v>3434</v>
      </c>
      <c r="B1182" s="5" t="s">
        <v>25</v>
      </c>
      <c r="C1182" s="6" t="s">
        <v>13</v>
      </c>
      <c r="D1182" s="5" t="s">
        <v>3389</v>
      </c>
      <c r="E1182" s="5" t="s">
        <v>182</v>
      </c>
      <c r="F1182" s="5" t="s">
        <v>137</v>
      </c>
      <c r="G1182" s="5" t="s">
        <v>137</v>
      </c>
      <c r="H1182" s="5" t="s">
        <v>18</v>
      </c>
      <c r="I1182" s="7" t="s">
        <v>3435</v>
      </c>
      <c r="J1182" s="8" t="s">
        <v>13</v>
      </c>
    </row>
    <row r="1183">
      <c r="A1183" s="5" t="s">
        <v>3436</v>
      </c>
      <c r="B1183" s="5" t="s">
        <v>25</v>
      </c>
      <c r="C1183" s="6" t="s">
        <v>13</v>
      </c>
      <c r="D1183" s="5" t="s">
        <v>3389</v>
      </c>
      <c r="E1183" s="5" t="s">
        <v>430</v>
      </c>
      <c r="F1183" s="5" t="s">
        <v>153</v>
      </c>
      <c r="G1183" s="5" t="s">
        <v>154</v>
      </c>
      <c r="H1183" s="5" t="s">
        <v>18</v>
      </c>
      <c r="I1183" s="7" t="s">
        <v>3437</v>
      </c>
      <c r="J1183" s="8" t="s">
        <v>13</v>
      </c>
    </row>
    <row r="1184">
      <c r="A1184" s="5" t="s">
        <v>3438</v>
      </c>
      <c r="B1184" s="5" t="s">
        <v>25</v>
      </c>
      <c r="C1184" s="6" t="s">
        <v>13</v>
      </c>
      <c r="D1184" s="5" t="s">
        <v>3439</v>
      </c>
      <c r="E1184" s="5" t="s">
        <v>106</v>
      </c>
      <c r="F1184" s="5" t="s">
        <v>85</v>
      </c>
      <c r="G1184" s="5" t="s">
        <v>86</v>
      </c>
      <c r="H1184" s="5" t="s">
        <v>18</v>
      </c>
      <c r="I1184" s="7" t="s">
        <v>3440</v>
      </c>
      <c r="J1184" s="8" t="s">
        <v>13</v>
      </c>
    </row>
    <row r="1185">
      <c r="A1185" s="5" t="s">
        <v>3441</v>
      </c>
      <c r="B1185" s="5" t="s">
        <v>25</v>
      </c>
      <c r="C1185" s="6" t="s">
        <v>13</v>
      </c>
      <c r="D1185" s="5" t="s">
        <v>3439</v>
      </c>
      <c r="E1185" s="5" t="s">
        <v>188</v>
      </c>
      <c r="F1185" s="5" t="s">
        <v>122</v>
      </c>
      <c r="G1185" s="5" t="s">
        <v>44</v>
      </c>
      <c r="H1185" s="5" t="s">
        <v>18</v>
      </c>
      <c r="I1185" s="7" t="s">
        <v>3442</v>
      </c>
      <c r="J1185" s="8" t="s">
        <v>13</v>
      </c>
    </row>
    <row r="1186">
      <c r="A1186" s="5" t="s">
        <v>3443</v>
      </c>
      <c r="B1186" s="5" t="s">
        <v>1281</v>
      </c>
      <c r="C1186" s="6" t="s">
        <v>13</v>
      </c>
      <c r="D1186" s="5" t="s">
        <v>3439</v>
      </c>
      <c r="E1186" s="5" t="s">
        <v>1950</v>
      </c>
      <c r="F1186" s="5" t="s">
        <v>223</v>
      </c>
      <c r="G1186" s="5" t="s">
        <v>224</v>
      </c>
      <c r="H1186" s="5" t="s">
        <v>18</v>
      </c>
      <c r="I1186" s="7" t="s">
        <v>3444</v>
      </c>
      <c r="J1186" s="8" t="s">
        <v>13</v>
      </c>
    </row>
    <row r="1187">
      <c r="A1187" s="5" t="s">
        <v>3445</v>
      </c>
      <c r="B1187" s="5" t="s">
        <v>25</v>
      </c>
      <c r="C1187" s="6" t="s">
        <v>13</v>
      </c>
      <c r="D1187" s="5" t="s">
        <v>3439</v>
      </c>
      <c r="E1187" s="5" t="s">
        <v>100</v>
      </c>
      <c r="F1187" s="5" t="s">
        <v>1353</v>
      </c>
      <c r="G1187" s="5" t="s">
        <v>1354</v>
      </c>
      <c r="H1187" s="5" t="s">
        <v>18</v>
      </c>
      <c r="I1187" s="7" t="s">
        <v>3446</v>
      </c>
      <c r="J1187" s="8" t="s">
        <v>13</v>
      </c>
    </row>
    <row r="1188">
      <c r="A1188" s="5" t="s">
        <v>3447</v>
      </c>
      <c r="B1188" s="5" t="s">
        <v>371</v>
      </c>
      <c r="C1188" s="6" t="s">
        <v>13</v>
      </c>
      <c r="D1188" s="5" t="s">
        <v>3439</v>
      </c>
      <c r="E1188" s="5" t="s">
        <v>980</v>
      </c>
      <c r="F1188" s="5" t="s">
        <v>3448</v>
      </c>
      <c r="G1188" s="5" t="s">
        <v>44</v>
      </c>
      <c r="H1188" s="5" t="s">
        <v>18</v>
      </c>
      <c r="I1188" s="7" t="s">
        <v>3449</v>
      </c>
      <c r="J1188" s="8" t="s">
        <v>13</v>
      </c>
    </row>
    <row r="1189">
      <c r="A1189" s="5" t="s">
        <v>3450</v>
      </c>
      <c r="B1189" s="5" t="s">
        <v>3451</v>
      </c>
      <c r="C1189" s="6" t="s">
        <v>13</v>
      </c>
      <c r="D1189" s="5" t="s">
        <v>3439</v>
      </c>
      <c r="E1189" s="5" t="s">
        <v>106</v>
      </c>
      <c r="F1189" s="5" t="s">
        <v>166</v>
      </c>
      <c r="G1189" s="5" t="s">
        <v>44</v>
      </c>
      <c r="H1189" s="5" t="s">
        <v>18</v>
      </c>
      <c r="I1189" s="7" t="s">
        <v>3452</v>
      </c>
      <c r="J1189" s="8" t="s">
        <v>13</v>
      </c>
    </row>
    <row r="1190">
      <c r="A1190" s="5" t="s">
        <v>3453</v>
      </c>
      <c r="B1190" s="5" t="s">
        <v>32</v>
      </c>
      <c r="C1190" s="6" t="s">
        <v>13</v>
      </c>
      <c r="D1190" s="5" t="s">
        <v>3439</v>
      </c>
      <c r="E1190" s="5" t="s">
        <v>399</v>
      </c>
      <c r="F1190" s="5" t="s">
        <v>166</v>
      </c>
      <c r="G1190" s="5" t="s">
        <v>44</v>
      </c>
      <c r="H1190" s="5" t="s">
        <v>18</v>
      </c>
      <c r="I1190" s="7" t="s">
        <v>3454</v>
      </c>
      <c r="J1190" s="8" t="s">
        <v>13</v>
      </c>
    </row>
    <row r="1191">
      <c r="A1191" s="5" t="s">
        <v>3455</v>
      </c>
      <c r="B1191" s="5" t="s">
        <v>32</v>
      </c>
      <c r="C1191" s="6" t="s">
        <v>13</v>
      </c>
      <c r="D1191" s="5" t="s">
        <v>3439</v>
      </c>
      <c r="E1191" s="5" t="s">
        <v>554</v>
      </c>
      <c r="F1191" s="5" t="s">
        <v>166</v>
      </c>
      <c r="G1191" s="5" t="s">
        <v>44</v>
      </c>
      <c r="H1191" s="5" t="s">
        <v>18</v>
      </c>
      <c r="I1191" s="7" t="s">
        <v>3456</v>
      </c>
      <c r="J1191" s="8" t="s">
        <v>13</v>
      </c>
    </row>
    <row r="1192">
      <c r="A1192" s="5" t="s">
        <v>3457</v>
      </c>
      <c r="B1192" s="5" t="s">
        <v>371</v>
      </c>
      <c r="C1192" s="6" t="s">
        <v>13</v>
      </c>
      <c r="D1192" s="5" t="s">
        <v>3439</v>
      </c>
      <c r="E1192" s="5" t="s">
        <v>94</v>
      </c>
      <c r="F1192" s="5" t="s">
        <v>311</v>
      </c>
      <c r="G1192" s="5" t="s">
        <v>102</v>
      </c>
      <c r="H1192" s="5" t="s">
        <v>18</v>
      </c>
      <c r="I1192" s="7" t="s">
        <v>3458</v>
      </c>
      <c r="J1192" s="8" t="s">
        <v>13</v>
      </c>
    </row>
    <row r="1193">
      <c r="A1193" s="5" t="s">
        <v>3459</v>
      </c>
      <c r="B1193" s="5" t="s">
        <v>25</v>
      </c>
      <c r="C1193" s="6" t="s">
        <v>13</v>
      </c>
      <c r="D1193" s="5" t="s">
        <v>3439</v>
      </c>
      <c r="E1193" s="5" t="s">
        <v>63</v>
      </c>
      <c r="F1193" s="5" t="s">
        <v>311</v>
      </c>
      <c r="G1193" s="5" t="s">
        <v>102</v>
      </c>
      <c r="H1193" s="5" t="s">
        <v>18</v>
      </c>
      <c r="I1193" s="7" t="s">
        <v>3460</v>
      </c>
      <c r="J1193" s="8" t="s">
        <v>13</v>
      </c>
    </row>
    <row r="1194">
      <c r="A1194" s="5" t="s">
        <v>3461</v>
      </c>
      <c r="B1194" s="5" t="s">
        <v>32</v>
      </c>
      <c r="C1194" s="6" t="s">
        <v>13</v>
      </c>
      <c r="D1194" s="5" t="s">
        <v>3439</v>
      </c>
      <c r="E1194" s="5" t="s">
        <v>60</v>
      </c>
      <c r="F1194" s="5" t="s">
        <v>311</v>
      </c>
      <c r="G1194" s="5" t="s">
        <v>102</v>
      </c>
      <c r="H1194" s="5" t="s">
        <v>18</v>
      </c>
      <c r="I1194" s="7" t="s">
        <v>3462</v>
      </c>
      <c r="J1194" s="8" t="s">
        <v>13</v>
      </c>
    </row>
    <row r="1195">
      <c r="A1195" s="5" t="s">
        <v>3457</v>
      </c>
      <c r="B1195" s="5" t="s">
        <v>371</v>
      </c>
      <c r="C1195" s="6" t="s">
        <v>13</v>
      </c>
      <c r="D1195" s="5" t="s">
        <v>3439</v>
      </c>
      <c r="E1195" s="5" t="s">
        <v>94</v>
      </c>
      <c r="F1195" s="5" t="s">
        <v>311</v>
      </c>
      <c r="G1195" s="5" t="s">
        <v>102</v>
      </c>
      <c r="H1195" s="5" t="s">
        <v>18</v>
      </c>
      <c r="I1195" s="7" t="s">
        <v>3458</v>
      </c>
      <c r="J1195" s="8" t="s">
        <v>13</v>
      </c>
    </row>
    <row r="1196">
      <c r="A1196" s="5" t="s">
        <v>3463</v>
      </c>
      <c r="B1196" s="5" t="s">
        <v>371</v>
      </c>
      <c r="C1196" s="6" t="s">
        <v>13</v>
      </c>
      <c r="D1196" s="5" t="s">
        <v>3439</v>
      </c>
      <c r="E1196" s="5" t="s">
        <v>106</v>
      </c>
      <c r="F1196" s="5" t="s">
        <v>122</v>
      </c>
      <c r="G1196" s="5" t="s">
        <v>44</v>
      </c>
      <c r="H1196" s="5" t="s">
        <v>18</v>
      </c>
      <c r="I1196" s="7" t="s">
        <v>3464</v>
      </c>
      <c r="J1196" s="8" t="s">
        <v>13</v>
      </c>
    </row>
    <row r="1197">
      <c r="A1197" s="5" t="s">
        <v>3465</v>
      </c>
      <c r="B1197" s="5" t="s">
        <v>3466</v>
      </c>
      <c r="C1197" s="6" t="s">
        <v>13</v>
      </c>
      <c r="D1197" s="5" t="s">
        <v>3439</v>
      </c>
      <c r="E1197" s="5" t="s">
        <v>2818</v>
      </c>
      <c r="F1197" s="5" t="s">
        <v>122</v>
      </c>
      <c r="G1197" s="5" t="s">
        <v>44</v>
      </c>
      <c r="H1197" s="5" t="s">
        <v>18</v>
      </c>
      <c r="I1197" s="7" t="s">
        <v>3467</v>
      </c>
      <c r="J1197" s="8" t="s">
        <v>13</v>
      </c>
    </row>
    <row r="1198">
      <c r="A1198" s="5" t="s">
        <v>3468</v>
      </c>
      <c r="B1198" s="5" t="s">
        <v>371</v>
      </c>
      <c r="C1198" s="6" t="s">
        <v>13</v>
      </c>
      <c r="D1198" s="5" t="s">
        <v>3439</v>
      </c>
      <c r="E1198" s="5" t="s">
        <v>716</v>
      </c>
      <c r="F1198" s="5" t="s">
        <v>311</v>
      </c>
      <c r="G1198" s="5" t="s">
        <v>102</v>
      </c>
      <c r="H1198" s="5" t="s">
        <v>18</v>
      </c>
      <c r="I1198" s="7" t="s">
        <v>3469</v>
      </c>
      <c r="J1198" s="8" t="s">
        <v>13</v>
      </c>
    </row>
    <row r="1199">
      <c r="A1199" s="5" t="s">
        <v>3470</v>
      </c>
      <c r="B1199" s="5" t="s">
        <v>25</v>
      </c>
      <c r="C1199" s="6" t="s">
        <v>13</v>
      </c>
      <c r="D1199" s="5" t="s">
        <v>3439</v>
      </c>
      <c r="E1199" s="5" t="s">
        <v>1993</v>
      </c>
      <c r="F1199" s="5" t="s">
        <v>3471</v>
      </c>
      <c r="G1199" s="5" t="s">
        <v>102</v>
      </c>
      <c r="H1199" s="5" t="s">
        <v>18</v>
      </c>
      <c r="I1199" s="7" t="s">
        <v>3472</v>
      </c>
      <c r="J1199" s="8" t="s">
        <v>13</v>
      </c>
    </row>
    <row r="1200">
      <c r="A1200" s="5" t="s">
        <v>3473</v>
      </c>
      <c r="B1200" s="5" t="s">
        <v>32</v>
      </c>
      <c r="C1200" s="6" t="s">
        <v>13</v>
      </c>
      <c r="D1200" s="5" t="s">
        <v>3439</v>
      </c>
      <c r="E1200" s="5" t="s">
        <v>1360</v>
      </c>
      <c r="F1200" s="5" t="s">
        <v>1867</v>
      </c>
      <c r="G1200" s="5" t="s">
        <v>44</v>
      </c>
      <c r="H1200" s="5" t="s">
        <v>18</v>
      </c>
      <c r="I1200" s="8" t="s">
        <v>3474</v>
      </c>
      <c r="J1200" s="8" t="s">
        <v>13</v>
      </c>
    </row>
    <row r="1201">
      <c r="A1201" s="5" t="s">
        <v>3475</v>
      </c>
      <c r="B1201" s="5" t="s">
        <v>3476</v>
      </c>
      <c r="C1201" s="6" t="s">
        <v>13</v>
      </c>
      <c r="D1201" s="6" t="s">
        <v>3477</v>
      </c>
      <c r="E1201" s="5" t="s">
        <v>1846</v>
      </c>
      <c r="F1201" s="5" t="s">
        <v>122</v>
      </c>
      <c r="G1201" s="5" t="s">
        <v>44</v>
      </c>
      <c r="H1201" s="5" t="s">
        <v>18</v>
      </c>
      <c r="I1201" s="8" t="s">
        <v>3478</v>
      </c>
      <c r="J1201" s="8" t="s">
        <v>13</v>
      </c>
    </row>
    <row r="1202">
      <c r="A1202" s="5" t="s">
        <v>3479</v>
      </c>
      <c r="B1202" s="5" t="s">
        <v>3476</v>
      </c>
      <c r="C1202" s="6" t="s">
        <v>13</v>
      </c>
      <c r="D1202" s="6" t="s">
        <v>3477</v>
      </c>
      <c r="E1202" s="5" t="s">
        <v>125</v>
      </c>
      <c r="F1202" s="5" t="s">
        <v>137</v>
      </c>
      <c r="G1202" s="5" t="s">
        <v>137</v>
      </c>
      <c r="H1202" s="5" t="s">
        <v>18</v>
      </c>
      <c r="I1202" s="8" t="s">
        <v>3480</v>
      </c>
      <c r="J1202" s="8" t="s">
        <v>13</v>
      </c>
    </row>
    <row r="1203">
      <c r="A1203" s="5" t="s">
        <v>3481</v>
      </c>
      <c r="B1203" s="5" t="s">
        <v>3482</v>
      </c>
      <c r="C1203" s="6" t="s">
        <v>13</v>
      </c>
      <c r="D1203" s="6" t="s">
        <v>3477</v>
      </c>
      <c r="E1203" s="5" t="s">
        <v>441</v>
      </c>
      <c r="F1203" s="5" t="s">
        <v>137</v>
      </c>
      <c r="G1203" s="5" t="s">
        <v>137</v>
      </c>
      <c r="H1203" s="5" t="s">
        <v>18</v>
      </c>
      <c r="I1203" s="8" t="s">
        <v>3483</v>
      </c>
      <c r="J1203" s="8" t="s">
        <v>13</v>
      </c>
    </row>
    <row r="1204">
      <c r="A1204" s="5" t="s">
        <v>3484</v>
      </c>
      <c r="B1204" s="5" t="s">
        <v>25</v>
      </c>
      <c r="C1204" s="6" t="s">
        <v>13</v>
      </c>
      <c r="D1204" s="6" t="s">
        <v>3477</v>
      </c>
      <c r="E1204" s="5" t="s">
        <v>125</v>
      </c>
      <c r="F1204" s="5" t="s">
        <v>3485</v>
      </c>
      <c r="G1204" s="5" t="s">
        <v>137</v>
      </c>
      <c r="H1204" s="5" t="s">
        <v>18</v>
      </c>
      <c r="I1204" s="8" t="s">
        <v>3486</v>
      </c>
      <c r="J1204" s="8" t="s">
        <v>13</v>
      </c>
    </row>
    <row r="1205">
      <c r="A1205" s="5" t="s">
        <v>3487</v>
      </c>
      <c r="B1205" s="5" t="s">
        <v>25</v>
      </c>
      <c r="C1205" s="6" t="s">
        <v>13</v>
      </c>
      <c r="D1205" s="5" t="s">
        <v>3488</v>
      </c>
      <c r="E1205" s="5" t="s">
        <v>283</v>
      </c>
      <c r="F1205" s="5" t="s">
        <v>635</v>
      </c>
      <c r="G1205" s="5" t="s">
        <v>76</v>
      </c>
      <c r="H1205" s="5" t="s">
        <v>18</v>
      </c>
      <c r="I1205" s="7" t="s">
        <v>3489</v>
      </c>
      <c r="J1205" s="8" t="s">
        <v>13</v>
      </c>
    </row>
    <row r="1206">
      <c r="A1206" s="5" t="s">
        <v>3490</v>
      </c>
      <c r="B1206" s="5" t="s">
        <v>25</v>
      </c>
      <c r="C1206" s="6" t="s">
        <v>13</v>
      </c>
      <c r="D1206" s="5" t="s">
        <v>3488</v>
      </c>
      <c r="E1206" s="5" t="s">
        <v>727</v>
      </c>
      <c r="F1206" s="5" t="s">
        <v>102</v>
      </c>
      <c r="G1206" s="5" t="s">
        <v>172</v>
      </c>
      <c r="H1206" s="5" t="s">
        <v>18</v>
      </c>
      <c r="I1206" s="7" t="s">
        <v>3491</v>
      </c>
      <c r="J1206" s="8" t="s">
        <v>13</v>
      </c>
    </row>
    <row r="1207">
      <c r="A1207" s="5" t="s">
        <v>3492</v>
      </c>
      <c r="B1207" s="5" t="s">
        <v>25</v>
      </c>
      <c r="C1207" s="6" t="s">
        <v>13</v>
      </c>
      <c r="D1207" s="5" t="s">
        <v>3488</v>
      </c>
      <c r="E1207" s="5" t="s">
        <v>188</v>
      </c>
      <c r="F1207" s="5" t="s">
        <v>3493</v>
      </c>
      <c r="G1207" s="5" t="s">
        <v>154</v>
      </c>
      <c r="H1207" s="5" t="s">
        <v>18</v>
      </c>
      <c r="I1207" s="7" t="s">
        <v>3494</v>
      </c>
      <c r="J1207" s="8" t="s">
        <v>13</v>
      </c>
    </row>
    <row r="1208">
      <c r="A1208" s="5" t="s">
        <v>3495</v>
      </c>
      <c r="B1208" s="5" t="s">
        <v>3496</v>
      </c>
      <c r="C1208" s="6" t="s">
        <v>13</v>
      </c>
      <c r="D1208" s="5" t="s">
        <v>3497</v>
      </c>
      <c r="E1208" s="5" t="s">
        <v>980</v>
      </c>
      <c r="F1208" s="5" t="s">
        <v>3498</v>
      </c>
      <c r="G1208" s="5" t="s">
        <v>203</v>
      </c>
      <c r="H1208" s="5" t="s">
        <v>18</v>
      </c>
      <c r="I1208" s="7" t="s">
        <v>3499</v>
      </c>
      <c r="J1208" s="8" t="s">
        <v>13</v>
      </c>
    </row>
    <row r="1209">
      <c r="A1209" s="5" t="s">
        <v>3500</v>
      </c>
      <c r="B1209" s="5" t="s">
        <v>25</v>
      </c>
      <c r="C1209" s="6" t="s">
        <v>13</v>
      </c>
      <c r="D1209" s="5" t="s">
        <v>3497</v>
      </c>
      <c r="E1209" s="5" t="s">
        <v>63</v>
      </c>
      <c r="F1209" s="5" t="s">
        <v>102</v>
      </c>
      <c r="G1209" s="5" t="s">
        <v>172</v>
      </c>
      <c r="H1209" s="5" t="s">
        <v>18</v>
      </c>
      <c r="I1209" s="8" t="s">
        <v>3501</v>
      </c>
      <c r="J1209" s="8" t="s">
        <v>13</v>
      </c>
    </row>
    <row r="1210">
      <c r="A1210" s="5" t="s">
        <v>3502</v>
      </c>
      <c r="B1210" s="5" t="s">
        <v>404</v>
      </c>
      <c r="C1210" s="6" t="s">
        <v>13</v>
      </c>
      <c r="D1210" s="5" t="s">
        <v>3497</v>
      </c>
      <c r="E1210" s="5" t="s">
        <v>56</v>
      </c>
      <c r="F1210" s="5" t="s">
        <v>3503</v>
      </c>
      <c r="G1210" s="5" t="s">
        <v>203</v>
      </c>
      <c r="H1210" s="5" t="s">
        <v>18</v>
      </c>
      <c r="I1210" s="7" t="s">
        <v>3504</v>
      </c>
      <c r="J1210" s="8" t="s">
        <v>13</v>
      </c>
    </row>
    <row r="1211">
      <c r="A1211" s="5" t="s">
        <v>3505</v>
      </c>
      <c r="B1211" s="5" t="s">
        <v>404</v>
      </c>
      <c r="C1211" s="6" t="s">
        <v>13</v>
      </c>
      <c r="D1211" s="5" t="s">
        <v>3497</v>
      </c>
      <c r="E1211" s="5" t="s">
        <v>716</v>
      </c>
      <c r="F1211" s="5" t="s">
        <v>1437</v>
      </c>
      <c r="G1211" s="5" t="s">
        <v>203</v>
      </c>
      <c r="H1211" s="5" t="s">
        <v>18</v>
      </c>
      <c r="I1211" s="7" t="s">
        <v>3506</v>
      </c>
      <c r="J1211" s="8" t="s">
        <v>13</v>
      </c>
    </row>
    <row r="1212">
      <c r="A1212" s="5" t="s">
        <v>3507</v>
      </c>
      <c r="B1212" s="5" t="s">
        <v>480</v>
      </c>
      <c r="C1212" s="6" t="s">
        <v>13</v>
      </c>
      <c r="D1212" s="5" t="s">
        <v>3497</v>
      </c>
      <c r="E1212" s="5" t="s">
        <v>1244</v>
      </c>
      <c r="F1212" s="5" t="s">
        <v>1867</v>
      </c>
      <c r="G1212" s="5" t="s">
        <v>44</v>
      </c>
      <c r="H1212" s="5" t="s">
        <v>18</v>
      </c>
      <c r="I1212" s="7" t="s">
        <v>3508</v>
      </c>
      <c r="J1212" s="8" t="s">
        <v>13</v>
      </c>
    </row>
    <row r="1213">
      <c r="A1213" s="5" t="s">
        <v>3509</v>
      </c>
      <c r="B1213" s="5" t="s">
        <v>800</v>
      </c>
      <c r="C1213" s="6" t="s">
        <v>13</v>
      </c>
      <c r="D1213" s="5" t="s">
        <v>3510</v>
      </c>
      <c r="E1213" s="5" t="s">
        <v>237</v>
      </c>
      <c r="F1213" s="5" t="s">
        <v>37</v>
      </c>
      <c r="G1213" s="5" t="s">
        <v>38</v>
      </c>
      <c r="H1213" s="5" t="s">
        <v>18</v>
      </c>
      <c r="I1213" s="7" t="s">
        <v>3511</v>
      </c>
      <c r="J1213" s="8" t="s">
        <v>13</v>
      </c>
    </row>
    <row r="1214">
      <c r="A1214" s="5" t="s">
        <v>3512</v>
      </c>
      <c r="B1214" s="5" t="s">
        <v>110</v>
      </c>
      <c r="C1214" s="6" t="s">
        <v>13</v>
      </c>
      <c r="D1214" s="5" t="s">
        <v>3510</v>
      </c>
      <c r="E1214" s="5" t="s">
        <v>2035</v>
      </c>
      <c r="F1214" s="5" t="s">
        <v>433</v>
      </c>
      <c r="G1214" s="5" t="s">
        <v>44</v>
      </c>
      <c r="H1214" s="5" t="s">
        <v>18</v>
      </c>
      <c r="I1214" s="7" t="s">
        <v>3513</v>
      </c>
      <c r="J1214" s="8" t="s">
        <v>13</v>
      </c>
    </row>
    <row r="1215">
      <c r="A1215" s="5" t="s">
        <v>3514</v>
      </c>
      <c r="B1215" s="5" t="s">
        <v>371</v>
      </c>
      <c r="C1215" s="6" t="s">
        <v>13</v>
      </c>
      <c r="D1215" s="5" t="s">
        <v>3510</v>
      </c>
      <c r="E1215" s="5" t="s">
        <v>233</v>
      </c>
      <c r="F1215" s="5" t="s">
        <v>166</v>
      </c>
      <c r="G1215" s="5" t="s">
        <v>44</v>
      </c>
      <c r="H1215" s="5" t="s">
        <v>18</v>
      </c>
      <c r="I1215" s="7" t="s">
        <v>3515</v>
      </c>
      <c r="J1215" s="8" t="s">
        <v>13</v>
      </c>
    </row>
    <row r="1216">
      <c r="A1216" s="5" t="s">
        <v>3516</v>
      </c>
      <c r="B1216" s="5" t="s">
        <v>110</v>
      </c>
      <c r="C1216" s="6" t="s">
        <v>13</v>
      </c>
      <c r="D1216" s="5" t="s">
        <v>3510</v>
      </c>
      <c r="E1216" s="5" t="s">
        <v>257</v>
      </c>
      <c r="F1216" s="5" t="s">
        <v>166</v>
      </c>
      <c r="G1216" s="5" t="s">
        <v>44</v>
      </c>
      <c r="H1216" s="5" t="s">
        <v>18</v>
      </c>
      <c r="I1216" s="7" t="s">
        <v>3517</v>
      </c>
      <c r="J1216" s="8" t="s">
        <v>13</v>
      </c>
    </row>
    <row r="1217">
      <c r="A1217" s="5" t="s">
        <v>3518</v>
      </c>
      <c r="B1217" s="5" t="s">
        <v>110</v>
      </c>
      <c r="C1217" s="6" t="s">
        <v>13</v>
      </c>
      <c r="D1217" s="5" t="s">
        <v>3510</v>
      </c>
      <c r="E1217" s="5" t="s">
        <v>165</v>
      </c>
      <c r="F1217" s="5" t="s">
        <v>166</v>
      </c>
      <c r="G1217" s="5" t="s">
        <v>44</v>
      </c>
      <c r="H1217" s="5" t="s">
        <v>18</v>
      </c>
      <c r="I1217" s="7" t="s">
        <v>3519</v>
      </c>
      <c r="J1217" s="8" t="s">
        <v>13</v>
      </c>
    </row>
    <row r="1218">
      <c r="A1218" s="5" t="s">
        <v>3520</v>
      </c>
      <c r="B1218" s="5" t="s">
        <v>800</v>
      </c>
      <c r="C1218" s="6" t="s">
        <v>13</v>
      </c>
      <c r="D1218" s="5" t="s">
        <v>3510</v>
      </c>
      <c r="E1218" s="5" t="s">
        <v>472</v>
      </c>
      <c r="F1218" s="5" t="s">
        <v>166</v>
      </c>
      <c r="G1218" s="5" t="s">
        <v>44</v>
      </c>
      <c r="H1218" s="5" t="s">
        <v>18</v>
      </c>
      <c r="I1218" s="7" t="s">
        <v>3521</v>
      </c>
      <c r="J1218" s="8" t="s">
        <v>13</v>
      </c>
    </row>
    <row r="1219">
      <c r="A1219" s="5" t="s">
        <v>3522</v>
      </c>
      <c r="B1219" s="5" t="s">
        <v>110</v>
      </c>
      <c r="C1219" s="6" t="s">
        <v>13</v>
      </c>
      <c r="D1219" s="5" t="s">
        <v>3510</v>
      </c>
      <c r="E1219" s="5" t="s">
        <v>339</v>
      </c>
      <c r="F1219" s="5" t="s">
        <v>169</v>
      </c>
      <c r="G1219" s="5" t="s">
        <v>44</v>
      </c>
      <c r="H1219" s="5" t="s">
        <v>18</v>
      </c>
      <c r="I1219" s="7" t="s">
        <v>3523</v>
      </c>
      <c r="J1219" s="8" t="s">
        <v>13</v>
      </c>
    </row>
    <row r="1220">
      <c r="A1220" s="5" t="s">
        <v>3524</v>
      </c>
      <c r="B1220" s="5" t="s">
        <v>3525</v>
      </c>
      <c r="C1220" s="6" t="s">
        <v>13</v>
      </c>
      <c r="D1220" s="5" t="s">
        <v>3510</v>
      </c>
      <c r="E1220" s="5" t="s">
        <v>585</v>
      </c>
      <c r="F1220" s="5" t="s">
        <v>169</v>
      </c>
      <c r="G1220" s="5" t="s">
        <v>44</v>
      </c>
      <c r="H1220" s="5" t="s">
        <v>18</v>
      </c>
      <c r="I1220" s="8" t="s">
        <v>3526</v>
      </c>
      <c r="J1220" s="8" t="s">
        <v>13</v>
      </c>
    </row>
    <row r="1221">
      <c r="A1221" s="5" t="s">
        <v>3527</v>
      </c>
      <c r="B1221" s="5" t="s">
        <v>3528</v>
      </c>
      <c r="C1221" s="6" t="s">
        <v>13</v>
      </c>
      <c r="D1221" s="5" t="s">
        <v>3510</v>
      </c>
      <c r="E1221" s="5" t="s">
        <v>144</v>
      </c>
      <c r="F1221" s="5" t="s">
        <v>169</v>
      </c>
      <c r="G1221" s="5" t="s">
        <v>44</v>
      </c>
      <c r="H1221" s="5" t="s">
        <v>18</v>
      </c>
      <c r="I1221" s="8" t="s">
        <v>3529</v>
      </c>
      <c r="J1221" s="8" t="s">
        <v>13</v>
      </c>
    </row>
    <row r="1222">
      <c r="A1222" s="5" t="s">
        <v>3530</v>
      </c>
      <c r="B1222" s="5" t="s">
        <v>110</v>
      </c>
      <c r="C1222" s="6" t="s">
        <v>13</v>
      </c>
      <c r="D1222" s="5" t="s">
        <v>3510</v>
      </c>
      <c r="E1222" s="5" t="s">
        <v>1123</v>
      </c>
      <c r="F1222" s="5" t="s">
        <v>2047</v>
      </c>
      <c r="G1222" s="5" t="s">
        <v>44</v>
      </c>
      <c r="H1222" s="5" t="s">
        <v>18</v>
      </c>
      <c r="I1222" s="7" t="s">
        <v>3531</v>
      </c>
      <c r="J1222" s="8" t="s">
        <v>13</v>
      </c>
    </row>
    <row r="1223">
      <c r="A1223" s="5" t="s">
        <v>3532</v>
      </c>
      <c r="B1223" s="5" t="s">
        <v>110</v>
      </c>
      <c r="C1223" s="6" t="s">
        <v>13</v>
      </c>
      <c r="D1223" s="5" t="s">
        <v>3510</v>
      </c>
      <c r="E1223" s="5" t="s">
        <v>131</v>
      </c>
      <c r="F1223" s="5" t="s">
        <v>2047</v>
      </c>
      <c r="G1223" s="5" t="s">
        <v>44</v>
      </c>
      <c r="H1223" s="5" t="s">
        <v>18</v>
      </c>
      <c r="I1223" s="7" t="s">
        <v>3533</v>
      </c>
      <c r="J1223" s="8" t="s">
        <v>13</v>
      </c>
    </row>
    <row r="1224">
      <c r="A1224" s="5" t="s">
        <v>3534</v>
      </c>
      <c r="B1224" s="5" t="s">
        <v>3535</v>
      </c>
      <c r="C1224" s="6" t="s">
        <v>13</v>
      </c>
      <c r="D1224" s="5" t="s">
        <v>3510</v>
      </c>
      <c r="E1224" s="5" t="s">
        <v>354</v>
      </c>
      <c r="F1224" s="5" t="s">
        <v>2047</v>
      </c>
      <c r="G1224" s="5" t="s">
        <v>44</v>
      </c>
      <c r="H1224" s="5" t="s">
        <v>18</v>
      </c>
      <c r="I1224" s="7" t="s">
        <v>3536</v>
      </c>
      <c r="J1224" s="8" t="s">
        <v>13</v>
      </c>
    </row>
    <row r="1225">
      <c r="A1225" s="5" t="s">
        <v>3537</v>
      </c>
      <c r="B1225" s="5" t="s">
        <v>110</v>
      </c>
      <c r="C1225" s="6" t="s">
        <v>13</v>
      </c>
      <c r="D1225" s="5" t="s">
        <v>3510</v>
      </c>
      <c r="F1225" s="5" t="s">
        <v>2047</v>
      </c>
      <c r="G1225" s="5" t="s">
        <v>44</v>
      </c>
      <c r="H1225" s="5" t="s">
        <v>18</v>
      </c>
      <c r="I1225" s="7" t="s">
        <v>3538</v>
      </c>
      <c r="J1225" s="8" t="s">
        <v>13</v>
      </c>
    </row>
    <row r="1226">
      <c r="A1226" s="5" t="s">
        <v>3539</v>
      </c>
      <c r="B1226" s="5" t="s">
        <v>32</v>
      </c>
      <c r="C1226" s="6" t="s">
        <v>13</v>
      </c>
      <c r="D1226" s="5" t="s">
        <v>3540</v>
      </c>
      <c r="E1226" s="5" t="s">
        <v>848</v>
      </c>
      <c r="F1226" s="5" t="s">
        <v>80</v>
      </c>
      <c r="G1226" s="5" t="s">
        <v>38</v>
      </c>
      <c r="H1226" s="5" t="s">
        <v>18</v>
      </c>
      <c r="I1226" s="7" t="s">
        <v>3541</v>
      </c>
      <c r="J1226" s="8" t="s">
        <v>13</v>
      </c>
    </row>
    <row r="1227">
      <c r="A1227" s="5" t="s">
        <v>3542</v>
      </c>
      <c r="B1227" s="5" t="s">
        <v>25</v>
      </c>
      <c r="C1227" s="6" t="s">
        <v>13</v>
      </c>
      <c r="D1227" s="5" t="s">
        <v>3540</v>
      </c>
      <c r="E1227" s="5" t="s">
        <v>651</v>
      </c>
      <c r="F1227" s="5" t="s">
        <v>137</v>
      </c>
      <c r="G1227" s="5" t="s">
        <v>137</v>
      </c>
      <c r="H1227" s="5" t="s">
        <v>18</v>
      </c>
      <c r="I1227" s="7" t="s">
        <v>3543</v>
      </c>
      <c r="J1227" s="8" t="s">
        <v>13</v>
      </c>
    </row>
    <row r="1228">
      <c r="A1228" s="5" t="s">
        <v>3544</v>
      </c>
      <c r="B1228" s="5" t="s">
        <v>480</v>
      </c>
      <c r="C1228" s="6" t="s">
        <v>13</v>
      </c>
      <c r="D1228" s="5" t="s">
        <v>3545</v>
      </c>
      <c r="E1228" s="5" t="s">
        <v>1809</v>
      </c>
      <c r="F1228" s="5" t="s">
        <v>3546</v>
      </c>
      <c r="G1228" s="5" t="s">
        <v>184</v>
      </c>
      <c r="H1228" s="5" t="s">
        <v>18</v>
      </c>
      <c r="I1228" s="7" t="s">
        <v>3547</v>
      </c>
      <c r="J1228" s="8" t="s">
        <v>13</v>
      </c>
    </row>
    <row r="1229">
      <c r="A1229" s="5" t="s">
        <v>3548</v>
      </c>
      <c r="B1229" s="5" t="s">
        <v>25</v>
      </c>
      <c r="C1229" s="6" t="s">
        <v>13</v>
      </c>
      <c r="D1229" s="5" t="s">
        <v>3545</v>
      </c>
      <c r="E1229" s="5" t="s">
        <v>1357</v>
      </c>
      <c r="F1229" s="5" t="s">
        <v>37</v>
      </c>
      <c r="G1229" s="5" t="s">
        <v>38</v>
      </c>
      <c r="H1229" s="5" t="s">
        <v>18</v>
      </c>
      <c r="I1229" s="7" t="s">
        <v>3549</v>
      </c>
      <c r="J1229" s="8" t="s">
        <v>13</v>
      </c>
    </row>
    <row r="1230">
      <c r="A1230" s="5" t="s">
        <v>3550</v>
      </c>
      <c r="B1230" s="5" t="s">
        <v>25</v>
      </c>
      <c r="C1230" s="6" t="s">
        <v>13</v>
      </c>
      <c r="D1230" s="5" t="s">
        <v>3545</v>
      </c>
      <c r="E1230" s="5" t="s">
        <v>421</v>
      </c>
      <c r="F1230" s="5" t="s">
        <v>37</v>
      </c>
      <c r="G1230" s="5" t="s">
        <v>38</v>
      </c>
      <c r="H1230" s="5" t="s">
        <v>18</v>
      </c>
      <c r="I1230" s="7" t="s">
        <v>3551</v>
      </c>
      <c r="J1230" s="8" t="s">
        <v>13</v>
      </c>
    </row>
    <row r="1231">
      <c r="A1231" s="5" t="s">
        <v>3552</v>
      </c>
      <c r="B1231" s="5" t="s">
        <v>991</v>
      </c>
      <c r="C1231" s="6" t="s">
        <v>13</v>
      </c>
      <c r="D1231" s="5" t="s">
        <v>3545</v>
      </c>
      <c r="E1231" s="5" t="s">
        <v>136</v>
      </c>
      <c r="F1231" s="5" t="s">
        <v>3209</v>
      </c>
      <c r="G1231" s="5" t="s">
        <v>102</v>
      </c>
      <c r="H1231" s="5" t="s">
        <v>18</v>
      </c>
      <c r="I1231" s="7" t="s">
        <v>3553</v>
      </c>
      <c r="J1231" s="8" t="s">
        <v>13</v>
      </c>
    </row>
    <row r="1232">
      <c r="A1232" s="5" t="s">
        <v>3554</v>
      </c>
      <c r="B1232" s="5" t="s">
        <v>480</v>
      </c>
      <c r="C1232" s="6" t="s">
        <v>13</v>
      </c>
      <c r="D1232" s="5" t="s">
        <v>3545</v>
      </c>
      <c r="E1232" s="5" t="s">
        <v>207</v>
      </c>
      <c r="F1232" s="5" t="s">
        <v>377</v>
      </c>
      <c r="G1232" s="5" t="s">
        <v>378</v>
      </c>
      <c r="H1232" s="5" t="s">
        <v>18</v>
      </c>
      <c r="I1232" s="7" t="s">
        <v>3555</v>
      </c>
      <c r="J1232" s="8" t="s">
        <v>13</v>
      </c>
    </row>
    <row r="1233">
      <c r="A1233" s="5" t="s">
        <v>3556</v>
      </c>
      <c r="B1233" s="5" t="s">
        <v>25</v>
      </c>
      <c r="C1233" s="6" t="s">
        <v>13</v>
      </c>
      <c r="D1233" s="5" t="s">
        <v>3545</v>
      </c>
      <c r="E1233" s="5" t="s">
        <v>523</v>
      </c>
      <c r="F1233" s="6" t="s">
        <v>377</v>
      </c>
      <c r="G1233" s="6" t="s">
        <v>378</v>
      </c>
      <c r="H1233" s="5" t="s">
        <v>18</v>
      </c>
      <c r="I1233" s="7" t="s">
        <v>3557</v>
      </c>
      <c r="J1233" s="8" t="s">
        <v>13</v>
      </c>
    </row>
    <row r="1234">
      <c r="A1234" s="5" t="s">
        <v>3558</v>
      </c>
      <c r="B1234" s="5" t="s">
        <v>480</v>
      </c>
      <c r="C1234" s="6" t="s">
        <v>13</v>
      </c>
      <c r="D1234" s="5" t="s">
        <v>3545</v>
      </c>
      <c r="E1234" s="5" t="s">
        <v>3559</v>
      </c>
      <c r="F1234" s="6" t="s">
        <v>64</v>
      </c>
      <c r="G1234" s="6" t="s">
        <v>65</v>
      </c>
      <c r="H1234" s="5" t="s">
        <v>18</v>
      </c>
      <c r="I1234" s="7" t="s">
        <v>3560</v>
      </c>
      <c r="J1234" s="8" t="s">
        <v>13</v>
      </c>
    </row>
    <row r="1235">
      <c r="A1235" s="5" t="s">
        <v>3561</v>
      </c>
      <c r="B1235" s="5" t="s">
        <v>480</v>
      </c>
      <c r="C1235" s="6" t="s">
        <v>13</v>
      </c>
      <c r="D1235" s="5" t="s">
        <v>3545</v>
      </c>
      <c r="E1235" s="5" t="s">
        <v>691</v>
      </c>
      <c r="F1235" s="5" t="s">
        <v>3562</v>
      </c>
      <c r="G1235" s="5" t="s">
        <v>44</v>
      </c>
      <c r="H1235" s="5" t="s">
        <v>18</v>
      </c>
      <c r="I1235" s="7" t="s">
        <v>3563</v>
      </c>
      <c r="J1235" s="8" t="s">
        <v>13</v>
      </c>
    </row>
    <row r="1236">
      <c r="A1236" s="5" t="s">
        <v>3564</v>
      </c>
      <c r="B1236" s="5" t="s">
        <v>110</v>
      </c>
      <c r="C1236" s="6" t="s">
        <v>13</v>
      </c>
      <c r="D1236" s="5" t="s">
        <v>3545</v>
      </c>
      <c r="E1236" s="5" t="s">
        <v>125</v>
      </c>
      <c r="F1236" s="5" t="s">
        <v>80</v>
      </c>
      <c r="G1236" s="5" t="s">
        <v>38</v>
      </c>
      <c r="H1236" s="5" t="s">
        <v>18</v>
      </c>
      <c r="I1236" s="7" t="s">
        <v>3565</v>
      </c>
      <c r="J1236" s="8" t="s">
        <v>13</v>
      </c>
    </row>
    <row r="1237">
      <c r="A1237" s="5" t="s">
        <v>3566</v>
      </c>
      <c r="B1237" s="5" t="s">
        <v>480</v>
      </c>
      <c r="C1237" s="6" t="s">
        <v>13</v>
      </c>
      <c r="D1237" s="5" t="s">
        <v>3545</v>
      </c>
      <c r="E1237" s="5" t="s">
        <v>585</v>
      </c>
      <c r="F1237" s="5" t="s">
        <v>80</v>
      </c>
      <c r="G1237" s="5" t="s">
        <v>38</v>
      </c>
      <c r="H1237" s="5" t="s">
        <v>18</v>
      </c>
      <c r="I1237" s="7" t="s">
        <v>3567</v>
      </c>
      <c r="J1237" s="8" t="s">
        <v>13</v>
      </c>
    </row>
    <row r="1238">
      <c r="A1238" s="5" t="s">
        <v>3568</v>
      </c>
      <c r="B1238" s="5" t="s">
        <v>480</v>
      </c>
      <c r="C1238" s="6" t="s">
        <v>13</v>
      </c>
      <c r="D1238" s="5" t="s">
        <v>3545</v>
      </c>
      <c r="E1238" s="5" t="s">
        <v>774</v>
      </c>
      <c r="F1238" s="5" t="s">
        <v>112</v>
      </c>
      <c r="G1238" s="5" t="s">
        <v>38</v>
      </c>
      <c r="H1238" s="5" t="s">
        <v>18</v>
      </c>
      <c r="I1238" s="7" t="s">
        <v>3569</v>
      </c>
      <c r="J1238" s="8" t="s">
        <v>13</v>
      </c>
    </row>
    <row r="1239">
      <c r="A1239" s="5" t="s">
        <v>3570</v>
      </c>
      <c r="B1239" s="5" t="s">
        <v>480</v>
      </c>
      <c r="C1239" s="6" t="s">
        <v>13</v>
      </c>
      <c r="D1239" s="5" t="s">
        <v>3545</v>
      </c>
      <c r="E1239" s="5" t="s">
        <v>63</v>
      </c>
      <c r="F1239" s="5" t="s">
        <v>3571</v>
      </c>
      <c r="G1239" s="5" t="s">
        <v>3572</v>
      </c>
      <c r="H1239" s="5" t="s">
        <v>18</v>
      </c>
      <c r="I1239" s="7" t="s">
        <v>3573</v>
      </c>
      <c r="J1239" s="8" t="s">
        <v>13</v>
      </c>
    </row>
    <row r="1240">
      <c r="A1240" s="5" t="s">
        <v>3574</v>
      </c>
      <c r="B1240" s="5" t="s">
        <v>480</v>
      </c>
      <c r="C1240" s="6" t="s">
        <v>13</v>
      </c>
      <c r="D1240" s="5" t="s">
        <v>3545</v>
      </c>
      <c r="E1240" s="5" t="s">
        <v>554</v>
      </c>
      <c r="F1240" s="5" t="s">
        <v>122</v>
      </c>
      <c r="G1240" s="5" t="s">
        <v>44</v>
      </c>
      <c r="H1240" s="5" t="s">
        <v>18</v>
      </c>
      <c r="I1240" s="7" t="s">
        <v>3575</v>
      </c>
      <c r="J1240" s="8" t="s">
        <v>13</v>
      </c>
    </row>
    <row r="1241">
      <c r="A1241" s="5" t="s">
        <v>3576</v>
      </c>
      <c r="B1241" s="5" t="s">
        <v>3577</v>
      </c>
      <c r="C1241" s="6" t="s">
        <v>13</v>
      </c>
      <c r="D1241" s="5" t="s">
        <v>3545</v>
      </c>
      <c r="E1241" s="5" t="s">
        <v>3578</v>
      </c>
      <c r="F1241" s="5" t="s">
        <v>3579</v>
      </c>
      <c r="G1241" s="5" t="s">
        <v>378</v>
      </c>
      <c r="H1241" s="5" t="s">
        <v>18</v>
      </c>
      <c r="I1241" s="7" t="s">
        <v>3580</v>
      </c>
      <c r="J1241" s="8" t="s">
        <v>13</v>
      </c>
    </row>
    <row r="1242">
      <c r="A1242" s="5" t="s">
        <v>3581</v>
      </c>
      <c r="B1242" s="5" t="s">
        <v>110</v>
      </c>
      <c r="C1242" s="6" t="s">
        <v>13</v>
      </c>
      <c r="D1242" s="5" t="s">
        <v>3545</v>
      </c>
      <c r="E1242" s="5" t="s">
        <v>365</v>
      </c>
      <c r="F1242" s="5" t="s">
        <v>1859</v>
      </c>
      <c r="G1242" s="5" t="s">
        <v>44</v>
      </c>
      <c r="H1242" s="5" t="s">
        <v>18</v>
      </c>
      <c r="I1242" s="7" t="s">
        <v>3582</v>
      </c>
      <c r="J1242" s="8" t="s">
        <v>13</v>
      </c>
    </row>
    <row r="1243">
      <c r="A1243" s="5" t="s">
        <v>3583</v>
      </c>
      <c r="B1243" s="5" t="s">
        <v>3584</v>
      </c>
      <c r="C1243" s="6" t="s">
        <v>13</v>
      </c>
      <c r="D1243" s="5" t="s">
        <v>3585</v>
      </c>
      <c r="E1243" s="5" t="s">
        <v>418</v>
      </c>
      <c r="F1243" s="5" t="s">
        <v>37</v>
      </c>
      <c r="G1243" s="5" t="s">
        <v>38</v>
      </c>
      <c r="H1243" s="5" t="s">
        <v>18</v>
      </c>
      <c r="I1243" s="8" t="s">
        <v>3586</v>
      </c>
      <c r="J1243" s="8" t="s">
        <v>13</v>
      </c>
    </row>
    <row r="1244">
      <c r="A1244" s="5" t="s">
        <v>3587</v>
      </c>
      <c r="B1244" s="5" t="s">
        <v>110</v>
      </c>
      <c r="C1244" s="6" t="s">
        <v>13</v>
      </c>
      <c r="D1244" s="5" t="s">
        <v>3585</v>
      </c>
      <c r="E1244" s="5" t="s">
        <v>441</v>
      </c>
      <c r="F1244" s="5" t="s">
        <v>166</v>
      </c>
      <c r="G1244" s="5" t="s">
        <v>44</v>
      </c>
      <c r="H1244" s="5" t="s">
        <v>18</v>
      </c>
      <c r="I1244" s="7" t="s">
        <v>3588</v>
      </c>
      <c r="J1244" s="8" t="s">
        <v>13</v>
      </c>
    </row>
    <row r="1245">
      <c r="A1245" s="5" t="s">
        <v>3589</v>
      </c>
      <c r="B1245" s="5" t="s">
        <v>110</v>
      </c>
      <c r="C1245" s="6" t="s">
        <v>13</v>
      </c>
      <c r="D1245" s="5" t="s">
        <v>3585</v>
      </c>
      <c r="E1245" s="5" t="s">
        <v>651</v>
      </c>
      <c r="F1245" s="5" t="s">
        <v>166</v>
      </c>
      <c r="G1245" s="5" t="s">
        <v>44</v>
      </c>
      <c r="H1245" s="5" t="s">
        <v>18</v>
      </c>
      <c r="I1245" s="7" t="s">
        <v>3590</v>
      </c>
      <c r="J1245" s="8" t="s">
        <v>13</v>
      </c>
    </row>
    <row r="1246">
      <c r="A1246" s="5" t="s">
        <v>3591</v>
      </c>
      <c r="B1246" s="5" t="s">
        <v>110</v>
      </c>
      <c r="C1246" s="6" t="s">
        <v>13</v>
      </c>
      <c r="D1246" s="5" t="s">
        <v>3585</v>
      </c>
      <c r="E1246" s="5" t="s">
        <v>441</v>
      </c>
      <c r="F1246" s="5" t="s">
        <v>169</v>
      </c>
      <c r="G1246" s="5" t="s">
        <v>44</v>
      </c>
      <c r="H1246" s="5" t="s">
        <v>18</v>
      </c>
      <c r="I1246" s="7" t="s">
        <v>3592</v>
      </c>
      <c r="J1246" s="8" t="s">
        <v>13</v>
      </c>
    </row>
    <row r="1247">
      <c r="A1247" s="5" t="s">
        <v>3593</v>
      </c>
      <c r="B1247" s="5" t="s">
        <v>3594</v>
      </c>
      <c r="C1247" s="6" t="s">
        <v>13</v>
      </c>
      <c r="D1247" s="5" t="s">
        <v>3595</v>
      </c>
      <c r="E1247" s="5" t="s">
        <v>651</v>
      </c>
      <c r="F1247" s="6" t="s">
        <v>377</v>
      </c>
      <c r="G1247" s="6" t="s">
        <v>378</v>
      </c>
      <c r="H1247" s="5" t="s">
        <v>18</v>
      </c>
      <c r="I1247" s="7" t="s">
        <v>3596</v>
      </c>
      <c r="J1247" s="8" t="s">
        <v>13</v>
      </c>
    </row>
    <row r="1248">
      <c r="A1248" s="5" t="s">
        <v>3597</v>
      </c>
      <c r="B1248" s="5" t="s">
        <v>25</v>
      </c>
      <c r="C1248" s="6" t="s">
        <v>13</v>
      </c>
      <c r="D1248" s="5" t="s">
        <v>3595</v>
      </c>
      <c r="E1248" s="5" t="s">
        <v>1289</v>
      </c>
      <c r="F1248" s="5" t="s">
        <v>3598</v>
      </c>
      <c r="G1248" s="5" t="s">
        <v>378</v>
      </c>
      <c r="H1248" s="5" t="s">
        <v>18</v>
      </c>
      <c r="I1248" s="7" t="s">
        <v>3599</v>
      </c>
      <c r="J1248" s="8" t="s">
        <v>13</v>
      </c>
    </row>
    <row r="1249">
      <c r="A1249" s="5" t="s">
        <v>3600</v>
      </c>
      <c r="B1249" s="5" t="s">
        <v>25</v>
      </c>
      <c r="C1249" s="6" t="s">
        <v>13</v>
      </c>
      <c r="D1249" s="5" t="s">
        <v>3595</v>
      </c>
      <c r="E1249" s="5" t="s">
        <v>585</v>
      </c>
      <c r="F1249" s="5" t="s">
        <v>311</v>
      </c>
      <c r="G1249" s="5" t="s">
        <v>102</v>
      </c>
      <c r="H1249" s="5" t="s">
        <v>18</v>
      </c>
      <c r="I1249" s="7" t="s">
        <v>3601</v>
      </c>
      <c r="J1249" s="8" t="s">
        <v>13</v>
      </c>
    </row>
    <row r="1250">
      <c r="A1250" s="5" t="s">
        <v>3602</v>
      </c>
      <c r="B1250" s="5" t="s">
        <v>3603</v>
      </c>
      <c r="C1250" s="6" t="s">
        <v>13</v>
      </c>
      <c r="D1250" s="5" t="s">
        <v>3595</v>
      </c>
      <c r="E1250" s="5" t="s">
        <v>425</v>
      </c>
      <c r="F1250" s="5" t="s">
        <v>112</v>
      </c>
      <c r="G1250" s="5" t="s">
        <v>38</v>
      </c>
      <c r="H1250" s="5" t="s">
        <v>18</v>
      </c>
      <c r="I1250" s="7" t="s">
        <v>3604</v>
      </c>
      <c r="J1250" s="8" t="s">
        <v>13</v>
      </c>
    </row>
    <row r="1251">
      <c r="A1251" s="5" t="s">
        <v>3605</v>
      </c>
      <c r="B1251" s="5" t="s">
        <v>3606</v>
      </c>
      <c r="C1251" s="6" t="s">
        <v>13</v>
      </c>
      <c r="D1251" s="5" t="s">
        <v>3595</v>
      </c>
      <c r="E1251" s="5" t="s">
        <v>484</v>
      </c>
      <c r="F1251" s="5" t="s">
        <v>112</v>
      </c>
      <c r="G1251" s="5" t="s">
        <v>38</v>
      </c>
      <c r="H1251" s="5" t="s">
        <v>18</v>
      </c>
      <c r="I1251" s="7" t="s">
        <v>3607</v>
      </c>
      <c r="J1251" s="8" t="s">
        <v>13</v>
      </c>
    </row>
    <row r="1252">
      <c r="A1252" s="5" t="s">
        <v>3608</v>
      </c>
      <c r="B1252" s="5" t="s">
        <v>3609</v>
      </c>
      <c r="C1252" s="6" t="s">
        <v>13</v>
      </c>
      <c r="D1252" s="5" t="s">
        <v>3595</v>
      </c>
      <c r="E1252" s="5" t="s">
        <v>387</v>
      </c>
      <c r="F1252" s="6" t="s">
        <v>3610</v>
      </c>
      <c r="G1252" s="6" t="s">
        <v>954</v>
      </c>
      <c r="H1252" s="5" t="s">
        <v>18</v>
      </c>
      <c r="I1252" s="7" t="s">
        <v>3611</v>
      </c>
      <c r="J1252" s="8" t="s">
        <v>13</v>
      </c>
    </row>
    <row r="1253">
      <c r="A1253" s="5" t="s">
        <v>3612</v>
      </c>
      <c r="B1253" s="5" t="s">
        <v>110</v>
      </c>
      <c r="C1253" s="6" t="s">
        <v>13</v>
      </c>
      <c r="D1253" s="5" t="s">
        <v>3613</v>
      </c>
      <c r="E1253" s="5" t="s">
        <v>165</v>
      </c>
      <c r="F1253" s="5" t="s">
        <v>166</v>
      </c>
      <c r="G1253" s="5" t="s">
        <v>44</v>
      </c>
      <c r="H1253" s="5" t="s">
        <v>18</v>
      </c>
      <c r="I1253" s="7" t="s">
        <v>3614</v>
      </c>
      <c r="J1253" s="8" t="s">
        <v>13</v>
      </c>
    </row>
    <row r="1254">
      <c r="A1254" s="5" t="s">
        <v>3615</v>
      </c>
      <c r="B1254" s="5" t="s">
        <v>110</v>
      </c>
      <c r="C1254" s="6" t="s">
        <v>13</v>
      </c>
      <c r="D1254" s="5" t="s">
        <v>3613</v>
      </c>
      <c r="E1254" s="5" t="s">
        <v>165</v>
      </c>
      <c r="F1254" s="5" t="s">
        <v>166</v>
      </c>
      <c r="G1254" s="5" t="s">
        <v>44</v>
      </c>
      <c r="H1254" s="5" t="s">
        <v>18</v>
      </c>
      <c r="I1254" s="7" t="s">
        <v>3616</v>
      </c>
      <c r="J1254" s="8" t="s">
        <v>13</v>
      </c>
    </row>
    <row r="1255">
      <c r="A1255" s="5" t="s">
        <v>3617</v>
      </c>
      <c r="B1255" s="5" t="s">
        <v>110</v>
      </c>
      <c r="C1255" s="6" t="s">
        <v>13</v>
      </c>
      <c r="D1255" s="5" t="s">
        <v>3613</v>
      </c>
      <c r="E1255" s="5" t="s">
        <v>188</v>
      </c>
      <c r="F1255" s="5" t="s">
        <v>166</v>
      </c>
      <c r="G1255" s="5" t="s">
        <v>44</v>
      </c>
      <c r="H1255" s="5" t="s">
        <v>18</v>
      </c>
      <c r="I1255" s="7" t="s">
        <v>3618</v>
      </c>
      <c r="J1255" s="8" t="s">
        <v>13</v>
      </c>
    </row>
    <row r="1256">
      <c r="A1256" s="5" t="s">
        <v>3619</v>
      </c>
      <c r="B1256" s="5" t="s">
        <v>110</v>
      </c>
      <c r="C1256" s="6" t="s">
        <v>13</v>
      </c>
      <c r="D1256" s="5" t="s">
        <v>3613</v>
      </c>
      <c r="E1256" s="5" t="s">
        <v>421</v>
      </c>
      <c r="F1256" s="5" t="s">
        <v>166</v>
      </c>
      <c r="G1256" s="5" t="s">
        <v>44</v>
      </c>
      <c r="H1256" s="5" t="s">
        <v>18</v>
      </c>
      <c r="I1256" s="7" t="s">
        <v>3620</v>
      </c>
      <c r="J1256" s="8" t="s">
        <v>13</v>
      </c>
    </row>
    <row r="1257">
      <c r="A1257" s="5" t="s">
        <v>3621</v>
      </c>
      <c r="B1257" s="5" t="s">
        <v>3622</v>
      </c>
      <c r="C1257" s="6" t="s">
        <v>13</v>
      </c>
      <c r="D1257" s="5" t="s">
        <v>3613</v>
      </c>
      <c r="E1257" s="5" t="s">
        <v>144</v>
      </c>
      <c r="F1257" s="5" t="s">
        <v>1135</v>
      </c>
      <c r="G1257" s="5" t="s">
        <v>44</v>
      </c>
      <c r="H1257" s="5" t="s">
        <v>18</v>
      </c>
      <c r="I1257" s="7" t="s">
        <v>3623</v>
      </c>
      <c r="J1257" s="8" t="s">
        <v>13</v>
      </c>
    </row>
    <row r="1258">
      <c r="A1258" s="5" t="s">
        <v>3624</v>
      </c>
      <c r="B1258" s="5" t="s">
        <v>3625</v>
      </c>
      <c r="C1258" s="6" t="s">
        <v>13</v>
      </c>
      <c r="D1258" s="5" t="s">
        <v>3626</v>
      </c>
      <c r="E1258" s="5" t="s">
        <v>2650</v>
      </c>
      <c r="F1258" s="5" t="s">
        <v>3627</v>
      </c>
      <c r="G1258" s="5" t="s">
        <v>76</v>
      </c>
      <c r="H1258" s="5" t="s">
        <v>18</v>
      </c>
      <c r="I1258" s="7" t="s">
        <v>3628</v>
      </c>
      <c r="J1258" s="8" t="s">
        <v>13</v>
      </c>
    </row>
    <row r="1259">
      <c r="A1259" s="5" t="s">
        <v>3629</v>
      </c>
      <c r="B1259" s="5" t="s">
        <v>3630</v>
      </c>
      <c r="C1259" s="6" t="s">
        <v>13</v>
      </c>
      <c r="D1259" s="5" t="s">
        <v>3626</v>
      </c>
      <c r="E1259" s="5" t="s">
        <v>144</v>
      </c>
      <c r="F1259" s="5" t="s">
        <v>635</v>
      </c>
      <c r="G1259" s="5" t="s">
        <v>76</v>
      </c>
      <c r="H1259" s="5" t="s">
        <v>18</v>
      </c>
      <c r="I1259" s="7" t="s">
        <v>3631</v>
      </c>
      <c r="J1259" s="8" t="s">
        <v>13</v>
      </c>
    </row>
    <row r="1260">
      <c r="A1260" s="5" t="s">
        <v>3632</v>
      </c>
      <c r="B1260" s="5" t="s">
        <v>480</v>
      </c>
      <c r="C1260" s="6" t="s">
        <v>13</v>
      </c>
      <c r="D1260" s="5" t="s">
        <v>3626</v>
      </c>
      <c r="E1260" s="5" t="s">
        <v>48</v>
      </c>
      <c r="F1260" s="5" t="s">
        <v>635</v>
      </c>
      <c r="G1260" s="5" t="s">
        <v>76</v>
      </c>
      <c r="H1260" s="5" t="s">
        <v>18</v>
      </c>
      <c r="I1260" s="7" t="s">
        <v>3633</v>
      </c>
      <c r="J1260" s="8" t="s">
        <v>13</v>
      </c>
    </row>
    <row r="1261">
      <c r="A1261" s="5" t="s">
        <v>3634</v>
      </c>
      <c r="B1261" s="5" t="s">
        <v>3630</v>
      </c>
      <c r="C1261" s="6" t="s">
        <v>13</v>
      </c>
      <c r="D1261" s="5" t="s">
        <v>3626</v>
      </c>
      <c r="E1261" s="5" t="s">
        <v>26</v>
      </c>
      <c r="F1261" s="5" t="s">
        <v>3635</v>
      </c>
      <c r="G1261" s="5" t="s">
        <v>76</v>
      </c>
      <c r="H1261" s="5" t="s">
        <v>18</v>
      </c>
      <c r="I1261" s="7" t="s">
        <v>3636</v>
      </c>
      <c r="J1261" s="8" t="s">
        <v>13</v>
      </c>
    </row>
    <row r="1262">
      <c r="A1262" s="5" t="s">
        <v>3637</v>
      </c>
      <c r="B1262" s="5" t="s">
        <v>371</v>
      </c>
      <c r="C1262" s="6" t="s">
        <v>13</v>
      </c>
      <c r="D1262" s="5" t="s">
        <v>3638</v>
      </c>
      <c r="E1262" s="5" t="s">
        <v>512</v>
      </c>
      <c r="F1262" s="5" t="s">
        <v>16</v>
      </c>
      <c r="G1262" s="5" t="s">
        <v>17</v>
      </c>
      <c r="H1262" s="5" t="s">
        <v>18</v>
      </c>
      <c r="I1262" s="7" t="s">
        <v>3639</v>
      </c>
      <c r="J1262" s="8" t="s">
        <v>13</v>
      </c>
    </row>
    <row r="1263">
      <c r="A1263" s="5" t="s">
        <v>3640</v>
      </c>
      <c r="B1263" s="5" t="s">
        <v>25</v>
      </c>
      <c r="C1263" s="6" t="s">
        <v>13</v>
      </c>
      <c r="D1263" s="5" t="s">
        <v>3638</v>
      </c>
      <c r="E1263" s="5" t="s">
        <v>136</v>
      </c>
      <c r="F1263" s="5" t="s">
        <v>112</v>
      </c>
      <c r="G1263" s="5" t="s">
        <v>38</v>
      </c>
      <c r="H1263" s="5" t="s">
        <v>18</v>
      </c>
      <c r="I1263" s="7" t="s">
        <v>3641</v>
      </c>
      <c r="J1263" s="8" t="s">
        <v>13</v>
      </c>
    </row>
    <row r="1264">
      <c r="A1264" s="5" t="s">
        <v>3642</v>
      </c>
      <c r="B1264" s="5" t="s">
        <v>371</v>
      </c>
      <c r="C1264" s="6" t="s">
        <v>13</v>
      </c>
      <c r="D1264" s="5" t="s">
        <v>3638</v>
      </c>
      <c r="E1264" s="5" t="s">
        <v>175</v>
      </c>
      <c r="F1264" s="5" t="s">
        <v>137</v>
      </c>
      <c r="G1264" s="5" t="s">
        <v>137</v>
      </c>
      <c r="H1264" s="5" t="s">
        <v>18</v>
      </c>
      <c r="I1264" s="7" t="s">
        <v>3643</v>
      </c>
      <c r="J1264" s="8" t="s">
        <v>13</v>
      </c>
    </row>
    <row r="1265">
      <c r="A1265" s="5" t="s">
        <v>2913</v>
      </c>
      <c r="B1265" s="5" t="s">
        <v>25</v>
      </c>
      <c r="C1265" s="6" t="s">
        <v>13</v>
      </c>
      <c r="D1265" s="5" t="s">
        <v>3638</v>
      </c>
      <c r="F1265" s="5" t="s">
        <v>153</v>
      </c>
      <c r="G1265" s="5" t="s">
        <v>154</v>
      </c>
      <c r="H1265" s="5" t="s">
        <v>18</v>
      </c>
      <c r="I1265" s="7" t="s">
        <v>3644</v>
      </c>
      <c r="J1265" s="8" t="s">
        <v>13</v>
      </c>
    </row>
    <row r="1266">
      <c r="A1266" s="5" t="s">
        <v>3645</v>
      </c>
      <c r="B1266" s="5" t="s">
        <v>371</v>
      </c>
      <c r="C1266" s="6" t="s">
        <v>13</v>
      </c>
      <c r="D1266" s="5" t="s">
        <v>3638</v>
      </c>
      <c r="F1266" s="5" t="s">
        <v>112</v>
      </c>
      <c r="G1266" s="5" t="s">
        <v>38</v>
      </c>
      <c r="H1266" s="5" t="s">
        <v>18</v>
      </c>
      <c r="I1266" s="8" t="s">
        <v>3646</v>
      </c>
      <c r="J1266" s="8" t="s">
        <v>13</v>
      </c>
    </row>
    <row r="1267">
      <c r="A1267" s="5" t="s">
        <v>3647</v>
      </c>
      <c r="B1267" s="5" t="s">
        <v>3648</v>
      </c>
      <c r="C1267" s="6" t="s">
        <v>13</v>
      </c>
      <c r="D1267" s="6" t="s">
        <v>3649</v>
      </c>
      <c r="E1267" s="5" t="s">
        <v>79</v>
      </c>
      <c r="F1267" s="5" t="s">
        <v>80</v>
      </c>
      <c r="G1267" s="5" t="s">
        <v>38</v>
      </c>
      <c r="H1267" s="5" t="s">
        <v>18</v>
      </c>
      <c r="I1267" s="8" t="s">
        <v>3650</v>
      </c>
      <c r="J1267" s="8" t="s">
        <v>13</v>
      </c>
    </row>
    <row r="1268">
      <c r="A1268" s="5" t="s">
        <v>3651</v>
      </c>
      <c r="B1268" s="5" t="s">
        <v>25</v>
      </c>
      <c r="C1268" s="6" t="s">
        <v>13</v>
      </c>
      <c r="D1268" s="6" t="s">
        <v>3649</v>
      </c>
      <c r="E1268" s="5" t="s">
        <v>3652</v>
      </c>
      <c r="F1268" s="5" t="s">
        <v>1304</v>
      </c>
      <c r="G1268" s="5" t="s">
        <v>1305</v>
      </c>
      <c r="H1268" s="5" t="s">
        <v>18</v>
      </c>
      <c r="I1268" s="7" t="s">
        <v>3653</v>
      </c>
      <c r="J1268" s="8" t="s">
        <v>13</v>
      </c>
    </row>
    <row r="1269">
      <c r="A1269" s="5" t="s">
        <v>3654</v>
      </c>
      <c r="B1269" s="5" t="s">
        <v>371</v>
      </c>
      <c r="C1269" s="6" t="s">
        <v>13</v>
      </c>
      <c r="D1269" s="6" t="s">
        <v>3649</v>
      </c>
      <c r="E1269" s="5" t="s">
        <v>3655</v>
      </c>
      <c r="F1269" s="5" t="s">
        <v>112</v>
      </c>
      <c r="G1269" s="5" t="s">
        <v>38</v>
      </c>
      <c r="H1269" s="5" t="s">
        <v>18</v>
      </c>
      <c r="I1269" s="7" t="s">
        <v>3656</v>
      </c>
      <c r="J1269" s="8" t="s">
        <v>13</v>
      </c>
    </row>
    <row r="1270">
      <c r="A1270" s="5" t="s">
        <v>3657</v>
      </c>
      <c r="B1270" s="5" t="s">
        <v>3658</v>
      </c>
      <c r="C1270" s="6" t="s">
        <v>13</v>
      </c>
      <c r="D1270" s="6" t="s">
        <v>3649</v>
      </c>
      <c r="F1270" s="5" t="s">
        <v>1079</v>
      </c>
      <c r="G1270" s="5" t="s">
        <v>259</v>
      </c>
      <c r="H1270" s="5" t="s">
        <v>18</v>
      </c>
      <c r="I1270" s="7" t="s">
        <v>3659</v>
      </c>
      <c r="J1270" s="8" t="s">
        <v>13</v>
      </c>
    </row>
    <row r="1271">
      <c r="A1271" s="5" t="s">
        <v>3660</v>
      </c>
      <c r="B1271" s="5" t="s">
        <v>371</v>
      </c>
      <c r="C1271" s="6" t="s">
        <v>13</v>
      </c>
      <c r="D1271" s="6" t="s">
        <v>3649</v>
      </c>
      <c r="E1271" s="5" t="s">
        <v>3661</v>
      </c>
      <c r="F1271" s="5" t="s">
        <v>3662</v>
      </c>
      <c r="G1271" s="5" t="s">
        <v>3572</v>
      </c>
      <c r="H1271" s="5" t="s">
        <v>18</v>
      </c>
      <c r="I1271" s="8" t="s">
        <v>3663</v>
      </c>
      <c r="J1271" s="8" t="s">
        <v>13</v>
      </c>
    </row>
    <row r="1272">
      <c r="A1272" s="5" t="s">
        <v>3664</v>
      </c>
      <c r="B1272" s="5" t="s">
        <v>371</v>
      </c>
      <c r="C1272" s="6" t="s">
        <v>13</v>
      </c>
      <c r="D1272" s="6" t="s">
        <v>3649</v>
      </c>
      <c r="F1272" s="5" t="s">
        <v>953</v>
      </c>
      <c r="G1272" s="5" t="s">
        <v>954</v>
      </c>
      <c r="H1272" s="5" t="s">
        <v>18</v>
      </c>
      <c r="I1272" s="7" t="s">
        <v>3665</v>
      </c>
      <c r="J1272" s="8" t="s">
        <v>13</v>
      </c>
    </row>
    <row r="1273">
      <c r="A1273" s="5" t="s">
        <v>3666</v>
      </c>
      <c r="B1273" s="5" t="s">
        <v>3667</v>
      </c>
      <c r="C1273" s="6" t="s">
        <v>13</v>
      </c>
      <c r="D1273" s="6" t="s">
        <v>3649</v>
      </c>
      <c r="F1273" s="5" t="s">
        <v>223</v>
      </c>
      <c r="G1273" s="5" t="s">
        <v>224</v>
      </c>
      <c r="H1273" s="5" t="s">
        <v>18</v>
      </c>
      <c r="I1273" s="7" t="s">
        <v>3668</v>
      </c>
      <c r="J1273" s="8" t="s">
        <v>13</v>
      </c>
    </row>
    <row r="1274">
      <c r="A1274" s="5" t="s">
        <v>3669</v>
      </c>
      <c r="B1274" s="5" t="s">
        <v>25</v>
      </c>
      <c r="C1274" s="6" t="s">
        <v>13</v>
      </c>
      <c r="D1274" s="6" t="s">
        <v>3649</v>
      </c>
      <c r="E1274" s="5" t="s">
        <v>3670</v>
      </c>
      <c r="F1274" s="5" t="s">
        <v>1022</v>
      </c>
      <c r="G1274" s="5" t="s">
        <v>264</v>
      </c>
      <c r="H1274" s="5" t="s">
        <v>18</v>
      </c>
      <c r="I1274" s="7" t="s">
        <v>3671</v>
      </c>
      <c r="J1274" s="8" t="s">
        <v>13</v>
      </c>
    </row>
    <row r="1275">
      <c r="A1275" s="5" t="s">
        <v>3672</v>
      </c>
      <c r="B1275" s="5" t="s">
        <v>371</v>
      </c>
      <c r="C1275" s="6" t="s">
        <v>13</v>
      </c>
      <c r="D1275" s="5" t="s">
        <v>3649</v>
      </c>
      <c r="E1275" s="5" t="s">
        <v>106</v>
      </c>
      <c r="F1275" s="5" t="s">
        <v>183</v>
      </c>
      <c r="G1275" s="5" t="s">
        <v>184</v>
      </c>
      <c r="H1275" s="5" t="s">
        <v>18</v>
      </c>
      <c r="I1275" s="7" t="s">
        <v>3673</v>
      </c>
      <c r="J1275" s="8" t="s">
        <v>13</v>
      </c>
    </row>
    <row r="1276">
      <c r="A1276" s="5" t="s">
        <v>3674</v>
      </c>
      <c r="B1276" s="5" t="s">
        <v>371</v>
      </c>
      <c r="C1276" s="6" t="s">
        <v>13</v>
      </c>
      <c r="D1276" s="5" t="s">
        <v>3649</v>
      </c>
      <c r="F1276" s="5" t="s">
        <v>37</v>
      </c>
      <c r="G1276" s="5" t="s">
        <v>38</v>
      </c>
      <c r="H1276" s="5" t="s">
        <v>18</v>
      </c>
      <c r="I1276" s="7" t="s">
        <v>3675</v>
      </c>
      <c r="J1276" s="8" t="s">
        <v>13</v>
      </c>
    </row>
    <row r="1277">
      <c r="A1277" s="5" t="s">
        <v>3676</v>
      </c>
      <c r="B1277" s="5" t="s">
        <v>3677</v>
      </c>
      <c r="C1277" s="6" t="s">
        <v>13</v>
      </c>
      <c r="D1277" s="5" t="s">
        <v>3649</v>
      </c>
      <c r="E1277" s="5" t="s">
        <v>958</v>
      </c>
      <c r="F1277" s="5" t="s">
        <v>377</v>
      </c>
      <c r="G1277" s="5" t="s">
        <v>378</v>
      </c>
      <c r="H1277" s="5" t="s">
        <v>18</v>
      </c>
      <c r="I1277" s="7" t="s">
        <v>3678</v>
      </c>
      <c r="J1277" s="8" t="s">
        <v>13</v>
      </c>
    </row>
    <row r="1278">
      <c r="A1278" s="5" t="s">
        <v>3679</v>
      </c>
      <c r="B1278" s="5" t="s">
        <v>371</v>
      </c>
      <c r="C1278" s="6" t="s">
        <v>13</v>
      </c>
      <c r="D1278" s="5" t="s">
        <v>3649</v>
      </c>
      <c r="E1278" s="5" t="s">
        <v>1398</v>
      </c>
      <c r="F1278" s="5" t="s">
        <v>1532</v>
      </c>
      <c r="G1278" s="5" t="s">
        <v>945</v>
      </c>
      <c r="H1278" s="5" t="s">
        <v>18</v>
      </c>
      <c r="I1278" s="7" t="s">
        <v>3680</v>
      </c>
      <c r="J1278" s="8" t="s">
        <v>13</v>
      </c>
    </row>
    <row r="1279">
      <c r="A1279" s="5" t="s">
        <v>3681</v>
      </c>
      <c r="B1279" s="5" t="s">
        <v>25</v>
      </c>
      <c r="C1279" s="6" t="s">
        <v>13</v>
      </c>
      <c r="D1279" s="5" t="s">
        <v>3649</v>
      </c>
      <c r="E1279" s="5" t="s">
        <v>2650</v>
      </c>
      <c r="F1279" s="5" t="s">
        <v>1532</v>
      </c>
      <c r="G1279" s="5" t="s">
        <v>945</v>
      </c>
      <c r="H1279" s="5" t="s">
        <v>18</v>
      </c>
      <c r="I1279" s="7" t="s">
        <v>3682</v>
      </c>
      <c r="J1279" s="8" t="s">
        <v>13</v>
      </c>
    </row>
    <row r="1280">
      <c r="A1280" s="5" t="s">
        <v>3683</v>
      </c>
      <c r="B1280" s="5" t="s">
        <v>2155</v>
      </c>
      <c r="C1280" s="6" t="s">
        <v>13</v>
      </c>
      <c r="D1280" s="5" t="s">
        <v>3649</v>
      </c>
      <c r="E1280" s="5" t="s">
        <v>574</v>
      </c>
      <c r="F1280" s="6" t="s">
        <v>64</v>
      </c>
      <c r="G1280" s="6" t="s">
        <v>65</v>
      </c>
      <c r="H1280" s="5" t="s">
        <v>18</v>
      </c>
      <c r="I1280" s="8" t="s">
        <v>3684</v>
      </c>
      <c r="J1280" s="8" t="s">
        <v>13</v>
      </c>
    </row>
    <row r="1281">
      <c r="A1281" s="5" t="s">
        <v>3685</v>
      </c>
      <c r="B1281" s="5" t="s">
        <v>371</v>
      </c>
      <c r="C1281" s="6" t="s">
        <v>13</v>
      </c>
      <c r="D1281" s="5" t="s">
        <v>3649</v>
      </c>
      <c r="E1281" s="5" t="s">
        <v>3686</v>
      </c>
      <c r="F1281" s="6" t="s">
        <v>64</v>
      </c>
      <c r="G1281" s="6" t="s">
        <v>65</v>
      </c>
      <c r="H1281" s="5" t="s">
        <v>18</v>
      </c>
      <c r="I1281" s="7" t="s">
        <v>3687</v>
      </c>
      <c r="J1281" s="8" t="s">
        <v>13</v>
      </c>
    </row>
    <row r="1282">
      <c r="A1282" s="5" t="s">
        <v>3688</v>
      </c>
      <c r="B1282" s="5" t="s">
        <v>3689</v>
      </c>
      <c r="C1282" s="6" t="s">
        <v>13</v>
      </c>
      <c r="D1282" s="5" t="s">
        <v>3649</v>
      </c>
      <c r="E1282" s="5" t="s">
        <v>526</v>
      </c>
      <c r="F1282" s="6" t="s">
        <v>64</v>
      </c>
      <c r="G1282" s="6" t="s">
        <v>65</v>
      </c>
      <c r="H1282" s="5" t="s">
        <v>18</v>
      </c>
      <c r="I1282" s="8" t="s">
        <v>3690</v>
      </c>
      <c r="J1282" s="8" t="s">
        <v>13</v>
      </c>
    </row>
    <row r="1283">
      <c r="A1283" s="5" t="s">
        <v>3691</v>
      </c>
      <c r="B1283" s="5" t="s">
        <v>25</v>
      </c>
      <c r="C1283" s="6" t="s">
        <v>13</v>
      </c>
      <c r="D1283" s="5" t="s">
        <v>3649</v>
      </c>
      <c r="F1283" s="6" t="s">
        <v>64</v>
      </c>
      <c r="G1283" s="6" t="s">
        <v>65</v>
      </c>
      <c r="H1283" s="5" t="s">
        <v>18</v>
      </c>
      <c r="I1283" s="7" t="s">
        <v>3692</v>
      </c>
      <c r="J1283" s="8" t="s">
        <v>13</v>
      </c>
    </row>
    <row r="1284">
      <c r="A1284" s="5" t="s">
        <v>3693</v>
      </c>
      <c r="B1284" s="5" t="s">
        <v>25</v>
      </c>
      <c r="C1284" s="6" t="s">
        <v>13</v>
      </c>
      <c r="D1284" s="5" t="s">
        <v>3649</v>
      </c>
      <c r="E1284" s="5" t="s">
        <v>3694</v>
      </c>
      <c r="F1284" s="5" t="s">
        <v>80</v>
      </c>
      <c r="G1284" s="5" t="s">
        <v>38</v>
      </c>
      <c r="H1284" s="5" t="s">
        <v>18</v>
      </c>
      <c r="I1284" s="7" t="s">
        <v>3695</v>
      </c>
      <c r="J1284" s="8" t="s">
        <v>13</v>
      </c>
    </row>
    <row r="1285">
      <c r="A1285" s="5" t="s">
        <v>3696</v>
      </c>
      <c r="B1285" s="5" t="s">
        <v>3697</v>
      </c>
      <c r="C1285" s="6" t="s">
        <v>13</v>
      </c>
      <c r="D1285" s="5" t="s">
        <v>3649</v>
      </c>
      <c r="E1285" s="5" t="s">
        <v>579</v>
      </c>
      <c r="F1285" s="5" t="s">
        <v>80</v>
      </c>
      <c r="G1285" s="5" t="s">
        <v>38</v>
      </c>
      <c r="H1285" s="5" t="s">
        <v>18</v>
      </c>
      <c r="I1285" s="7" t="s">
        <v>3698</v>
      </c>
      <c r="J1285" s="8" t="s">
        <v>13</v>
      </c>
    </row>
    <row r="1286">
      <c r="A1286" s="5" t="s">
        <v>3699</v>
      </c>
      <c r="B1286" s="5" t="s">
        <v>3700</v>
      </c>
      <c r="C1286" s="6" t="s">
        <v>13</v>
      </c>
      <c r="D1286" s="5" t="s">
        <v>3649</v>
      </c>
      <c r="E1286" s="5" t="s">
        <v>832</v>
      </c>
      <c r="F1286" s="5" t="s">
        <v>85</v>
      </c>
      <c r="G1286" s="5" t="s">
        <v>86</v>
      </c>
      <c r="H1286" s="5" t="s">
        <v>18</v>
      </c>
      <c r="I1286" s="7" t="s">
        <v>3701</v>
      </c>
      <c r="J1286" s="8" t="s">
        <v>13</v>
      </c>
    </row>
    <row r="1287">
      <c r="A1287" s="5" t="s">
        <v>3702</v>
      </c>
      <c r="B1287" s="5" t="s">
        <v>3703</v>
      </c>
      <c r="C1287" s="6" t="s">
        <v>13</v>
      </c>
      <c r="D1287" s="5" t="s">
        <v>3649</v>
      </c>
      <c r="E1287" s="5" t="s">
        <v>94</v>
      </c>
      <c r="F1287" s="5" t="s">
        <v>85</v>
      </c>
      <c r="G1287" s="5" t="s">
        <v>86</v>
      </c>
      <c r="H1287" s="5" t="s">
        <v>18</v>
      </c>
      <c r="I1287" s="7" t="s">
        <v>3704</v>
      </c>
      <c r="J1287" s="8" t="s">
        <v>13</v>
      </c>
    </row>
    <row r="1288">
      <c r="A1288" s="5" t="s">
        <v>3702</v>
      </c>
      <c r="B1288" s="5" t="s">
        <v>3703</v>
      </c>
      <c r="C1288" s="6" t="s">
        <v>13</v>
      </c>
      <c r="D1288" s="5" t="s">
        <v>3649</v>
      </c>
      <c r="E1288" s="5" t="s">
        <v>94</v>
      </c>
      <c r="F1288" s="5" t="s">
        <v>85</v>
      </c>
      <c r="G1288" s="5" t="s">
        <v>86</v>
      </c>
      <c r="H1288" s="5" t="s">
        <v>18</v>
      </c>
      <c r="I1288" s="7" t="s">
        <v>3704</v>
      </c>
      <c r="J1288" s="8" t="s">
        <v>13</v>
      </c>
    </row>
    <row r="1289">
      <c r="A1289" s="5" t="s">
        <v>3705</v>
      </c>
      <c r="B1289" s="5" t="s">
        <v>371</v>
      </c>
      <c r="C1289" s="6" t="s">
        <v>13</v>
      </c>
      <c r="D1289" s="5" t="s">
        <v>3649</v>
      </c>
      <c r="E1289" s="5" t="s">
        <v>222</v>
      </c>
      <c r="F1289" s="5" t="s">
        <v>1187</v>
      </c>
      <c r="G1289" s="5" t="s">
        <v>96</v>
      </c>
      <c r="H1289" s="5" t="s">
        <v>18</v>
      </c>
      <c r="I1289" s="7" t="s">
        <v>3706</v>
      </c>
      <c r="J1289" s="8" t="s">
        <v>13</v>
      </c>
    </row>
    <row r="1290">
      <c r="A1290" s="5" t="s">
        <v>3707</v>
      </c>
      <c r="B1290" s="5" t="s">
        <v>371</v>
      </c>
      <c r="C1290" s="6" t="s">
        <v>13</v>
      </c>
      <c r="D1290" s="5" t="s">
        <v>3649</v>
      </c>
      <c r="E1290" s="5" t="s">
        <v>2120</v>
      </c>
      <c r="F1290" s="5" t="s">
        <v>3708</v>
      </c>
      <c r="G1290" s="5" t="s">
        <v>954</v>
      </c>
      <c r="H1290" s="5" t="s">
        <v>18</v>
      </c>
      <c r="I1290" s="8" t="s">
        <v>3709</v>
      </c>
      <c r="J1290" s="8" t="s">
        <v>13</v>
      </c>
    </row>
    <row r="1291">
      <c r="A1291" s="5" t="s">
        <v>3710</v>
      </c>
      <c r="B1291" s="5" t="s">
        <v>25</v>
      </c>
      <c r="C1291" s="6" t="s">
        <v>13</v>
      </c>
      <c r="D1291" s="5" t="s">
        <v>3649</v>
      </c>
      <c r="F1291" s="5" t="s">
        <v>2100</v>
      </c>
      <c r="G1291" s="5" t="s">
        <v>264</v>
      </c>
      <c r="H1291" s="5" t="s">
        <v>18</v>
      </c>
      <c r="I1291" s="7" t="s">
        <v>3711</v>
      </c>
      <c r="J1291" s="8" t="s">
        <v>13</v>
      </c>
    </row>
    <row r="1292">
      <c r="A1292" s="5" t="s">
        <v>3712</v>
      </c>
      <c r="B1292" s="5" t="s">
        <v>3713</v>
      </c>
      <c r="C1292" s="6" t="s">
        <v>13</v>
      </c>
      <c r="D1292" s="5" t="s">
        <v>3649</v>
      </c>
      <c r="E1292" s="5" t="s">
        <v>648</v>
      </c>
      <c r="F1292" s="5" t="s">
        <v>122</v>
      </c>
      <c r="G1292" s="5" t="s">
        <v>44</v>
      </c>
      <c r="H1292" s="5" t="s">
        <v>18</v>
      </c>
      <c r="I1292" s="7" t="s">
        <v>3714</v>
      </c>
      <c r="J1292" s="8" t="s">
        <v>13</v>
      </c>
    </row>
    <row r="1293">
      <c r="A1293" s="5" t="s">
        <v>3715</v>
      </c>
      <c r="B1293" s="5" t="s">
        <v>2801</v>
      </c>
      <c r="C1293" s="6" t="s">
        <v>13</v>
      </c>
      <c r="D1293" s="5" t="s">
        <v>3649</v>
      </c>
      <c r="E1293" s="5" t="s">
        <v>165</v>
      </c>
      <c r="F1293" s="5" t="s">
        <v>3716</v>
      </c>
      <c r="G1293" s="5" t="s">
        <v>378</v>
      </c>
      <c r="H1293" s="5" t="s">
        <v>18</v>
      </c>
      <c r="I1293" s="7" t="s">
        <v>3717</v>
      </c>
      <c r="J1293" s="8" t="s">
        <v>13</v>
      </c>
    </row>
    <row r="1294">
      <c r="A1294" s="5" t="s">
        <v>3718</v>
      </c>
      <c r="B1294" s="5" t="s">
        <v>371</v>
      </c>
      <c r="C1294" s="6" t="s">
        <v>13</v>
      </c>
      <c r="D1294" s="5" t="s">
        <v>3649</v>
      </c>
      <c r="E1294" s="5" t="s">
        <v>648</v>
      </c>
      <c r="F1294" s="5" t="s">
        <v>388</v>
      </c>
      <c r="G1294" s="5" t="s">
        <v>203</v>
      </c>
      <c r="H1294" s="5" t="s">
        <v>18</v>
      </c>
      <c r="I1294" s="7" t="s">
        <v>3719</v>
      </c>
      <c r="J1294" s="8" t="s">
        <v>13</v>
      </c>
    </row>
    <row r="1295">
      <c r="A1295" s="5" t="s">
        <v>3720</v>
      </c>
      <c r="B1295" s="5" t="s">
        <v>3721</v>
      </c>
      <c r="C1295" s="6" t="s">
        <v>13</v>
      </c>
      <c r="D1295" s="5" t="s">
        <v>3649</v>
      </c>
      <c r="E1295" s="5" t="s">
        <v>1300</v>
      </c>
      <c r="F1295" s="5" t="s">
        <v>953</v>
      </c>
      <c r="G1295" s="5" t="s">
        <v>954</v>
      </c>
      <c r="H1295" s="5" t="s">
        <v>18</v>
      </c>
      <c r="I1295" s="7" t="s">
        <v>3722</v>
      </c>
      <c r="J1295" s="8" t="s">
        <v>13</v>
      </c>
    </row>
    <row r="1296">
      <c r="A1296" s="5" t="s">
        <v>3723</v>
      </c>
      <c r="B1296" s="5" t="s">
        <v>3724</v>
      </c>
      <c r="C1296" s="6" t="s">
        <v>13</v>
      </c>
      <c r="D1296" s="5" t="s">
        <v>3649</v>
      </c>
      <c r="E1296" s="5" t="s">
        <v>365</v>
      </c>
      <c r="F1296" s="5" t="s">
        <v>137</v>
      </c>
      <c r="G1296" s="5" t="s">
        <v>137</v>
      </c>
      <c r="H1296" s="5" t="s">
        <v>18</v>
      </c>
      <c r="I1296" s="7" t="s">
        <v>3725</v>
      </c>
      <c r="J1296" s="8" t="s">
        <v>13</v>
      </c>
    </row>
    <row r="1297">
      <c r="A1297" s="5" t="s">
        <v>3726</v>
      </c>
      <c r="B1297" s="5" t="s">
        <v>371</v>
      </c>
      <c r="C1297" s="6" t="s">
        <v>13</v>
      </c>
      <c r="D1297" s="5" t="s">
        <v>3649</v>
      </c>
      <c r="E1297" s="5" t="s">
        <v>339</v>
      </c>
      <c r="F1297" s="5" t="s">
        <v>137</v>
      </c>
      <c r="G1297" s="5" t="s">
        <v>137</v>
      </c>
      <c r="H1297" s="5" t="s">
        <v>18</v>
      </c>
      <c r="I1297" s="7" t="s">
        <v>3727</v>
      </c>
      <c r="J1297" s="8" t="s">
        <v>13</v>
      </c>
    </row>
    <row r="1298">
      <c r="A1298" s="5" t="s">
        <v>3728</v>
      </c>
      <c r="B1298" s="5" t="s">
        <v>3729</v>
      </c>
      <c r="C1298" s="6" t="s">
        <v>13</v>
      </c>
      <c r="D1298" s="5" t="s">
        <v>3649</v>
      </c>
      <c r="E1298" s="5" t="s">
        <v>365</v>
      </c>
      <c r="F1298" s="5" t="s">
        <v>153</v>
      </c>
      <c r="G1298" s="5" t="s">
        <v>154</v>
      </c>
      <c r="H1298" s="5" t="s">
        <v>18</v>
      </c>
      <c r="I1298" s="8" t="s">
        <v>3730</v>
      </c>
      <c r="J1298" s="8" t="s">
        <v>13</v>
      </c>
    </row>
    <row r="1299">
      <c r="A1299" s="5" t="s">
        <v>3731</v>
      </c>
      <c r="B1299" s="5" t="s">
        <v>3732</v>
      </c>
      <c r="C1299" s="6" t="s">
        <v>13</v>
      </c>
      <c r="D1299" s="5" t="s">
        <v>3649</v>
      </c>
      <c r="E1299" s="5" t="s">
        <v>1098</v>
      </c>
      <c r="F1299" s="5" t="s">
        <v>153</v>
      </c>
      <c r="G1299" s="5" t="s">
        <v>154</v>
      </c>
      <c r="H1299" s="5" t="s">
        <v>18</v>
      </c>
      <c r="I1299" s="8" t="s">
        <v>3733</v>
      </c>
      <c r="J1299" s="8" t="s">
        <v>13</v>
      </c>
    </row>
    <row r="1300">
      <c r="A1300" s="5" t="s">
        <v>3734</v>
      </c>
      <c r="B1300" s="5" t="s">
        <v>25</v>
      </c>
      <c r="C1300" s="6" t="s">
        <v>13</v>
      </c>
      <c r="D1300" s="5" t="s">
        <v>3649</v>
      </c>
      <c r="E1300" s="5" t="s">
        <v>1194</v>
      </c>
      <c r="F1300" s="5" t="s">
        <v>153</v>
      </c>
      <c r="G1300" s="5" t="s">
        <v>154</v>
      </c>
      <c r="H1300" s="5" t="s">
        <v>18</v>
      </c>
      <c r="I1300" s="7" t="s">
        <v>3735</v>
      </c>
      <c r="J1300" s="8" t="s">
        <v>13</v>
      </c>
    </row>
    <row r="1301">
      <c r="A1301" s="5" t="s">
        <v>3736</v>
      </c>
      <c r="B1301" s="5" t="s">
        <v>919</v>
      </c>
      <c r="C1301" s="6" t="s">
        <v>13</v>
      </c>
      <c r="D1301" s="5" t="s">
        <v>3649</v>
      </c>
      <c r="E1301" s="5" t="s">
        <v>832</v>
      </c>
      <c r="F1301" s="5" t="s">
        <v>3737</v>
      </c>
      <c r="G1301" s="5" t="s">
        <v>96</v>
      </c>
      <c r="H1301" s="5" t="s">
        <v>18</v>
      </c>
      <c r="I1301" s="7" t="s">
        <v>3738</v>
      </c>
      <c r="J1301" s="8" t="s">
        <v>13</v>
      </c>
    </row>
    <row r="1302">
      <c r="A1302" s="5" t="s">
        <v>3739</v>
      </c>
      <c r="B1302" s="5" t="s">
        <v>3740</v>
      </c>
      <c r="C1302" s="6" t="s">
        <v>13</v>
      </c>
      <c r="D1302" s="5" t="s">
        <v>3649</v>
      </c>
      <c r="E1302" s="5" t="s">
        <v>2890</v>
      </c>
      <c r="F1302" s="5" t="s">
        <v>3741</v>
      </c>
      <c r="G1302" s="5" t="s">
        <v>962</v>
      </c>
      <c r="H1302" s="5" t="s">
        <v>18</v>
      </c>
      <c r="I1302" s="8" t="s">
        <v>3742</v>
      </c>
      <c r="J1302" s="8" t="s">
        <v>13</v>
      </c>
    </row>
    <row r="1303">
      <c r="A1303" s="5" t="s">
        <v>3743</v>
      </c>
      <c r="B1303" s="5" t="s">
        <v>371</v>
      </c>
      <c r="C1303" s="6" t="s">
        <v>13</v>
      </c>
      <c r="D1303" s="5" t="s">
        <v>3649</v>
      </c>
      <c r="E1303" s="5" t="s">
        <v>1244</v>
      </c>
      <c r="F1303" s="5" t="s">
        <v>876</v>
      </c>
      <c r="G1303" s="5" t="s">
        <v>184</v>
      </c>
      <c r="H1303" s="5" t="s">
        <v>18</v>
      </c>
      <c r="I1303" s="7" t="s">
        <v>3744</v>
      </c>
      <c r="J1303" s="8" t="s">
        <v>13</v>
      </c>
    </row>
    <row r="1304">
      <c r="A1304" s="5" t="s">
        <v>3669</v>
      </c>
      <c r="B1304" s="5" t="s">
        <v>25</v>
      </c>
      <c r="C1304" s="6" t="s">
        <v>13</v>
      </c>
      <c r="D1304" s="5" t="s">
        <v>3649</v>
      </c>
      <c r="F1304" s="5" t="s">
        <v>1022</v>
      </c>
      <c r="G1304" s="5" t="s">
        <v>264</v>
      </c>
      <c r="H1304" s="5" t="s">
        <v>18</v>
      </c>
      <c r="I1304" s="7" t="s">
        <v>3745</v>
      </c>
      <c r="J1304" s="8" t="s">
        <v>13</v>
      </c>
    </row>
    <row r="1305">
      <c r="A1305" s="5" t="s">
        <v>3746</v>
      </c>
      <c r="B1305" s="5" t="s">
        <v>25</v>
      </c>
      <c r="C1305" s="6" t="s">
        <v>13</v>
      </c>
      <c r="D1305" s="5" t="s">
        <v>3649</v>
      </c>
      <c r="F1305" s="5" t="s">
        <v>3747</v>
      </c>
      <c r="G1305" s="5" t="s">
        <v>44</v>
      </c>
      <c r="H1305" s="5" t="s">
        <v>18</v>
      </c>
      <c r="I1305" s="7" t="s">
        <v>3748</v>
      </c>
      <c r="J1305" s="8" t="s">
        <v>13</v>
      </c>
    </row>
    <row r="1306">
      <c r="A1306" s="5" t="s">
        <v>3749</v>
      </c>
      <c r="B1306" s="5" t="s">
        <v>371</v>
      </c>
      <c r="C1306" s="6" t="s">
        <v>13</v>
      </c>
      <c r="D1306" s="5" t="s">
        <v>3649</v>
      </c>
      <c r="E1306" s="5" t="s">
        <v>121</v>
      </c>
      <c r="F1306" s="5" t="s">
        <v>102</v>
      </c>
      <c r="G1306" s="5" t="s">
        <v>172</v>
      </c>
      <c r="H1306" s="5" t="s">
        <v>18</v>
      </c>
      <c r="I1306" s="7" t="s">
        <v>3750</v>
      </c>
      <c r="J1306" s="8" t="s">
        <v>13</v>
      </c>
    </row>
    <row r="1307">
      <c r="A1307" s="5" t="s">
        <v>3751</v>
      </c>
      <c r="B1307" s="5" t="s">
        <v>110</v>
      </c>
      <c r="C1307" s="6" t="s">
        <v>13</v>
      </c>
      <c r="D1307" s="5" t="s">
        <v>3752</v>
      </c>
      <c r="E1307" s="5" t="s">
        <v>15</v>
      </c>
      <c r="F1307" s="5" t="s">
        <v>2339</v>
      </c>
      <c r="G1307" s="5" t="s">
        <v>781</v>
      </c>
      <c r="H1307" s="5" t="s">
        <v>18</v>
      </c>
      <c r="I1307" s="7" t="s">
        <v>3753</v>
      </c>
      <c r="J1307" s="8" t="s">
        <v>13</v>
      </c>
    </row>
    <row r="1308">
      <c r="A1308" s="5" t="s">
        <v>3754</v>
      </c>
      <c r="B1308" s="5" t="s">
        <v>1028</v>
      </c>
      <c r="C1308" s="6" t="s">
        <v>13</v>
      </c>
      <c r="D1308" s="5" t="s">
        <v>3752</v>
      </c>
      <c r="E1308" s="5" t="s">
        <v>3110</v>
      </c>
      <c r="F1308" s="5" t="s">
        <v>2339</v>
      </c>
      <c r="G1308" s="5" t="s">
        <v>781</v>
      </c>
      <c r="H1308" s="5" t="s">
        <v>18</v>
      </c>
      <c r="I1308" s="7" t="s">
        <v>3755</v>
      </c>
      <c r="J1308" s="8" t="s">
        <v>13</v>
      </c>
    </row>
    <row r="1309">
      <c r="A1309" s="5" t="s">
        <v>3756</v>
      </c>
      <c r="B1309" s="5" t="s">
        <v>110</v>
      </c>
      <c r="C1309" s="6" t="s">
        <v>13</v>
      </c>
      <c r="D1309" s="5" t="s">
        <v>3752</v>
      </c>
      <c r="E1309" s="5" t="s">
        <v>36</v>
      </c>
      <c r="F1309" s="5" t="s">
        <v>2339</v>
      </c>
      <c r="G1309" s="5" t="s">
        <v>781</v>
      </c>
      <c r="H1309" s="5" t="s">
        <v>18</v>
      </c>
      <c r="I1309" s="7" t="s">
        <v>3757</v>
      </c>
      <c r="J1309" s="8" t="s">
        <v>13</v>
      </c>
    </row>
    <row r="1310">
      <c r="A1310" s="5" t="s">
        <v>3758</v>
      </c>
      <c r="B1310" s="5" t="s">
        <v>1028</v>
      </c>
      <c r="C1310" s="6" t="s">
        <v>13</v>
      </c>
      <c r="D1310" s="5" t="s">
        <v>3752</v>
      </c>
      <c r="E1310" s="5" t="s">
        <v>268</v>
      </c>
      <c r="F1310" s="5" t="s">
        <v>311</v>
      </c>
      <c r="G1310" s="5" t="s">
        <v>102</v>
      </c>
      <c r="H1310" s="5" t="s">
        <v>18</v>
      </c>
      <c r="I1310" s="7" t="s">
        <v>3759</v>
      </c>
      <c r="J1310" s="8" t="s">
        <v>13</v>
      </c>
    </row>
    <row r="1311">
      <c r="A1311" s="5" t="s">
        <v>3760</v>
      </c>
      <c r="B1311" s="5" t="s">
        <v>2354</v>
      </c>
      <c r="C1311" s="6" t="s">
        <v>13</v>
      </c>
      <c r="D1311" s="5" t="s">
        <v>3761</v>
      </c>
      <c r="E1311" s="5" t="s">
        <v>217</v>
      </c>
      <c r="F1311" s="6" t="s">
        <v>377</v>
      </c>
      <c r="G1311" s="6" t="s">
        <v>378</v>
      </c>
      <c r="H1311" s="5" t="s">
        <v>18</v>
      </c>
      <c r="I1311" s="7" t="s">
        <v>3762</v>
      </c>
      <c r="J1311" s="8" t="s">
        <v>13</v>
      </c>
    </row>
    <row r="1312">
      <c r="A1312" s="5" t="s">
        <v>3763</v>
      </c>
      <c r="B1312" s="5" t="s">
        <v>2354</v>
      </c>
      <c r="C1312" s="6" t="s">
        <v>13</v>
      </c>
      <c r="D1312" s="5" t="s">
        <v>3761</v>
      </c>
      <c r="E1312" s="5" t="s">
        <v>694</v>
      </c>
      <c r="F1312" s="6" t="s">
        <v>377</v>
      </c>
      <c r="G1312" s="6" t="s">
        <v>378</v>
      </c>
      <c r="H1312" s="5" t="s">
        <v>18</v>
      </c>
      <c r="I1312" s="7" t="s">
        <v>3764</v>
      </c>
      <c r="J1312" s="8" t="s">
        <v>13</v>
      </c>
    </row>
    <row r="1313">
      <c r="A1313" s="5" t="s">
        <v>3765</v>
      </c>
      <c r="B1313" s="5" t="s">
        <v>115</v>
      </c>
      <c r="C1313" s="6" t="s">
        <v>13</v>
      </c>
      <c r="D1313" s="5" t="s">
        <v>3761</v>
      </c>
      <c r="E1313" s="5" t="s">
        <v>3766</v>
      </c>
      <c r="F1313" s="5" t="s">
        <v>3767</v>
      </c>
      <c r="G1313" s="5" t="s">
        <v>378</v>
      </c>
      <c r="H1313" s="5" t="s">
        <v>18</v>
      </c>
      <c r="I1313" s="7" t="s">
        <v>3768</v>
      </c>
      <c r="J1313" s="8" t="s">
        <v>13</v>
      </c>
    </row>
    <row r="1314">
      <c r="A1314" s="5" t="s">
        <v>3769</v>
      </c>
      <c r="B1314" s="5" t="s">
        <v>2354</v>
      </c>
      <c r="C1314" s="6" t="s">
        <v>13</v>
      </c>
      <c r="D1314" s="5" t="s">
        <v>3761</v>
      </c>
      <c r="E1314" s="5" t="s">
        <v>1921</v>
      </c>
      <c r="F1314" s="5" t="s">
        <v>85</v>
      </c>
      <c r="G1314" s="5" t="s">
        <v>86</v>
      </c>
      <c r="H1314" s="5" t="s">
        <v>18</v>
      </c>
      <c r="I1314" s="7" t="s">
        <v>3770</v>
      </c>
      <c r="J1314" s="8" t="s">
        <v>13</v>
      </c>
    </row>
    <row r="1315">
      <c r="A1315" s="5" t="s">
        <v>3771</v>
      </c>
      <c r="B1315" s="5" t="s">
        <v>1930</v>
      </c>
      <c r="C1315" s="6" t="s">
        <v>13</v>
      </c>
      <c r="D1315" s="5" t="s">
        <v>3761</v>
      </c>
      <c r="E1315" s="5" t="s">
        <v>365</v>
      </c>
      <c r="F1315" s="5" t="s">
        <v>3772</v>
      </c>
      <c r="G1315" s="5" t="s">
        <v>378</v>
      </c>
      <c r="H1315" s="5" t="s">
        <v>18</v>
      </c>
      <c r="I1315" s="7" t="s">
        <v>3773</v>
      </c>
      <c r="J1315" s="8" t="s">
        <v>13</v>
      </c>
    </row>
    <row r="1316">
      <c r="A1316" s="5" t="s">
        <v>3774</v>
      </c>
      <c r="B1316" s="5" t="s">
        <v>2354</v>
      </c>
      <c r="C1316" s="6" t="s">
        <v>13</v>
      </c>
      <c r="D1316" s="5" t="s">
        <v>3761</v>
      </c>
      <c r="E1316" s="5" t="s">
        <v>125</v>
      </c>
      <c r="F1316" s="5" t="s">
        <v>3775</v>
      </c>
      <c r="G1316" s="5" t="s">
        <v>44</v>
      </c>
      <c r="H1316" s="5" t="s">
        <v>18</v>
      </c>
      <c r="I1316" s="7" t="s">
        <v>3776</v>
      </c>
      <c r="J1316" s="8" t="s">
        <v>13</v>
      </c>
    </row>
    <row r="1317">
      <c r="A1317" s="5" t="s">
        <v>3777</v>
      </c>
      <c r="B1317" s="5" t="s">
        <v>2354</v>
      </c>
      <c r="C1317" s="6" t="s">
        <v>13</v>
      </c>
      <c r="D1317" s="5" t="s">
        <v>3761</v>
      </c>
      <c r="E1317" s="5" t="s">
        <v>26</v>
      </c>
      <c r="F1317" s="5" t="s">
        <v>3778</v>
      </c>
      <c r="G1317" s="5" t="s">
        <v>3038</v>
      </c>
      <c r="H1317" s="5" t="s">
        <v>18</v>
      </c>
      <c r="I1317" s="7" t="s">
        <v>3779</v>
      </c>
      <c r="J1317" s="8" t="s">
        <v>13</v>
      </c>
    </row>
    <row r="1318">
      <c r="A1318" s="5" t="s">
        <v>3780</v>
      </c>
      <c r="B1318" s="5" t="s">
        <v>2354</v>
      </c>
      <c r="C1318" s="6" t="s">
        <v>13</v>
      </c>
      <c r="D1318" s="5" t="s">
        <v>3761</v>
      </c>
      <c r="E1318" s="5" t="s">
        <v>1634</v>
      </c>
      <c r="F1318" s="5" t="s">
        <v>3781</v>
      </c>
      <c r="G1318" s="5" t="s">
        <v>184</v>
      </c>
      <c r="H1318" s="5" t="s">
        <v>18</v>
      </c>
      <c r="I1318" s="7" t="s">
        <v>3782</v>
      </c>
      <c r="J1318" s="8" t="s">
        <v>13</v>
      </c>
    </row>
    <row r="1319">
      <c r="A1319" s="5" t="s">
        <v>3783</v>
      </c>
      <c r="B1319" s="5" t="s">
        <v>3784</v>
      </c>
      <c r="C1319" s="6" t="s">
        <v>13</v>
      </c>
      <c r="D1319" s="5" t="s">
        <v>3761</v>
      </c>
      <c r="E1319" s="5" t="s">
        <v>222</v>
      </c>
      <c r="F1319" s="5" t="s">
        <v>3785</v>
      </c>
      <c r="G1319" s="5" t="s">
        <v>378</v>
      </c>
      <c r="H1319" s="5" t="s">
        <v>18</v>
      </c>
      <c r="I1319" s="8" t="s">
        <v>3786</v>
      </c>
      <c r="J1319" s="8" t="s">
        <v>13</v>
      </c>
    </row>
    <row r="1320">
      <c r="A1320" s="5" t="s">
        <v>3787</v>
      </c>
      <c r="B1320" s="5" t="s">
        <v>3788</v>
      </c>
      <c r="C1320" s="6" t="s">
        <v>13</v>
      </c>
      <c r="D1320" s="5" t="s">
        <v>3761</v>
      </c>
      <c r="E1320" s="5" t="s">
        <v>182</v>
      </c>
      <c r="F1320" s="5" t="s">
        <v>2282</v>
      </c>
      <c r="G1320" s="5" t="s">
        <v>224</v>
      </c>
      <c r="H1320" s="5" t="s">
        <v>18</v>
      </c>
      <c r="I1320" s="7" t="s">
        <v>3789</v>
      </c>
      <c r="J1320" s="8" t="s">
        <v>13</v>
      </c>
    </row>
    <row r="1321">
      <c r="A1321" s="5" t="s">
        <v>3790</v>
      </c>
      <c r="B1321" s="5" t="s">
        <v>2354</v>
      </c>
      <c r="C1321" s="6" t="s">
        <v>13</v>
      </c>
      <c r="D1321" s="5" t="s">
        <v>3761</v>
      </c>
      <c r="E1321" s="5" t="s">
        <v>651</v>
      </c>
      <c r="F1321" s="5" t="s">
        <v>1914</v>
      </c>
      <c r="G1321" s="5" t="s">
        <v>378</v>
      </c>
      <c r="H1321" s="5" t="s">
        <v>18</v>
      </c>
      <c r="I1321" s="7" t="s">
        <v>3791</v>
      </c>
      <c r="J1321" s="8" t="s">
        <v>13</v>
      </c>
    </row>
    <row r="1322">
      <c r="A1322" s="5" t="s">
        <v>3792</v>
      </c>
      <c r="B1322" s="5" t="s">
        <v>3793</v>
      </c>
      <c r="C1322" s="6" t="s">
        <v>13</v>
      </c>
      <c r="D1322" s="5" t="s">
        <v>3761</v>
      </c>
      <c r="E1322" s="5" t="s">
        <v>399</v>
      </c>
      <c r="F1322" s="5" t="s">
        <v>80</v>
      </c>
      <c r="G1322" s="5" t="s">
        <v>38</v>
      </c>
      <c r="H1322" s="5" t="s">
        <v>18</v>
      </c>
      <c r="I1322" s="7" t="s">
        <v>3794</v>
      </c>
      <c r="J1322" s="8" t="s">
        <v>13</v>
      </c>
    </row>
    <row r="1323">
      <c r="A1323" s="5" t="s">
        <v>3795</v>
      </c>
      <c r="B1323" s="5" t="s">
        <v>2354</v>
      </c>
      <c r="C1323" s="6" t="s">
        <v>13</v>
      </c>
      <c r="D1323" s="5" t="s">
        <v>3761</v>
      </c>
      <c r="E1323" s="5" t="s">
        <v>207</v>
      </c>
      <c r="F1323" s="5" t="s">
        <v>80</v>
      </c>
      <c r="G1323" s="5" t="s">
        <v>38</v>
      </c>
      <c r="H1323" s="5" t="s">
        <v>18</v>
      </c>
      <c r="I1323" s="7" t="s">
        <v>3796</v>
      </c>
      <c r="J1323" s="8" t="s">
        <v>13</v>
      </c>
    </row>
    <row r="1324">
      <c r="A1324" s="5" t="s">
        <v>3797</v>
      </c>
      <c r="B1324" s="5" t="s">
        <v>3798</v>
      </c>
      <c r="C1324" s="6" t="s">
        <v>13</v>
      </c>
      <c r="D1324" s="5" t="s">
        <v>3761</v>
      </c>
      <c r="E1324" s="5" t="s">
        <v>188</v>
      </c>
      <c r="F1324" s="5" t="s">
        <v>2282</v>
      </c>
      <c r="G1324" s="5" t="s">
        <v>224</v>
      </c>
      <c r="H1324" s="5" t="s">
        <v>18</v>
      </c>
      <c r="I1324" s="7" t="s">
        <v>3799</v>
      </c>
      <c r="J1324" s="8" t="s">
        <v>13</v>
      </c>
    </row>
    <row r="1325">
      <c r="A1325" s="5" t="s">
        <v>3800</v>
      </c>
      <c r="B1325" s="5" t="s">
        <v>2354</v>
      </c>
      <c r="C1325" s="6" t="s">
        <v>13</v>
      </c>
      <c r="D1325" s="5" t="s">
        <v>3761</v>
      </c>
      <c r="E1325" s="5" t="s">
        <v>42</v>
      </c>
      <c r="F1325" s="5" t="s">
        <v>2282</v>
      </c>
      <c r="G1325" s="5" t="s">
        <v>224</v>
      </c>
      <c r="H1325" s="5" t="s">
        <v>18</v>
      </c>
      <c r="I1325" s="7" t="s">
        <v>3801</v>
      </c>
      <c r="J1325" s="8" t="s">
        <v>13</v>
      </c>
    </row>
    <row r="1326">
      <c r="A1326" s="5" t="s">
        <v>3802</v>
      </c>
      <c r="B1326" s="5" t="s">
        <v>3803</v>
      </c>
      <c r="C1326" s="6" t="s">
        <v>13</v>
      </c>
      <c r="D1326" s="5" t="s">
        <v>3804</v>
      </c>
      <c r="E1326" s="5" t="s">
        <v>421</v>
      </c>
      <c r="F1326" s="5" t="s">
        <v>166</v>
      </c>
      <c r="G1326" s="5" t="s">
        <v>44</v>
      </c>
      <c r="H1326" s="5" t="s">
        <v>18</v>
      </c>
      <c r="I1326" s="7" t="s">
        <v>3805</v>
      </c>
      <c r="J1326" s="8" t="s">
        <v>13</v>
      </c>
    </row>
    <row r="1327">
      <c r="A1327" s="5" t="s">
        <v>3806</v>
      </c>
      <c r="B1327" s="5" t="s">
        <v>766</v>
      </c>
      <c r="C1327" s="6" t="s">
        <v>13</v>
      </c>
      <c r="D1327" s="5" t="s">
        <v>3804</v>
      </c>
      <c r="E1327" s="5" t="s">
        <v>399</v>
      </c>
      <c r="F1327" s="5" t="s">
        <v>166</v>
      </c>
      <c r="G1327" s="5" t="s">
        <v>44</v>
      </c>
      <c r="H1327" s="5" t="s">
        <v>18</v>
      </c>
      <c r="I1327" s="7" t="s">
        <v>3807</v>
      </c>
      <c r="J1327" s="8" t="s">
        <v>13</v>
      </c>
    </row>
    <row r="1328">
      <c r="A1328" s="5" t="s">
        <v>3808</v>
      </c>
      <c r="B1328" s="5" t="s">
        <v>110</v>
      </c>
      <c r="C1328" s="6" t="s">
        <v>13</v>
      </c>
      <c r="D1328" s="5" t="s">
        <v>3804</v>
      </c>
      <c r="E1328" s="5" t="s">
        <v>63</v>
      </c>
      <c r="F1328" s="5" t="s">
        <v>166</v>
      </c>
      <c r="G1328" s="5" t="s">
        <v>44</v>
      </c>
      <c r="H1328" s="5" t="s">
        <v>18</v>
      </c>
      <c r="I1328" s="7" t="s">
        <v>3809</v>
      </c>
      <c r="J1328" s="8" t="s">
        <v>13</v>
      </c>
    </row>
    <row r="1329">
      <c r="A1329" s="5" t="s">
        <v>3810</v>
      </c>
      <c r="B1329" s="5" t="s">
        <v>110</v>
      </c>
      <c r="C1329" s="6" t="s">
        <v>13</v>
      </c>
      <c r="D1329" s="5" t="s">
        <v>3804</v>
      </c>
      <c r="E1329" s="5" t="s">
        <v>100</v>
      </c>
      <c r="F1329" s="5" t="s">
        <v>166</v>
      </c>
      <c r="G1329" s="5" t="s">
        <v>44</v>
      </c>
      <c r="H1329" s="5" t="s">
        <v>18</v>
      </c>
      <c r="I1329" s="7" t="s">
        <v>3811</v>
      </c>
      <c r="J1329" s="8" t="s">
        <v>13</v>
      </c>
    </row>
    <row r="1330">
      <c r="A1330" s="5" t="s">
        <v>3812</v>
      </c>
      <c r="B1330" s="5" t="s">
        <v>32</v>
      </c>
      <c r="C1330" s="6" t="s">
        <v>13</v>
      </c>
      <c r="D1330" s="5" t="s">
        <v>3813</v>
      </c>
      <c r="E1330" s="5" t="s">
        <v>165</v>
      </c>
      <c r="F1330" s="5" t="s">
        <v>16</v>
      </c>
      <c r="G1330" s="5" t="s">
        <v>17</v>
      </c>
      <c r="H1330" s="5" t="s">
        <v>18</v>
      </c>
      <c r="I1330" s="7" t="s">
        <v>3814</v>
      </c>
      <c r="J1330" s="8" t="s">
        <v>13</v>
      </c>
    </row>
    <row r="1331">
      <c r="A1331" s="5" t="s">
        <v>3815</v>
      </c>
      <c r="B1331" s="5" t="s">
        <v>3816</v>
      </c>
      <c r="C1331" s="6" t="s">
        <v>13</v>
      </c>
      <c r="D1331" s="5" t="s">
        <v>3813</v>
      </c>
      <c r="E1331" s="5" t="s">
        <v>165</v>
      </c>
      <c r="F1331" s="5" t="s">
        <v>16</v>
      </c>
      <c r="G1331" s="5" t="s">
        <v>17</v>
      </c>
      <c r="H1331" s="5" t="s">
        <v>18</v>
      </c>
      <c r="I1331" s="7" t="s">
        <v>3817</v>
      </c>
      <c r="J1331" s="8" t="s">
        <v>13</v>
      </c>
    </row>
    <row r="1332">
      <c r="A1332" s="5" t="s">
        <v>3818</v>
      </c>
      <c r="B1332" s="5" t="s">
        <v>3819</v>
      </c>
      <c r="C1332" s="6" t="s">
        <v>13</v>
      </c>
      <c r="D1332" s="5" t="s">
        <v>3813</v>
      </c>
      <c r="E1332" s="5" t="s">
        <v>165</v>
      </c>
      <c r="F1332" s="5" t="s">
        <v>37</v>
      </c>
      <c r="G1332" s="5" t="s">
        <v>38</v>
      </c>
      <c r="H1332" s="5" t="s">
        <v>18</v>
      </c>
      <c r="I1332" s="7" t="s">
        <v>3820</v>
      </c>
      <c r="J1332" s="8" t="s">
        <v>13</v>
      </c>
    </row>
    <row r="1333">
      <c r="A1333" s="5" t="s">
        <v>3821</v>
      </c>
      <c r="B1333" s="5" t="s">
        <v>47</v>
      </c>
      <c r="C1333" s="6" t="s">
        <v>13</v>
      </c>
      <c r="D1333" s="5" t="s">
        <v>3813</v>
      </c>
      <c r="E1333" s="5" t="s">
        <v>165</v>
      </c>
      <c r="F1333" s="5" t="s">
        <v>3822</v>
      </c>
      <c r="G1333" s="5" t="s">
        <v>65</v>
      </c>
      <c r="H1333" s="5" t="s">
        <v>18</v>
      </c>
      <c r="I1333" s="7" t="s">
        <v>3823</v>
      </c>
      <c r="J1333" s="8" t="s">
        <v>13</v>
      </c>
    </row>
    <row r="1334">
      <c r="A1334" s="5" t="s">
        <v>3824</v>
      </c>
      <c r="B1334" s="5" t="s">
        <v>47</v>
      </c>
      <c r="C1334" s="6" t="s">
        <v>13</v>
      </c>
      <c r="D1334" s="5" t="s">
        <v>3813</v>
      </c>
      <c r="E1334" s="5" t="s">
        <v>165</v>
      </c>
      <c r="F1334" s="5" t="s">
        <v>377</v>
      </c>
      <c r="G1334" s="5" t="s">
        <v>378</v>
      </c>
      <c r="H1334" s="5" t="s">
        <v>18</v>
      </c>
      <c r="I1334" s="7" t="s">
        <v>3825</v>
      </c>
      <c r="J1334" s="8" t="s">
        <v>13</v>
      </c>
    </row>
    <row r="1335">
      <c r="A1335" s="5" t="s">
        <v>3826</v>
      </c>
      <c r="B1335" s="5" t="s">
        <v>3827</v>
      </c>
      <c r="C1335" s="6" t="s">
        <v>13</v>
      </c>
      <c r="D1335" s="5" t="s">
        <v>3813</v>
      </c>
      <c r="E1335" s="5" t="s">
        <v>1123</v>
      </c>
      <c r="F1335" s="5" t="s">
        <v>3095</v>
      </c>
      <c r="G1335" s="5" t="s">
        <v>102</v>
      </c>
      <c r="H1335" s="5" t="s">
        <v>18</v>
      </c>
      <c r="I1335" s="7" t="s">
        <v>3828</v>
      </c>
      <c r="J1335" s="8" t="s">
        <v>13</v>
      </c>
    </row>
    <row r="1336">
      <c r="A1336" s="5" t="s">
        <v>3829</v>
      </c>
      <c r="B1336" s="5" t="s">
        <v>32</v>
      </c>
      <c r="C1336" s="6" t="s">
        <v>13</v>
      </c>
      <c r="D1336" s="5" t="s">
        <v>3813</v>
      </c>
      <c r="E1336" s="5" t="s">
        <v>651</v>
      </c>
      <c r="F1336" s="5" t="s">
        <v>3830</v>
      </c>
      <c r="G1336" s="5" t="s">
        <v>949</v>
      </c>
      <c r="H1336" s="5" t="s">
        <v>18</v>
      </c>
      <c r="I1336" s="7" t="s">
        <v>3831</v>
      </c>
      <c r="J1336" s="8" t="s">
        <v>13</v>
      </c>
    </row>
    <row r="1337">
      <c r="A1337" s="5" t="s">
        <v>3832</v>
      </c>
      <c r="B1337" s="5" t="s">
        <v>32</v>
      </c>
      <c r="C1337" s="6" t="s">
        <v>13</v>
      </c>
      <c r="D1337" s="5" t="s">
        <v>3813</v>
      </c>
      <c r="E1337" s="5" t="s">
        <v>441</v>
      </c>
      <c r="F1337" s="5" t="s">
        <v>49</v>
      </c>
      <c r="G1337" s="5" t="s">
        <v>50</v>
      </c>
      <c r="H1337" s="5" t="s">
        <v>18</v>
      </c>
      <c r="I1337" s="8" t="s">
        <v>3833</v>
      </c>
      <c r="J1337" s="8" t="s">
        <v>13</v>
      </c>
    </row>
    <row r="1338">
      <c r="A1338" s="5" t="s">
        <v>3834</v>
      </c>
      <c r="B1338" s="5" t="s">
        <v>32</v>
      </c>
      <c r="C1338" s="6" t="s">
        <v>13</v>
      </c>
      <c r="D1338" s="5" t="s">
        <v>3813</v>
      </c>
      <c r="E1338" s="5" t="s">
        <v>15</v>
      </c>
      <c r="F1338" s="6" t="s">
        <v>64</v>
      </c>
      <c r="G1338" s="6" t="s">
        <v>65</v>
      </c>
      <c r="H1338" s="5" t="s">
        <v>18</v>
      </c>
      <c r="I1338" s="7" t="s">
        <v>3835</v>
      </c>
      <c r="J1338" s="8" t="s">
        <v>13</v>
      </c>
    </row>
    <row r="1339">
      <c r="A1339" s="5" t="s">
        <v>3836</v>
      </c>
      <c r="B1339" s="5" t="s">
        <v>32</v>
      </c>
      <c r="C1339" s="6" t="s">
        <v>13</v>
      </c>
      <c r="D1339" s="5" t="s">
        <v>3813</v>
      </c>
      <c r="E1339" s="5" t="s">
        <v>441</v>
      </c>
      <c r="F1339" s="5" t="s">
        <v>1274</v>
      </c>
      <c r="G1339" s="5" t="s">
        <v>76</v>
      </c>
      <c r="H1339" s="5" t="s">
        <v>18</v>
      </c>
      <c r="I1339" s="8" t="s">
        <v>3837</v>
      </c>
      <c r="J1339" s="8" t="s">
        <v>13</v>
      </c>
    </row>
    <row r="1340">
      <c r="A1340" s="5" t="s">
        <v>3838</v>
      </c>
      <c r="B1340" s="5" t="s">
        <v>47</v>
      </c>
      <c r="C1340" s="6" t="s">
        <v>13</v>
      </c>
      <c r="D1340" s="5" t="s">
        <v>3813</v>
      </c>
      <c r="E1340" s="5" t="s">
        <v>441</v>
      </c>
      <c r="F1340" s="5" t="s">
        <v>85</v>
      </c>
      <c r="G1340" s="5" t="s">
        <v>86</v>
      </c>
      <c r="H1340" s="5" t="s">
        <v>18</v>
      </c>
      <c r="I1340" s="7" t="s">
        <v>3839</v>
      </c>
      <c r="J1340" s="8" t="s">
        <v>13</v>
      </c>
    </row>
    <row r="1341">
      <c r="A1341" s="5" t="s">
        <v>3840</v>
      </c>
      <c r="B1341" s="5" t="s">
        <v>25</v>
      </c>
      <c r="C1341" s="6" t="s">
        <v>13</v>
      </c>
      <c r="D1341" s="5" t="s">
        <v>3813</v>
      </c>
      <c r="E1341" s="5" t="s">
        <v>3841</v>
      </c>
      <c r="F1341" s="5" t="s">
        <v>1473</v>
      </c>
      <c r="G1341" s="5" t="s">
        <v>50</v>
      </c>
      <c r="H1341" s="5" t="s">
        <v>18</v>
      </c>
      <c r="I1341" s="7" t="s">
        <v>3842</v>
      </c>
      <c r="J1341" s="8" t="s">
        <v>13</v>
      </c>
    </row>
    <row r="1342">
      <c r="A1342" s="5" t="s">
        <v>3843</v>
      </c>
      <c r="B1342" s="5" t="s">
        <v>25</v>
      </c>
      <c r="C1342" s="6" t="s">
        <v>13</v>
      </c>
      <c r="D1342" s="5" t="s">
        <v>3813</v>
      </c>
      <c r="E1342" s="5" t="s">
        <v>354</v>
      </c>
      <c r="F1342" s="5" t="s">
        <v>112</v>
      </c>
      <c r="G1342" s="5" t="s">
        <v>38</v>
      </c>
      <c r="H1342" s="5" t="s">
        <v>18</v>
      </c>
      <c r="I1342" s="7" t="s">
        <v>3844</v>
      </c>
      <c r="J1342" s="8" t="s">
        <v>13</v>
      </c>
    </row>
    <row r="1343">
      <c r="A1343" s="5" t="s">
        <v>3845</v>
      </c>
      <c r="B1343" s="5" t="s">
        <v>32</v>
      </c>
      <c r="C1343" s="6" t="s">
        <v>13</v>
      </c>
      <c r="D1343" s="5" t="s">
        <v>3813</v>
      </c>
      <c r="E1343" s="5" t="s">
        <v>651</v>
      </c>
      <c r="F1343" s="5" t="s">
        <v>1527</v>
      </c>
      <c r="G1343" s="5" t="s">
        <v>945</v>
      </c>
      <c r="H1343" s="5" t="s">
        <v>18</v>
      </c>
      <c r="I1343" s="7" t="s">
        <v>3846</v>
      </c>
      <c r="J1343" s="8" t="s">
        <v>13</v>
      </c>
    </row>
    <row r="1344">
      <c r="A1344" s="5" t="s">
        <v>3847</v>
      </c>
      <c r="B1344" s="5" t="s">
        <v>32</v>
      </c>
      <c r="C1344" s="6" t="s">
        <v>13</v>
      </c>
      <c r="D1344" s="5" t="s">
        <v>3813</v>
      </c>
      <c r="E1344" s="5" t="s">
        <v>188</v>
      </c>
      <c r="F1344" s="5" t="s">
        <v>3848</v>
      </c>
      <c r="G1344" s="5" t="s">
        <v>264</v>
      </c>
      <c r="H1344" s="5" t="s">
        <v>18</v>
      </c>
      <c r="I1344" s="7" t="s">
        <v>3849</v>
      </c>
      <c r="J1344" s="8" t="s">
        <v>13</v>
      </c>
    </row>
    <row r="1345">
      <c r="A1345" s="5" t="s">
        <v>3850</v>
      </c>
      <c r="B1345" s="5" t="s">
        <v>32</v>
      </c>
      <c r="C1345" s="6" t="s">
        <v>13</v>
      </c>
      <c r="D1345" s="5" t="s">
        <v>3813</v>
      </c>
      <c r="E1345" s="5" t="s">
        <v>222</v>
      </c>
      <c r="F1345" s="5" t="s">
        <v>122</v>
      </c>
      <c r="G1345" s="5" t="s">
        <v>44</v>
      </c>
      <c r="H1345" s="5" t="s">
        <v>18</v>
      </c>
      <c r="I1345" s="7" t="s">
        <v>3851</v>
      </c>
      <c r="J1345" s="8" t="s">
        <v>13</v>
      </c>
    </row>
    <row r="1346">
      <c r="A1346" s="5" t="s">
        <v>3852</v>
      </c>
      <c r="B1346" s="5" t="s">
        <v>3853</v>
      </c>
      <c r="C1346" s="6" t="s">
        <v>13</v>
      </c>
      <c r="D1346" s="5" t="s">
        <v>3813</v>
      </c>
      <c r="E1346" s="5" t="s">
        <v>3110</v>
      </c>
      <c r="F1346" s="5" t="s">
        <v>388</v>
      </c>
      <c r="G1346" s="5" t="s">
        <v>203</v>
      </c>
      <c r="H1346" s="5" t="s">
        <v>18</v>
      </c>
      <c r="I1346" s="8" t="s">
        <v>3854</v>
      </c>
      <c r="J1346" s="8" t="s">
        <v>13</v>
      </c>
    </row>
    <row r="1347">
      <c r="A1347" s="5" t="s">
        <v>3855</v>
      </c>
      <c r="B1347" s="5" t="s">
        <v>32</v>
      </c>
      <c r="C1347" s="6" t="s">
        <v>13</v>
      </c>
      <c r="D1347" s="5" t="s">
        <v>3813</v>
      </c>
      <c r="E1347" s="5" t="s">
        <v>15</v>
      </c>
      <c r="F1347" s="5" t="s">
        <v>218</v>
      </c>
      <c r="G1347" s="5" t="s">
        <v>219</v>
      </c>
      <c r="H1347" s="5" t="s">
        <v>18</v>
      </c>
      <c r="I1347" s="7" t="s">
        <v>3856</v>
      </c>
      <c r="J1347" s="8" t="s">
        <v>13</v>
      </c>
    </row>
    <row r="1348">
      <c r="A1348" s="5" t="s">
        <v>3857</v>
      </c>
      <c r="B1348" s="5" t="s">
        <v>3858</v>
      </c>
      <c r="C1348" s="6" t="s">
        <v>13</v>
      </c>
      <c r="D1348" s="5" t="s">
        <v>3813</v>
      </c>
      <c r="E1348" s="5" t="s">
        <v>651</v>
      </c>
      <c r="F1348" s="5" t="s">
        <v>953</v>
      </c>
      <c r="G1348" s="5" t="s">
        <v>954</v>
      </c>
      <c r="H1348" s="5" t="s">
        <v>18</v>
      </c>
      <c r="I1348" s="7" t="s">
        <v>3859</v>
      </c>
      <c r="J1348" s="8" t="s">
        <v>13</v>
      </c>
    </row>
    <row r="1349">
      <c r="A1349" s="5" t="s">
        <v>3860</v>
      </c>
      <c r="B1349" s="5" t="s">
        <v>3861</v>
      </c>
      <c r="C1349" s="6" t="s">
        <v>13</v>
      </c>
      <c r="D1349" s="5" t="s">
        <v>3813</v>
      </c>
      <c r="E1349" s="5" t="s">
        <v>63</v>
      </c>
      <c r="F1349" s="5" t="s">
        <v>137</v>
      </c>
      <c r="G1349" s="5" t="s">
        <v>137</v>
      </c>
      <c r="H1349" s="5" t="s">
        <v>18</v>
      </c>
      <c r="I1349" s="8" t="s">
        <v>3862</v>
      </c>
      <c r="J1349" s="8" t="s">
        <v>13</v>
      </c>
    </row>
    <row r="1350">
      <c r="A1350" s="5" t="s">
        <v>3863</v>
      </c>
      <c r="B1350" s="5" t="s">
        <v>1874</v>
      </c>
      <c r="C1350" s="6" t="s">
        <v>13</v>
      </c>
      <c r="D1350" s="5" t="s">
        <v>3813</v>
      </c>
      <c r="E1350" s="5" t="s">
        <v>217</v>
      </c>
      <c r="F1350" s="5" t="s">
        <v>2491</v>
      </c>
      <c r="G1350" s="5" t="s">
        <v>44</v>
      </c>
      <c r="H1350" s="5" t="s">
        <v>18</v>
      </c>
      <c r="I1350" s="8" t="s">
        <v>3864</v>
      </c>
      <c r="J1350" s="8" t="s">
        <v>13</v>
      </c>
    </row>
    <row r="1351">
      <c r="A1351" s="5" t="s">
        <v>3865</v>
      </c>
      <c r="B1351" s="5" t="s">
        <v>32</v>
      </c>
      <c r="C1351" s="6" t="s">
        <v>13</v>
      </c>
      <c r="D1351" s="5" t="s">
        <v>3813</v>
      </c>
      <c r="E1351" s="5" t="s">
        <v>165</v>
      </c>
      <c r="F1351" s="5" t="s">
        <v>153</v>
      </c>
      <c r="G1351" s="5" t="s">
        <v>154</v>
      </c>
      <c r="H1351" s="5" t="s">
        <v>18</v>
      </c>
      <c r="I1351" s="7" t="s">
        <v>3866</v>
      </c>
      <c r="J1351" s="8" t="s">
        <v>13</v>
      </c>
    </row>
    <row r="1352">
      <c r="A1352" s="5" t="s">
        <v>3167</v>
      </c>
      <c r="B1352" s="5" t="s">
        <v>3867</v>
      </c>
      <c r="C1352" s="6" t="s">
        <v>13</v>
      </c>
      <c r="D1352" s="5" t="s">
        <v>3813</v>
      </c>
      <c r="E1352" s="5" t="s">
        <v>144</v>
      </c>
      <c r="F1352" s="5" t="s">
        <v>1852</v>
      </c>
      <c r="G1352" s="5" t="s">
        <v>38</v>
      </c>
      <c r="H1352" s="5" t="s">
        <v>18</v>
      </c>
      <c r="I1352" s="7" t="s">
        <v>3868</v>
      </c>
      <c r="J1352" s="8" t="s">
        <v>13</v>
      </c>
    </row>
    <row r="1353">
      <c r="A1353" s="5" t="s">
        <v>3869</v>
      </c>
      <c r="B1353" s="5" t="s">
        <v>25</v>
      </c>
      <c r="C1353" s="6" t="s">
        <v>13</v>
      </c>
      <c r="D1353" s="5" t="s">
        <v>3813</v>
      </c>
      <c r="E1353" s="5" t="s">
        <v>79</v>
      </c>
      <c r="F1353" s="5" t="s">
        <v>166</v>
      </c>
      <c r="G1353" s="5" t="s">
        <v>44</v>
      </c>
      <c r="H1353" s="5" t="s">
        <v>18</v>
      </c>
      <c r="I1353" s="7" t="s">
        <v>3870</v>
      </c>
      <c r="J1353" s="8" t="s">
        <v>13</v>
      </c>
    </row>
    <row r="1354">
      <c r="A1354" s="5" t="s">
        <v>3871</v>
      </c>
      <c r="B1354" s="5" t="s">
        <v>32</v>
      </c>
      <c r="C1354" s="6" t="s">
        <v>13</v>
      </c>
      <c r="D1354" s="5" t="s">
        <v>3813</v>
      </c>
      <c r="E1354" s="5" t="s">
        <v>376</v>
      </c>
      <c r="F1354" s="5" t="s">
        <v>1131</v>
      </c>
      <c r="G1354" s="5" t="s">
        <v>203</v>
      </c>
      <c r="H1354" s="5" t="s">
        <v>18</v>
      </c>
      <c r="I1354" s="7" t="s">
        <v>3872</v>
      </c>
      <c r="J1354" s="8" t="s">
        <v>13</v>
      </c>
    </row>
    <row r="1355">
      <c r="A1355" s="5" t="s">
        <v>3873</v>
      </c>
      <c r="B1355" s="5" t="s">
        <v>766</v>
      </c>
      <c r="C1355" s="6" t="s">
        <v>13</v>
      </c>
      <c r="D1355" s="5" t="s">
        <v>3874</v>
      </c>
      <c r="E1355" s="5" t="s">
        <v>165</v>
      </c>
      <c r="F1355" s="5" t="s">
        <v>16</v>
      </c>
      <c r="G1355" s="5" t="s">
        <v>17</v>
      </c>
      <c r="H1355" s="5" t="s">
        <v>18</v>
      </c>
      <c r="I1355" s="7" t="s">
        <v>3875</v>
      </c>
      <c r="J1355" s="8" t="s">
        <v>13</v>
      </c>
    </row>
    <row r="1356">
      <c r="A1356" s="5" t="s">
        <v>3876</v>
      </c>
      <c r="B1356" s="5" t="s">
        <v>3877</v>
      </c>
      <c r="C1356" s="6" t="s">
        <v>13</v>
      </c>
      <c r="D1356" s="5" t="s">
        <v>3874</v>
      </c>
      <c r="E1356" s="5" t="s">
        <v>165</v>
      </c>
      <c r="F1356" s="5" t="s">
        <v>16</v>
      </c>
      <c r="G1356" s="5" t="s">
        <v>17</v>
      </c>
      <c r="H1356" s="5" t="s">
        <v>18</v>
      </c>
      <c r="I1356" s="8" t="s">
        <v>3878</v>
      </c>
      <c r="J1356" s="8" t="s">
        <v>13</v>
      </c>
    </row>
    <row r="1357">
      <c r="A1357" s="5" t="s">
        <v>3879</v>
      </c>
      <c r="B1357" s="5" t="s">
        <v>3880</v>
      </c>
      <c r="C1357" s="6" t="s">
        <v>13</v>
      </c>
      <c r="D1357" s="5" t="s">
        <v>3874</v>
      </c>
      <c r="E1357" s="5" t="s">
        <v>512</v>
      </c>
      <c r="F1357" s="5" t="s">
        <v>377</v>
      </c>
      <c r="G1357" s="5" t="s">
        <v>378</v>
      </c>
      <c r="H1357" s="5" t="s">
        <v>18</v>
      </c>
      <c r="I1357" s="8" t="s">
        <v>3881</v>
      </c>
      <c r="J1357" s="8" t="s">
        <v>13</v>
      </c>
    </row>
    <row r="1358">
      <c r="A1358" s="5" t="s">
        <v>3882</v>
      </c>
      <c r="B1358" s="5" t="s">
        <v>3883</v>
      </c>
      <c r="C1358" s="6" t="s">
        <v>13</v>
      </c>
      <c r="D1358" s="5" t="s">
        <v>3874</v>
      </c>
      <c r="E1358" s="5" t="s">
        <v>686</v>
      </c>
      <c r="F1358" s="6" t="s">
        <v>377</v>
      </c>
      <c r="G1358" s="6" t="s">
        <v>378</v>
      </c>
      <c r="H1358" s="5" t="s">
        <v>18</v>
      </c>
      <c r="I1358" s="7" t="s">
        <v>3884</v>
      </c>
      <c r="J1358" s="8" t="s">
        <v>13</v>
      </c>
    </row>
    <row r="1359">
      <c r="A1359" s="5" t="s">
        <v>3885</v>
      </c>
      <c r="B1359" s="5" t="s">
        <v>3886</v>
      </c>
      <c r="C1359" s="6" t="s">
        <v>13</v>
      </c>
      <c r="D1359" s="5" t="s">
        <v>3874</v>
      </c>
      <c r="E1359" s="5" t="s">
        <v>121</v>
      </c>
      <c r="F1359" s="5" t="s">
        <v>3887</v>
      </c>
      <c r="G1359" s="5" t="s">
        <v>44</v>
      </c>
      <c r="H1359" s="5" t="s">
        <v>18</v>
      </c>
      <c r="I1359" s="7" t="s">
        <v>3888</v>
      </c>
      <c r="J1359" s="8" t="s">
        <v>13</v>
      </c>
    </row>
    <row r="1360">
      <c r="A1360" s="5" t="s">
        <v>3889</v>
      </c>
      <c r="B1360" s="5" t="s">
        <v>3890</v>
      </c>
      <c r="C1360" s="6" t="s">
        <v>13</v>
      </c>
      <c r="D1360" s="5" t="s">
        <v>3874</v>
      </c>
      <c r="E1360" s="5" t="s">
        <v>496</v>
      </c>
      <c r="F1360" s="5" t="s">
        <v>80</v>
      </c>
      <c r="G1360" s="5" t="s">
        <v>38</v>
      </c>
      <c r="H1360" s="5" t="s">
        <v>18</v>
      </c>
      <c r="I1360" s="8" t="s">
        <v>3891</v>
      </c>
      <c r="J1360" s="8" t="s">
        <v>13</v>
      </c>
    </row>
    <row r="1361">
      <c r="A1361" s="5" t="s">
        <v>3892</v>
      </c>
      <c r="B1361" s="5" t="s">
        <v>766</v>
      </c>
      <c r="C1361" s="6" t="s">
        <v>13</v>
      </c>
      <c r="D1361" s="5" t="s">
        <v>3874</v>
      </c>
      <c r="E1361" s="5" t="s">
        <v>1364</v>
      </c>
      <c r="F1361" s="5" t="s">
        <v>1527</v>
      </c>
      <c r="G1361" s="5" t="s">
        <v>945</v>
      </c>
      <c r="H1361" s="5" t="s">
        <v>18</v>
      </c>
      <c r="I1361" s="7" t="s">
        <v>3893</v>
      </c>
      <c r="J1361" s="8" t="s">
        <v>13</v>
      </c>
    </row>
    <row r="1362">
      <c r="A1362" s="5" t="s">
        <v>3894</v>
      </c>
      <c r="B1362" s="5" t="s">
        <v>3895</v>
      </c>
      <c r="C1362" s="6" t="s">
        <v>13</v>
      </c>
      <c r="D1362" s="5" t="s">
        <v>3874</v>
      </c>
      <c r="E1362" s="5" t="s">
        <v>79</v>
      </c>
      <c r="F1362" s="5" t="s">
        <v>311</v>
      </c>
      <c r="G1362" s="5" t="s">
        <v>102</v>
      </c>
      <c r="H1362" s="5" t="s">
        <v>18</v>
      </c>
      <c r="I1362" s="7" t="s">
        <v>3896</v>
      </c>
      <c r="J1362" s="8" t="s">
        <v>13</v>
      </c>
    </row>
    <row r="1363">
      <c r="A1363" s="5" t="s">
        <v>3897</v>
      </c>
      <c r="B1363" s="5" t="s">
        <v>3898</v>
      </c>
      <c r="C1363" s="6" t="s">
        <v>13</v>
      </c>
      <c r="D1363" s="5" t="s">
        <v>3874</v>
      </c>
      <c r="E1363" s="5" t="s">
        <v>79</v>
      </c>
      <c r="F1363" s="5" t="s">
        <v>311</v>
      </c>
      <c r="G1363" s="5" t="s">
        <v>102</v>
      </c>
      <c r="H1363" s="5" t="s">
        <v>18</v>
      </c>
      <c r="I1363" s="7" t="s">
        <v>3899</v>
      </c>
      <c r="J1363" s="8" t="s">
        <v>13</v>
      </c>
    </row>
    <row r="1364">
      <c r="A1364" s="5" t="s">
        <v>3900</v>
      </c>
      <c r="B1364" s="5" t="s">
        <v>110</v>
      </c>
      <c r="C1364" s="6" t="s">
        <v>13</v>
      </c>
      <c r="D1364" s="5" t="s">
        <v>3901</v>
      </c>
      <c r="E1364" s="5" t="s">
        <v>579</v>
      </c>
      <c r="F1364" s="5" t="s">
        <v>218</v>
      </c>
      <c r="G1364" s="5" t="s">
        <v>219</v>
      </c>
      <c r="H1364" s="5" t="s">
        <v>18</v>
      </c>
      <c r="I1364" s="7" t="s">
        <v>3902</v>
      </c>
      <c r="J1364" s="8" t="s">
        <v>13</v>
      </c>
    </row>
    <row r="1365">
      <c r="A1365" s="5" t="s">
        <v>3903</v>
      </c>
      <c r="B1365" s="5" t="s">
        <v>110</v>
      </c>
      <c r="C1365" s="6" t="s">
        <v>13</v>
      </c>
      <c r="D1365" s="5" t="s">
        <v>3901</v>
      </c>
      <c r="E1365" s="5" t="s">
        <v>100</v>
      </c>
      <c r="F1365" s="5" t="s">
        <v>295</v>
      </c>
      <c r="G1365" s="5" t="s">
        <v>154</v>
      </c>
      <c r="H1365" s="5" t="s">
        <v>18</v>
      </c>
      <c r="I1365" s="7" t="s">
        <v>3904</v>
      </c>
      <c r="J1365" s="8" t="s">
        <v>13</v>
      </c>
    </row>
    <row r="1366">
      <c r="A1366" s="5" t="s">
        <v>3905</v>
      </c>
      <c r="B1366" s="5" t="s">
        <v>110</v>
      </c>
      <c r="C1366" s="6" t="s">
        <v>13</v>
      </c>
      <c r="D1366" s="5" t="s">
        <v>3906</v>
      </c>
      <c r="E1366" s="5" t="s">
        <v>222</v>
      </c>
      <c r="F1366" s="5" t="s">
        <v>3907</v>
      </c>
      <c r="G1366" s="5" t="s">
        <v>154</v>
      </c>
      <c r="H1366" s="5" t="s">
        <v>18</v>
      </c>
      <c r="I1366" s="7" t="s">
        <v>3908</v>
      </c>
      <c r="J1366" s="8" t="s">
        <v>13</v>
      </c>
    </row>
    <row r="1367">
      <c r="A1367" s="5" t="s">
        <v>3909</v>
      </c>
      <c r="B1367" s="5" t="s">
        <v>3910</v>
      </c>
      <c r="C1367" s="6" t="s">
        <v>13</v>
      </c>
      <c r="D1367" s="5" t="s">
        <v>3906</v>
      </c>
      <c r="F1367" s="5" t="s">
        <v>3911</v>
      </c>
      <c r="G1367" s="5" t="s">
        <v>154</v>
      </c>
      <c r="H1367" s="5" t="s">
        <v>18</v>
      </c>
      <c r="I1367" s="7" t="s">
        <v>3912</v>
      </c>
      <c r="J1367" s="8" t="s">
        <v>13</v>
      </c>
    </row>
    <row r="1368">
      <c r="A1368" s="5" t="s">
        <v>3913</v>
      </c>
      <c r="B1368" s="5" t="s">
        <v>110</v>
      </c>
      <c r="C1368" s="6" t="s">
        <v>13</v>
      </c>
      <c r="D1368" s="5" t="s">
        <v>3906</v>
      </c>
      <c r="E1368" s="5" t="s">
        <v>213</v>
      </c>
      <c r="F1368" s="5" t="s">
        <v>37</v>
      </c>
      <c r="G1368" s="5" t="s">
        <v>38</v>
      </c>
      <c r="H1368" s="5" t="s">
        <v>18</v>
      </c>
      <c r="I1368" s="7" t="s">
        <v>3914</v>
      </c>
      <c r="J1368" s="8" t="s">
        <v>13</v>
      </c>
    </row>
    <row r="1369">
      <c r="A1369" s="5" t="s">
        <v>3915</v>
      </c>
      <c r="B1369" s="5" t="s">
        <v>3916</v>
      </c>
      <c r="C1369" s="6" t="s">
        <v>13</v>
      </c>
      <c r="D1369" s="5" t="s">
        <v>3906</v>
      </c>
      <c r="E1369" s="5" t="s">
        <v>399</v>
      </c>
      <c r="F1369" s="5" t="s">
        <v>1965</v>
      </c>
      <c r="G1369" s="5" t="s">
        <v>44</v>
      </c>
      <c r="H1369" s="5" t="s">
        <v>18</v>
      </c>
      <c r="I1369" s="7" t="s">
        <v>3917</v>
      </c>
      <c r="J1369" s="8" t="s">
        <v>13</v>
      </c>
    </row>
    <row r="1370">
      <c r="A1370" s="5" t="s">
        <v>3918</v>
      </c>
      <c r="B1370" s="5" t="s">
        <v>3919</v>
      </c>
      <c r="C1370" s="6" t="s">
        <v>13</v>
      </c>
      <c r="D1370" s="5" t="s">
        <v>3906</v>
      </c>
      <c r="E1370" s="5" t="s">
        <v>125</v>
      </c>
      <c r="F1370" s="5" t="s">
        <v>311</v>
      </c>
      <c r="G1370" s="5" t="s">
        <v>102</v>
      </c>
      <c r="H1370" s="5" t="s">
        <v>18</v>
      </c>
      <c r="I1370" s="7" t="s">
        <v>3920</v>
      </c>
      <c r="J1370" s="8" t="s">
        <v>13</v>
      </c>
    </row>
    <row r="1371">
      <c r="A1371" s="5" t="s">
        <v>3921</v>
      </c>
      <c r="B1371" s="5" t="s">
        <v>110</v>
      </c>
      <c r="C1371" s="6" t="s">
        <v>13</v>
      </c>
      <c r="D1371" s="5" t="s">
        <v>3922</v>
      </c>
      <c r="E1371" s="5" t="s">
        <v>1718</v>
      </c>
      <c r="F1371" s="5" t="s">
        <v>1415</v>
      </c>
      <c r="G1371" s="5" t="s">
        <v>50</v>
      </c>
      <c r="H1371" s="5" t="s">
        <v>18</v>
      </c>
      <c r="I1371" s="7" t="s">
        <v>3923</v>
      </c>
      <c r="J1371" s="8" t="s">
        <v>13</v>
      </c>
    </row>
    <row r="1372">
      <c r="A1372" s="5" t="s">
        <v>3924</v>
      </c>
      <c r="B1372" s="5" t="s">
        <v>3925</v>
      </c>
      <c r="C1372" s="6" t="s">
        <v>13</v>
      </c>
      <c r="D1372" s="5" t="s">
        <v>3922</v>
      </c>
      <c r="E1372" s="5" t="s">
        <v>354</v>
      </c>
      <c r="F1372" s="5" t="s">
        <v>1415</v>
      </c>
      <c r="G1372" s="5" t="s">
        <v>50</v>
      </c>
      <c r="H1372" s="5" t="s">
        <v>18</v>
      </c>
      <c r="I1372" s="7" t="s">
        <v>3926</v>
      </c>
      <c r="J1372" s="8" t="s">
        <v>13</v>
      </c>
    </row>
    <row r="1373">
      <c r="A1373" s="5" t="s">
        <v>3927</v>
      </c>
      <c r="B1373" s="5" t="s">
        <v>3886</v>
      </c>
      <c r="C1373" s="6" t="s">
        <v>13</v>
      </c>
      <c r="D1373" s="5" t="s">
        <v>3928</v>
      </c>
      <c r="E1373" s="5" t="s">
        <v>890</v>
      </c>
      <c r="F1373" s="5" t="s">
        <v>658</v>
      </c>
      <c r="G1373" s="5" t="s">
        <v>91</v>
      </c>
      <c r="H1373" s="5" t="s">
        <v>18</v>
      </c>
      <c r="I1373" s="7" t="s">
        <v>3929</v>
      </c>
      <c r="J1373" s="8" t="s">
        <v>13</v>
      </c>
    </row>
    <row r="1374">
      <c r="A1374" s="5" t="s">
        <v>3930</v>
      </c>
      <c r="B1374" s="5" t="s">
        <v>3931</v>
      </c>
      <c r="C1374" s="6" t="s">
        <v>13</v>
      </c>
      <c r="D1374" s="5" t="s">
        <v>3928</v>
      </c>
      <c r="E1374" s="5" t="s">
        <v>387</v>
      </c>
      <c r="F1374" s="5" t="s">
        <v>112</v>
      </c>
      <c r="G1374" s="5" t="s">
        <v>38</v>
      </c>
      <c r="H1374" s="5" t="s">
        <v>18</v>
      </c>
      <c r="I1374" s="8" t="s">
        <v>3932</v>
      </c>
      <c r="J1374" s="8" t="s">
        <v>13</v>
      </c>
    </row>
    <row r="1375">
      <c r="A1375" s="5" t="s">
        <v>3933</v>
      </c>
      <c r="B1375" s="5" t="s">
        <v>110</v>
      </c>
      <c r="C1375" s="6" t="s">
        <v>13</v>
      </c>
      <c r="D1375" s="5" t="s">
        <v>3928</v>
      </c>
      <c r="F1375" s="5" t="s">
        <v>112</v>
      </c>
      <c r="G1375" s="5" t="s">
        <v>38</v>
      </c>
      <c r="H1375" s="5" t="s">
        <v>18</v>
      </c>
      <c r="I1375" s="7" t="s">
        <v>3934</v>
      </c>
      <c r="J1375" s="8" t="s">
        <v>13</v>
      </c>
    </row>
    <row r="1376">
      <c r="A1376" s="5" t="s">
        <v>3935</v>
      </c>
      <c r="B1376" s="5" t="s">
        <v>110</v>
      </c>
      <c r="C1376" s="6" t="s">
        <v>13</v>
      </c>
      <c r="D1376" s="5" t="s">
        <v>3928</v>
      </c>
      <c r="E1376" s="5" t="s">
        <v>207</v>
      </c>
      <c r="F1376" s="5" t="s">
        <v>112</v>
      </c>
      <c r="G1376" s="5" t="s">
        <v>38</v>
      </c>
      <c r="H1376" s="5" t="s">
        <v>18</v>
      </c>
      <c r="I1376" s="8" t="s">
        <v>3936</v>
      </c>
      <c r="J1376" s="8" t="s">
        <v>13</v>
      </c>
    </row>
    <row r="1377">
      <c r="A1377" s="5" t="s">
        <v>3937</v>
      </c>
      <c r="B1377" s="5" t="s">
        <v>3938</v>
      </c>
      <c r="C1377" s="6" t="s">
        <v>13</v>
      </c>
      <c r="D1377" s="5" t="s">
        <v>3928</v>
      </c>
      <c r="E1377" s="5" t="s">
        <v>579</v>
      </c>
      <c r="F1377" s="5" t="s">
        <v>112</v>
      </c>
      <c r="G1377" s="5" t="s">
        <v>38</v>
      </c>
      <c r="H1377" s="5" t="s">
        <v>18</v>
      </c>
      <c r="I1377" s="8" t="s">
        <v>3939</v>
      </c>
      <c r="J1377" s="8" t="s">
        <v>13</v>
      </c>
    </row>
    <row r="1378">
      <c r="A1378" s="5" t="s">
        <v>3940</v>
      </c>
      <c r="B1378" s="5" t="s">
        <v>3941</v>
      </c>
      <c r="C1378" s="6" t="s">
        <v>13</v>
      </c>
      <c r="D1378" s="5" t="s">
        <v>3928</v>
      </c>
      <c r="E1378" s="5" t="s">
        <v>3942</v>
      </c>
      <c r="F1378" s="5" t="s">
        <v>112</v>
      </c>
      <c r="G1378" s="5" t="s">
        <v>38</v>
      </c>
      <c r="H1378" s="5" t="s">
        <v>18</v>
      </c>
      <c r="I1378" s="7" t="s">
        <v>3943</v>
      </c>
      <c r="J1378" s="8" t="s">
        <v>13</v>
      </c>
    </row>
    <row r="1379">
      <c r="A1379" s="5" t="s">
        <v>3944</v>
      </c>
      <c r="B1379" s="5" t="s">
        <v>480</v>
      </c>
      <c r="C1379" s="6" t="s">
        <v>13</v>
      </c>
      <c r="D1379" s="5" t="s">
        <v>3945</v>
      </c>
      <c r="E1379" s="5" t="s">
        <v>848</v>
      </c>
      <c r="F1379" s="5" t="s">
        <v>658</v>
      </c>
      <c r="G1379" s="5" t="s">
        <v>91</v>
      </c>
      <c r="H1379" s="5" t="s">
        <v>18</v>
      </c>
      <c r="I1379" s="8" t="s">
        <v>3946</v>
      </c>
      <c r="J1379" s="8" t="s">
        <v>13</v>
      </c>
    </row>
    <row r="1380">
      <c r="A1380" s="5" t="s">
        <v>3947</v>
      </c>
      <c r="B1380" s="5" t="s">
        <v>3948</v>
      </c>
      <c r="C1380" s="6" t="s">
        <v>13</v>
      </c>
      <c r="D1380" s="5" t="s">
        <v>3945</v>
      </c>
      <c r="E1380" s="5" t="s">
        <v>712</v>
      </c>
      <c r="F1380" s="5" t="s">
        <v>137</v>
      </c>
      <c r="G1380" s="5" t="s">
        <v>137</v>
      </c>
      <c r="H1380" s="5" t="s">
        <v>18</v>
      </c>
      <c r="I1380" s="7" t="s">
        <v>3949</v>
      </c>
      <c r="J1380" s="8" t="s">
        <v>13</v>
      </c>
    </row>
    <row r="1381">
      <c r="A1381" s="5" t="s">
        <v>3950</v>
      </c>
      <c r="B1381" s="5" t="s">
        <v>404</v>
      </c>
      <c r="C1381" s="6" t="s">
        <v>13</v>
      </c>
      <c r="D1381" s="5" t="s">
        <v>3945</v>
      </c>
      <c r="E1381" s="5" t="s">
        <v>554</v>
      </c>
      <c r="F1381" s="5" t="s">
        <v>1274</v>
      </c>
      <c r="G1381" s="5" t="s">
        <v>76</v>
      </c>
      <c r="H1381" s="5" t="s">
        <v>18</v>
      </c>
      <c r="I1381" s="7" t="s">
        <v>3951</v>
      </c>
      <c r="J1381" s="8" t="s">
        <v>13</v>
      </c>
    </row>
    <row r="1382">
      <c r="A1382" s="5" t="s">
        <v>3952</v>
      </c>
      <c r="B1382" s="5" t="s">
        <v>404</v>
      </c>
      <c r="C1382" s="6" t="s">
        <v>13</v>
      </c>
      <c r="D1382" s="5" t="s">
        <v>3945</v>
      </c>
      <c r="E1382" s="5" t="s">
        <v>241</v>
      </c>
      <c r="F1382" s="5" t="s">
        <v>2491</v>
      </c>
      <c r="G1382" s="5" t="s">
        <v>44</v>
      </c>
      <c r="H1382" s="5" t="s">
        <v>18</v>
      </c>
      <c r="I1382" s="7" t="s">
        <v>3953</v>
      </c>
      <c r="J1382" s="8" t="s">
        <v>13</v>
      </c>
    </row>
    <row r="1383">
      <c r="A1383" s="5" t="s">
        <v>3954</v>
      </c>
      <c r="B1383" s="5" t="s">
        <v>110</v>
      </c>
      <c r="C1383" s="6" t="s">
        <v>13</v>
      </c>
      <c r="D1383" s="5" t="s">
        <v>3945</v>
      </c>
      <c r="E1383" s="5" t="s">
        <v>579</v>
      </c>
      <c r="F1383" s="5" t="s">
        <v>801</v>
      </c>
      <c r="G1383" s="5" t="s">
        <v>50</v>
      </c>
      <c r="H1383" s="5" t="s">
        <v>18</v>
      </c>
      <c r="I1383" s="7" t="s">
        <v>3955</v>
      </c>
      <c r="J1383" s="8" t="s">
        <v>13</v>
      </c>
    </row>
    <row r="1384">
      <c r="A1384" s="5" t="s">
        <v>3956</v>
      </c>
      <c r="B1384" s="5" t="s">
        <v>480</v>
      </c>
      <c r="C1384" s="6" t="s">
        <v>13</v>
      </c>
      <c r="D1384" s="5" t="s">
        <v>3957</v>
      </c>
      <c r="F1384" s="5" t="s">
        <v>3958</v>
      </c>
      <c r="G1384" s="5" t="s">
        <v>962</v>
      </c>
      <c r="H1384" s="5" t="s">
        <v>18</v>
      </c>
      <c r="I1384" s="7" t="s">
        <v>3959</v>
      </c>
      <c r="J1384" s="8" t="s">
        <v>13</v>
      </c>
    </row>
    <row r="1385">
      <c r="A1385" s="5" t="s">
        <v>3960</v>
      </c>
      <c r="B1385" s="5" t="s">
        <v>3961</v>
      </c>
      <c r="C1385" s="6" t="s">
        <v>13</v>
      </c>
      <c r="D1385" s="5" t="s">
        <v>3957</v>
      </c>
      <c r="E1385" s="5" t="s">
        <v>585</v>
      </c>
      <c r="F1385" s="5" t="s">
        <v>3962</v>
      </c>
      <c r="G1385" s="5" t="s">
        <v>17</v>
      </c>
      <c r="H1385" s="5" t="s">
        <v>18</v>
      </c>
      <c r="I1385" s="7" t="s">
        <v>3963</v>
      </c>
      <c r="J1385" s="8" t="s">
        <v>13</v>
      </c>
    </row>
    <row r="1386">
      <c r="A1386" s="5" t="s">
        <v>3964</v>
      </c>
      <c r="B1386" s="5" t="s">
        <v>3965</v>
      </c>
      <c r="C1386" s="6" t="s">
        <v>13</v>
      </c>
      <c r="D1386" s="5" t="s">
        <v>3957</v>
      </c>
      <c r="E1386" s="5" t="s">
        <v>48</v>
      </c>
      <c r="F1386" s="5" t="s">
        <v>2586</v>
      </c>
      <c r="G1386" s="5" t="s">
        <v>224</v>
      </c>
      <c r="H1386" s="5" t="s">
        <v>18</v>
      </c>
      <c r="I1386" s="7" t="s">
        <v>3966</v>
      </c>
      <c r="J1386" s="8" t="s">
        <v>13</v>
      </c>
    </row>
    <row r="1387">
      <c r="A1387" s="5" t="s">
        <v>3967</v>
      </c>
      <c r="B1387" s="5" t="s">
        <v>3968</v>
      </c>
      <c r="C1387" s="6" t="s">
        <v>13</v>
      </c>
      <c r="D1387" s="5" t="s">
        <v>3957</v>
      </c>
      <c r="E1387" s="5" t="s">
        <v>3969</v>
      </c>
      <c r="F1387" s="5" t="s">
        <v>3970</v>
      </c>
      <c r="G1387" s="5" t="s">
        <v>203</v>
      </c>
      <c r="H1387" s="5" t="s">
        <v>18</v>
      </c>
      <c r="I1387" s="8" t="s">
        <v>3971</v>
      </c>
      <c r="J1387" s="8" t="s">
        <v>13</v>
      </c>
    </row>
    <row r="1388">
      <c r="A1388" s="5" t="s">
        <v>3972</v>
      </c>
      <c r="B1388" s="5" t="s">
        <v>3973</v>
      </c>
      <c r="C1388" s="6" t="s">
        <v>13</v>
      </c>
      <c r="D1388" s="5" t="s">
        <v>3974</v>
      </c>
      <c r="E1388" s="5" t="s">
        <v>144</v>
      </c>
      <c r="F1388" s="5" t="s">
        <v>3975</v>
      </c>
      <c r="G1388" s="5" t="s">
        <v>91</v>
      </c>
      <c r="H1388" s="5" t="s">
        <v>18</v>
      </c>
      <c r="I1388" s="7" t="s">
        <v>3976</v>
      </c>
      <c r="J1388" s="8" t="s">
        <v>13</v>
      </c>
    </row>
    <row r="1389">
      <c r="A1389" s="5" t="s">
        <v>3977</v>
      </c>
      <c r="B1389" s="5" t="s">
        <v>3978</v>
      </c>
      <c r="C1389" s="6" t="s">
        <v>13</v>
      </c>
      <c r="D1389" s="5" t="s">
        <v>3974</v>
      </c>
      <c r="E1389" s="5" t="s">
        <v>3979</v>
      </c>
      <c r="F1389" s="5" t="s">
        <v>658</v>
      </c>
      <c r="G1389" s="5" t="s">
        <v>91</v>
      </c>
      <c r="H1389" s="5" t="s">
        <v>18</v>
      </c>
      <c r="I1389" s="7" t="s">
        <v>3980</v>
      </c>
      <c r="J1389" s="8" t="s">
        <v>13</v>
      </c>
    </row>
    <row r="1390">
      <c r="A1390" s="5" t="s">
        <v>3981</v>
      </c>
      <c r="B1390" s="5" t="s">
        <v>25</v>
      </c>
      <c r="C1390" s="6" t="s">
        <v>13</v>
      </c>
      <c r="D1390" s="5" t="s">
        <v>3974</v>
      </c>
      <c r="E1390" s="5" t="s">
        <v>376</v>
      </c>
      <c r="F1390" s="5" t="s">
        <v>658</v>
      </c>
      <c r="G1390" s="5" t="s">
        <v>91</v>
      </c>
      <c r="H1390" s="5" t="s">
        <v>18</v>
      </c>
      <c r="I1390" s="7" t="s">
        <v>3982</v>
      </c>
      <c r="J1390" s="8" t="s">
        <v>13</v>
      </c>
    </row>
    <row r="1391">
      <c r="A1391" s="5" t="s">
        <v>3983</v>
      </c>
      <c r="B1391" s="5" t="s">
        <v>110</v>
      </c>
      <c r="C1391" s="6" t="s">
        <v>13</v>
      </c>
      <c r="D1391" s="5" t="s">
        <v>3984</v>
      </c>
      <c r="E1391" s="5" t="s">
        <v>351</v>
      </c>
      <c r="F1391" s="5" t="s">
        <v>166</v>
      </c>
      <c r="G1391" s="5" t="s">
        <v>44</v>
      </c>
      <c r="H1391" s="5" t="s">
        <v>18</v>
      </c>
      <c r="I1391" s="7" t="s">
        <v>3985</v>
      </c>
      <c r="J1391" s="8" t="s">
        <v>13</v>
      </c>
    </row>
    <row r="1392">
      <c r="A1392" s="5" t="s">
        <v>3986</v>
      </c>
      <c r="B1392" s="5" t="s">
        <v>110</v>
      </c>
      <c r="C1392" s="6" t="s">
        <v>13</v>
      </c>
      <c r="D1392" s="5" t="s">
        <v>3984</v>
      </c>
      <c r="E1392" s="5" t="s">
        <v>15</v>
      </c>
      <c r="F1392" s="5" t="s">
        <v>166</v>
      </c>
      <c r="G1392" s="5" t="s">
        <v>44</v>
      </c>
      <c r="H1392" s="5" t="s">
        <v>18</v>
      </c>
      <c r="I1392" s="7" t="s">
        <v>3987</v>
      </c>
      <c r="J1392" s="8" t="s">
        <v>13</v>
      </c>
    </row>
    <row r="1393">
      <c r="A1393" s="5" t="s">
        <v>3988</v>
      </c>
      <c r="B1393" s="5" t="s">
        <v>3989</v>
      </c>
      <c r="C1393" s="6" t="s">
        <v>13</v>
      </c>
      <c r="D1393" s="5" t="s">
        <v>3984</v>
      </c>
      <c r="E1393" s="5" t="s">
        <v>345</v>
      </c>
      <c r="F1393" s="5" t="s">
        <v>166</v>
      </c>
      <c r="G1393" s="5" t="s">
        <v>44</v>
      </c>
      <c r="H1393" s="5" t="s">
        <v>18</v>
      </c>
      <c r="I1393" s="7" t="s">
        <v>3990</v>
      </c>
      <c r="J1393" s="8" t="s">
        <v>13</v>
      </c>
    </row>
    <row r="1394">
      <c r="A1394" s="5" t="s">
        <v>3991</v>
      </c>
      <c r="B1394" s="5" t="s">
        <v>3992</v>
      </c>
      <c r="C1394" s="6" t="s">
        <v>13</v>
      </c>
      <c r="D1394" s="5" t="s">
        <v>3993</v>
      </c>
      <c r="E1394" s="5" t="s">
        <v>441</v>
      </c>
      <c r="F1394" s="5" t="s">
        <v>75</v>
      </c>
      <c r="G1394" s="5" t="s">
        <v>76</v>
      </c>
      <c r="H1394" s="5" t="s">
        <v>18</v>
      </c>
      <c r="I1394" s="7" t="s">
        <v>3994</v>
      </c>
      <c r="J1394" s="8" t="s">
        <v>13</v>
      </c>
    </row>
    <row r="1395">
      <c r="A1395" s="5" t="s">
        <v>3995</v>
      </c>
      <c r="B1395" s="5" t="s">
        <v>766</v>
      </c>
      <c r="C1395" s="6" t="s">
        <v>13</v>
      </c>
      <c r="D1395" s="5" t="s">
        <v>3993</v>
      </c>
      <c r="E1395" s="5" t="s">
        <v>74</v>
      </c>
      <c r="F1395" s="5" t="s">
        <v>137</v>
      </c>
      <c r="G1395" s="5" t="s">
        <v>137</v>
      </c>
      <c r="H1395" s="5" t="s">
        <v>18</v>
      </c>
      <c r="I1395" s="7" t="s">
        <v>3996</v>
      </c>
      <c r="J1395" s="8" t="s">
        <v>13</v>
      </c>
    </row>
    <row r="1396">
      <c r="A1396" s="5" t="s">
        <v>3997</v>
      </c>
      <c r="B1396" s="5" t="s">
        <v>110</v>
      </c>
      <c r="C1396" s="6" t="s">
        <v>13</v>
      </c>
      <c r="D1396" s="5" t="s">
        <v>3993</v>
      </c>
      <c r="E1396" s="5" t="s">
        <v>42</v>
      </c>
      <c r="F1396" s="5" t="s">
        <v>3998</v>
      </c>
      <c r="G1396" s="5" t="s">
        <v>91</v>
      </c>
      <c r="H1396" s="5" t="s">
        <v>18</v>
      </c>
      <c r="I1396" s="8" t="s">
        <v>3999</v>
      </c>
      <c r="J1396" s="8" t="s">
        <v>13</v>
      </c>
    </row>
    <row r="1397">
      <c r="A1397" s="5" t="s">
        <v>4000</v>
      </c>
      <c r="B1397" s="5" t="s">
        <v>110</v>
      </c>
      <c r="C1397" s="6" t="s">
        <v>13</v>
      </c>
      <c r="D1397" s="5" t="s">
        <v>3993</v>
      </c>
      <c r="E1397" s="5" t="s">
        <v>84</v>
      </c>
      <c r="F1397" s="5" t="s">
        <v>3998</v>
      </c>
      <c r="G1397" s="5" t="s">
        <v>91</v>
      </c>
      <c r="H1397" s="5" t="s">
        <v>18</v>
      </c>
      <c r="I1397" s="7" t="s">
        <v>4001</v>
      </c>
      <c r="J1397" s="8" t="s">
        <v>13</v>
      </c>
    </row>
    <row r="1398">
      <c r="A1398" s="5" t="s">
        <v>4002</v>
      </c>
      <c r="B1398" s="5" t="s">
        <v>2181</v>
      </c>
      <c r="C1398" s="6" t="s">
        <v>13</v>
      </c>
      <c r="D1398" s="5" t="s">
        <v>3993</v>
      </c>
      <c r="E1398" s="5" t="s">
        <v>106</v>
      </c>
      <c r="F1398" s="5" t="s">
        <v>169</v>
      </c>
      <c r="G1398" s="5" t="s">
        <v>44</v>
      </c>
      <c r="H1398" s="5" t="s">
        <v>18</v>
      </c>
      <c r="I1398" s="7" t="s">
        <v>4003</v>
      </c>
      <c r="J1398" s="8" t="s">
        <v>13</v>
      </c>
    </row>
    <row r="1399">
      <c r="A1399" s="5" t="s">
        <v>4004</v>
      </c>
      <c r="B1399" s="5" t="s">
        <v>3886</v>
      </c>
      <c r="C1399" s="6" t="s">
        <v>13</v>
      </c>
      <c r="D1399" s="5" t="s">
        <v>3993</v>
      </c>
      <c r="E1399" s="5" t="s">
        <v>125</v>
      </c>
      <c r="F1399" s="5" t="s">
        <v>85</v>
      </c>
      <c r="G1399" s="5" t="s">
        <v>86</v>
      </c>
      <c r="H1399" s="5" t="s">
        <v>18</v>
      </c>
      <c r="I1399" s="7" t="s">
        <v>4005</v>
      </c>
      <c r="J1399" s="8" t="s">
        <v>13</v>
      </c>
    </row>
    <row r="1400">
      <c r="A1400" s="5" t="s">
        <v>4006</v>
      </c>
      <c r="B1400" s="5" t="s">
        <v>766</v>
      </c>
      <c r="C1400" s="6" t="s">
        <v>13</v>
      </c>
      <c r="D1400" s="5" t="s">
        <v>4007</v>
      </c>
      <c r="E1400" s="5" t="s">
        <v>399</v>
      </c>
      <c r="F1400" s="5" t="s">
        <v>2110</v>
      </c>
      <c r="G1400" s="5" t="s">
        <v>962</v>
      </c>
      <c r="H1400" s="5" t="s">
        <v>18</v>
      </c>
      <c r="I1400" s="7" t="s">
        <v>4008</v>
      </c>
      <c r="J1400" s="8" t="s">
        <v>13</v>
      </c>
    </row>
    <row r="1401">
      <c r="A1401" s="5" t="s">
        <v>4009</v>
      </c>
      <c r="B1401" s="5" t="s">
        <v>4010</v>
      </c>
      <c r="C1401" s="6" t="s">
        <v>13</v>
      </c>
      <c r="D1401" s="5" t="s">
        <v>4007</v>
      </c>
      <c r="F1401" s="5" t="s">
        <v>2110</v>
      </c>
      <c r="G1401" s="5" t="s">
        <v>962</v>
      </c>
      <c r="H1401" s="5" t="s">
        <v>18</v>
      </c>
      <c r="I1401" s="7" t="s">
        <v>4011</v>
      </c>
      <c r="J1401" s="8" t="s">
        <v>13</v>
      </c>
    </row>
    <row r="1402">
      <c r="A1402" s="5" t="s">
        <v>4012</v>
      </c>
      <c r="B1402" s="5" t="s">
        <v>4013</v>
      </c>
      <c r="C1402" s="6" t="s">
        <v>13</v>
      </c>
      <c r="D1402" s="5" t="s">
        <v>4007</v>
      </c>
      <c r="E1402" s="5" t="s">
        <v>399</v>
      </c>
      <c r="F1402" s="5" t="s">
        <v>311</v>
      </c>
      <c r="G1402" s="5" t="s">
        <v>102</v>
      </c>
      <c r="H1402" s="5" t="s">
        <v>18</v>
      </c>
      <c r="I1402" s="7" t="s">
        <v>4014</v>
      </c>
      <c r="J1402" s="8" t="s">
        <v>13</v>
      </c>
    </row>
    <row r="1403">
      <c r="A1403" s="5" t="s">
        <v>4015</v>
      </c>
      <c r="B1403" s="5" t="s">
        <v>747</v>
      </c>
      <c r="C1403" s="6" t="s">
        <v>13</v>
      </c>
      <c r="D1403" s="5" t="s">
        <v>4016</v>
      </c>
      <c r="E1403" s="5" t="s">
        <v>74</v>
      </c>
      <c r="F1403" s="6" t="s">
        <v>377</v>
      </c>
      <c r="G1403" s="6" t="s">
        <v>378</v>
      </c>
      <c r="H1403" s="5" t="s">
        <v>18</v>
      </c>
      <c r="I1403" s="7" t="s">
        <v>4017</v>
      </c>
      <c r="J1403" s="8" t="s">
        <v>13</v>
      </c>
    </row>
    <row r="1404">
      <c r="A1404" s="5" t="s">
        <v>4018</v>
      </c>
      <c r="B1404" s="5" t="s">
        <v>4019</v>
      </c>
      <c r="C1404" s="6" t="s">
        <v>13</v>
      </c>
      <c r="D1404" s="5" t="s">
        <v>4016</v>
      </c>
      <c r="E1404" s="5" t="s">
        <v>1587</v>
      </c>
      <c r="F1404" s="5" t="s">
        <v>2209</v>
      </c>
      <c r="G1404" s="5" t="s">
        <v>137</v>
      </c>
      <c r="H1404" s="5" t="s">
        <v>18</v>
      </c>
      <c r="I1404" s="7" t="s">
        <v>4020</v>
      </c>
      <c r="J1404" s="8" t="s">
        <v>13</v>
      </c>
    </row>
    <row r="1405">
      <c r="A1405" s="5" t="s">
        <v>4021</v>
      </c>
      <c r="B1405" s="5" t="s">
        <v>25</v>
      </c>
      <c r="C1405" s="6" t="s">
        <v>13</v>
      </c>
      <c r="D1405" s="5" t="s">
        <v>4016</v>
      </c>
      <c r="E1405" s="5" t="s">
        <v>1623</v>
      </c>
      <c r="F1405" s="5" t="s">
        <v>4022</v>
      </c>
      <c r="G1405" s="5" t="s">
        <v>224</v>
      </c>
      <c r="H1405" s="5" t="s">
        <v>18</v>
      </c>
      <c r="I1405" s="7" t="s">
        <v>4023</v>
      </c>
      <c r="J1405" s="8" t="s">
        <v>13</v>
      </c>
    </row>
    <row r="1406">
      <c r="A1406" s="5" t="s">
        <v>4024</v>
      </c>
      <c r="B1406" s="5" t="s">
        <v>4025</v>
      </c>
      <c r="C1406" s="6" t="s">
        <v>13</v>
      </c>
      <c r="D1406" s="5" t="s">
        <v>4016</v>
      </c>
      <c r="E1406" s="5" t="s">
        <v>784</v>
      </c>
      <c r="F1406" s="5" t="s">
        <v>4026</v>
      </c>
      <c r="G1406" s="5" t="s">
        <v>954</v>
      </c>
      <c r="H1406" s="5" t="s">
        <v>18</v>
      </c>
      <c r="I1406" s="7" t="s">
        <v>4027</v>
      </c>
      <c r="J1406" s="8" t="s">
        <v>13</v>
      </c>
    </row>
    <row r="1407">
      <c r="A1407" s="5" t="s">
        <v>4024</v>
      </c>
      <c r="B1407" s="5" t="s">
        <v>4025</v>
      </c>
      <c r="C1407" s="6" t="s">
        <v>13</v>
      </c>
      <c r="D1407" s="5" t="s">
        <v>4016</v>
      </c>
      <c r="E1407" s="5" t="s">
        <v>784</v>
      </c>
      <c r="F1407" s="5" t="s">
        <v>4026</v>
      </c>
      <c r="G1407" s="5" t="s">
        <v>954</v>
      </c>
      <c r="H1407" s="5" t="s">
        <v>18</v>
      </c>
      <c r="I1407" s="7" t="s">
        <v>4027</v>
      </c>
      <c r="J1407" s="8" t="s">
        <v>13</v>
      </c>
    </row>
    <row r="1408">
      <c r="A1408" s="5" t="s">
        <v>4028</v>
      </c>
      <c r="B1408" s="5" t="s">
        <v>4029</v>
      </c>
      <c r="C1408" s="6" t="s">
        <v>13</v>
      </c>
      <c r="D1408" s="5" t="s">
        <v>4016</v>
      </c>
      <c r="E1408" s="5" t="s">
        <v>4030</v>
      </c>
      <c r="F1408" s="5" t="s">
        <v>1274</v>
      </c>
      <c r="G1408" s="5" t="s">
        <v>76</v>
      </c>
      <c r="H1408" s="5" t="s">
        <v>18</v>
      </c>
      <c r="I1408" s="7" t="s">
        <v>4031</v>
      </c>
      <c r="J1408" s="8" t="s">
        <v>13</v>
      </c>
    </row>
    <row r="1409">
      <c r="A1409" s="5" t="s">
        <v>4032</v>
      </c>
      <c r="B1409" s="5" t="s">
        <v>25</v>
      </c>
      <c r="C1409" s="6" t="s">
        <v>13</v>
      </c>
      <c r="D1409" s="5" t="s">
        <v>4016</v>
      </c>
      <c r="E1409" s="5" t="s">
        <v>4033</v>
      </c>
      <c r="F1409" s="5" t="s">
        <v>635</v>
      </c>
      <c r="G1409" s="5" t="s">
        <v>76</v>
      </c>
      <c r="H1409" s="5" t="s">
        <v>18</v>
      </c>
      <c r="I1409" s="7" t="s">
        <v>4034</v>
      </c>
      <c r="J1409" s="8" t="s">
        <v>13</v>
      </c>
    </row>
    <row r="1410">
      <c r="A1410" s="5" t="s">
        <v>4035</v>
      </c>
      <c r="B1410" s="5" t="s">
        <v>4036</v>
      </c>
      <c r="C1410" s="6" t="s">
        <v>13</v>
      </c>
      <c r="D1410" s="5" t="s">
        <v>4016</v>
      </c>
      <c r="E1410" s="5" t="s">
        <v>2670</v>
      </c>
      <c r="F1410" s="5" t="s">
        <v>75</v>
      </c>
      <c r="G1410" s="5" t="s">
        <v>76</v>
      </c>
      <c r="H1410" s="5" t="s">
        <v>18</v>
      </c>
      <c r="I1410" s="7" t="s">
        <v>4037</v>
      </c>
      <c r="J1410" s="8" t="s">
        <v>13</v>
      </c>
    </row>
    <row r="1411">
      <c r="A1411" s="5" t="s">
        <v>4038</v>
      </c>
      <c r="B1411" s="5" t="s">
        <v>25</v>
      </c>
      <c r="C1411" s="6" t="s">
        <v>13</v>
      </c>
      <c r="D1411" s="5" t="s">
        <v>4016</v>
      </c>
      <c r="E1411" s="5" t="s">
        <v>570</v>
      </c>
      <c r="F1411" s="5" t="s">
        <v>80</v>
      </c>
      <c r="G1411" s="5" t="s">
        <v>38</v>
      </c>
      <c r="H1411" s="5" t="s">
        <v>18</v>
      </c>
      <c r="I1411" s="7" t="s">
        <v>4039</v>
      </c>
      <c r="J1411" s="8" t="s">
        <v>13</v>
      </c>
    </row>
    <row r="1412">
      <c r="A1412" s="5" t="s">
        <v>4040</v>
      </c>
      <c r="B1412" s="5" t="s">
        <v>4041</v>
      </c>
      <c r="C1412" s="6" t="s">
        <v>13</v>
      </c>
      <c r="D1412" s="5" t="s">
        <v>4016</v>
      </c>
      <c r="E1412" s="5" t="s">
        <v>268</v>
      </c>
      <c r="F1412" s="5" t="s">
        <v>4042</v>
      </c>
      <c r="G1412" s="5" t="s">
        <v>65</v>
      </c>
      <c r="H1412" s="5" t="s">
        <v>18</v>
      </c>
      <c r="I1412" s="7" t="s">
        <v>4043</v>
      </c>
      <c r="J1412" s="8" t="s">
        <v>13</v>
      </c>
    </row>
    <row r="1413">
      <c r="A1413" s="5" t="s">
        <v>4044</v>
      </c>
      <c r="B1413" s="5" t="s">
        <v>25</v>
      </c>
      <c r="C1413" s="6" t="s">
        <v>13</v>
      </c>
      <c r="D1413" s="5" t="s">
        <v>4016</v>
      </c>
      <c r="E1413" s="5" t="s">
        <v>3429</v>
      </c>
      <c r="F1413" s="5" t="s">
        <v>2536</v>
      </c>
      <c r="G1413" s="5" t="s">
        <v>86</v>
      </c>
      <c r="H1413" s="5" t="s">
        <v>18</v>
      </c>
      <c r="I1413" s="7" t="s">
        <v>4045</v>
      </c>
      <c r="J1413" s="8" t="s">
        <v>13</v>
      </c>
    </row>
    <row r="1414">
      <c r="A1414" s="5" t="s">
        <v>4046</v>
      </c>
      <c r="B1414" s="5" t="s">
        <v>4019</v>
      </c>
      <c r="C1414" s="6" t="s">
        <v>13</v>
      </c>
      <c r="D1414" s="5" t="s">
        <v>4016</v>
      </c>
      <c r="F1414" s="5" t="s">
        <v>4047</v>
      </c>
      <c r="G1414" s="5" t="s">
        <v>44</v>
      </c>
      <c r="H1414" s="5" t="s">
        <v>18</v>
      </c>
      <c r="I1414" s="7" t="s">
        <v>4048</v>
      </c>
      <c r="J1414" s="8" t="s">
        <v>13</v>
      </c>
    </row>
    <row r="1415">
      <c r="A1415" s="5" t="s">
        <v>4049</v>
      </c>
      <c r="B1415" s="5" t="s">
        <v>4050</v>
      </c>
      <c r="C1415" s="6" t="s">
        <v>13</v>
      </c>
      <c r="D1415" s="5" t="s">
        <v>4016</v>
      </c>
      <c r="E1415" s="5" t="s">
        <v>1629</v>
      </c>
      <c r="F1415" s="5" t="s">
        <v>1187</v>
      </c>
      <c r="G1415" s="5" t="s">
        <v>96</v>
      </c>
      <c r="H1415" s="5" t="s">
        <v>18</v>
      </c>
      <c r="I1415" s="7" t="s">
        <v>4051</v>
      </c>
      <c r="J1415" s="8" t="s">
        <v>13</v>
      </c>
    </row>
    <row r="1416">
      <c r="A1416" s="5" t="s">
        <v>4052</v>
      </c>
      <c r="B1416" s="5" t="s">
        <v>4053</v>
      </c>
      <c r="C1416" s="6" t="s">
        <v>13</v>
      </c>
      <c r="D1416" s="5" t="s">
        <v>4016</v>
      </c>
      <c r="E1416" s="5" t="s">
        <v>1068</v>
      </c>
      <c r="F1416" s="5" t="s">
        <v>4054</v>
      </c>
      <c r="G1416" s="5" t="s">
        <v>219</v>
      </c>
      <c r="H1416" s="5" t="s">
        <v>18</v>
      </c>
      <c r="I1416" s="7" t="s">
        <v>4055</v>
      </c>
      <c r="J1416" s="8" t="s">
        <v>13</v>
      </c>
    </row>
    <row r="1417">
      <c r="A1417" s="5" t="s">
        <v>4056</v>
      </c>
      <c r="B1417" s="5" t="s">
        <v>804</v>
      </c>
      <c r="C1417" s="6" t="s">
        <v>13</v>
      </c>
      <c r="D1417" s="5" t="s">
        <v>4016</v>
      </c>
      <c r="E1417" s="5" t="s">
        <v>121</v>
      </c>
      <c r="F1417" s="5" t="s">
        <v>112</v>
      </c>
      <c r="G1417" s="5" t="s">
        <v>38</v>
      </c>
      <c r="H1417" s="5" t="s">
        <v>18</v>
      </c>
      <c r="I1417" s="7" t="s">
        <v>4057</v>
      </c>
      <c r="J1417" s="8" t="s">
        <v>13</v>
      </c>
    </row>
    <row r="1418">
      <c r="A1418" s="5" t="s">
        <v>4058</v>
      </c>
      <c r="B1418" s="5" t="s">
        <v>4059</v>
      </c>
      <c r="C1418" s="6" t="s">
        <v>13</v>
      </c>
      <c r="D1418" s="5" t="s">
        <v>4016</v>
      </c>
      <c r="E1418" s="5" t="s">
        <v>84</v>
      </c>
      <c r="F1418" s="5" t="s">
        <v>2100</v>
      </c>
      <c r="G1418" s="5" t="s">
        <v>264</v>
      </c>
      <c r="H1418" s="5" t="s">
        <v>18</v>
      </c>
      <c r="I1418" s="7" t="s">
        <v>4060</v>
      </c>
      <c r="J1418" s="8" t="s">
        <v>13</v>
      </c>
    </row>
    <row r="1419">
      <c r="A1419" s="5" t="s">
        <v>4061</v>
      </c>
      <c r="B1419" s="5" t="s">
        <v>32</v>
      </c>
      <c r="C1419" s="6" t="s">
        <v>13</v>
      </c>
      <c r="D1419" s="5" t="s">
        <v>4016</v>
      </c>
      <c r="E1419" s="5" t="s">
        <v>980</v>
      </c>
      <c r="F1419" s="5" t="s">
        <v>122</v>
      </c>
      <c r="G1419" s="5" t="s">
        <v>44</v>
      </c>
      <c r="H1419" s="5" t="s">
        <v>18</v>
      </c>
      <c r="I1419" s="7" t="s">
        <v>4062</v>
      </c>
      <c r="J1419" s="8" t="s">
        <v>13</v>
      </c>
    </row>
    <row r="1420">
      <c r="A1420" s="5" t="s">
        <v>4063</v>
      </c>
      <c r="B1420" s="5" t="s">
        <v>4064</v>
      </c>
      <c r="C1420" s="6" t="s">
        <v>13</v>
      </c>
      <c r="D1420" s="5" t="s">
        <v>4016</v>
      </c>
      <c r="E1420" s="5" t="s">
        <v>74</v>
      </c>
      <c r="F1420" s="5" t="s">
        <v>862</v>
      </c>
      <c r="G1420" s="5" t="s">
        <v>184</v>
      </c>
      <c r="H1420" s="5" t="s">
        <v>18</v>
      </c>
      <c r="I1420" s="7" t="s">
        <v>4065</v>
      </c>
      <c r="J1420" s="8" t="s">
        <v>13</v>
      </c>
    </row>
    <row r="1421">
      <c r="A1421" s="5" t="s">
        <v>4066</v>
      </c>
      <c r="B1421" s="5" t="s">
        <v>4059</v>
      </c>
      <c r="C1421" s="6" t="s">
        <v>13</v>
      </c>
      <c r="D1421" s="5" t="s">
        <v>4016</v>
      </c>
      <c r="E1421" s="5" t="s">
        <v>207</v>
      </c>
      <c r="F1421" s="5" t="s">
        <v>953</v>
      </c>
      <c r="G1421" s="5" t="s">
        <v>954</v>
      </c>
      <c r="H1421" s="5" t="s">
        <v>18</v>
      </c>
      <c r="I1421" s="7" t="s">
        <v>4067</v>
      </c>
      <c r="J1421" s="8" t="s">
        <v>13</v>
      </c>
    </row>
    <row r="1422">
      <c r="A1422" s="5" t="s">
        <v>4068</v>
      </c>
      <c r="B1422" s="5" t="s">
        <v>4069</v>
      </c>
      <c r="C1422" s="6" t="s">
        <v>13</v>
      </c>
      <c r="D1422" s="5" t="s">
        <v>4016</v>
      </c>
      <c r="E1422" s="5" t="s">
        <v>822</v>
      </c>
      <c r="F1422" s="5" t="s">
        <v>953</v>
      </c>
      <c r="G1422" s="5" t="s">
        <v>954</v>
      </c>
      <c r="H1422" s="5" t="s">
        <v>18</v>
      </c>
      <c r="I1422" s="7" t="s">
        <v>4070</v>
      </c>
      <c r="J1422" s="8" t="s">
        <v>13</v>
      </c>
    </row>
    <row r="1423">
      <c r="A1423" s="5" t="s">
        <v>4071</v>
      </c>
      <c r="B1423" s="5" t="s">
        <v>47</v>
      </c>
      <c r="C1423" s="6" t="s">
        <v>13</v>
      </c>
      <c r="D1423" s="5" t="s">
        <v>4016</v>
      </c>
      <c r="E1423" s="5" t="s">
        <v>3110</v>
      </c>
      <c r="F1423" s="5" t="s">
        <v>953</v>
      </c>
      <c r="G1423" s="5" t="s">
        <v>954</v>
      </c>
      <c r="H1423" s="5" t="s">
        <v>18</v>
      </c>
      <c r="I1423" s="7" t="s">
        <v>4072</v>
      </c>
      <c r="J1423" s="8" t="s">
        <v>13</v>
      </c>
    </row>
    <row r="1424">
      <c r="A1424" s="5" t="s">
        <v>4073</v>
      </c>
      <c r="B1424" s="5" t="s">
        <v>32</v>
      </c>
      <c r="C1424" s="6" t="s">
        <v>13</v>
      </c>
      <c r="D1424" s="5" t="s">
        <v>4016</v>
      </c>
      <c r="E1424" s="5" t="s">
        <v>314</v>
      </c>
      <c r="F1424" s="5" t="s">
        <v>953</v>
      </c>
      <c r="G1424" s="5" t="s">
        <v>954</v>
      </c>
      <c r="H1424" s="5" t="s">
        <v>18</v>
      </c>
      <c r="I1424" s="7" t="s">
        <v>4074</v>
      </c>
      <c r="J1424" s="8" t="s">
        <v>13</v>
      </c>
    </row>
    <row r="1425">
      <c r="A1425" s="5" t="s">
        <v>4075</v>
      </c>
      <c r="B1425" s="5" t="s">
        <v>4076</v>
      </c>
      <c r="C1425" s="6" t="s">
        <v>13</v>
      </c>
      <c r="D1425" s="5" t="s">
        <v>4016</v>
      </c>
      <c r="E1425" s="5" t="s">
        <v>217</v>
      </c>
      <c r="F1425" s="5" t="s">
        <v>953</v>
      </c>
      <c r="G1425" s="5" t="s">
        <v>954</v>
      </c>
      <c r="H1425" s="5" t="s">
        <v>18</v>
      </c>
      <c r="I1425" s="8" t="s">
        <v>4077</v>
      </c>
      <c r="J1425" s="8" t="s">
        <v>13</v>
      </c>
    </row>
    <row r="1426">
      <c r="A1426" s="5" t="s">
        <v>4078</v>
      </c>
      <c r="B1426" s="5" t="s">
        <v>4079</v>
      </c>
      <c r="C1426" s="6" t="s">
        <v>13</v>
      </c>
      <c r="D1426" s="5" t="s">
        <v>4016</v>
      </c>
      <c r="E1426" s="5" t="s">
        <v>268</v>
      </c>
      <c r="F1426" s="5" t="s">
        <v>953</v>
      </c>
      <c r="G1426" s="5" t="s">
        <v>954</v>
      </c>
      <c r="H1426" s="5" t="s">
        <v>18</v>
      </c>
      <c r="I1426" s="7" t="s">
        <v>4080</v>
      </c>
      <c r="J1426" s="8" t="s">
        <v>13</v>
      </c>
    </row>
    <row r="1427">
      <c r="A1427" s="5" t="s">
        <v>4081</v>
      </c>
      <c r="B1427" s="5" t="s">
        <v>4082</v>
      </c>
      <c r="C1427" s="6" t="s">
        <v>13</v>
      </c>
      <c r="D1427" s="5" t="s">
        <v>4016</v>
      </c>
      <c r="E1427" s="5" t="s">
        <v>1759</v>
      </c>
      <c r="F1427" s="5" t="s">
        <v>953</v>
      </c>
      <c r="G1427" s="5" t="s">
        <v>954</v>
      </c>
      <c r="H1427" s="5" t="s">
        <v>18</v>
      </c>
      <c r="I1427" s="7" t="s">
        <v>4083</v>
      </c>
      <c r="J1427" s="8" t="s">
        <v>13</v>
      </c>
    </row>
    <row r="1428">
      <c r="A1428" s="5" t="s">
        <v>4084</v>
      </c>
      <c r="B1428" s="5" t="s">
        <v>4029</v>
      </c>
      <c r="C1428" s="6" t="s">
        <v>13</v>
      </c>
      <c r="D1428" s="5" t="s">
        <v>4016</v>
      </c>
      <c r="E1428" s="5" t="s">
        <v>822</v>
      </c>
      <c r="F1428" s="5" t="s">
        <v>953</v>
      </c>
      <c r="G1428" s="5" t="s">
        <v>954</v>
      </c>
      <c r="H1428" s="5" t="s">
        <v>18</v>
      </c>
      <c r="I1428" s="7" t="s">
        <v>4085</v>
      </c>
      <c r="J1428" s="8" t="s">
        <v>13</v>
      </c>
    </row>
    <row r="1429">
      <c r="A1429" s="5" t="s">
        <v>4086</v>
      </c>
      <c r="B1429" s="5" t="s">
        <v>4087</v>
      </c>
      <c r="C1429" s="6" t="s">
        <v>13</v>
      </c>
      <c r="D1429" s="5" t="s">
        <v>4016</v>
      </c>
      <c r="E1429" s="5" t="s">
        <v>1718</v>
      </c>
      <c r="F1429" s="5" t="s">
        <v>4088</v>
      </c>
      <c r="G1429" s="5" t="s">
        <v>184</v>
      </c>
      <c r="H1429" s="5" t="s">
        <v>18</v>
      </c>
      <c r="I1429" s="7" t="s">
        <v>4089</v>
      </c>
      <c r="J1429" s="8" t="s">
        <v>13</v>
      </c>
    </row>
    <row r="1430">
      <c r="A1430" s="5" t="s">
        <v>4090</v>
      </c>
      <c r="B1430" s="5" t="s">
        <v>25</v>
      </c>
      <c r="C1430" s="6" t="s">
        <v>13</v>
      </c>
      <c r="D1430" s="5" t="s">
        <v>4016</v>
      </c>
      <c r="E1430" s="5" t="s">
        <v>1357</v>
      </c>
      <c r="F1430" s="5" t="s">
        <v>137</v>
      </c>
      <c r="G1430" s="5" t="s">
        <v>137</v>
      </c>
      <c r="H1430" s="5" t="s">
        <v>18</v>
      </c>
      <c r="I1430" s="7" t="s">
        <v>4091</v>
      </c>
      <c r="J1430" s="8" t="s">
        <v>13</v>
      </c>
    </row>
    <row r="1431">
      <c r="A1431" s="5" t="s">
        <v>4092</v>
      </c>
      <c r="B1431" s="5" t="s">
        <v>4093</v>
      </c>
      <c r="C1431" s="6" t="s">
        <v>13</v>
      </c>
      <c r="D1431" s="5" t="s">
        <v>4016</v>
      </c>
      <c r="E1431" s="5" t="s">
        <v>1892</v>
      </c>
      <c r="F1431" s="5" t="s">
        <v>153</v>
      </c>
      <c r="G1431" s="5" t="s">
        <v>154</v>
      </c>
      <c r="H1431" s="5" t="s">
        <v>18</v>
      </c>
      <c r="I1431" s="7" t="s">
        <v>4094</v>
      </c>
      <c r="J1431" s="8" t="s">
        <v>13</v>
      </c>
    </row>
    <row r="1432">
      <c r="A1432" s="5" t="s">
        <v>4092</v>
      </c>
      <c r="B1432" s="5" t="s">
        <v>4093</v>
      </c>
      <c r="C1432" s="6" t="s">
        <v>13</v>
      </c>
      <c r="D1432" s="5" t="s">
        <v>4016</v>
      </c>
      <c r="E1432" s="5" t="s">
        <v>1892</v>
      </c>
      <c r="F1432" s="5" t="s">
        <v>153</v>
      </c>
      <c r="G1432" s="5" t="s">
        <v>154</v>
      </c>
      <c r="H1432" s="5" t="s">
        <v>18</v>
      </c>
      <c r="I1432" s="7" t="s">
        <v>4094</v>
      </c>
      <c r="J1432" s="8" t="s">
        <v>13</v>
      </c>
    </row>
    <row r="1433">
      <c r="A1433" s="5" t="s">
        <v>4095</v>
      </c>
      <c r="B1433" s="5" t="s">
        <v>32</v>
      </c>
      <c r="C1433" s="6" t="s">
        <v>13</v>
      </c>
      <c r="D1433" s="5" t="s">
        <v>4016</v>
      </c>
      <c r="E1433" s="5" t="s">
        <v>1460</v>
      </c>
      <c r="F1433" s="5" t="s">
        <v>1867</v>
      </c>
      <c r="G1433" s="5" t="s">
        <v>44</v>
      </c>
      <c r="H1433" s="5" t="s">
        <v>18</v>
      </c>
      <c r="I1433" s="7" t="s">
        <v>4096</v>
      </c>
      <c r="J1433" s="8" t="s">
        <v>13</v>
      </c>
    </row>
    <row r="1434">
      <c r="A1434" s="5" t="s">
        <v>4097</v>
      </c>
      <c r="B1434" s="5" t="s">
        <v>4098</v>
      </c>
      <c r="C1434" s="6" t="s">
        <v>13</v>
      </c>
      <c r="D1434" s="5" t="s">
        <v>4016</v>
      </c>
      <c r="F1434" s="5" t="s">
        <v>669</v>
      </c>
      <c r="G1434" s="5" t="s">
        <v>17</v>
      </c>
      <c r="H1434" s="5" t="s">
        <v>18</v>
      </c>
      <c r="I1434" s="8" t="s">
        <v>4099</v>
      </c>
      <c r="J1434" s="8" t="s">
        <v>13</v>
      </c>
    </row>
    <row r="1435">
      <c r="A1435" s="5" t="s">
        <v>4100</v>
      </c>
      <c r="B1435" s="5" t="s">
        <v>4101</v>
      </c>
      <c r="C1435" s="6" t="s">
        <v>13</v>
      </c>
      <c r="D1435" s="5" t="s">
        <v>4016</v>
      </c>
      <c r="E1435" s="5" t="s">
        <v>149</v>
      </c>
      <c r="F1435" s="5" t="s">
        <v>1391</v>
      </c>
      <c r="G1435" s="5" t="s">
        <v>954</v>
      </c>
      <c r="H1435" s="5" t="s">
        <v>18</v>
      </c>
      <c r="I1435" s="7" t="s">
        <v>4102</v>
      </c>
      <c r="J1435" s="8" t="s">
        <v>13</v>
      </c>
    </row>
    <row r="1436">
      <c r="A1436" s="5" t="s">
        <v>4103</v>
      </c>
      <c r="B1436" s="5" t="s">
        <v>4104</v>
      </c>
      <c r="C1436" s="6" t="s">
        <v>13</v>
      </c>
      <c r="D1436" s="5" t="s">
        <v>4016</v>
      </c>
      <c r="E1436" s="5" t="s">
        <v>4105</v>
      </c>
      <c r="F1436" s="5" t="s">
        <v>4106</v>
      </c>
      <c r="G1436" s="5" t="s">
        <v>962</v>
      </c>
      <c r="H1436" s="5" t="s">
        <v>18</v>
      </c>
      <c r="I1436" s="7" t="s">
        <v>4107</v>
      </c>
      <c r="J1436" s="8" t="s">
        <v>13</v>
      </c>
    </row>
    <row r="1437">
      <c r="A1437" s="5" t="s">
        <v>4108</v>
      </c>
      <c r="B1437" s="5" t="s">
        <v>25</v>
      </c>
      <c r="C1437" s="6" t="s">
        <v>13</v>
      </c>
      <c r="D1437" s="5" t="s">
        <v>4016</v>
      </c>
      <c r="F1437" s="5" t="s">
        <v>953</v>
      </c>
      <c r="G1437" s="5" t="s">
        <v>954</v>
      </c>
      <c r="H1437" s="5" t="s">
        <v>18</v>
      </c>
      <c r="I1437" s="7" t="s">
        <v>4109</v>
      </c>
      <c r="J1437" s="8" t="s">
        <v>13</v>
      </c>
    </row>
    <row r="1438">
      <c r="A1438" s="5" t="s">
        <v>4110</v>
      </c>
      <c r="B1438" s="5" t="s">
        <v>25</v>
      </c>
      <c r="C1438" s="6" t="s">
        <v>13</v>
      </c>
      <c r="D1438" s="5" t="s">
        <v>4111</v>
      </c>
      <c r="E1438" s="5" t="s">
        <v>430</v>
      </c>
      <c r="F1438" s="5" t="s">
        <v>137</v>
      </c>
      <c r="G1438" s="5" t="s">
        <v>137</v>
      </c>
      <c r="H1438" s="5" t="s">
        <v>18</v>
      </c>
      <c r="I1438" s="7" t="s">
        <v>4112</v>
      </c>
      <c r="J1438" s="8" t="s">
        <v>13</v>
      </c>
    </row>
    <row r="1439">
      <c r="A1439" s="5" t="s">
        <v>4113</v>
      </c>
      <c r="B1439" s="5" t="s">
        <v>25</v>
      </c>
      <c r="C1439" s="6" t="s">
        <v>13</v>
      </c>
      <c r="D1439" s="5" t="s">
        <v>4111</v>
      </c>
      <c r="F1439" s="5" t="s">
        <v>137</v>
      </c>
      <c r="G1439" s="5" t="s">
        <v>137</v>
      </c>
      <c r="H1439" s="5" t="s">
        <v>18</v>
      </c>
      <c r="I1439" s="7" t="s">
        <v>4114</v>
      </c>
      <c r="J1439" s="8" t="s">
        <v>13</v>
      </c>
    </row>
    <row r="1440">
      <c r="A1440" s="5" t="s">
        <v>4115</v>
      </c>
      <c r="B1440" s="5" t="s">
        <v>25</v>
      </c>
      <c r="C1440" s="6" t="s">
        <v>13</v>
      </c>
      <c r="D1440" s="5" t="s">
        <v>4111</v>
      </c>
      <c r="E1440" s="5" t="s">
        <v>446</v>
      </c>
      <c r="F1440" s="5" t="s">
        <v>166</v>
      </c>
      <c r="G1440" s="5" t="s">
        <v>44</v>
      </c>
      <c r="H1440" s="5" t="s">
        <v>18</v>
      </c>
      <c r="I1440" s="8" t="s">
        <v>4116</v>
      </c>
      <c r="J1440" s="8" t="s">
        <v>13</v>
      </c>
    </row>
    <row r="1441">
      <c r="A1441" s="5" t="s">
        <v>4117</v>
      </c>
      <c r="B1441" s="5" t="s">
        <v>1164</v>
      </c>
      <c r="C1441" s="6" t="s">
        <v>13</v>
      </c>
      <c r="D1441" s="5" t="s">
        <v>4118</v>
      </c>
      <c r="E1441" s="5" t="s">
        <v>1759</v>
      </c>
      <c r="F1441" s="6" t="s">
        <v>64</v>
      </c>
      <c r="G1441" s="6" t="s">
        <v>65</v>
      </c>
      <c r="H1441" s="5" t="s">
        <v>18</v>
      </c>
      <c r="I1441" s="7" t="s">
        <v>4119</v>
      </c>
      <c r="J1441" s="8" t="s">
        <v>13</v>
      </c>
    </row>
    <row r="1442">
      <c r="A1442" s="5" t="s">
        <v>4120</v>
      </c>
      <c r="B1442" s="5" t="s">
        <v>404</v>
      </c>
      <c r="C1442" s="6" t="s">
        <v>13</v>
      </c>
      <c r="D1442" s="5" t="s">
        <v>4118</v>
      </c>
      <c r="E1442" s="5" t="s">
        <v>832</v>
      </c>
      <c r="F1442" s="5" t="s">
        <v>1473</v>
      </c>
      <c r="G1442" s="5" t="s">
        <v>50</v>
      </c>
      <c r="H1442" s="5" t="s">
        <v>18</v>
      </c>
      <c r="I1442" s="7" t="s">
        <v>4121</v>
      </c>
      <c r="J1442" s="8" t="s">
        <v>13</v>
      </c>
    </row>
    <row r="1443">
      <c r="A1443" s="5" t="s">
        <v>4122</v>
      </c>
      <c r="B1443" s="5" t="s">
        <v>4123</v>
      </c>
      <c r="C1443" s="6" t="s">
        <v>13</v>
      </c>
      <c r="D1443" s="5" t="s">
        <v>4118</v>
      </c>
      <c r="E1443" s="5" t="s">
        <v>1538</v>
      </c>
      <c r="F1443" s="5" t="s">
        <v>1473</v>
      </c>
      <c r="G1443" s="5" t="s">
        <v>50</v>
      </c>
      <c r="H1443" s="5" t="s">
        <v>18</v>
      </c>
      <c r="I1443" s="8" t="s">
        <v>4124</v>
      </c>
      <c r="J1443" s="8" t="s">
        <v>13</v>
      </c>
    </row>
    <row r="1444">
      <c r="A1444" s="5" t="s">
        <v>4125</v>
      </c>
      <c r="B1444" s="5" t="s">
        <v>404</v>
      </c>
      <c r="C1444" s="6" t="s">
        <v>13</v>
      </c>
      <c r="D1444" s="5" t="s">
        <v>4118</v>
      </c>
      <c r="E1444" s="5" t="s">
        <v>283</v>
      </c>
      <c r="F1444" s="5" t="s">
        <v>295</v>
      </c>
      <c r="G1444" s="5" t="s">
        <v>154</v>
      </c>
      <c r="H1444" s="5" t="s">
        <v>18</v>
      </c>
      <c r="I1444" s="7" t="s">
        <v>4126</v>
      </c>
      <c r="J1444" s="8" t="s">
        <v>13</v>
      </c>
    </row>
    <row r="1445">
      <c r="A1445" s="5" t="s">
        <v>4127</v>
      </c>
      <c r="B1445" s="5" t="s">
        <v>404</v>
      </c>
      <c r="C1445" s="6" t="s">
        <v>13</v>
      </c>
      <c r="D1445" s="5" t="s">
        <v>4118</v>
      </c>
      <c r="E1445" s="5" t="s">
        <v>512</v>
      </c>
      <c r="F1445" s="5" t="s">
        <v>1353</v>
      </c>
      <c r="G1445" s="5" t="s">
        <v>1354</v>
      </c>
      <c r="H1445" s="5" t="s">
        <v>18</v>
      </c>
      <c r="I1445" s="7" t="s">
        <v>4128</v>
      </c>
      <c r="J1445" s="8" t="s">
        <v>13</v>
      </c>
    </row>
    <row r="1446">
      <c r="A1446" s="5" t="s">
        <v>4129</v>
      </c>
      <c r="B1446" s="5" t="s">
        <v>404</v>
      </c>
      <c r="C1446" s="6" t="s">
        <v>13</v>
      </c>
      <c r="D1446" s="5" t="s">
        <v>4118</v>
      </c>
      <c r="E1446" s="5" t="s">
        <v>512</v>
      </c>
      <c r="F1446" s="5" t="s">
        <v>169</v>
      </c>
      <c r="G1446" s="5" t="s">
        <v>44</v>
      </c>
      <c r="H1446" s="5" t="s">
        <v>18</v>
      </c>
      <c r="I1446" s="7" t="s">
        <v>4130</v>
      </c>
      <c r="J1446" s="8" t="s">
        <v>13</v>
      </c>
    </row>
    <row r="1447">
      <c r="A1447" s="5" t="s">
        <v>4131</v>
      </c>
      <c r="B1447" s="5" t="s">
        <v>4132</v>
      </c>
      <c r="C1447" s="6" t="s">
        <v>13</v>
      </c>
      <c r="D1447" s="5" t="s">
        <v>4133</v>
      </c>
      <c r="E1447" s="5" t="s">
        <v>980</v>
      </c>
      <c r="F1447" s="5" t="s">
        <v>80</v>
      </c>
      <c r="G1447" s="5" t="s">
        <v>38</v>
      </c>
      <c r="H1447" s="5" t="s">
        <v>18</v>
      </c>
      <c r="I1447" s="7" t="s">
        <v>4134</v>
      </c>
      <c r="J1447" s="8" t="s">
        <v>13</v>
      </c>
    </row>
    <row r="1448">
      <c r="A1448" s="5" t="s">
        <v>4135</v>
      </c>
      <c r="B1448" s="5" t="s">
        <v>4136</v>
      </c>
      <c r="C1448" s="6" t="s">
        <v>13</v>
      </c>
      <c r="D1448" s="5" t="s">
        <v>4133</v>
      </c>
      <c r="E1448" s="5" t="s">
        <v>1034</v>
      </c>
      <c r="F1448" s="5" t="s">
        <v>4137</v>
      </c>
      <c r="G1448" s="5" t="s">
        <v>44</v>
      </c>
      <c r="H1448" s="5" t="s">
        <v>18</v>
      </c>
      <c r="I1448" s="7" t="s">
        <v>4138</v>
      </c>
      <c r="J1448" s="8" t="s">
        <v>13</v>
      </c>
    </row>
    <row r="1449">
      <c r="A1449" s="5" t="s">
        <v>4139</v>
      </c>
      <c r="B1449" s="5" t="s">
        <v>4140</v>
      </c>
      <c r="C1449" s="6" t="s">
        <v>13</v>
      </c>
      <c r="D1449" s="5" t="s">
        <v>4133</v>
      </c>
      <c r="E1449" s="5" t="s">
        <v>4141</v>
      </c>
      <c r="F1449" s="5" t="s">
        <v>876</v>
      </c>
      <c r="G1449" s="5" t="s">
        <v>38</v>
      </c>
      <c r="H1449" s="5" t="s">
        <v>18</v>
      </c>
      <c r="I1449" s="7" t="s">
        <v>4142</v>
      </c>
      <c r="J1449" s="8" t="s">
        <v>13</v>
      </c>
    </row>
    <row r="1450">
      <c r="A1450" s="5" t="s">
        <v>4143</v>
      </c>
      <c r="B1450" s="5" t="s">
        <v>4144</v>
      </c>
      <c r="C1450" s="6" t="s">
        <v>13</v>
      </c>
      <c r="D1450" s="5" t="s">
        <v>4145</v>
      </c>
      <c r="E1450" s="5" t="s">
        <v>4146</v>
      </c>
      <c r="F1450" s="5" t="s">
        <v>1527</v>
      </c>
      <c r="G1450" s="5" t="s">
        <v>945</v>
      </c>
      <c r="H1450" s="5" t="s">
        <v>18</v>
      </c>
      <c r="I1450" s="7" t="s">
        <v>4147</v>
      </c>
      <c r="J1450" s="8" t="s">
        <v>13</v>
      </c>
    </row>
    <row r="1451">
      <c r="A1451" s="5" t="s">
        <v>4148</v>
      </c>
      <c r="B1451" s="5" t="s">
        <v>4149</v>
      </c>
      <c r="C1451" s="6" t="s">
        <v>13</v>
      </c>
      <c r="D1451" s="5" t="s">
        <v>4145</v>
      </c>
      <c r="E1451" s="5" t="s">
        <v>4150</v>
      </c>
      <c r="F1451" s="5" t="s">
        <v>953</v>
      </c>
      <c r="G1451" s="5" t="s">
        <v>954</v>
      </c>
      <c r="H1451" s="5" t="s">
        <v>18</v>
      </c>
      <c r="I1451" s="7" t="s">
        <v>4151</v>
      </c>
      <c r="J1451" s="8" t="s">
        <v>13</v>
      </c>
    </row>
    <row r="1452">
      <c r="A1452" s="5" t="s">
        <v>4152</v>
      </c>
      <c r="B1452" s="5" t="s">
        <v>4153</v>
      </c>
      <c r="C1452" s="6" t="s">
        <v>13</v>
      </c>
      <c r="D1452" s="5" t="s">
        <v>4145</v>
      </c>
      <c r="E1452" s="5" t="s">
        <v>1570</v>
      </c>
      <c r="F1452" s="5" t="s">
        <v>4154</v>
      </c>
      <c r="G1452" s="5" t="s">
        <v>945</v>
      </c>
      <c r="H1452" s="5" t="s">
        <v>18</v>
      </c>
      <c r="I1452" s="7" t="s">
        <v>4155</v>
      </c>
      <c r="J1452" s="8" t="s">
        <v>13</v>
      </c>
    </row>
    <row r="1453">
      <c r="A1453" s="5" t="s">
        <v>4156</v>
      </c>
      <c r="B1453" s="5" t="s">
        <v>4157</v>
      </c>
      <c r="C1453" s="6" t="s">
        <v>13</v>
      </c>
      <c r="D1453" s="5" t="s">
        <v>4145</v>
      </c>
      <c r="E1453" s="5" t="s">
        <v>4158</v>
      </c>
      <c r="F1453" s="5" t="s">
        <v>2339</v>
      </c>
      <c r="G1453" s="5" t="s">
        <v>781</v>
      </c>
      <c r="H1453" s="5" t="s">
        <v>18</v>
      </c>
      <c r="I1453" s="7" t="s">
        <v>4159</v>
      </c>
      <c r="J1453" s="8" t="s">
        <v>13</v>
      </c>
    </row>
    <row r="1454">
      <c r="A1454" s="5" t="s">
        <v>4160</v>
      </c>
      <c r="B1454" s="5" t="s">
        <v>4144</v>
      </c>
      <c r="C1454" s="6" t="s">
        <v>13</v>
      </c>
      <c r="D1454" s="5" t="s">
        <v>4145</v>
      </c>
      <c r="E1454" s="5" t="s">
        <v>1617</v>
      </c>
      <c r="F1454" s="5" t="s">
        <v>4161</v>
      </c>
      <c r="G1454" s="5" t="s">
        <v>38</v>
      </c>
      <c r="H1454" s="5" t="s">
        <v>18</v>
      </c>
      <c r="I1454" s="8" t="s">
        <v>4162</v>
      </c>
      <c r="J1454" s="8" t="s">
        <v>13</v>
      </c>
    </row>
    <row r="1455">
      <c r="A1455" s="5" t="s">
        <v>4160</v>
      </c>
      <c r="B1455" s="5" t="s">
        <v>4144</v>
      </c>
      <c r="C1455" s="6" t="s">
        <v>13</v>
      </c>
      <c r="D1455" s="5" t="s">
        <v>4145</v>
      </c>
      <c r="E1455" s="5" t="s">
        <v>1617</v>
      </c>
      <c r="F1455" s="5" t="s">
        <v>4161</v>
      </c>
      <c r="G1455" s="5" t="s">
        <v>38</v>
      </c>
      <c r="H1455" s="5" t="s">
        <v>18</v>
      </c>
      <c r="I1455" s="8" t="s">
        <v>4162</v>
      </c>
      <c r="J1455" s="8" t="s">
        <v>13</v>
      </c>
    </row>
    <row r="1456">
      <c r="A1456" s="5" t="s">
        <v>4163</v>
      </c>
      <c r="B1456" s="5" t="s">
        <v>4164</v>
      </c>
      <c r="C1456" s="6" t="s">
        <v>13</v>
      </c>
      <c r="D1456" s="5" t="s">
        <v>4145</v>
      </c>
      <c r="E1456" s="5" t="s">
        <v>4165</v>
      </c>
      <c r="F1456" s="5" t="s">
        <v>75</v>
      </c>
      <c r="G1456" s="5" t="s">
        <v>76</v>
      </c>
      <c r="H1456" s="5" t="s">
        <v>18</v>
      </c>
      <c r="I1456" s="8" t="s">
        <v>4166</v>
      </c>
      <c r="J1456" s="8" t="s">
        <v>13</v>
      </c>
    </row>
    <row r="1457">
      <c r="A1457" s="5" t="s">
        <v>4167</v>
      </c>
      <c r="B1457" s="5" t="s">
        <v>4168</v>
      </c>
      <c r="C1457" s="6" t="s">
        <v>13</v>
      </c>
      <c r="D1457" s="5" t="s">
        <v>4145</v>
      </c>
      <c r="E1457" s="5" t="s">
        <v>4169</v>
      </c>
      <c r="F1457" s="5" t="s">
        <v>80</v>
      </c>
      <c r="G1457" s="5" t="s">
        <v>38</v>
      </c>
      <c r="H1457" s="5" t="s">
        <v>18</v>
      </c>
      <c r="I1457" s="8" t="s">
        <v>4170</v>
      </c>
      <c r="J1457" s="8" t="s">
        <v>13</v>
      </c>
    </row>
    <row r="1458">
      <c r="A1458" s="5" t="s">
        <v>4171</v>
      </c>
      <c r="B1458" s="5" t="s">
        <v>4172</v>
      </c>
      <c r="C1458" s="6" t="s">
        <v>13</v>
      </c>
      <c r="D1458" s="5" t="s">
        <v>4145</v>
      </c>
      <c r="E1458" s="5" t="s">
        <v>570</v>
      </c>
      <c r="F1458" s="5" t="s">
        <v>80</v>
      </c>
      <c r="G1458" s="5" t="s">
        <v>38</v>
      </c>
      <c r="H1458" s="5" t="s">
        <v>18</v>
      </c>
      <c r="I1458" s="8" t="s">
        <v>4173</v>
      </c>
      <c r="J1458" s="8" t="s">
        <v>13</v>
      </c>
    </row>
    <row r="1459">
      <c r="A1459" s="5" t="s">
        <v>4174</v>
      </c>
      <c r="B1459" s="5" t="s">
        <v>4175</v>
      </c>
      <c r="C1459" s="6" t="s">
        <v>13</v>
      </c>
      <c r="D1459" s="5" t="s">
        <v>4145</v>
      </c>
      <c r="E1459" s="5" t="s">
        <v>512</v>
      </c>
      <c r="F1459" s="5" t="s">
        <v>80</v>
      </c>
      <c r="G1459" s="5" t="s">
        <v>38</v>
      </c>
      <c r="H1459" s="5" t="s">
        <v>18</v>
      </c>
      <c r="I1459" s="8" t="s">
        <v>4176</v>
      </c>
      <c r="J1459" s="8" t="s">
        <v>13</v>
      </c>
    </row>
    <row r="1460">
      <c r="A1460" s="5" t="s">
        <v>4177</v>
      </c>
      <c r="B1460" s="5" t="s">
        <v>4178</v>
      </c>
      <c r="C1460" s="6" t="s">
        <v>13</v>
      </c>
      <c r="D1460" s="5" t="s">
        <v>4145</v>
      </c>
      <c r="E1460" s="5" t="s">
        <v>1538</v>
      </c>
      <c r="F1460" s="5" t="s">
        <v>80</v>
      </c>
      <c r="G1460" s="5" t="s">
        <v>38</v>
      </c>
      <c r="H1460" s="5" t="s">
        <v>18</v>
      </c>
      <c r="I1460" s="8" t="s">
        <v>4179</v>
      </c>
      <c r="J1460" s="8" t="s">
        <v>13</v>
      </c>
    </row>
    <row r="1461">
      <c r="A1461" s="5" t="s">
        <v>4180</v>
      </c>
      <c r="B1461" s="5" t="s">
        <v>4181</v>
      </c>
      <c r="C1461" s="6" t="s">
        <v>13</v>
      </c>
      <c r="D1461" s="5" t="s">
        <v>4145</v>
      </c>
      <c r="E1461" s="5" t="s">
        <v>149</v>
      </c>
      <c r="F1461" s="5" t="s">
        <v>1527</v>
      </c>
      <c r="G1461" s="5" t="s">
        <v>945</v>
      </c>
      <c r="H1461" s="5" t="s">
        <v>18</v>
      </c>
      <c r="I1461" s="8" t="s">
        <v>4182</v>
      </c>
      <c r="J1461" s="8" t="s">
        <v>13</v>
      </c>
    </row>
    <row r="1462">
      <c r="A1462" s="5" t="s">
        <v>4183</v>
      </c>
      <c r="B1462" s="5" t="s">
        <v>25</v>
      </c>
      <c r="C1462" s="6" t="s">
        <v>13</v>
      </c>
      <c r="D1462" s="5" t="s">
        <v>4145</v>
      </c>
      <c r="E1462" s="5" t="s">
        <v>2428</v>
      </c>
      <c r="F1462" s="5" t="s">
        <v>953</v>
      </c>
      <c r="G1462" s="5" t="s">
        <v>954</v>
      </c>
      <c r="H1462" s="5" t="s">
        <v>18</v>
      </c>
      <c r="I1462" s="8" t="s">
        <v>4184</v>
      </c>
      <c r="J1462" s="8" t="s">
        <v>13</v>
      </c>
    </row>
    <row r="1463">
      <c r="A1463" s="5" t="s">
        <v>4185</v>
      </c>
      <c r="B1463" s="5" t="s">
        <v>4186</v>
      </c>
      <c r="C1463" s="6" t="s">
        <v>13</v>
      </c>
      <c r="D1463" s="5" t="s">
        <v>4145</v>
      </c>
      <c r="E1463" s="5" t="s">
        <v>1425</v>
      </c>
      <c r="F1463" s="5" t="s">
        <v>4187</v>
      </c>
      <c r="G1463" s="5" t="s">
        <v>945</v>
      </c>
      <c r="H1463" s="5" t="s">
        <v>18</v>
      </c>
      <c r="I1463" s="8" t="s">
        <v>4188</v>
      </c>
      <c r="J1463" s="8" t="s">
        <v>13</v>
      </c>
    </row>
    <row r="1464">
      <c r="A1464" s="5" t="s">
        <v>4189</v>
      </c>
      <c r="B1464" s="5" t="s">
        <v>4190</v>
      </c>
      <c r="C1464" s="6" t="s">
        <v>13</v>
      </c>
      <c r="D1464" s="5" t="s">
        <v>4191</v>
      </c>
      <c r="E1464" s="5" t="s">
        <v>36</v>
      </c>
      <c r="F1464" s="5" t="s">
        <v>4192</v>
      </c>
      <c r="G1464" s="5" t="s">
        <v>44</v>
      </c>
      <c r="H1464" s="5" t="s">
        <v>18</v>
      </c>
      <c r="I1464" s="8" t="s">
        <v>4193</v>
      </c>
      <c r="J1464" s="8" t="s">
        <v>13</v>
      </c>
    </row>
    <row r="1465">
      <c r="A1465" s="5" t="s">
        <v>4194</v>
      </c>
      <c r="B1465" s="5" t="s">
        <v>4195</v>
      </c>
      <c r="C1465" s="6" t="s">
        <v>13</v>
      </c>
      <c r="D1465" s="5" t="s">
        <v>4191</v>
      </c>
      <c r="E1465" s="5" t="s">
        <v>2322</v>
      </c>
      <c r="F1465" s="5" t="s">
        <v>85</v>
      </c>
      <c r="G1465" s="5" t="s">
        <v>86</v>
      </c>
      <c r="H1465" s="5" t="s">
        <v>18</v>
      </c>
      <c r="I1465" s="8" t="s">
        <v>4196</v>
      </c>
      <c r="J1465" s="8" t="s">
        <v>13</v>
      </c>
    </row>
    <row r="1466">
      <c r="A1466" s="5" t="s">
        <v>4197</v>
      </c>
      <c r="B1466" s="5" t="s">
        <v>4198</v>
      </c>
      <c r="C1466" s="6" t="s">
        <v>13</v>
      </c>
      <c r="D1466" s="5" t="s">
        <v>4191</v>
      </c>
      <c r="E1466" s="5" t="s">
        <v>354</v>
      </c>
      <c r="F1466" s="5" t="s">
        <v>1304</v>
      </c>
      <c r="G1466" s="5" t="s">
        <v>1305</v>
      </c>
      <c r="H1466" s="5" t="s">
        <v>18</v>
      </c>
      <c r="I1466" s="7" t="s">
        <v>4199</v>
      </c>
      <c r="J1466" s="8" t="s">
        <v>13</v>
      </c>
    </row>
    <row r="1467">
      <c r="A1467" s="5" t="s">
        <v>4200</v>
      </c>
      <c r="B1467" s="5" t="s">
        <v>4201</v>
      </c>
      <c r="C1467" s="6" t="s">
        <v>13</v>
      </c>
      <c r="D1467" s="5" t="s">
        <v>4191</v>
      </c>
      <c r="E1467" s="5" t="s">
        <v>691</v>
      </c>
      <c r="F1467" s="5" t="s">
        <v>4137</v>
      </c>
      <c r="G1467" s="5" t="s">
        <v>44</v>
      </c>
      <c r="H1467" s="5" t="s">
        <v>18</v>
      </c>
      <c r="I1467" s="7" t="s">
        <v>4202</v>
      </c>
      <c r="J1467" s="8" t="s">
        <v>13</v>
      </c>
    </row>
    <row r="1468">
      <c r="A1468" s="5" t="s">
        <v>4203</v>
      </c>
      <c r="B1468" s="5" t="s">
        <v>4204</v>
      </c>
      <c r="C1468" s="6" t="s">
        <v>13</v>
      </c>
      <c r="D1468" s="5" t="s">
        <v>4191</v>
      </c>
      <c r="E1468" s="5" t="s">
        <v>686</v>
      </c>
      <c r="F1468" s="5" t="s">
        <v>122</v>
      </c>
      <c r="G1468" s="5" t="s">
        <v>44</v>
      </c>
      <c r="H1468" s="5" t="s">
        <v>18</v>
      </c>
      <c r="I1468" s="8" t="s">
        <v>4205</v>
      </c>
      <c r="J1468" s="8" t="s">
        <v>13</v>
      </c>
    </row>
    <row r="1469">
      <c r="A1469" s="5" t="s">
        <v>4206</v>
      </c>
      <c r="B1469" s="5" t="s">
        <v>361</v>
      </c>
      <c r="C1469" s="6" t="s">
        <v>13</v>
      </c>
      <c r="D1469" s="5" t="s">
        <v>4191</v>
      </c>
      <c r="E1469" s="5" t="s">
        <v>144</v>
      </c>
      <c r="F1469" s="5" t="s">
        <v>122</v>
      </c>
      <c r="G1469" s="5" t="s">
        <v>44</v>
      </c>
      <c r="H1469" s="5" t="s">
        <v>18</v>
      </c>
      <c r="I1469" s="7" t="s">
        <v>4207</v>
      </c>
      <c r="J1469" s="8" t="s">
        <v>13</v>
      </c>
    </row>
    <row r="1470">
      <c r="A1470" s="5" t="s">
        <v>4208</v>
      </c>
      <c r="B1470" s="5" t="s">
        <v>4209</v>
      </c>
      <c r="C1470" s="6" t="s">
        <v>13</v>
      </c>
      <c r="D1470" s="5" t="s">
        <v>4191</v>
      </c>
      <c r="E1470" s="5" t="s">
        <v>886</v>
      </c>
      <c r="F1470" s="5" t="s">
        <v>122</v>
      </c>
      <c r="G1470" s="5" t="s">
        <v>44</v>
      </c>
      <c r="H1470" s="5" t="s">
        <v>18</v>
      </c>
      <c r="I1470" s="8" t="s">
        <v>4210</v>
      </c>
      <c r="J1470" s="8" t="s">
        <v>13</v>
      </c>
    </row>
    <row r="1471">
      <c r="A1471" s="5" t="s">
        <v>4211</v>
      </c>
      <c r="B1471" s="5" t="s">
        <v>4212</v>
      </c>
      <c r="C1471" s="6" t="s">
        <v>13</v>
      </c>
      <c r="D1471" s="5" t="s">
        <v>4191</v>
      </c>
      <c r="E1471" s="5" t="s">
        <v>1578</v>
      </c>
      <c r="F1471" s="5" t="s">
        <v>4213</v>
      </c>
      <c r="G1471" s="5" t="s">
        <v>203</v>
      </c>
      <c r="H1471" s="5" t="s">
        <v>18</v>
      </c>
      <c r="I1471" s="8" t="s">
        <v>4214</v>
      </c>
      <c r="J1471" s="8" t="s">
        <v>13</v>
      </c>
    </row>
    <row r="1472">
      <c r="A1472" s="5" t="s">
        <v>4215</v>
      </c>
      <c r="B1472" s="5" t="s">
        <v>4216</v>
      </c>
      <c r="C1472" s="6" t="s">
        <v>13</v>
      </c>
      <c r="D1472" s="5" t="s">
        <v>4191</v>
      </c>
      <c r="E1472" s="5" t="s">
        <v>437</v>
      </c>
      <c r="F1472" s="5" t="s">
        <v>137</v>
      </c>
      <c r="G1472" s="5" t="s">
        <v>137</v>
      </c>
      <c r="H1472" s="5" t="s">
        <v>18</v>
      </c>
      <c r="I1472" s="8" t="s">
        <v>4217</v>
      </c>
      <c r="J1472" s="8" t="s">
        <v>13</v>
      </c>
    </row>
    <row r="1473">
      <c r="A1473" s="5" t="s">
        <v>4218</v>
      </c>
      <c r="B1473" s="5" t="s">
        <v>4219</v>
      </c>
      <c r="C1473" s="6" t="s">
        <v>13</v>
      </c>
      <c r="D1473" s="5" t="s">
        <v>4191</v>
      </c>
      <c r="E1473" s="5" t="s">
        <v>1921</v>
      </c>
      <c r="F1473" s="5" t="s">
        <v>4220</v>
      </c>
      <c r="G1473" s="5" t="s">
        <v>184</v>
      </c>
      <c r="H1473" s="5" t="s">
        <v>18</v>
      </c>
      <c r="I1473" s="8" t="s">
        <v>4221</v>
      </c>
      <c r="J1473" s="8" t="s">
        <v>13</v>
      </c>
    </row>
    <row r="1474">
      <c r="A1474" s="5" t="s">
        <v>4222</v>
      </c>
      <c r="B1474" s="5" t="s">
        <v>25</v>
      </c>
      <c r="C1474" s="6" t="s">
        <v>13</v>
      </c>
      <c r="D1474" s="5" t="s">
        <v>4191</v>
      </c>
      <c r="E1474" s="5" t="s">
        <v>421</v>
      </c>
      <c r="F1474" s="5" t="s">
        <v>1437</v>
      </c>
      <c r="G1474" s="5" t="s">
        <v>203</v>
      </c>
      <c r="H1474" s="5" t="s">
        <v>18</v>
      </c>
      <c r="I1474" s="7" t="s">
        <v>4223</v>
      </c>
      <c r="J1474" s="8" t="s">
        <v>13</v>
      </c>
    </row>
    <row r="1475">
      <c r="A1475" s="5" t="s">
        <v>4224</v>
      </c>
      <c r="B1475" s="5" t="s">
        <v>4225</v>
      </c>
      <c r="C1475" s="6" t="s">
        <v>13</v>
      </c>
      <c r="D1475" s="5" t="s">
        <v>4191</v>
      </c>
      <c r="E1475" s="5" t="s">
        <v>421</v>
      </c>
      <c r="F1475" s="5" t="s">
        <v>1437</v>
      </c>
      <c r="G1475" s="5" t="s">
        <v>203</v>
      </c>
      <c r="H1475" s="5" t="s">
        <v>18</v>
      </c>
      <c r="I1475" s="8" t="s">
        <v>4226</v>
      </c>
      <c r="J1475" s="8" t="s">
        <v>13</v>
      </c>
    </row>
    <row r="1476">
      <c r="A1476" s="5" t="s">
        <v>4227</v>
      </c>
      <c r="B1476" s="5" t="s">
        <v>4228</v>
      </c>
      <c r="C1476" s="6" t="s">
        <v>13</v>
      </c>
      <c r="D1476" s="5" t="s">
        <v>4191</v>
      </c>
      <c r="E1476" s="5" t="s">
        <v>2890</v>
      </c>
      <c r="F1476" s="5" t="s">
        <v>1437</v>
      </c>
      <c r="G1476" s="5" t="s">
        <v>203</v>
      </c>
      <c r="H1476" s="5" t="s">
        <v>18</v>
      </c>
      <c r="I1476" s="8" t="s">
        <v>4229</v>
      </c>
      <c r="J1476" s="8" t="s">
        <v>13</v>
      </c>
    </row>
    <row r="1477">
      <c r="A1477" s="5" t="s">
        <v>525</v>
      </c>
      <c r="B1477" s="5" t="s">
        <v>4230</v>
      </c>
      <c r="C1477" s="6" t="s">
        <v>13</v>
      </c>
      <c r="D1477" s="5" t="s">
        <v>4191</v>
      </c>
      <c r="E1477" s="5" t="s">
        <v>63</v>
      </c>
      <c r="F1477" s="5" t="s">
        <v>1437</v>
      </c>
      <c r="G1477" s="5" t="s">
        <v>203</v>
      </c>
      <c r="H1477" s="5" t="s">
        <v>18</v>
      </c>
      <c r="I1477" s="8" t="s">
        <v>4231</v>
      </c>
      <c r="J1477" s="8" t="s">
        <v>13</v>
      </c>
    </row>
    <row r="1478">
      <c r="A1478" s="5" t="s">
        <v>4232</v>
      </c>
      <c r="B1478" s="5" t="s">
        <v>4233</v>
      </c>
      <c r="C1478" s="6" t="s">
        <v>13</v>
      </c>
      <c r="D1478" s="5" t="s">
        <v>4191</v>
      </c>
      <c r="E1478" s="5" t="s">
        <v>754</v>
      </c>
      <c r="F1478" s="5" t="s">
        <v>1437</v>
      </c>
      <c r="G1478" s="5" t="s">
        <v>203</v>
      </c>
      <c r="H1478" s="5" t="s">
        <v>18</v>
      </c>
      <c r="I1478" s="8" t="s">
        <v>4234</v>
      </c>
      <c r="J1478" s="8" t="s">
        <v>13</v>
      </c>
    </row>
    <row r="1479">
      <c r="A1479" s="5" t="s">
        <v>4235</v>
      </c>
      <c r="B1479" s="5" t="s">
        <v>25</v>
      </c>
      <c r="C1479" s="6" t="s">
        <v>13</v>
      </c>
      <c r="D1479" s="5" t="s">
        <v>4191</v>
      </c>
      <c r="E1479" s="5" t="s">
        <v>121</v>
      </c>
      <c r="F1479" s="5" t="s">
        <v>4236</v>
      </c>
      <c r="G1479" s="5" t="s">
        <v>203</v>
      </c>
      <c r="H1479" s="5" t="s">
        <v>18</v>
      </c>
      <c r="I1479" s="8" t="s">
        <v>4237</v>
      </c>
      <c r="J1479" s="8" t="s">
        <v>13</v>
      </c>
    </row>
    <row r="1480">
      <c r="A1480" s="5" t="s">
        <v>4238</v>
      </c>
      <c r="B1480" s="5" t="s">
        <v>4239</v>
      </c>
      <c r="C1480" s="6" t="s">
        <v>13</v>
      </c>
      <c r="D1480" s="5" t="s">
        <v>4191</v>
      </c>
      <c r="E1480" s="5" t="s">
        <v>36</v>
      </c>
      <c r="F1480" s="5" t="s">
        <v>4240</v>
      </c>
      <c r="G1480" s="5" t="s">
        <v>203</v>
      </c>
      <c r="H1480" s="5" t="s">
        <v>18</v>
      </c>
      <c r="I1480" s="7" t="s">
        <v>4241</v>
      </c>
      <c r="J1480" s="8" t="s">
        <v>13</v>
      </c>
    </row>
    <row r="1481">
      <c r="A1481" s="5" t="s">
        <v>4242</v>
      </c>
      <c r="B1481" s="5" t="s">
        <v>4225</v>
      </c>
      <c r="C1481" s="6" t="s">
        <v>13</v>
      </c>
      <c r="D1481" s="5" t="s">
        <v>4191</v>
      </c>
      <c r="E1481" s="5" t="s">
        <v>15</v>
      </c>
      <c r="F1481" s="5" t="s">
        <v>4240</v>
      </c>
      <c r="G1481" s="5" t="s">
        <v>203</v>
      </c>
      <c r="H1481" s="5" t="s">
        <v>18</v>
      </c>
      <c r="I1481" s="8" t="s">
        <v>4243</v>
      </c>
      <c r="J1481" s="8" t="s">
        <v>13</v>
      </c>
    </row>
    <row r="1482">
      <c r="A1482" s="5" t="s">
        <v>4244</v>
      </c>
      <c r="B1482" s="5" t="s">
        <v>4245</v>
      </c>
      <c r="C1482" s="6" t="s">
        <v>13</v>
      </c>
      <c r="D1482" s="5" t="s">
        <v>4191</v>
      </c>
      <c r="E1482" s="5" t="s">
        <v>26</v>
      </c>
      <c r="F1482" s="5" t="s">
        <v>4246</v>
      </c>
      <c r="G1482" s="5" t="s">
        <v>203</v>
      </c>
      <c r="H1482" s="5" t="s">
        <v>18</v>
      </c>
      <c r="I1482" s="8" t="s">
        <v>4247</v>
      </c>
      <c r="J1482" s="8" t="s">
        <v>13</v>
      </c>
    </row>
    <row r="1483">
      <c r="A1483" s="5" t="s">
        <v>4248</v>
      </c>
      <c r="B1483" s="5" t="s">
        <v>4249</v>
      </c>
      <c r="C1483" s="6" t="s">
        <v>13</v>
      </c>
      <c r="D1483" s="5" t="s">
        <v>4191</v>
      </c>
      <c r="E1483" s="5" t="s">
        <v>4250</v>
      </c>
      <c r="F1483" s="5" t="s">
        <v>153</v>
      </c>
      <c r="G1483" s="5" t="s">
        <v>154</v>
      </c>
      <c r="H1483" s="5" t="s">
        <v>18</v>
      </c>
      <c r="I1483" s="7" t="s">
        <v>4251</v>
      </c>
      <c r="J1483" s="8" t="s">
        <v>13</v>
      </c>
    </row>
    <row r="1484">
      <c r="A1484" s="5" t="s">
        <v>4248</v>
      </c>
      <c r="B1484" s="5" t="s">
        <v>4249</v>
      </c>
      <c r="C1484" s="6" t="s">
        <v>13</v>
      </c>
      <c r="D1484" s="5" t="s">
        <v>4191</v>
      </c>
      <c r="E1484" s="5" t="s">
        <v>4250</v>
      </c>
      <c r="F1484" s="5" t="s">
        <v>153</v>
      </c>
      <c r="G1484" s="5" t="s">
        <v>154</v>
      </c>
      <c r="H1484" s="5" t="s">
        <v>18</v>
      </c>
      <c r="I1484" s="7" t="s">
        <v>4251</v>
      </c>
      <c r="J1484" s="8" t="s">
        <v>13</v>
      </c>
    </row>
    <row r="1485">
      <c r="A1485" s="5" t="s">
        <v>4252</v>
      </c>
      <c r="B1485" s="5" t="s">
        <v>4253</v>
      </c>
      <c r="C1485" s="6" t="s">
        <v>13</v>
      </c>
      <c r="D1485" s="5" t="s">
        <v>4254</v>
      </c>
      <c r="E1485" s="5" t="s">
        <v>822</v>
      </c>
      <c r="F1485" s="5" t="s">
        <v>16</v>
      </c>
      <c r="G1485" s="5" t="s">
        <v>17</v>
      </c>
      <c r="H1485" s="5" t="s">
        <v>18</v>
      </c>
      <c r="I1485" s="8" t="s">
        <v>4255</v>
      </c>
      <c r="J1485" s="8" t="s">
        <v>13</v>
      </c>
    </row>
    <row r="1486">
      <c r="A1486" s="5" t="s">
        <v>4252</v>
      </c>
      <c r="B1486" s="5" t="s">
        <v>4253</v>
      </c>
      <c r="C1486" s="6" t="s">
        <v>13</v>
      </c>
      <c r="D1486" s="5" t="s">
        <v>4254</v>
      </c>
      <c r="E1486" s="5" t="s">
        <v>822</v>
      </c>
      <c r="F1486" s="5" t="s">
        <v>16</v>
      </c>
      <c r="G1486" s="5" t="s">
        <v>17</v>
      </c>
      <c r="H1486" s="5" t="s">
        <v>18</v>
      </c>
      <c r="I1486" s="8" t="s">
        <v>4255</v>
      </c>
      <c r="J1486" s="8" t="s">
        <v>13</v>
      </c>
    </row>
    <row r="1487">
      <c r="A1487" s="5" t="s">
        <v>4256</v>
      </c>
      <c r="B1487" s="5" t="s">
        <v>404</v>
      </c>
      <c r="C1487" s="6" t="s">
        <v>13</v>
      </c>
      <c r="D1487" s="5" t="s">
        <v>4254</v>
      </c>
      <c r="E1487" s="5" t="s">
        <v>182</v>
      </c>
      <c r="F1487" s="5" t="s">
        <v>49</v>
      </c>
      <c r="G1487" s="5" t="s">
        <v>50</v>
      </c>
      <c r="H1487" s="5" t="s">
        <v>18</v>
      </c>
      <c r="I1487" s="7" t="s">
        <v>4257</v>
      </c>
      <c r="J1487" s="8" t="s">
        <v>13</v>
      </c>
    </row>
    <row r="1488">
      <c r="A1488" s="5" t="s">
        <v>4258</v>
      </c>
      <c r="B1488" s="5" t="s">
        <v>4259</v>
      </c>
      <c r="C1488" s="6" t="s">
        <v>13</v>
      </c>
      <c r="D1488" s="5" t="s">
        <v>4254</v>
      </c>
      <c r="E1488" s="5" t="s">
        <v>339</v>
      </c>
      <c r="F1488" s="5" t="s">
        <v>49</v>
      </c>
      <c r="G1488" s="5" t="s">
        <v>50</v>
      </c>
      <c r="H1488" s="5" t="s">
        <v>18</v>
      </c>
      <c r="I1488" s="7" t="s">
        <v>4260</v>
      </c>
      <c r="J1488" s="8" t="s">
        <v>13</v>
      </c>
    </row>
    <row r="1489">
      <c r="A1489" s="5" t="s">
        <v>4261</v>
      </c>
      <c r="B1489" s="5" t="s">
        <v>404</v>
      </c>
      <c r="C1489" s="6" t="s">
        <v>13</v>
      </c>
      <c r="D1489" s="5" t="s">
        <v>4254</v>
      </c>
      <c r="E1489" s="5" t="s">
        <v>257</v>
      </c>
      <c r="F1489" s="5" t="s">
        <v>4262</v>
      </c>
      <c r="G1489" s="5" t="s">
        <v>17</v>
      </c>
      <c r="H1489" s="5" t="s">
        <v>18</v>
      </c>
      <c r="I1489" s="7" t="s">
        <v>4263</v>
      </c>
      <c r="J1489" s="8" t="s">
        <v>13</v>
      </c>
    </row>
    <row r="1490">
      <c r="A1490" s="5" t="s">
        <v>4264</v>
      </c>
      <c r="B1490" s="5" t="s">
        <v>110</v>
      </c>
      <c r="C1490" s="6" t="s">
        <v>13</v>
      </c>
      <c r="D1490" s="5" t="s">
        <v>4254</v>
      </c>
      <c r="E1490" s="5" t="s">
        <v>585</v>
      </c>
      <c r="F1490" s="5" t="s">
        <v>1473</v>
      </c>
      <c r="G1490" s="5" t="s">
        <v>50</v>
      </c>
      <c r="H1490" s="5" t="s">
        <v>18</v>
      </c>
      <c r="I1490" s="7" t="s">
        <v>4265</v>
      </c>
      <c r="J1490" s="8" t="s">
        <v>13</v>
      </c>
    </row>
    <row r="1491">
      <c r="A1491" s="5" t="s">
        <v>4266</v>
      </c>
      <c r="B1491" s="5" t="s">
        <v>404</v>
      </c>
      <c r="C1491" s="6" t="s">
        <v>13</v>
      </c>
      <c r="D1491" s="5" t="s">
        <v>4254</v>
      </c>
      <c r="E1491" s="5" t="s">
        <v>339</v>
      </c>
      <c r="F1491" s="5" t="s">
        <v>4267</v>
      </c>
      <c r="G1491" s="5" t="s">
        <v>50</v>
      </c>
      <c r="H1491" s="5" t="s">
        <v>18</v>
      </c>
      <c r="I1491" s="8" t="s">
        <v>4268</v>
      </c>
      <c r="J1491" s="8" t="s">
        <v>13</v>
      </c>
    </row>
    <row r="1492">
      <c r="A1492" s="5" t="s">
        <v>4269</v>
      </c>
      <c r="B1492" s="5" t="s">
        <v>110</v>
      </c>
      <c r="C1492" s="6" t="s">
        <v>13</v>
      </c>
      <c r="D1492" s="5" t="s">
        <v>4270</v>
      </c>
      <c r="E1492" s="5" t="s">
        <v>36</v>
      </c>
      <c r="F1492" s="5" t="s">
        <v>137</v>
      </c>
      <c r="G1492" s="5" t="s">
        <v>137</v>
      </c>
      <c r="H1492" s="5" t="s">
        <v>18</v>
      </c>
      <c r="I1492" s="7" t="s">
        <v>4271</v>
      </c>
      <c r="J1492" s="8" t="s">
        <v>13</v>
      </c>
    </row>
    <row r="1493">
      <c r="A1493" s="5" t="s">
        <v>4272</v>
      </c>
      <c r="B1493" s="5" t="s">
        <v>110</v>
      </c>
      <c r="C1493" s="6" t="s">
        <v>13</v>
      </c>
      <c r="D1493" s="5" t="s">
        <v>4270</v>
      </c>
      <c r="E1493" s="5" t="s">
        <v>79</v>
      </c>
      <c r="F1493" s="5" t="s">
        <v>1859</v>
      </c>
      <c r="G1493" s="5" t="s">
        <v>44</v>
      </c>
      <c r="H1493" s="5" t="s">
        <v>18</v>
      </c>
      <c r="I1493" s="7" t="s">
        <v>4273</v>
      </c>
      <c r="J1493" s="8" t="s">
        <v>13</v>
      </c>
    </row>
    <row r="1494">
      <c r="A1494" s="5" t="s">
        <v>4274</v>
      </c>
      <c r="B1494" s="5" t="s">
        <v>4275</v>
      </c>
      <c r="C1494" s="6" t="s">
        <v>13</v>
      </c>
      <c r="D1494" s="5" t="s">
        <v>4270</v>
      </c>
      <c r="E1494" s="5" t="s">
        <v>832</v>
      </c>
      <c r="F1494" s="5" t="s">
        <v>166</v>
      </c>
      <c r="G1494" s="5" t="s">
        <v>44</v>
      </c>
      <c r="H1494" s="5" t="s">
        <v>18</v>
      </c>
      <c r="I1494" s="8" t="s">
        <v>4276</v>
      </c>
      <c r="J1494" s="8" t="s">
        <v>13</v>
      </c>
    </row>
    <row r="1495">
      <c r="A1495" s="5" t="s">
        <v>4277</v>
      </c>
      <c r="B1495" s="5" t="s">
        <v>4278</v>
      </c>
      <c r="C1495" s="6" t="s">
        <v>4</v>
      </c>
      <c r="D1495" s="5" t="s">
        <v>4270</v>
      </c>
      <c r="E1495" s="5" t="s">
        <v>283</v>
      </c>
      <c r="F1495" s="5" t="s">
        <v>166</v>
      </c>
      <c r="G1495" s="5" t="s">
        <v>44</v>
      </c>
      <c r="H1495" s="5" t="s">
        <v>18</v>
      </c>
      <c r="I1495" s="8" t="s">
        <v>4279</v>
      </c>
      <c r="J1495" s="8" t="s">
        <v>13</v>
      </c>
    </row>
    <row r="1496">
      <c r="A1496" s="5" t="s">
        <v>4280</v>
      </c>
      <c r="B1496" s="5" t="s">
        <v>4281</v>
      </c>
      <c r="C1496" s="6" t="s">
        <v>13</v>
      </c>
      <c r="D1496" s="5" t="s">
        <v>4282</v>
      </c>
      <c r="E1496" s="5" t="s">
        <v>1950</v>
      </c>
      <c r="F1496" s="5" t="s">
        <v>137</v>
      </c>
      <c r="G1496" s="5" t="s">
        <v>137</v>
      </c>
      <c r="H1496" s="5" t="s">
        <v>18</v>
      </c>
      <c r="I1496" s="8" t="s">
        <v>4283</v>
      </c>
      <c r="J1496" s="8" t="s">
        <v>13</v>
      </c>
    </row>
    <row r="1497">
      <c r="A1497" s="5" t="s">
        <v>4284</v>
      </c>
      <c r="B1497" s="5" t="s">
        <v>515</v>
      </c>
      <c r="C1497" s="6" t="s">
        <v>13</v>
      </c>
      <c r="D1497" s="5" t="s">
        <v>4282</v>
      </c>
      <c r="E1497" s="5" t="s">
        <v>387</v>
      </c>
      <c r="F1497" s="5" t="s">
        <v>137</v>
      </c>
      <c r="G1497" s="5" t="s">
        <v>137</v>
      </c>
      <c r="H1497" s="5" t="s">
        <v>18</v>
      </c>
      <c r="I1497" s="7" t="s">
        <v>4285</v>
      </c>
      <c r="J1497" s="8" t="s">
        <v>13</v>
      </c>
    </row>
    <row r="1498">
      <c r="A1498" s="5" t="s">
        <v>4280</v>
      </c>
      <c r="B1498" s="5" t="s">
        <v>4281</v>
      </c>
      <c r="C1498" s="6" t="s">
        <v>13</v>
      </c>
      <c r="D1498" s="5" t="s">
        <v>4282</v>
      </c>
      <c r="E1498" s="5" t="s">
        <v>1950</v>
      </c>
      <c r="F1498" s="5" t="s">
        <v>137</v>
      </c>
      <c r="G1498" s="5" t="s">
        <v>137</v>
      </c>
      <c r="H1498" s="5" t="s">
        <v>18</v>
      </c>
      <c r="I1498" s="8" t="s">
        <v>4283</v>
      </c>
      <c r="J1498" s="8" t="s">
        <v>13</v>
      </c>
    </row>
    <row r="1499">
      <c r="A1499" s="5" t="s">
        <v>4286</v>
      </c>
      <c r="B1499" s="5" t="s">
        <v>4287</v>
      </c>
      <c r="C1499" s="6" t="s">
        <v>13</v>
      </c>
      <c r="D1499" s="5" t="s">
        <v>4282</v>
      </c>
      <c r="E1499" s="5" t="s">
        <v>48</v>
      </c>
      <c r="F1499" s="5" t="s">
        <v>137</v>
      </c>
      <c r="G1499" s="5" t="s">
        <v>137</v>
      </c>
      <c r="H1499" s="5" t="s">
        <v>18</v>
      </c>
      <c r="I1499" s="7" t="s">
        <v>4288</v>
      </c>
      <c r="J1499" s="8" t="s">
        <v>13</v>
      </c>
    </row>
    <row r="1500">
      <c r="A1500" s="5" t="s">
        <v>4289</v>
      </c>
      <c r="B1500" s="5" t="s">
        <v>4290</v>
      </c>
      <c r="C1500" s="6" t="s">
        <v>13</v>
      </c>
      <c r="D1500" s="5" t="s">
        <v>4291</v>
      </c>
      <c r="E1500" s="5" t="s">
        <v>15</v>
      </c>
      <c r="F1500" s="5" t="s">
        <v>16</v>
      </c>
      <c r="G1500" s="5" t="s">
        <v>17</v>
      </c>
      <c r="H1500" s="5" t="s">
        <v>18</v>
      </c>
      <c r="I1500" s="7" t="s">
        <v>4292</v>
      </c>
      <c r="J1500" s="8" t="s">
        <v>13</v>
      </c>
    </row>
    <row r="1501">
      <c r="A1501" s="5" t="s">
        <v>4293</v>
      </c>
      <c r="B1501" s="5" t="s">
        <v>4294</v>
      </c>
      <c r="C1501" s="6" t="s">
        <v>13</v>
      </c>
      <c r="D1501" s="5" t="s">
        <v>4291</v>
      </c>
      <c r="E1501" s="5" t="s">
        <v>399</v>
      </c>
      <c r="F1501" s="5" t="s">
        <v>1274</v>
      </c>
      <c r="G1501" s="5" t="s">
        <v>76</v>
      </c>
      <c r="H1501" s="5" t="s">
        <v>18</v>
      </c>
      <c r="I1501" s="7" t="s">
        <v>4295</v>
      </c>
      <c r="J1501" s="8" t="s">
        <v>13</v>
      </c>
    </row>
    <row r="1502">
      <c r="A1502" s="5" t="s">
        <v>4296</v>
      </c>
      <c r="B1502" s="5" t="s">
        <v>4297</v>
      </c>
      <c r="C1502" s="6" t="s">
        <v>13</v>
      </c>
      <c r="D1502" s="5" t="s">
        <v>4291</v>
      </c>
      <c r="E1502" s="5" t="s">
        <v>36</v>
      </c>
      <c r="F1502" s="5" t="s">
        <v>218</v>
      </c>
      <c r="G1502" s="5" t="s">
        <v>219</v>
      </c>
      <c r="H1502" s="5" t="s">
        <v>18</v>
      </c>
      <c r="I1502" s="7" t="s">
        <v>4298</v>
      </c>
      <c r="J1502" s="8" t="s">
        <v>13</v>
      </c>
    </row>
    <row r="1503">
      <c r="A1503" s="5" t="s">
        <v>4299</v>
      </c>
      <c r="B1503" s="5" t="s">
        <v>4300</v>
      </c>
      <c r="C1503" s="6" t="s">
        <v>13</v>
      </c>
      <c r="D1503" s="5" t="s">
        <v>4291</v>
      </c>
      <c r="E1503" s="5" t="s">
        <v>283</v>
      </c>
      <c r="F1503" s="5" t="s">
        <v>953</v>
      </c>
      <c r="G1503" s="5" t="s">
        <v>954</v>
      </c>
      <c r="H1503" s="5" t="s">
        <v>18</v>
      </c>
      <c r="I1503" s="7" t="s">
        <v>4301</v>
      </c>
      <c r="J1503" s="8" t="s">
        <v>13</v>
      </c>
    </row>
    <row r="1504">
      <c r="A1504" s="5" t="s">
        <v>4302</v>
      </c>
      <c r="B1504" s="5" t="s">
        <v>4303</v>
      </c>
      <c r="C1504" s="6" t="s">
        <v>13</v>
      </c>
      <c r="D1504" s="5" t="s">
        <v>4291</v>
      </c>
      <c r="E1504" s="5" t="s">
        <v>217</v>
      </c>
      <c r="F1504" s="5" t="s">
        <v>953</v>
      </c>
      <c r="G1504" s="5" t="s">
        <v>954</v>
      </c>
      <c r="H1504" s="5" t="s">
        <v>18</v>
      </c>
      <c r="I1504" s="7" t="s">
        <v>4304</v>
      </c>
      <c r="J1504" s="8" t="s">
        <v>13</v>
      </c>
    </row>
    <row r="1505">
      <c r="A1505" s="5" t="s">
        <v>4305</v>
      </c>
      <c r="B1505" s="5" t="s">
        <v>4306</v>
      </c>
      <c r="C1505" s="6" t="s">
        <v>13</v>
      </c>
      <c r="D1505" s="5" t="s">
        <v>4291</v>
      </c>
      <c r="E1505" s="5" t="s">
        <v>496</v>
      </c>
      <c r="F1505" s="5" t="s">
        <v>953</v>
      </c>
      <c r="G1505" s="5" t="s">
        <v>954</v>
      </c>
      <c r="H1505" s="5" t="s">
        <v>18</v>
      </c>
      <c r="I1505" s="8" t="s">
        <v>4307</v>
      </c>
      <c r="J1505" s="8" t="s">
        <v>13</v>
      </c>
    </row>
    <row r="1506">
      <c r="A1506" s="5" t="s">
        <v>4308</v>
      </c>
      <c r="B1506" s="5" t="s">
        <v>4309</v>
      </c>
      <c r="C1506" s="6" t="s">
        <v>13</v>
      </c>
      <c r="D1506" s="5" t="s">
        <v>4291</v>
      </c>
      <c r="E1506" s="5" t="s">
        <v>512</v>
      </c>
      <c r="F1506" s="5" t="s">
        <v>953</v>
      </c>
      <c r="G1506" s="5" t="s">
        <v>954</v>
      </c>
      <c r="H1506" s="5" t="s">
        <v>18</v>
      </c>
      <c r="I1506" s="7" t="s">
        <v>4310</v>
      </c>
      <c r="J1506" s="8" t="s">
        <v>13</v>
      </c>
    </row>
    <row r="1507">
      <c r="A1507" s="5" t="s">
        <v>4311</v>
      </c>
      <c r="B1507" s="5" t="s">
        <v>4290</v>
      </c>
      <c r="C1507" s="6" t="s">
        <v>13</v>
      </c>
      <c r="D1507" s="5" t="s">
        <v>4291</v>
      </c>
      <c r="E1507" s="5" t="s">
        <v>207</v>
      </c>
      <c r="F1507" s="5" t="s">
        <v>1353</v>
      </c>
      <c r="G1507" s="5" t="s">
        <v>1354</v>
      </c>
      <c r="H1507" s="5" t="s">
        <v>18</v>
      </c>
      <c r="I1507" s="7" t="s">
        <v>4312</v>
      </c>
      <c r="J1507" s="8" t="s">
        <v>13</v>
      </c>
    </row>
    <row r="1508">
      <c r="A1508" s="5" t="s">
        <v>4313</v>
      </c>
      <c r="B1508" s="5" t="s">
        <v>4314</v>
      </c>
      <c r="C1508" s="6" t="s">
        <v>13</v>
      </c>
      <c r="D1508" s="5" t="s">
        <v>4291</v>
      </c>
      <c r="E1508" s="5" t="s">
        <v>890</v>
      </c>
      <c r="F1508" s="5" t="s">
        <v>1022</v>
      </c>
      <c r="G1508" s="5" t="s">
        <v>264</v>
      </c>
      <c r="H1508" s="5" t="s">
        <v>18</v>
      </c>
      <c r="I1508" s="8" t="s">
        <v>4315</v>
      </c>
      <c r="J1508" s="8" t="s">
        <v>13</v>
      </c>
    </row>
    <row r="1509">
      <c r="A1509" s="5" t="s">
        <v>4316</v>
      </c>
      <c r="B1509" s="5" t="s">
        <v>4317</v>
      </c>
      <c r="C1509" s="6" t="s">
        <v>13</v>
      </c>
      <c r="D1509" s="5" t="s">
        <v>4291</v>
      </c>
      <c r="E1509" s="5" t="s">
        <v>331</v>
      </c>
      <c r="F1509" s="5" t="s">
        <v>1022</v>
      </c>
      <c r="G1509" s="5" t="s">
        <v>264</v>
      </c>
      <c r="H1509" s="5" t="s">
        <v>18</v>
      </c>
      <c r="I1509" s="7" t="s">
        <v>4318</v>
      </c>
      <c r="J1509" s="8" t="s">
        <v>13</v>
      </c>
    </row>
    <row r="1510">
      <c r="A1510" s="5" t="s">
        <v>4319</v>
      </c>
      <c r="B1510" s="5" t="s">
        <v>2181</v>
      </c>
      <c r="C1510" s="6" t="s">
        <v>13</v>
      </c>
      <c r="D1510" s="5" t="s">
        <v>4320</v>
      </c>
      <c r="E1510" s="5" t="s">
        <v>686</v>
      </c>
      <c r="F1510" s="5" t="s">
        <v>295</v>
      </c>
      <c r="G1510" s="5" t="s">
        <v>154</v>
      </c>
      <c r="H1510" s="5" t="s">
        <v>18</v>
      </c>
      <c r="I1510" s="7" t="s">
        <v>4321</v>
      </c>
      <c r="J1510" s="8" t="s">
        <v>13</v>
      </c>
    </row>
    <row r="1511">
      <c r="A1511" s="5" t="s">
        <v>4322</v>
      </c>
      <c r="B1511" s="5" t="s">
        <v>766</v>
      </c>
      <c r="C1511" s="6" t="s">
        <v>13</v>
      </c>
      <c r="D1511" s="5" t="s">
        <v>4320</v>
      </c>
      <c r="E1511" s="5" t="s">
        <v>734</v>
      </c>
      <c r="F1511" s="5" t="s">
        <v>166</v>
      </c>
      <c r="G1511" s="5" t="s">
        <v>44</v>
      </c>
      <c r="H1511" s="5" t="s">
        <v>18</v>
      </c>
      <c r="I1511" s="7" t="s">
        <v>4323</v>
      </c>
      <c r="J1511" s="8" t="s">
        <v>13</v>
      </c>
    </row>
    <row r="1512">
      <c r="A1512" s="5" t="s">
        <v>4324</v>
      </c>
      <c r="B1512" s="5" t="s">
        <v>4325</v>
      </c>
      <c r="C1512" s="6" t="s">
        <v>13</v>
      </c>
      <c r="D1512" s="5" t="s">
        <v>4320</v>
      </c>
      <c r="E1512" s="5" t="s">
        <v>100</v>
      </c>
      <c r="F1512" s="5" t="s">
        <v>166</v>
      </c>
      <c r="G1512" s="5" t="s">
        <v>44</v>
      </c>
      <c r="H1512" s="5" t="s">
        <v>18</v>
      </c>
      <c r="I1512" s="8" t="s">
        <v>4326</v>
      </c>
      <c r="J1512" s="8" t="s">
        <v>13</v>
      </c>
    </row>
    <row r="1513">
      <c r="A1513" s="5" t="s">
        <v>4327</v>
      </c>
      <c r="B1513" s="5" t="s">
        <v>2181</v>
      </c>
      <c r="C1513" s="6" t="s">
        <v>13</v>
      </c>
      <c r="D1513" s="5" t="s">
        <v>4320</v>
      </c>
      <c r="E1513" s="5" t="s">
        <v>651</v>
      </c>
      <c r="F1513" s="5" t="s">
        <v>166</v>
      </c>
      <c r="G1513" s="5" t="s">
        <v>44</v>
      </c>
      <c r="H1513" s="5" t="s">
        <v>18</v>
      </c>
      <c r="I1513" s="7" t="s">
        <v>4328</v>
      </c>
      <c r="J1513" s="8" t="s">
        <v>13</v>
      </c>
    </row>
    <row r="1514">
      <c r="A1514" s="5" t="s">
        <v>4329</v>
      </c>
      <c r="B1514" s="5" t="s">
        <v>4330</v>
      </c>
      <c r="C1514" s="6" t="s">
        <v>13</v>
      </c>
      <c r="D1514" s="5" t="s">
        <v>4320</v>
      </c>
      <c r="E1514" s="5" t="s">
        <v>651</v>
      </c>
      <c r="F1514" s="5" t="s">
        <v>166</v>
      </c>
      <c r="G1514" s="5" t="s">
        <v>44</v>
      </c>
      <c r="H1514" s="5" t="s">
        <v>18</v>
      </c>
      <c r="I1514" s="7" t="s">
        <v>4331</v>
      </c>
      <c r="J1514" s="8" t="s">
        <v>13</v>
      </c>
    </row>
    <row r="1515">
      <c r="A1515" s="5" t="s">
        <v>4332</v>
      </c>
      <c r="B1515" s="5" t="s">
        <v>4333</v>
      </c>
      <c r="C1515" s="6" t="s">
        <v>13</v>
      </c>
      <c r="D1515" s="5" t="s">
        <v>4320</v>
      </c>
      <c r="E1515" s="5" t="s">
        <v>111</v>
      </c>
      <c r="F1515" s="5" t="s">
        <v>166</v>
      </c>
      <c r="G1515" s="5" t="s">
        <v>44</v>
      </c>
      <c r="H1515" s="5" t="s">
        <v>18</v>
      </c>
      <c r="I1515" s="7" t="s">
        <v>4334</v>
      </c>
      <c r="J1515" s="8" t="s">
        <v>13</v>
      </c>
    </row>
    <row r="1516">
      <c r="A1516" s="5" t="s">
        <v>4335</v>
      </c>
      <c r="B1516" s="5" t="s">
        <v>4336</v>
      </c>
      <c r="C1516" s="6" t="s">
        <v>13</v>
      </c>
      <c r="D1516" s="5" t="s">
        <v>4320</v>
      </c>
      <c r="E1516" s="5" t="s">
        <v>182</v>
      </c>
      <c r="F1516" s="5" t="s">
        <v>166</v>
      </c>
      <c r="G1516" s="5" t="s">
        <v>44</v>
      </c>
      <c r="H1516" s="5" t="s">
        <v>18</v>
      </c>
      <c r="I1516" s="7" t="s">
        <v>4337</v>
      </c>
      <c r="J1516" s="8" t="s">
        <v>13</v>
      </c>
    </row>
    <row r="1517">
      <c r="A1517" s="5" t="s">
        <v>4338</v>
      </c>
      <c r="B1517" s="5" t="s">
        <v>110</v>
      </c>
      <c r="C1517" s="6" t="s">
        <v>13</v>
      </c>
      <c r="D1517" s="5" t="s">
        <v>4320</v>
      </c>
      <c r="E1517" s="5" t="s">
        <v>651</v>
      </c>
      <c r="F1517" s="5" t="s">
        <v>166</v>
      </c>
      <c r="G1517" s="5" t="s">
        <v>44</v>
      </c>
      <c r="H1517" s="5" t="s">
        <v>18</v>
      </c>
      <c r="I1517" s="7" t="s">
        <v>4339</v>
      </c>
      <c r="J1517" s="8" t="s">
        <v>13</v>
      </c>
    </row>
    <row r="1518">
      <c r="A1518" s="5" t="s">
        <v>4340</v>
      </c>
      <c r="B1518" s="5" t="s">
        <v>4341</v>
      </c>
      <c r="C1518" s="6" t="s">
        <v>13</v>
      </c>
      <c r="D1518" s="5" t="s">
        <v>4342</v>
      </c>
      <c r="E1518" s="5" t="s">
        <v>727</v>
      </c>
      <c r="F1518" s="5" t="s">
        <v>137</v>
      </c>
      <c r="G1518" s="5" t="s">
        <v>137</v>
      </c>
      <c r="H1518" s="5" t="s">
        <v>18</v>
      </c>
      <c r="I1518" s="8" t="s">
        <v>4343</v>
      </c>
      <c r="J1518" s="8" t="s">
        <v>13</v>
      </c>
    </row>
    <row r="1519">
      <c r="A1519" s="5" t="s">
        <v>4344</v>
      </c>
      <c r="B1519" s="5" t="s">
        <v>25</v>
      </c>
      <c r="C1519" s="6" t="s">
        <v>13</v>
      </c>
      <c r="D1519" s="5" t="s">
        <v>4342</v>
      </c>
      <c r="E1519" s="5" t="s">
        <v>192</v>
      </c>
      <c r="F1519" s="5" t="s">
        <v>4345</v>
      </c>
      <c r="G1519" s="5" t="s">
        <v>137</v>
      </c>
      <c r="H1519" s="5" t="s">
        <v>18</v>
      </c>
      <c r="I1519" s="7" t="s">
        <v>4346</v>
      </c>
      <c r="J1519" s="8" t="s">
        <v>13</v>
      </c>
    </row>
    <row r="1520">
      <c r="A1520" s="5" t="s">
        <v>4347</v>
      </c>
      <c r="B1520" s="5" t="s">
        <v>25</v>
      </c>
      <c r="C1520" s="6" t="s">
        <v>13</v>
      </c>
      <c r="D1520" s="5" t="s">
        <v>4342</v>
      </c>
      <c r="F1520" s="5" t="s">
        <v>1187</v>
      </c>
      <c r="G1520" s="5" t="s">
        <v>96</v>
      </c>
      <c r="H1520" s="5" t="s">
        <v>18</v>
      </c>
      <c r="I1520" s="7" t="s">
        <v>4348</v>
      </c>
      <c r="J1520" s="8" t="s">
        <v>13</v>
      </c>
    </row>
    <row r="1521">
      <c r="A1521" s="5" t="s">
        <v>4349</v>
      </c>
      <c r="B1521" s="5" t="s">
        <v>4350</v>
      </c>
      <c r="C1521" s="6" t="s">
        <v>13</v>
      </c>
      <c r="D1521" s="5" t="s">
        <v>4342</v>
      </c>
      <c r="F1521" s="5" t="s">
        <v>2178</v>
      </c>
      <c r="G1521" s="5" t="s">
        <v>1305</v>
      </c>
      <c r="H1521" s="5" t="s">
        <v>18</v>
      </c>
      <c r="I1521" s="7" t="s">
        <v>4351</v>
      </c>
      <c r="J1521" s="8" t="s">
        <v>13</v>
      </c>
    </row>
    <row r="1522">
      <c r="A1522" s="5" t="s">
        <v>4352</v>
      </c>
      <c r="B1522" s="5" t="s">
        <v>4353</v>
      </c>
      <c r="C1522" s="6" t="s">
        <v>13</v>
      </c>
      <c r="D1522" s="5" t="s">
        <v>4354</v>
      </c>
      <c r="E1522" s="5" t="s">
        <v>1460</v>
      </c>
      <c r="F1522" s="5" t="s">
        <v>2145</v>
      </c>
      <c r="G1522" s="5" t="s">
        <v>203</v>
      </c>
      <c r="H1522" s="5" t="s">
        <v>18</v>
      </c>
      <c r="I1522" s="8" t="s">
        <v>4355</v>
      </c>
      <c r="J1522" s="8" t="s">
        <v>13</v>
      </c>
    </row>
    <row r="1523">
      <c r="A1523" s="5" t="s">
        <v>4356</v>
      </c>
      <c r="B1523" s="5" t="s">
        <v>480</v>
      </c>
      <c r="C1523" s="6" t="s">
        <v>13</v>
      </c>
      <c r="D1523" s="5" t="s">
        <v>4354</v>
      </c>
      <c r="E1523" s="5" t="s">
        <v>188</v>
      </c>
      <c r="F1523" s="5" t="s">
        <v>953</v>
      </c>
      <c r="G1523" s="5" t="s">
        <v>954</v>
      </c>
      <c r="H1523" s="5" t="s">
        <v>18</v>
      </c>
      <c r="I1523" s="8" t="s">
        <v>4357</v>
      </c>
      <c r="J1523" s="8" t="s">
        <v>13</v>
      </c>
    </row>
    <row r="1524">
      <c r="A1524" s="5" t="s">
        <v>4358</v>
      </c>
      <c r="B1524" s="5" t="s">
        <v>480</v>
      </c>
      <c r="C1524" s="6" t="s">
        <v>13</v>
      </c>
      <c r="D1524" s="5" t="s">
        <v>4354</v>
      </c>
      <c r="E1524" s="5" t="s">
        <v>901</v>
      </c>
      <c r="F1524" s="5" t="s">
        <v>953</v>
      </c>
      <c r="G1524" s="5" t="s">
        <v>954</v>
      </c>
      <c r="H1524" s="5" t="s">
        <v>18</v>
      </c>
      <c r="I1524" s="7" t="s">
        <v>4359</v>
      </c>
      <c r="J1524" s="8" t="s">
        <v>13</v>
      </c>
    </row>
    <row r="1525">
      <c r="A1525" s="5" t="s">
        <v>4360</v>
      </c>
      <c r="B1525" s="5" t="s">
        <v>991</v>
      </c>
      <c r="C1525" s="6" t="s">
        <v>13</v>
      </c>
      <c r="D1525" s="5" t="s">
        <v>4354</v>
      </c>
      <c r="E1525" s="5" t="s">
        <v>26</v>
      </c>
      <c r="F1525" s="5" t="s">
        <v>876</v>
      </c>
      <c r="G1525" s="5" t="s">
        <v>184</v>
      </c>
      <c r="H1525" s="5" t="s">
        <v>18</v>
      </c>
      <c r="I1525" s="7" t="s">
        <v>4361</v>
      </c>
      <c r="J1525" s="8" t="s">
        <v>13</v>
      </c>
    </row>
    <row r="1526">
      <c r="A1526" s="5" t="s">
        <v>4362</v>
      </c>
      <c r="B1526" s="5" t="s">
        <v>4363</v>
      </c>
      <c r="C1526" s="6" t="s">
        <v>13</v>
      </c>
      <c r="D1526" s="5" t="s">
        <v>4354</v>
      </c>
      <c r="E1526" s="5" t="s">
        <v>36</v>
      </c>
      <c r="F1526" s="5" t="s">
        <v>1391</v>
      </c>
      <c r="G1526" s="5" t="s">
        <v>954</v>
      </c>
      <c r="H1526" s="5" t="s">
        <v>18</v>
      </c>
      <c r="I1526" s="8" t="s">
        <v>4364</v>
      </c>
      <c r="J1526" s="8" t="s">
        <v>13</v>
      </c>
    </row>
    <row r="1527">
      <c r="A1527" s="5" t="s">
        <v>4362</v>
      </c>
      <c r="B1527" s="5" t="s">
        <v>4363</v>
      </c>
      <c r="C1527" s="6" t="s">
        <v>13</v>
      </c>
      <c r="D1527" s="5" t="s">
        <v>4354</v>
      </c>
      <c r="E1527" s="5" t="s">
        <v>36</v>
      </c>
      <c r="F1527" s="5" t="s">
        <v>1391</v>
      </c>
      <c r="G1527" s="5" t="s">
        <v>954</v>
      </c>
      <c r="H1527" s="5" t="s">
        <v>18</v>
      </c>
      <c r="I1527" s="8" t="s">
        <v>4364</v>
      </c>
      <c r="J1527" s="8" t="s">
        <v>13</v>
      </c>
    </row>
    <row r="1528">
      <c r="A1528" s="5" t="s">
        <v>4365</v>
      </c>
      <c r="B1528" s="5" t="s">
        <v>110</v>
      </c>
      <c r="C1528" s="6" t="s">
        <v>13</v>
      </c>
      <c r="D1528" s="5" t="s">
        <v>4366</v>
      </c>
      <c r="E1528" s="5" t="s">
        <v>727</v>
      </c>
      <c r="F1528" s="5" t="s">
        <v>801</v>
      </c>
      <c r="G1528" s="5" t="s">
        <v>50</v>
      </c>
      <c r="H1528" s="5" t="s">
        <v>18</v>
      </c>
      <c r="I1528" s="7" t="s">
        <v>4367</v>
      </c>
      <c r="J1528" s="8" t="s">
        <v>13</v>
      </c>
    </row>
    <row r="1529">
      <c r="A1529" s="5" t="s">
        <v>4368</v>
      </c>
      <c r="B1529" s="5" t="s">
        <v>110</v>
      </c>
      <c r="C1529" s="6" t="s">
        <v>13</v>
      </c>
      <c r="D1529" s="5" t="s">
        <v>4366</v>
      </c>
      <c r="E1529" s="5" t="s">
        <v>268</v>
      </c>
      <c r="F1529" s="5" t="s">
        <v>166</v>
      </c>
      <c r="G1529" s="5" t="s">
        <v>44</v>
      </c>
      <c r="H1529" s="5" t="s">
        <v>18</v>
      </c>
      <c r="I1529" s="7" t="s">
        <v>4369</v>
      </c>
      <c r="J1529" s="8" t="s">
        <v>13</v>
      </c>
    </row>
    <row r="1530">
      <c r="A1530" s="5" t="s">
        <v>4370</v>
      </c>
      <c r="B1530" s="5" t="s">
        <v>25</v>
      </c>
      <c r="C1530" s="6" t="s">
        <v>13</v>
      </c>
      <c r="D1530" s="5" t="s">
        <v>4371</v>
      </c>
      <c r="E1530" s="5" t="s">
        <v>1123</v>
      </c>
      <c r="F1530" s="5" t="s">
        <v>137</v>
      </c>
      <c r="G1530" s="5" t="s">
        <v>137</v>
      </c>
      <c r="H1530" s="5" t="s">
        <v>18</v>
      </c>
      <c r="I1530" s="7" t="s">
        <v>4372</v>
      </c>
      <c r="J1530" s="8" t="s">
        <v>13</v>
      </c>
    </row>
    <row r="1531">
      <c r="A1531" s="5" t="s">
        <v>4373</v>
      </c>
      <c r="B1531" s="5" t="s">
        <v>25</v>
      </c>
      <c r="C1531" s="6" t="s">
        <v>13</v>
      </c>
      <c r="D1531" s="5" t="s">
        <v>4371</v>
      </c>
      <c r="E1531" s="5" t="s">
        <v>1123</v>
      </c>
      <c r="F1531" s="5" t="s">
        <v>137</v>
      </c>
      <c r="G1531" s="5" t="s">
        <v>137</v>
      </c>
      <c r="H1531" s="5" t="s">
        <v>18</v>
      </c>
      <c r="I1531" s="7" t="s">
        <v>4374</v>
      </c>
      <c r="J1531" s="8" t="s">
        <v>13</v>
      </c>
    </row>
    <row r="1532">
      <c r="A1532" s="5" t="s">
        <v>4375</v>
      </c>
      <c r="B1532" s="5" t="s">
        <v>4376</v>
      </c>
      <c r="C1532" s="6" t="s">
        <v>13</v>
      </c>
      <c r="D1532" s="5" t="s">
        <v>4371</v>
      </c>
      <c r="E1532" s="5" t="s">
        <v>192</v>
      </c>
      <c r="F1532" s="5" t="s">
        <v>137</v>
      </c>
      <c r="G1532" s="5" t="s">
        <v>137</v>
      </c>
      <c r="H1532" s="5" t="s">
        <v>18</v>
      </c>
      <c r="I1532" s="7" t="s">
        <v>4377</v>
      </c>
      <c r="J1532" s="8" t="s">
        <v>13</v>
      </c>
    </row>
    <row r="1533">
      <c r="A1533" s="5" t="s">
        <v>4378</v>
      </c>
      <c r="B1533" s="5" t="s">
        <v>25</v>
      </c>
      <c r="C1533" s="6" t="s">
        <v>13</v>
      </c>
      <c r="D1533" s="5" t="s">
        <v>4371</v>
      </c>
      <c r="E1533" s="5" t="s">
        <v>182</v>
      </c>
      <c r="F1533" s="5" t="s">
        <v>137</v>
      </c>
      <c r="G1533" s="5" t="s">
        <v>137</v>
      </c>
      <c r="H1533" s="5" t="s">
        <v>18</v>
      </c>
      <c r="I1533" s="7" t="s">
        <v>4379</v>
      </c>
      <c r="J1533" s="8" t="s">
        <v>13</v>
      </c>
    </row>
    <row r="1534">
      <c r="A1534" s="5" t="s">
        <v>4380</v>
      </c>
      <c r="B1534" s="5" t="s">
        <v>4381</v>
      </c>
      <c r="C1534" s="6" t="s">
        <v>13</v>
      </c>
      <c r="D1534" s="5" t="s">
        <v>4371</v>
      </c>
      <c r="E1534" s="5" t="s">
        <v>42</v>
      </c>
      <c r="F1534" s="5" t="s">
        <v>4382</v>
      </c>
      <c r="G1534" s="5" t="s">
        <v>2731</v>
      </c>
      <c r="H1534" s="5" t="s">
        <v>18</v>
      </c>
      <c r="I1534" s="8" t="s">
        <v>4383</v>
      </c>
      <c r="J1534" s="8" t="s">
        <v>13</v>
      </c>
    </row>
    <row r="1535">
      <c r="A1535" s="5" t="s">
        <v>4384</v>
      </c>
      <c r="B1535" s="5" t="s">
        <v>4385</v>
      </c>
      <c r="C1535" s="6" t="s">
        <v>13</v>
      </c>
      <c r="D1535" s="5" t="s">
        <v>4371</v>
      </c>
      <c r="E1535" s="5" t="s">
        <v>339</v>
      </c>
      <c r="F1535" s="5" t="s">
        <v>122</v>
      </c>
      <c r="G1535" s="5" t="s">
        <v>44</v>
      </c>
      <c r="H1535" s="5" t="s">
        <v>18</v>
      </c>
      <c r="I1535" s="8" t="s">
        <v>4386</v>
      </c>
      <c r="J1535" s="8" t="s">
        <v>13</v>
      </c>
    </row>
    <row r="1536">
      <c r="A1536" s="5" t="s">
        <v>4387</v>
      </c>
      <c r="B1536" s="5" t="s">
        <v>4388</v>
      </c>
      <c r="C1536" s="6" t="s">
        <v>13</v>
      </c>
      <c r="D1536" s="5" t="s">
        <v>4371</v>
      </c>
      <c r="E1536" s="5" t="s">
        <v>144</v>
      </c>
      <c r="F1536" s="5" t="s">
        <v>166</v>
      </c>
      <c r="G1536" s="5" t="s">
        <v>44</v>
      </c>
      <c r="H1536" s="5" t="s">
        <v>18</v>
      </c>
      <c r="I1536" s="8" t="s">
        <v>4389</v>
      </c>
      <c r="J1536" s="8" t="s">
        <v>13</v>
      </c>
    </row>
    <row r="1537">
      <c r="A1537" s="5" t="s">
        <v>4390</v>
      </c>
      <c r="B1537" s="5" t="s">
        <v>4391</v>
      </c>
      <c r="C1537" s="6" t="s">
        <v>13</v>
      </c>
      <c r="D1537" s="5" t="s">
        <v>4371</v>
      </c>
      <c r="E1537" s="5" t="s">
        <v>691</v>
      </c>
      <c r="F1537" s="5" t="s">
        <v>16</v>
      </c>
      <c r="G1537" s="5" t="s">
        <v>17</v>
      </c>
      <c r="H1537" s="5" t="s">
        <v>18</v>
      </c>
      <c r="I1537" s="7" t="s">
        <v>4392</v>
      </c>
      <c r="J1537" s="8" t="s">
        <v>13</v>
      </c>
    </row>
    <row r="1538">
      <c r="A1538" s="5" t="s">
        <v>4393</v>
      </c>
      <c r="B1538" s="5" t="s">
        <v>25</v>
      </c>
      <c r="C1538" s="6" t="s">
        <v>13</v>
      </c>
      <c r="D1538" s="5" t="s">
        <v>4371</v>
      </c>
      <c r="E1538" s="5" t="s">
        <v>909</v>
      </c>
      <c r="F1538" s="5" t="s">
        <v>137</v>
      </c>
      <c r="G1538" s="5" t="s">
        <v>137</v>
      </c>
      <c r="H1538" s="5" t="s">
        <v>18</v>
      </c>
      <c r="I1538" s="7" t="s">
        <v>4394</v>
      </c>
      <c r="J1538" s="8" t="s">
        <v>13</v>
      </c>
    </row>
    <row r="1539">
      <c r="A1539" s="5" t="s">
        <v>4395</v>
      </c>
      <c r="B1539" s="5" t="s">
        <v>4396</v>
      </c>
      <c r="C1539" s="6" t="s">
        <v>13</v>
      </c>
      <c r="D1539" s="5" t="s">
        <v>4397</v>
      </c>
      <c r="E1539" s="5" t="s">
        <v>217</v>
      </c>
      <c r="F1539" s="5" t="s">
        <v>16</v>
      </c>
      <c r="G1539" s="5" t="s">
        <v>17</v>
      </c>
      <c r="H1539" s="5" t="s">
        <v>18</v>
      </c>
      <c r="I1539" s="7" t="s">
        <v>4398</v>
      </c>
      <c r="J1539" s="8" t="s">
        <v>13</v>
      </c>
    </row>
    <row r="1540">
      <c r="A1540" s="5" t="s">
        <v>4399</v>
      </c>
      <c r="B1540" s="5" t="s">
        <v>4400</v>
      </c>
      <c r="C1540" s="6" t="s">
        <v>13</v>
      </c>
      <c r="D1540" s="5" t="s">
        <v>4397</v>
      </c>
      <c r="E1540" s="5" t="s">
        <v>182</v>
      </c>
      <c r="F1540" s="5" t="s">
        <v>1867</v>
      </c>
      <c r="G1540" s="5" t="s">
        <v>44</v>
      </c>
      <c r="H1540" s="5" t="s">
        <v>18</v>
      </c>
      <c r="I1540" s="8" t="s">
        <v>4401</v>
      </c>
      <c r="J1540" s="8" t="s">
        <v>13</v>
      </c>
    </row>
    <row r="1541">
      <c r="A1541" s="5" t="s">
        <v>4399</v>
      </c>
      <c r="B1541" s="5" t="s">
        <v>4400</v>
      </c>
      <c r="C1541" s="6" t="s">
        <v>13</v>
      </c>
      <c r="D1541" s="5" t="s">
        <v>4397</v>
      </c>
      <c r="E1541" s="5" t="s">
        <v>182</v>
      </c>
      <c r="F1541" s="5" t="s">
        <v>1867</v>
      </c>
      <c r="G1541" s="5" t="s">
        <v>44</v>
      </c>
      <c r="H1541" s="5" t="s">
        <v>18</v>
      </c>
      <c r="I1541" s="8" t="s">
        <v>4401</v>
      </c>
      <c r="J1541" s="8" t="s">
        <v>13</v>
      </c>
    </row>
    <row r="1542">
      <c r="A1542" s="5" t="s">
        <v>4402</v>
      </c>
      <c r="B1542" s="5" t="s">
        <v>404</v>
      </c>
      <c r="C1542" s="6" t="s">
        <v>13</v>
      </c>
      <c r="D1542" s="5" t="s">
        <v>4397</v>
      </c>
      <c r="E1542" s="5" t="s">
        <v>1123</v>
      </c>
      <c r="F1542" s="5" t="s">
        <v>299</v>
      </c>
      <c r="G1542" s="5" t="s">
        <v>44</v>
      </c>
      <c r="H1542" s="5" t="s">
        <v>18</v>
      </c>
      <c r="I1542" s="7" t="s">
        <v>4403</v>
      </c>
      <c r="J1542" s="8" t="s">
        <v>13</v>
      </c>
    </row>
    <row r="1543">
      <c r="A1543" s="5" t="s">
        <v>4404</v>
      </c>
      <c r="B1543" s="5" t="s">
        <v>4405</v>
      </c>
      <c r="C1543" s="6" t="s">
        <v>13</v>
      </c>
      <c r="D1543" s="5" t="s">
        <v>4406</v>
      </c>
      <c r="E1543" s="5" t="s">
        <v>257</v>
      </c>
      <c r="F1543" s="5" t="s">
        <v>37</v>
      </c>
      <c r="G1543" s="5" t="s">
        <v>38</v>
      </c>
      <c r="H1543" s="5" t="s">
        <v>18</v>
      </c>
      <c r="I1543" s="8" t="s">
        <v>4407</v>
      </c>
      <c r="J1543" s="8" t="s">
        <v>13</v>
      </c>
    </row>
    <row r="1544">
      <c r="A1544" s="5" t="s">
        <v>4408</v>
      </c>
      <c r="B1544" s="5" t="s">
        <v>110</v>
      </c>
      <c r="C1544" s="6" t="s">
        <v>13</v>
      </c>
      <c r="D1544" s="5" t="s">
        <v>4406</v>
      </c>
      <c r="E1544" s="5" t="s">
        <v>241</v>
      </c>
      <c r="F1544" s="5" t="s">
        <v>37</v>
      </c>
      <c r="G1544" s="5" t="s">
        <v>38</v>
      </c>
      <c r="H1544" s="5" t="s">
        <v>18</v>
      </c>
      <c r="I1544" s="7" t="s">
        <v>4409</v>
      </c>
      <c r="J1544" s="8" t="s">
        <v>13</v>
      </c>
    </row>
    <row r="1545">
      <c r="A1545" s="5" t="s">
        <v>4410</v>
      </c>
      <c r="B1545" s="5" t="s">
        <v>110</v>
      </c>
      <c r="C1545" s="6" t="s">
        <v>13</v>
      </c>
      <c r="D1545" s="5" t="s">
        <v>4406</v>
      </c>
      <c r="E1545" s="5" t="s">
        <v>651</v>
      </c>
      <c r="F1545" s="5" t="s">
        <v>37</v>
      </c>
      <c r="G1545" s="5" t="s">
        <v>38</v>
      </c>
      <c r="H1545" s="5" t="s">
        <v>18</v>
      </c>
      <c r="I1545" s="7" t="s">
        <v>4411</v>
      </c>
      <c r="J1545" s="8" t="s">
        <v>13</v>
      </c>
    </row>
    <row r="1546">
      <c r="A1546" s="5" t="s">
        <v>4412</v>
      </c>
      <c r="B1546" s="5" t="s">
        <v>1028</v>
      </c>
      <c r="C1546" s="6" t="s">
        <v>13</v>
      </c>
      <c r="D1546" s="5" t="s">
        <v>4406</v>
      </c>
      <c r="E1546" s="5" t="s">
        <v>136</v>
      </c>
      <c r="F1546" s="5" t="s">
        <v>3209</v>
      </c>
      <c r="G1546" s="5" t="s">
        <v>102</v>
      </c>
      <c r="H1546" s="5" t="s">
        <v>18</v>
      </c>
      <c r="I1546" s="7" t="s">
        <v>4413</v>
      </c>
      <c r="J1546" s="8" t="s">
        <v>13</v>
      </c>
    </row>
    <row r="1547">
      <c r="A1547" s="5" t="s">
        <v>4414</v>
      </c>
      <c r="B1547" s="5" t="s">
        <v>1028</v>
      </c>
      <c r="C1547" s="6" t="s">
        <v>13</v>
      </c>
      <c r="D1547" s="5" t="s">
        <v>4406</v>
      </c>
      <c r="E1547" s="5" t="s">
        <v>63</v>
      </c>
      <c r="F1547" s="5" t="s">
        <v>166</v>
      </c>
      <c r="G1547" s="5" t="s">
        <v>44</v>
      </c>
      <c r="H1547" s="5" t="s">
        <v>18</v>
      </c>
      <c r="I1547" s="7" t="s">
        <v>4415</v>
      </c>
      <c r="J1547" s="8" t="s">
        <v>13</v>
      </c>
    </row>
    <row r="1548">
      <c r="A1548" s="5" t="s">
        <v>4416</v>
      </c>
      <c r="B1548" s="5" t="s">
        <v>110</v>
      </c>
      <c r="C1548" s="6" t="s">
        <v>13</v>
      </c>
      <c r="D1548" s="5" t="s">
        <v>4406</v>
      </c>
      <c r="E1548" s="5" t="s">
        <v>136</v>
      </c>
      <c r="F1548" s="5" t="s">
        <v>311</v>
      </c>
      <c r="G1548" s="5" t="s">
        <v>102</v>
      </c>
      <c r="H1548" s="5" t="s">
        <v>18</v>
      </c>
      <c r="I1548" s="7" t="s">
        <v>4417</v>
      </c>
      <c r="J1548" s="8" t="s">
        <v>13</v>
      </c>
    </row>
    <row r="1549">
      <c r="A1549" s="5" t="s">
        <v>4418</v>
      </c>
      <c r="B1549" s="5" t="s">
        <v>4419</v>
      </c>
      <c r="C1549" s="6" t="s">
        <v>13</v>
      </c>
      <c r="D1549" s="5" t="s">
        <v>4420</v>
      </c>
      <c r="E1549" s="5" t="s">
        <v>387</v>
      </c>
      <c r="F1549" s="5" t="s">
        <v>16</v>
      </c>
      <c r="G1549" s="5" t="s">
        <v>17</v>
      </c>
      <c r="H1549" s="5" t="s">
        <v>18</v>
      </c>
      <c r="I1549" s="8" t="s">
        <v>4421</v>
      </c>
      <c r="J1549" s="8" t="s">
        <v>13</v>
      </c>
    </row>
    <row r="1550">
      <c r="A1550" s="5" t="s">
        <v>4422</v>
      </c>
      <c r="B1550" s="5" t="s">
        <v>110</v>
      </c>
      <c r="C1550" s="6" t="s">
        <v>13</v>
      </c>
      <c r="D1550" s="5" t="s">
        <v>4420</v>
      </c>
      <c r="E1550" s="5" t="s">
        <v>94</v>
      </c>
      <c r="F1550" s="5" t="s">
        <v>37</v>
      </c>
      <c r="G1550" s="5" t="s">
        <v>38</v>
      </c>
      <c r="H1550" s="5" t="s">
        <v>18</v>
      </c>
      <c r="I1550" s="7" t="s">
        <v>4423</v>
      </c>
      <c r="J1550" s="8" t="s">
        <v>13</v>
      </c>
    </row>
    <row r="1551">
      <c r="A1551" s="5" t="s">
        <v>4424</v>
      </c>
      <c r="B1551" s="5" t="s">
        <v>110</v>
      </c>
      <c r="C1551" s="6" t="s">
        <v>13</v>
      </c>
      <c r="D1551" s="5" t="s">
        <v>4420</v>
      </c>
      <c r="E1551" s="5" t="s">
        <v>322</v>
      </c>
      <c r="F1551" s="5" t="s">
        <v>377</v>
      </c>
      <c r="G1551" s="5" t="s">
        <v>378</v>
      </c>
      <c r="H1551" s="5" t="s">
        <v>18</v>
      </c>
      <c r="I1551" s="7" t="s">
        <v>4425</v>
      </c>
      <c r="J1551" s="8" t="s">
        <v>13</v>
      </c>
    </row>
    <row r="1552">
      <c r="A1552" s="5" t="s">
        <v>4426</v>
      </c>
      <c r="B1552" s="5" t="s">
        <v>4427</v>
      </c>
      <c r="C1552" s="6" t="s">
        <v>13</v>
      </c>
      <c r="D1552" s="5" t="s">
        <v>4420</v>
      </c>
      <c r="E1552" s="5" t="s">
        <v>909</v>
      </c>
      <c r="F1552" s="5" t="s">
        <v>4428</v>
      </c>
      <c r="G1552" s="5" t="s">
        <v>44</v>
      </c>
      <c r="H1552" s="5" t="s">
        <v>18</v>
      </c>
      <c r="I1552" s="7" t="s">
        <v>4429</v>
      </c>
      <c r="J1552" s="8" t="s">
        <v>13</v>
      </c>
    </row>
    <row r="1553">
      <c r="A1553" s="5" t="s">
        <v>4430</v>
      </c>
      <c r="B1553" s="5" t="s">
        <v>25</v>
      </c>
      <c r="C1553" s="6" t="s">
        <v>13</v>
      </c>
      <c r="D1553" s="5" t="s">
        <v>4420</v>
      </c>
      <c r="F1553" s="5" t="s">
        <v>1931</v>
      </c>
      <c r="G1553" s="5" t="s">
        <v>44</v>
      </c>
      <c r="H1553" s="5" t="s">
        <v>18</v>
      </c>
      <c r="I1553" s="7" t="s">
        <v>4431</v>
      </c>
      <c r="J1553" s="8" t="s">
        <v>13</v>
      </c>
    </row>
    <row r="1554">
      <c r="A1554" s="5" t="s">
        <v>4432</v>
      </c>
      <c r="B1554" s="5" t="s">
        <v>110</v>
      </c>
      <c r="C1554" s="6" t="s">
        <v>13</v>
      </c>
      <c r="D1554" s="5" t="s">
        <v>4420</v>
      </c>
      <c r="E1554" s="5" t="s">
        <v>1809</v>
      </c>
      <c r="F1554" s="5" t="s">
        <v>1965</v>
      </c>
      <c r="G1554" s="5" t="s">
        <v>44</v>
      </c>
      <c r="H1554" s="5" t="s">
        <v>18</v>
      </c>
      <c r="I1554" s="7" t="s">
        <v>4433</v>
      </c>
      <c r="J1554" s="8" t="s">
        <v>13</v>
      </c>
    </row>
    <row r="1555">
      <c r="A1555" s="5" t="s">
        <v>4434</v>
      </c>
      <c r="B1555" s="5" t="s">
        <v>3886</v>
      </c>
      <c r="C1555" s="6" t="s">
        <v>13</v>
      </c>
      <c r="D1555" s="5" t="s">
        <v>4420</v>
      </c>
      <c r="E1555" s="5" t="s">
        <v>60</v>
      </c>
      <c r="F1555" s="5" t="s">
        <v>1035</v>
      </c>
      <c r="G1555" s="5" t="s">
        <v>38</v>
      </c>
      <c r="H1555" s="5" t="s">
        <v>18</v>
      </c>
      <c r="I1555" s="7" t="s">
        <v>4435</v>
      </c>
      <c r="J1555" s="8" t="s">
        <v>13</v>
      </c>
    </row>
    <row r="1556">
      <c r="A1556" s="5" t="s">
        <v>4436</v>
      </c>
      <c r="B1556" s="5" t="s">
        <v>4437</v>
      </c>
      <c r="C1556" s="6" t="s">
        <v>13</v>
      </c>
      <c r="D1556" s="5" t="s">
        <v>4420</v>
      </c>
      <c r="E1556" s="5" t="s">
        <v>237</v>
      </c>
      <c r="F1556" s="5" t="s">
        <v>1022</v>
      </c>
      <c r="G1556" s="5" t="s">
        <v>264</v>
      </c>
      <c r="H1556" s="5" t="s">
        <v>18</v>
      </c>
      <c r="I1556" s="7" t="s">
        <v>4438</v>
      </c>
      <c r="J1556" s="8" t="s">
        <v>13</v>
      </c>
    </row>
    <row r="1557">
      <c r="A1557" s="5" t="s">
        <v>4439</v>
      </c>
      <c r="B1557" s="5" t="s">
        <v>4440</v>
      </c>
      <c r="C1557" s="6" t="s">
        <v>13</v>
      </c>
      <c r="D1557" s="5" t="s">
        <v>4441</v>
      </c>
      <c r="E1557" s="5" t="s">
        <v>4442</v>
      </c>
      <c r="F1557" s="5" t="s">
        <v>4443</v>
      </c>
      <c r="G1557" s="5" t="s">
        <v>2820</v>
      </c>
      <c r="H1557" s="5" t="s">
        <v>18</v>
      </c>
      <c r="I1557" s="7" t="s">
        <v>4444</v>
      </c>
      <c r="J1557" s="8" t="s">
        <v>13</v>
      </c>
    </row>
    <row r="1558">
      <c r="A1558" s="5" t="s">
        <v>4445</v>
      </c>
      <c r="B1558" s="5" t="s">
        <v>25</v>
      </c>
      <c r="C1558" s="6" t="s">
        <v>13</v>
      </c>
      <c r="D1558" s="5" t="s">
        <v>4441</v>
      </c>
      <c r="E1558" s="5" t="s">
        <v>797</v>
      </c>
      <c r="F1558" s="5" t="s">
        <v>4446</v>
      </c>
      <c r="G1558" s="5" t="s">
        <v>2820</v>
      </c>
      <c r="H1558" s="5" t="s">
        <v>18</v>
      </c>
      <c r="I1558" s="8" t="s">
        <v>4447</v>
      </c>
      <c r="J1558" s="8" t="s">
        <v>13</v>
      </c>
    </row>
    <row r="1559">
      <c r="A1559" s="5" t="s">
        <v>4448</v>
      </c>
      <c r="B1559" s="5" t="s">
        <v>4449</v>
      </c>
      <c r="C1559" s="6" t="s">
        <v>13</v>
      </c>
      <c r="D1559" s="5" t="s">
        <v>4441</v>
      </c>
      <c r="E1559" s="5" t="s">
        <v>437</v>
      </c>
      <c r="F1559" s="5" t="s">
        <v>4443</v>
      </c>
      <c r="G1559" s="5" t="s">
        <v>2820</v>
      </c>
      <c r="H1559" s="5" t="s">
        <v>18</v>
      </c>
      <c r="I1559" s="8" t="s">
        <v>4450</v>
      </c>
      <c r="J1559" s="8" t="s">
        <v>13</v>
      </c>
    </row>
    <row r="1560">
      <c r="A1560" s="5" t="s">
        <v>4451</v>
      </c>
      <c r="B1560" s="5" t="s">
        <v>25</v>
      </c>
      <c r="C1560" s="6" t="s">
        <v>13</v>
      </c>
      <c r="D1560" s="5" t="s">
        <v>4441</v>
      </c>
      <c r="E1560" s="5" t="s">
        <v>694</v>
      </c>
      <c r="F1560" s="5" t="s">
        <v>4443</v>
      </c>
      <c r="G1560" s="5" t="s">
        <v>2820</v>
      </c>
      <c r="H1560" s="5" t="s">
        <v>18</v>
      </c>
      <c r="I1560" s="7" t="s">
        <v>4452</v>
      </c>
      <c r="J1560" s="8" t="s">
        <v>13</v>
      </c>
    </row>
    <row r="1561">
      <c r="A1561" s="5" t="s">
        <v>4453</v>
      </c>
      <c r="B1561" s="5" t="s">
        <v>25</v>
      </c>
      <c r="C1561" s="6" t="s">
        <v>13</v>
      </c>
      <c r="D1561" s="5" t="s">
        <v>4441</v>
      </c>
      <c r="E1561" s="5" t="s">
        <v>901</v>
      </c>
      <c r="F1561" s="5" t="s">
        <v>4443</v>
      </c>
      <c r="G1561" s="5" t="s">
        <v>2820</v>
      </c>
      <c r="H1561" s="5" t="s">
        <v>18</v>
      </c>
      <c r="I1561" s="7" t="s">
        <v>4454</v>
      </c>
      <c r="J1561" s="8" t="s">
        <v>13</v>
      </c>
    </row>
    <row r="1562">
      <c r="A1562" s="5" t="s">
        <v>4455</v>
      </c>
      <c r="B1562" s="5" t="s">
        <v>4456</v>
      </c>
      <c r="C1562" s="6" t="s">
        <v>13</v>
      </c>
      <c r="D1562" s="5" t="s">
        <v>4441</v>
      </c>
      <c r="E1562" s="5" t="s">
        <v>4457</v>
      </c>
      <c r="F1562" s="5" t="s">
        <v>4458</v>
      </c>
      <c r="G1562" s="5" t="s">
        <v>2731</v>
      </c>
      <c r="H1562" s="5" t="s">
        <v>18</v>
      </c>
      <c r="I1562" s="8" t="s">
        <v>4459</v>
      </c>
      <c r="J1562" s="8" t="s">
        <v>13</v>
      </c>
    </row>
    <row r="1563">
      <c r="A1563" s="5" t="s">
        <v>4460</v>
      </c>
      <c r="B1563" s="5" t="s">
        <v>4461</v>
      </c>
      <c r="C1563" s="6" t="s">
        <v>13</v>
      </c>
      <c r="D1563" s="5" t="s">
        <v>4441</v>
      </c>
      <c r="F1563" s="5" t="s">
        <v>2819</v>
      </c>
      <c r="G1563" s="5" t="s">
        <v>2820</v>
      </c>
      <c r="H1563" s="5" t="s">
        <v>18</v>
      </c>
      <c r="I1563" s="8" t="s">
        <v>4462</v>
      </c>
      <c r="J1563" s="8" t="s">
        <v>13</v>
      </c>
    </row>
    <row r="1564">
      <c r="A1564" s="5" t="s">
        <v>4463</v>
      </c>
      <c r="B1564" s="5" t="s">
        <v>861</v>
      </c>
      <c r="C1564" s="6" t="s">
        <v>13</v>
      </c>
      <c r="D1564" s="5" t="s">
        <v>4441</v>
      </c>
      <c r="E1564" s="5" t="s">
        <v>697</v>
      </c>
      <c r="F1564" s="5" t="s">
        <v>137</v>
      </c>
      <c r="G1564" s="5" t="s">
        <v>137</v>
      </c>
      <c r="H1564" s="5" t="s">
        <v>18</v>
      </c>
      <c r="I1564" s="8" t="s">
        <v>4464</v>
      </c>
      <c r="J1564" s="8" t="s">
        <v>13</v>
      </c>
    </row>
    <row r="1565">
      <c r="A1565" s="5" t="s">
        <v>4465</v>
      </c>
      <c r="B1565" s="5" t="s">
        <v>371</v>
      </c>
      <c r="C1565" s="6" t="s">
        <v>13</v>
      </c>
      <c r="D1565" s="5" t="s">
        <v>4441</v>
      </c>
      <c r="E1565" s="5" t="s">
        <v>207</v>
      </c>
      <c r="F1565" s="5" t="s">
        <v>137</v>
      </c>
      <c r="G1565" s="5" t="s">
        <v>137</v>
      </c>
      <c r="H1565" s="5" t="s">
        <v>18</v>
      </c>
      <c r="I1565" s="7" t="s">
        <v>4466</v>
      </c>
      <c r="J1565" s="8" t="s">
        <v>13</v>
      </c>
    </row>
    <row r="1566">
      <c r="A1566" s="5" t="s">
        <v>4467</v>
      </c>
      <c r="B1566" s="5" t="s">
        <v>25</v>
      </c>
      <c r="C1566" s="6" t="s">
        <v>13</v>
      </c>
      <c r="D1566" s="5" t="s">
        <v>4441</v>
      </c>
      <c r="E1566" s="5" t="s">
        <v>387</v>
      </c>
      <c r="F1566" s="5" t="s">
        <v>4468</v>
      </c>
      <c r="G1566" s="5" t="s">
        <v>96</v>
      </c>
      <c r="H1566" s="5" t="s">
        <v>18</v>
      </c>
      <c r="I1566" s="7" t="s">
        <v>4469</v>
      </c>
      <c r="J1566" s="8" t="s">
        <v>13</v>
      </c>
    </row>
    <row r="1567">
      <c r="A1567" s="5" t="s">
        <v>4470</v>
      </c>
      <c r="B1567" s="5" t="s">
        <v>25</v>
      </c>
      <c r="C1567" s="6" t="s">
        <v>13</v>
      </c>
      <c r="D1567" s="5" t="s">
        <v>4441</v>
      </c>
      <c r="E1567" s="5" t="s">
        <v>48</v>
      </c>
      <c r="F1567" s="5" t="s">
        <v>137</v>
      </c>
      <c r="G1567" s="5" t="s">
        <v>137</v>
      </c>
      <c r="H1567" s="5" t="s">
        <v>18</v>
      </c>
      <c r="I1567" s="7" t="s">
        <v>4471</v>
      </c>
      <c r="J1567" s="8" t="s">
        <v>13</v>
      </c>
    </row>
    <row r="1568">
      <c r="A1568" s="5" t="s">
        <v>4472</v>
      </c>
      <c r="B1568" s="5" t="s">
        <v>4473</v>
      </c>
      <c r="C1568" s="6" t="s">
        <v>13</v>
      </c>
      <c r="D1568" s="5" t="s">
        <v>4441</v>
      </c>
      <c r="E1568" s="5" t="s">
        <v>149</v>
      </c>
      <c r="F1568" s="5" t="s">
        <v>2110</v>
      </c>
      <c r="G1568" s="5" t="s">
        <v>962</v>
      </c>
      <c r="H1568" s="5" t="s">
        <v>18</v>
      </c>
      <c r="I1568" s="8" t="s">
        <v>4474</v>
      </c>
      <c r="J1568" s="8" t="s">
        <v>13</v>
      </c>
    </row>
    <row r="1569">
      <c r="A1569" s="5" t="s">
        <v>4475</v>
      </c>
      <c r="B1569" s="5" t="s">
        <v>110</v>
      </c>
      <c r="C1569" s="6" t="s">
        <v>13</v>
      </c>
      <c r="D1569" s="5" t="s">
        <v>4441</v>
      </c>
      <c r="E1569" s="5" t="s">
        <v>136</v>
      </c>
      <c r="F1569" s="5" t="s">
        <v>166</v>
      </c>
      <c r="G1569" s="5" t="s">
        <v>44</v>
      </c>
      <c r="H1569" s="5" t="s">
        <v>18</v>
      </c>
      <c r="I1569" s="7" t="s">
        <v>4476</v>
      </c>
      <c r="J1569" s="8" t="s">
        <v>13</v>
      </c>
    </row>
    <row r="1570">
      <c r="A1570" s="5" t="s">
        <v>4477</v>
      </c>
      <c r="B1570" s="5" t="s">
        <v>404</v>
      </c>
      <c r="C1570" s="6" t="s">
        <v>13</v>
      </c>
      <c r="D1570" s="5" t="s">
        <v>4478</v>
      </c>
      <c r="E1570" s="5" t="s">
        <v>15</v>
      </c>
      <c r="F1570" s="5" t="s">
        <v>16</v>
      </c>
      <c r="G1570" s="5" t="s">
        <v>17</v>
      </c>
      <c r="H1570" s="5" t="s">
        <v>18</v>
      </c>
      <c r="I1570" s="7" t="s">
        <v>4479</v>
      </c>
      <c r="J1570" s="8" t="s">
        <v>13</v>
      </c>
    </row>
    <row r="1571">
      <c r="A1571" s="5" t="s">
        <v>4480</v>
      </c>
      <c r="B1571" s="5" t="s">
        <v>25</v>
      </c>
      <c r="C1571" s="6" t="s">
        <v>13</v>
      </c>
      <c r="D1571" s="5" t="s">
        <v>4478</v>
      </c>
      <c r="E1571" s="5" t="s">
        <v>441</v>
      </c>
      <c r="F1571" s="5" t="s">
        <v>16</v>
      </c>
      <c r="G1571" s="5" t="s">
        <v>17</v>
      </c>
      <c r="H1571" s="5" t="s">
        <v>18</v>
      </c>
      <c r="I1571" s="7" t="s">
        <v>4481</v>
      </c>
      <c r="J1571" s="8" t="s">
        <v>13</v>
      </c>
    </row>
    <row r="1572">
      <c r="A1572" s="5" t="s">
        <v>4482</v>
      </c>
      <c r="B1572" s="5" t="s">
        <v>4483</v>
      </c>
      <c r="C1572" s="6" t="s">
        <v>13</v>
      </c>
      <c r="D1572" s="5" t="s">
        <v>4478</v>
      </c>
      <c r="E1572" s="5" t="s">
        <v>68</v>
      </c>
      <c r="F1572" s="5" t="s">
        <v>16</v>
      </c>
      <c r="G1572" s="5" t="s">
        <v>17</v>
      </c>
      <c r="H1572" s="5" t="s">
        <v>18</v>
      </c>
      <c r="I1572" s="8" t="s">
        <v>4484</v>
      </c>
      <c r="J1572" s="8" t="s">
        <v>13</v>
      </c>
    </row>
    <row r="1573">
      <c r="A1573" s="5" t="s">
        <v>4485</v>
      </c>
      <c r="B1573" s="5" t="s">
        <v>4486</v>
      </c>
      <c r="C1573" s="6" t="s">
        <v>13</v>
      </c>
      <c r="D1573" s="5" t="s">
        <v>4478</v>
      </c>
      <c r="E1573" s="5" t="s">
        <v>727</v>
      </c>
      <c r="F1573" s="5" t="s">
        <v>4487</v>
      </c>
      <c r="G1573" s="5" t="s">
        <v>137</v>
      </c>
      <c r="H1573" s="5" t="s">
        <v>18</v>
      </c>
      <c r="I1573" s="8" t="s">
        <v>4488</v>
      </c>
      <c r="J1573" s="8" t="s">
        <v>13</v>
      </c>
    </row>
    <row r="1574">
      <c r="A1574" s="5" t="s">
        <v>4489</v>
      </c>
      <c r="B1574" s="5" t="s">
        <v>413</v>
      </c>
      <c r="C1574" s="6" t="s">
        <v>13</v>
      </c>
      <c r="D1574" s="5" t="s">
        <v>4478</v>
      </c>
      <c r="E1574" s="5" t="s">
        <v>136</v>
      </c>
      <c r="F1574" s="5" t="s">
        <v>122</v>
      </c>
      <c r="G1574" s="5" t="s">
        <v>44</v>
      </c>
      <c r="H1574" s="5" t="s">
        <v>18</v>
      </c>
      <c r="I1574" s="8" t="s">
        <v>4490</v>
      </c>
      <c r="J1574" s="8" t="s">
        <v>13</v>
      </c>
    </row>
    <row r="1575">
      <c r="A1575" s="5" t="s">
        <v>4491</v>
      </c>
      <c r="B1575" s="5" t="s">
        <v>413</v>
      </c>
      <c r="C1575" s="6" t="s">
        <v>13</v>
      </c>
      <c r="D1575" s="5" t="s">
        <v>4478</v>
      </c>
      <c r="E1575" s="5" t="s">
        <v>165</v>
      </c>
      <c r="F1575" s="5" t="s">
        <v>4492</v>
      </c>
      <c r="G1575" s="5" t="s">
        <v>44</v>
      </c>
      <c r="H1575" s="5" t="s">
        <v>18</v>
      </c>
      <c r="I1575" s="8" t="s">
        <v>4493</v>
      </c>
      <c r="J1575" s="8" t="s">
        <v>13</v>
      </c>
    </row>
    <row r="1576">
      <c r="A1576" s="5" t="s">
        <v>4494</v>
      </c>
      <c r="B1576" s="5" t="s">
        <v>371</v>
      </c>
      <c r="C1576" s="6" t="s">
        <v>13</v>
      </c>
      <c r="D1576" s="5" t="s">
        <v>4495</v>
      </c>
      <c r="E1576" s="5" t="s">
        <v>144</v>
      </c>
      <c r="F1576" s="5" t="s">
        <v>377</v>
      </c>
      <c r="G1576" s="5" t="s">
        <v>378</v>
      </c>
      <c r="H1576" s="5" t="s">
        <v>18</v>
      </c>
      <c r="I1576" s="7" t="s">
        <v>4496</v>
      </c>
      <c r="J1576" s="8" t="s">
        <v>13</v>
      </c>
    </row>
    <row r="1577">
      <c r="A1577" s="5" t="s">
        <v>4497</v>
      </c>
      <c r="B1577" s="5" t="s">
        <v>4498</v>
      </c>
      <c r="C1577" s="6" t="s">
        <v>13</v>
      </c>
      <c r="D1577" s="5" t="s">
        <v>4495</v>
      </c>
      <c r="E1577" s="5" t="s">
        <v>48</v>
      </c>
      <c r="F1577" s="5" t="s">
        <v>377</v>
      </c>
      <c r="G1577" s="5" t="s">
        <v>378</v>
      </c>
      <c r="H1577" s="5" t="s">
        <v>18</v>
      </c>
      <c r="I1577" s="8" t="s">
        <v>4499</v>
      </c>
      <c r="J1577" s="8" t="s">
        <v>13</v>
      </c>
    </row>
    <row r="1578">
      <c r="A1578" s="5" t="s">
        <v>4500</v>
      </c>
      <c r="B1578" s="5" t="s">
        <v>32</v>
      </c>
      <c r="C1578" s="6" t="s">
        <v>13</v>
      </c>
      <c r="D1578" s="5" t="s">
        <v>4495</v>
      </c>
      <c r="E1578" s="5" t="s">
        <v>228</v>
      </c>
      <c r="F1578" s="5" t="s">
        <v>377</v>
      </c>
      <c r="G1578" s="5" t="s">
        <v>378</v>
      </c>
      <c r="H1578" s="5" t="s">
        <v>18</v>
      </c>
      <c r="I1578" s="7" t="s">
        <v>4501</v>
      </c>
      <c r="J1578" s="8" t="s">
        <v>13</v>
      </c>
    </row>
    <row r="1579">
      <c r="A1579" s="5" t="s">
        <v>4502</v>
      </c>
      <c r="B1579" s="5" t="s">
        <v>25</v>
      </c>
      <c r="C1579" s="6" t="s">
        <v>13</v>
      </c>
      <c r="D1579" s="5" t="s">
        <v>4495</v>
      </c>
      <c r="E1579" s="5" t="s">
        <v>79</v>
      </c>
      <c r="F1579" s="5" t="s">
        <v>377</v>
      </c>
      <c r="G1579" s="5" t="s">
        <v>378</v>
      </c>
      <c r="H1579" s="5" t="s">
        <v>18</v>
      </c>
      <c r="I1579" s="7" t="s">
        <v>4503</v>
      </c>
      <c r="J1579" s="8" t="s">
        <v>13</v>
      </c>
    </row>
    <row r="1580">
      <c r="A1580" s="5" t="s">
        <v>4504</v>
      </c>
      <c r="B1580" s="5" t="s">
        <v>21</v>
      </c>
      <c r="C1580" s="5" t="s">
        <v>4</v>
      </c>
      <c r="D1580" s="5" t="s">
        <v>4495</v>
      </c>
      <c r="E1580" s="5" t="s">
        <v>512</v>
      </c>
      <c r="F1580" s="5" t="s">
        <v>377</v>
      </c>
      <c r="G1580" s="5" t="s">
        <v>378</v>
      </c>
      <c r="H1580" s="5" t="s">
        <v>18</v>
      </c>
      <c r="I1580" s="7" t="s">
        <v>4505</v>
      </c>
      <c r="J1580" s="8" t="s">
        <v>13</v>
      </c>
    </row>
    <row r="1581">
      <c r="A1581" s="5" t="s">
        <v>4506</v>
      </c>
      <c r="B1581" s="5" t="s">
        <v>4507</v>
      </c>
      <c r="C1581" s="6" t="s">
        <v>13</v>
      </c>
      <c r="D1581" s="5" t="s">
        <v>4495</v>
      </c>
      <c r="E1581" s="5" t="s">
        <v>399</v>
      </c>
      <c r="F1581" s="6" t="s">
        <v>377</v>
      </c>
      <c r="G1581" s="6" t="s">
        <v>378</v>
      </c>
      <c r="H1581" s="5" t="s">
        <v>18</v>
      </c>
      <c r="I1581" s="7" t="s">
        <v>4508</v>
      </c>
      <c r="J1581" s="8" t="s">
        <v>13</v>
      </c>
    </row>
    <row r="1582">
      <c r="A1582" s="5" t="s">
        <v>4509</v>
      </c>
      <c r="B1582" s="5" t="s">
        <v>25</v>
      </c>
      <c r="C1582" s="6" t="s">
        <v>13</v>
      </c>
      <c r="D1582" s="5" t="s">
        <v>4495</v>
      </c>
      <c r="E1582" s="5" t="s">
        <v>237</v>
      </c>
      <c r="F1582" s="6" t="s">
        <v>377</v>
      </c>
      <c r="G1582" s="6" t="s">
        <v>378</v>
      </c>
      <c r="H1582" s="5" t="s">
        <v>18</v>
      </c>
      <c r="I1582" s="7" t="s">
        <v>4510</v>
      </c>
      <c r="J1582" s="8" t="s">
        <v>13</v>
      </c>
    </row>
    <row r="1583">
      <c r="A1583" s="5" t="s">
        <v>4511</v>
      </c>
      <c r="B1583" s="5" t="s">
        <v>25</v>
      </c>
      <c r="C1583" s="6" t="s">
        <v>13</v>
      </c>
      <c r="D1583" s="5" t="s">
        <v>4495</v>
      </c>
      <c r="E1583" s="5" t="s">
        <v>283</v>
      </c>
      <c r="F1583" s="6" t="s">
        <v>377</v>
      </c>
      <c r="G1583" s="6" t="s">
        <v>378</v>
      </c>
      <c r="H1583" s="5" t="s">
        <v>18</v>
      </c>
      <c r="I1583" s="7" t="s">
        <v>4512</v>
      </c>
      <c r="J1583" s="8" t="s">
        <v>13</v>
      </c>
    </row>
    <row r="1584">
      <c r="A1584" s="5" t="s">
        <v>4513</v>
      </c>
      <c r="B1584" s="5" t="s">
        <v>25</v>
      </c>
      <c r="C1584" s="6" t="s">
        <v>13</v>
      </c>
      <c r="D1584" s="5" t="s">
        <v>4495</v>
      </c>
      <c r="E1584" s="5" t="s">
        <v>79</v>
      </c>
      <c r="F1584" s="6" t="s">
        <v>377</v>
      </c>
      <c r="G1584" s="6" t="s">
        <v>378</v>
      </c>
      <c r="H1584" s="5" t="s">
        <v>18</v>
      </c>
      <c r="I1584" s="7" t="s">
        <v>4514</v>
      </c>
      <c r="J1584" s="8" t="s">
        <v>13</v>
      </c>
    </row>
    <row r="1585">
      <c r="A1585" s="5" t="s">
        <v>4515</v>
      </c>
      <c r="B1585" s="5" t="s">
        <v>4516</v>
      </c>
      <c r="C1585" s="6" t="s">
        <v>13</v>
      </c>
      <c r="D1585" s="5" t="s">
        <v>4495</v>
      </c>
      <c r="E1585" s="5" t="s">
        <v>192</v>
      </c>
      <c r="F1585" s="6" t="s">
        <v>377</v>
      </c>
      <c r="G1585" s="6" t="s">
        <v>378</v>
      </c>
      <c r="H1585" s="5" t="s">
        <v>18</v>
      </c>
      <c r="I1585" s="7" t="s">
        <v>4517</v>
      </c>
      <c r="J1585" s="8" t="s">
        <v>13</v>
      </c>
    </row>
    <row r="1586">
      <c r="A1586" s="5" t="s">
        <v>4518</v>
      </c>
      <c r="B1586" s="5" t="s">
        <v>4516</v>
      </c>
      <c r="C1586" s="6" t="s">
        <v>13</v>
      </c>
      <c r="D1586" s="5" t="s">
        <v>4495</v>
      </c>
      <c r="E1586" s="5" t="s">
        <v>455</v>
      </c>
      <c r="F1586" s="6" t="s">
        <v>377</v>
      </c>
      <c r="G1586" s="6" t="s">
        <v>378</v>
      </c>
      <c r="H1586" s="5" t="s">
        <v>18</v>
      </c>
      <c r="I1586" s="7" t="s">
        <v>4519</v>
      </c>
      <c r="J1586" s="8" t="s">
        <v>13</v>
      </c>
    </row>
    <row r="1587">
      <c r="A1587" s="5" t="s">
        <v>4520</v>
      </c>
      <c r="B1587" s="5" t="s">
        <v>25</v>
      </c>
      <c r="C1587" s="6" t="s">
        <v>13</v>
      </c>
      <c r="D1587" s="5" t="s">
        <v>4495</v>
      </c>
      <c r="E1587" s="5" t="s">
        <v>188</v>
      </c>
      <c r="F1587" s="6" t="s">
        <v>377</v>
      </c>
      <c r="G1587" s="6" t="s">
        <v>378</v>
      </c>
      <c r="H1587" s="5" t="s">
        <v>18</v>
      </c>
      <c r="I1587" s="7" t="s">
        <v>4521</v>
      </c>
      <c r="J1587" s="8" t="s">
        <v>13</v>
      </c>
    </row>
    <row r="1588">
      <c r="A1588" s="5" t="s">
        <v>4522</v>
      </c>
      <c r="B1588" s="5" t="s">
        <v>4523</v>
      </c>
      <c r="C1588" s="6" t="s">
        <v>13</v>
      </c>
      <c r="D1588" s="5" t="s">
        <v>4495</v>
      </c>
      <c r="E1588" s="5" t="s">
        <v>182</v>
      </c>
      <c r="F1588" s="6" t="s">
        <v>377</v>
      </c>
      <c r="G1588" s="6" t="s">
        <v>378</v>
      </c>
      <c r="H1588" s="5" t="s">
        <v>18</v>
      </c>
      <c r="I1588" s="8" t="s">
        <v>4524</v>
      </c>
      <c r="J1588" s="8" t="s">
        <v>13</v>
      </c>
    </row>
    <row r="1589">
      <c r="A1589" s="5" t="s">
        <v>4525</v>
      </c>
      <c r="B1589" s="5" t="s">
        <v>4526</v>
      </c>
      <c r="C1589" s="5" t="s">
        <v>4</v>
      </c>
      <c r="D1589" s="5" t="s">
        <v>4495</v>
      </c>
      <c r="E1589" s="5" t="s">
        <v>63</v>
      </c>
      <c r="F1589" s="6" t="s">
        <v>377</v>
      </c>
      <c r="G1589" s="6" t="s">
        <v>378</v>
      </c>
      <c r="H1589" s="5" t="s">
        <v>18</v>
      </c>
      <c r="I1589" s="7" t="s">
        <v>4527</v>
      </c>
      <c r="J1589" s="8" t="s">
        <v>13</v>
      </c>
    </row>
    <row r="1590">
      <c r="A1590" s="5" t="s">
        <v>4528</v>
      </c>
      <c r="B1590" s="5" t="s">
        <v>4529</v>
      </c>
      <c r="C1590" s="6" t="s">
        <v>13</v>
      </c>
      <c r="D1590" s="5" t="s">
        <v>4530</v>
      </c>
      <c r="E1590" s="5" t="s">
        <v>233</v>
      </c>
      <c r="F1590" s="5" t="s">
        <v>166</v>
      </c>
      <c r="G1590" s="5" t="s">
        <v>44</v>
      </c>
      <c r="H1590" s="5" t="s">
        <v>18</v>
      </c>
      <c r="I1590" s="7" t="s">
        <v>4531</v>
      </c>
      <c r="J1590" s="8" t="s">
        <v>13</v>
      </c>
    </row>
    <row r="1591">
      <c r="A1591" s="5" t="s">
        <v>4532</v>
      </c>
      <c r="B1591" s="5" t="s">
        <v>4533</v>
      </c>
      <c r="C1591" s="6" t="s">
        <v>13</v>
      </c>
      <c r="D1591" s="5" t="s">
        <v>4530</v>
      </c>
      <c r="E1591" s="5" t="s">
        <v>322</v>
      </c>
      <c r="F1591" s="5" t="s">
        <v>169</v>
      </c>
      <c r="G1591" s="5" t="s">
        <v>44</v>
      </c>
      <c r="H1591" s="5" t="s">
        <v>18</v>
      </c>
      <c r="I1591" s="7" t="s">
        <v>4534</v>
      </c>
      <c r="J1591" s="8" t="s">
        <v>13</v>
      </c>
    </row>
    <row r="1592">
      <c r="A1592" s="5" t="s">
        <v>4535</v>
      </c>
      <c r="B1592" s="5" t="s">
        <v>25</v>
      </c>
      <c r="C1592" s="6" t="s">
        <v>13</v>
      </c>
      <c r="D1592" s="5" t="s">
        <v>4536</v>
      </c>
      <c r="E1592" s="5" t="s">
        <v>734</v>
      </c>
      <c r="F1592" s="5" t="s">
        <v>4537</v>
      </c>
      <c r="G1592" s="5" t="s">
        <v>137</v>
      </c>
      <c r="H1592" s="5" t="s">
        <v>18</v>
      </c>
      <c r="I1592" s="7" t="s">
        <v>4538</v>
      </c>
      <c r="J1592" s="8" t="s">
        <v>13</v>
      </c>
    </row>
    <row r="1593">
      <c r="A1593" s="5" t="s">
        <v>4539</v>
      </c>
      <c r="B1593" s="5" t="s">
        <v>4540</v>
      </c>
      <c r="C1593" s="6" t="s">
        <v>13</v>
      </c>
      <c r="D1593" s="5" t="s">
        <v>4536</v>
      </c>
      <c r="E1593" s="5" t="s">
        <v>4541</v>
      </c>
      <c r="F1593" s="5" t="s">
        <v>49</v>
      </c>
      <c r="G1593" s="5" t="s">
        <v>50</v>
      </c>
      <c r="H1593" s="5" t="s">
        <v>18</v>
      </c>
      <c r="I1593" s="8" t="s">
        <v>4542</v>
      </c>
      <c r="J1593" s="8" t="s">
        <v>13</v>
      </c>
    </row>
    <row r="1594">
      <c r="A1594" s="5" t="s">
        <v>4543</v>
      </c>
      <c r="B1594" s="5" t="s">
        <v>4544</v>
      </c>
      <c r="C1594" s="6" t="s">
        <v>13</v>
      </c>
      <c r="D1594" s="5" t="s">
        <v>4536</v>
      </c>
      <c r="E1594" s="5" t="s">
        <v>4545</v>
      </c>
      <c r="F1594" s="5" t="s">
        <v>49</v>
      </c>
      <c r="G1594" s="5" t="s">
        <v>50</v>
      </c>
      <c r="H1594" s="5" t="s">
        <v>18</v>
      </c>
      <c r="I1594" s="7" t="s">
        <v>4546</v>
      </c>
      <c r="J1594" s="8" t="s">
        <v>13</v>
      </c>
    </row>
    <row r="1595">
      <c r="A1595" s="5" t="s">
        <v>4547</v>
      </c>
      <c r="B1595" s="5" t="s">
        <v>25</v>
      </c>
      <c r="C1595" s="6" t="s">
        <v>13</v>
      </c>
      <c r="D1595" s="5" t="s">
        <v>4536</v>
      </c>
      <c r="F1595" s="5" t="s">
        <v>80</v>
      </c>
      <c r="G1595" s="5" t="s">
        <v>38</v>
      </c>
      <c r="H1595" s="5" t="s">
        <v>18</v>
      </c>
      <c r="I1595" s="7" t="s">
        <v>4548</v>
      </c>
      <c r="J1595" s="8" t="s">
        <v>13</v>
      </c>
    </row>
    <row r="1596">
      <c r="A1596" s="5" t="s">
        <v>4549</v>
      </c>
      <c r="B1596" s="5" t="s">
        <v>25</v>
      </c>
      <c r="C1596" s="6" t="s">
        <v>13</v>
      </c>
      <c r="D1596" s="5" t="s">
        <v>4536</v>
      </c>
      <c r="E1596" s="5" t="s">
        <v>430</v>
      </c>
      <c r="F1596" s="5" t="s">
        <v>388</v>
      </c>
      <c r="G1596" s="5" t="s">
        <v>203</v>
      </c>
      <c r="H1596" s="5" t="s">
        <v>18</v>
      </c>
      <c r="I1596" s="7" t="s">
        <v>4550</v>
      </c>
      <c r="J1596" s="8" t="s">
        <v>13</v>
      </c>
    </row>
    <row r="1597">
      <c r="A1597" s="5" t="s">
        <v>4551</v>
      </c>
      <c r="B1597" s="5" t="s">
        <v>4552</v>
      </c>
      <c r="C1597" s="6" t="s">
        <v>13</v>
      </c>
      <c r="D1597" s="5" t="s">
        <v>4536</v>
      </c>
      <c r="E1597" s="5" t="s">
        <v>207</v>
      </c>
      <c r="F1597" s="5" t="s">
        <v>132</v>
      </c>
      <c r="G1597" s="5" t="s">
        <v>133</v>
      </c>
      <c r="H1597" s="5" t="s">
        <v>18</v>
      </c>
      <c r="I1597" s="7" t="s">
        <v>4553</v>
      </c>
      <c r="J1597" s="8" t="s">
        <v>13</v>
      </c>
    </row>
    <row r="1598">
      <c r="A1598" s="5" t="s">
        <v>4554</v>
      </c>
      <c r="B1598" s="5" t="s">
        <v>25</v>
      </c>
      <c r="C1598" s="6" t="s">
        <v>13</v>
      </c>
      <c r="D1598" s="5" t="s">
        <v>4536</v>
      </c>
      <c r="E1598" s="5" t="s">
        <v>22</v>
      </c>
      <c r="F1598" s="5" t="s">
        <v>153</v>
      </c>
      <c r="G1598" s="5" t="s">
        <v>154</v>
      </c>
      <c r="H1598" s="5" t="s">
        <v>18</v>
      </c>
      <c r="I1598" s="7" t="s">
        <v>4555</v>
      </c>
      <c r="J1598" s="8" t="s">
        <v>13</v>
      </c>
    </row>
    <row r="1599">
      <c r="A1599" s="5" t="s">
        <v>4556</v>
      </c>
      <c r="B1599" s="5" t="s">
        <v>4557</v>
      </c>
      <c r="C1599" s="6" t="s">
        <v>13</v>
      </c>
      <c r="D1599" s="5" t="s">
        <v>4536</v>
      </c>
      <c r="E1599" s="5" t="s">
        <v>1759</v>
      </c>
      <c r="F1599" s="5" t="s">
        <v>876</v>
      </c>
      <c r="G1599" s="5" t="s">
        <v>38</v>
      </c>
      <c r="H1599" s="5" t="s">
        <v>18</v>
      </c>
      <c r="I1599" s="8" t="s">
        <v>4558</v>
      </c>
      <c r="J1599" s="8" t="s">
        <v>13</v>
      </c>
    </row>
    <row r="1600">
      <c r="A1600" s="5" t="s">
        <v>4559</v>
      </c>
      <c r="B1600" s="5" t="s">
        <v>4560</v>
      </c>
      <c r="C1600" s="6" t="s">
        <v>13</v>
      </c>
      <c r="D1600" s="5" t="s">
        <v>4536</v>
      </c>
      <c r="E1600" s="5" t="s">
        <v>125</v>
      </c>
      <c r="F1600" s="5" t="s">
        <v>166</v>
      </c>
      <c r="G1600" s="5" t="s">
        <v>44</v>
      </c>
      <c r="H1600" s="5" t="s">
        <v>18</v>
      </c>
      <c r="I1600" s="7" t="s">
        <v>4561</v>
      </c>
      <c r="J1600" s="8" t="s">
        <v>13</v>
      </c>
    </row>
    <row r="1601">
      <c r="A1601" s="5" t="s">
        <v>4562</v>
      </c>
      <c r="B1601" s="5" t="s">
        <v>4563</v>
      </c>
      <c r="C1601" s="6" t="s">
        <v>13</v>
      </c>
      <c r="D1601" s="5" t="s">
        <v>4536</v>
      </c>
      <c r="E1601" s="5" t="s">
        <v>4564</v>
      </c>
      <c r="F1601" s="5" t="s">
        <v>166</v>
      </c>
      <c r="G1601" s="5" t="s">
        <v>44</v>
      </c>
      <c r="H1601" s="5" t="s">
        <v>18</v>
      </c>
      <c r="I1601" s="8" t="s">
        <v>4565</v>
      </c>
      <c r="J1601" s="8" t="s">
        <v>13</v>
      </c>
    </row>
    <row r="1602">
      <c r="A1602" s="5" t="s">
        <v>4566</v>
      </c>
      <c r="B1602" s="5" t="s">
        <v>4567</v>
      </c>
      <c r="C1602" s="6" t="s">
        <v>13</v>
      </c>
      <c r="D1602" s="5" t="s">
        <v>4536</v>
      </c>
      <c r="E1602" s="5" t="s">
        <v>4568</v>
      </c>
      <c r="F1602" s="5" t="s">
        <v>4569</v>
      </c>
      <c r="G1602" s="5" t="s">
        <v>224</v>
      </c>
      <c r="H1602" s="5" t="s">
        <v>18</v>
      </c>
      <c r="I1602" s="8" t="s">
        <v>4570</v>
      </c>
      <c r="J1602" s="8" t="s">
        <v>13</v>
      </c>
    </row>
    <row r="1603">
      <c r="A1603" s="5" t="s">
        <v>4571</v>
      </c>
      <c r="B1603" s="5" t="s">
        <v>4572</v>
      </c>
      <c r="C1603" s="6" t="s">
        <v>13</v>
      </c>
      <c r="D1603" s="5" t="s">
        <v>4536</v>
      </c>
      <c r="E1603" s="5" t="s">
        <v>1667</v>
      </c>
      <c r="F1603" s="5" t="s">
        <v>49</v>
      </c>
      <c r="G1603" s="5" t="s">
        <v>50</v>
      </c>
      <c r="H1603" s="5" t="s">
        <v>18</v>
      </c>
      <c r="I1603" s="7" t="s">
        <v>4573</v>
      </c>
      <c r="J1603" s="8" t="s">
        <v>13</v>
      </c>
    </row>
    <row r="1604">
      <c r="A1604" s="5" t="s">
        <v>4574</v>
      </c>
      <c r="B1604" s="5" t="s">
        <v>4575</v>
      </c>
      <c r="C1604" s="6" t="s">
        <v>13</v>
      </c>
      <c r="D1604" s="5" t="s">
        <v>4536</v>
      </c>
      <c r="E1604" s="5" t="s">
        <v>523</v>
      </c>
      <c r="F1604" s="5" t="s">
        <v>49</v>
      </c>
      <c r="G1604" s="5" t="s">
        <v>50</v>
      </c>
      <c r="H1604" s="5" t="s">
        <v>18</v>
      </c>
      <c r="I1604" s="7" t="s">
        <v>4576</v>
      </c>
      <c r="J1604" s="8" t="s">
        <v>13</v>
      </c>
    </row>
    <row r="1605">
      <c r="A1605" s="5" t="s">
        <v>4577</v>
      </c>
      <c r="B1605" s="5" t="s">
        <v>4578</v>
      </c>
      <c r="C1605" s="6" t="s">
        <v>13</v>
      </c>
      <c r="D1605" s="5" t="s">
        <v>4536</v>
      </c>
      <c r="E1605" s="5" t="s">
        <v>241</v>
      </c>
      <c r="F1605" s="5" t="s">
        <v>49</v>
      </c>
      <c r="G1605" s="5" t="s">
        <v>50</v>
      </c>
      <c r="H1605" s="5" t="s">
        <v>18</v>
      </c>
      <c r="I1605" s="7" t="s">
        <v>4579</v>
      </c>
      <c r="J1605" s="8" t="s">
        <v>13</v>
      </c>
    </row>
    <row r="1606">
      <c r="A1606" s="5" t="s">
        <v>4580</v>
      </c>
      <c r="B1606" s="5" t="s">
        <v>4581</v>
      </c>
      <c r="C1606" s="5" t="s">
        <v>4</v>
      </c>
      <c r="D1606" s="5" t="s">
        <v>4536</v>
      </c>
      <c r="E1606" s="5" t="s">
        <v>832</v>
      </c>
      <c r="F1606" s="5" t="s">
        <v>49</v>
      </c>
      <c r="G1606" s="5" t="s">
        <v>50</v>
      </c>
      <c r="H1606" s="5" t="s">
        <v>18</v>
      </c>
      <c r="I1606" s="7" t="s">
        <v>4582</v>
      </c>
      <c r="J1606" s="8" t="s">
        <v>13</v>
      </c>
    </row>
    <row r="1607">
      <c r="A1607" s="5" t="s">
        <v>4583</v>
      </c>
      <c r="B1607" s="5" t="s">
        <v>4584</v>
      </c>
      <c r="C1607" s="6" t="s">
        <v>13</v>
      </c>
      <c r="D1607" s="5" t="s">
        <v>4585</v>
      </c>
      <c r="E1607" s="5" t="s">
        <v>512</v>
      </c>
      <c r="F1607" s="5" t="s">
        <v>4586</v>
      </c>
      <c r="G1607" s="5" t="s">
        <v>44</v>
      </c>
      <c r="H1607" s="5" t="s">
        <v>18</v>
      </c>
      <c r="I1607" s="7" t="s">
        <v>4587</v>
      </c>
      <c r="J1607" s="8" t="s">
        <v>13</v>
      </c>
    </row>
    <row r="1608">
      <c r="A1608" s="5" t="s">
        <v>4588</v>
      </c>
      <c r="B1608" s="5" t="s">
        <v>110</v>
      </c>
      <c r="C1608" s="6" t="s">
        <v>13</v>
      </c>
      <c r="D1608" s="5" t="s">
        <v>4585</v>
      </c>
      <c r="E1608" s="5" t="s">
        <v>222</v>
      </c>
      <c r="F1608" s="5" t="s">
        <v>122</v>
      </c>
      <c r="G1608" s="5" t="s">
        <v>44</v>
      </c>
      <c r="H1608" s="5" t="s">
        <v>18</v>
      </c>
      <c r="I1608" s="7" t="s">
        <v>4589</v>
      </c>
      <c r="J1608" s="8" t="s">
        <v>13</v>
      </c>
    </row>
    <row r="1609">
      <c r="A1609" s="5" t="s">
        <v>4590</v>
      </c>
      <c r="B1609" s="5" t="s">
        <v>1147</v>
      </c>
      <c r="C1609" s="6" t="s">
        <v>13</v>
      </c>
      <c r="D1609" s="5" t="s">
        <v>4585</v>
      </c>
      <c r="E1609" s="5" t="s">
        <v>79</v>
      </c>
      <c r="F1609" s="5" t="s">
        <v>166</v>
      </c>
      <c r="G1609" s="5" t="s">
        <v>44</v>
      </c>
      <c r="H1609" s="5" t="s">
        <v>18</v>
      </c>
      <c r="I1609" s="7" t="s">
        <v>4591</v>
      </c>
      <c r="J1609" s="8" t="s">
        <v>13</v>
      </c>
    </row>
    <row r="1610">
      <c r="A1610" s="5" t="s">
        <v>4592</v>
      </c>
      <c r="B1610" s="5" t="s">
        <v>110</v>
      </c>
      <c r="C1610" s="6" t="s">
        <v>13</v>
      </c>
      <c r="D1610" s="5" t="s">
        <v>4585</v>
      </c>
      <c r="E1610" s="5" t="s">
        <v>222</v>
      </c>
      <c r="F1610" s="5" t="s">
        <v>169</v>
      </c>
      <c r="G1610" s="5" t="s">
        <v>44</v>
      </c>
      <c r="H1610" s="5" t="s">
        <v>18</v>
      </c>
      <c r="I1610" s="7" t="s">
        <v>4593</v>
      </c>
      <c r="J1610" s="8" t="s">
        <v>13</v>
      </c>
    </row>
  </sheetData>
  <autoFilter ref="$A$3:$I$1610"/>
  <mergeCells count="2">
    <mergeCell ref="A1:J1"/>
    <mergeCell ref="A2:J2"/>
  </mergeCells>
  <hyperlinks>
    <hyperlink r:id="rId1" ref="I4"/>
    <hyperlink r:id="rId2" ref="I5"/>
    <hyperlink r:id="rId3" ref="A6"/>
    <hyperlink r:id="rId4" ref="I7"/>
    <hyperlink r:id="rId5" ref="I8"/>
    <hyperlink r:id="rId6" ref="I9"/>
    <hyperlink r:id="rId7" ref="I10"/>
    <hyperlink r:id="rId8" ref="I11"/>
    <hyperlink r:id="rId9" ref="I12"/>
    <hyperlink r:id="rId10" ref="I13"/>
    <hyperlink r:id="rId11" ref="I14"/>
    <hyperlink r:id="rId12" ref="I15"/>
    <hyperlink r:id="rId13" ref="I16"/>
    <hyperlink r:id="rId14" ref="I17"/>
    <hyperlink r:id="rId15" ref="I18"/>
    <hyperlink r:id="rId16" ref="I19"/>
    <hyperlink r:id="rId17" ref="I20"/>
    <hyperlink r:id="rId18" ref="I21"/>
    <hyperlink r:id="rId19" ref="I22"/>
    <hyperlink r:id="rId20" ref="I23"/>
    <hyperlink r:id="rId21" ref="I24"/>
    <hyperlink r:id="rId22" ref="I25"/>
    <hyperlink r:id="rId23" ref="I26"/>
    <hyperlink r:id="rId24" ref="I27"/>
    <hyperlink r:id="rId25" ref="I28"/>
    <hyperlink r:id="rId26" ref="I29"/>
    <hyperlink r:id="rId27" ref="I30"/>
    <hyperlink r:id="rId28" ref="I31"/>
    <hyperlink r:id="rId29" ref="I32"/>
    <hyperlink r:id="rId30" ref="I33"/>
    <hyperlink r:id="rId31" ref="I34"/>
    <hyperlink r:id="rId32" ref="I35"/>
    <hyperlink r:id="rId33" ref="I36"/>
    <hyperlink r:id="rId34" ref="I37"/>
    <hyperlink r:id="rId35" ref="I38"/>
    <hyperlink r:id="rId36" ref="I39"/>
    <hyperlink r:id="rId37" ref="I40"/>
    <hyperlink r:id="rId38" ref="I41"/>
    <hyperlink r:id="rId39" ref="I42"/>
    <hyperlink r:id="rId40" ref="I43"/>
    <hyperlink r:id="rId41" ref="I44"/>
    <hyperlink r:id="rId42" ref="I45"/>
    <hyperlink r:id="rId43" ref="I46"/>
    <hyperlink r:id="rId44" ref="I48"/>
    <hyperlink r:id="rId45" ref="I49"/>
    <hyperlink r:id="rId46" ref="I51"/>
    <hyperlink r:id="rId47" ref="I54"/>
    <hyperlink r:id="rId48" ref="I55"/>
    <hyperlink r:id="rId49" ref="I56"/>
    <hyperlink r:id="rId50" ref="I57"/>
    <hyperlink r:id="rId51" ref="I58"/>
    <hyperlink r:id="rId52" ref="I59"/>
    <hyperlink r:id="rId53" ref="I61"/>
    <hyperlink r:id="rId54" ref="I62"/>
    <hyperlink r:id="rId55" ref="I63"/>
    <hyperlink r:id="rId56" ref="I64"/>
    <hyperlink r:id="rId57" ref="I65"/>
    <hyperlink r:id="rId58" ref="I66"/>
    <hyperlink r:id="rId59" ref="I68"/>
    <hyperlink r:id="rId60" ref="I69"/>
    <hyperlink r:id="rId61" ref="I70"/>
    <hyperlink r:id="rId62" ref="I71"/>
    <hyperlink r:id="rId63" ref="I72"/>
    <hyperlink r:id="rId64" ref="I73"/>
    <hyperlink r:id="rId65" ref="I74"/>
    <hyperlink r:id="rId66" ref="I75"/>
    <hyperlink r:id="rId67" ref="I76"/>
    <hyperlink r:id="rId68" ref="I77"/>
    <hyperlink r:id="rId69" ref="I79"/>
    <hyperlink r:id="rId70" ref="I80"/>
    <hyperlink r:id="rId71" ref="I81"/>
    <hyperlink r:id="rId72" ref="I82"/>
    <hyperlink r:id="rId73" ref="I83"/>
    <hyperlink r:id="rId74" ref="I85"/>
    <hyperlink r:id="rId75" ref="I86"/>
    <hyperlink r:id="rId76" ref="I87"/>
    <hyperlink r:id="rId77" ref="I88"/>
    <hyperlink r:id="rId78" ref="I89"/>
    <hyperlink r:id="rId79" ref="I90"/>
    <hyperlink r:id="rId80" ref="I93"/>
    <hyperlink r:id="rId81" ref="I95"/>
    <hyperlink r:id="rId82" ref="I96"/>
    <hyperlink r:id="rId83" ref="I97"/>
    <hyperlink r:id="rId84" ref="I99"/>
    <hyperlink r:id="rId85" ref="I100"/>
    <hyperlink r:id="rId86" ref="I101"/>
    <hyperlink r:id="rId87" ref="I102"/>
    <hyperlink r:id="rId88" ref="I103"/>
    <hyperlink r:id="rId89" ref="I104"/>
    <hyperlink r:id="rId90" ref="I105"/>
    <hyperlink r:id="rId91" ref="I106"/>
    <hyperlink r:id="rId92" ref="I108"/>
    <hyperlink r:id="rId93" ref="I109"/>
    <hyperlink r:id="rId94" ref="I110"/>
    <hyperlink r:id="rId95" ref="I112"/>
    <hyperlink r:id="rId96" ref="I113"/>
    <hyperlink r:id="rId97" ref="I114"/>
    <hyperlink r:id="rId98" ref="I115"/>
    <hyperlink r:id="rId99" ref="I117"/>
    <hyperlink r:id="rId100" ref="I118"/>
    <hyperlink r:id="rId101" ref="I119"/>
    <hyperlink r:id="rId102" ref="I120"/>
    <hyperlink r:id="rId103" ref="I121"/>
    <hyperlink r:id="rId104" ref="I122"/>
    <hyperlink r:id="rId105" ref="I124"/>
    <hyperlink r:id="rId106" ref="I126"/>
    <hyperlink r:id="rId107" ref="I127"/>
    <hyperlink r:id="rId108" ref="I128"/>
    <hyperlink r:id="rId109" ref="I129"/>
    <hyperlink r:id="rId110" ref="I130"/>
    <hyperlink r:id="rId111" ref="I131"/>
    <hyperlink r:id="rId112" ref="I132"/>
    <hyperlink r:id="rId113" ref="I133"/>
    <hyperlink r:id="rId114" ref="I137"/>
    <hyperlink r:id="rId115" ref="I138"/>
    <hyperlink r:id="rId116" ref="I140"/>
    <hyperlink r:id="rId117" ref="I142"/>
    <hyperlink r:id="rId118" ref="I144"/>
    <hyperlink r:id="rId119" ref="I145"/>
    <hyperlink r:id="rId120" ref="I146"/>
    <hyperlink r:id="rId121" ref="I147"/>
    <hyperlink r:id="rId122" ref="I148"/>
    <hyperlink r:id="rId123" ref="I150"/>
    <hyperlink r:id="rId124" ref="I152"/>
    <hyperlink r:id="rId125" ref="I153"/>
    <hyperlink r:id="rId126" ref="I154"/>
    <hyperlink r:id="rId127" ref="I155"/>
    <hyperlink r:id="rId128" ref="I156"/>
    <hyperlink r:id="rId129" ref="I157"/>
    <hyperlink r:id="rId130" ref="I163"/>
    <hyperlink r:id="rId131" ref="I167"/>
    <hyperlink r:id="rId132" ref="I170"/>
    <hyperlink r:id="rId133" ref="I172"/>
    <hyperlink r:id="rId134" ref="I173"/>
    <hyperlink r:id="rId135" ref="I174"/>
    <hyperlink r:id="rId136" ref="I175"/>
    <hyperlink r:id="rId137" ref="I176"/>
    <hyperlink r:id="rId138" ref="I177"/>
    <hyperlink r:id="rId139" ref="I179"/>
    <hyperlink r:id="rId140" ref="I180"/>
    <hyperlink r:id="rId141" ref="I181"/>
    <hyperlink r:id="rId142" ref="I182"/>
    <hyperlink r:id="rId143" ref="I183"/>
    <hyperlink r:id="rId144" ref="I184"/>
    <hyperlink r:id="rId145" ref="I185"/>
    <hyperlink r:id="rId146" ref="I200"/>
    <hyperlink r:id="rId147" ref="I203"/>
    <hyperlink r:id="rId148" ref="I204"/>
    <hyperlink r:id="rId149" ref="I205"/>
    <hyperlink r:id="rId150" ref="I206"/>
    <hyperlink r:id="rId151" ref="I207"/>
    <hyperlink r:id="rId152" ref="I208"/>
    <hyperlink r:id="rId153" ref="I209"/>
    <hyperlink r:id="rId154" ref="I210"/>
    <hyperlink r:id="rId155" ref="I211"/>
    <hyperlink r:id="rId156" ref="I212"/>
    <hyperlink r:id="rId157" ref="I213"/>
    <hyperlink r:id="rId158" ref="I214"/>
    <hyperlink r:id="rId159" ref="I215"/>
    <hyperlink r:id="rId160" ref="I216"/>
    <hyperlink r:id="rId161" ref="I217"/>
    <hyperlink r:id="rId162" ref="I218"/>
    <hyperlink r:id="rId163" ref="I219"/>
    <hyperlink r:id="rId164" ref="I221"/>
    <hyperlink r:id="rId165" ref="I222"/>
    <hyperlink r:id="rId166" ref="I223"/>
    <hyperlink r:id="rId167" ref="I224"/>
    <hyperlink r:id="rId168" ref="I225"/>
    <hyperlink r:id="rId169" ref="I226"/>
    <hyperlink r:id="rId170" ref="I228"/>
    <hyperlink r:id="rId171" ref="I229"/>
    <hyperlink r:id="rId172" ref="I230"/>
    <hyperlink r:id="rId173" ref="I232"/>
    <hyperlink r:id="rId174" ref="I233"/>
    <hyperlink r:id="rId175" ref="I234"/>
    <hyperlink r:id="rId176" ref="I236"/>
    <hyperlink r:id="rId177" ref="I237"/>
    <hyperlink r:id="rId178" ref="I238"/>
    <hyperlink r:id="rId179" ref="I240"/>
    <hyperlink r:id="rId180" ref="I241"/>
    <hyperlink r:id="rId181" ref="I242"/>
    <hyperlink r:id="rId182" ref="I243"/>
    <hyperlink r:id="rId183" ref="I244"/>
    <hyperlink r:id="rId184" ref="I245"/>
    <hyperlink r:id="rId185" ref="I246"/>
    <hyperlink r:id="rId186" ref="I248"/>
    <hyperlink r:id="rId187" ref="I249"/>
    <hyperlink r:id="rId188" ref="I250"/>
    <hyperlink r:id="rId189" ref="I251"/>
    <hyperlink r:id="rId190" ref="I252"/>
    <hyperlink r:id="rId191" ref="I253"/>
    <hyperlink r:id="rId192" ref="I254"/>
    <hyperlink r:id="rId193" ref="I255"/>
    <hyperlink r:id="rId194" ref="I257"/>
    <hyperlink r:id="rId195" ref="I258"/>
    <hyperlink r:id="rId196" ref="I260"/>
    <hyperlink r:id="rId197" ref="I263"/>
    <hyperlink r:id="rId198" ref="I264"/>
    <hyperlink r:id="rId199" ref="I267"/>
    <hyperlink r:id="rId200" ref="I270"/>
    <hyperlink r:id="rId201" ref="I271"/>
    <hyperlink r:id="rId202" ref="I273"/>
    <hyperlink r:id="rId203" ref="I276"/>
    <hyperlink r:id="rId204" ref="I277"/>
    <hyperlink r:id="rId205" ref="I278"/>
    <hyperlink r:id="rId206" ref="I279"/>
    <hyperlink r:id="rId207" ref="I280"/>
    <hyperlink r:id="rId208" ref="I281"/>
    <hyperlink r:id="rId209" ref="I282"/>
    <hyperlink r:id="rId210" ref="I283"/>
    <hyperlink r:id="rId211" ref="I284"/>
    <hyperlink r:id="rId212" ref="I285"/>
    <hyperlink r:id="rId213" ref="I286"/>
    <hyperlink r:id="rId214" ref="I288"/>
    <hyperlink r:id="rId215" ref="I290"/>
    <hyperlink r:id="rId216" ref="I291"/>
    <hyperlink r:id="rId217" ref="I292"/>
    <hyperlink r:id="rId218" ref="I293"/>
    <hyperlink r:id="rId219" ref="I295"/>
    <hyperlink r:id="rId220" ref="I296"/>
    <hyperlink r:id="rId221" ref="I297"/>
    <hyperlink r:id="rId222" ref="I298"/>
    <hyperlink r:id="rId223" ref="I299"/>
    <hyperlink r:id="rId224" ref="I300"/>
    <hyperlink r:id="rId225" ref="I301"/>
    <hyperlink r:id="rId226" ref="I302"/>
    <hyperlink r:id="rId227" ref="I303"/>
    <hyperlink r:id="rId228" ref="I304"/>
    <hyperlink r:id="rId229" ref="I306"/>
    <hyperlink r:id="rId230" ref="I307"/>
    <hyperlink r:id="rId231" ref="I309"/>
    <hyperlink r:id="rId232" ref="I310"/>
    <hyperlink r:id="rId233" ref="I312"/>
    <hyperlink r:id="rId234" ref="I313"/>
    <hyperlink r:id="rId235" ref="I314"/>
    <hyperlink r:id="rId236" ref="I315"/>
    <hyperlink r:id="rId237" ref="I318"/>
    <hyperlink r:id="rId238" ref="I319"/>
    <hyperlink r:id="rId239" ref="I320"/>
    <hyperlink r:id="rId240" ref="I322"/>
    <hyperlink r:id="rId241" ref="I323"/>
    <hyperlink r:id="rId242" ref="I324"/>
    <hyperlink r:id="rId243" ref="I325"/>
    <hyperlink r:id="rId244" ref="I326"/>
    <hyperlink r:id="rId245" ref="I327"/>
    <hyperlink r:id="rId246" ref="I328"/>
    <hyperlink r:id="rId247" ref="I329"/>
    <hyperlink r:id="rId248" ref="I330"/>
    <hyperlink r:id="rId249" ref="I331"/>
    <hyperlink r:id="rId250" ref="I332"/>
    <hyperlink r:id="rId251" ref="I335"/>
    <hyperlink r:id="rId252" ref="I341"/>
    <hyperlink r:id="rId253" ref="I344"/>
    <hyperlink r:id="rId254" ref="I345"/>
    <hyperlink r:id="rId255" ref="I349"/>
    <hyperlink r:id="rId256" ref="I350"/>
    <hyperlink r:id="rId257" ref="I351"/>
    <hyperlink r:id="rId258" ref="I352"/>
    <hyperlink r:id="rId259" ref="I353"/>
    <hyperlink r:id="rId260" ref="I355"/>
    <hyperlink r:id="rId261" ref="I356"/>
    <hyperlink r:id="rId262" ref="I359"/>
    <hyperlink r:id="rId263" ref="I360"/>
    <hyperlink r:id="rId264" ref="I361"/>
    <hyperlink r:id="rId265" ref="I363"/>
    <hyperlink r:id="rId266" ref="I364"/>
    <hyperlink r:id="rId267" ref="I365"/>
    <hyperlink r:id="rId268" ref="I366"/>
    <hyperlink r:id="rId269" ref="I367"/>
    <hyperlink r:id="rId270" ref="I368"/>
    <hyperlink r:id="rId271" ref="I369"/>
    <hyperlink r:id="rId272" ref="I371"/>
    <hyperlink r:id="rId273" ref="I372"/>
    <hyperlink r:id="rId274" ref="I374"/>
    <hyperlink r:id="rId275" ref="I375"/>
    <hyperlink r:id="rId276" ref="I377"/>
    <hyperlink r:id="rId277" ref="I379"/>
    <hyperlink r:id="rId278" ref="I382"/>
    <hyperlink r:id="rId279" ref="I386"/>
    <hyperlink r:id="rId280" ref="I387"/>
    <hyperlink r:id="rId281" ref="I389"/>
    <hyperlink r:id="rId282" ref="I390"/>
    <hyperlink r:id="rId283" ref="I391"/>
    <hyperlink r:id="rId284" ref="I392"/>
    <hyperlink r:id="rId285" ref="I394"/>
    <hyperlink r:id="rId286" ref="I395"/>
    <hyperlink r:id="rId287" ref="I396"/>
    <hyperlink r:id="rId288" ref="I397"/>
    <hyperlink r:id="rId289" ref="I398"/>
    <hyperlink r:id="rId290" ref="I399"/>
    <hyperlink r:id="rId291" ref="I400"/>
    <hyperlink r:id="rId292" ref="I401"/>
    <hyperlink r:id="rId293" ref="I402"/>
    <hyperlink r:id="rId294" ref="I403"/>
    <hyperlink r:id="rId295" ref="I404"/>
    <hyperlink r:id="rId296" ref="I405"/>
    <hyperlink r:id="rId297" ref="I406"/>
    <hyperlink r:id="rId298" ref="I407"/>
    <hyperlink r:id="rId299" ref="I408"/>
    <hyperlink r:id="rId300" ref="I409"/>
    <hyperlink r:id="rId301" ref="I410"/>
    <hyperlink r:id="rId302" ref="I411"/>
    <hyperlink r:id="rId303" ref="I412"/>
    <hyperlink r:id="rId304" ref="I413"/>
    <hyperlink r:id="rId305" ref="I414"/>
    <hyperlink r:id="rId306" ref="I415"/>
    <hyperlink r:id="rId307" ref="I416"/>
    <hyperlink r:id="rId308" ref="I417"/>
    <hyperlink r:id="rId309" ref="I419"/>
    <hyperlink r:id="rId310" ref="I420"/>
    <hyperlink r:id="rId311" ref="I421"/>
    <hyperlink r:id="rId312" ref="I425"/>
    <hyperlink r:id="rId313" ref="I426"/>
    <hyperlink r:id="rId314" ref="I427"/>
    <hyperlink r:id="rId315" ref="I430"/>
    <hyperlink r:id="rId316" ref="I431"/>
    <hyperlink r:id="rId317" ref="I432"/>
    <hyperlink r:id="rId318" ref="I433"/>
    <hyperlink r:id="rId319" ref="I434"/>
    <hyperlink r:id="rId320" ref="I435"/>
    <hyperlink r:id="rId321" ref="I436"/>
    <hyperlink r:id="rId322" ref="I437"/>
    <hyperlink r:id="rId323" ref="I438"/>
    <hyperlink r:id="rId324" ref="I439"/>
    <hyperlink r:id="rId325" ref="I440"/>
    <hyperlink r:id="rId326" ref="I441"/>
    <hyperlink r:id="rId327" ref="I442"/>
    <hyperlink r:id="rId328" ref="I443"/>
    <hyperlink r:id="rId329" ref="I444"/>
    <hyperlink r:id="rId330" ref="I446"/>
    <hyperlink r:id="rId331" ref="I448"/>
    <hyperlink r:id="rId332" ref="I449"/>
    <hyperlink r:id="rId333" ref="I450"/>
    <hyperlink r:id="rId334" ref="I451"/>
    <hyperlink r:id="rId335" ref="I452"/>
    <hyperlink r:id="rId336" ref="I453"/>
    <hyperlink r:id="rId337" ref="I454"/>
    <hyperlink r:id="rId338" ref="I455"/>
    <hyperlink r:id="rId339" ref="I456"/>
    <hyperlink r:id="rId340" ref="I457"/>
    <hyperlink r:id="rId341" ref="I459"/>
    <hyperlink r:id="rId342" ref="I460"/>
    <hyperlink r:id="rId343" ref="I461"/>
    <hyperlink r:id="rId344" ref="I462"/>
    <hyperlink r:id="rId345" ref="I463"/>
    <hyperlink r:id="rId346" ref="I465"/>
    <hyperlink r:id="rId347" ref="I466"/>
    <hyperlink r:id="rId348" ref="I470"/>
    <hyperlink r:id="rId349" ref="I471"/>
    <hyperlink r:id="rId350" ref="I472"/>
    <hyperlink r:id="rId351" ref="I473"/>
    <hyperlink r:id="rId352" ref="I476"/>
    <hyperlink r:id="rId353" ref="I477"/>
    <hyperlink r:id="rId354" ref="I479"/>
    <hyperlink r:id="rId355" ref="I480"/>
    <hyperlink r:id="rId356" ref="I481"/>
    <hyperlink r:id="rId357" ref="I483"/>
    <hyperlink r:id="rId358" ref="I484"/>
    <hyperlink r:id="rId359" ref="I485"/>
    <hyperlink r:id="rId360" ref="I486"/>
    <hyperlink r:id="rId361" ref="I487"/>
    <hyperlink r:id="rId362" ref="I488"/>
    <hyperlink r:id="rId363" ref="I492"/>
    <hyperlink r:id="rId364" ref="I493"/>
    <hyperlink r:id="rId365" ref="I494"/>
    <hyperlink r:id="rId366" ref="I497"/>
    <hyperlink r:id="rId367" ref="I499"/>
    <hyperlink r:id="rId368" ref="I500"/>
    <hyperlink r:id="rId369" ref="I501"/>
    <hyperlink r:id="rId370" ref="I502"/>
    <hyperlink r:id="rId371" ref="I503"/>
    <hyperlink r:id="rId372" ref="I504"/>
    <hyperlink r:id="rId373" ref="I505"/>
    <hyperlink r:id="rId374" ref="I506"/>
    <hyperlink r:id="rId375" ref="I507"/>
    <hyperlink r:id="rId376" ref="I508"/>
    <hyperlink r:id="rId377" ref="I509"/>
    <hyperlink r:id="rId378" ref="I510"/>
    <hyperlink r:id="rId379" ref="I511"/>
    <hyperlink r:id="rId380" ref="I512"/>
    <hyperlink r:id="rId381" ref="I513"/>
    <hyperlink r:id="rId382" ref="I514"/>
    <hyperlink r:id="rId383" ref="I515"/>
    <hyperlink r:id="rId384" ref="I516"/>
    <hyperlink r:id="rId385" ref="I517"/>
    <hyperlink r:id="rId386" ref="I518"/>
    <hyperlink r:id="rId387" ref="I519"/>
    <hyperlink r:id="rId388" ref="I520"/>
    <hyperlink r:id="rId389" ref="I521"/>
    <hyperlink r:id="rId390" ref="I522"/>
    <hyperlink r:id="rId391" ref="I523"/>
    <hyperlink r:id="rId392" ref="I525"/>
    <hyperlink r:id="rId393" ref="I526"/>
    <hyperlink r:id="rId394" ref="I527"/>
    <hyperlink r:id="rId395" ref="I528"/>
    <hyperlink r:id="rId396" ref="I530"/>
    <hyperlink r:id="rId397" ref="I534"/>
    <hyperlink r:id="rId398" ref="I535"/>
    <hyperlink r:id="rId399" ref="I536"/>
    <hyperlink r:id="rId400" ref="I537"/>
    <hyperlink r:id="rId401" ref="I538"/>
    <hyperlink r:id="rId402" ref="I539"/>
    <hyperlink r:id="rId403" ref="I540"/>
    <hyperlink r:id="rId404" ref="I541"/>
    <hyperlink r:id="rId405" ref="I542"/>
    <hyperlink r:id="rId406" ref="I544"/>
    <hyperlink r:id="rId407" ref="I545"/>
    <hyperlink r:id="rId408" ref="I548"/>
    <hyperlink r:id="rId409" ref="I549"/>
    <hyperlink r:id="rId410" ref="I550"/>
    <hyperlink r:id="rId411" ref="I551"/>
    <hyperlink r:id="rId412" ref="I552"/>
    <hyperlink r:id="rId413" ref="I553"/>
    <hyperlink r:id="rId414" ref="I555"/>
    <hyperlink r:id="rId415" ref="I556"/>
    <hyperlink r:id="rId416" ref="I559"/>
    <hyperlink r:id="rId417" ref="I560"/>
    <hyperlink r:id="rId418" ref="I561"/>
    <hyperlink r:id="rId419" ref="I563"/>
    <hyperlink r:id="rId420" ref="I564"/>
    <hyperlink r:id="rId421" ref="I565"/>
    <hyperlink r:id="rId422" ref="I566"/>
    <hyperlink r:id="rId423" ref="I567"/>
    <hyperlink r:id="rId424" ref="I569"/>
    <hyperlink r:id="rId425" ref="I570"/>
    <hyperlink r:id="rId426" ref="I571"/>
    <hyperlink r:id="rId427" ref="I572"/>
    <hyperlink r:id="rId428" ref="I573"/>
    <hyperlink r:id="rId429" ref="I574"/>
    <hyperlink r:id="rId430" ref="I575"/>
    <hyperlink r:id="rId431" ref="I578"/>
    <hyperlink r:id="rId432" ref="I579"/>
    <hyperlink r:id="rId433" ref="I581"/>
    <hyperlink r:id="rId434" ref="I582"/>
    <hyperlink r:id="rId435" ref="I583"/>
    <hyperlink r:id="rId436" ref="I585"/>
    <hyperlink r:id="rId437" ref="I587"/>
    <hyperlink r:id="rId438" ref="I589"/>
    <hyperlink r:id="rId439" ref="I590"/>
    <hyperlink r:id="rId440" ref="I592"/>
    <hyperlink r:id="rId441" ref="I593"/>
    <hyperlink r:id="rId442" ref="I596"/>
    <hyperlink r:id="rId443" ref="I598"/>
    <hyperlink r:id="rId444" ref="I600"/>
    <hyperlink r:id="rId445" ref="I601"/>
    <hyperlink r:id="rId446" ref="I602"/>
    <hyperlink r:id="rId447" ref="I603"/>
    <hyperlink r:id="rId448" ref="I607"/>
    <hyperlink r:id="rId449" ref="I608"/>
    <hyperlink r:id="rId450" ref="I609"/>
    <hyperlink r:id="rId451" ref="I610"/>
    <hyperlink r:id="rId452" ref="I611"/>
    <hyperlink r:id="rId453" ref="I612"/>
    <hyperlink r:id="rId454" ref="I614"/>
    <hyperlink r:id="rId455" ref="I615"/>
    <hyperlink r:id="rId456" ref="I617"/>
    <hyperlink r:id="rId457" ref="I618"/>
    <hyperlink r:id="rId458" ref="I619"/>
    <hyperlink r:id="rId459" ref="I620"/>
    <hyperlink r:id="rId460" ref="I621"/>
    <hyperlink r:id="rId461" ref="I623"/>
    <hyperlink r:id="rId462" ref="I627"/>
    <hyperlink r:id="rId463" ref="I628"/>
    <hyperlink r:id="rId464" ref="I629"/>
    <hyperlink r:id="rId465" ref="I630"/>
    <hyperlink r:id="rId466" ref="I631"/>
    <hyperlink r:id="rId467" ref="I633"/>
    <hyperlink r:id="rId468" ref="I634"/>
    <hyperlink r:id="rId469" ref="I635"/>
    <hyperlink r:id="rId470" ref="I640"/>
    <hyperlink r:id="rId471" ref="I641"/>
    <hyperlink r:id="rId472" ref="I642"/>
    <hyperlink r:id="rId473" ref="I643"/>
    <hyperlink r:id="rId474" ref="I644"/>
    <hyperlink r:id="rId475" ref="I645"/>
    <hyperlink r:id="rId476" ref="I646"/>
    <hyperlink r:id="rId477" ref="I647"/>
    <hyperlink r:id="rId478" ref="I650"/>
    <hyperlink r:id="rId479" ref="I651"/>
    <hyperlink r:id="rId480" ref="I652"/>
    <hyperlink r:id="rId481" ref="I654"/>
    <hyperlink r:id="rId482" ref="I658"/>
    <hyperlink r:id="rId483" ref="I660"/>
    <hyperlink r:id="rId484" ref="I661"/>
    <hyperlink r:id="rId485" ref="I662"/>
    <hyperlink r:id="rId486" ref="I663"/>
    <hyperlink r:id="rId487" ref="I667"/>
    <hyperlink r:id="rId488" ref="I668"/>
    <hyperlink r:id="rId489" ref="I669"/>
    <hyperlink r:id="rId490" ref="I670"/>
    <hyperlink r:id="rId491" ref="I671"/>
    <hyperlink r:id="rId492" ref="I672"/>
    <hyperlink r:id="rId493" ref="I673"/>
    <hyperlink r:id="rId494" ref="I674"/>
    <hyperlink r:id="rId495" ref="I675"/>
    <hyperlink r:id="rId496" ref="I676"/>
    <hyperlink r:id="rId497" ref="I679"/>
    <hyperlink r:id="rId498" ref="I680"/>
    <hyperlink r:id="rId499" ref="I681"/>
    <hyperlink r:id="rId500" ref="I683"/>
    <hyperlink r:id="rId501" ref="I684"/>
    <hyperlink r:id="rId502" ref="I686"/>
    <hyperlink r:id="rId503" ref="I688"/>
    <hyperlink r:id="rId504" ref="I690"/>
    <hyperlink r:id="rId505" ref="I691"/>
    <hyperlink r:id="rId506" ref="I692"/>
    <hyperlink r:id="rId507" ref="I693"/>
    <hyperlink r:id="rId508" ref="I694"/>
    <hyperlink r:id="rId509" ref="I695"/>
    <hyperlink r:id="rId510" ref="I696"/>
    <hyperlink r:id="rId511" ref="I698"/>
    <hyperlink r:id="rId512" ref="I699"/>
    <hyperlink r:id="rId513" ref="I700"/>
    <hyperlink r:id="rId514" ref="I702"/>
    <hyperlink r:id="rId515" ref="I703"/>
    <hyperlink r:id="rId516" ref="I704"/>
    <hyperlink r:id="rId517" ref="I705"/>
    <hyperlink r:id="rId518" ref="I707"/>
    <hyperlink r:id="rId519" ref="I708"/>
    <hyperlink r:id="rId520" ref="I709"/>
    <hyperlink r:id="rId521" ref="I710"/>
    <hyperlink r:id="rId522" ref="I711"/>
    <hyperlink r:id="rId523" ref="I713"/>
    <hyperlink r:id="rId524" ref="I714"/>
    <hyperlink r:id="rId525" ref="I715"/>
    <hyperlink r:id="rId526" ref="I717"/>
    <hyperlink r:id="rId527" ref="I719"/>
    <hyperlink r:id="rId528" ref="I721"/>
    <hyperlink r:id="rId529" ref="I722"/>
    <hyperlink r:id="rId530" ref="I723"/>
    <hyperlink r:id="rId531" ref="I724"/>
    <hyperlink r:id="rId532" ref="I725"/>
    <hyperlink r:id="rId533" ref="I727"/>
    <hyperlink r:id="rId534" ref="I728"/>
    <hyperlink r:id="rId535" ref="I731"/>
    <hyperlink r:id="rId536" ref="I732"/>
    <hyperlink r:id="rId537" ref="I734"/>
    <hyperlink r:id="rId538" ref="I735"/>
    <hyperlink r:id="rId539" ref="I737"/>
    <hyperlink r:id="rId540" ref="I738"/>
    <hyperlink r:id="rId541" ref="I740"/>
    <hyperlink r:id="rId542" ref="I741"/>
    <hyperlink r:id="rId543" ref="I742"/>
    <hyperlink r:id="rId544" ref="I743"/>
    <hyperlink r:id="rId545" ref="I744"/>
    <hyperlink r:id="rId546" ref="I745"/>
    <hyperlink r:id="rId547" ref="I746"/>
    <hyperlink r:id="rId548" ref="I747"/>
    <hyperlink r:id="rId549" ref="I748"/>
    <hyperlink r:id="rId550" ref="I749"/>
    <hyperlink r:id="rId551" ref="I750"/>
    <hyperlink r:id="rId552" ref="I752"/>
    <hyperlink r:id="rId553" ref="I753"/>
    <hyperlink r:id="rId554" ref="I754"/>
    <hyperlink r:id="rId555" ref="I756"/>
    <hyperlink r:id="rId556" ref="I757"/>
    <hyperlink r:id="rId557" ref="I758"/>
    <hyperlink r:id="rId558" ref="I759"/>
    <hyperlink r:id="rId559" ref="I760"/>
    <hyperlink r:id="rId560" ref="I761"/>
    <hyperlink r:id="rId561" ref="I762"/>
    <hyperlink r:id="rId562" ref="I763"/>
    <hyperlink r:id="rId563" ref="I764"/>
    <hyperlink r:id="rId564" ref="I766"/>
    <hyperlink r:id="rId565" ref="I767"/>
    <hyperlink r:id="rId566" ref="I768"/>
    <hyperlink r:id="rId567" ref="I770"/>
    <hyperlink r:id="rId568" ref="I771"/>
    <hyperlink r:id="rId569" ref="I774"/>
    <hyperlink r:id="rId570" ref="I776"/>
    <hyperlink r:id="rId571" ref="I779"/>
    <hyperlink r:id="rId572" ref="I781"/>
    <hyperlink r:id="rId573" ref="I782"/>
    <hyperlink r:id="rId574" ref="I784"/>
    <hyperlink r:id="rId575" ref="I785"/>
    <hyperlink r:id="rId576" ref="I786"/>
    <hyperlink r:id="rId577" ref="I787"/>
    <hyperlink r:id="rId578" ref="I788"/>
    <hyperlink r:id="rId579" ref="I789"/>
    <hyperlink r:id="rId580" ref="I790"/>
    <hyperlink r:id="rId581" ref="I791"/>
    <hyperlink r:id="rId582" ref="I792"/>
    <hyperlink r:id="rId583" ref="I793"/>
    <hyperlink r:id="rId584" ref="I794"/>
    <hyperlink r:id="rId585" ref="I795"/>
    <hyperlink r:id="rId586" ref="I796"/>
    <hyperlink r:id="rId587" ref="I797"/>
    <hyperlink r:id="rId588" ref="I798"/>
    <hyperlink r:id="rId589" ref="I799"/>
    <hyperlink r:id="rId590" ref="I800"/>
    <hyperlink r:id="rId591" ref="I801"/>
    <hyperlink r:id="rId592" ref="I802"/>
    <hyperlink r:id="rId593" ref="I803"/>
    <hyperlink r:id="rId594" ref="I804"/>
    <hyperlink r:id="rId595" ref="I805"/>
    <hyperlink r:id="rId596" ref="I806"/>
    <hyperlink r:id="rId597" ref="I807"/>
    <hyperlink r:id="rId598" ref="I808"/>
    <hyperlink r:id="rId599" ref="I809"/>
    <hyperlink r:id="rId600" ref="I811"/>
    <hyperlink r:id="rId601" ref="I812"/>
    <hyperlink r:id="rId602" ref="I813"/>
    <hyperlink r:id="rId603" ref="I814"/>
    <hyperlink r:id="rId604" ref="I815"/>
    <hyperlink r:id="rId605" ref="I816"/>
    <hyperlink r:id="rId606" ref="I817"/>
    <hyperlink r:id="rId607" ref="I820"/>
    <hyperlink r:id="rId608" ref="I821"/>
    <hyperlink r:id="rId609" ref="I822"/>
    <hyperlink r:id="rId610" ref="I823"/>
    <hyperlink r:id="rId611" ref="I824"/>
    <hyperlink r:id="rId612" ref="I825"/>
    <hyperlink r:id="rId613" ref="I826"/>
    <hyperlink r:id="rId614" ref="I827"/>
    <hyperlink r:id="rId615" ref="I828"/>
    <hyperlink r:id="rId616" ref="I829"/>
    <hyperlink r:id="rId617" ref="I830"/>
    <hyperlink r:id="rId618" ref="I833"/>
    <hyperlink r:id="rId619" ref="I835"/>
    <hyperlink r:id="rId620" ref="I836"/>
    <hyperlink r:id="rId621" ref="I837"/>
    <hyperlink r:id="rId622" ref="I838"/>
    <hyperlink r:id="rId623" ref="I839"/>
    <hyperlink r:id="rId624" ref="I840"/>
    <hyperlink r:id="rId625" ref="I841"/>
    <hyperlink r:id="rId626" ref="I842"/>
    <hyperlink r:id="rId627" ref="I844"/>
    <hyperlink r:id="rId628" ref="I845"/>
    <hyperlink r:id="rId629" ref="I846"/>
    <hyperlink r:id="rId630" ref="I847"/>
    <hyperlink r:id="rId631" ref="I848"/>
    <hyperlink r:id="rId632" ref="I849"/>
    <hyperlink r:id="rId633" ref="I850"/>
    <hyperlink r:id="rId634" ref="I851"/>
    <hyperlink r:id="rId635" ref="I852"/>
    <hyperlink r:id="rId636" ref="I853"/>
    <hyperlink r:id="rId637" ref="I855"/>
    <hyperlink r:id="rId638" ref="I856"/>
    <hyperlink r:id="rId639" ref="I857"/>
    <hyperlink r:id="rId640" ref="I858"/>
    <hyperlink r:id="rId641" ref="I859"/>
    <hyperlink r:id="rId642" ref="I860"/>
    <hyperlink r:id="rId643" ref="I861"/>
    <hyperlink r:id="rId644" ref="I862"/>
    <hyperlink r:id="rId645" ref="I863"/>
    <hyperlink r:id="rId646" ref="I864"/>
    <hyperlink r:id="rId647" ref="I865"/>
    <hyperlink r:id="rId648" ref="I866"/>
    <hyperlink r:id="rId649" ref="I867"/>
    <hyperlink r:id="rId650" ref="I868"/>
    <hyperlink r:id="rId651" ref="I869"/>
    <hyperlink r:id="rId652" ref="I870"/>
    <hyperlink r:id="rId653" ref="I871"/>
    <hyperlink r:id="rId654" ref="I872"/>
    <hyperlink r:id="rId655" ref="I873"/>
    <hyperlink r:id="rId656" ref="I875"/>
    <hyperlink r:id="rId657" ref="I876"/>
    <hyperlink r:id="rId658" ref="I878"/>
    <hyperlink r:id="rId659" ref="I879"/>
    <hyperlink r:id="rId660" ref="I880"/>
    <hyperlink r:id="rId661" ref="I882"/>
    <hyperlink r:id="rId662" ref="I884"/>
    <hyperlink r:id="rId663" ref="I887"/>
    <hyperlink r:id="rId664" ref="I888"/>
    <hyperlink r:id="rId665" ref="I889"/>
    <hyperlink r:id="rId666" ref="I891"/>
    <hyperlink r:id="rId667" ref="I892"/>
    <hyperlink r:id="rId668" ref="I895"/>
    <hyperlink r:id="rId669" ref="I896"/>
    <hyperlink r:id="rId670" ref="I897"/>
    <hyperlink r:id="rId671" ref="I898"/>
    <hyperlink r:id="rId672" ref="I900"/>
    <hyperlink r:id="rId673" ref="I902"/>
    <hyperlink r:id="rId674" ref="I903"/>
    <hyperlink r:id="rId675" ref="I904"/>
    <hyperlink r:id="rId676" ref="I905"/>
    <hyperlink r:id="rId677" ref="I907"/>
    <hyperlink r:id="rId678" ref="I909"/>
    <hyperlink r:id="rId679" ref="I910"/>
    <hyperlink r:id="rId680" ref="I911"/>
    <hyperlink r:id="rId681" ref="I912"/>
    <hyperlink r:id="rId682" ref="I916"/>
    <hyperlink r:id="rId683" ref="I917"/>
    <hyperlink r:id="rId684" ref="I918"/>
    <hyperlink r:id="rId685" ref="I925"/>
    <hyperlink r:id="rId686" ref="I926"/>
    <hyperlink r:id="rId687" ref="I928"/>
    <hyperlink r:id="rId688" ref="I930"/>
    <hyperlink r:id="rId689" ref="I931"/>
    <hyperlink r:id="rId690" ref="I933"/>
    <hyperlink r:id="rId691" ref="I935"/>
    <hyperlink r:id="rId692" ref="I936"/>
    <hyperlink r:id="rId693" ref="I954"/>
    <hyperlink r:id="rId694" ref="I955"/>
    <hyperlink r:id="rId695" ref="I958"/>
    <hyperlink r:id="rId696" ref="I960"/>
    <hyperlink r:id="rId697" ref="I963"/>
    <hyperlink r:id="rId698" ref="I965"/>
    <hyperlink r:id="rId699" ref="I966"/>
    <hyperlink r:id="rId700" ref="I969"/>
    <hyperlink r:id="rId701" ref="I970"/>
    <hyperlink r:id="rId702" ref="I971"/>
    <hyperlink r:id="rId703" ref="I973"/>
    <hyperlink r:id="rId704" ref="I974"/>
    <hyperlink r:id="rId705" ref="I976"/>
    <hyperlink r:id="rId706" ref="I980"/>
    <hyperlink r:id="rId707" ref="I981"/>
    <hyperlink r:id="rId708" ref="I983"/>
    <hyperlink r:id="rId709" ref="I985"/>
    <hyperlink r:id="rId710" ref="I988"/>
    <hyperlink r:id="rId711" ref="I990"/>
    <hyperlink r:id="rId712" ref="I993"/>
    <hyperlink r:id="rId713" ref="I997"/>
    <hyperlink r:id="rId714" ref="I999"/>
    <hyperlink r:id="rId715" ref="I1000"/>
    <hyperlink r:id="rId716" ref="I1001"/>
    <hyperlink r:id="rId717" ref="I1002"/>
    <hyperlink r:id="rId718" ref="I1003"/>
    <hyperlink r:id="rId719" ref="I1005"/>
    <hyperlink r:id="rId720" ref="I1007"/>
    <hyperlink r:id="rId721" ref="I1008"/>
    <hyperlink r:id="rId722" ref="I1009"/>
    <hyperlink r:id="rId723" ref="I1013"/>
    <hyperlink r:id="rId724" ref="I1015"/>
    <hyperlink r:id="rId725" ref="I1016"/>
    <hyperlink r:id="rId726" ref="I1017"/>
    <hyperlink r:id="rId727" ref="I1019"/>
    <hyperlink r:id="rId728" ref="I1022"/>
    <hyperlink r:id="rId729" ref="I1023"/>
    <hyperlink r:id="rId730" ref="I1026"/>
    <hyperlink r:id="rId731" ref="I1027"/>
    <hyperlink r:id="rId732" ref="I1029"/>
    <hyperlink r:id="rId733" ref="I1030"/>
    <hyperlink r:id="rId734" ref="I1031"/>
    <hyperlink r:id="rId735" ref="I1032"/>
    <hyperlink r:id="rId736" ref="I1033"/>
    <hyperlink r:id="rId737" ref="I1034"/>
    <hyperlink r:id="rId738" ref="I1036"/>
    <hyperlink r:id="rId739" ref="I1037"/>
    <hyperlink r:id="rId740" ref="I1039"/>
    <hyperlink r:id="rId741" ref="I1040"/>
    <hyperlink r:id="rId742" ref="I1044"/>
    <hyperlink r:id="rId743" ref="I1045"/>
    <hyperlink r:id="rId744" ref="I1046"/>
    <hyperlink r:id="rId745" ref="I1047"/>
    <hyperlink r:id="rId746" ref="I1050"/>
    <hyperlink r:id="rId747" ref="I1051"/>
    <hyperlink r:id="rId748" ref="I1052"/>
    <hyperlink r:id="rId749" ref="I1055"/>
    <hyperlink r:id="rId750" ref="I1056"/>
    <hyperlink r:id="rId751" ref="I1057"/>
    <hyperlink r:id="rId752" ref="I1058"/>
    <hyperlink r:id="rId753" ref="I1060"/>
    <hyperlink r:id="rId754" ref="I1061"/>
    <hyperlink r:id="rId755" ref="I1062"/>
    <hyperlink r:id="rId756" ref="I1063"/>
    <hyperlink r:id="rId757" ref="I1064"/>
    <hyperlink r:id="rId758" ref="I1065"/>
    <hyperlink r:id="rId759" ref="I1066"/>
    <hyperlink r:id="rId760" ref="I1067"/>
    <hyperlink r:id="rId761" ref="I1068"/>
    <hyperlink r:id="rId762" ref="I1069"/>
    <hyperlink r:id="rId763" ref="I1070"/>
    <hyperlink r:id="rId764" ref="I1071"/>
    <hyperlink r:id="rId765" ref="I1072"/>
    <hyperlink r:id="rId766" ref="I1073"/>
    <hyperlink r:id="rId767" ref="I1075"/>
    <hyperlink r:id="rId768" ref="I1076"/>
    <hyperlink r:id="rId769" ref="I1077"/>
    <hyperlink r:id="rId770" ref="I1078"/>
    <hyperlink r:id="rId771" ref="I1079"/>
    <hyperlink r:id="rId772" ref="I1080"/>
    <hyperlink r:id="rId773" ref="I1081"/>
    <hyperlink r:id="rId774" ref="I1082"/>
    <hyperlink r:id="rId775" ref="I1084"/>
    <hyperlink r:id="rId776" ref="I1086"/>
    <hyperlink r:id="rId777" ref="I1087"/>
    <hyperlink r:id="rId778" ref="I1088"/>
    <hyperlink r:id="rId779" ref="I1089"/>
    <hyperlink r:id="rId780" ref="I1090"/>
    <hyperlink r:id="rId781" ref="I1091"/>
    <hyperlink r:id="rId782" ref="I1092"/>
    <hyperlink r:id="rId783" ref="I1093"/>
    <hyperlink r:id="rId784" ref="I1094"/>
    <hyperlink r:id="rId785" ref="I1095"/>
    <hyperlink r:id="rId786" ref="I1096"/>
    <hyperlink r:id="rId787" ref="I1097"/>
    <hyperlink r:id="rId788" ref="I1099"/>
    <hyperlink r:id="rId789" ref="I1100"/>
    <hyperlink r:id="rId790" ref="I1101"/>
    <hyperlink r:id="rId791" ref="I1102"/>
    <hyperlink r:id="rId792" ref="I1104"/>
    <hyperlink r:id="rId793" ref="I1105"/>
    <hyperlink r:id="rId794" ref="I1106"/>
    <hyperlink r:id="rId795" ref="I1107"/>
    <hyperlink r:id="rId796" ref="I1108"/>
    <hyperlink r:id="rId797" ref="I1109"/>
    <hyperlink r:id="rId798" ref="I1110"/>
    <hyperlink r:id="rId799" ref="I1111"/>
    <hyperlink r:id="rId800" ref="I1112"/>
    <hyperlink r:id="rId801" ref="I1113"/>
    <hyperlink r:id="rId802" ref="I1114"/>
    <hyperlink r:id="rId803" ref="I1115"/>
    <hyperlink r:id="rId804" ref="I1116"/>
    <hyperlink r:id="rId805" ref="I1117"/>
    <hyperlink r:id="rId806" ref="I1118"/>
    <hyperlink r:id="rId807" ref="I1119"/>
    <hyperlink r:id="rId808" ref="I1120"/>
    <hyperlink r:id="rId809" ref="I1121"/>
    <hyperlink r:id="rId810" ref="I1122"/>
    <hyperlink r:id="rId811" ref="I1123"/>
    <hyperlink r:id="rId812" ref="I1124"/>
    <hyperlink r:id="rId813" ref="I1125"/>
    <hyperlink r:id="rId814" ref="I1126"/>
    <hyperlink r:id="rId815" ref="I1127"/>
    <hyperlink r:id="rId816" ref="I1128"/>
    <hyperlink r:id="rId817" ref="I1129"/>
    <hyperlink r:id="rId818" ref="I1130"/>
    <hyperlink r:id="rId819" ref="I1131"/>
    <hyperlink r:id="rId820" ref="I1133"/>
    <hyperlink r:id="rId821" ref="I1134"/>
    <hyperlink r:id="rId822" ref="I1135"/>
    <hyperlink r:id="rId823" ref="I1136"/>
    <hyperlink r:id="rId824" ref="I1137"/>
    <hyperlink r:id="rId825" ref="I1138"/>
    <hyperlink r:id="rId826" ref="I1139"/>
    <hyperlink r:id="rId827" ref="I1140"/>
    <hyperlink r:id="rId828" ref="I1141"/>
    <hyperlink r:id="rId829" ref="I1142"/>
    <hyperlink r:id="rId830" ref="I1143"/>
    <hyperlink r:id="rId831" ref="I1144"/>
    <hyperlink r:id="rId832" ref="I1145"/>
    <hyperlink r:id="rId833" ref="I1146"/>
    <hyperlink r:id="rId834" ref="I1147"/>
    <hyperlink r:id="rId835" ref="I1148"/>
    <hyperlink r:id="rId836" ref="I1151"/>
    <hyperlink r:id="rId837" ref="I1152"/>
    <hyperlink r:id="rId838" ref="I1153"/>
    <hyperlink r:id="rId839" ref="I1155"/>
    <hyperlink r:id="rId840" ref="I1156"/>
    <hyperlink r:id="rId841" ref="I1157"/>
    <hyperlink r:id="rId842" ref="I1158"/>
    <hyperlink r:id="rId843" ref="I1160"/>
    <hyperlink r:id="rId844" ref="I1161"/>
    <hyperlink r:id="rId845" ref="I1162"/>
    <hyperlink r:id="rId846" ref="I1163"/>
    <hyperlink r:id="rId847" ref="I1164"/>
    <hyperlink r:id="rId848" ref="I1165"/>
    <hyperlink r:id="rId849" ref="I1166"/>
    <hyperlink r:id="rId850" ref="I1175"/>
    <hyperlink r:id="rId851" ref="I1176"/>
    <hyperlink r:id="rId852" ref="I1177"/>
    <hyperlink r:id="rId853" ref="I1178"/>
    <hyperlink r:id="rId854" ref="I1179"/>
    <hyperlink r:id="rId855" ref="I1182"/>
    <hyperlink r:id="rId856" ref="I1183"/>
    <hyperlink r:id="rId857" ref="I1184"/>
    <hyperlink r:id="rId858" ref="I1185"/>
    <hyperlink r:id="rId859" ref="I1186"/>
    <hyperlink r:id="rId860" ref="I1187"/>
    <hyperlink r:id="rId861" ref="I1188"/>
    <hyperlink r:id="rId862" ref="I1189"/>
    <hyperlink r:id="rId863" ref="I1190"/>
    <hyperlink r:id="rId864" ref="I1191"/>
    <hyperlink r:id="rId865" ref="I1192"/>
    <hyperlink r:id="rId866" ref="I1193"/>
    <hyperlink r:id="rId867" ref="I1194"/>
    <hyperlink r:id="rId868" ref="I1195"/>
    <hyperlink r:id="rId869" ref="I1196"/>
    <hyperlink r:id="rId870" ref="I1197"/>
    <hyperlink r:id="rId871" ref="I1198"/>
    <hyperlink r:id="rId872" ref="I1199"/>
    <hyperlink r:id="rId873" ref="I1205"/>
    <hyperlink r:id="rId874" ref="I1206"/>
    <hyperlink r:id="rId875" ref="I1207"/>
    <hyperlink r:id="rId876" ref="I1208"/>
    <hyperlink r:id="rId877" ref="I1210"/>
    <hyperlink r:id="rId878" ref="I1211"/>
    <hyperlink r:id="rId879" ref="I1212"/>
    <hyperlink r:id="rId880" ref="I1213"/>
    <hyperlink r:id="rId881" ref="I1214"/>
    <hyperlink r:id="rId882" ref="I1215"/>
    <hyperlink r:id="rId883" ref="I1216"/>
    <hyperlink r:id="rId884" ref="I1217"/>
    <hyperlink r:id="rId885" ref="I1218"/>
    <hyperlink r:id="rId886" ref="I1219"/>
    <hyperlink r:id="rId887" ref="I1222"/>
    <hyperlink r:id="rId888" ref="I1223"/>
    <hyperlink r:id="rId889" ref="I1224"/>
    <hyperlink r:id="rId890" ref="I1225"/>
    <hyperlink r:id="rId891" ref="I1226"/>
    <hyperlink r:id="rId892" ref="I1227"/>
    <hyperlink r:id="rId893" ref="I1228"/>
    <hyperlink r:id="rId894" ref="I1229"/>
    <hyperlink r:id="rId895" ref="I1230"/>
    <hyperlink r:id="rId896" ref="I1231"/>
    <hyperlink r:id="rId897" ref="I1232"/>
    <hyperlink r:id="rId898" ref="I1233"/>
    <hyperlink r:id="rId899" ref="I1234"/>
    <hyperlink r:id="rId900" ref="I1235"/>
    <hyperlink r:id="rId901" ref="I1236"/>
    <hyperlink r:id="rId902" ref="I1237"/>
    <hyperlink r:id="rId903" ref="I1238"/>
    <hyperlink r:id="rId904" ref="I1239"/>
    <hyperlink r:id="rId905" ref="I1240"/>
    <hyperlink r:id="rId906" ref="I1241"/>
    <hyperlink r:id="rId907" ref="I1242"/>
    <hyperlink r:id="rId908" ref="I1244"/>
    <hyperlink r:id="rId909" ref="I1245"/>
    <hyperlink r:id="rId910" ref="I1246"/>
    <hyperlink r:id="rId911" ref="I1247"/>
    <hyperlink r:id="rId912" ref="I1248"/>
    <hyperlink r:id="rId913" ref="I1249"/>
    <hyperlink r:id="rId914" ref="I1250"/>
    <hyperlink r:id="rId915" ref="I1251"/>
    <hyperlink r:id="rId916" ref="I1252"/>
    <hyperlink r:id="rId917" ref="I1253"/>
    <hyperlink r:id="rId918" ref="I1254"/>
    <hyperlink r:id="rId919" ref="I1255"/>
    <hyperlink r:id="rId920" ref="I1256"/>
    <hyperlink r:id="rId921" ref="I1257"/>
    <hyperlink r:id="rId922" ref="I1258"/>
    <hyperlink r:id="rId923" ref="I1259"/>
    <hyperlink r:id="rId924" ref="I1260"/>
    <hyperlink r:id="rId925" ref="I1261"/>
    <hyperlink r:id="rId926" ref="I1262"/>
    <hyperlink r:id="rId927" ref="I1263"/>
    <hyperlink r:id="rId928" ref="I1264"/>
    <hyperlink r:id="rId929" ref="I1265"/>
    <hyperlink r:id="rId930" ref="I1268"/>
    <hyperlink r:id="rId931" ref="I1269"/>
    <hyperlink r:id="rId932" ref="I1270"/>
    <hyperlink r:id="rId933" ref="I1272"/>
    <hyperlink r:id="rId934" ref="I1273"/>
    <hyperlink r:id="rId935" ref="I1274"/>
    <hyperlink r:id="rId936" ref="I1275"/>
    <hyperlink r:id="rId937" ref="I1276"/>
    <hyperlink r:id="rId938" ref="I1277"/>
    <hyperlink r:id="rId939" ref="I1278"/>
    <hyperlink r:id="rId940" ref="I1279"/>
    <hyperlink r:id="rId941" ref="I1281"/>
    <hyperlink r:id="rId942" ref="I1283"/>
    <hyperlink r:id="rId943" ref="I1284"/>
    <hyperlink r:id="rId944" ref="I1285"/>
    <hyperlink r:id="rId945" ref="I1286"/>
    <hyperlink r:id="rId946" ref="I1287"/>
    <hyperlink r:id="rId947" ref="I1288"/>
    <hyperlink r:id="rId948" ref="I1289"/>
    <hyperlink r:id="rId949" ref="I1291"/>
    <hyperlink r:id="rId950" ref="I1292"/>
    <hyperlink r:id="rId951" ref="I1293"/>
    <hyperlink r:id="rId952" ref="I1294"/>
    <hyperlink r:id="rId953" ref="I1295"/>
    <hyperlink r:id="rId954" ref="I1296"/>
    <hyperlink r:id="rId955" ref="I1297"/>
    <hyperlink r:id="rId956" ref="I1300"/>
    <hyperlink r:id="rId957" ref="I1301"/>
    <hyperlink r:id="rId958" ref="I1303"/>
    <hyperlink r:id="rId959" ref="I1304"/>
    <hyperlink r:id="rId960" ref="I1305"/>
    <hyperlink r:id="rId961" ref="I1306"/>
    <hyperlink r:id="rId962" ref="I1307"/>
    <hyperlink r:id="rId963" ref="I1308"/>
    <hyperlink r:id="rId964" ref="I1309"/>
    <hyperlink r:id="rId965" ref="I1310"/>
    <hyperlink r:id="rId966" ref="I1311"/>
    <hyperlink r:id="rId967" ref="I1312"/>
    <hyperlink r:id="rId968" ref="I1313"/>
    <hyperlink r:id="rId969" ref="I1314"/>
    <hyperlink r:id="rId970" ref="I1315"/>
    <hyperlink r:id="rId971" ref="I1316"/>
    <hyperlink r:id="rId972" ref="I1317"/>
    <hyperlink r:id="rId973" ref="I1318"/>
    <hyperlink r:id="rId974" ref="I1320"/>
    <hyperlink r:id="rId975" ref="I1321"/>
    <hyperlink r:id="rId976" ref="I1322"/>
    <hyperlink r:id="rId977" ref="I1323"/>
    <hyperlink r:id="rId978" ref="I1324"/>
    <hyperlink r:id="rId979" ref="I1325"/>
    <hyperlink r:id="rId980" ref="I1326"/>
    <hyperlink r:id="rId981" ref="I1327"/>
    <hyperlink r:id="rId982" ref="I1328"/>
    <hyperlink r:id="rId983" ref="I1329"/>
    <hyperlink r:id="rId984" ref="I1330"/>
    <hyperlink r:id="rId985" ref="I1331"/>
    <hyperlink r:id="rId986" ref="I1332"/>
    <hyperlink r:id="rId987" ref="I1333"/>
    <hyperlink r:id="rId988" ref="I1334"/>
    <hyperlink r:id="rId989" ref="I1335"/>
    <hyperlink r:id="rId990" ref="I1336"/>
    <hyperlink r:id="rId991" ref="I1338"/>
    <hyperlink r:id="rId992" ref="I1340"/>
    <hyperlink r:id="rId993" ref="I1341"/>
    <hyperlink r:id="rId994" ref="I1342"/>
    <hyperlink r:id="rId995" ref="I1343"/>
    <hyperlink r:id="rId996" ref="I1344"/>
    <hyperlink r:id="rId997" ref="I1345"/>
    <hyperlink r:id="rId998" ref="I1347"/>
    <hyperlink r:id="rId999" ref="I1348"/>
    <hyperlink r:id="rId1000" ref="I1351"/>
    <hyperlink r:id="rId1001" ref="I1352"/>
    <hyperlink r:id="rId1002" ref="I1353"/>
    <hyperlink r:id="rId1003" ref="I1354"/>
    <hyperlink r:id="rId1004" ref="I1355"/>
    <hyperlink r:id="rId1005" ref="I1358"/>
    <hyperlink r:id="rId1006" ref="I1359"/>
    <hyperlink r:id="rId1007" ref="I1361"/>
    <hyperlink r:id="rId1008" ref="I1362"/>
    <hyperlink r:id="rId1009" ref="I1363"/>
    <hyperlink r:id="rId1010" ref="I1364"/>
    <hyperlink r:id="rId1011" ref="I1365"/>
    <hyperlink r:id="rId1012" ref="I1366"/>
    <hyperlink r:id="rId1013" ref="I1367"/>
    <hyperlink r:id="rId1014" ref="I1368"/>
    <hyperlink r:id="rId1015" ref="I1369"/>
    <hyperlink r:id="rId1016" ref="I1370"/>
    <hyperlink r:id="rId1017" ref="I1371"/>
    <hyperlink r:id="rId1018" ref="I1372"/>
    <hyperlink r:id="rId1019" ref="I1373"/>
    <hyperlink r:id="rId1020" ref="I1375"/>
    <hyperlink r:id="rId1021" ref="I1378"/>
    <hyperlink r:id="rId1022" ref="I1380"/>
    <hyperlink r:id="rId1023" ref="I1381"/>
    <hyperlink r:id="rId1024" ref="I1382"/>
    <hyperlink r:id="rId1025" ref="I1383"/>
    <hyperlink r:id="rId1026" ref="I1384"/>
    <hyperlink r:id="rId1027" ref="I1385"/>
    <hyperlink r:id="rId1028" ref="I1386"/>
    <hyperlink r:id="rId1029" ref="I1388"/>
    <hyperlink r:id="rId1030" ref="I1389"/>
    <hyperlink r:id="rId1031" ref="I1390"/>
    <hyperlink r:id="rId1032" ref="I1391"/>
    <hyperlink r:id="rId1033" ref="I1392"/>
    <hyperlink r:id="rId1034" ref="I1393"/>
    <hyperlink r:id="rId1035" ref="I1394"/>
    <hyperlink r:id="rId1036" ref="I1395"/>
    <hyperlink r:id="rId1037" ref="I1397"/>
    <hyperlink r:id="rId1038" ref="I1398"/>
    <hyperlink r:id="rId1039" ref="I1399"/>
    <hyperlink r:id="rId1040" ref="I1400"/>
    <hyperlink r:id="rId1041" ref="I1401"/>
    <hyperlink r:id="rId1042" ref="I1402"/>
    <hyperlink r:id="rId1043" ref="I1403"/>
    <hyperlink r:id="rId1044" ref="I1404"/>
    <hyperlink r:id="rId1045" ref="I1405"/>
    <hyperlink r:id="rId1046" ref="I1406"/>
    <hyperlink r:id="rId1047" ref="I1407"/>
    <hyperlink r:id="rId1048" ref="I1408"/>
    <hyperlink r:id="rId1049" ref="I1409"/>
    <hyperlink r:id="rId1050" ref="I1410"/>
    <hyperlink r:id="rId1051" ref="I1411"/>
    <hyperlink r:id="rId1052" ref="I1412"/>
    <hyperlink r:id="rId1053" ref="I1413"/>
    <hyperlink r:id="rId1054" ref="I1414"/>
    <hyperlink r:id="rId1055" ref="I1415"/>
    <hyperlink r:id="rId1056" ref="I1416"/>
    <hyperlink r:id="rId1057" ref="I1417"/>
    <hyperlink r:id="rId1058" ref="I1418"/>
    <hyperlink r:id="rId1059" ref="I1419"/>
    <hyperlink r:id="rId1060" ref="I1420"/>
    <hyperlink r:id="rId1061" ref="I1421"/>
    <hyperlink r:id="rId1062" ref="I1422"/>
    <hyperlink r:id="rId1063" ref="I1423"/>
    <hyperlink r:id="rId1064" ref="I1424"/>
    <hyperlink r:id="rId1065" ref="I1426"/>
    <hyperlink r:id="rId1066" ref="I1427"/>
    <hyperlink r:id="rId1067" ref="I1428"/>
    <hyperlink r:id="rId1068" ref="I1429"/>
    <hyperlink r:id="rId1069" ref="I1430"/>
    <hyperlink r:id="rId1070" ref="I1431"/>
    <hyperlink r:id="rId1071" ref="I1432"/>
    <hyperlink r:id="rId1072" ref="I1433"/>
    <hyperlink r:id="rId1073" ref="I1435"/>
    <hyperlink r:id="rId1074" ref="I1436"/>
    <hyperlink r:id="rId1075" ref="I1437"/>
    <hyperlink r:id="rId1076" ref="I1438"/>
    <hyperlink r:id="rId1077" ref="I1439"/>
    <hyperlink r:id="rId1078" ref="I1441"/>
    <hyperlink r:id="rId1079" ref="I1442"/>
    <hyperlink r:id="rId1080" ref="I1444"/>
    <hyperlink r:id="rId1081" ref="I1445"/>
    <hyperlink r:id="rId1082" ref="I1446"/>
    <hyperlink r:id="rId1083" ref="I1447"/>
    <hyperlink r:id="rId1084" ref="I1448"/>
    <hyperlink r:id="rId1085" ref="I1449"/>
    <hyperlink r:id="rId1086" ref="I1450"/>
    <hyperlink r:id="rId1087" ref="I1451"/>
    <hyperlink r:id="rId1088" ref="I1452"/>
    <hyperlink r:id="rId1089" ref="I1453"/>
    <hyperlink r:id="rId1090" ref="I1466"/>
    <hyperlink r:id="rId1091" ref="I1467"/>
    <hyperlink r:id="rId1092" ref="I1469"/>
    <hyperlink r:id="rId1093" ref="I1474"/>
    <hyperlink r:id="rId1094" ref="I1480"/>
    <hyperlink r:id="rId1095" ref="I1483"/>
    <hyperlink r:id="rId1096" ref="I1484"/>
    <hyperlink r:id="rId1097" ref="I1487"/>
    <hyperlink r:id="rId1098" ref="I1488"/>
    <hyperlink r:id="rId1099" ref="I1489"/>
    <hyperlink r:id="rId1100" ref="I1490"/>
    <hyperlink r:id="rId1101" ref="I1492"/>
    <hyperlink r:id="rId1102" ref="I1493"/>
    <hyperlink r:id="rId1103" ref="I1497"/>
    <hyperlink r:id="rId1104" ref="I1499"/>
    <hyperlink r:id="rId1105" ref="I1500"/>
    <hyperlink r:id="rId1106" ref="I1501"/>
    <hyperlink r:id="rId1107" ref="I1502"/>
    <hyperlink r:id="rId1108" ref="I1503"/>
    <hyperlink r:id="rId1109" ref="I1504"/>
    <hyperlink r:id="rId1110" ref="I1506"/>
    <hyperlink r:id="rId1111" ref="I1507"/>
    <hyperlink r:id="rId1112" ref="I1509"/>
    <hyperlink r:id="rId1113" ref="I1510"/>
    <hyperlink r:id="rId1114" ref="I1511"/>
    <hyperlink r:id="rId1115" ref="I1513"/>
    <hyperlink r:id="rId1116" ref="I1514"/>
    <hyperlink r:id="rId1117" ref="I1515"/>
    <hyperlink r:id="rId1118" ref="I1516"/>
    <hyperlink r:id="rId1119" ref="I1517"/>
    <hyperlink r:id="rId1120" ref="I1519"/>
    <hyperlink r:id="rId1121" ref="I1520"/>
    <hyperlink r:id="rId1122" ref="I1521"/>
    <hyperlink r:id="rId1123" ref="I1524"/>
    <hyperlink r:id="rId1124" ref="I1525"/>
    <hyperlink r:id="rId1125" ref="I1528"/>
    <hyperlink r:id="rId1126" ref="I1529"/>
    <hyperlink r:id="rId1127" ref="I1530"/>
    <hyperlink r:id="rId1128" ref="I1531"/>
    <hyperlink r:id="rId1129" ref="I1532"/>
    <hyperlink r:id="rId1130" ref="I1533"/>
    <hyperlink r:id="rId1131" ref="I1537"/>
    <hyperlink r:id="rId1132" ref="I1538"/>
    <hyperlink r:id="rId1133" ref="I1539"/>
    <hyperlink r:id="rId1134" ref="I1542"/>
    <hyperlink r:id="rId1135" ref="I1544"/>
    <hyperlink r:id="rId1136" ref="I1545"/>
    <hyperlink r:id="rId1137" ref="I1546"/>
    <hyperlink r:id="rId1138" ref="I1547"/>
    <hyperlink r:id="rId1139" ref="I1548"/>
    <hyperlink r:id="rId1140" ref="I1550"/>
    <hyperlink r:id="rId1141" ref="I1551"/>
    <hyperlink r:id="rId1142" ref="I1552"/>
    <hyperlink r:id="rId1143" ref="I1553"/>
    <hyperlink r:id="rId1144" ref="I1554"/>
    <hyperlink r:id="rId1145" ref="I1555"/>
    <hyperlink r:id="rId1146" ref="I1556"/>
    <hyperlink r:id="rId1147" ref="I1557"/>
    <hyperlink r:id="rId1148" ref="I1560"/>
    <hyperlink r:id="rId1149" ref="I1561"/>
    <hyperlink r:id="rId1150" ref="I1565"/>
    <hyperlink r:id="rId1151" ref="I1566"/>
    <hyperlink r:id="rId1152" ref="I1567"/>
    <hyperlink r:id="rId1153" ref="I1569"/>
    <hyperlink r:id="rId1154" ref="I1570"/>
    <hyperlink r:id="rId1155" ref="I1571"/>
    <hyperlink r:id="rId1156" ref="I1576"/>
    <hyperlink r:id="rId1157" ref="I1578"/>
    <hyperlink r:id="rId1158" ref="I1579"/>
    <hyperlink r:id="rId1159" ref="I1580"/>
    <hyperlink r:id="rId1160" ref="I1581"/>
    <hyperlink r:id="rId1161" ref="I1582"/>
    <hyperlink r:id="rId1162" ref="I1583"/>
    <hyperlink r:id="rId1163" ref="I1584"/>
    <hyperlink r:id="rId1164" ref="I1585"/>
    <hyperlink r:id="rId1165" ref="I1586"/>
    <hyperlink r:id="rId1166" ref="I1587"/>
    <hyperlink r:id="rId1167" ref="I1589"/>
    <hyperlink r:id="rId1168" ref="I1590"/>
    <hyperlink r:id="rId1169" ref="I1591"/>
    <hyperlink r:id="rId1170" ref="I1592"/>
    <hyperlink r:id="rId1171" ref="I1594"/>
    <hyperlink r:id="rId1172" ref="I1595"/>
    <hyperlink r:id="rId1173" ref="I1596"/>
    <hyperlink r:id="rId1174" ref="I1597"/>
    <hyperlink r:id="rId1175" ref="I1598"/>
    <hyperlink r:id="rId1176" ref="I1600"/>
    <hyperlink r:id="rId1177" ref="I1603"/>
    <hyperlink r:id="rId1178" ref="I1604"/>
    <hyperlink r:id="rId1179" ref="I1605"/>
    <hyperlink r:id="rId1180" ref="I1606"/>
    <hyperlink r:id="rId1181" ref="I1607"/>
    <hyperlink r:id="rId1182" ref="I1608"/>
    <hyperlink r:id="rId1183" ref="I1609"/>
    <hyperlink r:id="rId1184" ref="I1610"/>
  </hyperlinks>
  <drawing r:id="rId11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4594</v>
      </c>
      <c r="B1" s="10" t="s">
        <v>4595</v>
      </c>
      <c r="C1" s="10" t="s">
        <v>4596</v>
      </c>
      <c r="D1" s="10"/>
      <c r="E1" s="10" t="s">
        <v>4597</v>
      </c>
      <c r="F1" s="10" t="s">
        <v>365</v>
      </c>
      <c r="G1" s="11" t="s">
        <v>4598</v>
      </c>
      <c r="H1" s="11" t="s">
        <v>4599</v>
      </c>
      <c r="I1" s="11" t="s">
        <v>4600</v>
      </c>
      <c r="J1" s="9" t="str">
        <f>IFERROR(__xludf.DUMMYFUNCTION("UNIQUE(A1:A3809)"),"https://www.google.com/search?newwindow=1&amp;ei=2MT0XrvGGM-vytMP1OyDgAY&amp;q=site%3Alinkedin.com+Olivia+Leskiw+Student+Recruiter")</f>
        <v>https://www.google.com/search?newwindow=1&amp;ei=2MT0XrvGGM-vytMP1OyDgAY&amp;q=site%3Alinkedin.com+Olivia+Leskiw+Student+Recruiter</v>
      </c>
      <c r="K1" s="5" t="str">
        <f t="shared" ref="K1:K3473" si="1">VLOOKUP(J1,A1:I3809,2,false)</f>
        <v>Olivia Leskiw</v>
      </c>
      <c r="L1" s="5" t="str">
        <f t="shared" ref="L1:L3473" si="2">VLOOKUP(J1,A1:I3809,3,false)</f>
        <v>Student Recruiter</v>
      </c>
      <c r="M1" s="5" t="str">
        <f t="shared" ref="M1:M3473" si="3">VLOOKUP(J1,A1:I3809,4,false)</f>
        <v/>
      </c>
      <c r="N1" s="5" t="str">
        <f t="shared" ref="N1:N3473" si="4">VLOOKUP(J1,A1:I3809,5,false)</f>
        <v>University of the Fraser Valley</v>
      </c>
      <c r="O1" s="5" t="str">
        <f t="shared" ref="O1:O3473" si="5">VLOOKUP(J1,A1:I3809,6,false)</f>
        <v>2 years  in role</v>
      </c>
      <c r="P1" s="5" t="str">
        <f t="shared" ref="P1:P3473" si="6">VLOOKUP(J1,A1:I3809,7,false)</f>
        <v>Abbotsford</v>
      </c>
      <c r="Q1" s="5" t="str">
        <f t="shared" ref="Q1:Q3473" si="7">VLOOKUP(J1,A1:I3809,8,false)</f>
        <v>British Columbia</v>
      </c>
      <c r="R1" s="5" t="str">
        <f t="shared" ref="R1:R3473" si="8">VLOOKUP(J1,A1:I3809,9,false)</f>
        <v>Canada</v>
      </c>
    </row>
    <row r="2">
      <c r="A2" s="8" t="s">
        <v>4601</v>
      </c>
      <c r="B2" s="10" t="s">
        <v>4602</v>
      </c>
      <c r="C2" s="10" t="s">
        <v>4603</v>
      </c>
      <c r="D2" s="10"/>
      <c r="E2" s="10" t="s">
        <v>4604</v>
      </c>
      <c r="F2" s="10" t="s">
        <v>165</v>
      </c>
      <c r="G2" s="11" t="s">
        <v>4605</v>
      </c>
      <c r="H2" s="11" t="s">
        <v>4606</v>
      </c>
      <c r="I2" s="11" t="s">
        <v>4607</v>
      </c>
      <c r="J2" s="9" t="str">
        <f>IFERROR(__xludf.DUMMYFUNCTION("""COMPUTED_VALUE"""),"https://www.google.com/search?newwindow=1&amp;ei=2MT0XrvGGM-vytMP1OyDgAY&amp;q=site%3Alinkedin.com+Thomas+Ilett+Recruitment+and+University+Relations+Manager+-+Europe")</f>
        <v>https://www.google.com/search?newwindow=1&amp;ei=2MT0XrvGGM-vytMP1OyDgAY&amp;q=site%3Alinkedin.com+Thomas+Ilett+Recruitment+and+University+Relations+Manager+-+Europe</v>
      </c>
      <c r="K2" s="5" t="str">
        <f t="shared" si="1"/>
        <v>Thomas Ilett</v>
      </c>
      <c r="L2" s="5" t="str">
        <f t="shared" si="2"/>
        <v>Recruitment and University Relations Manager - Europe</v>
      </c>
      <c r="M2" s="5" t="str">
        <f t="shared" si="3"/>
        <v/>
      </c>
      <c r="N2" s="5" t="str">
        <f t="shared" si="4"/>
        <v>Schlumberger</v>
      </c>
      <c r="O2" s="5" t="str">
        <f t="shared" si="5"/>
        <v>10 months in role and company</v>
      </c>
      <c r="P2" s="5" t="str">
        <f t="shared" si="6"/>
        <v>Aberdeen</v>
      </c>
      <c r="Q2" s="5" t="str">
        <f t="shared" si="7"/>
        <v>Scotland</v>
      </c>
      <c r="R2" s="5" t="str">
        <f t="shared" si="8"/>
        <v>United Kingdom</v>
      </c>
    </row>
    <row r="3">
      <c r="A3" s="8" t="s">
        <v>4608</v>
      </c>
      <c r="B3" s="10" t="s">
        <v>4609</v>
      </c>
      <c r="C3" s="10" t="s">
        <v>4610</v>
      </c>
      <c r="D3" s="10"/>
      <c r="E3" s="10" t="s">
        <v>4611</v>
      </c>
      <c r="F3" s="10" t="s">
        <v>651</v>
      </c>
      <c r="G3" s="11" t="s">
        <v>4612</v>
      </c>
      <c r="H3" s="11" t="s">
        <v>1639</v>
      </c>
      <c r="I3" s="11" t="s">
        <v>18</v>
      </c>
      <c r="J3" s="9" t="str">
        <f>IFERROR(__xludf.DUMMYFUNCTION("""COMPUTED_VALUE"""),"https://www.google.com/search?newwindow=1&amp;ei=2MT0XrvGGM-vytMP1OyDgAY&amp;q=site%3Alinkedin.com+Asia+Mitchell+Campus+Recruiting+Senior+Specialist")</f>
        <v>https://www.google.com/search?newwindow=1&amp;ei=2MT0XrvGGM-vytMP1OyDgAY&amp;q=site%3Alinkedin.com+Asia+Mitchell+Campus+Recruiting+Senior+Specialist</v>
      </c>
      <c r="K3" s="5" t="str">
        <f t="shared" si="1"/>
        <v>Asia Mitchell</v>
      </c>
      <c r="L3" s="5" t="str">
        <f t="shared" si="2"/>
        <v>Campus Recruiting Senior Specialist</v>
      </c>
      <c r="M3" s="5" t="str">
        <f t="shared" si="3"/>
        <v/>
      </c>
      <c r="N3" s="5" t="str">
        <f t="shared" si="4"/>
        <v>JPMorgan Chase &amp; Co.</v>
      </c>
      <c r="O3" s="5" t="str">
        <f t="shared" si="5"/>
        <v>1 year 4 months in role and company</v>
      </c>
      <c r="P3" s="5" t="str">
        <f t="shared" si="6"/>
        <v>Abingdon</v>
      </c>
      <c r="Q3" s="5" t="str">
        <f t="shared" si="7"/>
        <v>Maryland</v>
      </c>
      <c r="R3" s="5" t="str">
        <f t="shared" si="8"/>
        <v>United States</v>
      </c>
    </row>
    <row r="4">
      <c r="A4" s="8" t="s">
        <v>4613</v>
      </c>
      <c r="B4" s="10" t="s">
        <v>4614</v>
      </c>
      <c r="C4" s="10" t="s">
        <v>4615</v>
      </c>
      <c r="D4" s="10"/>
      <c r="E4" s="10" t="s">
        <v>4616</v>
      </c>
      <c r="F4" s="10" t="s">
        <v>165</v>
      </c>
      <c r="G4" s="11" t="s">
        <v>4617</v>
      </c>
      <c r="H4" s="11" t="s">
        <v>4618</v>
      </c>
      <c r="I4" s="11" t="s">
        <v>4619</v>
      </c>
      <c r="J4" s="9" t="str">
        <f>IFERROR(__xludf.DUMMYFUNCTION("""COMPUTED_VALUE"""),"https://www.google.com/search?newwindow=1&amp;ei=2MT0XrvGGM-vytMP1OyDgAY&amp;q=site%3Alinkedin.com+Steve+Eden+Head+of+International+Student+Programs")</f>
        <v>https://www.google.com/search?newwindow=1&amp;ei=2MT0XrvGGM-vytMP1OyDgAY&amp;q=site%3Alinkedin.com+Steve+Eden+Head+of+International+Student+Programs</v>
      </c>
      <c r="K4" s="5" t="str">
        <f t="shared" si="1"/>
        <v>Steve Eden</v>
      </c>
      <c r="L4" s="5" t="str">
        <f t="shared" si="2"/>
        <v>Head of International Student Programs</v>
      </c>
      <c r="M4" s="5" t="str">
        <f t="shared" si="3"/>
        <v/>
      </c>
      <c r="N4" s="5" t="str">
        <f t="shared" si="4"/>
        <v>Concordia College Adelaide</v>
      </c>
      <c r="O4" s="5" t="str">
        <f t="shared" si="5"/>
        <v>10 months in role and company</v>
      </c>
      <c r="P4" s="5" t="str">
        <f t="shared" si="6"/>
        <v>Adelaide</v>
      </c>
      <c r="Q4" s="5" t="str">
        <f t="shared" si="7"/>
        <v>South Australia</v>
      </c>
      <c r="R4" s="5" t="str">
        <f t="shared" si="8"/>
        <v>Australia</v>
      </c>
    </row>
    <row r="5">
      <c r="A5" s="8" t="s">
        <v>4620</v>
      </c>
      <c r="B5" s="12" t="s">
        <v>4621</v>
      </c>
      <c r="C5" s="10" t="s">
        <v>4622</v>
      </c>
      <c r="D5" s="10"/>
      <c r="E5" s="10" t="s">
        <v>4623</v>
      </c>
      <c r="F5" s="10" t="s">
        <v>222</v>
      </c>
      <c r="G5" s="11" t="s">
        <v>4617</v>
      </c>
      <c r="H5" s="11" t="s">
        <v>4618</v>
      </c>
      <c r="I5" s="11" t="s">
        <v>4619</v>
      </c>
      <c r="J5" s="9" t="str">
        <f>IFERROR(__xludf.DUMMYFUNCTION("""COMPUTED_VALUE"""),"https://www.google.com/search?newwindow=1&amp;ei=2MT0XrvGGM-vytMP1OyDgAY&amp;q=site%3Alinkedin.com+Jennifer+Nguyen+Committee+Member+-+University+Education+Committee")</f>
        <v>https://www.google.com/search?newwindow=1&amp;ei=2MT0XrvGGM-vytMP1OyDgAY&amp;q=site%3Alinkedin.com+Jennifer+Nguyen+Committee+Member+-+University+Education+Committee</v>
      </c>
      <c r="K5" s="5" t="str">
        <f t="shared" si="1"/>
        <v>Jennifer Nguyen</v>
      </c>
      <c r="L5" s="5" t="str">
        <f t="shared" si="2"/>
        <v>Committee Member - University Education Committee</v>
      </c>
      <c r="M5" s="5" t="str">
        <f t="shared" si="3"/>
        <v/>
      </c>
      <c r="N5" s="5" t="str">
        <f t="shared" si="4"/>
        <v>University of Adelaide</v>
      </c>
      <c r="O5" s="5" t="str">
        <f t="shared" si="5"/>
        <v>8 months in role and company</v>
      </c>
      <c r="P5" s="5" t="str">
        <f t="shared" si="6"/>
        <v>Adelaide</v>
      </c>
      <c r="Q5" s="5" t="str">
        <f t="shared" si="7"/>
        <v>South Australia</v>
      </c>
      <c r="R5" s="5" t="str">
        <f t="shared" si="8"/>
        <v>Australia</v>
      </c>
    </row>
    <row r="6">
      <c r="A6" s="8" t="s">
        <v>4624</v>
      </c>
      <c r="B6" s="10" t="s">
        <v>4625</v>
      </c>
      <c r="C6" s="10" t="s">
        <v>4626</v>
      </c>
      <c r="D6" s="10"/>
      <c r="E6" s="10" t="s">
        <v>4627</v>
      </c>
      <c r="F6" s="10" t="s">
        <v>4628</v>
      </c>
      <c r="G6" s="11" t="s">
        <v>4617</v>
      </c>
      <c r="H6" s="11" t="s">
        <v>4618</v>
      </c>
      <c r="I6" s="11" t="s">
        <v>4619</v>
      </c>
      <c r="J6" s="9" t="str">
        <f>IFERROR(__xludf.DUMMYFUNCTION("""COMPUTED_VALUE"""),"https://www.google.com/search?newwindow=1&amp;ei=2MT0XrvGGM-vytMP1OyDgAY&amp;q=site%3Alinkedin.com+Julie+Farmer+Coordinator+-+Admin+&amp;+Student+Programs")</f>
        <v>https://www.google.com/search?newwindow=1&amp;ei=2MT0XrvGGM-vytMP1OyDgAY&amp;q=site%3Alinkedin.com+Julie+Farmer+Coordinator+-+Admin+&amp;+Student+Programs</v>
      </c>
      <c r="K6" s="5" t="str">
        <f t="shared" si="1"/>
        <v>Julie Farmer</v>
      </c>
      <c r="L6" s="5" t="str">
        <f t="shared" si="2"/>
        <v>Coordinator - Admin &amp; Student Programs</v>
      </c>
      <c r="M6" s="5" t="str">
        <f t="shared" si="3"/>
        <v/>
      </c>
      <c r="N6" s="5" t="str">
        <f t="shared" si="4"/>
        <v>RC</v>
      </c>
      <c r="O6" s="5" t="str">
        <f t="shared" si="5"/>
        <v>15 years 10 months in role and company</v>
      </c>
      <c r="P6" s="5" t="str">
        <f t="shared" si="6"/>
        <v>Adelaide</v>
      </c>
      <c r="Q6" s="5" t="str">
        <f t="shared" si="7"/>
        <v>South Australia</v>
      </c>
      <c r="R6" s="5" t="str">
        <f t="shared" si="8"/>
        <v>Australia</v>
      </c>
    </row>
    <row r="7">
      <c r="A7" s="8" t="s">
        <v>4629</v>
      </c>
      <c r="B7" s="10" t="s">
        <v>4630</v>
      </c>
      <c r="C7" s="10" t="s">
        <v>4631</v>
      </c>
      <c r="D7" s="10"/>
      <c r="E7" s="10" t="s">
        <v>4632</v>
      </c>
      <c r="F7" s="10" t="s">
        <v>1460</v>
      </c>
      <c r="G7" s="11" t="s">
        <v>4633</v>
      </c>
      <c r="H7" s="11" t="s">
        <v>4606</v>
      </c>
      <c r="I7" s="11" t="s">
        <v>4607</v>
      </c>
      <c r="J7" s="9" t="str">
        <f>IFERROR(__xludf.DUMMYFUNCTION("""COMPUTED_VALUE"""),"https://www.google.com/search?newwindow=1&amp;ei=2MT0XrvGGM-vytMP1OyDgAY&amp;q=site%3Alinkedin.com+Julie+Angus+Regional+Recruitment+Manager")</f>
        <v>https://www.google.com/search?newwindow=1&amp;ei=2MT0XrvGGM-vytMP1OyDgAY&amp;q=site%3Alinkedin.com+Julie+Angus+Regional+Recruitment+Manager</v>
      </c>
      <c r="K7" s="5" t="str">
        <f t="shared" si="1"/>
        <v>Julie Angus</v>
      </c>
      <c r="L7" s="5" t="str">
        <f t="shared" si="2"/>
        <v>Regional Recruitment Manager</v>
      </c>
      <c r="M7" s="5" t="str">
        <f t="shared" si="3"/>
        <v/>
      </c>
      <c r="N7" s="5" t="str">
        <f t="shared" si="4"/>
        <v>FDM Group</v>
      </c>
      <c r="O7" s="5" t="str">
        <f t="shared" si="5"/>
        <v>1 year 9 months in role</v>
      </c>
      <c r="P7" s="5" t="str">
        <f t="shared" si="6"/>
        <v>Airdrie</v>
      </c>
      <c r="Q7" s="5" t="str">
        <f t="shared" si="7"/>
        <v>Scotland</v>
      </c>
      <c r="R7" s="5" t="str">
        <f t="shared" si="8"/>
        <v>United Kingdom</v>
      </c>
    </row>
    <row r="8">
      <c r="A8" s="8" t="s">
        <v>4634</v>
      </c>
      <c r="B8" s="10" t="s">
        <v>4635</v>
      </c>
      <c r="C8" s="10" t="s">
        <v>2813</v>
      </c>
      <c r="D8" s="10"/>
      <c r="E8" s="10" t="s">
        <v>4636</v>
      </c>
      <c r="F8" s="10" t="s">
        <v>188</v>
      </c>
      <c r="G8" s="11" t="s">
        <v>4637</v>
      </c>
      <c r="H8" s="11" t="s">
        <v>4638</v>
      </c>
      <c r="I8" s="11" t="s">
        <v>4600</v>
      </c>
      <c r="J8" s="9" t="str">
        <f>IFERROR(__xludf.DUMMYFUNCTION("""COMPUTED_VALUE"""),"https://www.google.com/search?newwindow=1&amp;ei=2MT0XrvGGM-vytMP1OyDgAY&amp;q=site%3Alinkedin.com+Melissa+Homer+Early+Talent+Recruiter")</f>
        <v>https://www.google.com/search?newwindow=1&amp;ei=2MT0XrvGGM-vytMP1OyDgAY&amp;q=site%3Alinkedin.com+Melissa+Homer+Early+Talent+Recruiter</v>
      </c>
      <c r="K8" s="5" t="str">
        <f t="shared" si="1"/>
        <v>Melissa Homer</v>
      </c>
      <c r="L8" s="5" t="str">
        <f t="shared" si="2"/>
        <v>Early Talent Recruiter</v>
      </c>
      <c r="M8" s="5" t="str">
        <f t="shared" si="3"/>
        <v/>
      </c>
      <c r="N8" s="5" t="str">
        <f t="shared" si="4"/>
        <v>TD Bank</v>
      </c>
      <c r="O8" s="5" t="str">
        <f t="shared" si="5"/>
        <v>1 year 1 month in role and company</v>
      </c>
      <c r="P8" s="5" t="str">
        <f t="shared" si="6"/>
        <v>Ajax</v>
      </c>
      <c r="Q8" s="5" t="str">
        <f t="shared" si="7"/>
        <v>Ontario</v>
      </c>
      <c r="R8" s="5" t="str">
        <f t="shared" si="8"/>
        <v>Canada</v>
      </c>
    </row>
    <row r="9">
      <c r="A9" s="8" t="s">
        <v>4634</v>
      </c>
      <c r="B9" s="10" t="s">
        <v>4635</v>
      </c>
      <c r="C9" s="10" t="s">
        <v>2813</v>
      </c>
      <c r="D9" s="10"/>
      <c r="E9" s="10" t="s">
        <v>4636</v>
      </c>
      <c r="F9" s="10" t="s">
        <v>188</v>
      </c>
      <c r="G9" s="11" t="s">
        <v>4637</v>
      </c>
      <c r="H9" s="11" t="s">
        <v>4638</v>
      </c>
      <c r="I9" s="11" t="s">
        <v>4600</v>
      </c>
      <c r="J9" s="9" t="str">
        <f>IFERROR(__xludf.DUMMYFUNCTION("""COMPUTED_VALUE"""),"https://www.google.com/search?newwindow=1&amp;ei=2MT0XrvGGM-vytMP1OyDgAY&amp;q=site%3Alinkedin.com+Courtney+Wagner+Student+Recruiter/Financial+Advisor")</f>
        <v>https://www.google.com/search?newwindow=1&amp;ei=2MT0XrvGGM-vytMP1OyDgAY&amp;q=site%3Alinkedin.com+Courtney+Wagner+Student+Recruiter/Financial+Advisor</v>
      </c>
      <c r="K9" s="5" t="str">
        <f t="shared" si="1"/>
        <v>Courtney Wagner</v>
      </c>
      <c r="L9" s="5" t="str">
        <f t="shared" si="2"/>
        <v>Student Recruiter/Financial Advisor</v>
      </c>
      <c r="M9" s="5" t="str">
        <f t="shared" si="3"/>
        <v/>
      </c>
      <c r="N9" s="5" t="str">
        <f t="shared" si="4"/>
        <v>University of Alberta, Faculty of Law</v>
      </c>
      <c r="O9" s="5" t="str">
        <f t="shared" si="5"/>
        <v>4 years 3 months in role and company</v>
      </c>
      <c r="P9" s="5" t="str">
        <f t="shared" si="6"/>
        <v>Calgary</v>
      </c>
      <c r="Q9" s="5" t="str">
        <f t="shared" si="7"/>
        <v>Alberta</v>
      </c>
      <c r="R9" s="5" t="str">
        <f t="shared" si="8"/>
        <v>Canada</v>
      </c>
    </row>
    <row r="10">
      <c r="A10" s="8" t="s">
        <v>4639</v>
      </c>
      <c r="B10" s="12" t="s">
        <v>4640</v>
      </c>
      <c r="C10" s="10" t="s">
        <v>4641</v>
      </c>
      <c r="D10" s="10"/>
      <c r="E10" s="10" t="s">
        <v>4642</v>
      </c>
      <c r="F10" s="10" t="s">
        <v>376</v>
      </c>
      <c r="G10" s="13" t="s">
        <v>4643</v>
      </c>
      <c r="H10" s="11" t="s">
        <v>4644</v>
      </c>
      <c r="I10" s="11" t="s">
        <v>4600</v>
      </c>
      <c r="J10" s="9" t="str">
        <f>IFERROR(__xludf.DUMMYFUNCTION("""COMPUTED_VALUE"""),"https://www.google.com/search?newwindow=1&amp;ei=2MT0XrvGGM-vytMP1OyDgAY&amp;q=site%3Alinkedin.com+Kaydeon+Lampart+++MSc.,+BSc.+Student+Recruiter")</f>
        <v>https://www.google.com/search?newwindow=1&amp;ei=2MT0XrvGGM-vytMP1OyDgAY&amp;q=site%3Alinkedin.com+Kaydeon+Lampart+++MSc.,+BSc.+Student+Recruiter</v>
      </c>
      <c r="K10" s="5" t="str">
        <f t="shared" si="1"/>
        <v>Kaydeon Lampart   MSc., BSc.</v>
      </c>
      <c r="L10" s="5" t="str">
        <f t="shared" si="2"/>
        <v>Student Recruiter</v>
      </c>
      <c r="M10" s="5" t="str">
        <f t="shared" si="3"/>
        <v/>
      </c>
      <c r="N10" s="5" t="str">
        <f t="shared" si="4"/>
        <v>The University of the West Indies</v>
      </c>
      <c r="O10" s="5" t="str">
        <f t="shared" si="5"/>
        <v/>
      </c>
      <c r="P10" s="5" t="str">
        <f t="shared" si="6"/>
        <v>Calgary</v>
      </c>
      <c r="Q10" s="5" t="str">
        <f t="shared" si="7"/>
        <v>Alberta</v>
      </c>
      <c r="R10" s="5" t="str">
        <f t="shared" si="8"/>
        <v>Canada</v>
      </c>
    </row>
    <row r="11">
      <c r="A11" s="8" t="s">
        <v>4645</v>
      </c>
      <c r="B11" s="12" t="s">
        <v>4646</v>
      </c>
      <c r="C11" s="10" t="s">
        <v>4596</v>
      </c>
      <c r="D11" s="12"/>
      <c r="E11" s="12" t="s">
        <v>4647</v>
      </c>
      <c r="F11" s="10"/>
      <c r="G11" s="13" t="s">
        <v>4643</v>
      </c>
      <c r="H11" s="11" t="s">
        <v>4644</v>
      </c>
      <c r="I11" s="11" t="s">
        <v>4600</v>
      </c>
      <c r="J11" s="9" t="str">
        <f>IFERROR(__xludf.DUMMYFUNCTION("""COMPUTED_VALUE"""),"https://www.google.com/search?newwindow=1&amp;ei=2MT0XrvGGM-vytMP1OyDgAY&amp;q=site%3Alinkedin.com+Alison+Pfeifer+Student+Recruiter")</f>
        <v>https://www.google.com/search?newwindow=1&amp;ei=2MT0XrvGGM-vytMP1OyDgAY&amp;q=site%3Alinkedin.com+Alison+Pfeifer+Student+Recruiter</v>
      </c>
      <c r="K11" s="5" t="str">
        <f t="shared" si="1"/>
        <v>Alison Pfeifer</v>
      </c>
      <c r="L11" s="5" t="str">
        <f t="shared" si="2"/>
        <v>Student Recruiter</v>
      </c>
      <c r="M11" s="5" t="str">
        <f t="shared" si="3"/>
        <v/>
      </c>
      <c r="N11" s="5" t="str">
        <f t="shared" si="4"/>
        <v>Medicine Hat College</v>
      </c>
      <c r="O11" s="5" t="str">
        <f t="shared" si="5"/>
        <v>1 year  in role and company</v>
      </c>
      <c r="P11" s="5" t="str">
        <f t="shared" si="6"/>
        <v>Calgary</v>
      </c>
      <c r="Q11" s="5" t="str">
        <f t="shared" si="7"/>
        <v>Alberta</v>
      </c>
      <c r="R11" s="5" t="str">
        <f t="shared" si="8"/>
        <v>Canada</v>
      </c>
    </row>
    <row r="12">
      <c r="A12" s="8" t="s">
        <v>4648</v>
      </c>
      <c r="B12" s="10" t="s">
        <v>4649</v>
      </c>
      <c r="C12" s="10" t="s">
        <v>4596</v>
      </c>
      <c r="D12" s="10"/>
      <c r="E12" s="10" t="s">
        <v>4650</v>
      </c>
      <c r="F12" s="10" t="s">
        <v>136</v>
      </c>
      <c r="G12" s="13" t="s">
        <v>4643</v>
      </c>
      <c r="H12" s="11" t="s">
        <v>4644</v>
      </c>
      <c r="I12" s="11" t="s">
        <v>4600</v>
      </c>
      <c r="J12" s="9" t="str">
        <f>IFERROR(__xludf.DUMMYFUNCTION("""COMPUTED_VALUE"""),"https://www.google.com/search?newwindow=1&amp;ei=2MT0XrvGGM-vytMP1OyDgAY&amp;q=site%3Alinkedin.com+Rebecca+Hennessy+Administrative+Assistant-+Campus+Recruiting+Coordinator")</f>
        <v>https://www.google.com/search?newwindow=1&amp;ei=2MT0XrvGGM-vytMP1OyDgAY&amp;q=site%3Alinkedin.com+Rebecca+Hennessy+Administrative+Assistant-+Campus+Recruiting+Coordinator</v>
      </c>
      <c r="K12" s="5" t="str">
        <f t="shared" si="1"/>
        <v>Rebecca Hennessy</v>
      </c>
      <c r="L12" s="5" t="str">
        <f t="shared" si="2"/>
        <v>Administrative Assistant- Campus Recruiting Coordinator</v>
      </c>
      <c r="M12" s="5" t="str">
        <f t="shared" si="3"/>
        <v/>
      </c>
      <c r="N12" s="5" t="str">
        <f t="shared" si="4"/>
        <v>KPMG</v>
      </c>
      <c r="O12" s="5" t="str">
        <f t="shared" si="5"/>
        <v/>
      </c>
      <c r="P12" s="5" t="str">
        <f t="shared" si="6"/>
        <v>Anchorage</v>
      </c>
      <c r="Q12" s="5" t="str">
        <f t="shared" si="7"/>
        <v>Alaska</v>
      </c>
      <c r="R12" s="5" t="str">
        <f t="shared" si="8"/>
        <v>United States</v>
      </c>
    </row>
    <row r="13">
      <c r="A13" s="8" t="s">
        <v>4639</v>
      </c>
      <c r="B13" s="12" t="s">
        <v>4640</v>
      </c>
      <c r="C13" s="10" t="s">
        <v>4641</v>
      </c>
      <c r="D13" s="10"/>
      <c r="E13" s="10" t="s">
        <v>4642</v>
      </c>
      <c r="F13" s="10" t="s">
        <v>376</v>
      </c>
      <c r="G13" s="13" t="s">
        <v>4643</v>
      </c>
      <c r="H13" s="11" t="s">
        <v>4644</v>
      </c>
      <c r="I13" s="11" t="s">
        <v>4600</v>
      </c>
      <c r="J13" s="9" t="str">
        <f>IFERROR(__xludf.DUMMYFUNCTION("""COMPUTED_VALUE"""),"https://www.google.com/search?newwindow=1&amp;ei=2MT0XrvGGM-vytMP1OyDgAY&amp;q=site%3Alinkedin.com+Gwendolyn+Reddy+Director,+National+Campus+Recruiting")</f>
        <v>https://www.google.com/search?newwindow=1&amp;ei=2MT0XrvGGM-vytMP1OyDgAY&amp;q=site%3Alinkedin.com+Gwendolyn+Reddy+Director,+National+Campus+Recruiting</v>
      </c>
      <c r="K13" s="5" t="str">
        <f t="shared" si="1"/>
        <v>Gwendolyn Reddy</v>
      </c>
      <c r="L13" s="5" t="str">
        <f t="shared" si="2"/>
        <v>Director, National Campus Recruiting</v>
      </c>
      <c r="M13" s="5" t="str">
        <f t="shared" si="3"/>
        <v/>
      </c>
      <c r="N13" s="5" t="str">
        <f t="shared" si="4"/>
        <v>KPMG US</v>
      </c>
      <c r="O13" s="5" t="str">
        <f t="shared" si="5"/>
        <v>1 year 1 month in role</v>
      </c>
      <c r="P13" s="5" t="str">
        <f t="shared" si="6"/>
        <v>Ann Arbor</v>
      </c>
      <c r="Q13" s="5" t="str">
        <f t="shared" si="7"/>
        <v>Michigan</v>
      </c>
      <c r="R13" s="5" t="str">
        <f t="shared" si="8"/>
        <v>United States</v>
      </c>
    </row>
    <row r="14">
      <c r="A14" s="8" t="s">
        <v>4645</v>
      </c>
      <c r="B14" s="12" t="s">
        <v>4646</v>
      </c>
      <c r="C14" s="10" t="s">
        <v>4596</v>
      </c>
      <c r="D14" s="12"/>
      <c r="E14" s="12" t="s">
        <v>4647</v>
      </c>
      <c r="F14" s="10"/>
      <c r="G14" s="13" t="s">
        <v>4643</v>
      </c>
      <c r="H14" s="11" t="s">
        <v>4644</v>
      </c>
      <c r="I14" s="11" t="s">
        <v>4600</v>
      </c>
      <c r="J14" s="9" t="str">
        <f>IFERROR(__xludf.DUMMYFUNCTION("""COMPUTED_VALUE"""),"https://www.google.com/search?newwindow=1&amp;ei=2MT0XrvGGM-vytMP1OyDgAY&amp;q=site%3Alinkedin.com+MJ+MacLellan+Associate+Registrar+-+Recruitment,+St.+Francis+Xavier+University")</f>
        <v>https://www.google.com/search?newwindow=1&amp;ei=2MT0XrvGGM-vytMP1OyDgAY&amp;q=site%3Alinkedin.com+MJ+MacLellan+Associate+Registrar+-+Recruitment,+St.+Francis+Xavier+University</v>
      </c>
      <c r="K14" s="5" t="str">
        <f t="shared" si="1"/>
        <v>MJ MacLellan</v>
      </c>
      <c r="L14" s="5" t="str">
        <f t="shared" si="2"/>
        <v>Associate Registrar - Recruitment, St. Francis Xavier University</v>
      </c>
      <c r="M14" s="5" t="str">
        <f t="shared" si="3"/>
        <v/>
      </c>
      <c r="N14" s="5" t="str">
        <f t="shared" si="4"/>
        <v>St. Francis Xavier University</v>
      </c>
      <c r="O14" s="5" t="str">
        <f t="shared" si="5"/>
        <v>2 years 3 months in role and company</v>
      </c>
      <c r="P14" s="5" t="str">
        <f t="shared" si="6"/>
        <v>Antigonish County</v>
      </c>
      <c r="Q14" s="5" t="str">
        <f t="shared" si="7"/>
        <v>Nova Scotia</v>
      </c>
      <c r="R14" s="5" t="str">
        <f t="shared" si="8"/>
        <v>Canada</v>
      </c>
    </row>
    <row r="15">
      <c r="A15" s="8" t="s">
        <v>4648</v>
      </c>
      <c r="B15" s="10" t="s">
        <v>4649</v>
      </c>
      <c r="C15" s="10" t="s">
        <v>4596</v>
      </c>
      <c r="D15" s="10"/>
      <c r="E15" s="10" t="s">
        <v>4650</v>
      </c>
      <c r="F15" s="10" t="s">
        <v>136</v>
      </c>
      <c r="G15" s="13" t="s">
        <v>4643</v>
      </c>
      <c r="H15" s="11" t="s">
        <v>4644</v>
      </c>
      <c r="I15" s="11" t="s">
        <v>4600</v>
      </c>
      <c r="J15" s="9" t="str">
        <f>IFERROR(__xludf.DUMMYFUNCTION("""COMPUTED_VALUE"""),"https://www.google.com/search?newwindow=1&amp;ei=2MT0XrvGGM-vytMP1OyDgAY&amp;q=site%3Alinkedin.com+Monica+Williams+Director+of+Programs+and+Student+Services")</f>
        <v>https://www.google.com/search?newwindow=1&amp;ei=2MT0XrvGGM-vytMP1OyDgAY&amp;q=site%3Alinkedin.com+Monica+Williams+Director+of+Programs+and+Student+Services</v>
      </c>
      <c r="K15" s="5" t="str">
        <f t="shared" si="1"/>
        <v>Monica Williams</v>
      </c>
      <c r="L15" s="5" t="str">
        <f t="shared" si="2"/>
        <v>Director of Programs and Student Services</v>
      </c>
      <c r="M15" s="5" t="str">
        <f t="shared" si="3"/>
        <v/>
      </c>
      <c r="N15" s="5" t="str">
        <f t="shared" si="4"/>
        <v>Strait Regional School Board</v>
      </c>
      <c r="O15" s="5" t="str">
        <f t="shared" si="5"/>
        <v>11 years 9 months in role and company</v>
      </c>
      <c r="P15" s="5" t="str">
        <f t="shared" si="6"/>
        <v>Antigonish County</v>
      </c>
      <c r="Q15" s="5" t="str">
        <f t="shared" si="7"/>
        <v>Nova Scotia</v>
      </c>
      <c r="R15" s="5" t="str">
        <f t="shared" si="8"/>
        <v>Canada</v>
      </c>
    </row>
    <row r="16">
      <c r="A16" s="8" t="s">
        <v>4651</v>
      </c>
      <c r="B16" s="12" t="s">
        <v>4652</v>
      </c>
      <c r="C16" s="10" t="s">
        <v>4653</v>
      </c>
      <c r="D16" s="10"/>
      <c r="E16" s="10" t="s">
        <v>2839</v>
      </c>
      <c r="F16" s="10"/>
      <c r="G16" s="11" t="s">
        <v>4654</v>
      </c>
      <c r="H16" s="11" t="s">
        <v>4655</v>
      </c>
      <c r="I16" s="11" t="s">
        <v>18</v>
      </c>
      <c r="J16" s="9" t="str">
        <f>IFERROR(__xludf.DUMMYFUNCTION("""COMPUTED_VALUE"""),"https://www.google.com/search?newwindow=1&amp;ei=2MT0XrvGGM-vytMP1OyDgAY&amp;q=site%3Alinkedin.com+Allyson+Cowden+Campus+Recruiting+Manager")</f>
        <v>https://www.google.com/search?newwindow=1&amp;ei=2MT0XrvGGM-vytMP1OyDgAY&amp;q=site%3Alinkedin.com+Allyson+Cowden+Campus+Recruiting+Manager</v>
      </c>
      <c r="K16" s="5" t="str">
        <f t="shared" si="1"/>
        <v>Allyson Cowden</v>
      </c>
      <c r="L16" s="5" t="str">
        <f t="shared" si="2"/>
        <v>Campus Recruiting Manager</v>
      </c>
      <c r="M16" s="5" t="str">
        <f t="shared" si="3"/>
        <v/>
      </c>
      <c r="N16" s="5" t="str">
        <f t="shared" si="4"/>
        <v>PwC</v>
      </c>
      <c r="O16" s="5" t="str">
        <f t="shared" si="5"/>
        <v>1 year 5 months in role</v>
      </c>
      <c r="P16" s="5" t="str">
        <f t="shared" si="6"/>
        <v>Arlington</v>
      </c>
      <c r="Q16" s="5" t="str">
        <f t="shared" si="7"/>
        <v>Virginia</v>
      </c>
      <c r="R16" s="5" t="str">
        <f t="shared" si="8"/>
        <v>United States</v>
      </c>
    </row>
    <row r="17">
      <c r="A17" s="8" t="s">
        <v>4656</v>
      </c>
      <c r="B17" s="12" t="s">
        <v>4657</v>
      </c>
      <c r="C17" s="10" t="s">
        <v>4658</v>
      </c>
      <c r="D17" s="10"/>
      <c r="E17" s="10" t="s">
        <v>4659</v>
      </c>
      <c r="F17" s="10" t="s">
        <v>277</v>
      </c>
      <c r="G17" s="11" t="s">
        <v>3975</v>
      </c>
      <c r="H17" s="11" t="s">
        <v>91</v>
      </c>
      <c r="I17" s="11" t="s">
        <v>18</v>
      </c>
      <c r="J17" s="9" t="str">
        <f>IFERROR(__xludf.DUMMYFUNCTION("""COMPUTED_VALUE"""),"https://www.google.com/search?newwindow=1&amp;ei=2MT0XrvGGM-vytMP1OyDgAY&amp;q=site%3Alinkedin.com+Lauren+Seijido+Senior+Campus+Recruiting+Specialist")</f>
        <v>https://www.google.com/search?newwindow=1&amp;ei=2MT0XrvGGM-vytMP1OyDgAY&amp;q=site%3Alinkedin.com+Lauren+Seijido+Senior+Campus+Recruiting+Specialist</v>
      </c>
      <c r="K17" s="5" t="str">
        <f t="shared" si="1"/>
        <v>Lauren Seijido</v>
      </c>
      <c r="L17" s="5" t="str">
        <f t="shared" si="2"/>
        <v>Senior Campus Recruiting Specialist</v>
      </c>
      <c r="M17" s="5" t="str">
        <f t="shared" si="3"/>
        <v/>
      </c>
      <c r="N17" s="5" t="str">
        <f t="shared" si="4"/>
        <v>Deloitte</v>
      </c>
      <c r="O17" s="5" t="str">
        <f t="shared" si="5"/>
        <v>1 year 2 months in role</v>
      </c>
      <c r="P17" s="5" t="str">
        <f t="shared" si="6"/>
        <v>Arlington</v>
      </c>
      <c r="Q17" s="5" t="str">
        <f t="shared" si="7"/>
        <v>Virginia</v>
      </c>
      <c r="R17" s="5" t="str">
        <f t="shared" si="8"/>
        <v>United States</v>
      </c>
    </row>
    <row r="18">
      <c r="A18" s="8" t="s">
        <v>4660</v>
      </c>
      <c r="B18" s="10" t="s">
        <v>4661</v>
      </c>
      <c r="C18" s="10" t="s">
        <v>4662</v>
      </c>
      <c r="D18" s="10"/>
      <c r="E18" s="10" t="s">
        <v>4663</v>
      </c>
      <c r="F18" s="10" t="s">
        <v>182</v>
      </c>
      <c r="G18" s="11" t="s">
        <v>4664</v>
      </c>
      <c r="H18" s="11" t="s">
        <v>4665</v>
      </c>
      <c r="I18" s="11" t="s">
        <v>4600</v>
      </c>
      <c r="J18" s="9" t="str">
        <f>IFERROR(__xludf.DUMMYFUNCTION("""COMPUTED_VALUE"""),"https://www.google.com/search?newwindow=1&amp;ei=2MT0XrvGGM-vytMP1OyDgAY&amp;q=site%3Alinkedin.com+Victoria+Clement+Senior+Campus+Recruiting+Coordinator")</f>
        <v>https://www.google.com/search?newwindow=1&amp;ei=2MT0XrvGGM-vytMP1OyDgAY&amp;q=site%3Alinkedin.com+Victoria+Clement+Senior+Campus+Recruiting+Coordinator</v>
      </c>
      <c r="K18" s="5" t="str">
        <f t="shared" si="1"/>
        <v>Victoria Clement</v>
      </c>
      <c r="L18" s="5" t="str">
        <f t="shared" si="2"/>
        <v>Senior Campus Recruiting Coordinator</v>
      </c>
      <c r="M18" s="5" t="str">
        <f t="shared" si="3"/>
        <v/>
      </c>
      <c r="N18" s="5" t="str">
        <f t="shared" si="4"/>
        <v>Deloitte</v>
      </c>
      <c r="O18" s="5" t="str">
        <f t="shared" si="5"/>
        <v>2 years 2 months in role and company</v>
      </c>
      <c r="P18" s="5" t="str">
        <f t="shared" si="6"/>
        <v>Arlington</v>
      </c>
      <c r="Q18" s="5" t="str">
        <f t="shared" si="7"/>
        <v>Virginia</v>
      </c>
      <c r="R18" s="5" t="str">
        <f t="shared" si="8"/>
        <v>United States</v>
      </c>
    </row>
    <row r="19">
      <c r="A19" s="8" t="s">
        <v>4660</v>
      </c>
      <c r="B19" s="10" t="s">
        <v>4661</v>
      </c>
      <c r="C19" s="10" t="s">
        <v>4662</v>
      </c>
      <c r="D19" s="10"/>
      <c r="E19" s="10" t="s">
        <v>4663</v>
      </c>
      <c r="F19" s="10" t="s">
        <v>182</v>
      </c>
      <c r="G19" s="11" t="s">
        <v>4664</v>
      </c>
      <c r="H19" s="11" t="s">
        <v>4665</v>
      </c>
      <c r="I19" s="11" t="s">
        <v>4600</v>
      </c>
      <c r="J19" s="9" t="str">
        <f>IFERROR(__xludf.DUMMYFUNCTION("""COMPUTED_VALUE"""),"https://www.google.com/search?newwindow=1&amp;ei=2MT0XrvGGM-vytMP1OyDgAY&amp;q=site%3Alinkedin.com+Danielle+Pawliw+Assistant+Director+of+Development+-+College+of+Business+at+the+University+of+Nevada+Reno")</f>
        <v>https://www.google.com/search?newwindow=1&amp;ei=2MT0XrvGGM-vytMP1OyDgAY&amp;q=site%3Alinkedin.com+Danielle+Pawliw+Assistant+Director+of+Development+-+College+of+Business+at+the+University+of+Nevada+Reno</v>
      </c>
      <c r="K19" s="5" t="str">
        <f t="shared" si="1"/>
        <v>Danielle Pawliw</v>
      </c>
      <c r="L19" s="5" t="str">
        <f t="shared" si="2"/>
        <v>Assistant Director of Development - College of Business at the University of Nevada Reno</v>
      </c>
      <c r="M19" s="5" t="str">
        <f t="shared" si="3"/>
        <v/>
      </c>
      <c r="N19" s="5" t="str">
        <f t="shared" si="4"/>
        <v>University of Nevada, Reno</v>
      </c>
      <c r="O19" s="5" t="str">
        <f t="shared" si="5"/>
        <v>1 year 5 months in role and company</v>
      </c>
      <c r="P19" s="5" t="str">
        <f t="shared" si="6"/>
        <v>Arlington</v>
      </c>
      <c r="Q19" s="5" t="str">
        <f t="shared" si="7"/>
        <v>Virginia</v>
      </c>
      <c r="R19" s="5" t="str">
        <f t="shared" si="8"/>
        <v>United States</v>
      </c>
    </row>
    <row r="20">
      <c r="A20" s="8" t="s">
        <v>4666</v>
      </c>
      <c r="B20" s="12" t="s">
        <v>4667</v>
      </c>
      <c r="C20" s="10" t="s">
        <v>4668</v>
      </c>
      <c r="D20" s="10"/>
      <c r="E20" s="10" t="s">
        <v>4669</v>
      </c>
      <c r="F20" s="10" t="s">
        <v>4670</v>
      </c>
      <c r="G20" s="11" t="s">
        <v>4664</v>
      </c>
      <c r="H20" s="11" t="s">
        <v>4665</v>
      </c>
      <c r="I20" s="11" t="s">
        <v>4600</v>
      </c>
      <c r="J20" s="9" t="str">
        <f>IFERROR(__xludf.DUMMYFUNCTION("""COMPUTED_VALUE"""),"https://www.google.com/search?newwindow=1&amp;ei=2MT0XrvGGM-vytMP1OyDgAY&amp;q=site%3Alinkedin.com+Zoe+Nagel+Campus+Recruiting+Specialist")</f>
        <v>https://www.google.com/search?newwindow=1&amp;ei=2MT0XrvGGM-vytMP1OyDgAY&amp;q=site%3Alinkedin.com+Zoe+Nagel+Campus+Recruiting+Specialist</v>
      </c>
      <c r="K20" s="5" t="str">
        <f t="shared" si="1"/>
        <v>Zoe Nagel</v>
      </c>
      <c r="L20" s="5" t="str">
        <f t="shared" si="2"/>
        <v>Campus Recruiting Specialist</v>
      </c>
      <c r="M20" s="5" t="str">
        <f t="shared" si="3"/>
        <v/>
      </c>
      <c r="N20" s="5" t="str">
        <f t="shared" si="4"/>
        <v>Deloitte</v>
      </c>
      <c r="O20" s="5" t="str">
        <f t="shared" si="5"/>
        <v>5 years 6 months in role</v>
      </c>
      <c r="P20" s="5" t="str">
        <f t="shared" si="6"/>
        <v>Arlington</v>
      </c>
      <c r="Q20" s="5" t="str">
        <f t="shared" si="7"/>
        <v>Virginia</v>
      </c>
      <c r="R20" s="5" t="str">
        <f t="shared" si="8"/>
        <v>United States</v>
      </c>
    </row>
    <row r="21">
      <c r="A21" s="8" t="s">
        <v>4671</v>
      </c>
      <c r="B21" s="10" t="s">
        <v>3672</v>
      </c>
      <c r="C21" s="10" t="s">
        <v>371</v>
      </c>
      <c r="D21" s="10"/>
      <c r="E21" s="10" t="s">
        <v>3649</v>
      </c>
      <c r="F21" s="10" t="s">
        <v>106</v>
      </c>
      <c r="G21" s="11" t="s">
        <v>183</v>
      </c>
      <c r="H21" s="11" t="s">
        <v>184</v>
      </c>
      <c r="I21" s="11" t="s">
        <v>18</v>
      </c>
      <c r="J21" s="9" t="str">
        <f>IFERROR(__xludf.DUMMYFUNCTION("""COMPUTED_VALUE"""),"https://www.google.com/search?newwindow=1&amp;ei=2MT0XrvGGM-vytMP1OyDgAY&amp;q=site%3Alinkedin.com+Liz+Verrecchia+Campus+Recruiting+Specialist")</f>
        <v>https://www.google.com/search?newwindow=1&amp;ei=2MT0XrvGGM-vytMP1OyDgAY&amp;q=site%3Alinkedin.com+Liz+Verrecchia+Campus+Recruiting+Specialist</v>
      </c>
      <c r="K21" s="5" t="str">
        <f t="shared" si="1"/>
        <v>Liz Verrecchia</v>
      </c>
      <c r="L21" s="5" t="str">
        <f t="shared" si="2"/>
        <v>Campus Recruiting Specialist</v>
      </c>
      <c r="M21" s="5" t="str">
        <f t="shared" si="3"/>
        <v/>
      </c>
      <c r="N21" s="5" t="str">
        <f t="shared" si="4"/>
        <v>Deloitte</v>
      </c>
      <c r="O21" s="5" t="str">
        <f t="shared" si="5"/>
        <v>2 years 3 months in role and company</v>
      </c>
      <c r="P21" s="5" t="str">
        <f t="shared" si="6"/>
        <v>Arlington</v>
      </c>
      <c r="Q21" s="5" t="str">
        <f t="shared" si="7"/>
        <v>Virginia</v>
      </c>
      <c r="R21" s="5" t="str">
        <f t="shared" si="8"/>
        <v>United States</v>
      </c>
    </row>
    <row r="22">
      <c r="A22" s="8" t="s">
        <v>4672</v>
      </c>
      <c r="B22" s="10" t="s">
        <v>4673</v>
      </c>
      <c r="C22" s="10" t="s">
        <v>4674</v>
      </c>
      <c r="D22" s="10"/>
      <c r="E22" s="10" t="s">
        <v>1233</v>
      </c>
      <c r="F22" s="10" t="s">
        <v>26</v>
      </c>
      <c r="G22" s="11" t="s">
        <v>183</v>
      </c>
      <c r="H22" s="11" t="s">
        <v>184</v>
      </c>
      <c r="I22" s="11" t="s">
        <v>18</v>
      </c>
      <c r="J22" s="9" t="str">
        <f>IFERROR(__xludf.DUMMYFUNCTION("""COMPUTED_VALUE"""),"https://www.google.com/search?newwindow=1&amp;ei=2MT0XrvGGM-vytMP1OyDgAY&amp;q=site%3Alinkedin.com+Meredith+Sutter+Campus+Recruiting+Manager")</f>
        <v>https://www.google.com/search?newwindow=1&amp;ei=2MT0XrvGGM-vytMP1OyDgAY&amp;q=site%3Alinkedin.com+Meredith+Sutter+Campus+Recruiting+Manager</v>
      </c>
      <c r="K22" s="5" t="str">
        <f t="shared" si="1"/>
        <v>Meredith Sutter</v>
      </c>
      <c r="L22" s="5" t="str">
        <f t="shared" si="2"/>
        <v>Campus Recruiting Manager</v>
      </c>
      <c r="M22" s="5" t="str">
        <f t="shared" si="3"/>
        <v/>
      </c>
      <c r="N22" s="5" t="str">
        <f t="shared" si="4"/>
        <v>Deloitte</v>
      </c>
      <c r="O22" s="5" t="str">
        <f t="shared" si="5"/>
        <v>1 year 3 months in role</v>
      </c>
      <c r="P22" s="5" t="str">
        <f t="shared" si="6"/>
        <v>Arlington</v>
      </c>
      <c r="Q22" s="5" t="str">
        <f t="shared" si="7"/>
        <v>Virginia</v>
      </c>
      <c r="R22" s="5" t="str">
        <f t="shared" si="8"/>
        <v>United States</v>
      </c>
    </row>
    <row r="23">
      <c r="A23" s="8" t="s">
        <v>4675</v>
      </c>
      <c r="B23" s="12" t="s">
        <v>4676</v>
      </c>
      <c r="C23" s="10" t="s">
        <v>4677</v>
      </c>
      <c r="D23" s="10"/>
      <c r="E23" s="10" t="s">
        <v>1233</v>
      </c>
      <c r="F23" s="10" t="s">
        <v>48</v>
      </c>
      <c r="G23" s="11" t="s">
        <v>183</v>
      </c>
      <c r="H23" s="11" t="s">
        <v>184</v>
      </c>
      <c r="I23" s="11" t="s">
        <v>18</v>
      </c>
      <c r="J23" s="9" t="str">
        <f>IFERROR(__xludf.DUMMYFUNCTION("""COMPUTED_VALUE"""),"https://www.google.com/search?newwindow=1&amp;ei=2MT0XrvGGM-vytMP1OyDgAY&amp;q=site%3Alinkedin.com+Kaitlin+Duberstein+Campus+Recruiting+Manager")</f>
        <v>https://www.google.com/search?newwindow=1&amp;ei=2MT0XrvGGM-vytMP1OyDgAY&amp;q=site%3Alinkedin.com+Kaitlin+Duberstein+Campus+Recruiting+Manager</v>
      </c>
      <c r="K23" s="5" t="str">
        <f t="shared" si="1"/>
        <v>Kaitlin Duberstein</v>
      </c>
      <c r="L23" s="5" t="str">
        <f t="shared" si="2"/>
        <v>Campus Recruiting Manager</v>
      </c>
      <c r="M23" s="5" t="str">
        <f t="shared" si="3"/>
        <v/>
      </c>
      <c r="N23" s="5" t="str">
        <f t="shared" si="4"/>
        <v>Deloitte</v>
      </c>
      <c r="O23" s="5" t="str">
        <f t="shared" si="5"/>
        <v>1 year 2 months in role and company</v>
      </c>
      <c r="P23" s="5" t="str">
        <f t="shared" si="6"/>
        <v>Arlington</v>
      </c>
      <c r="Q23" s="5" t="str">
        <f t="shared" si="7"/>
        <v>Virginia</v>
      </c>
      <c r="R23" s="5" t="str">
        <f t="shared" si="8"/>
        <v>United States</v>
      </c>
    </row>
    <row r="24">
      <c r="A24" s="8" t="s">
        <v>4678</v>
      </c>
      <c r="B24" s="12" t="s">
        <v>4679</v>
      </c>
      <c r="C24" s="10" t="s">
        <v>4680</v>
      </c>
      <c r="D24" s="10"/>
      <c r="E24" s="10" t="s">
        <v>4681</v>
      </c>
      <c r="F24" s="10" t="s">
        <v>15</v>
      </c>
      <c r="G24" s="11" t="s">
        <v>183</v>
      </c>
      <c r="H24" s="11" t="s">
        <v>184</v>
      </c>
      <c r="I24" s="11" t="s">
        <v>18</v>
      </c>
      <c r="J24" s="9" t="str">
        <f>IFERROR(__xludf.DUMMYFUNCTION("""COMPUTED_VALUE"""),"https://www.google.com/search?newwindow=1&amp;ei=2MT0XrvGGM-vytMP1OyDgAY&amp;q=site%3Alinkedin.com+Wandie+Toledo+Bethune+Lead+Diversity+&amp;+Inclusion+Program+Manager")</f>
        <v>https://www.google.com/search?newwindow=1&amp;ei=2MT0XrvGGM-vytMP1OyDgAY&amp;q=site%3Alinkedin.com+Wandie+Toledo+Bethune+Lead+Diversity+&amp;+Inclusion+Program+Manager</v>
      </c>
      <c r="K24" s="5" t="str">
        <f t="shared" si="1"/>
        <v>Wandie Toledo Bethune</v>
      </c>
      <c r="L24" s="5" t="str">
        <f t="shared" si="2"/>
        <v>Lead Diversity &amp; Inclusion Program Manager</v>
      </c>
      <c r="M24" s="5" t="str">
        <f t="shared" si="3"/>
        <v/>
      </c>
      <c r="N24" s="5" t="str">
        <f t="shared" si="4"/>
        <v>Deloitte</v>
      </c>
      <c r="O24" s="5" t="str">
        <f t="shared" si="5"/>
        <v>4 years 5 months in role</v>
      </c>
      <c r="P24" s="5" t="str">
        <f t="shared" si="6"/>
        <v>Atlanta</v>
      </c>
      <c r="Q24" s="5" t="str">
        <f t="shared" si="7"/>
        <v>Georgia</v>
      </c>
      <c r="R24" s="5" t="str">
        <f t="shared" si="8"/>
        <v>United States</v>
      </c>
    </row>
    <row r="25">
      <c r="A25" s="8" t="s">
        <v>4682</v>
      </c>
      <c r="B25" s="10" t="s">
        <v>4683</v>
      </c>
      <c r="C25" s="10" t="s">
        <v>1378</v>
      </c>
      <c r="D25" s="10"/>
      <c r="E25" s="10" t="s">
        <v>1233</v>
      </c>
      <c r="F25" s="10" t="s">
        <v>4033</v>
      </c>
      <c r="G25" s="11" t="s">
        <v>183</v>
      </c>
      <c r="H25" s="11" t="s">
        <v>184</v>
      </c>
      <c r="I25" s="11" t="s">
        <v>18</v>
      </c>
      <c r="J25" s="9" t="str">
        <f>IFERROR(__xludf.DUMMYFUNCTION("""COMPUTED_VALUE"""),"https://www.google.com/search?newwindow=1&amp;ei=2MT0XrvGGM-vytMP1OyDgAY&amp;q=site%3Alinkedin.com+Kristen+Bolt+Senior+Campus+Recruiting+Specialist")</f>
        <v>https://www.google.com/search?newwindow=1&amp;ei=2MT0XrvGGM-vytMP1OyDgAY&amp;q=site%3Alinkedin.com+Kristen+Bolt+Senior+Campus+Recruiting+Specialist</v>
      </c>
      <c r="K25" s="5" t="str">
        <f t="shared" si="1"/>
        <v>Kristen Bolt</v>
      </c>
      <c r="L25" s="5" t="str">
        <f t="shared" si="2"/>
        <v>Senior Campus Recruiting Specialist</v>
      </c>
      <c r="M25" s="5" t="str">
        <f t="shared" si="3"/>
        <v/>
      </c>
      <c r="N25" s="5" t="str">
        <f t="shared" si="4"/>
        <v>Deloitte</v>
      </c>
      <c r="O25" s="5" t="str">
        <f t="shared" si="5"/>
        <v>1 year 3 months in role</v>
      </c>
      <c r="P25" s="5" t="str">
        <f t="shared" si="6"/>
        <v>Atlanta</v>
      </c>
      <c r="Q25" s="5" t="str">
        <f t="shared" si="7"/>
        <v>Georgia</v>
      </c>
      <c r="R25" s="5" t="str">
        <f t="shared" si="8"/>
        <v>United States</v>
      </c>
    </row>
    <row r="26">
      <c r="A26" s="8" t="s">
        <v>4684</v>
      </c>
      <c r="B26" s="10" t="s">
        <v>4685</v>
      </c>
      <c r="C26" s="10" t="s">
        <v>1378</v>
      </c>
      <c r="D26" s="10"/>
      <c r="E26" s="10" t="s">
        <v>1233</v>
      </c>
      <c r="F26" s="10" t="s">
        <v>182</v>
      </c>
      <c r="G26" s="11" t="s">
        <v>183</v>
      </c>
      <c r="H26" s="11" t="s">
        <v>184</v>
      </c>
      <c r="I26" s="11" t="s">
        <v>18</v>
      </c>
      <c r="J26" s="9" t="str">
        <f>IFERROR(__xludf.DUMMYFUNCTION("""COMPUTED_VALUE"""),"https://www.google.com/search?newwindow=1&amp;ei=2MT0XrvGGM-vytMP1OyDgAY&amp;q=site%3Alinkedin.com+Kelly+(Wise)+D’Amato+Campus+Recruiting+Specialist")</f>
        <v>https://www.google.com/search?newwindow=1&amp;ei=2MT0XrvGGM-vytMP1OyDgAY&amp;q=site%3Alinkedin.com+Kelly+(Wise)+D’Amato+Campus+Recruiting+Specialist</v>
      </c>
      <c r="K26" s="5" t="str">
        <f t="shared" si="1"/>
        <v>Kelly (Wise) D’Amato</v>
      </c>
      <c r="L26" s="5" t="str">
        <f t="shared" si="2"/>
        <v>Campus Recruiting Specialist</v>
      </c>
      <c r="M26" s="5" t="str">
        <f t="shared" si="3"/>
        <v/>
      </c>
      <c r="N26" s="5" t="str">
        <f t="shared" si="4"/>
        <v>Deloitte</v>
      </c>
      <c r="O26" s="5" t="str">
        <f t="shared" si="5"/>
        <v>2 years 1 month in role and company</v>
      </c>
      <c r="P26" s="5" t="str">
        <f t="shared" si="6"/>
        <v>Atlanta</v>
      </c>
      <c r="Q26" s="5" t="str">
        <f t="shared" si="7"/>
        <v>Georgia</v>
      </c>
      <c r="R26" s="5" t="str">
        <f t="shared" si="8"/>
        <v>United States</v>
      </c>
    </row>
    <row r="27">
      <c r="A27" s="8" t="s">
        <v>4686</v>
      </c>
      <c r="B27" s="12" t="s">
        <v>1235</v>
      </c>
      <c r="C27" s="10" t="s">
        <v>371</v>
      </c>
      <c r="D27" s="10"/>
      <c r="E27" s="10" t="s">
        <v>1233</v>
      </c>
      <c r="F27" s="10" t="s">
        <v>192</v>
      </c>
      <c r="G27" s="11" t="s">
        <v>183</v>
      </c>
      <c r="H27" s="11" t="s">
        <v>184</v>
      </c>
      <c r="I27" s="11" t="s">
        <v>18</v>
      </c>
      <c r="J27" s="9" t="str">
        <f>IFERROR(__xludf.DUMMYFUNCTION("""COMPUTED_VALUE"""),"https://www.google.com/search?newwindow=1&amp;ei=2MT0XrvGGM-vytMP1OyDgAY&amp;q=site%3Alinkedin.com+Crystal+Brockington+Consulting+Campus+Recruiting+Specialist")</f>
        <v>https://www.google.com/search?newwindow=1&amp;ei=2MT0XrvGGM-vytMP1OyDgAY&amp;q=site%3Alinkedin.com+Crystal+Brockington+Consulting+Campus+Recruiting+Specialist</v>
      </c>
      <c r="K27" s="5" t="str">
        <f t="shared" si="1"/>
        <v>Crystal Brockington</v>
      </c>
      <c r="L27" s="5" t="str">
        <f t="shared" si="2"/>
        <v>Consulting Campus Recruiting Specialist</v>
      </c>
      <c r="M27" s="5" t="str">
        <f t="shared" si="3"/>
        <v/>
      </c>
      <c r="N27" s="5" t="str">
        <f t="shared" si="4"/>
        <v>Deloitte</v>
      </c>
      <c r="O27" s="5" t="str">
        <f t="shared" si="5"/>
        <v>10 months in role</v>
      </c>
      <c r="P27" s="5" t="str">
        <f t="shared" si="6"/>
        <v>Atlanta</v>
      </c>
      <c r="Q27" s="5" t="str">
        <f t="shared" si="7"/>
        <v>Georgia</v>
      </c>
      <c r="R27" s="5" t="str">
        <f t="shared" si="8"/>
        <v>United States</v>
      </c>
    </row>
    <row r="28">
      <c r="A28" s="8" t="s">
        <v>4687</v>
      </c>
      <c r="B28" s="12" t="s">
        <v>1237</v>
      </c>
      <c r="C28" s="10" t="s">
        <v>371</v>
      </c>
      <c r="D28" s="10"/>
      <c r="E28" s="10" t="s">
        <v>1233</v>
      </c>
      <c r="F28" s="10" t="s">
        <v>144</v>
      </c>
      <c r="G28" s="11" t="s">
        <v>183</v>
      </c>
      <c r="H28" s="11" t="s">
        <v>184</v>
      </c>
      <c r="I28" s="11" t="s">
        <v>18</v>
      </c>
      <c r="J28" s="9" t="str">
        <f>IFERROR(__xludf.DUMMYFUNCTION("""COMPUTED_VALUE"""),"https://www.google.com/search?newwindow=1&amp;ei=2MT0XrvGGM-vytMP1OyDgAY&amp;q=site%3Alinkedin.com+Chase+Simpson+Senior+Campus+Recruiting+Specialist")</f>
        <v>https://www.google.com/search?newwindow=1&amp;ei=2MT0XrvGGM-vytMP1OyDgAY&amp;q=site%3Alinkedin.com+Chase+Simpson+Senior+Campus+Recruiting+Specialist</v>
      </c>
      <c r="K28" s="5" t="str">
        <f t="shared" si="1"/>
        <v>Chase Simpson</v>
      </c>
      <c r="L28" s="5" t="str">
        <f t="shared" si="2"/>
        <v>Senior Campus Recruiting Specialist</v>
      </c>
      <c r="M28" s="5" t="str">
        <f t="shared" si="3"/>
        <v/>
      </c>
      <c r="N28" s="5" t="str">
        <f t="shared" si="4"/>
        <v>Deloitte</v>
      </c>
      <c r="O28" s="5" t="str">
        <f t="shared" si="5"/>
        <v>1 year 3 months in role</v>
      </c>
      <c r="P28" s="5" t="str">
        <f t="shared" si="6"/>
        <v>Atlanta</v>
      </c>
      <c r="Q28" s="5" t="str">
        <f t="shared" si="7"/>
        <v>Georgia</v>
      </c>
      <c r="R28" s="5" t="str">
        <f t="shared" si="8"/>
        <v>United States</v>
      </c>
    </row>
    <row r="29">
      <c r="A29" s="8" t="s">
        <v>4688</v>
      </c>
      <c r="B29" s="12" t="s">
        <v>1242</v>
      </c>
      <c r="C29" s="10" t="s">
        <v>1243</v>
      </c>
      <c r="D29" s="10"/>
      <c r="E29" s="10" t="s">
        <v>1233</v>
      </c>
      <c r="F29" s="10" t="s">
        <v>1244</v>
      </c>
      <c r="G29" s="11" t="s">
        <v>16</v>
      </c>
      <c r="H29" s="11" t="s">
        <v>17</v>
      </c>
      <c r="I29" s="11" t="s">
        <v>18</v>
      </c>
      <c r="J29" s="9" t="str">
        <f>IFERROR(__xludf.DUMMYFUNCTION("""COMPUTED_VALUE"""),"https://www.google.com/search?newwindow=1&amp;ei=2MT0XrvGGM-vytMP1OyDgAY&amp;q=site%3Alinkedin.com+Shahista+Bhimani+Campus+Recruiting+Coordinator-+US+East")</f>
        <v>https://www.google.com/search?newwindow=1&amp;ei=2MT0XrvGGM-vytMP1OyDgAY&amp;q=site%3Alinkedin.com+Shahista+Bhimani+Campus+Recruiting+Coordinator-+US+East</v>
      </c>
      <c r="K29" s="5" t="str">
        <f t="shared" si="1"/>
        <v>Shahista Bhimani</v>
      </c>
      <c r="L29" s="5" t="str">
        <f t="shared" si="2"/>
        <v>Campus Recruiting Coordinator- US East</v>
      </c>
      <c r="M29" s="5" t="str">
        <f t="shared" si="3"/>
        <v/>
      </c>
      <c r="N29" s="5" t="str">
        <f t="shared" si="4"/>
        <v>EY</v>
      </c>
      <c r="O29" s="5" t="str">
        <f t="shared" si="5"/>
        <v>5 months in role</v>
      </c>
      <c r="P29" s="5" t="str">
        <f t="shared" si="6"/>
        <v>Atlanta</v>
      </c>
      <c r="Q29" s="5" t="str">
        <f t="shared" si="7"/>
        <v>Georgia</v>
      </c>
      <c r="R29" s="5" t="str">
        <f t="shared" si="8"/>
        <v>United States</v>
      </c>
    </row>
    <row r="30">
      <c r="A30" s="8" t="s">
        <v>4689</v>
      </c>
      <c r="B30" s="10" t="s">
        <v>4690</v>
      </c>
      <c r="C30" s="10" t="s">
        <v>4674</v>
      </c>
      <c r="D30" s="10"/>
      <c r="E30" s="10" t="s">
        <v>1233</v>
      </c>
      <c r="F30" s="10" t="s">
        <v>192</v>
      </c>
      <c r="G30" s="11" t="s">
        <v>16</v>
      </c>
      <c r="H30" s="11" t="s">
        <v>17</v>
      </c>
      <c r="I30" s="11" t="s">
        <v>18</v>
      </c>
      <c r="J30" s="9" t="str">
        <f>IFERROR(__xludf.DUMMYFUNCTION("""COMPUTED_VALUE"""),"https://www.google.com/search?newwindow=1&amp;ei=2MT0XrvGGM-vytMP1OyDgAY&amp;q=site%3Alinkedin.com+Alexis+Hardman+Campus+Recruiting+Specialist")</f>
        <v>https://www.google.com/search?newwindow=1&amp;ei=2MT0XrvGGM-vytMP1OyDgAY&amp;q=site%3Alinkedin.com+Alexis+Hardman+Campus+Recruiting+Specialist</v>
      </c>
      <c r="K30" s="5" t="str">
        <f t="shared" si="1"/>
        <v>Alexis Hardman</v>
      </c>
      <c r="L30" s="5" t="str">
        <f t="shared" si="2"/>
        <v>Campus Recruiting Specialist</v>
      </c>
      <c r="M30" s="5" t="str">
        <f t="shared" si="3"/>
        <v/>
      </c>
      <c r="N30" s="5" t="str">
        <f t="shared" si="4"/>
        <v>Deloitte</v>
      </c>
      <c r="O30" s="5" t="str">
        <f t="shared" si="5"/>
        <v>9 months in role and company</v>
      </c>
      <c r="P30" s="5" t="str">
        <f t="shared" si="6"/>
        <v>Atlanta</v>
      </c>
      <c r="Q30" s="5" t="str">
        <f t="shared" si="7"/>
        <v>Georgia</v>
      </c>
      <c r="R30" s="5" t="str">
        <f t="shared" si="8"/>
        <v>United States</v>
      </c>
    </row>
    <row r="31">
      <c r="A31" s="8" t="s">
        <v>4691</v>
      </c>
      <c r="B31" s="12" t="s">
        <v>4692</v>
      </c>
      <c r="C31" s="10" t="s">
        <v>1378</v>
      </c>
      <c r="D31" s="10"/>
      <c r="E31" s="10" t="s">
        <v>1233</v>
      </c>
      <c r="F31" s="10" t="s">
        <v>207</v>
      </c>
      <c r="G31" s="11" t="s">
        <v>16</v>
      </c>
      <c r="H31" s="11" t="s">
        <v>17</v>
      </c>
      <c r="I31" s="11" t="s">
        <v>18</v>
      </c>
      <c r="J31" s="9" t="str">
        <f>IFERROR(__xludf.DUMMYFUNCTION("""COMPUTED_VALUE"""),"https://www.google.com/search?newwindow=1&amp;ei=2MT0XrvGGM-vytMP1OyDgAY&amp;q=site%3Alinkedin.com+Ben+Raynor+Senior+Recruiter,+Student+Programs")</f>
        <v>https://www.google.com/search?newwindow=1&amp;ei=2MT0XrvGGM-vytMP1OyDgAY&amp;q=site%3Alinkedin.com+Ben+Raynor+Senior+Recruiter,+Student+Programs</v>
      </c>
      <c r="K31" s="5" t="str">
        <f t="shared" si="1"/>
        <v>Ben Raynor</v>
      </c>
      <c r="L31" s="5" t="str">
        <f t="shared" si="2"/>
        <v>Senior Recruiter, Student Programs</v>
      </c>
      <c r="M31" s="5" t="str">
        <f t="shared" si="3"/>
        <v/>
      </c>
      <c r="N31" s="5" t="str">
        <f t="shared" si="4"/>
        <v>Amazon</v>
      </c>
      <c r="O31" s="5" t="str">
        <f t="shared" si="5"/>
        <v>5 months in role and company</v>
      </c>
      <c r="P31" s="5" t="str">
        <f t="shared" si="6"/>
        <v>Atlanta</v>
      </c>
      <c r="Q31" s="5" t="str">
        <f t="shared" si="7"/>
        <v>Georgia</v>
      </c>
      <c r="R31" s="5" t="str">
        <f t="shared" si="8"/>
        <v>United States</v>
      </c>
    </row>
    <row r="32">
      <c r="A32" s="8" t="s">
        <v>4693</v>
      </c>
      <c r="B32" s="12" t="s">
        <v>4694</v>
      </c>
      <c r="C32" s="10" t="s">
        <v>4695</v>
      </c>
      <c r="D32" s="10"/>
      <c r="E32" s="10" t="s">
        <v>1233</v>
      </c>
      <c r="F32" s="10" t="s">
        <v>512</v>
      </c>
      <c r="G32" s="11" t="s">
        <v>16</v>
      </c>
      <c r="H32" s="11" t="s">
        <v>17</v>
      </c>
      <c r="I32" s="11" t="s">
        <v>18</v>
      </c>
      <c r="J32" s="9" t="str">
        <f>IFERROR(__xludf.DUMMYFUNCTION("""COMPUTED_VALUE"""),"https://www.google.com/search?newwindow=1&amp;ei=2MT0XrvGGM-vytMP1OyDgAY&amp;q=site%3Alinkedin.com+Rachel+Leonard+Lead+Campus+Recruiting+Specialist")</f>
        <v>https://www.google.com/search?newwindow=1&amp;ei=2MT0XrvGGM-vytMP1OyDgAY&amp;q=site%3Alinkedin.com+Rachel+Leonard+Lead+Campus+Recruiting+Specialist</v>
      </c>
      <c r="K32" s="5" t="str">
        <f t="shared" si="1"/>
        <v>Rachel Leonard</v>
      </c>
      <c r="L32" s="5" t="str">
        <f t="shared" si="2"/>
        <v>Lead Campus Recruiting Specialist</v>
      </c>
      <c r="M32" s="5" t="str">
        <f t="shared" si="3"/>
        <v/>
      </c>
      <c r="N32" s="5" t="str">
        <f t="shared" si="4"/>
        <v>Deloitte</v>
      </c>
      <c r="O32" s="5" t="str">
        <f t="shared" si="5"/>
        <v>3 months in role</v>
      </c>
      <c r="P32" s="5" t="str">
        <f t="shared" si="6"/>
        <v>Atlanta</v>
      </c>
      <c r="Q32" s="5" t="str">
        <f t="shared" si="7"/>
        <v>Georgia</v>
      </c>
      <c r="R32" s="5" t="str">
        <f t="shared" si="8"/>
        <v>United States</v>
      </c>
    </row>
    <row r="33">
      <c r="A33" s="8" t="s">
        <v>4696</v>
      </c>
      <c r="B33" s="10" t="s">
        <v>4697</v>
      </c>
      <c r="C33" s="10" t="s">
        <v>4674</v>
      </c>
      <c r="D33" s="10"/>
      <c r="E33" s="10" t="s">
        <v>1233</v>
      </c>
      <c r="F33" s="10" t="s">
        <v>192</v>
      </c>
      <c r="G33" s="11" t="s">
        <v>16</v>
      </c>
      <c r="H33" s="11" t="s">
        <v>17</v>
      </c>
      <c r="I33" s="11" t="s">
        <v>18</v>
      </c>
      <c r="J33" s="9" t="str">
        <f>IFERROR(__xludf.DUMMYFUNCTION("""COMPUTED_VALUE"""),"https://www.google.com/search?newwindow=1&amp;ei=2MT0XrvGGM-vytMP1OyDgAY&amp;q=site%3Alinkedin.com+Jessica+Winkles+Lead+Campus+Recruiting+Specialist")</f>
        <v>https://www.google.com/search?newwindow=1&amp;ei=2MT0XrvGGM-vytMP1OyDgAY&amp;q=site%3Alinkedin.com+Jessica+Winkles+Lead+Campus+Recruiting+Specialist</v>
      </c>
      <c r="K33" s="5" t="str">
        <f t="shared" si="1"/>
        <v>Jessica Winkles</v>
      </c>
      <c r="L33" s="5" t="str">
        <f t="shared" si="2"/>
        <v>Lead Campus Recruiting Specialist</v>
      </c>
      <c r="M33" s="5" t="str">
        <f t="shared" si="3"/>
        <v/>
      </c>
      <c r="N33" s="5" t="str">
        <f t="shared" si="4"/>
        <v>Deloitte</v>
      </c>
      <c r="O33" s="5" t="str">
        <f t="shared" si="5"/>
        <v>1 year 3 months in role</v>
      </c>
      <c r="P33" s="5" t="str">
        <f t="shared" si="6"/>
        <v>Atlanta</v>
      </c>
      <c r="Q33" s="5" t="str">
        <f t="shared" si="7"/>
        <v>Georgia</v>
      </c>
      <c r="R33" s="5" t="str">
        <f t="shared" si="8"/>
        <v>United States</v>
      </c>
    </row>
    <row r="34">
      <c r="A34" s="8" t="s">
        <v>4698</v>
      </c>
      <c r="B34" s="12" t="s">
        <v>4699</v>
      </c>
      <c r="C34" s="10" t="s">
        <v>4700</v>
      </c>
      <c r="D34" s="10"/>
      <c r="E34" s="10" t="s">
        <v>4701</v>
      </c>
      <c r="F34" s="10" t="s">
        <v>60</v>
      </c>
      <c r="G34" s="11" t="s">
        <v>16</v>
      </c>
      <c r="H34" s="11" t="s">
        <v>17</v>
      </c>
      <c r="I34" s="11" t="s">
        <v>18</v>
      </c>
      <c r="J34" s="9" t="str">
        <f>IFERROR(__xludf.DUMMYFUNCTION("""COMPUTED_VALUE"""),"https://www.google.com/search?newwindow=1&amp;ei=2MT0XrvGGM-vytMP1OyDgAY&amp;q=site%3Alinkedin.com+Jennifer+Rice+Manager,+Campus+Recruiting")</f>
        <v>https://www.google.com/search?newwindow=1&amp;ei=2MT0XrvGGM-vytMP1OyDgAY&amp;q=site%3Alinkedin.com+Jennifer+Rice+Manager,+Campus+Recruiting</v>
      </c>
      <c r="K34" s="5" t="str">
        <f t="shared" si="1"/>
        <v>Jennifer Rice</v>
      </c>
      <c r="L34" s="5" t="str">
        <f t="shared" si="2"/>
        <v>Manager, Campus Recruiting</v>
      </c>
      <c r="M34" s="5" t="str">
        <f t="shared" si="3"/>
        <v/>
      </c>
      <c r="N34" s="5" t="str">
        <f t="shared" si="4"/>
        <v>KPMG US</v>
      </c>
      <c r="O34" s="5" t="str">
        <f t="shared" si="5"/>
        <v>10 months in role</v>
      </c>
      <c r="P34" s="5" t="str">
        <f t="shared" si="6"/>
        <v>Atlanta</v>
      </c>
      <c r="Q34" s="5" t="str">
        <f t="shared" si="7"/>
        <v>Georgia</v>
      </c>
      <c r="R34" s="5" t="str">
        <f t="shared" si="8"/>
        <v>United States</v>
      </c>
    </row>
    <row r="35">
      <c r="A35" s="8" t="s">
        <v>4702</v>
      </c>
      <c r="B35" s="12" t="s">
        <v>4703</v>
      </c>
      <c r="C35" s="10" t="s">
        <v>1378</v>
      </c>
      <c r="D35" s="10"/>
      <c r="E35" s="10" t="s">
        <v>1233</v>
      </c>
      <c r="F35" s="10" t="s">
        <v>441</v>
      </c>
      <c r="G35" s="11" t="s">
        <v>16</v>
      </c>
      <c r="H35" s="11" t="s">
        <v>17</v>
      </c>
      <c r="I35" s="11" t="s">
        <v>18</v>
      </c>
      <c r="J35" s="9" t="str">
        <f>IFERROR(__xludf.DUMMYFUNCTION("""COMPUTED_VALUE"""),"https://www.google.com/search?newwindow=1&amp;ei=2MT0XrvGGM-vytMP1OyDgAY&amp;q=site%3Alinkedin.com+Haley+Scudder+Talent+ID+Campus+Recruiting+Associate")</f>
        <v>https://www.google.com/search?newwindow=1&amp;ei=2MT0XrvGGM-vytMP1OyDgAY&amp;q=site%3Alinkedin.com+Haley+Scudder+Talent+ID+Campus+Recruiting+Associate</v>
      </c>
      <c r="K35" s="5" t="str">
        <f t="shared" si="1"/>
        <v>Haley Scudder</v>
      </c>
      <c r="L35" s="5" t="str">
        <f t="shared" si="2"/>
        <v>Talent ID Campus Recruiting Associate</v>
      </c>
      <c r="M35" s="5" t="str">
        <f t="shared" si="3"/>
        <v/>
      </c>
      <c r="N35" s="5" t="str">
        <f t="shared" si="4"/>
        <v>PwC</v>
      </c>
      <c r="O35" s="5" t="str">
        <f t="shared" si="5"/>
        <v>9 months in role and company</v>
      </c>
      <c r="P35" s="5" t="str">
        <f t="shared" si="6"/>
        <v>Atlanta</v>
      </c>
      <c r="Q35" s="5" t="str">
        <f t="shared" si="7"/>
        <v>Georgia</v>
      </c>
      <c r="R35" s="5" t="str">
        <f t="shared" si="8"/>
        <v>United States</v>
      </c>
    </row>
    <row r="36">
      <c r="A36" s="8" t="s">
        <v>4704</v>
      </c>
      <c r="B36" s="10" t="s">
        <v>4705</v>
      </c>
      <c r="C36" s="10" t="s">
        <v>4706</v>
      </c>
      <c r="D36" s="10"/>
      <c r="E36" s="10" t="s">
        <v>227</v>
      </c>
      <c r="F36" s="10" t="s">
        <v>727</v>
      </c>
      <c r="G36" s="11" t="s">
        <v>16</v>
      </c>
      <c r="H36" s="11" t="s">
        <v>17</v>
      </c>
      <c r="I36" s="11" t="s">
        <v>18</v>
      </c>
      <c r="J36" s="9" t="str">
        <f>IFERROR(__xludf.DUMMYFUNCTION("""COMPUTED_VALUE"""),"https://www.google.com/search?newwindow=1&amp;ei=2MT0XrvGGM-vytMP1OyDgAY&amp;q=site%3Alinkedin.com+Elise+Scott+Assistant+Director,+Campus+Recruiting")</f>
        <v>https://www.google.com/search?newwindow=1&amp;ei=2MT0XrvGGM-vytMP1OyDgAY&amp;q=site%3Alinkedin.com+Elise+Scott+Assistant+Director,+Campus+Recruiting</v>
      </c>
      <c r="K36" s="5" t="str">
        <f t="shared" si="1"/>
        <v>Elise Scott</v>
      </c>
      <c r="L36" s="5" t="str">
        <f t="shared" si="2"/>
        <v>Assistant Director, Campus Recruiting</v>
      </c>
      <c r="M36" s="5" t="str">
        <f t="shared" si="3"/>
        <v/>
      </c>
      <c r="N36" s="5" t="str">
        <f t="shared" si="4"/>
        <v>EY</v>
      </c>
      <c r="O36" s="5" t="str">
        <f t="shared" si="5"/>
        <v>2 years 1 month in role</v>
      </c>
      <c r="P36" s="5" t="str">
        <f t="shared" si="6"/>
        <v>Atlanta</v>
      </c>
      <c r="Q36" s="5" t="str">
        <f t="shared" si="7"/>
        <v>Georgia</v>
      </c>
      <c r="R36" s="5" t="str">
        <f t="shared" si="8"/>
        <v>United States</v>
      </c>
    </row>
    <row r="37">
      <c r="A37" s="8" t="s">
        <v>4707</v>
      </c>
      <c r="B37" s="12" t="s">
        <v>4708</v>
      </c>
      <c r="C37" s="10" t="s">
        <v>4709</v>
      </c>
      <c r="D37" s="10"/>
      <c r="E37" s="10" t="s">
        <v>1233</v>
      </c>
      <c r="F37" s="10" t="s">
        <v>228</v>
      </c>
      <c r="G37" s="11" t="s">
        <v>16</v>
      </c>
      <c r="H37" s="11" t="s">
        <v>17</v>
      </c>
      <c r="I37" s="11" t="s">
        <v>18</v>
      </c>
      <c r="J37" s="9" t="str">
        <f>IFERROR(__xludf.DUMMYFUNCTION("""COMPUTED_VALUE"""),"https://www.google.com/search?newwindow=1&amp;ei=2MT0XrvGGM-vytMP1OyDgAY&amp;q=site%3Alinkedin.com+Lauren+Nelson+Assistant+Director,+Campus+Recruiting")</f>
        <v>https://www.google.com/search?newwindow=1&amp;ei=2MT0XrvGGM-vytMP1OyDgAY&amp;q=site%3Alinkedin.com+Lauren+Nelson+Assistant+Director,+Campus+Recruiting</v>
      </c>
      <c r="K37" s="5" t="str">
        <f t="shared" si="1"/>
        <v>Lauren Nelson</v>
      </c>
      <c r="L37" s="5" t="str">
        <f t="shared" si="2"/>
        <v>Assistant Director, Campus Recruiting</v>
      </c>
      <c r="M37" s="5" t="str">
        <f t="shared" si="3"/>
        <v/>
      </c>
      <c r="N37" s="5" t="str">
        <f t="shared" si="4"/>
        <v>EY</v>
      </c>
      <c r="O37" s="5" t="str">
        <f t="shared" si="5"/>
        <v>4 years 1 month in role</v>
      </c>
      <c r="P37" s="5" t="str">
        <f t="shared" si="6"/>
        <v>Atlanta</v>
      </c>
      <c r="Q37" s="5" t="str">
        <f t="shared" si="7"/>
        <v>Georgia</v>
      </c>
      <c r="R37" s="5" t="str">
        <f t="shared" si="8"/>
        <v>United States</v>
      </c>
    </row>
    <row r="38">
      <c r="A38" s="8" t="s">
        <v>4710</v>
      </c>
      <c r="B38" s="12" t="s">
        <v>4711</v>
      </c>
      <c r="C38" s="10" t="s">
        <v>4709</v>
      </c>
      <c r="D38" s="10"/>
      <c r="E38" s="10" t="s">
        <v>1233</v>
      </c>
      <c r="F38" s="10" t="s">
        <v>192</v>
      </c>
      <c r="G38" s="11" t="s">
        <v>16</v>
      </c>
      <c r="H38" s="11" t="s">
        <v>17</v>
      </c>
      <c r="I38" s="11" t="s">
        <v>18</v>
      </c>
      <c r="J38" s="9" t="str">
        <f>IFERROR(__xludf.DUMMYFUNCTION("""COMPUTED_VALUE"""),"https://www.google.com/search?newwindow=1&amp;ei=2MT0XrvGGM-vytMP1OyDgAY&amp;q=site%3Alinkedin.com+Kilsis+""Saint""+Saint-Hilaire+Student+Veteran+Recruiter")</f>
        <v>https://www.google.com/search?newwindow=1&amp;ei=2MT0XrvGGM-vytMP1OyDgAY&amp;q=site%3Alinkedin.com+Kilsis+"Saint"+Saint-Hilaire+Student+Veteran+Recruiter</v>
      </c>
      <c r="K38" s="5" t="str">
        <f t="shared" si="1"/>
        <v>Kilsis "Saint" Saint-Hilaire</v>
      </c>
      <c r="L38" s="5" t="str">
        <f t="shared" si="2"/>
        <v>Student Veteran Recruiter</v>
      </c>
      <c r="M38" s="5" t="str">
        <f t="shared" si="3"/>
        <v/>
      </c>
      <c r="N38" s="5" t="str">
        <f t="shared" si="4"/>
        <v>Accenture</v>
      </c>
      <c r="O38" s="5" t="str">
        <f t="shared" si="5"/>
        <v>1 year 6 months in role and company</v>
      </c>
      <c r="P38" s="5" t="str">
        <f t="shared" si="6"/>
        <v>Atlanta</v>
      </c>
      <c r="Q38" s="5" t="str">
        <f t="shared" si="7"/>
        <v>Georgia</v>
      </c>
      <c r="R38" s="5" t="str">
        <f t="shared" si="8"/>
        <v>United States</v>
      </c>
    </row>
    <row r="39">
      <c r="A39" s="8" t="s">
        <v>4712</v>
      </c>
      <c r="B39" s="10" t="s">
        <v>2908</v>
      </c>
      <c r="C39" s="10" t="s">
        <v>2155</v>
      </c>
      <c r="D39" s="10"/>
      <c r="E39" s="10" t="s">
        <v>4659</v>
      </c>
      <c r="F39" s="10" t="s">
        <v>512</v>
      </c>
      <c r="G39" s="11" t="s">
        <v>16</v>
      </c>
      <c r="H39" s="11" t="s">
        <v>17</v>
      </c>
      <c r="I39" s="11" t="s">
        <v>18</v>
      </c>
      <c r="J39" s="9" t="str">
        <f>IFERROR(__xludf.DUMMYFUNCTION("""COMPUTED_VALUE"""),"https://www.google.com/search?newwindow=1&amp;ei=2MT0XrvGGM-vytMP1OyDgAY&amp;q=site%3Alinkedin.com+Kristin+Spivey+Associate+Director,+Campus+Recruiting")</f>
        <v>https://www.google.com/search?newwindow=1&amp;ei=2MT0XrvGGM-vytMP1OyDgAY&amp;q=site%3Alinkedin.com+Kristin+Spivey+Associate+Director,+Campus+Recruiting</v>
      </c>
      <c r="K39" s="5" t="str">
        <f t="shared" si="1"/>
        <v>Kristin Spivey</v>
      </c>
      <c r="L39" s="5" t="str">
        <f t="shared" si="2"/>
        <v>Associate Director, Campus Recruiting</v>
      </c>
      <c r="M39" s="5" t="str">
        <f t="shared" si="3"/>
        <v/>
      </c>
      <c r="N39" s="5" t="str">
        <f t="shared" si="4"/>
        <v>KPMG US</v>
      </c>
      <c r="O39" s="5" t="str">
        <f t="shared" si="5"/>
        <v>1 year 1 month in role</v>
      </c>
      <c r="P39" s="5" t="str">
        <f t="shared" si="6"/>
        <v>Atlanta</v>
      </c>
      <c r="Q39" s="5" t="str">
        <f t="shared" si="7"/>
        <v>Georgia</v>
      </c>
      <c r="R39" s="5" t="str">
        <f t="shared" si="8"/>
        <v>United States</v>
      </c>
    </row>
    <row r="40">
      <c r="A40" s="8" t="s">
        <v>4713</v>
      </c>
      <c r="B40" s="10" t="s">
        <v>4714</v>
      </c>
      <c r="C40" s="10" t="s">
        <v>4715</v>
      </c>
      <c r="D40" s="10"/>
      <c r="E40" s="10" t="s">
        <v>3649</v>
      </c>
      <c r="F40" s="10" t="s">
        <v>441</v>
      </c>
      <c r="G40" s="11" t="s">
        <v>16</v>
      </c>
      <c r="H40" s="11" t="s">
        <v>17</v>
      </c>
      <c r="I40" s="11" t="s">
        <v>18</v>
      </c>
      <c r="J40" s="9" t="str">
        <f>IFERROR(__xludf.DUMMYFUNCTION("""COMPUTED_VALUE"""),"https://www.google.com/search?newwindow=1&amp;ei=2MT0XrvGGM-vytMP1OyDgAY&amp;q=site%3Alinkedin.com+Brittany+Roth+Healy+Campus+Recruiting+Associate+Manager")</f>
        <v>https://www.google.com/search?newwindow=1&amp;ei=2MT0XrvGGM-vytMP1OyDgAY&amp;q=site%3Alinkedin.com+Brittany+Roth+Healy+Campus+Recruiting+Associate+Manager</v>
      </c>
      <c r="K40" s="5" t="str">
        <f t="shared" si="1"/>
        <v>Brittany Roth Healy</v>
      </c>
      <c r="L40" s="5" t="str">
        <f t="shared" si="2"/>
        <v>Campus Recruiting Associate Manager</v>
      </c>
      <c r="M40" s="5" t="str">
        <f t="shared" si="3"/>
        <v/>
      </c>
      <c r="N40" s="5" t="str">
        <f t="shared" si="4"/>
        <v>Accenture</v>
      </c>
      <c r="O40" s="5" t="str">
        <f t="shared" si="5"/>
        <v>1 year 5 months in role and company</v>
      </c>
      <c r="P40" s="5" t="str">
        <f t="shared" si="6"/>
        <v>Atlanta</v>
      </c>
      <c r="Q40" s="5" t="str">
        <f t="shared" si="7"/>
        <v>Georgia</v>
      </c>
      <c r="R40" s="5" t="str">
        <f t="shared" si="8"/>
        <v>United States</v>
      </c>
    </row>
    <row r="41">
      <c r="A41" s="8" t="s">
        <v>4716</v>
      </c>
      <c r="B41" s="10" t="s">
        <v>4717</v>
      </c>
      <c r="C41" s="10" t="s">
        <v>4718</v>
      </c>
      <c r="D41" s="10"/>
      <c r="E41" s="10" t="s">
        <v>4701</v>
      </c>
      <c r="F41" s="10" t="s">
        <v>84</v>
      </c>
      <c r="G41" s="11" t="s">
        <v>16</v>
      </c>
      <c r="H41" s="11" t="s">
        <v>17</v>
      </c>
      <c r="I41" s="11" t="s">
        <v>18</v>
      </c>
      <c r="J41" s="9" t="str">
        <f>IFERROR(__xludf.DUMMYFUNCTION("""COMPUTED_VALUE"""),"https://www.google.com/search?newwindow=1&amp;ei=2MT0XrvGGM-vytMP1OyDgAY&amp;q=site%3Alinkedin.com+Laura+Gallagher+EY+US-Central+Region+Campus+Recruiting+Leader")</f>
        <v>https://www.google.com/search?newwindow=1&amp;ei=2MT0XrvGGM-vytMP1OyDgAY&amp;q=site%3Alinkedin.com+Laura+Gallagher+EY+US-Central+Region+Campus+Recruiting+Leader</v>
      </c>
      <c r="K41" s="5" t="str">
        <f t="shared" si="1"/>
        <v>Laura Gallagher</v>
      </c>
      <c r="L41" s="5" t="str">
        <f t="shared" si="2"/>
        <v>EY US-Central Region Campus Recruiting Leader</v>
      </c>
      <c r="M41" s="5" t="str">
        <f t="shared" si="3"/>
        <v/>
      </c>
      <c r="N41" s="5" t="str">
        <f t="shared" si="4"/>
        <v>EY</v>
      </c>
      <c r="O41" s="5" t="str">
        <f t="shared" si="5"/>
        <v>1 year 5 months in role</v>
      </c>
      <c r="P41" s="5" t="str">
        <f t="shared" si="6"/>
        <v>Atlanta</v>
      </c>
      <c r="Q41" s="5" t="str">
        <f t="shared" si="7"/>
        <v>Georgia</v>
      </c>
      <c r="R41" s="5" t="str">
        <f t="shared" si="8"/>
        <v>United States</v>
      </c>
    </row>
    <row r="42">
      <c r="A42" s="8" t="s">
        <v>4719</v>
      </c>
      <c r="B42" s="10" t="s">
        <v>4720</v>
      </c>
      <c r="C42" s="10" t="s">
        <v>4718</v>
      </c>
      <c r="D42" s="10"/>
      <c r="E42" s="10" t="s">
        <v>4701</v>
      </c>
      <c r="F42" s="10" t="s">
        <v>2252</v>
      </c>
      <c r="G42" s="11" t="s">
        <v>16</v>
      </c>
      <c r="H42" s="11" t="s">
        <v>17</v>
      </c>
      <c r="I42" s="11" t="s">
        <v>18</v>
      </c>
      <c r="J42" s="9" t="str">
        <f>IFERROR(__xludf.DUMMYFUNCTION("""COMPUTED_VALUE"""),"https://www.google.com/search?newwindow=1&amp;ei=2MT0XrvGGM-vytMP1OyDgAY&amp;q=site%3Alinkedin.com+Jessica+Hardeman+National+Associate+Director+-+Campus+Recruiting+Operations")</f>
        <v>https://www.google.com/search?newwindow=1&amp;ei=2MT0XrvGGM-vytMP1OyDgAY&amp;q=site%3Alinkedin.com+Jessica+Hardeman+National+Associate+Director+-+Campus+Recruiting+Operations</v>
      </c>
      <c r="K42" s="5" t="str">
        <f t="shared" si="1"/>
        <v>Jessica Hardeman</v>
      </c>
      <c r="L42" s="5" t="str">
        <f t="shared" si="2"/>
        <v>National Associate Director - Campus Recruiting Operations</v>
      </c>
      <c r="M42" s="5" t="str">
        <f t="shared" si="3"/>
        <v/>
      </c>
      <c r="N42" s="5" t="str">
        <f t="shared" si="4"/>
        <v>KPMG US</v>
      </c>
      <c r="O42" s="5" t="str">
        <f t="shared" si="5"/>
        <v>9 months in role</v>
      </c>
      <c r="P42" s="5" t="str">
        <f t="shared" si="6"/>
        <v>Atlanta</v>
      </c>
      <c r="Q42" s="5" t="str">
        <f t="shared" si="7"/>
        <v>Georgia</v>
      </c>
      <c r="R42" s="5" t="str">
        <f t="shared" si="8"/>
        <v>United States</v>
      </c>
    </row>
    <row r="43">
      <c r="A43" s="8" t="s">
        <v>4721</v>
      </c>
      <c r="B43" s="10" t="s">
        <v>4722</v>
      </c>
      <c r="C43" s="10" t="s">
        <v>4723</v>
      </c>
      <c r="D43" s="10"/>
      <c r="E43" s="10" t="s">
        <v>14</v>
      </c>
      <c r="F43" s="10" t="s">
        <v>574</v>
      </c>
      <c r="G43" s="11" t="s">
        <v>16</v>
      </c>
      <c r="H43" s="11" t="s">
        <v>17</v>
      </c>
      <c r="I43" s="11" t="s">
        <v>18</v>
      </c>
      <c r="J43" s="9" t="str">
        <f>IFERROR(__xludf.DUMMYFUNCTION("""COMPUTED_VALUE"""),"https://www.google.com/search?newwindow=1&amp;ei=2MT0XrvGGM-vytMP1OyDgAY&amp;q=site%3Alinkedin.com+Kathryn+Slaton+Associate+Director,+SE+Campus+Recruiting")</f>
        <v>https://www.google.com/search?newwindow=1&amp;ei=2MT0XrvGGM-vytMP1OyDgAY&amp;q=site%3Alinkedin.com+Kathryn+Slaton+Associate+Director,+SE+Campus+Recruiting</v>
      </c>
      <c r="K43" s="5" t="str">
        <f t="shared" si="1"/>
        <v>Kathryn Slaton</v>
      </c>
      <c r="L43" s="5" t="str">
        <f t="shared" si="2"/>
        <v>Associate Director, SE Campus Recruiting</v>
      </c>
      <c r="M43" s="5" t="str">
        <f t="shared" si="3"/>
        <v/>
      </c>
      <c r="N43" s="5" t="str">
        <f t="shared" si="4"/>
        <v>KPMG</v>
      </c>
      <c r="O43" s="5" t="str">
        <f t="shared" si="5"/>
        <v>9 years 4 months in role</v>
      </c>
      <c r="P43" s="5" t="str">
        <f t="shared" si="6"/>
        <v>Atlanta</v>
      </c>
      <c r="Q43" s="5" t="str">
        <f t="shared" si="7"/>
        <v>Georgia</v>
      </c>
      <c r="R43" s="5" t="str">
        <f t="shared" si="8"/>
        <v>United States</v>
      </c>
    </row>
    <row r="44">
      <c r="A44" s="8" t="s">
        <v>4724</v>
      </c>
      <c r="B44" s="10" t="s">
        <v>2910</v>
      </c>
      <c r="C44" s="10" t="s">
        <v>2911</v>
      </c>
      <c r="D44" s="10"/>
      <c r="E44" s="10" t="s">
        <v>4659</v>
      </c>
      <c r="F44" s="10" t="s">
        <v>277</v>
      </c>
      <c r="G44" s="11" t="s">
        <v>16</v>
      </c>
      <c r="H44" s="11" t="s">
        <v>17</v>
      </c>
      <c r="I44" s="11" t="s">
        <v>18</v>
      </c>
      <c r="J44" s="9" t="str">
        <f>IFERROR(__xludf.DUMMYFUNCTION("""COMPUTED_VALUE"""),"https://www.google.com/search?newwindow=1&amp;ei=2MT0XrvGGM-vytMP1OyDgAY&amp;q=site%3Alinkedin.com+Jessy+Jager+Senior+Campus+Recruiter")</f>
        <v>https://www.google.com/search?newwindow=1&amp;ei=2MT0XrvGGM-vytMP1OyDgAY&amp;q=site%3Alinkedin.com+Jessy+Jager+Senior+Campus+Recruiter</v>
      </c>
      <c r="K44" s="5" t="str">
        <f t="shared" si="1"/>
        <v>Jessy Jager</v>
      </c>
      <c r="L44" s="5" t="str">
        <f t="shared" si="2"/>
        <v>Senior Campus Recruiter</v>
      </c>
      <c r="M44" s="5" t="str">
        <f t="shared" si="3"/>
        <v/>
      </c>
      <c r="N44" s="5" t="str">
        <f t="shared" si="4"/>
        <v>Deloitte</v>
      </c>
      <c r="O44" s="5" t="str">
        <f t="shared" si="5"/>
        <v>8 years 10 months in role and company</v>
      </c>
      <c r="P44" s="5" t="str">
        <f t="shared" si="6"/>
        <v>Atlanta</v>
      </c>
      <c r="Q44" s="5" t="str">
        <f t="shared" si="7"/>
        <v>Georgia</v>
      </c>
      <c r="R44" s="5" t="str">
        <f t="shared" si="8"/>
        <v>United States</v>
      </c>
    </row>
    <row r="45">
      <c r="A45" s="8" t="s">
        <v>4725</v>
      </c>
      <c r="B45" s="12" t="s">
        <v>11</v>
      </c>
      <c r="C45" s="10" t="s">
        <v>12</v>
      </c>
      <c r="D45" s="10"/>
      <c r="E45" s="10" t="s">
        <v>14</v>
      </c>
      <c r="F45" s="10" t="s">
        <v>15</v>
      </c>
      <c r="G45" s="11" t="s">
        <v>16</v>
      </c>
      <c r="H45" s="11" t="s">
        <v>17</v>
      </c>
      <c r="I45" s="11" t="s">
        <v>18</v>
      </c>
      <c r="J45" s="9" t="str">
        <f>IFERROR(__xludf.DUMMYFUNCTION("""COMPUTED_VALUE"""),"https://www.google.com/search?newwindow=1&amp;ei=2MT0XrvGGM-vytMP1OyDgAY&amp;q=site%3Alinkedin.com+Holly+Thomas+National+Director,+Tax+Campus+Recruiting+Strategy+and+East+Region+Director+for+Audit+and+Tax")</f>
        <v>https://www.google.com/search?newwindow=1&amp;ei=2MT0XrvGGM-vytMP1OyDgAY&amp;q=site%3Alinkedin.com+Holly+Thomas+National+Director,+Tax+Campus+Recruiting+Strategy+and+East+Region+Director+for+Audit+and+Tax</v>
      </c>
      <c r="K45" s="5" t="str">
        <f t="shared" si="1"/>
        <v>Holly Thomas</v>
      </c>
      <c r="L45" s="5" t="str">
        <f t="shared" si="2"/>
        <v>National Director, Tax Campus Recruiting Strategy and East Region Director for Audit and Tax</v>
      </c>
      <c r="M45" s="5" t="str">
        <f t="shared" si="3"/>
        <v/>
      </c>
      <c r="N45" s="5" t="str">
        <f t="shared" si="4"/>
        <v>KPMG</v>
      </c>
      <c r="O45" s="5" t="str">
        <f t="shared" si="5"/>
        <v>8 years 4 months in role and company</v>
      </c>
      <c r="P45" s="5" t="str">
        <f t="shared" si="6"/>
        <v>Atlanta</v>
      </c>
      <c r="Q45" s="5" t="str">
        <f t="shared" si="7"/>
        <v>Georgia</v>
      </c>
      <c r="R45" s="5" t="str">
        <f t="shared" si="8"/>
        <v>United States</v>
      </c>
    </row>
    <row r="46">
      <c r="A46" s="8" t="s">
        <v>4726</v>
      </c>
      <c r="B46" s="12" t="s">
        <v>4727</v>
      </c>
      <c r="C46" s="10" t="s">
        <v>4728</v>
      </c>
      <c r="D46" s="10"/>
      <c r="E46" s="10" t="s">
        <v>4701</v>
      </c>
      <c r="F46" s="10" t="s">
        <v>106</v>
      </c>
      <c r="G46" s="11" t="s">
        <v>16</v>
      </c>
      <c r="H46" s="11" t="s">
        <v>17</v>
      </c>
      <c r="I46" s="11" t="s">
        <v>18</v>
      </c>
      <c r="J46" s="9" t="str">
        <f>IFERROR(__xludf.DUMMYFUNCTION("""COMPUTED_VALUE"""),"https://www.google.com/search?newwindow=1&amp;ei=2MT0XrvGGM-vytMP1OyDgAY&amp;q=site%3Alinkedin.com+Sarah+Hodges+Associate,+Campus+Recruiting")</f>
        <v>https://www.google.com/search?newwindow=1&amp;ei=2MT0XrvGGM-vytMP1OyDgAY&amp;q=site%3Alinkedin.com+Sarah+Hodges+Associate,+Campus+Recruiting</v>
      </c>
      <c r="K46" s="5" t="str">
        <f t="shared" si="1"/>
        <v>Sarah Hodges</v>
      </c>
      <c r="L46" s="5" t="str">
        <f t="shared" si="2"/>
        <v>Associate, Campus Recruiting</v>
      </c>
      <c r="M46" s="5" t="str">
        <f t="shared" si="3"/>
        <v/>
      </c>
      <c r="N46" s="5" t="str">
        <f t="shared" si="4"/>
        <v>KPMG</v>
      </c>
      <c r="O46" s="5" t="str">
        <f t="shared" si="5"/>
        <v>1 year 4 months in role and company</v>
      </c>
      <c r="P46" s="5" t="str">
        <f t="shared" si="6"/>
        <v>Atlanta</v>
      </c>
      <c r="Q46" s="5" t="str">
        <f t="shared" si="7"/>
        <v>Georgia</v>
      </c>
      <c r="R46" s="5" t="str">
        <f t="shared" si="8"/>
        <v>United States</v>
      </c>
    </row>
    <row r="47">
      <c r="A47" s="8" t="s">
        <v>4729</v>
      </c>
      <c r="B47" s="12" t="s">
        <v>4730</v>
      </c>
      <c r="C47" s="10" t="s">
        <v>4731</v>
      </c>
      <c r="D47" s="10"/>
      <c r="E47" s="10" t="s">
        <v>4659</v>
      </c>
      <c r="F47" s="10" t="s">
        <v>496</v>
      </c>
      <c r="G47" s="11" t="s">
        <v>16</v>
      </c>
      <c r="H47" s="11" t="s">
        <v>17</v>
      </c>
      <c r="I47" s="11" t="s">
        <v>18</v>
      </c>
      <c r="J47" s="9" t="str">
        <f>IFERROR(__xludf.DUMMYFUNCTION("""COMPUTED_VALUE"""),"https://www.google.com/search?newwindow=1&amp;ei=2MT0XrvGGM-vytMP1OyDgAY&amp;q=site%3Alinkedin.com+Carly+Williams+National+Campus+Recruiting+Leader")</f>
        <v>https://www.google.com/search?newwindow=1&amp;ei=2MT0XrvGGM-vytMP1OyDgAY&amp;q=site%3Alinkedin.com+Carly+Williams+National+Campus+Recruiting+Leader</v>
      </c>
      <c r="K47" s="5" t="str">
        <f t="shared" si="1"/>
        <v>Carly Williams</v>
      </c>
      <c r="L47" s="5" t="str">
        <f t="shared" si="2"/>
        <v>National Campus Recruiting Leader</v>
      </c>
      <c r="M47" s="5" t="str">
        <f t="shared" si="3"/>
        <v/>
      </c>
      <c r="N47" s="5" t="str">
        <f t="shared" si="4"/>
        <v>PwC</v>
      </c>
      <c r="O47" s="5" t="str">
        <f t="shared" si="5"/>
        <v>3 years 7 months in role</v>
      </c>
      <c r="P47" s="5" t="str">
        <f t="shared" si="6"/>
        <v>Atlanta</v>
      </c>
      <c r="Q47" s="5" t="str">
        <f t="shared" si="7"/>
        <v>Georgia</v>
      </c>
      <c r="R47" s="5" t="str">
        <f t="shared" si="8"/>
        <v>United States</v>
      </c>
    </row>
    <row r="48">
      <c r="A48" s="8" t="s">
        <v>4732</v>
      </c>
      <c r="B48" s="10" t="s">
        <v>4733</v>
      </c>
      <c r="C48" s="10" t="s">
        <v>4734</v>
      </c>
      <c r="D48" s="10"/>
      <c r="E48" s="10" t="s">
        <v>2839</v>
      </c>
      <c r="F48" s="10" t="s">
        <v>4735</v>
      </c>
      <c r="G48" s="11" t="s">
        <v>16</v>
      </c>
      <c r="H48" s="11" t="s">
        <v>17</v>
      </c>
      <c r="I48" s="11" t="s">
        <v>18</v>
      </c>
      <c r="J48" s="9" t="str">
        <f>IFERROR(__xludf.DUMMYFUNCTION("""COMPUTED_VALUE"""),"https://www.google.com/search?newwindow=1&amp;ei=2MT0XrvGGM-vytMP1OyDgAY&amp;q=site%3Alinkedin.com+Betsy+Davis+Senior+Campus+Recruiter")</f>
        <v>https://www.google.com/search?newwindow=1&amp;ei=2MT0XrvGGM-vytMP1OyDgAY&amp;q=site%3Alinkedin.com+Betsy+Davis+Senior+Campus+Recruiter</v>
      </c>
      <c r="K48" s="5" t="str">
        <f t="shared" si="1"/>
        <v>Betsy Davis</v>
      </c>
      <c r="L48" s="5" t="str">
        <f t="shared" si="2"/>
        <v>Senior Campus Recruiter</v>
      </c>
      <c r="M48" s="5" t="str">
        <f t="shared" si="3"/>
        <v/>
      </c>
      <c r="N48" s="5" t="str">
        <f t="shared" si="4"/>
        <v>Accenture</v>
      </c>
      <c r="O48" s="5" t="str">
        <f t="shared" si="5"/>
        <v>5 years 6 months in role</v>
      </c>
      <c r="P48" s="5" t="str">
        <f t="shared" si="6"/>
        <v>Atlanta</v>
      </c>
      <c r="Q48" s="5" t="str">
        <f t="shared" si="7"/>
        <v>Georgia</v>
      </c>
      <c r="R48" s="5" t="str">
        <f t="shared" si="8"/>
        <v>United States</v>
      </c>
    </row>
    <row r="49">
      <c r="A49" s="8" t="s">
        <v>4736</v>
      </c>
      <c r="B49" s="10" t="s">
        <v>1248</v>
      </c>
      <c r="C49" s="10" t="s">
        <v>32</v>
      </c>
      <c r="D49" s="10"/>
      <c r="E49" s="10" t="s">
        <v>1233</v>
      </c>
      <c r="F49" s="10" t="s">
        <v>1249</v>
      </c>
      <c r="G49" s="11" t="s">
        <v>16</v>
      </c>
      <c r="H49" s="11" t="s">
        <v>17</v>
      </c>
      <c r="I49" s="11" t="s">
        <v>18</v>
      </c>
      <c r="J49" s="9" t="str">
        <f>IFERROR(__xludf.DUMMYFUNCTION("""COMPUTED_VALUE"""),"https://www.google.com/search?newwindow=1&amp;ei=2MT0XrvGGM-vytMP1OyDgAY&amp;q=site%3Alinkedin.com+Madison+Ford+Campus+Recruiting+Coordinator")</f>
        <v>https://www.google.com/search?newwindow=1&amp;ei=2MT0XrvGGM-vytMP1OyDgAY&amp;q=site%3Alinkedin.com+Madison+Ford+Campus+Recruiting+Coordinator</v>
      </c>
      <c r="K49" s="5" t="str">
        <f t="shared" si="1"/>
        <v>Madison Ford</v>
      </c>
      <c r="L49" s="5" t="str">
        <f t="shared" si="2"/>
        <v>Campus Recruiting Coordinator</v>
      </c>
      <c r="M49" s="5" t="str">
        <f t="shared" si="3"/>
        <v/>
      </c>
      <c r="N49" s="5" t="str">
        <f t="shared" si="4"/>
        <v>Deloitte</v>
      </c>
      <c r="O49" s="5" t="str">
        <f t="shared" si="5"/>
        <v>1 year 9 months in role and company</v>
      </c>
      <c r="P49" s="5" t="str">
        <f t="shared" si="6"/>
        <v>Atlanta</v>
      </c>
      <c r="Q49" s="5" t="str">
        <f t="shared" si="7"/>
        <v>Georgia</v>
      </c>
      <c r="R49" s="5" t="str">
        <f t="shared" si="8"/>
        <v>United States</v>
      </c>
    </row>
    <row r="50">
      <c r="A50" s="8" t="s">
        <v>4737</v>
      </c>
      <c r="B50" s="10" t="s">
        <v>4738</v>
      </c>
      <c r="C50" s="10" t="s">
        <v>4739</v>
      </c>
      <c r="D50" s="10"/>
      <c r="E50" s="10" t="s">
        <v>2839</v>
      </c>
      <c r="F50" s="10" t="s">
        <v>3022</v>
      </c>
      <c r="G50" s="11" t="s">
        <v>16</v>
      </c>
      <c r="H50" s="11" t="s">
        <v>17</v>
      </c>
      <c r="I50" s="11" t="s">
        <v>18</v>
      </c>
      <c r="J50" s="9" t="str">
        <f>IFERROR(__xludf.DUMMYFUNCTION("""COMPUTED_VALUE"""),"https://www.google.com/search?newwindow=1&amp;ei=2MT0XrvGGM-vytMP1OyDgAY&amp;q=site%3Alinkedin.com+Kimberley+Gibson+Campus+Recruiting+Coordinator")</f>
        <v>https://www.google.com/search?newwindow=1&amp;ei=2MT0XrvGGM-vytMP1OyDgAY&amp;q=site%3Alinkedin.com+Kimberley+Gibson+Campus+Recruiting+Coordinator</v>
      </c>
      <c r="K50" s="5" t="str">
        <f t="shared" si="1"/>
        <v>Kimberley Gibson</v>
      </c>
      <c r="L50" s="5" t="str">
        <f t="shared" si="2"/>
        <v>Campus Recruiting Coordinator</v>
      </c>
      <c r="M50" s="5" t="str">
        <f t="shared" si="3"/>
        <v/>
      </c>
      <c r="N50" s="5" t="str">
        <f t="shared" si="4"/>
        <v>Ernst &amp; Young</v>
      </c>
      <c r="O50" s="5" t="str">
        <f t="shared" si="5"/>
        <v/>
      </c>
      <c r="P50" s="5" t="str">
        <f t="shared" si="6"/>
        <v>Atlanta</v>
      </c>
      <c r="Q50" s="5" t="str">
        <f t="shared" si="7"/>
        <v>Georgia</v>
      </c>
      <c r="R50" s="5" t="str">
        <f t="shared" si="8"/>
        <v>United States</v>
      </c>
    </row>
    <row r="51">
      <c r="A51" s="8" t="s">
        <v>4740</v>
      </c>
      <c r="B51" s="10" t="s">
        <v>4741</v>
      </c>
      <c r="C51" s="10" t="s">
        <v>4742</v>
      </c>
      <c r="D51" s="10"/>
      <c r="E51" s="10" t="s">
        <v>2839</v>
      </c>
      <c r="F51" s="10" t="s">
        <v>651</v>
      </c>
      <c r="G51" s="11" t="s">
        <v>16</v>
      </c>
      <c r="H51" s="11" t="s">
        <v>17</v>
      </c>
      <c r="I51" s="11" t="s">
        <v>18</v>
      </c>
      <c r="J51" s="9" t="str">
        <f>IFERROR(__xludf.DUMMYFUNCTION("""COMPUTED_VALUE"""),"https://www.google.com/search?newwindow=1&amp;ei=2MT0XrvGGM-vytMP1OyDgAY&amp;q=site%3Alinkedin.com+Beth+Bunn+Recruitment+Manager")</f>
        <v>https://www.google.com/search?newwindow=1&amp;ei=2MT0XrvGGM-vytMP1OyDgAY&amp;q=site%3Alinkedin.com+Beth+Bunn+Recruitment+Manager</v>
      </c>
      <c r="K51" s="5" t="str">
        <f t="shared" si="1"/>
        <v>Beth Bunn</v>
      </c>
      <c r="L51" s="5" t="str">
        <f t="shared" si="2"/>
        <v>Recruitment Manager</v>
      </c>
      <c r="M51" s="5" t="str">
        <f t="shared" si="3"/>
        <v/>
      </c>
      <c r="N51" s="5" t="str">
        <f t="shared" si="4"/>
        <v>University of East Anglia</v>
      </c>
      <c r="O51" s="5" t="str">
        <f t="shared" si="5"/>
        <v>1 year 11 months in role</v>
      </c>
      <c r="P51" s="5" t="str">
        <f t="shared" si="6"/>
        <v>Attleborough</v>
      </c>
      <c r="Q51" s="5" t="str">
        <f t="shared" si="7"/>
        <v>England</v>
      </c>
      <c r="R51" s="5" t="str">
        <f t="shared" si="8"/>
        <v>United Kingdom</v>
      </c>
    </row>
    <row r="52">
      <c r="A52" s="8" t="s">
        <v>4743</v>
      </c>
      <c r="B52" s="10" t="s">
        <v>4744</v>
      </c>
      <c r="C52" s="10" t="s">
        <v>4745</v>
      </c>
      <c r="D52" s="10"/>
      <c r="E52" s="10" t="s">
        <v>3649</v>
      </c>
      <c r="F52" s="10" t="s">
        <v>958</v>
      </c>
      <c r="G52" s="11" t="s">
        <v>16</v>
      </c>
      <c r="H52" s="11" t="s">
        <v>17</v>
      </c>
      <c r="I52" s="11" t="s">
        <v>18</v>
      </c>
      <c r="J52" s="9" t="str">
        <f>IFERROR(__xludf.DUMMYFUNCTION("""COMPUTED_VALUE"""),"https://www.google.com/search?newwindow=1&amp;ei=2MT0XrvGGM-vytMP1OyDgAY&amp;q=site%3Alinkedin.com+Maryam+Goharinejad+Campus+Recruiting+Consultant")</f>
        <v>https://www.google.com/search?newwindow=1&amp;ei=2MT0XrvGGM-vytMP1OyDgAY&amp;q=site%3Alinkedin.com+Maryam+Goharinejad+Campus+Recruiting+Consultant</v>
      </c>
      <c r="K52" s="5" t="str">
        <f t="shared" si="1"/>
        <v>Maryam Goharinejad</v>
      </c>
      <c r="L52" s="5" t="str">
        <f t="shared" si="2"/>
        <v>Campus Recruiting Consultant</v>
      </c>
      <c r="M52" s="5" t="str">
        <f t="shared" si="3"/>
        <v/>
      </c>
      <c r="N52" s="5" t="str">
        <f t="shared" si="4"/>
        <v>Sun Life Financial</v>
      </c>
      <c r="O52" s="5" t="str">
        <f t="shared" si="5"/>
        <v>2 years 3 months in role and company</v>
      </c>
      <c r="P52" s="5" t="str">
        <f t="shared" si="6"/>
        <v>Aurora</v>
      </c>
      <c r="Q52" s="5" t="str">
        <f t="shared" si="7"/>
        <v>Ontario</v>
      </c>
      <c r="R52" s="5" t="str">
        <f t="shared" si="8"/>
        <v>Canada</v>
      </c>
    </row>
    <row r="53">
      <c r="A53" s="8" t="s">
        <v>4746</v>
      </c>
      <c r="B53" s="10" t="s">
        <v>31</v>
      </c>
      <c r="C53" s="10" t="s">
        <v>32</v>
      </c>
      <c r="D53" s="10"/>
      <c r="E53" s="10" t="s">
        <v>14</v>
      </c>
      <c r="F53" s="10" t="s">
        <v>4033</v>
      </c>
      <c r="G53" s="11" t="s">
        <v>16</v>
      </c>
      <c r="H53" s="11" t="s">
        <v>17</v>
      </c>
      <c r="I53" s="11" t="s">
        <v>18</v>
      </c>
      <c r="J53" s="9" t="str">
        <f>IFERROR(__xludf.DUMMYFUNCTION("""COMPUTED_VALUE"""),"https://www.google.com/search?newwindow=1&amp;ei=2MT0XrvGGM-vytMP1OyDgAY&amp;q=site%3Alinkedin.com+Jessica+J.+University+Recruiting+Campus+Manager")</f>
        <v>https://www.google.com/search?newwindow=1&amp;ei=2MT0XrvGGM-vytMP1OyDgAY&amp;q=site%3Alinkedin.com+Jessica+J.+University+Recruiting+Campus+Manager</v>
      </c>
      <c r="K53" s="5" t="str">
        <f t="shared" si="1"/>
        <v>Jessica J.</v>
      </c>
      <c r="L53" s="5" t="str">
        <f t="shared" si="2"/>
        <v>University Recruiting Campus Manager</v>
      </c>
      <c r="M53" s="5" t="str">
        <f t="shared" si="3"/>
        <v/>
      </c>
      <c r="N53" s="5" t="str">
        <f t="shared" si="4"/>
        <v>NVIDIA</v>
      </c>
      <c r="O53" s="5" t="str">
        <f t="shared" si="5"/>
        <v>2 months in role and company</v>
      </c>
      <c r="P53" s="5" t="str">
        <f t="shared" si="6"/>
        <v>Austin</v>
      </c>
      <c r="Q53" s="5" t="str">
        <f t="shared" si="7"/>
        <v>Texas</v>
      </c>
      <c r="R53" s="5" t="str">
        <f t="shared" si="8"/>
        <v>United States</v>
      </c>
    </row>
    <row r="54">
      <c r="A54" s="8" t="s">
        <v>4747</v>
      </c>
      <c r="B54" s="10" t="s">
        <v>4748</v>
      </c>
      <c r="C54" s="10" t="s">
        <v>4749</v>
      </c>
      <c r="D54" s="10"/>
      <c r="E54" s="10" t="s">
        <v>1233</v>
      </c>
      <c r="F54" s="10" t="s">
        <v>29</v>
      </c>
      <c r="G54" s="11" t="s">
        <v>16</v>
      </c>
      <c r="H54" s="11" t="s">
        <v>17</v>
      </c>
      <c r="I54" s="11" t="s">
        <v>18</v>
      </c>
      <c r="J54" s="9" t="str">
        <f>IFERROR(__xludf.DUMMYFUNCTION("""COMPUTED_VALUE"""),"https://www.google.com/search?newwindow=1&amp;ei=2MT0XrvGGM-vytMP1OyDgAY&amp;q=site%3Alinkedin.com+Hailey+Pyle+Campus+Recruiting+Specialist")</f>
        <v>https://www.google.com/search?newwindow=1&amp;ei=2MT0XrvGGM-vytMP1OyDgAY&amp;q=site%3Alinkedin.com+Hailey+Pyle+Campus+Recruiting+Specialist</v>
      </c>
      <c r="K54" s="5" t="str">
        <f t="shared" si="1"/>
        <v>Hailey Pyle</v>
      </c>
      <c r="L54" s="5" t="str">
        <f t="shared" si="2"/>
        <v>Campus Recruiting Specialist</v>
      </c>
      <c r="M54" s="5" t="str">
        <f t="shared" si="3"/>
        <v/>
      </c>
      <c r="N54" s="5" t="str">
        <f t="shared" si="4"/>
        <v>Deloitte</v>
      </c>
      <c r="O54" s="5" t="str">
        <f t="shared" si="5"/>
        <v>1 year 4 months in role and company</v>
      </c>
      <c r="P54" s="5" t="str">
        <f t="shared" si="6"/>
        <v>Austin</v>
      </c>
      <c r="Q54" s="5" t="str">
        <f t="shared" si="7"/>
        <v>Texas</v>
      </c>
      <c r="R54" s="5" t="str">
        <f t="shared" si="8"/>
        <v>United States</v>
      </c>
    </row>
    <row r="55">
      <c r="A55" s="8" t="s">
        <v>4750</v>
      </c>
      <c r="B55" s="12" t="s">
        <v>4751</v>
      </c>
      <c r="C55" s="10" t="s">
        <v>4749</v>
      </c>
      <c r="D55" s="10"/>
      <c r="E55" s="10" t="s">
        <v>1560</v>
      </c>
      <c r="F55" s="10"/>
      <c r="G55" s="11" t="s">
        <v>16</v>
      </c>
      <c r="H55" s="11" t="s">
        <v>17</v>
      </c>
      <c r="I55" s="11" t="s">
        <v>18</v>
      </c>
      <c r="J55" s="9" t="str">
        <f>IFERROR(__xludf.DUMMYFUNCTION("""COMPUTED_VALUE"""),"https://www.google.com/search?newwindow=1&amp;ei=2MT0XrvGGM-vytMP1OyDgAY&amp;q=site%3Alinkedin.com+Fabian+Figi+Head+of+Campus+Channels")</f>
        <v>https://www.google.com/search?newwindow=1&amp;ei=2MT0XrvGGM-vytMP1OyDgAY&amp;q=site%3Alinkedin.com+Fabian+Figi+Head+of+Campus+Channels</v>
      </c>
      <c r="K55" s="5" t="str">
        <f t="shared" si="1"/>
        <v>Fabian Figi</v>
      </c>
      <c r="L55" s="5" t="str">
        <f t="shared" si="2"/>
        <v>Head of Campus Channels</v>
      </c>
      <c r="M55" s="5" t="str">
        <f t="shared" si="3"/>
        <v/>
      </c>
      <c r="N55" s="5" t="str">
        <f t="shared" si="4"/>
        <v>Google</v>
      </c>
      <c r="O55" s="5" t="str">
        <f t="shared" si="5"/>
        <v>1 year 6 months in role</v>
      </c>
      <c r="P55" s="5" t="str">
        <f t="shared" si="6"/>
        <v>Austin</v>
      </c>
      <c r="Q55" s="5" t="str">
        <f t="shared" si="7"/>
        <v>Texas</v>
      </c>
      <c r="R55" s="5" t="str">
        <f t="shared" si="8"/>
        <v>United States</v>
      </c>
    </row>
    <row r="56">
      <c r="A56" s="8" t="s">
        <v>4752</v>
      </c>
      <c r="B56" s="10" t="s">
        <v>4753</v>
      </c>
      <c r="C56" s="10" t="s">
        <v>4754</v>
      </c>
      <c r="D56" s="10"/>
      <c r="E56" s="10" t="s">
        <v>4755</v>
      </c>
      <c r="F56" s="10" t="s">
        <v>774</v>
      </c>
      <c r="G56" s="11" t="s">
        <v>4756</v>
      </c>
      <c r="H56" s="11" t="s">
        <v>4757</v>
      </c>
      <c r="I56" s="11" t="s">
        <v>4607</v>
      </c>
      <c r="J56" s="9" t="str">
        <f>IFERROR(__xludf.DUMMYFUNCTION("""COMPUTED_VALUE"""),"https://www.google.com/search?newwindow=1&amp;ei=2MT0XrvGGM-vytMP1OyDgAY&amp;q=site%3Alinkedin.com+Trisha+Maberly+Lead+Campus+Recruiting+Specialist")</f>
        <v>https://www.google.com/search?newwindow=1&amp;ei=2MT0XrvGGM-vytMP1OyDgAY&amp;q=site%3Alinkedin.com+Trisha+Maberly+Lead+Campus+Recruiting+Specialist</v>
      </c>
      <c r="K56" s="5" t="str">
        <f t="shared" si="1"/>
        <v>Trisha Maberly</v>
      </c>
      <c r="L56" s="5" t="str">
        <f t="shared" si="2"/>
        <v>Lead Campus Recruiting Specialist</v>
      </c>
      <c r="M56" s="5" t="str">
        <f t="shared" si="3"/>
        <v/>
      </c>
      <c r="N56" s="5" t="str">
        <f t="shared" si="4"/>
        <v>Deloitte</v>
      </c>
      <c r="O56" s="5" t="str">
        <f t="shared" si="5"/>
        <v>8 years 2 months in role and company</v>
      </c>
      <c r="P56" s="5" t="str">
        <f t="shared" si="6"/>
        <v>Austin</v>
      </c>
      <c r="Q56" s="5" t="str">
        <f t="shared" si="7"/>
        <v>Texas</v>
      </c>
      <c r="R56" s="5" t="str">
        <f t="shared" si="8"/>
        <v>United States</v>
      </c>
    </row>
    <row r="57">
      <c r="A57" s="8" t="s">
        <v>4758</v>
      </c>
      <c r="B57" s="10" t="s">
        <v>4759</v>
      </c>
      <c r="C57" s="10" t="s">
        <v>4560</v>
      </c>
      <c r="D57" s="10"/>
      <c r="E57" s="10" t="s">
        <v>4760</v>
      </c>
      <c r="F57" s="10" t="s">
        <v>182</v>
      </c>
      <c r="G57" s="11" t="s">
        <v>229</v>
      </c>
      <c r="H57" s="11" t="s">
        <v>4638</v>
      </c>
      <c r="I57" s="11" t="s">
        <v>4600</v>
      </c>
      <c r="J57" s="9" t="str">
        <f>IFERROR(__xludf.DUMMYFUNCTION("""COMPUTED_VALUE"""),"https://www.google.com/search?newwindow=1&amp;ei=2MT0XrvGGM-vytMP1OyDgAY&amp;q=site%3Alinkedin.com+Molly+Haas+Recruiter,+Student+Programs")</f>
        <v>https://www.google.com/search?newwindow=1&amp;ei=2MT0XrvGGM-vytMP1OyDgAY&amp;q=site%3Alinkedin.com+Molly+Haas+Recruiter,+Student+Programs</v>
      </c>
      <c r="K57" s="5" t="str">
        <f t="shared" si="1"/>
        <v>Molly Haas</v>
      </c>
      <c r="L57" s="5" t="str">
        <f t="shared" si="2"/>
        <v>Recruiter, Student Programs</v>
      </c>
      <c r="M57" s="5" t="str">
        <f t="shared" si="3"/>
        <v/>
      </c>
      <c r="N57" s="5" t="str">
        <f t="shared" si="4"/>
        <v>Amazon</v>
      </c>
      <c r="O57" s="5" t="str">
        <f t="shared" si="5"/>
        <v>5 months in role and company</v>
      </c>
      <c r="P57" s="5" t="str">
        <f t="shared" si="6"/>
        <v>Austin</v>
      </c>
      <c r="Q57" s="5" t="str">
        <f t="shared" si="7"/>
        <v>Texas</v>
      </c>
      <c r="R57" s="5" t="str">
        <f t="shared" si="8"/>
        <v>United States</v>
      </c>
    </row>
    <row r="58">
      <c r="A58" s="8" t="s">
        <v>4758</v>
      </c>
      <c r="B58" s="10" t="s">
        <v>4759</v>
      </c>
      <c r="C58" s="10" t="s">
        <v>4560</v>
      </c>
      <c r="D58" s="10"/>
      <c r="E58" s="10" t="s">
        <v>4760</v>
      </c>
      <c r="F58" s="10" t="s">
        <v>182</v>
      </c>
      <c r="G58" s="11" t="s">
        <v>229</v>
      </c>
      <c r="H58" s="11" t="s">
        <v>4638</v>
      </c>
      <c r="I58" s="11" t="s">
        <v>4600</v>
      </c>
      <c r="J58" s="9" t="str">
        <f>IFERROR(__xludf.DUMMYFUNCTION("""COMPUTED_VALUE"""),"https://www.google.com/search?newwindow=1&amp;ei=2MT0XrvGGM-vytMP1OyDgAY&amp;q=site%3Alinkedin.com+Teryl+Booth+Campus+Recruiting+Manager")</f>
        <v>https://www.google.com/search?newwindow=1&amp;ei=2MT0XrvGGM-vytMP1OyDgAY&amp;q=site%3Alinkedin.com+Teryl+Booth+Campus+Recruiting+Manager</v>
      </c>
      <c r="K58" s="5" t="str">
        <f t="shared" si="1"/>
        <v>Teryl Booth</v>
      </c>
      <c r="L58" s="5" t="str">
        <f t="shared" si="2"/>
        <v>Campus Recruiting Manager</v>
      </c>
      <c r="M58" s="5" t="str">
        <f t="shared" si="3"/>
        <v/>
      </c>
      <c r="N58" s="5" t="str">
        <f t="shared" si="4"/>
        <v>PwC</v>
      </c>
      <c r="O58" s="5" t="str">
        <f t="shared" si="5"/>
        <v/>
      </c>
      <c r="P58" s="5" t="str">
        <f t="shared" si="6"/>
        <v>Austin</v>
      </c>
      <c r="Q58" s="5" t="str">
        <f t="shared" si="7"/>
        <v>Texas</v>
      </c>
      <c r="R58" s="5" t="str">
        <f t="shared" si="8"/>
        <v>United States</v>
      </c>
    </row>
    <row r="59">
      <c r="A59" s="8" t="s">
        <v>4761</v>
      </c>
      <c r="B59" s="10" t="s">
        <v>3509</v>
      </c>
      <c r="C59" s="10" t="s">
        <v>800</v>
      </c>
      <c r="D59" s="10"/>
      <c r="E59" s="10" t="s">
        <v>3510</v>
      </c>
      <c r="F59" s="10" t="s">
        <v>237</v>
      </c>
      <c r="G59" s="11" t="s">
        <v>37</v>
      </c>
      <c r="H59" s="11" t="s">
        <v>38</v>
      </c>
      <c r="I59" s="11" t="s">
        <v>18</v>
      </c>
      <c r="J59" s="9" t="str">
        <f>IFERROR(__xludf.DUMMYFUNCTION("""COMPUTED_VALUE"""),"https://www.google.com/search?newwindow=1&amp;ei=2MT0XrvGGM-vytMP1OyDgAY&amp;q=site%3Alinkedin.com+Jane+Adeosun+Associate,+Campus+Recruiting")</f>
        <v>https://www.google.com/search?newwindow=1&amp;ei=2MT0XrvGGM-vytMP1OyDgAY&amp;q=site%3Alinkedin.com+Jane+Adeosun+Associate,+Campus+Recruiting</v>
      </c>
      <c r="K59" s="5" t="str">
        <f t="shared" si="1"/>
        <v>Jane Adeosun</v>
      </c>
      <c r="L59" s="5" t="str">
        <f t="shared" si="2"/>
        <v>Associate, Campus Recruiting</v>
      </c>
      <c r="M59" s="5" t="str">
        <f t="shared" si="3"/>
        <v/>
      </c>
      <c r="N59" s="5" t="str">
        <f t="shared" si="4"/>
        <v>KPMG US</v>
      </c>
      <c r="O59" s="5" t="str">
        <f t="shared" si="5"/>
        <v>9 months in role and company</v>
      </c>
      <c r="P59" s="5" t="str">
        <f t="shared" si="6"/>
        <v>Baltimore</v>
      </c>
      <c r="Q59" s="5" t="str">
        <f t="shared" si="7"/>
        <v>Maryland</v>
      </c>
      <c r="R59" s="5" t="str">
        <f t="shared" si="8"/>
        <v>United States</v>
      </c>
    </row>
    <row r="60">
      <c r="A60" s="8" t="s">
        <v>4762</v>
      </c>
      <c r="B60" s="10" t="s">
        <v>4763</v>
      </c>
      <c r="C60" s="10" t="s">
        <v>1378</v>
      </c>
      <c r="D60" s="10"/>
      <c r="E60" s="10" t="s">
        <v>1233</v>
      </c>
      <c r="F60" s="10" t="s">
        <v>651</v>
      </c>
      <c r="G60" s="11" t="s">
        <v>37</v>
      </c>
      <c r="H60" s="11" t="s">
        <v>38</v>
      </c>
      <c r="I60" s="11" t="s">
        <v>18</v>
      </c>
      <c r="J60" s="9" t="str">
        <f>IFERROR(__xludf.DUMMYFUNCTION("""COMPUTED_VALUE"""),"https://www.google.com/search?newwindow=1&amp;ei=2MT0XrvGGM-vytMP1OyDgAY&amp;q=site%3Alinkedin.com+Sarah+Harari+Manager,+Campus+Recruiting")</f>
        <v>https://www.google.com/search?newwindow=1&amp;ei=2MT0XrvGGM-vytMP1OyDgAY&amp;q=site%3Alinkedin.com+Sarah+Harari+Manager,+Campus+Recruiting</v>
      </c>
      <c r="K60" s="5" t="str">
        <f t="shared" si="1"/>
        <v>Sarah Harari</v>
      </c>
      <c r="L60" s="5" t="str">
        <f t="shared" si="2"/>
        <v>Manager, Campus Recruiting</v>
      </c>
      <c r="M60" s="5" t="str">
        <f t="shared" si="3"/>
        <v/>
      </c>
      <c r="N60" s="5" t="str">
        <f t="shared" si="4"/>
        <v>KPMG</v>
      </c>
      <c r="O60" s="5" t="str">
        <f t="shared" si="5"/>
        <v>7 years  in role and company</v>
      </c>
      <c r="P60" s="5" t="str">
        <f t="shared" si="6"/>
        <v>Baltimore</v>
      </c>
      <c r="Q60" s="5" t="str">
        <f t="shared" si="7"/>
        <v>Maryland</v>
      </c>
      <c r="R60" s="5" t="str">
        <f t="shared" si="8"/>
        <v>United States</v>
      </c>
    </row>
    <row r="61">
      <c r="A61" s="8" t="s">
        <v>4764</v>
      </c>
      <c r="B61" s="10" t="s">
        <v>4765</v>
      </c>
      <c r="C61" s="10" t="s">
        <v>4766</v>
      </c>
      <c r="D61" s="10"/>
      <c r="E61" s="10" t="s">
        <v>2349</v>
      </c>
      <c r="F61" s="10" t="s">
        <v>217</v>
      </c>
      <c r="G61" s="11" t="s">
        <v>37</v>
      </c>
      <c r="H61" s="11" t="s">
        <v>38</v>
      </c>
      <c r="I61" s="11" t="s">
        <v>18</v>
      </c>
      <c r="J61" s="9" t="str">
        <f>IFERROR(__xludf.DUMMYFUNCTION("""COMPUTED_VALUE"""),"https://www.google.com/search?newwindow=1&amp;ei=2MT0XrvGGM-vytMP1OyDgAY&amp;q=site%3Alinkedin.com+Sheona+Morrison+Manager,+Student+Leadership+and+Transition+Programs")</f>
        <v>https://www.google.com/search?newwindow=1&amp;ei=2MT0XrvGGM-vytMP1OyDgAY&amp;q=site%3Alinkedin.com+Sheona+Morrison+Manager,+Student+Leadership+and+Transition+Programs</v>
      </c>
      <c r="K61" s="5" t="str">
        <f t="shared" si="1"/>
        <v>Sheona Morrison</v>
      </c>
      <c r="L61" s="5" t="str">
        <f t="shared" si="2"/>
        <v>Manager, Student Leadership and Transition Programs</v>
      </c>
      <c r="M61" s="5" t="str">
        <f t="shared" si="3"/>
        <v/>
      </c>
      <c r="N61" s="5" t="str">
        <f t="shared" si="4"/>
        <v>Georgian College</v>
      </c>
      <c r="O61" s="5" t="str">
        <f t="shared" si="5"/>
        <v>2 years 10 months in role</v>
      </c>
      <c r="P61" s="5" t="str">
        <f t="shared" si="6"/>
        <v>Barrie</v>
      </c>
      <c r="Q61" s="5" t="str">
        <f t="shared" si="7"/>
        <v>Ontario</v>
      </c>
      <c r="R61" s="5" t="str">
        <f t="shared" si="8"/>
        <v>Canada</v>
      </c>
    </row>
    <row r="62">
      <c r="A62" s="8" t="s">
        <v>4767</v>
      </c>
      <c r="B62" s="10" t="s">
        <v>4768</v>
      </c>
      <c r="C62" s="10" t="s">
        <v>4709</v>
      </c>
      <c r="D62" s="10"/>
      <c r="E62" s="10" t="s">
        <v>1233</v>
      </c>
      <c r="F62" s="10" t="s">
        <v>1289</v>
      </c>
      <c r="G62" s="11" t="s">
        <v>37</v>
      </c>
      <c r="H62" s="11" t="s">
        <v>38</v>
      </c>
      <c r="I62" s="11" t="s">
        <v>18</v>
      </c>
      <c r="J62" s="9" t="str">
        <f>IFERROR(__xludf.DUMMYFUNCTION("""COMPUTED_VALUE"""),"https://www.google.com/search?newwindow=1&amp;ei=2MT0XrvGGM-vytMP1OyDgAY&amp;q=site%3Alinkedin.com+Stephanie+Spencer+Interim+Adminstrative+Assistant+in+Caridiovascular+&amp;+Renal+Progrmas+&amp;+Patient+Flow+Programs")</f>
        <v>https://www.google.com/search?newwindow=1&amp;ei=2MT0XrvGGM-vytMP1OyDgAY&amp;q=site%3Alinkedin.com+Stephanie+Spencer+Interim+Adminstrative+Assistant+in+Caridiovascular+&amp;+Renal+Progrmas+&amp;+Patient+Flow+Programs</v>
      </c>
      <c r="K62" s="5" t="str">
        <f t="shared" si="1"/>
        <v>Stephanie Spencer</v>
      </c>
      <c r="L62" s="5" t="str">
        <f t="shared" si="2"/>
        <v>Interim Adminstrative Assistant in Caridiovascular &amp; Renal Progrmas &amp; Patient Flow Programs</v>
      </c>
      <c r="M62" s="5" t="str">
        <f t="shared" si="3"/>
        <v/>
      </c>
      <c r="N62" s="5" t="str">
        <f t="shared" si="4"/>
        <v>Royal Victoria Regional Health Centre</v>
      </c>
      <c r="O62" s="5" t="str">
        <f t="shared" si="5"/>
        <v>2 years 7 months in role</v>
      </c>
      <c r="P62" s="5" t="str">
        <f t="shared" si="6"/>
        <v>Barrie</v>
      </c>
      <c r="Q62" s="5" t="str">
        <f t="shared" si="7"/>
        <v>Ontario</v>
      </c>
      <c r="R62" s="5" t="str">
        <f t="shared" si="8"/>
        <v>Canada</v>
      </c>
    </row>
    <row r="63">
      <c r="A63" s="8" t="s">
        <v>4769</v>
      </c>
      <c r="B63" s="10" t="s">
        <v>4770</v>
      </c>
      <c r="C63" s="10" t="s">
        <v>4771</v>
      </c>
      <c r="D63" s="10"/>
      <c r="E63" s="10" t="s">
        <v>227</v>
      </c>
      <c r="F63" s="10" t="s">
        <v>727</v>
      </c>
      <c r="G63" s="11" t="s">
        <v>37</v>
      </c>
      <c r="H63" s="11" t="s">
        <v>38</v>
      </c>
      <c r="I63" s="11" t="s">
        <v>18</v>
      </c>
      <c r="J63" s="9" t="str">
        <f>IFERROR(__xludf.DUMMYFUNCTION("""COMPUTED_VALUE"""),"https://www.google.com/search?newwindow=1&amp;ei=2MT0XrvGGM-vytMP1OyDgAY&amp;q=site%3Alinkedin.com+Alexia+Stocker+Clearing+And+Recruitment+Ambassador")</f>
        <v>https://www.google.com/search?newwindow=1&amp;ei=2MT0XrvGGM-vytMP1OyDgAY&amp;q=site%3Alinkedin.com+Alexia+Stocker+Clearing+And+Recruitment+Ambassador</v>
      </c>
      <c r="K63" s="5" t="str">
        <f t="shared" si="1"/>
        <v>Alexia Stocker</v>
      </c>
      <c r="L63" s="5" t="str">
        <f t="shared" si="2"/>
        <v>Clearing And Recruitment Ambassador</v>
      </c>
      <c r="M63" s="5" t="str">
        <f t="shared" si="3"/>
        <v/>
      </c>
      <c r="N63" s="5" t="str">
        <f t="shared" si="4"/>
        <v>University of Greenwich</v>
      </c>
      <c r="O63" s="5" t="str">
        <f t="shared" si="5"/>
        <v>5 months in role</v>
      </c>
      <c r="P63" s="5" t="str">
        <f t="shared" si="6"/>
        <v>Bath</v>
      </c>
      <c r="Q63" s="5" t="str">
        <f t="shared" si="7"/>
        <v>England</v>
      </c>
      <c r="R63" s="5" t="str">
        <f t="shared" si="8"/>
        <v>United Kingdom</v>
      </c>
    </row>
    <row r="64">
      <c r="A64" s="8" t="s">
        <v>4772</v>
      </c>
      <c r="B64" s="10" t="s">
        <v>3674</v>
      </c>
      <c r="C64" s="10" t="s">
        <v>371</v>
      </c>
      <c r="D64" s="10"/>
      <c r="E64" s="10" t="s">
        <v>3649</v>
      </c>
      <c r="F64" s="10"/>
      <c r="G64" s="11" t="s">
        <v>37</v>
      </c>
      <c r="H64" s="11" t="s">
        <v>38</v>
      </c>
      <c r="I64" s="11" t="s">
        <v>18</v>
      </c>
      <c r="J64" s="9" t="str">
        <f>IFERROR(__xludf.DUMMYFUNCTION("""COMPUTED_VALUE"""),"https://www.google.com/search?newwindow=1&amp;ei=2MT0XrvGGM-vytMP1OyDgAY&amp;q=site%3Alinkedin.com+Anthony+Dean+Policy+and+Technical+Assistant+Manager+-+Energy+Efficiency+and+Social+Programs")</f>
        <v>https://www.google.com/search?newwindow=1&amp;ei=2MT0XrvGGM-vytMP1OyDgAY&amp;q=site%3Alinkedin.com+Anthony+Dean+Policy+and+Technical+Assistant+Manager+-+Energy+Efficiency+and+Social+Programs</v>
      </c>
      <c r="K64" s="5" t="str">
        <f t="shared" si="1"/>
        <v>Anthony Dean</v>
      </c>
      <c r="L64" s="5" t="str">
        <f t="shared" si="2"/>
        <v>Policy and Technical Assistant Manager - Energy Efficiency and Social Programs</v>
      </c>
      <c r="M64" s="5" t="str">
        <f t="shared" si="3"/>
        <v/>
      </c>
      <c r="N64" s="5" t="str">
        <f t="shared" si="4"/>
        <v>Ofgem</v>
      </c>
      <c r="O64" s="5" t="str">
        <f t="shared" si="5"/>
        <v>3 years 6 months in role</v>
      </c>
      <c r="P64" s="5" t="str">
        <f t="shared" si="6"/>
        <v>Bath</v>
      </c>
      <c r="Q64" s="5" t="str">
        <f t="shared" si="7"/>
        <v>England</v>
      </c>
      <c r="R64" s="5" t="str">
        <f t="shared" si="8"/>
        <v>United Kingdom</v>
      </c>
    </row>
    <row r="65">
      <c r="A65" s="8" t="s">
        <v>4773</v>
      </c>
      <c r="B65" s="10" t="s">
        <v>4774</v>
      </c>
      <c r="C65" s="10" t="s">
        <v>4742</v>
      </c>
      <c r="D65" s="10"/>
      <c r="E65" s="10" t="s">
        <v>4659</v>
      </c>
      <c r="F65" s="10" t="s">
        <v>441</v>
      </c>
      <c r="G65" s="11" t="s">
        <v>1638</v>
      </c>
      <c r="H65" s="11" t="s">
        <v>1639</v>
      </c>
      <c r="I65" s="11" t="s">
        <v>18</v>
      </c>
      <c r="J65" s="9" t="str">
        <f>IFERROR(__xludf.DUMMYFUNCTION("""COMPUTED_VALUE"""),"https://www.google.com/search?newwindow=1&amp;ei=2MT0XrvGGM-vytMP1OyDgAY&amp;q=site%3Alinkedin.com+Amy+Benton+Human+Resources,+Firmwide+Campus+Recruiting+Operations+Manager")</f>
        <v>https://www.google.com/search?newwindow=1&amp;ei=2MT0XrvGGM-vytMP1OyDgAY&amp;q=site%3Alinkedin.com+Amy+Benton+Human+Resources,+Firmwide+Campus+Recruiting+Operations+Manager</v>
      </c>
      <c r="K65" s="5" t="str">
        <f t="shared" si="1"/>
        <v>Amy Benton</v>
      </c>
      <c r="L65" s="5" t="str">
        <f t="shared" si="2"/>
        <v>Human Resources, Firmwide Campus Recruiting Operations Manager</v>
      </c>
      <c r="M65" s="5" t="str">
        <f t="shared" si="3"/>
        <v/>
      </c>
      <c r="N65" s="5" t="str">
        <f t="shared" si="4"/>
        <v>JPMorgan Chase</v>
      </c>
      <c r="O65" s="5" t="str">
        <f t="shared" si="5"/>
        <v>4 years 2 months in role</v>
      </c>
      <c r="P65" s="5" t="str">
        <f t="shared" si="6"/>
        <v>Bear</v>
      </c>
      <c r="Q65" s="5" t="str">
        <f t="shared" si="7"/>
        <v>Delaware</v>
      </c>
      <c r="R65" s="5" t="str">
        <f t="shared" si="8"/>
        <v>United States</v>
      </c>
    </row>
    <row r="66">
      <c r="A66" s="8" t="s">
        <v>4775</v>
      </c>
      <c r="B66" s="10" t="s">
        <v>2838</v>
      </c>
      <c r="C66" s="10" t="s">
        <v>2155</v>
      </c>
      <c r="D66" s="10"/>
      <c r="E66" s="10" t="s">
        <v>2839</v>
      </c>
      <c r="F66" s="10" t="s">
        <v>2840</v>
      </c>
      <c r="G66" s="11" t="s">
        <v>1638</v>
      </c>
      <c r="H66" s="11" t="s">
        <v>1639</v>
      </c>
      <c r="I66" s="11" t="s">
        <v>18</v>
      </c>
      <c r="J66" s="9" t="str">
        <f>IFERROR(__xludf.DUMMYFUNCTION("""COMPUTED_VALUE"""),"https://www.google.com/search?newwindow=1&amp;ei=2MT0XrvGGM-vytMP1OyDgAY&amp;q=site%3Alinkedin.com+Dominika+Kalinowska+Educational+Adviser/+Student+Ambassador/+Student+Recruiter")</f>
        <v>https://www.google.com/search?newwindow=1&amp;ei=2MT0XrvGGM-vytMP1OyDgAY&amp;q=site%3Alinkedin.com+Dominika+Kalinowska+Educational+Adviser/+Student+Ambassador/+Student+Recruiter</v>
      </c>
      <c r="K66" s="5" t="str">
        <f t="shared" si="1"/>
        <v>Dominika Kalinowska</v>
      </c>
      <c r="L66" s="5" t="str">
        <f t="shared" si="2"/>
        <v>Educational Adviser/ Student Ambassador/ Student Recruiter</v>
      </c>
      <c r="M66" s="5" t="str">
        <f t="shared" si="3"/>
        <v/>
      </c>
      <c r="N66" s="5" t="str">
        <f t="shared" si="4"/>
        <v>Studia w Anglii</v>
      </c>
      <c r="O66" s="5" t="str">
        <f t="shared" si="5"/>
        <v>3 years 11 months in role and company</v>
      </c>
      <c r="P66" s="5" t="str">
        <f t="shared" si="6"/>
        <v>Bedford</v>
      </c>
      <c r="Q66" s="5" t="str">
        <f t="shared" si="7"/>
        <v>England</v>
      </c>
      <c r="R66" s="5" t="str">
        <f t="shared" si="8"/>
        <v>United Kingdom</v>
      </c>
    </row>
    <row r="67">
      <c r="A67" s="8" t="s">
        <v>4776</v>
      </c>
      <c r="B67" s="12" t="s">
        <v>4777</v>
      </c>
      <c r="C67" s="10" t="s">
        <v>4778</v>
      </c>
      <c r="D67" s="10"/>
      <c r="E67" s="10" t="s">
        <v>4779</v>
      </c>
      <c r="F67" s="10" t="s">
        <v>832</v>
      </c>
      <c r="G67" s="11" t="s">
        <v>4780</v>
      </c>
      <c r="H67" s="11" t="s">
        <v>4638</v>
      </c>
      <c r="I67" s="11" t="s">
        <v>4600</v>
      </c>
      <c r="J67" s="9" t="str">
        <f>IFERROR(__xludf.DUMMYFUNCTION("""COMPUTED_VALUE"""),"https://www.google.com/search?newwindow=1&amp;ei=2MT0XrvGGM-vytMP1OyDgAY&amp;q=site%3Alinkedin.com+Virginia+Canning+Adult+Educator+Correctional+Programs")</f>
        <v>https://www.google.com/search?newwindow=1&amp;ei=2MT0XrvGGM-vytMP1OyDgAY&amp;q=site%3Alinkedin.com+Virginia+Canning+Adult+Educator+Correctional+Programs</v>
      </c>
      <c r="K67" s="5" t="str">
        <f t="shared" si="1"/>
        <v>Virginia Canning</v>
      </c>
      <c r="L67" s="5" t="str">
        <f t="shared" si="2"/>
        <v>Adult Educator Correctional Programs</v>
      </c>
      <c r="M67" s="5" t="str">
        <f t="shared" si="3"/>
        <v/>
      </c>
      <c r="N67" s="5" t="str">
        <f t="shared" si="4"/>
        <v>Canadian Federal Government</v>
      </c>
      <c r="O67" s="5" t="str">
        <f t="shared" si="5"/>
        <v>9 years 2 months in role and company</v>
      </c>
      <c r="P67" s="5" t="str">
        <f t="shared" si="6"/>
        <v>Bedford</v>
      </c>
      <c r="Q67" s="5" t="str">
        <f t="shared" si="7"/>
        <v>Nova Scotia</v>
      </c>
      <c r="R67" s="5" t="str">
        <f t="shared" si="8"/>
        <v>Canada</v>
      </c>
    </row>
    <row r="68">
      <c r="A68" s="8" t="s">
        <v>4781</v>
      </c>
      <c r="B68" s="12" t="s">
        <v>4782</v>
      </c>
      <c r="C68" s="10" t="s">
        <v>4783</v>
      </c>
      <c r="D68" s="10"/>
      <c r="E68" s="10" t="s">
        <v>4784</v>
      </c>
      <c r="F68" s="10" t="s">
        <v>890</v>
      </c>
      <c r="G68" s="11" t="s">
        <v>4780</v>
      </c>
      <c r="H68" s="11" t="s">
        <v>4638</v>
      </c>
      <c r="I68" s="11" t="s">
        <v>4600</v>
      </c>
      <c r="J68" s="9" t="str">
        <f>IFERROR(__xludf.DUMMYFUNCTION("""COMPUTED_VALUE"""),"https://www.google.com/search?newwindow=1&amp;ei=2MT0XrvGGM-vytMP1OyDgAY&amp;q=site%3Alinkedin.com+Catherine+Irvine+Campus+Recruiter+|+Operations+EMEA")</f>
        <v>https://www.google.com/search?newwindow=1&amp;ei=2MT0XrvGGM-vytMP1OyDgAY&amp;q=site%3Alinkedin.com+Catherine+Irvine+Campus+Recruiter+|+Operations+EMEA</v>
      </c>
      <c r="K68" s="5" t="str">
        <f t="shared" si="1"/>
        <v>Catherine Irvine</v>
      </c>
      <c r="L68" s="5" t="str">
        <f t="shared" si="2"/>
        <v>Campus Recruiter | Operations EMEA</v>
      </c>
      <c r="M68" s="5" t="str">
        <f t="shared" si="3"/>
        <v/>
      </c>
      <c r="N68" s="5" t="str">
        <f t="shared" si="4"/>
        <v>Amazon</v>
      </c>
      <c r="O68" s="5" t="str">
        <f t="shared" si="5"/>
        <v>1 year 2 months in role and company</v>
      </c>
      <c r="P68" s="5" t="str">
        <f t="shared" si="6"/>
        <v>Belfast</v>
      </c>
      <c r="Q68" s="5" t="str">
        <f t="shared" si="7"/>
        <v>Northern Ireland</v>
      </c>
      <c r="R68" s="5" t="str">
        <f t="shared" si="8"/>
        <v>Ireland</v>
      </c>
    </row>
    <row r="69">
      <c r="A69" s="8" t="s">
        <v>4785</v>
      </c>
      <c r="B69" s="10" t="s">
        <v>4786</v>
      </c>
      <c r="C69" s="10" t="s">
        <v>4787</v>
      </c>
      <c r="D69" s="10"/>
      <c r="E69" s="10" t="s">
        <v>4788</v>
      </c>
      <c r="F69" s="10" t="s">
        <v>60</v>
      </c>
      <c r="G69" s="11" t="s">
        <v>4789</v>
      </c>
      <c r="H69" s="11" t="s">
        <v>4757</v>
      </c>
      <c r="I69" s="11" t="s">
        <v>4607</v>
      </c>
      <c r="J69" s="9" t="str">
        <f>IFERROR(__xludf.DUMMYFUNCTION("""COMPUTED_VALUE"""),"https://www.google.com/search?newwindow=1&amp;ei=2MT0XrvGGM-vytMP1OyDgAY&amp;q=site%3Alinkedin.com+Stephen+Scott+Operations+Programs+and+Standards+Co-op+Student")</f>
        <v>https://www.google.com/search?newwindow=1&amp;ei=2MT0XrvGGM-vytMP1OyDgAY&amp;q=site%3Alinkedin.com+Stephen+Scott+Operations+Programs+and+Standards+Co-op+Student</v>
      </c>
      <c r="K69" s="5" t="str">
        <f t="shared" si="1"/>
        <v>Stephen Scott</v>
      </c>
      <c r="L69" s="5" t="str">
        <f t="shared" si="2"/>
        <v>Operations Programs and Standards Co-op Student</v>
      </c>
      <c r="M69" s="5" t="str">
        <f t="shared" si="3"/>
        <v/>
      </c>
      <c r="N69" s="5" t="str">
        <f t="shared" si="4"/>
        <v>AECL</v>
      </c>
      <c r="O69" s="5" t="str">
        <f t="shared" si="5"/>
        <v>6 years 10 months in role and company</v>
      </c>
      <c r="P69" s="5" t="str">
        <f t="shared" si="6"/>
        <v>Belle River</v>
      </c>
      <c r="Q69" s="5" t="str">
        <f t="shared" si="7"/>
        <v>Ontario</v>
      </c>
      <c r="R69" s="5" t="str">
        <f t="shared" si="8"/>
        <v>Canada</v>
      </c>
    </row>
    <row r="70">
      <c r="A70" s="8" t="s">
        <v>4790</v>
      </c>
      <c r="B70" s="10" t="s">
        <v>4791</v>
      </c>
      <c r="C70" s="10" t="s">
        <v>4792</v>
      </c>
      <c r="D70" s="10"/>
      <c r="E70" s="10" t="s">
        <v>4793</v>
      </c>
      <c r="F70" s="10" t="s">
        <v>409</v>
      </c>
      <c r="G70" s="11" t="s">
        <v>4789</v>
      </c>
      <c r="H70" s="11" t="s">
        <v>4757</v>
      </c>
      <c r="I70" s="11" t="s">
        <v>4607</v>
      </c>
      <c r="J70" s="9" t="str">
        <f>IFERROR(__xludf.DUMMYFUNCTION("""COMPUTED_VALUE"""),"https://www.google.com/search?newwindow=1&amp;ei=2MT0XrvGGM-vytMP1OyDgAY&amp;q=site%3Alinkedin.com+Alexandra+Foret+Recruiting+Lead,+Campus+Recruiting")</f>
        <v>https://www.google.com/search?newwindow=1&amp;ei=2MT0XrvGGM-vytMP1OyDgAY&amp;q=site%3Alinkedin.com+Alexandra+Foret+Recruiting+Lead,+Campus+Recruiting</v>
      </c>
      <c r="K70" s="5" t="str">
        <f t="shared" si="1"/>
        <v>Alexandra Foret</v>
      </c>
      <c r="L70" s="5" t="str">
        <f t="shared" si="2"/>
        <v>Recruiting Lead, Campus Recruiting</v>
      </c>
      <c r="M70" s="5" t="str">
        <f t="shared" si="3"/>
        <v/>
      </c>
      <c r="N70" s="5" t="str">
        <f t="shared" si="4"/>
        <v>Walmart</v>
      </c>
      <c r="O70" s="5" t="str">
        <f t="shared" si="5"/>
        <v>3 months in role</v>
      </c>
      <c r="P70" s="5" t="str">
        <f t="shared" si="6"/>
        <v>Bentonville</v>
      </c>
      <c r="Q70" s="5" t="str">
        <f t="shared" si="7"/>
        <v>Arkansas</v>
      </c>
      <c r="R70" s="5" t="str">
        <f t="shared" si="8"/>
        <v>United States</v>
      </c>
    </row>
    <row r="71">
      <c r="A71" s="8" t="s">
        <v>4794</v>
      </c>
      <c r="B71" s="10" t="s">
        <v>2664</v>
      </c>
      <c r="C71" s="10" t="s">
        <v>2665</v>
      </c>
      <c r="D71" s="10"/>
      <c r="E71" s="10" t="s">
        <v>2646</v>
      </c>
      <c r="F71" s="10" t="s">
        <v>2288</v>
      </c>
      <c r="G71" s="11" t="s">
        <v>2666</v>
      </c>
      <c r="H71" s="11" t="s">
        <v>609</v>
      </c>
      <c r="I71" s="11" t="s">
        <v>18</v>
      </c>
      <c r="J71" s="9" t="str">
        <f>IFERROR(__xludf.DUMMYFUNCTION("""COMPUTED_VALUE"""),"https://www.google.com/search?newwindow=1&amp;ei=2MT0XrvGGM-vytMP1OyDgAY&amp;q=site%3Alinkedin.com+Diane+Cook,+PMP+Project+Manager+II,+Campus+Recruiting")</f>
        <v>https://www.google.com/search?newwindow=1&amp;ei=2MT0XrvGGM-vytMP1OyDgAY&amp;q=site%3Alinkedin.com+Diane+Cook,+PMP+Project+Manager+II,+Campus+Recruiting</v>
      </c>
      <c r="K71" s="5" t="str">
        <f t="shared" si="1"/>
        <v>Diane Cook, PMP</v>
      </c>
      <c r="L71" s="5" t="str">
        <f t="shared" si="2"/>
        <v>Project Manager II, Campus Recruiting</v>
      </c>
      <c r="M71" s="5" t="str">
        <f t="shared" si="3"/>
        <v/>
      </c>
      <c r="N71" s="5" t="str">
        <f t="shared" si="4"/>
        <v>Walmart</v>
      </c>
      <c r="O71" s="5" t="str">
        <f t="shared" si="5"/>
        <v>2 years 9 months in role</v>
      </c>
      <c r="P71" s="5" t="str">
        <f t="shared" si="6"/>
        <v>Bentonville</v>
      </c>
      <c r="Q71" s="5" t="str">
        <f t="shared" si="7"/>
        <v>Arkansas</v>
      </c>
      <c r="R71" s="5" t="str">
        <f t="shared" si="8"/>
        <v>United States</v>
      </c>
    </row>
    <row r="72">
      <c r="A72" s="8" t="s">
        <v>4795</v>
      </c>
      <c r="B72" s="12" t="s">
        <v>4796</v>
      </c>
      <c r="C72" s="10" t="s">
        <v>4797</v>
      </c>
      <c r="D72" s="10"/>
      <c r="E72" s="10" t="s">
        <v>4798</v>
      </c>
      <c r="F72" s="10" t="s">
        <v>4799</v>
      </c>
      <c r="G72" s="11" t="s">
        <v>4800</v>
      </c>
      <c r="H72" s="11" t="s">
        <v>4757</v>
      </c>
      <c r="I72" s="11" t="s">
        <v>4607</v>
      </c>
      <c r="J72" s="9" t="str">
        <f>IFERROR(__xludf.DUMMYFUNCTION("""COMPUTED_VALUE"""),"https://www.google.com/search?newwindow=1&amp;ei=2MT0XrvGGM-vytMP1OyDgAY&amp;q=site%3Alinkedin.com+Brooke+Katz+Campus+Recruiting+Coordinator")</f>
        <v>https://www.google.com/search?newwindow=1&amp;ei=2MT0XrvGGM-vytMP1OyDgAY&amp;q=site%3Alinkedin.com+Brooke+Katz+Campus+Recruiting+Coordinator</v>
      </c>
      <c r="K72" s="5" t="str">
        <f t="shared" si="1"/>
        <v>Brooke Katz</v>
      </c>
      <c r="L72" s="5" t="str">
        <f t="shared" si="2"/>
        <v>Campus Recruiting Coordinator</v>
      </c>
      <c r="M72" s="5" t="str">
        <f t="shared" si="3"/>
        <v/>
      </c>
      <c r="N72" s="5" t="str">
        <f t="shared" si="4"/>
        <v>Morgan Stanley</v>
      </c>
      <c r="O72" s="5" t="str">
        <f t="shared" si="5"/>
        <v>1 year 3 months in role and company</v>
      </c>
      <c r="P72" s="5" t="str">
        <f t="shared" si="6"/>
        <v>Beverly Hills</v>
      </c>
      <c r="Q72" s="5" t="str">
        <f t="shared" si="7"/>
        <v>California</v>
      </c>
      <c r="R72" s="5" t="str">
        <f t="shared" si="8"/>
        <v>United States</v>
      </c>
    </row>
    <row r="73">
      <c r="A73" s="8" t="s">
        <v>4801</v>
      </c>
      <c r="B73" s="12" t="s">
        <v>4802</v>
      </c>
      <c r="C73" s="10" t="s">
        <v>4803</v>
      </c>
      <c r="D73" s="10"/>
      <c r="E73" s="10" t="s">
        <v>4804</v>
      </c>
      <c r="F73" s="10" t="s">
        <v>2818</v>
      </c>
      <c r="G73" s="11" t="s">
        <v>4800</v>
      </c>
      <c r="H73" s="11" t="s">
        <v>4665</v>
      </c>
      <c r="I73" s="11" t="s">
        <v>4600</v>
      </c>
      <c r="J73" s="9" t="str">
        <f>IFERROR(__xludf.DUMMYFUNCTION("""COMPUTED_VALUE"""),"https://www.google.com/search?newwindow=1&amp;ei=2MT0XrvGGM-vytMP1OyDgAY&amp;q=site%3Alinkedin.com+Megan+Carter,+CPA+Senior+Associate,+EY+Talent+Acquisition+and+Attraction,+Campus+Recruiting")</f>
        <v>https://www.google.com/search?newwindow=1&amp;ei=2MT0XrvGGM-vytMP1OyDgAY&amp;q=site%3Alinkedin.com+Megan+Carter,+CPA+Senior+Associate,+EY+Talent+Acquisition+and+Attraction,+Campus+Recruiting</v>
      </c>
      <c r="K73" s="5" t="str">
        <f t="shared" si="1"/>
        <v>Megan Carter, CPA</v>
      </c>
      <c r="L73" s="5" t="str">
        <f t="shared" si="2"/>
        <v>Senior Associate, EY Talent Acquisition and Attraction, Campus Recruiting</v>
      </c>
      <c r="M73" s="5" t="str">
        <f t="shared" si="3"/>
        <v/>
      </c>
      <c r="N73" s="5" t="str">
        <f t="shared" si="4"/>
        <v>EY</v>
      </c>
      <c r="O73" s="5" t="str">
        <f t="shared" si="5"/>
        <v>2 years 8 months in role</v>
      </c>
      <c r="P73" s="5" t="str">
        <f t="shared" si="6"/>
        <v>Birmingham</v>
      </c>
      <c r="Q73" s="5" t="str">
        <f t="shared" si="7"/>
        <v>Alabama</v>
      </c>
      <c r="R73" s="5" t="str">
        <f t="shared" si="8"/>
        <v>United States</v>
      </c>
    </row>
    <row r="74">
      <c r="A74" s="8" t="s">
        <v>4805</v>
      </c>
      <c r="B74" s="10" t="s">
        <v>4806</v>
      </c>
      <c r="C74" s="10" t="s">
        <v>4807</v>
      </c>
      <c r="D74" s="10"/>
      <c r="E74" s="10" t="s">
        <v>227</v>
      </c>
      <c r="F74" s="10" t="s">
        <v>144</v>
      </c>
      <c r="G74" s="13" t="s">
        <v>4808</v>
      </c>
      <c r="H74" s="13" t="s">
        <v>4809</v>
      </c>
      <c r="I74" s="13" t="s">
        <v>4810</v>
      </c>
      <c r="J74" s="9" t="str">
        <f>IFERROR(__xludf.DUMMYFUNCTION("""COMPUTED_VALUE"""),"https://www.google.com/search?newwindow=1&amp;ei=2MT0XrvGGM-vytMP1OyDgAY&amp;q=site%3Alinkedin.com+Millie+Charnley+Recruiter+Support+Coordinator")</f>
        <v>https://www.google.com/search?newwindow=1&amp;ei=2MT0XrvGGM-vytMP1OyDgAY&amp;q=site%3Alinkedin.com+Millie+Charnley+Recruiter+Support+Coordinator</v>
      </c>
      <c r="K74" s="5" t="str">
        <f t="shared" si="1"/>
        <v>Millie Charnley</v>
      </c>
      <c r="L74" s="5" t="str">
        <f t="shared" si="2"/>
        <v>Recruiter Support Coordinator</v>
      </c>
      <c r="M74" s="5" t="str">
        <f t="shared" si="3"/>
        <v/>
      </c>
      <c r="N74" s="5" t="str">
        <f t="shared" si="4"/>
        <v>Randstad</v>
      </c>
      <c r="O74" s="5" t="str">
        <f t="shared" si="5"/>
        <v>3 months in role and company</v>
      </c>
      <c r="P74" s="5" t="str">
        <f t="shared" si="6"/>
        <v>Blackburn with Darwen</v>
      </c>
      <c r="Q74" s="5" t="str">
        <f t="shared" si="7"/>
        <v>England</v>
      </c>
      <c r="R74" s="5" t="str">
        <f t="shared" si="8"/>
        <v>United Kingdom</v>
      </c>
    </row>
    <row r="75">
      <c r="A75" s="8" t="s">
        <v>4811</v>
      </c>
      <c r="B75" s="10" t="s">
        <v>4812</v>
      </c>
      <c r="C75" s="10" t="s">
        <v>4813</v>
      </c>
      <c r="D75" s="10"/>
      <c r="E75" s="10" t="s">
        <v>4814</v>
      </c>
      <c r="F75" s="10" t="s">
        <v>1065</v>
      </c>
      <c r="G75" s="11" t="s">
        <v>4815</v>
      </c>
      <c r="H75" s="11" t="s">
        <v>4638</v>
      </c>
      <c r="I75" s="11" t="s">
        <v>4600</v>
      </c>
      <c r="J75" s="9" t="str">
        <f>IFERROR(__xludf.DUMMYFUNCTION("""COMPUTED_VALUE"""),"https://www.google.com/search?newwindow=1&amp;ei=2MT0XrvGGM-vytMP1OyDgAY&amp;q=site%3Alinkedin.com+Rhonda+Winstead+Campus+Recruiting")</f>
        <v>https://www.google.com/search?newwindow=1&amp;ei=2MT0XrvGGM-vytMP1OyDgAY&amp;q=site%3Alinkedin.com+Rhonda+Winstead+Campus+Recruiting</v>
      </c>
      <c r="K75" s="5" t="str">
        <f t="shared" si="1"/>
        <v>Rhonda Winstead</v>
      </c>
      <c r="L75" s="5" t="str">
        <f t="shared" si="2"/>
        <v>Campus Recruiting</v>
      </c>
      <c r="M75" s="5" t="str">
        <f t="shared" si="3"/>
        <v/>
      </c>
      <c r="N75" s="5" t="str">
        <f t="shared" si="4"/>
        <v>Goldman Sachs</v>
      </c>
      <c r="O75" s="5" t="str">
        <f t="shared" si="5"/>
        <v>7 years 6 months in role</v>
      </c>
      <c r="P75" s="5" t="str">
        <f t="shared" si="6"/>
        <v>Bluffton</v>
      </c>
      <c r="Q75" s="5" t="str">
        <f t="shared" si="7"/>
        <v>Ohio</v>
      </c>
      <c r="R75" s="5" t="str">
        <f t="shared" si="8"/>
        <v>United States</v>
      </c>
    </row>
    <row r="76">
      <c r="A76" s="8" t="s">
        <v>4816</v>
      </c>
      <c r="B76" s="10" t="s">
        <v>4817</v>
      </c>
      <c r="C76" s="10" t="s">
        <v>4818</v>
      </c>
      <c r="D76" s="10"/>
      <c r="E76" s="10" t="s">
        <v>4441</v>
      </c>
      <c r="F76" s="10" t="s">
        <v>228</v>
      </c>
      <c r="G76" s="11" t="s">
        <v>4443</v>
      </c>
      <c r="H76" s="11" t="s">
        <v>2820</v>
      </c>
      <c r="I76" s="11" t="s">
        <v>18</v>
      </c>
      <c r="J76" s="9" t="str">
        <f>IFERROR(__xludf.DUMMYFUNCTION("""COMPUTED_VALUE"""),"https://www.google.com/search?newwindow=1&amp;ei=2MT0XrvGGM-vytMP1OyDgAY&amp;q=site%3Alinkedin.com+Carrie-Ellen+Mitchell+University+Recruiter")</f>
        <v>https://www.google.com/search?newwindow=1&amp;ei=2MT0XrvGGM-vytMP1OyDgAY&amp;q=site%3Alinkedin.com+Carrie-Ellen+Mitchell+University+Recruiter</v>
      </c>
      <c r="K76" s="5" t="str">
        <f t="shared" si="1"/>
        <v>Carrie-Ellen Mitchell</v>
      </c>
      <c r="L76" s="5" t="str">
        <f t="shared" si="2"/>
        <v>University Recruiter</v>
      </c>
      <c r="M76" s="5" t="str">
        <f t="shared" si="3"/>
        <v/>
      </c>
      <c r="N76" s="5" t="str">
        <f t="shared" si="4"/>
        <v>Teach First</v>
      </c>
      <c r="O76" s="5" t="str">
        <f t="shared" si="5"/>
        <v>1 year 4 months in role</v>
      </c>
      <c r="P76" s="5" t="str">
        <f t="shared" si="6"/>
        <v>Blyth</v>
      </c>
      <c r="Q76" s="5" t="str">
        <f t="shared" si="7"/>
        <v>England</v>
      </c>
      <c r="R76" s="5" t="str">
        <f t="shared" si="8"/>
        <v>United Kingdom</v>
      </c>
    </row>
    <row r="77">
      <c r="A77" s="8" t="s">
        <v>4819</v>
      </c>
      <c r="B77" s="12" t="s">
        <v>4448</v>
      </c>
      <c r="C77" s="10" t="s">
        <v>4449</v>
      </c>
      <c r="D77" s="10"/>
      <c r="E77" s="10" t="s">
        <v>4441</v>
      </c>
      <c r="F77" s="10" t="s">
        <v>437</v>
      </c>
      <c r="G77" s="11" t="s">
        <v>4443</v>
      </c>
      <c r="H77" s="11" t="s">
        <v>2820</v>
      </c>
      <c r="I77" s="11" t="s">
        <v>18</v>
      </c>
      <c r="J77" s="9" t="str">
        <f>IFERROR(__xludf.DUMMYFUNCTION("""COMPUTED_VALUE"""),"https://www.google.com/search?newwindow=1&amp;ei=2MT0XrvGGM-vytMP1OyDgAY&amp;q=site%3Alinkedin.com+Thienan+Dang+Senior+Associate,+Campus+Recruiting")</f>
        <v>https://www.google.com/search?newwindow=1&amp;ei=2MT0XrvGGM-vytMP1OyDgAY&amp;q=site%3Alinkedin.com+Thienan+Dang+Senior+Associate,+Campus+Recruiting</v>
      </c>
      <c r="K77" s="5" t="str">
        <f t="shared" si="1"/>
        <v>Thienan Dang</v>
      </c>
      <c r="L77" s="5" t="str">
        <f t="shared" si="2"/>
        <v>Senior Associate, Campus Recruiting</v>
      </c>
      <c r="M77" s="5" t="str">
        <f t="shared" si="3"/>
        <v/>
      </c>
      <c r="N77" s="5" t="str">
        <f t="shared" si="4"/>
        <v>KPMG US</v>
      </c>
      <c r="O77" s="5" t="str">
        <f t="shared" si="5"/>
        <v>7 months in role and company</v>
      </c>
      <c r="P77" s="5" t="str">
        <f t="shared" si="6"/>
        <v>Boston</v>
      </c>
      <c r="Q77" s="5" t="str">
        <f t="shared" si="7"/>
        <v>Massachusetts</v>
      </c>
      <c r="R77" s="5" t="str">
        <f t="shared" si="8"/>
        <v>United States</v>
      </c>
    </row>
    <row r="78">
      <c r="A78" s="8" t="s">
        <v>4820</v>
      </c>
      <c r="B78" s="10" t="s">
        <v>4821</v>
      </c>
      <c r="C78" s="10" t="s">
        <v>4749</v>
      </c>
      <c r="D78" s="10"/>
      <c r="E78" s="10" t="s">
        <v>3389</v>
      </c>
      <c r="F78" s="10" t="s">
        <v>79</v>
      </c>
      <c r="G78" s="11" t="s">
        <v>4822</v>
      </c>
      <c r="H78" s="11" t="s">
        <v>44</v>
      </c>
      <c r="I78" s="11" t="s">
        <v>18</v>
      </c>
      <c r="J78" s="9" t="str">
        <f>IFERROR(__xludf.DUMMYFUNCTION("""COMPUTED_VALUE"""),"https://www.google.com/search?newwindow=1&amp;ei=2MT0XrvGGM-vytMP1OyDgAY&amp;q=site%3Alinkedin.com+Ben+Amerault+Senior+Campus+Recruiting+Talent+Scout+[Recruiter]")</f>
        <v>https://www.google.com/search?newwindow=1&amp;ei=2MT0XrvGGM-vytMP1OyDgAY&amp;q=site%3Alinkedin.com+Ben+Amerault+Senior+Campus+Recruiting+Talent+Scout+[Recruiter]</v>
      </c>
      <c r="K78" s="5" t="str">
        <f t="shared" si="1"/>
        <v>Ben Amerault</v>
      </c>
      <c r="L78" s="5" t="str">
        <f t="shared" si="2"/>
        <v>Senior Campus Recruiting Talent Scout [Recruiter]</v>
      </c>
      <c r="M78" s="5" t="str">
        <f t="shared" si="3"/>
        <v/>
      </c>
      <c r="N78" s="5" t="str">
        <f t="shared" si="4"/>
        <v>Salesforce</v>
      </c>
      <c r="O78" s="5" t="str">
        <f t="shared" si="5"/>
        <v>10 months in role</v>
      </c>
      <c r="P78" s="5" t="str">
        <f t="shared" si="6"/>
        <v>Boston</v>
      </c>
      <c r="Q78" s="5" t="str">
        <f t="shared" si="7"/>
        <v>Massachusetts</v>
      </c>
      <c r="R78" s="5" t="str">
        <f t="shared" si="8"/>
        <v>United States</v>
      </c>
    </row>
    <row r="79">
      <c r="A79" s="8" t="s">
        <v>4823</v>
      </c>
      <c r="B79" s="12" t="s">
        <v>4824</v>
      </c>
      <c r="C79" s="10" t="s">
        <v>4825</v>
      </c>
      <c r="D79" s="10"/>
      <c r="E79" s="10" t="s">
        <v>4701</v>
      </c>
      <c r="F79" s="10" t="s">
        <v>1098</v>
      </c>
      <c r="G79" s="11" t="s">
        <v>1643</v>
      </c>
      <c r="H79" s="11" t="s">
        <v>763</v>
      </c>
      <c r="I79" s="11" t="s">
        <v>18</v>
      </c>
      <c r="J79" s="9" t="str">
        <f>IFERROR(__xludf.DUMMYFUNCTION("""COMPUTED_VALUE"""),"https://www.google.com/search?newwindow=1&amp;ei=2MT0XrvGGM-vytMP1OyDgAY&amp;q=site%3Alinkedin.com+Charlotte+Barszewski+Campus+Recruiting+Specialist")</f>
        <v>https://www.google.com/search?newwindow=1&amp;ei=2MT0XrvGGM-vytMP1OyDgAY&amp;q=site%3Alinkedin.com+Charlotte+Barszewski+Campus+Recruiting+Specialist</v>
      </c>
      <c r="K79" s="5" t="str">
        <f t="shared" si="1"/>
        <v>Charlotte Barszewski</v>
      </c>
      <c r="L79" s="5" t="str">
        <f t="shared" si="2"/>
        <v>Campus Recruiting Specialist</v>
      </c>
      <c r="M79" s="5" t="str">
        <f t="shared" si="3"/>
        <v/>
      </c>
      <c r="N79" s="5" t="str">
        <f t="shared" si="4"/>
        <v>Deloitte</v>
      </c>
      <c r="O79" s="5" t="str">
        <f t="shared" si="5"/>
        <v>7 months in role and company</v>
      </c>
      <c r="P79" s="5" t="str">
        <f t="shared" si="6"/>
        <v>Boston</v>
      </c>
      <c r="Q79" s="5" t="str">
        <f t="shared" si="7"/>
        <v>Massachusetts</v>
      </c>
      <c r="R79" s="5" t="str">
        <f t="shared" si="8"/>
        <v>United States</v>
      </c>
    </row>
    <row r="80">
      <c r="A80" s="8" t="s">
        <v>4826</v>
      </c>
      <c r="B80" s="10" t="s">
        <v>4827</v>
      </c>
      <c r="C80" s="10" t="s">
        <v>4828</v>
      </c>
      <c r="D80" s="10"/>
      <c r="E80" s="10" t="s">
        <v>4829</v>
      </c>
      <c r="F80" s="10" t="s">
        <v>233</v>
      </c>
      <c r="G80" s="13" t="s">
        <v>4830</v>
      </c>
      <c r="H80" s="11" t="s">
        <v>4757</v>
      </c>
      <c r="I80" s="11" t="s">
        <v>4607</v>
      </c>
      <c r="J80" s="9" t="str">
        <f>IFERROR(__xludf.DUMMYFUNCTION("""COMPUTED_VALUE"""),"https://www.google.com/search?newwindow=1&amp;ei=2MT0XrvGGM-vytMP1OyDgAY&amp;q=site%3Alinkedin.com+Elisabeth+Mox,+SHRM-CP+Lead+of+Undergraduate+Campus+Recruiting+(Business+and+Tech)")</f>
        <v>https://www.google.com/search?newwindow=1&amp;ei=2MT0XrvGGM-vytMP1OyDgAY&amp;q=site%3Alinkedin.com+Elisabeth+Mox,+SHRM-CP+Lead+of+Undergraduate+Campus+Recruiting+(Business+and+Tech)</v>
      </c>
      <c r="K80" s="5" t="str">
        <f t="shared" si="1"/>
        <v>Elisabeth Mox, SHRM-CP</v>
      </c>
      <c r="L80" s="5" t="str">
        <f t="shared" si="2"/>
        <v>Lead of Undergraduate Campus Recruiting (Business and Tech)</v>
      </c>
      <c r="M80" s="5" t="str">
        <f t="shared" si="3"/>
        <v/>
      </c>
      <c r="N80" s="5" t="str">
        <f t="shared" si="4"/>
        <v>Wayfair</v>
      </c>
      <c r="O80" s="5" t="str">
        <f t="shared" si="5"/>
        <v>3 months in role</v>
      </c>
      <c r="P80" s="5" t="str">
        <f t="shared" si="6"/>
        <v>Boston</v>
      </c>
      <c r="Q80" s="5" t="str">
        <f t="shared" si="7"/>
        <v>Massachusetts</v>
      </c>
      <c r="R80" s="5" t="str">
        <f t="shared" si="8"/>
        <v>United States</v>
      </c>
    </row>
    <row r="81">
      <c r="A81" s="8" t="s">
        <v>4831</v>
      </c>
      <c r="B81" s="12" t="s">
        <v>4832</v>
      </c>
      <c r="C81" s="10" t="s">
        <v>1896</v>
      </c>
      <c r="D81" s="10"/>
      <c r="E81" s="10" t="s">
        <v>2297</v>
      </c>
      <c r="F81" s="10" t="s">
        <v>4141</v>
      </c>
      <c r="G81" s="11" t="s">
        <v>4833</v>
      </c>
      <c r="H81" s="11" t="s">
        <v>76</v>
      </c>
      <c r="I81" s="11" t="s">
        <v>18</v>
      </c>
      <c r="J81" s="9" t="str">
        <f>IFERROR(__xludf.DUMMYFUNCTION("""COMPUTED_VALUE"""),"https://www.google.com/search?newwindow=1&amp;ei=2MT0XrvGGM-vytMP1OyDgAY&amp;q=site%3Alinkedin.com+Danielle+D'Elia+Associate,+Campus+Recruiting")</f>
        <v>https://www.google.com/search?newwindow=1&amp;ei=2MT0XrvGGM-vytMP1OyDgAY&amp;q=site%3Alinkedin.com+Danielle+D'Elia+Associate,+Campus+Recruiting</v>
      </c>
      <c r="K81" s="5" t="str">
        <f t="shared" si="1"/>
        <v>Danielle D'Elia</v>
      </c>
      <c r="L81" s="5" t="str">
        <f t="shared" si="2"/>
        <v>Associate, Campus Recruiting</v>
      </c>
      <c r="M81" s="5" t="str">
        <f t="shared" si="3"/>
        <v/>
      </c>
      <c r="N81" s="5" t="str">
        <f t="shared" si="4"/>
        <v>KPMG</v>
      </c>
      <c r="O81" s="5" t="str">
        <f t="shared" si="5"/>
        <v>1 year 3 months in role and company</v>
      </c>
      <c r="P81" s="5" t="str">
        <f t="shared" si="6"/>
        <v>Boston</v>
      </c>
      <c r="Q81" s="5" t="str">
        <f t="shared" si="7"/>
        <v>Massachusetts</v>
      </c>
      <c r="R81" s="5" t="str">
        <f t="shared" si="8"/>
        <v>United States</v>
      </c>
    </row>
    <row r="82">
      <c r="A82" s="8" t="s">
        <v>4834</v>
      </c>
      <c r="B82" s="12" t="s">
        <v>4835</v>
      </c>
      <c r="C82" s="10" t="s">
        <v>110</v>
      </c>
      <c r="D82" s="10"/>
      <c r="E82" s="10" t="s">
        <v>4836</v>
      </c>
      <c r="F82" s="10" t="s">
        <v>268</v>
      </c>
      <c r="G82" s="11" t="s">
        <v>4837</v>
      </c>
      <c r="H82" s="11" t="s">
        <v>4757</v>
      </c>
      <c r="I82" s="11" t="s">
        <v>4607</v>
      </c>
      <c r="J82" s="9" t="str">
        <f>IFERROR(__xludf.DUMMYFUNCTION("""COMPUTED_VALUE"""),"https://www.google.com/search?newwindow=1&amp;ei=2MT0XrvGGM-vytMP1OyDgAY&amp;q=site%3Alinkedin.com+Maureen+Gilroy+Campus+Recruiting+Manager")</f>
        <v>https://www.google.com/search?newwindow=1&amp;ei=2MT0XrvGGM-vytMP1OyDgAY&amp;q=site%3Alinkedin.com+Maureen+Gilroy+Campus+Recruiting+Manager</v>
      </c>
      <c r="K82" s="5" t="str">
        <f t="shared" si="1"/>
        <v>Maureen Gilroy</v>
      </c>
      <c r="L82" s="5" t="str">
        <f t="shared" si="2"/>
        <v>Campus Recruiting Manager</v>
      </c>
      <c r="M82" s="5" t="str">
        <f t="shared" si="3"/>
        <v/>
      </c>
      <c r="N82" s="5" t="str">
        <f t="shared" si="4"/>
        <v>Wayfair</v>
      </c>
      <c r="O82" s="5" t="str">
        <f t="shared" si="5"/>
        <v>1 year 2 months in role</v>
      </c>
      <c r="P82" s="5" t="str">
        <f t="shared" si="6"/>
        <v>Boston</v>
      </c>
      <c r="Q82" s="5" t="str">
        <f t="shared" si="7"/>
        <v>Massachusetts</v>
      </c>
      <c r="R82" s="5" t="str">
        <f t="shared" si="8"/>
        <v>United States</v>
      </c>
    </row>
    <row r="83">
      <c r="A83" s="8" t="s">
        <v>4838</v>
      </c>
      <c r="B83" s="10" t="s">
        <v>4839</v>
      </c>
      <c r="C83" s="10" t="s">
        <v>2871</v>
      </c>
      <c r="D83" s="10"/>
      <c r="E83" s="10" t="s">
        <v>4659</v>
      </c>
      <c r="F83" s="10" t="s">
        <v>399</v>
      </c>
      <c r="G83" s="11" t="s">
        <v>377</v>
      </c>
      <c r="H83" s="11" t="s">
        <v>378</v>
      </c>
      <c r="I83" s="11" t="s">
        <v>18</v>
      </c>
      <c r="J83" s="9" t="str">
        <f>IFERROR(__xludf.DUMMYFUNCTION("""COMPUTED_VALUE"""),"https://www.google.com/search?newwindow=1&amp;ei=2MT0XrvGGM-vytMP1OyDgAY&amp;q=site%3Alinkedin.com+Brittany+Cuevas+Senior+Associate,+Campus+Recruiting")</f>
        <v>https://www.google.com/search?newwindow=1&amp;ei=2MT0XrvGGM-vytMP1OyDgAY&amp;q=site%3Alinkedin.com+Brittany+Cuevas+Senior+Associate,+Campus+Recruiting</v>
      </c>
      <c r="K83" s="5" t="str">
        <f t="shared" si="1"/>
        <v>Brittany Cuevas</v>
      </c>
      <c r="L83" s="5" t="str">
        <f t="shared" si="2"/>
        <v>Senior Associate, Campus Recruiting</v>
      </c>
      <c r="M83" s="5" t="str">
        <f t="shared" si="3"/>
        <v/>
      </c>
      <c r="N83" s="5" t="str">
        <f t="shared" si="4"/>
        <v>KPMG US</v>
      </c>
      <c r="O83" s="5" t="str">
        <f t="shared" si="5"/>
        <v>1 year 2 months in role and company</v>
      </c>
      <c r="P83" s="5" t="str">
        <f t="shared" si="6"/>
        <v>Boston</v>
      </c>
      <c r="Q83" s="5" t="str">
        <f t="shared" si="7"/>
        <v>Massachusetts</v>
      </c>
      <c r="R83" s="5" t="str">
        <f t="shared" si="8"/>
        <v>United States</v>
      </c>
    </row>
    <row r="84">
      <c r="A84" s="8" t="s">
        <v>4840</v>
      </c>
      <c r="B84" s="10" t="s">
        <v>3879</v>
      </c>
      <c r="C84" s="10" t="s">
        <v>3880</v>
      </c>
      <c r="D84" s="10"/>
      <c r="E84" s="10" t="s">
        <v>3874</v>
      </c>
      <c r="F84" s="10" t="s">
        <v>512</v>
      </c>
      <c r="G84" s="11" t="s">
        <v>377</v>
      </c>
      <c r="H84" s="11" t="s">
        <v>378</v>
      </c>
      <c r="I84" s="11" t="s">
        <v>18</v>
      </c>
      <c r="J84" s="9" t="str">
        <f>IFERROR(__xludf.DUMMYFUNCTION("""COMPUTED_VALUE"""),"https://www.google.com/search?newwindow=1&amp;ei=2MT0XrvGGM-vytMP1OyDgAY&amp;q=site%3Alinkedin.com+Ryan+O'Neil+Campus+Recruiting+Coordinator")</f>
        <v>https://www.google.com/search?newwindow=1&amp;ei=2MT0XrvGGM-vytMP1OyDgAY&amp;q=site%3Alinkedin.com+Ryan+O'Neil+Campus+Recruiting+Coordinator</v>
      </c>
      <c r="K84" s="5" t="str">
        <f t="shared" si="1"/>
        <v>Ryan O'Neil</v>
      </c>
      <c r="L84" s="5" t="str">
        <f t="shared" si="2"/>
        <v>Campus Recruiting Coordinator</v>
      </c>
      <c r="M84" s="5" t="str">
        <f t="shared" si="3"/>
        <v/>
      </c>
      <c r="N84" s="5" t="str">
        <f t="shared" si="4"/>
        <v>EY</v>
      </c>
      <c r="O84" s="5" t="str">
        <f t="shared" si="5"/>
        <v>1 year 4 months in role and company</v>
      </c>
      <c r="P84" s="5" t="str">
        <f t="shared" si="6"/>
        <v>Boston</v>
      </c>
      <c r="Q84" s="5" t="str">
        <f t="shared" si="7"/>
        <v>Massachusetts</v>
      </c>
      <c r="R84" s="5" t="str">
        <f t="shared" si="8"/>
        <v>United States</v>
      </c>
    </row>
    <row r="85">
      <c r="A85" s="8" t="s">
        <v>4841</v>
      </c>
      <c r="B85" s="12" t="s">
        <v>4842</v>
      </c>
      <c r="C85" s="10" t="s">
        <v>1378</v>
      </c>
      <c r="D85" s="10"/>
      <c r="E85" s="10" t="s">
        <v>1233</v>
      </c>
      <c r="F85" s="10" t="s">
        <v>399</v>
      </c>
      <c r="G85" s="11" t="s">
        <v>377</v>
      </c>
      <c r="H85" s="11" t="s">
        <v>378</v>
      </c>
      <c r="I85" s="11" t="s">
        <v>18</v>
      </c>
      <c r="J85" s="9" t="str">
        <f>IFERROR(__xludf.DUMMYFUNCTION("""COMPUTED_VALUE"""),"https://www.google.com/search?newwindow=1&amp;ei=2MT0XrvGGM-vytMP1OyDgAY&amp;q=site%3Alinkedin.com+Li+Steinberg+Campus+Recruiting+Manager")</f>
        <v>https://www.google.com/search?newwindow=1&amp;ei=2MT0XrvGGM-vytMP1OyDgAY&amp;q=site%3Alinkedin.com+Li+Steinberg+Campus+Recruiting+Manager</v>
      </c>
      <c r="K85" s="5" t="str">
        <f t="shared" si="1"/>
        <v>Li Steinberg</v>
      </c>
      <c r="L85" s="5" t="str">
        <f t="shared" si="2"/>
        <v>Campus Recruiting Manager</v>
      </c>
      <c r="M85" s="5" t="str">
        <f t="shared" si="3"/>
        <v/>
      </c>
      <c r="N85" s="5" t="str">
        <f t="shared" si="4"/>
        <v>KPMG</v>
      </c>
      <c r="O85" s="5" t="str">
        <f t="shared" si="5"/>
        <v>1 year 4 months in role and company</v>
      </c>
      <c r="P85" s="5" t="str">
        <f t="shared" si="6"/>
        <v>Boston</v>
      </c>
      <c r="Q85" s="5" t="str">
        <f t="shared" si="7"/>
        <v>Massachusetts</v>
      </c>
      <c r="R85" s="5" t="str">
        <f t="shared" si="8"/>
        <v>United States</v>
      </c>
    </row>
    <row r="86">
      <c r="A86" s="8" t="s">
        <v>4843</v>
      </c>
      <c r="B86" s="10" t="s">
        <v>4844</v>
      </c>
      <c r="C86" s="10" t="s">
        <v>4845</v>
      </c>
      <c r="D86" s="10"/>
      <c r="E86" s="10" t="s">
        <v>4495</v>
      </c>
      <c r="F86" s="10" t="s">
        <v>228</v>
      </c>
      <c r="G86" s="11" t="s">
        <v>377</v>
      </c>
      <c r="H86" s="11" t="s">
        <v>378</v>
      </c>
      <c r="I86" s="11" t="s">
        <v>18</v>
      </c>
      <c r="J86" s="9" t="str">
        <f>IFERROR(__xludf.DUMMYFUNCTION("""COMPUTED_VALUE"""),"https://www.google.com/search?newwindow=1&amp;ei=2MT0XrvGGM-vytMP1OyDgAY&amp;q=site%3Alinkedin.com+Krysta+DiGregorio+Senior+Campus+Recruiting+Specialist")</f>
        <v>https://www.google.com/search?newwindow=1&amp;ei=2MT0XrvGGM-vytMP1OyDgAY&amp;q=site%3Alinkedin.com+Krysta+DiGregorio+Senior+Campus+Recruiting+Specialist</v>
      </c>
      <c r="K86" s="5" t="str">
        <f t="shared" si="1"/>
        <v>Krysta DiGregorio</v>
      </c>
      <c r="L86" s="5" t="str">
        <f t="shared" si="2"/>
        <v>Senior Campus Recruiting Specialist</v>
      </c>
      <c r="M86" s="5" t="str">
        <f t="shared" si="3"/>
        <v/>
      </c>
      <c r="N86" s="5" t="str">
        <f t="shared" si="4"/>
        <v>Deloitte</v>
      </c>
      <c r="O86" s="5" t="str">
        <f t="shared" si="5"/>
        <v>3 years  in role</v>
      </c>
      <c r="P86" s="5" t="str">
        <f t="shared" si="6"/>
        <v>Boston</v>
      </c>
      <c r="Q86" s="5" t="str">
        <f t="shared" si="7"/>
        <v>Massachusetts</v>
      </c>
      <c r="R86" s="5" t="str">
        <f t="shared" si="8"/>
        <v>United States</v>
      </c>
    </row>
    <row r="87">
      <c r="A87" s="8" t="s">
        <v>4846</v>
      </c>
      <c r="B87" s="10" t="s">
        <v>4847</v>
      </c>
      <c r="C87" s="10" t="s">
        <v>4742</v>
      </c>
      <c r="D87" s="10"/>
      <c r="E87" s="10" t="s">
        <v>2839</v>
      </c>
      <c r="F87" s="10" t="s">
        <v>79</v>
      </c>
      <c r="G87" s="11" t="s">
        <v>377</v>
      </c>
      <c r="H87" s="11" t="s">
        <v>378</v>
      </c>
      <c r="I87" s="11" t="s">
        <v>18</v>
      </c>
      <c r="J87" s="9" t="str">
        <f>IFERROR(__xludf.DUMMYFUNCTION("""COMPUTED_VALUE"""),"https://www.google.com/search?newwindow=1&amp;ei=2MT0XrvGGM-vytMP1OyDgAY&amp;q=site%3Alinkedin.com+Christopher+Mann+Senior+Associate,+Campus+Recruiting")</f>
        <v>https://www.google.com/search?newwindow=1&amp;ei=2MT0XrvGGM-vytMP1OyDgAY&amp;q=site%3Alinkedin.com+Christopher+Mann+Senior+Associate,+Campus+Recruiting</v>
      </c>
      <c r="K87" s="5" t="str">
        <f t="shared" si="1"/>
        <v>Christopher Mann</v>
      </c>
      <c r="L87" s="5" t="str">
        <f t="shared" si="2"/>
        <v>Senior Associate, Campus Recruiting</v>
      </c>
      <c r="M87" s="5" t="str">
        <f t="shared" si="3"/>
        <v/>
      </c>
      <c r="N87" s="5" t="str">
        <f t="shared" si="4"/>
        <v>KPMG US</v>
      </c>
      <c r="O87" s="5" t="str">
        <f t="shared" si="5"/>
        <v>9 months in role and company</v>
      </c>
      <c r="P87" s="5" t="str">
        <f t="shared" si="6"/>
        <v>Boston</v>
      </c>
      <c r="Q87" s="5" t="str">
        <f t="shared" si="7"/>
        <v>Massachusetts</v>
      </c>
      <c r="R87" s="5" t="str">
        <f t="shared" si="8"/>
        <v>United States</v>
      </c>
    </row>
    <row r="88">
      <c r="A88" s="8" t="s">
        <v>4848</v>
      </c>
      <c r="B88" s="12" t="s">
        <v>4494</v>
      </c>
      <c r="C88" s="10" t="s">
        <v>371</v>
      </c>
      <c r="D88" s="10"/>
      <c r="E88" s="10" t="s">
        <v>4495</v>
      </c>
      <c r="F88" s="10" t="s">
        <v>26</v>
      </c>
      <c r="G88" s="11" t="s">
        <v>377</v>
      </c>
      <c r="H88" s="11" t="s">
        <v>378</v>
      </c>
      <c r="I88" s="11" t="s">
        <v>18</v>
      </c>
      <c r="J88" s="9" t="str">
        <f>IFERROR(__xludf.DUMMYFUNCTION("""COMPUTED_VALUE"""),"https://www.google.com/search?newwindow=1&amp;ei=2MT0XrvGGM-vytMP1OyDgAY&amp;q=site%3Alinkedin.com+Carrie+Palmer+Campus+Recruiting+Program+Manager")</f>
        <v>https://www.google.com/search?newwindow=1&amp;ei=2MT0XrvGGM-vytMP1OyDgAY&amp;q=site%3Alinkedin.com+Carrie+Palmer+Campus+Recruiting+Program+Manager</v>
      </c>
      <c r="K88" s="5" t="str">
        <f t="shared" si="1"/>
        <v>Carrie Palmer</v>
      </c>
      <c r="L88" s="5" t="str">
        <f t="shared" si="2"/>
        <v>Campus Recruiting Program Manager</v>
      </c>
      <c r="M88" s="5" t="str">
        <f t="shared" si="3"/>
        <v/>
      </c>
      <c r="N88" s="5" t="str">
        <f t="shared" si="4"/>
        <v>Wayfair</v>
      </c>
      <c r="O88" s="5" t="str">
        <f t="shared" si="5"/>
        <v>7 months in role and company</v>
      </c>
      <c r="P88" s="5" t="str">
        <f t="shared" si="6"/>
        <v>Boston</v>
      </c>
      <c r="Q88" s="5" t="str">
        <f t="shared" si="7"/>
        <v>Massachusetts</v>
      </c>
      <c r="R88" s="5" t="str">
        <f t="shared" si="8"/>
        <v>United States</v>
      </c>
    </row>
    <row r="89">
      <c r="A89" s="8" t="s">
        <v>4849</v>
      </c>
      <c r="B89" s="12" t="s">
        <v>4850</v>
      </c>
      <c r="C89" s="10" t="s">
        <v>2871</v>
      </c>
      <c r="D89" s="10"/>
      <c r="E89" s="10" t="s">
        <v>4659</v>
      </c>
      <c r="F89" s="10" t="s">
        <v>144</v>
      </c>
      <c r="G89" s="11" t="s">
        <v>377</v>
      </c>
      <c r="H89" s="11" t="s">
        <v>378</v>
      </c>
      <c r="I89" s="11" t="s">
        <v>18</v>
      </c>
      <c r="J89" s="9" t="str">
        <f>IFERROR(__xludf.DUMMYFUNCTION("""COMPUTED_VALUE"""),"https://www.google.com/search?newwindow=1&amp;ei=2MT0XrvGGM-vytMP1OyDgAY&amp;q=site%3Alinkedin.com+Monica+Baldwin+Recruiting+Manager,+Campus+&amp;+Programmatic+Hiring+(Manager-Level+Hiring)")</f>
        <v>https://www.google.com/search?newwindow=1&amp;ei=2MT0XrvGGM-vytMP1OyDgAY&amp;q=site%3Alinkedin.com+Monica+Baldwin+Recruiting+Manager,+Campus+&amp;+Programmatic+Hiring+(Manager-Level+Hiring)</v>
      </c>
      <c r="K89" s="5" t="str">
        <f t="shared" si="1"/>
        <v>Monica Baldwin</v>
      </c>
      <c r="L89" s="5" t="str">
        <f t="shared" si="2"/>
        <v>Recruiting Manager, Campus &amp; Programmatic Hiring (Manager-Level Hiring)</v>
      </c>
      <c r="M89" s="5" t="str">
        <f t="shared" si="3"/>
        <v/>
      </c>
      <c r="N89" s="5" t="str">
        <f t="shared" si="4"/>
        <v>Wayfair</v>
      </c>
      <c r="O89" s="5" t="str">
        <f t="shared" si="5"/>
        <v>2 years 2 months in role and company</v>
      </c>
      <c r="P89" s="5" t="str">
        <f t="shared" si="6"/>
        <v>Boston</v>
      </c>
      <c r="Q89" s="5" t="str">
        <f t="shared" si="7"/>
        <v>Massachusetts</v>
      </c>
      <c r="R89" s="5" t="str">
        <f t="shared" si="8"/>
        <v>United States</v>
      </c>
    </row>
    <row r="90">
      <c r="A90" s="8" t="s">
        <v>4851</v>
      </c>
      <c r="B90" s="10" t="s">
        <v>4852</v>
      </c>
      <c r="C90" s="10" t="s">
        <v>4749</v>
      </c>
      <c r="D90" s="10"/>
      <c r="E90" s="10" t="s">
        <v>4701</v>
      </c>
      <c r="F90" s="10" t="s">
        <v>651</v>
      </c>
      <c r="G90" s="11" t="s">
        <v>377</v>
      </c>
      <c r="H90" s="11" t="s">
        <v>378</v>
      </c>
      <c r="I90" s="11" t="s">
        <v>18</v>
      </c>
      <c r="J90" s="9" t="str">
        <f>IFERROR(__xludf.DUMMYFUNCTION("""COMPUTED_VALUE"""),"https://www.google.com/search?newwindow=1&amp;ei=2MT0XrvGGM-vytMP1OyDgAY&amp;q=site%3Alinkedin.com+Isabelle+Mellon+Senior+Campus+Recruiting+Coordinator")</f>
        <v>https://www.google.com/search?newwindow=1&amp;ei=2MT0XrvGGM-vytMP1OyDgAY&amp;q=site%3Alinkedin.com+Isabelle+Mellon+Senior+Campus+Recruiting+Coordinator</v>
      </c>
      <c r="K90" s="5" t="str">
        <f t="shared" si="1"/>
        <v>Isabelle Mellon</v>
      </c>
      <c r="L90" s="5" t="str">
        <f t="shared" si="2"/>
        <v>Senior Campus Recruiting Coordinator</v>
      </c>
      <c r="M90" s="5" t="str">
        <f t="shared" si="3"/>
        <v/>
      </c>
      <c r="N90" s="5" t="str">
        <f t="shared" si="4"/>
        <v>Deloitte</v>
      </c>
      <c r="O90" s="5" t="str">
        <f t="shared" si="5"/>
        <v>1 year 3 months in role</v>
      </c>
      <c r="P90" s="5" t="str">
        <f t="shared" si="6"/>
        <v>Boston</v>
      </c>
      <c r="Q90" s="5" t="str">
        <f t="shared" si="7"/>
        <v>Massachusetts</v>
      </c>
      <c r="R90" s="5" t="str">
        <f t="shared" si="8"/>
        <v>United States</v>
      </c>
    </row>
    <row r="91">
      <c r="A91" s="8" t="s">
        <v>4853</v>
      </c>
      <c r="B91" s="10" t="s">
        <v>2842</v>
      </c>
      <c r="C91" s="10" t="s">
        <v>371</v>
      </c>
      <c r="D91" s="10"/>
      <c r="E91" s="10" t="s">
        <v>2839</v>
      </c>
      <c r="F91" s="10" t="s">
        <v>651</v>
      </c>
      <c r="G91" s="11" t="s">
        <v>377</v>
      </c>
      <c r="H91" s="11" t="s">
        <v>378</v>
      </c>
      <c r="I91" s="11" t="s">
        <v>18</v>
      </c>
      <c r="J91" s="9" t="str">
        <f>IFERROR(__xludf.DUMMYFUNCTION("""COMPUTED_VALUE"""),"https://www.google.com/search?newwindow=1&amp;ei=2MT0XrvGGM-vytMP1OyDgAY&amp;q=site%3Alinkedin.com+Molly+Leighton+National+Assurance+Campus+Recruiting+Lead")</f>
        <v>https://www.google.com/search?newwindow=1&amp;ei=2MT0XrvGGM-vytMP1OyDgAY&amp;q=site%3Alinkedin.com+Molly+Leighton+National+Assurance+Campus+Recruiting+Lead</v>
      </c>
      <c r="K91" s="5" t="str">
        <f t="shared" si="1"/>
        <v>Molly Leighton</v>
      </c>
      <c r="L91" s="5" t="str">
        <f t="shared" si="2"/>
        <v>National Assurance Campus Recruiting Lead</v>
      </c>
      <c r="M91" s="5" t="str">
        <f t="shared" si="3"/>
        <v/>
      </c>
      <c r="N91" s="5" t="str">
        <f t="shared" si="4"/>
        <v>Ernst &amp; Young</v>
      </c>
      <c r="O91" s="5" t="str">
        <f t="shared" si="5"/>
        <v>1 year 7 months in role and company</v>
      </c>
      <c r="P91" s="5" t="str">
        <f t="shared" si="6"/>
        <v>Boston</v>
      </c>
      <c r="Q91" s="5" t="str">
        <f t="shared" si="7"/>
        <v>Massachusetts</v>
      </c>
      <c r="R91" s="5" t="str">
        <f t="shared" si="8"/>
        <v>United States</v>
      </c>
    </row>
    <row r="92">
      <c r="A92" s="8" t="s">
        <v>4854</v>
      </c>
      <c r="B92" s="12" t="s">
        <v>4855</v>
      </c>
      <c r="C92" s="10" t="s">
        <v>4674</v>
      </c>
      <c r="D92" s="10"/>
      <c r="E92" s="10" t="s">
        <v>1233</v>
      </c>
      <c r="F92" s="10" t="s">
        <v>1634</v>
      </c>
      <c r="G92" s="11" t="s">
        <v>377</v>
      </c>
      <c r="H92" s="11" t="s">
        <v>378</v>
      </c>
      <c r="I92" s="11" t="s">
        <v>18</v>
      </c>
      <c r="J92" s="9" t="str">
        <f>IFERROR(__xludf.DUMMYFUNCTION("""COMPUTED_VALUE"""),"https://www.google.com/search?newwindow=1&amp;ei=2MT0XrvGGM-vytMP1OyDgAY&amp;q=site%3Alinkedin.com+Lisa+Twomey,+PHR+Manager,+Consulting+Campus+Recruiting")</f>
        <v>https://www.google.com/search?newwindow=1&amp;ei=2MT0XrvGGM-vytMP1OyDgAY&amp;q=site%3Alinkedin.com+Lisa+Twomey,+PHR+Manager,+Consulting+Campus+Recruiting</v>
      </c>
      <c r="K92" s="5" t="str">
        <f t="shared" si="1"/>
        <v>Lisa Twomey, PHR</v>
      </c>
      <c r="L92" s="5" t="str">
        <f t="shared" si="2"/>
        <v>Manager, Consulting Campus Recruiting</v>
      </c>
      <c r="M92" s="5" t="str">
        <f t="shared" si="3"/>
        <v/>
      </c>
      <c r="N92" s="5" t="str">
        <f t="shared" si="4"/>
        <v>Deloitte</v>
      </c>
      <c r="O92" s="5" t="str">
        <f t="shared" si="5"/>
        <v>2 years  in role</v>
      </c>
      <c r="P92" s="5" t="str">
        <f t="shared" si="6"/>
        <v>Boston</v>
      </c>
      <c r="Q92" s="5" t="str">
        <f t="shared" si="7"/>
        <v>Massachusetts</v>
      </c>
      <c r="R92" s="5" t="str">
        <f t="shared" si="8"/>
        <v>United States</v>
      </c>
    </row>
    <row r="93">
      <c r="A93" s="8" t="s">
        <v>4856</v>
      </c>
      <c r="B93" s="12" t="s">
        <v>4857</v>
      </c>
      <c r="C93" s="10" t="s">
        <v>2871</v>
      </c>
      <c r="D93" s="10"/>
      <c r="E93" s="10" t="s">
        <v>4659</v>
      </c>
      <c r="F93" s="10" t="s">
        <v>441</v>
      </c>
      <c r="G93" s="11" t="s">
        <v>377</v>
      </c>
      <c r="H93" s="11" t="s">
        <v>378</v>
      </c>
      <c r="I93" s="11" t="s">
        <v>18</v>
      </c>
      <c r="J93" s="9" t="str">
        <f>IFERROR(__xludf.DUMMYFUNCTION("""COMPUTED_VALUE"""),"https://www.google.com/search?newwindow=1&amp;ei=2MT0XrvGGM-vytMP1OyDgAY&amp;q=site%3Alinkedin.com+Jessica+Hart+Campus+Recruiting+Coordinator+Co-Op")</f>
        <v>https://www.google.com/search?newwindow=1&amp;ei=2MT0XrvGGM-vytMP1OyDgAY&amp;q=site%3Alinkedin.com+Jessica+Hart+Campus+Recruiting+Coordinator+Co-Op</v>
      </c>
      <c r="K93" s="5" t="str">
        <f t="shared" si="1"/>
        <v>Jessica Hart</v>
      </c>
      <c r="L93" s="5" t="str">
        <f t="shared" si="2"/>
        <v>Campus Recruiting Coordinator Co-Op</v>
      </c>
      <c r="M93" s="5" t="str">
        <f t="shared" si="3"/>
        <v/>
      </c>
      <c r="N93" s="5" t="str">
        <f t="shared" si="4"/>
        <v>EY</v>
      </c>
      <c r="O93" s="5" t="str">
        <f t="shared" si="5"/>
        <v>10 months in role and company</v>
      </c>
      <c r="P93" s="5" t="str">
        <f t="shared" si="6"/>
        <v>Boston</v>
      </c>
      <c r="Q93" s="5" t="str">
        <f t="shared" si="7"/>
        <v>Massachusetts</v>
      </c>
      <c r="R93" s="5" t="str">
        <f t="shared" si="8"/>
        <v>United States</v>
      </c>
    </row>
    <row r="94">
      <c r="A94" s="8" t="s">
        <v>4858</v>
      </c>
      <c r="B94" s="10" t="s">
        <v>4506</v>
      </c>
      <c r="C94" s="10" t="s">
        <v>4507</v>
      </c>
      <c r="D94" s="10"/>
      <c r="E94" s="10" t="s">
        <v>4495</v>
      </c>
      <c r="F94" s="10" t="s">
        <v>399</v>
      </c>
      <c r="G94" s="11" t="s">
        <v>377</v>
      </c>
      <c r="H94" s="11" t="s">
        <v>378</v>
      </c>
      <c r="I94" s="11" t="s">
        <v>18</v>
      </c>
      <c r="J94" s="9" t="str">
        <f>IFERROR(__xludf.DUMMYFUNCTION("""COMPUTED_VALUE"""),"https://www.google.com/search?newwindow=1&amp;ei=2MT0XrvGGM-vytMP1OyDgAY&amp;q=site%3Alinkedin.com+Barbara+Nee+Center+of+Excellence+-+Campus+Recruiting+Field+Strategy+Leader")</f>
        <v>https://www.google.com/search?newwindow=1&amp;ei=2MT0XrvGGM-vytMP1OyDgAY&amp;q=site%3Alinkedin.com+Barbara+Nee+Center+of+Excellence+-+Campus+Recruiting+Field+Strategy+Leader</v>
      </c>
      <c r="K94" s="5" t="str">
        <f t="shared" si="1"/>
        <v>Barbara Nee</v>
      </c>
      <c r="L94" s="5" t="str">
        <f t="shared" si="2"/>
        <v>Center of Excellence - Campus Recruiting Field Strategy Leader</v>
      </c>
      <c r="M94" s="5" t="str">
        <f t="shared" si="3"/>
        <v/>
      </c>
      <c r="N94" s="5" t="str">
        <f t="shared" si="4"/>
        <v>EY</v>
      </c>
      <c r="O94" s="5" t="str">
        <f t="shared" si="5"/>
        <v>8 years 4 months in role</v>
      </c>
      <c r="P94" s="5" t="str">
        <f t="shared" si="6"/>
        <v>Boston</v>
      </c>
      <c r="Q94" s="5" t="str">
        <f t="shared" si="7"/>
        <v>Massachusetts</v>
      </c>
      <c r="R94" s="5" t="str">
        <f t="shared" si="8"/>
        <v>United States</v>
      </c>
    </row>
    <row r="95">
      <c r="A95" s="8" t="s">
        <v>4859</v>
      </c>
      <c r="B95" s="10" t="s">
        <v>4497</v>
      </c>
      <c r="C95" s="10" t="s">
        <v>4498</v>
      </c>
      <c r="D95" s="10"/>
      <c r="E95" s="10" t="s">
        <v>4495</v>
      </c>
      <c r="F95" s="10" t="s">
        <v>48</v>
      </c>
      <c r="G95" s="11" t="s">
        <v>377</v>
      </c>
      <c r="H95" s="11" t="s">
        <v>378</v>
      </c>
      <c r="I95" s="11" t="s">
        <v>18</v>
      </c>
      <c r="J95" s="9" t="str">
        <f>IFERROR(__xludf.DUMMYFUNCTION("""COMPUTED_VALUE"""),"https://www.google.com/search?newwindow=1&amp;ei=2MT0XrvGGM-vytMP1OyDgAY&amp;q=site%3Alinkedin.com+Claire+Tully+Campus+Recruiting+Specialist")</f>
        <v>https://www.google.com/search?newwindow=1&amp;ei=2MT0XrvGGM-vytMP1OyDgAY&amp;q=site%3Alinkedin.com+Claire+Tully+Campus+Recruiting+Specialist</v>
      </c>
      <c r="K95" s="5" t="str">
        <f t="shared" si="1"/>
        <v>Claire Tully</v>
      </c>
      <c r="L95" s="5" t="str">
        <f t="shared" si="2"/>
        <v>Campus Recruiting Specialist</v>
      </c>
      <c r="M95" s="5" t="str">
        <f t="shared" si="3"/>
        <v/>
      </c>
      <c r="N95" s="5" t="str">
        <f t="shared" si="4"/>
        <v>Deloitte Consulting</v>
      </c>
      <c r="O95" s="5" t="str">
        <f t="shared" si="5"/>
        <v>1 year 6 months in role and company</v>
      </c>
      <c r="P95" s="5" t="str">
        <f t="shared" si="6"/>
        <v>Boston</v>
      </c>
      <c r="Q95" s="5" t="str">
        <f t="shared" si="7"/>
        <v>Massachusetts</v>
      </c>
      <c r="R95" s="5" t="str">
        <f t="shared" si="8"/>
        <v>United States</v>
      </c>
    </row>
    <row r="96">
      <c r="A96" s="8" t="s">
        <v>4860</v>
      </c>
      <c r="B96" s="12" t="s">
        <v>4861</v>
      </c>
      <c r="C96" s="10" t="s">
        <v>4677</v>
      </c>
      <c r="D96" s="10"/>
      <c r="E96" s="10" t="s">
        <v>1233</v>
      </c>
      <c r="F96" s="10" t="s">
        <v>192</v>
      </c>
      <c r="G96" s="11" t="s">
        <v>377</v>
      </c>
      <c r="H96" s="11" t="s">
        <v>378</v>
      </c>
      <c r="I96" s="11" t="s">
        <v>18</v>
      </c>
      <c r="J96" s="9" t="str">
        <f>IFERROR(__xludf.DUMMYFUNCTION("""COMPUTED_VALUE"""),"https://www.google.com/search?newwindow=1&amp;ei=2MT0XrvGGM-vytMP1OyDgAY&amp;q=site%3Alinkedin.com+Kylie+Mendonca+Campus+Recruiting+Coordinator")</f>
        <v>https://www.google.com/search?newwindow=1&amp;ei=2MT0XrvGGM-vytMP1OyDgAY&amp;q=site%3Alinkedin.com+Kylie+Mendonca+Campus+Recruiting+Coordinator</v>
      </c>
      <c r="K96" s="5" t="str">
        <f t="shared" si="1"/>
        <v>Kylie Mendonca</v>
      </c>
      <c r="L96" s="5" t="str">
        <f t="shared" si="2"/>
        <v>Campus Recruiting Coordinator</v>
      </c>
      <c r="M96" s="5" t="str">
        <f t="shared" si="3"/>
        <v/>
      </c>
      <c r="N96" s="5" t="str">
        <f t="shared" si="4"/>
        <v>EY</v>
      </c>
      <c r="O96" s="5" t="str">
        <f t="shared" si="5"/>
        <v>1 year 5 months in role</v>
      </c>
      <c r="P96" s="5" t="str">
        <f t="shared" si="6"/>
        <v>Boston</v>
      </c>
      <c r="Q96" s="5" t="str">
        <f t="shared" si="7"/>
        <v>Massachusetts</v>
      </c>
      <c r="R96" s="5" t="str">
        <f t="shared" si="8"/>
        <v>United States</v>
      </c>
    </row>
    <row r="97">
      <c r="A97" s="8" t="s">
        <v>4862</v>
      </c>
      <c r="B97" s="10" t="s">
        <v>1566</v>
      </c>
      <c r="C97" s="10" t="s">
        <v>1567</v>
      </c>
      <c r="D97" s="10"/>
      <c r="E97" s="10" t="s">
        <v>1560</v>
      </c>
      <c r="F97" s="10" t="s">
        <v>100</v>
      </c>
      <c r="G97" s="11" t="s">
        <v>377</v>
      </c>
      <c r="H97" s="11" t="s">
        <v>378</v>
      </c>
      <c r="I97" s="11" t="s">
        <v>18</v>
      </c>
      <c r="J97" s="9" t="str">
        <f>IFERROR(__xludf.DUMMYFUNCTION("""COMPUTED_VALUE"""),"https://www.google.com/search?newwindow=1&amp;ei=2MT0XrvGGM-vytMP1OyDgAY&amp;q=site%3Alinkedin.com+Julie+Mims+Campus+Talent+Acquisition+Manager")</f>
        <v>https://www.google.com/search?newwindow=1&amp;ei=2MT0XrvGGM-vytMP1OyDgAY&amp;q=site%3Alinkedin.com+Julie+Mims+Campus+Talent+Acquisition+Manager</v>
      </c>
      <c r="K97" s="5" t="str">
        <f t="shared" si="1"/>
        <v>Julie Mims</v>
      </c>
      <c r="L97" s="5" t="str">
        <f t="shared" si="2"/>
        <v>Campus Talent Acquisition Manager</v>
      </c>
      <c r="M97" s="5" t="str">
        <f t="shared" si="3"/>
        <v/>
      </c>
      <c r="N97" s="5" t="str">
        <f t="shared" si="4"/>
        <v>PwC</v>
      </c>
      <c r="O97" s="5" t="str">
        <f t="shared" si="5"/>
        <v>3 years 7 months in role</v>
      </c>
      <c r="P97" s="5" t="str">
        <f t="shared" si="6"/>
        <v>Boston</v>
      </c>
      <c r="Q97" s="5" t="str">
        <f t="shared" si="7"/>
        <v>Massachusetts</v>
      </c>
      <c r="R97" s="5" t="str">
        <f t="shared" si="8"/>
        <v>United States</v>
      </c>
    </row>
    <row r="98">
      <c r="A98" s="8" t="s">
        <v>4863</v>
      </c>
      <c r="B98" s="12" t="s">
        <v>1253</v>
      </c>
      <c r="C98" s="10" t="s">
        <v>1254</v>
      </c>
      <c r="D98" s="10"/>
      <c r="E98" s="10" t="s">
        <v>1233</v>
      </c>
      <c r="F98" s="10" t="s">
        <v>365</v>
      </c>
      <c r="G98" s="11" t="s">
        <v>377</v>
      </c>
      <c r="H98" s="11" t="s">
        <v>378</v>
      </c>
      <c r="I98" s="11" t="s">
        <v>18</v>
      </c>
      <c r="J98" s="9" t="str">
        <f>IFERROR(__xludf.DUMMYFUNCTION("""COMPUTED_VALUE"""),"https://www.google.com/search?newwindow=1&amp;ei=2MT0XrvGGM-vytMP1OyDgAY&amp;q=site%3Alinkedin.com+Erin+Collins+Campus+Recruiter,+Technical+Campus+Recruiting")</f>
        <v>https://www.google.com/search?newwindow=1&amp;ei=2MT0XrvGGM-vytMP1OyDgAY&amp;q=site%3Alinkedin.com+Erin+Collins+Campus+Recruiter,+Technical+Campus+Recruiting</v>
      </c>
      <c r="K98" s="5" t="str">
        <f t="shared" si="1"/>
        <v>Erin Collins</v>
      </c>
      <c r="L98" s="5" t="str">
        <f t="shared" si="2"/>
        <v>Campus Recruiter, Technical Campus Recruiting</v>
      </c>
      <c r="M98" s="5" t="str">
        <f t="shared" si="3"/>
        <v/>
      </c>
      <c r="N98" s="5" t="str">
        <f t="shared" si="4"/>
        <v>Wayfair</v>
      </c>
      <c r="O98" s="5" t="str">
        <f t="shared" si="5"/>
        <v>2 years 3 months in role and company</v>
      </c>
      <c r="P98" s="5" t="str">
        <f t="shared" si="6"/>
        <v>Boston</v>
      </c>
      <c r="Q98" s="5" t="str">
        <f t="shared" si="7"/>
        <v>Massachusetts</v>
      </c>
      <c r="R98" s="5" t="str">
        <f t="shared" si="8"/>
        <v>United States</v>
      </c>
    </row>
    <row r="99">
      <c r="A99" s="8" t="s">
        <v>4864</v>
      </c>
      <c r="B99" s="10" t="s">
        <v>4865</v>
      </c>
      <c r="C99" s="10" t="s">
        <v>4866</v>
      </c>
      <c r="D99" s="10"/>
      <c r="E99" s="10" t="s">
        <v>4701</v>
      </c>
      <c r="F99" s="10" t="s">
        <v>165</v>
      </c>
      <c r="G99" s="11" t="s">
        <v>377</v>
      </c>
      <c r="H99" s="11" t="s">
        <v>378</v>
      </c>
      <c r="I99" s="11" t="s">
        <v>18</v>
      </c>
      <c r="J99" s="9" t="str">
        <f>IFERROR(__xludf.DUMMYFUNCTION("""COMPUTED_VALUE"""),"https://www.google.com/search?newwindow=1&amp;ei=2MT0XrvGGM-vytMP1OyDgAY&amp;q=site%3Alinkedin.com+Michelle+Lombardo+Campus+Recruiting+Senior+Associate")</f>
        <v>https://www.google.com/search?newwindow=1&amp;ei=2MT0XrvGGM-vytMP1OyDgAY&amp;q=site%3Alinkedin.com+Michelle+Lombardo+Campus+Recruiting+Senior+Associate</v>
      </c>
      <c r="K99" s="5" t="str">
        <f t="shared" si="1"/>
        <v>Michelle Lombardo</v>
      </c>
      <c r="L99" s="5" t="str">
        <f t="shared" si="2"/>
        <v>Campus Recruiting Senior Associate</v>
      </c>
      <c r="M99" s="5" t="str">
        <f t="shared" si="3"/>
        <v/>
      </c>
      <c r="N99" s="5" t="str">
        <f t="shared" si="4"/>
        <v>PricewaterhouseCoopers LLP</v>
      </c>
      <c r="O99" s="5" t="str">
        <f t="shared" si="5"/>
        <v>16 years 10 months in role</v>
      </c>
      <c r="P99" s="5" t="str">
        <f t="shared" si="6"/>
        <v>Boston</v>
      </c>
      <c r="Q99" s="5" t="str">
        <f t="shared" si="7"/>
        <v>Massachusetts</v>
      </c>
      <c r="R99" s="5" t="str">
        <f t="shared" si="8"/>
        <v>United States</v>
      </c>
    </row>
    <row r="100">
      <c r="A100" s="8" t="s">
        <v>4867</v>
      </c>
      <c r="B100" s="10" t="s">
        <v>4868</v>
      </c>
      <c r="C100" s="10" t="s">
        <v>4869</v>
      </c>
      <c r="D100" s="10"/>
      <c r="E100" s="10" t="s">
        <v>4701</v>
      </c>
      <c r="F100" s="10" t="s">
        <v>4870</v>
      </c>
      <c r="G100" s="11" t="s">
        <v>377</v>
      </c>
      <c r="H100" s="11" t="s">
        <v>378</v>
      </c>
      <c r="I100" s="11" t="s">
        <v>18</v>
      </c>
      <c r="J100" s="9" t="str">
        <f>IFERROR(__xludf.DUMMYFUNCTION("""COMPUTED_VALUE"""),"https://www.google.com/search?newwindow=1&amp;ei=2MT0XrvGGM-vytMP1OyDgAY&amp;q=site%3Alinkedin.com+Brianne+Campbell+Financial+Services+Campus+Recruiting,+Associate+Director")</f>
        <v>https://www.google.com/search?newwindow=1&amp;ei=2MT0XrvGGM-vytMP1OyDgAY&amp;q=site%3Alinkedin.com+Brianne+Campbell+Financial+Services+Campus+Recruiting,+Associate+Director</v>
      </c>
      <c r="K100" s="5" t="str">
        <f t="shared" si="1"/>
        <v>Brianne Campbell</v>
      </c>
      <c r="L100" s="5" t="str">
        <f t="shared" si="2"/>
        <v>Financial Services Campus Recruiting, Associate Director</v>
      </c>
      <c r="M100" s="5" t="str">
        <f t="shared" si="3"/>
        <v/>
      </c>
      <c r="N100" s="5" t="str">
        <f t="shared" si="4"/>
        <v>EY</v>
      </c>
      <c r="O100" s="5" t="str">
        <f t="shared" si="5"/>
        <v>5 years 1 month in role</v>
      </c>
      <c r="P100" s="5" t="str">
        <f t="shared" si="6"/>
        <v>Boston</v>
      </c>
      <c r="Q100" s="5" t="str">
        <f t="shared" si="7"/>
        <v>Massachusetts</v>
      </c>
      <c r="R100" s="5" t="str">
        <f t="shared" si="8"/>
        <v>United States</v>
      </c>
    </row>
    <row r="101">
      <c r="A101" s="8" t="s">
        <v>4871</v>
      </c>
      <c r="B101" s="10" t="s">
        <v>4872</v>
      </c>
      <c r="C101" s="10" t="s">
        <v>1378</v>
      </c>
      <c r="D101" s="10"/>
      <c r="E101" s="10" t="s">
        <v>1424</v>
      </c>
      <c r="F101" s="10" t="s">
        <v>574</v>
      </c>
      <c r="G101" s="11" t="s">
        <v>377</v>
      </c>
      <c r="H101" s="11" t="s">
        <v>378</v>
      </c>
      <c r="I101" s="11" t="s">
        <v>18</v>
      </c>
      <c r="J101" s="9" t="str">
        <f>IFERROR(__xludf.DUMMYFUNCTION("""COMPUTED_VALUE"""),"https://www.google.com/search?newwindow=1&amp;ei=2MT0XrvGGM-vytMP1OyDgAY&amp;q=site%3Alinkedin.com+Fedora+Maduro+Technology+Campus+Recruiter+-+Human+Resources")</f>
        <v>https://www.google.com/search?newwindow=1&amp;ei=2MT0XrvGGM-vytMP1OyDgAY&amp;q=site%3Alinkedin.com+Fedora+Maduro+Technology+Campus+Recruiter+-+Human+Resources</v>
      </c>
      <c r="K101" s="5" t="str">
        <f t="shared" si="1"/>
        <v>Fedora Maduro</v>
      </c>
      <c r="L101" s="5" t="str">
        <f t="shared" si="2"/>
        <v>Technology Campus Recruiter - Human Resources</v>
      </c>
      <c r="M101" s="5" t="str">
        <f t="shared" si="3"/>
        <v/>
      </c>
      <c r="N101" s="5" t="str">
        <f t="shared" si="4"/>
        <v>JPMorgan Chase &amp; Co.</v>
      </c>
      <c r="O101" s="5" t="str">
        <f t="shared" si="5"/>
        <v>1 year 5 months in role</v>
      </c>
      <c r="P101" s="5" t="str">
        <f t="shared" si="6"/>
        <v>Bournemouth</v>
      </c>
      <c r="Q101" s="5" t="str">
        <f t="shared" si="7"/>
        <v>England</v>
      </c>
      <c r="R101" s="5" t="str">
        <f t="shared" si="8"/>
        <v>United Kingdom</v>
      </c>
    </row>
    <row r="102">
      <c r="A102" s="8" t="s">
        <v>4873</v>
      </c>
      <c r="B102" s="12" t="s">
        <v>4874</v>
      </c>
      <c r="C102" s="10" t="s">
        <v>4749</v>
      </c>
      <c r="D102" s="10"/>
      <c r="E102" s="10" t="s">
        <v>4701</v>
      </c>
      <c r="F102" s="10" t="s">
        <v>106</v>
      </c>
      <c r="G102" s="11" t="s">
        <v>377</v>
      </c>
      <c r="H102" s="11" t="s">
        <v>378</v>
      </c>
      <c r="I102" s="11" t="s">
        <v>18</v>
      </c>
      <c r="J102" s="9" t="str">
        <f>IFERROR(__xludf.DUMMYFUNCTION("""COMPUTED_VALUE"""),"https://www.google.com/search?newwindow=1&amp;ei=2MT0XrvGGM-vytMP1OyDgAY&amp;q=site%3Alinkedin.com+Valeria+B.+Programs+Intern")</f>
        <v>https://www.google.com/search?newwindow=1&amp;ei=2MT0XrvGGM-vytMP1OyDgAY&amp;q=site%3Alinkedin.com+Valeria+B.+Programs+Intern</v>
      </c>
      <c r="K102" s="5" t="str">
        <f t="shared" si="1"/>
        <v>Valeria B.</v>
      </c>
      <c r="L102" s="5" t="str">
        <f t="shared" si="2"/>
        <v>Programs Intern</v>
      </c>
      <c r="M102" s="5" t="str">
        <f t="shared" si="3"/>
        <v/>
      </c>
      <c r="N102" s="5" t="str">
        <f t="shared" si="4"/>
        <v>Hamble Aerostructures Ltd</v>
      </c>
      <c r="O102" s="5" t="str">
        <f t="shared" si="5"/>
        <v>5 months in role and company</v>
      </c>
      <c r="P102" s="5" t="str">
        <f t="shared" si="6"/>
        <v>Bournemouth</v>
      </c>
      <c r="Q102" s="5" t="str">
        <f t="shared" si="7"/>
        <v>England</v>
      </c>
      <c r="R102" s="5" t="str">
        <f t="shared" si="8"/>
        <v>United Kingdom</v>
      </c>
    </row>
    <row r="103">
      <c r="A103" s="8" t="s">
        <v>4875</v>
      </c>
      <c r="B103" s="10" t="s">
        <v>3676</v>
      </c>
      <c r="C103" s="10" t="s">
        <v>3677</v>
      </c>
      <c r="D103" s="10"/>
      <c r="E103" s="10" t="s">
        <v>3649</v>
      </c>
      <c r="F103" s="10" t="s">
        <v>958</v>
      </c>
      <c r="G103" s="11" t="s">
        <v>377</v>
      </c>
      <c r="H103" s="11" t="s">
        <v>378</v>
      </c>
      <c r="I103" s="11" t="s">
        <v>18</v>
      </c>
      <c r="J103" s="9" t="str">
        <f>IFERROR(__xludf.DUMMYFUNCTION("""COMPUTED_VALUE"""),"https://www.google.com/search?newwindow=1&amp;ei=2MT0XrvGGM-vytMP1OyDgAY&amp;q=site%3Alinkedin.com+Bryony+Bain+Campus+Recruiting")</f>
        <v>https://www.google.com/search?newwindow=1&amp;ei=2MT0XrvGGM-vytMP1OyDgAY&amp;q=site%3Alinkedin.com+Bryony+Bain+Campus+Recruiting</v>
      </c>
      <c r="K103" s="5" t="str">
        <f t="shared" si="1"/>
        <v>Bryony Bain</v>
      </c>
      <c r="L103" s="5" t="str">
        <f t="shared" si="2"/>
        <v>Campus Recruiting</v>
      </c>
      <c r="M103" s="5" t="str">
        <f t="shared" si="3"/>
        <v/>
      </c>
      <c r="N103" s="5" t="str">
        <f t="shared" si="4"/>
        <v>J.P. Morgan</v>
      </c>
      <c r="O103" s="5" t="str">
        <f t="shared" si="5"/>
        <v>2 years 10 months in role and company</v>
      </c>
      <c r="P103" s="5" t="str">
        <f t="shared" si="6"/>
        <v>Bournemouth</v>
      </c>
      <c r="Q103" s="5" t="str">
        <f t="shared" si="7"/>
        <v>England</v>
      </c>
      <c r="R103" s="5" t="str">
        <f t="shared" si="8"/>
        <v>United Kingdom</v>
      </c>
    </row>
    <row r="104">
      <c r="A104" s="8" t="s">
        <v>4876</v>
      </c>
      <c r="B104" s="10" t="s">
        <v>4522</v>
      </c>
      <c r="C104" s="10" t="s">
        <v>4523</v>
      </c>
      <c r="D104" s="10"/>
      <c r="E104" s="10" t="s">
        <v>4495</v>
      </c>
      <c r="F104" s="10" t="s">
        <v>182</v>
      </c>
      <c r="G104" s="11" t="s">
        <v>377</v>
      </c>
      <c r="H104" s="11" t="s">
        <v>378</v>
      </c>
      <c r="I104" s="11" t="s">
        <v>18</v>
      </c>
      <c r="J104" s="9" t="str">
        <f>IFERROR(__xludf.DUMMYFUNCTION("""COMPUTED_VALUE"""),"https://www.google.com/search?newwindow=1&amp;ei=2MT0XrvGGM-vytMP1OyDgAY&amp;q=site%3Alinkedin.com+Paula+J+Horton+UK/EU+Recruitment+Officer,+External+Affairs+-+University+of+Bradford+(to+September+2020)")</f>
        <v>https://www.google.com/search?newwindow=1&amp;ei=2MT0XrvGGM-vytMP1OyDgAY&amp;q=site%3Alinkedin.com+Paula+J+Horton+UK/EU+Recruitment+Officer,+External+Affairs+-+University+of+Bradford+(to+September+2020)</v>
      </c>
      <c r="K104" s="5" t="str">
        <f t="shared" si="1"/>
        <v>Paula J Horton</v>
      </c>
      <c r="L104" s="5" t="str">
        <f t="shared" si="2"/>
        <v>UK/EU Recruitment Officer, External Affairs - University of Bradford (to September 2020)</v>
      </c>
      <c r="M104" s="5" t="str">
        <f t="shared" si="3"/>
        <v/>
      </c>
      <c r="N104" s="5" t="str">
        <f t="shared" si="4"/>
        <v>University of Bradford</v>
      </c>
      <c r="O104" s="5" t="str">
        <f t="shared" si="5"/>
        <v>9 months in role and company</v>
      </c>
      <c r="P104" s="5" t="str">
        <f t="shared" si="6"/>
        <v>Bradford</v>
      </c>
      <c r="Q104" s="5" t="str">
        <f t="shared" si="7"/>
        <v>England</v>
      </c>
      <c r="R104" s="5" t="str">
        <f t="shared" si="8"/>
        <v>United Kingdom</v>
      </c>
    </row>
    <row r="105">
      <c r="A105" s="8" t="s">
        <v>4877</v>
      </c>
      <c r="B105" s="12" t="s">
        <v>4878</v>
      </c>
      <c r="C105" s="10" t="s">
        <v>4879</v>
      </c>
      <c r="D105" s="10"/>
      <c r="E105" s="10" t="s">
        <v>4880</v>
      </c>
      <c r="F105" s="10" t="s">
        <v>4881</v>
      </c>
      <c r="G105" s="11" t="s">
        <v>377</v>
      </c>
      <c r="H105" s="11" t="s">
        <v>378</v>
      </c>
      <c r="I105" s="11" t="s">
        <v>18</v>
      </c>
      <c r="J105" s="9" t="str">
        <f>IFERROR(__xludf.DUMMYFUNCTION("""COMPUTED_VALUE"""),"https://www.google.com/search?newwindow=1&amp;ei=2MT0XrvGGM-vytMP1OyDgAY&amp;q=site%3Alinkedin.com+Mohammed+A.+Talent+Advisor+&amp;+Graduate+Recruiter+at+Kelda+Group+Plc")</f>
        <v>https://www.google.com/search?newwindow=1&amp;ei=2MT0XrvGGM-vytMP1OyDgAY&amp;q=site%3Alinkedin.com+Mohammed+A.+Talent+Advisor+&amp;+Graduate+Recruiter+at+Kelda+Group+Plc</v>
      </c>
      <c r="K105" s="5" t="str">
        <f t="shared" si="1"/>
        <v>Mohammed A.</v>
      </c>
      <c r="L105" s="5" t="str">
        <f t="shared" si="2"/>
        <v>Talent Advisor &amp; Graduate Recruiter at Kelda Group Plc</v>
      </c>
      <c r="M105" s="5" t="str">
        <f t="shared" si="3"/>
        <v/>
      </c>
      <c r="N105" s="5" t="str">
        <f t="shared" si="4"/>
        <v>Kelda Group Plc</v>
      </c>
      <c r="O105" s="5" t="str">
        <f t="shared" si="5"/>
        <v>9 years 10 months in role and company</v>
      </c>
      <c r="P105" s="5" t="str">
        <f t="shared" si="6"/>
        <v>Bradford</v>
      </c>
      <c r="Q105" s="5" t="str">
        <f t="shared" si="7"/>
        <v>England</v>
      </c>
      <c r="R105" s="5" t="str">
        <f t="shared" si="8"/>
        <v>United Kingdom</v>
      </c>
    </row>
    <row r="106">
      <c r="A106" s="8" t="s">
        <v>4882</v>
      </c>
      <c r="B106" s="12" t="s">
        <v>4883</v>
      </c>
      <c r="C106" s="10" t="s">
        <v>4884</v>
      </c>
      <c r="D106" s="10"/>
      <c r="E106" s="10" t="s">
        <v>4701</v>
      </c>
      <c r="F106" s="10" t="s">
        <v>1921</v>
      </c>
      <c r="G106" s="11" t="s">
        <v>377</v>
      </c>
      <c r="H106" s="11" t="s">
        <v>378</v>
      </c>
      <c r="I106" s="11" t="s">
        <v>18</v>
      </c>
      <c r="J106" s="9" t="str">
        <f>IFERROR(__xludf.DUMMYFUNCTION("""COMPUTED_VALUE"""),"https://www.google.com/search?newwindow=1&amp;ei=2MT0XrvGGM-vytMP1OyDgAY&amp;q=site%3Alinkedin.com+Olivia+Charran+Dual+credit+program+student+support+officer+(school+college+work+initiative)")</f>
        <v>https://www.google.com/search?newwindow=1&amp;ei=2MT0XrvGGM-vytMP1OyDgAY&amp;q=site%3Alinkedin.com+Olivia+Charran+Dual+credit+program+student+support+officer+(school+college+work+initiative)</v>
      </c>
      <c r="K106" s="5" t="str">
        <f t="shared" si="1"/>
        <v>Olivia Charran</v>
      </c>
      <c r="L106" s="5" t="str">
        <f t="shared" si="2"/>
        <v>Dual credit program student support officer (school college work initiative)</v>
      </c>
      <c r="M106" s="5" t="str">
        <f t="shared" si="3"/>
        <v/>
      </c>
      <c r="N106" s="5" t="str">
        <f t="shared" si="4"/>
        <v>Sheridan College</v>
      </c>
      <c r="O106" s="5" t="str">
        <f t="shared" si="5"/>
        <v>10 months in role and company</v>
      </c>
      <c r="P106" s="5" t="str">
        <f t="shared" si="6"/>
        <v>Brampton</v>
      </c>
      <c r="Q106" s="5" t="str">
        <f t="shared" si="7"/>
        <v>Ontario</v>
      </c>
      <c r="R106" s="5" t="str">
        <f t="shared" si="8"/>
        <v>Canada</v>
      </c>
    </row>
    <row r="107">
      <c r="A107" s="8" t="s">
        <v>4885</v>
      </c>
      <c r="B107" s="10" t="s">
        <v>4886</v>
      </c>
      <c r="C107" s="10" t="s">
        <v>4887</v>
      </c>
      <c r="D107" s="10"/>
      <c r="E107" s="10" t="s">
        <v>4611</v>
      </c>
      <c r="F107" s="10" t="s">
        <v>106</v>
      </c>
      <c r="G107" s="11" t="s">
        <v>4888</v>
      </c>
      <c r="H107" s="11" t="s">
        <v>4757</v>
      </c>
      <c r="I107" s="11" t="s">
        <v>4607</v>
      </c>
      <c r="J107" s="9" t="str">
        <f>IFERROR(__xludf.DUMMYFUNCTION("""COMPUTED_VALUE"""),"https://www.google.com/search?newwindow=1&amp;ei=2MT0XrvGGM-vytMP1OyDgAY&amp;q=site%3Alinkedin.com+Ininder+Badwal,+CHRP+Talent+Attraction+Specialist+-+Campus+Recruiting")</f>
        <v>https://www.google.com/search?newwindow=1&amp;ei=2MT0XrvGGM-vytMP1OyDgAY&amp;q=site%3Alinkedin.com+Ininder+Badwal,+CHRP+Talent+Attraction+Specialist+-+Campus+Recruiting</v>
      </c>
      <c r="K107" s="5" t="str">
        <f t="shared" si="1"/>
        <v>Ininder Badwal, CHRP</v>
      </c>
      <c r="L107" s="5" t="str">
        <f t="shared" si="2"/>
        <v>Talent Attraction Specialist - Campus Recruiting</v>
      </c>
      <c r="M107" s="5" t="str">
        <f t="shared" si="3"/>
        <v/>
      </c>
      <c r="N107" s="5" t="str">
        <f t="shared" si="4"/>
        <v>KPMG Canada</v>
      </c>
      <c r="O107" s="5" t="str">
        <f t="shared" si="5"/>
        <v>1 year 10 months in role</v>
      </c>
      <c r="P107" s="5" t="str">
        <f t="shared" si="6"/>
        <v>Brampton</v>
      </c>
      <c r="Q107" s="5" t="str">
        <f t="shared" si="7"/>
        <v>Ontario</v>
      </c>
      <c r="R107" s="5" t="str">
        <f t="shared" si="8"/>
        <v>Canada</v>
      </c>
    </row>
    <row r="108">
      <c r="A108" s="8" t="s">
        <v>4889</v>
      </c>
      <c r="B108" s="10" t="s">
        <v>4890</v>
      </c>
      <c r="C108" s="10" t="s">
        <v>4891</v>
      </c>
      <c r="D108" s="10"/>
      <c r="E108" s="10" t="s">
        <v>4892</v>
      </c>
      <c r="F108" s="10" t="s">
        <v>727</v>
      </c>
      <c r="G108" s="11" t="s">
        <v>4888</v>
      </c>
      <c r="H108" s="11" t="s">
        <v>4757</v>
      </c>
      <c r="I108" s="11" t="s">
        <v>4607</v>
      </c>
      <c r="J108" s="9" t="str">
        <f>IFERROR(__xludf.DUMMYFUNCTION("""COMPUTED_VALUE"""),"https://www.google.com/search?newwindow=1&amp;ei=2MT0XrvGGM-vytMP1OyDgAY&amp;q=site%3Alinkedin.com+Iesha+Smith+Student+Recruiter+Assistant")</f>
        <v>https://www.google.com/search?newwindow=1&amp;ei=2MT0XrvGGM-vytMP1OyDgAY&amp;q=site%3Alinkedin.com+Iesha+Smith+Student+Recruiter+Assistant</v>
      </c>
      <c r="K108" s="5" t="str">
        <f t="shared" si="1"/>
        <v>Iesha Smith</v>
      </c>
      <c r="L108" s="5" t="str">
        <f t="shared" si="2"/>
        <v>Student Recruiter Assistant</v>
      </c>
      <c r="M108" s="5" t="str">
        <f t="shared" si="3"/>
        <v/>
      </c>
      <c r="N108" s="5" t="str">
        <f t="shared" si="4"/>
        <v>Centennial College</v>
      </c>
      <c r="O108" s="5" t="str">
        <f t="shared" si="5"/>
        <v>10 years 2 months in role and company</v>
      </c>
      <c r="P108" s="5" t="str">
        <f t="shared" si="6"/>
        <v>Brampton</v>
      </c>
      <c r="Q108" s="5" t="str">
        <f t="shared" si="7"/>
        <v>Ontario</v>
      </c>
      <c r="R108" s="5" t="str">
        <f t="shared" si="8"/>
        <v>Canada</v>
      </c>
    </row>
    <row r="109">
      <c r="A109" s="8" t="s">
        <v>4893</v>
      </c>
      <c r="B109" s="10" t="s">
        <v>4894</v>
      </c>
      <c r="C109" s="10" t="s">
        <v>1896</v>
      </c>
      <c r="D109" s="10"/>
      <c r="E109" s="10" t="s">
        <v>4895</v>
      </c>
      <c r="F109" s="10" t="s">
        <v>125</v>
      </c>
      <c r="G109" s="11" t="s">
        <v>4888</v>
      </c>
      <c r="H109" s="11" t="s">
        <v>4757</v>
      </c>
      <c r="I109" s="11" t="s">
        <v>4607</v>
      </c>
      <c r="J109" s="9" t="str">
        <f>IFERROR(__xludf.DUMMYFUNCTION("""COMPUTED_VALUE"""),"https://www.google.com/search?newwindow=1&amp;ei=2MT0XrvGGM-vytMP1OyDgAY&amp;q=site%3Alinkedin.com+Rebeca+M.,+MSW,+RSW+Student+Development+Coordinator+-+Intercultural+Programs")</f>
        <v>https://www.google.com/search?newwindow=1&amp;ei=2MT0XrvGGM-vytMP1OyDgAY&amp;q=site%3Alinkedin.com+Rebeca+M.,+MSW,+RSW+Student+Development+Coordinator+-+Intercultural+Programs</v>
      </c>
      <c r="K109" s="5" t="str">
        <f t="shared" si="1"/>
        <v>Rebeca M., MSW, RSW</v>
      </c>
      <c r="L109" s="5" t="str">
        <f t="shared" si="2"/>
        <v>Student Development Coordinator - Intercultural Programs</v>
      </c>
      <c r="M109" s="5" t="str">
        <f t="shared" si="3"/>
        <v/>
      </c>
      <c r="N109" s="5" t="str">
        <f t="shared" si="4"/>
        <v>University of Toronto Mississauga</v>
      </c>
      <c r="O109" s="5" t="str">
        <f t="shared" si="5"/>
        <v>1 year 4 months in role and company</v>
      </c>
      <c r="P109" s="5" t="str">
        <f t="shared" si="6"/>
        <v>Brampton</v>
      </c>
      <c r="Q109" s="5" t="str">
        <f t="shared" si="7"/>
        <v>Ontario</v>
      </c>
      <c r="R109" s="5" t="str">
        <f t="shared" si="8"/>
        <v>Canada</v>
      </c>
    </row>
    <row r="110">
      <c r="A110" s="8" t="s">
        <v>4896</v>
      </c>
      <c r="B110" s="10" t="s">
        <v>4897</v>
      </c>
      <c r="C110" s="10" t="s">
        <v>4898</v>
      </c>
      <c r="D110" s="10"/>
      <c r="E110" s="10" t="s">
        <v>4899</v>
      </c>
      <c r="F110" s="10" t="s">
        <v>441</v>
      </c>
      <c r="G110" s="11" t="s">
        <v>4900</v>
      </c>
      <c r="H110" s="11" t="s">
        <v>4757</v>
      </c>
      <c r="I110" s="11" t="s">
        <v>4607</v>
      </c>
      <c r="J110" s="9" t="str">
        <f>IFERROR(__xludf.DUMMYFUNCTION("""COMPUTED_VALUE"""),"https://www.google.com/search?newwindow=1&amp;ei=2MT0XrvGGM-vytMP1OyDgAY&amp;q=site%3Alinkedin.com+Oriana+Barros+Manager,+Pathway+Programs,+Student+Recruitment+&amp;+Admissions")</f>
        <v>https://www.google.com/search?newwindow=1&amp;ei=2MT0XrvGGM-vytMP1OyDgAY&amp;q=site%3Alinkedin.com+Oriana+Barros+Manager,+Pathway+Programs,+Student+Recruitment+&amp;+Admissions</v>
      </c>
      <c r="K110" s="5" t="str">
        <f t="shared" si="1"/>
        <v>Oriana Barros</v>
      </c>
      <c r="L110" s="5" t="str">
        <f t="shared" si="2"/>
        <v>Manager, Pathway Programs, Student Recruitment &amp; Admissions</v>
      </c>
      <c r="M110" s="5" t="str">
        <f t="shared" si="3"/>
        <v/>
      </c>
      <c r="N110" s="5" t="str">
        <f t="shared" si="4"/>
        <v>University of Toronto Mississauga</v>
      </c>
      <c r="O110" s="5" t="str">
        <f t="shared" si="5"/>
        <v>1 year 7 months in role and company</v>
      </c>
      <c r="P110" s="5" t="str">
        <f t="shared" si="6"/>
        <v>Brampton</v>
      </c>
      <c r="Q110" s="5" t="str">
        <f t="shared" si="7"/>
        <v>Ontario</v>
      </c>
      <c r="R110" s="5" t="str">
        <f t="shared" si="8"/>
        <v>Canada</v>
      </c>
    </row>
    <row r="111">
      <c r="A111" s="8" t="s">
        <v>4901</v>
      </c>
      <c r="B111" s="10" t="s">
        <v>4902</v>
      </c>
      <c r="C111" s="10" t="s">
        <v>4903</v>
      </c>
      <c r="D111" s="10"/>
      <c r="E111" s="10" t="s">
        <v>4904</v>
      </c>
      <c r="F111" s="10" t="s">
        <v>4905</v>
      </c>
      <c r="G111" s="11" t="s">
        <v>4900</v>
      </c>
      <c r="H111" s="11" t="s">
        <v>4757</v>
      </c>
      <c r="I111" s="11" t="s">
        <v>4607</v>
      </c>
      <c r="J111" s="9" t="str">
        <f>IFERROR(__xludf.DUMMYFUNCTION("""COMPUTED_VALUE"""),"https://www.google.com/search?newwindow=1&amp;ei=2MT0XrvGGM-vytMP1OyDgAY&amp;q=site%3Alinkedin.com+Nancy+Boyce+Student+Programs+Coordinator")</f>
        <v>https://www.google.com/search?newwindow=1&amp;ei=2MT0XrvGGM-vytMP1OyDgAY&amp;q=site%3Alinkedin.com+Nancy+Boyce+Student+Programs+Coordinator</v>
      </c>
      <c r="K111" s="5" t="str">
        <f t="shared" si="1"/>
        <v>Nancy Boyce</v>
      </c>
      <c r="L111" s="5" t="str">
        <f t="shared" si="2"/>
        <v>Student Programs Coordinator</v>
      </c>
      <c r="M111" s="5" t="str">
        <f t="shared" si="3"/>
        <v/>
      </c>
      <c r="N111" s="5" t="str">
        <f t="shared" si="4"/>
        <v>Blake, Cassels &amp; Graydon LLP</v>
      </c>
      <c r="O111" s="5" t="str">
        <f t="shared" si="5"/>
        <v>10 years 4 months in role and company</v>
      </c>
      <c r="P111" s="5" t="str">
        <f t="shared" si="6"/>
        <v>Brampton</v>
      </c>
      <c r="Q111" s="5" t="str">
        <f t="shared" si="7"/>
        <v>Ontario</v>
      </c>
      <c r="R111" s="5" t="str">
        <f t="shared" si="8"/>
        <v>Canada</v>
      </c>
    </row>
    <row r="112">
      <c r="A112" s="8" t="s">
        <v>4906</v>
      </c>
      <c r="B112" s="10" t="s">
        <v>4907</v>
      </c>
      <c r="C112" s="10" t="s">
        <v>4908</v>
      </c>
      <c r="D112" s="10"/>
      <c r="E112" s="10" t="s">
        <v>4909</v>
      </c>
      <c r="F112" s="10" t="s">
        <v>165</v>
      </c>
      <c r="G112" s="11" t="s">
        <v>4910</v>
      </c>
      <c r="H112" s="11" t="s">
        <v>4638</v>
      </c>
      <c r="I112" s="11" t="s">
        <v>4600</v>
      </c>
      <c r="J112" s="9" t="str">
        <f>IFERROR(__xludf.DUMMYFUNCTION("""COMPUTED_VALUE"""),"https://www.google.com/search?newwindow=1&amp;ei=2MT0XrvGGM-vytMP1OyDgAY&amp;q=site%3Alinkedin.com+Cathee+McAuley+Campus+Recruiting+Associate")</f>
        <v>https://www.google.com/search?newwindow=1&amp;ei=2MT0XrvGGM-vytMP1OyDgAY&amp;q=site%3Alinkedin.com+Cathee+McAuley+Campus+Recruiting+Associate</v>
      </c>
      <c r="K112" s="5" t="str">
        <f t="shared" si="1"/>
        <v>Cathee McAuley</v>
      </c>
      <c r="L112" s="5" t="str">
        <f t="shared" si="2"/>
        <v>Campus Recruiting Associate</v>
      </c>
      <c r="M112" s="5" t="str">
        <f t="shared" si="3"/>
        <v/>
      </c>
      <c r="N112" s="5" t="str">
        <f t="shared" si="4"/>
        <v>PricewaterhouseCoopers</v>
      </c>
      <c r="O112" s="5" t="str">
        <f t="shared" si="5"/>
        <v>10 years 3 months in role and company</v>
      </c>
      <c r="P112" s="5" t="str">
        <f t="shared" si="6"/>
        <v>Brandon</v>
      </c>
      <c r="Q112" s="5" t="str">
        <f t="shared" si="7"/>
        <v>Florida</v>
      </c>
      <c r="R112" s="5" t="str">
        <f t="shared" si="8"/>
        <v>United States</v>
      </c>
    </row>
    <row r="113">
      <c r="A113" s="8" t="s">
        <v>4911</v>
      </c>
      <c r="B113" s="12" t="s">
        <v>4912</v>
      </c>
      <c r="C113" s="10" t="s">
        <v>4913</v>
      </c>
      <c r="D113" s="10"/>
      <c r="E113" s="10" t="s">
        <v>4914</v>
      </c>
      <c r="F113" s="10" t="s">
        <v>121</v>
      </c>
      <c r="G113" s="11" t="s">
        <v>4910</v>
      </c>
      <c r="H113" s="11" t="s">
        <v>4638</v>
      </c>
      <c r="I113" s="11" t="s">
        <v>4600</v>
      </c>
      <c r="J113" s="9" t="str">
        <f>IFERROR(__xludf.DUMMYFUNCTION("""COMPUTED_VALUE"""),"https://www.google.com/search?newwindow=1&amp;ei=2MT0XrvGGM-vytMP1OyDgAY&amp;q=site%3Alinkedin.com+Sara+De+La+Cruz+Graduate+Recruiter+Specialist+at+GE+on+behalf+of+AMS")</f>
        <v>https://www.google.com/search?newwindow=1&amp;ei=2MT0XrvGGM-vytMP1OyDgAY&amp;q=site%3Alinkedin.com+Sara+De+La+Cruz+Graduate+Recruiter+Specialist+at+GE+on+behalf+of+AMS</v>
      </c>
      <c r="K113" s="5" t="str">
        <f t="shared" si="1"/>
        <v>Sara De La Cruz</v>
      </c>
      <c r="L113" s="5" t="str">
        <f t="shared" si="2"/>
        <v>Graduate Recruiter Specialist at GE on behalf of AMS</v>
      </c>
      <c r="M113" s="5" t="str">
        <f t="shared" si="3"/>
        <v/>
      </c>
      <c r="N113" s="5" t="str">
        <f t="shared" si="4"/>
        <v>GE</v>
      </c>
      <c r="O113" s="5" t="str">
        <f t="shared" si="5"/>
        <v>4 years 2 months in role and company</v>
      </c>
      <c r="P113" s="5" t="str">
        <f t="shared" si="6"/>
        <v>Brentwood</v>
      </c>
      <c r="Q113" s="5" t="str">
        <f t="shared" si="7"/>
        <v>England</v>
      </c>
      <c r="R113" s="5" t="str">
        <f t="shared" si="8"/>
        <v>United Kingdom</v>
      </c>
    </row>
    <row r="114">
      <c r="A114" s="8" t="s">
        <v>4915</v>
      </c>
      <c r="B114" s="10" t="s">
        <v>4916</v>
      </c>
      <c r="C114" s="10" t="s">
        <v>4917</v>
      </c>
      <c r="D114" s="10"/>
      <c r="E114" s="10" t="s">
        <v>4918</v>
      </c>
      <c r="F114" s="10" t="s">
        <v>4919</v>
      </c>
      <c r="G114" s="11" t="s">
        <v>4910</v>
      </c>
      <c r="H114" s="11" t="s">
        <v>4638</v>
      </c>
      <c r="I114" s="11" t="s">
        <v>4600</v>
      </c>
      <c r="J114" s="9" t="str">
        <f>IFERROR(__xludf.DUMMYFUNCTION("""COMPUTED_VALUE"""),"https://www.google.com/search?newwindow=1&amp;ei=2MT0XrvGGM-vytMP1OyDgAY&amp;q=site%3Alinkedin.com+Jacqueline+Waugh+Campus+Recruiting+Manager")</f>
        <v>https://www.google.com/search?newwindow=1&amp;ei=2MT0XrvGGM-vytMP1OyDgAY&amp;q=site%3Alinkedin.com+Jacqueline+Waugh+Campus+Recruiting+Manager</v>
      </c>
      <c r="K114" s="5" t="str">
        <f t="shared" si="1"/>
        <v>Jacqueline Waugh</v>
      </c>
      <c r="L114" s="5" t="str">
        <f t="shared" si="2"/>
        <v>Campus Recruiting Manager</v>
      </c>
      <c r="M114" s="5" t="str">
        <f t="shared" si="3"/>
        <v/>
      </c>
      <c r="N114" s="5" t="str">
        <f t="shared" si="4"/>
        <v>Citi</v>
      </c>
      <c r="O114" s="5" t="str">
        <f t="shared" si="5"/>
        <v>10 years  in role and company</v>
      </c>
      <c r="P114" s="5" t="str">
        <f t="shared" si="6"/>
        <v>Brick</v>
      </c>
      <c r="Q114" s="5" t="str">
        <f t="shared" si="7"/>
        <v>New Jersey</v>
      </c>
      <c r="R114" s="5" t="str">
        <f t="shared" si="8"/>
        <v>United States</v>
      </c>
    </row>
    <row r="115">
      <c r="A115" s="8" t="s">
        <v>4920</v>
      </c>
      <c r="B115" s="12" t="s">
        <v>4921</v>
      </c>
      <c r="C115" s="10" t="s">
        <v>4922</v>
      </c>
      <c r="D115" s="10"/>
      <c r="E115" s="10" t="s">
        <v>4923</v>
      </c>
      <c r="F115" s="10" t="s">
        <v>651</v>
      </c>
      <c r="G115" s="11" t="s">
        <v>4910</v>
      </c>
      <c r="H115" s="11" t="s">
        <v>4638</v>
      </c>
      <c r="I115" s="11" t="s">
        <v>4600</v>
      </c>
      <c r="J115" s="9" t="str">
        <f>IFERROR(__xludf.DUMMYFUNCTION("""COMPUTED_VALUE"""),"https://www.google.com/search?newwindow=1&amp;ei=2MT0XrvGGM-vytMP1OyDgAY&amp;q=site%3Alinkedin.com+Harley+H.+Content+Creator+&amp;+Student+Ambassador")</f>
        <v>https://www.google.com/search?newwindow=1&amp;ei=2MT0XrvGGM-vytMP1OyDgAY&amp;q=site%3Alinkedin.com+Harley+H.+Content+Creator+&amp;+Student+Ambassador</v>
      </c>
      <c r="K115" s="5" t="str">
        <f t="shared" si="1"/>
        <v>Harley H.</v>
      </c>
      <c r="L115" s="5" t="str">
        <f t="shared" si="2"/>
        <v>Content Creator &amp; Student Ambassador</v>
      </c>
      <c r="M115" s="5" t="str">
        <f t="shared" si="3"/>
        <v/>
      </c>
      <c r="N115" s="5" t="str">
        <f t="shared" si="4"/>
        <v>University of Stirling</v>
      </c>
      <c r="O115" s="5" t="str">
        <f t="shared" si="5"/>
        <v>8 months in role and company</v>
      </c>
      <c r="P115" s="5" t="str">
        <f t="shared" si="6"/>
        <v>Bridge of Allan</v>
      </c>
      <c r="Q115" s="5" t="str">
        <f t="shared" si="7"/>
        <v>Scotland</v>
      </c>
      <c r="R115" s="5" t="str">
        <f t="shared" si="8"/>
        <v>United Kingdom</v>
      </c>
    </row>
    <row r="116">
      <c r="A116" s="8" t="s">
        <v>4906</v>
      </c>
      <c r="B116" s="10" t="s">
        <v>4907</v>
      </c>
      <c r="C116" s="10" t="s">
        <v>4908</v>
      </c>
      <c r="D116" s="10"/>
      <c r="E116" s="10" t="s">
        <v>4909</v>
      </c>
      <c r="F116" s="10" t="s">
        <v>165</v>
      </c>
      <c r="G116" s="11" t="s">
        <v>4910</v>
      </c>
      <c r="H116" s="11" t="s">
        <v>4638</v>
      </c>
      <c r="I116" s="11" t="s">
        <v>4600</v>
      </c>
      <c r="J116" s="9" t="str">
        <f>IFERROR(__xludf.DUMMYFUNCTION("""COMPUTED_VALUE"""),"https://www.google.com/search?newwindow=1&amp;ei=2MT0XrvGGM-vytMP1OyDgAY&amp;q=site%3Alinkedin.com+Michael+Warburton+University+Recruiter")</f>
        <v>https://www.google.com/search?newwindow=1&amp;ei=2MT0XrvGGM-vytMP1OyDgAY&amp;q=site%3Alinkedin.com+Michael+Warburton+University+Recruiter</v>
      </c>
      <c r="K116" s="5" t="str">
        <f t="shared" si="1"/>
        <v>Michael Warburton</v>
      </c>
      <c r="L116" s="5" t="str">
        <f t="shared" si="2"/>
        <v>University Recruiter</v>
      </c>
      <c r="M116" s="5" t="str">
        <f t="shared" si="3"/>
        <v/>
      </c>
      <c r="N116" s="5" t="str">
        <f t="shared" si="4"/>
        <v>Unity Technologies</v>
      </c>
      <c r="O116" s="5" t="str">
        <f t="shared" si="5"/>
        <v>1 year 7 months in role and company</v>
      </c>
      <c r="P116" s="5" t="str">
        <f t="shared" si="6"/>
        <v>Brighton</v>
      </c>
      <c r="Q116" s="5" t="str">
        <f t="shared" si="7"/>
        <v>England</v>
      </c>
      <c r="R116" s="5" t="str">
        <f t="shared" si="8"/>
        <v>United Kingdom</v>
      </c>
    </row>
    <row r="117">
      <c r="A117" s="8" t="s">
        <v>4911</v>
      </c>
      <c r="B117" s="12" t="s">
        <v>4912</v>
      </c>
      <c r="C117" s="10" t="s">
        <v>4913</v>
      </c>
      <c r="D117" s="10"/>
      <c r="E117" s="10" t="s">
        <v>4914</v>
      </c>
      <c r="F117" s="10" t="s">
        <v>121</v>
      </c>
      <c r="G117" s="11" t="s">
        <v>4910</v>
      </c>
      <c r="H117" s="11" t="s">
        <v>4638</v>
      </c>
      <c r="I117" s="11" t="s">
        <v>4600</v>
      </c>
      <c r="J117" s="9" t="str">
        <f>IFERROR(__xludf.DUMMYFUNCTION("""COMPUTED_VALUE"""),"https://www.google.com/search?newwindow=1&amp;ei=2MT0XrvGGM-vytMP1OyDgAY&amp;q=site%3Alinkedin.com+Josephine+F.+Graduate+and+Intern+Recruiter+-+Emerging+Talent+(via+AMS)")</f>
        <v>https://www.google.com/search?newwindow=1&amp;ei=2MT0XrvGGM-vytMP1OyDgAY&amp;q=site%3Alinkedin.com+Josephine+F.+Graduate+and+Intern+Recruiter+-+Emerging+Talent+(via+AMS)</v>
      </c>
      <c r="K117" s="5" t="str">
        <f t="shared" si="1"/>
        <v>Josephine F.</v>
      </c>
      <c r="L117" s="5" t="str">
        <f t="shared" si="2"/>
        <v>Graduate and Intern Recruiter - Emerging Talent (via AMS)</v>
      </c>
      <c r="M117" s="5" t="str">
        <f t="shared" si="3"/>
        <v/>
      </c>
      <c r="N117" s="5" t="str">
        <f t="shared" si="4"/>
        <v>HSBC</v>
      </c>
      <c r="O117" s="5" t="str">
        <f t="shared" si="5"/>
        <v>1 year  in role and company</v>
      </c>
      <c r="P117" s="5" t="str">
        <f t="shared" si="6"/>
        <v>Brighton and Hove</v>
      </c>
      <c r="Q117" s="5" t="str">
        <f t="shared" si="7"/>
        <v>England</v>
      </c>
      <c r="R117" s="5" t="str">
        <f t="shared" si="8"/>
        <v>United Kingdom</v>
      </c>
    </row>
    <row r="118">
      <c r="A118" s="8" t="s">
        <v>4924</v>
      </c>
      <c r="B118" s="10" t="s">
        <v>4925</v>
      </c>
      <c r="C118" s="10" t="s">
        <v>4926</v>
      </c>
      <c r="D118" s="10"/>
      <c r="E118" s="10" t="s">
        <v>4923</v>
      </c>
      <c r="F118" s="10" t="s">
        <v>100</v>
      </c>
      <c r="G118" s="11" t="s">
        <v>4910</v>
      </c>
      <c r="H118" s="11" t="s">
        <v>4638</v>
      </c>
      <c r="I118" s="11" t="s">
        <v>4600</v>
      </c>
      <c r="J118" s="9" t="str">
        <f>IFERROR(__xludf.DUMMYFUNCTION("""COMPUTED_VALUE"""),"https://www.google.com/search?newwindow=1&amp;ei=2MT0XrvGGM-vytMP1OyDgAY&amp;q=site%3Alinkedin.com+Paul+Lovegrove+CEO+UP+EU+&amp;+Chief+Recruitment+Officer+UP+Global")</f>
        <v>https://www.google.com/search?newwindow=1&amp;ei=2MT0XrvGGM-vytMP1OyDgAY&amp;q=site%3Alinkedin.com+Paul+Lovegrove+CEO+UP+EU+&amp;+Chief+Recruitment+Officer+UP+Global</v>
      </c>
      <c r="K118" s="5" t="str">
        <f t="shared" si="1"/>
        <v>Paul Lovegrove</v>
      </c>
      <c r="L118" s="5" t="str">
        <f t="shared" si="2"/>
        <v>CEO UP EU &amp; Chief Recruitment Officer UP Global</v>
      </c>
      <c r="M118" s="5" t="str">
        <f t="shared" si="3"/>
        <v/>
      </c>
      <c r="N118" s="5" t="str">
        <f t="shared" si="4"/>
        <v>Navitas</v>
      </c>
      <c r="O118" s="5" t="str">
        <f t="shared" si="5"/>
        <v>1 year 4 months in role</v>
      </c>
      <c r="P118" s="5" t="str">
        <f t="shared" si="6"/>
        <v>Brighton and Hove</v>
      </c>
      <c r="Q118" s="5" t="str">
        <f t="shared" si="7"/>
        <v>England</v>
      </c>
      <c r="R118" s="5" t="str">
        <f t="shared" si="8"/>
        <v>United Kingdom</v>
      </c>
    </row>
    <row r="119">
      <c r="A119" s="8" t="s">
        <v>4927</v>
      </c>
      <c r="B119" s="10" t="s">
        <v>4928</v>
      </c>
      <c r="C119" s="10" t="s">
        <v>4929</v>
      </c>
      <c r="D119" s="10"/>
      <c r="E119" s="10" t="s">
        <v>4930</v>
      </c>
      <c r="F119" s="10" t="s">
        <v>4931</v>
      </c>
      <c r="G119" s="11" t="s">
        <v>4910</v>
      </c>
      <c r="H119" s="11" t="s">
        <v>4638</v>
      </c>
      <c r="I119" s="11" t="s">
        <v>4600</v>
      </c>
      <c r="J119" s="9" t="str">
        <f>IFERROR(__xludf.DUMMYFUNCTION("""COMPUTED_VALUE"""),"https://www.google.com/search?newwindow=1&amp;ei=2MT0XrvGGM-vytMP1OyDgAY&amp;q=site%3Alinkedin.com+Suzy+Bolt+Transitions+into+University+workshop.")</f>
        <v>https://www.google.com/search?newwindow=1&amp;ei=2MT0XrvGGM-vytMP1OyDgAY&amp;q=site%3Alinkedin.com+Suzy+Bolt+Transitions+into+University+workshop.</v>
      </c>
      <c r="K119" s="5" t="str">
        <f t="shared" si="1"/>
        <v>Suzy Bolt</v>
      </c>
      <c r="L119" s="5" t="str">
        <f t="shared" si="2"/>
        <v>Transitions into University workshop.</v>
      </c>
      <c r="M119" s="5" t="str">
        <f t="shared" si="3"/>
        <v/>
      </c>
      <c r="N119" s="9" t="str">
        <f t="shared" si="4"/>
        <v>suzybolt.com</v>
      </c>
      <c r="O119" s="5" t="str">
        <f t="shared" si="5"/>
        <v>2 years 10 months in role and company</v>
      </c>
      <c r="P119" s="5" t="str">
        <f t="shared" si="6"/>
        <v>Brighton and Hove</v>
      </c>
      <c r="Q119" s="5" t="str">
        <f t="shared" si="7"/>
        <v>England</v>
      </c>
      <c r="R119" s="5" t="str">
        <f t="shared" si="8"/>
        <v>United Kingdom</v>
      </c>
    </row>
    <row r="120">
      <c r="A120" s="8" t="s">
        <v>4915</v>
      </c>
      <c r="B120" s="10" t="s">
        <v>4916</v>
      </c>
      <c r="C120" s="10" t="s">
        <v>4917</v>
      </c>
      <c r="D120" s="10"/>
      <c r="E120" s="10" t="s">
        <v>4918</v>
      </c>
      <c r="F120" s="10" t="s">
        <v>4919</v>
      </c>
      <c r="G120" s="11" t="s">
        <v>4910</v>
      </c>
      <c r="H120" s="11" t="s">
        <v>4638</v>
      </c>
      <c r="I120" s="11" t="s">
        <v>4600</v>
      </c>
      <c r="J120" s="9" t="str">
        <f>IFERROR(__xludf.DUMMYFUNCTION("""COMPUTED_VALUE"""),"https://www.google.com/search?newwindow=1&amp;ei=2MT0XrvGGM-vytMP1OyDgAY&amp;q=site%3Alinkedin.com+Louie+Webb+Recruiter")</f>
        <v>https://www.google.com/search?newwindow=1&amp;ei=2MT0XrvGGM-vytMP1OyDgAY&amp;q=site%3Alinkedin.com+Louie+Webb+Recruiter</v>
      </c>
      <c r="K120" s="5" t="str">
        <f t="shared" si="1"/>
        <v>Louie Webb</v>
      </c>
      <c r="L120" s="5" t="str">
        <f t="shared" si="2"/>
        <v>Recruiter</v>
      </c>
      <c r="M120" s="5" t="str">
        <f t="shared" si="3"/>
        <v/>
      </c>
      <c r="N120" s="5" t="str">
        <f t="shared" si="4"/>
        <v>Let Me Play</v>
      </c>
      <c r="O120" s="5" t="str">
        <f t="shared" si="5"/>
        <v>6 years 10 months in role and company</v>
      </c>
      <c r="P120" s="5" t="str">
        <f t="shared" si="6"/>
        <v>Brighton and Hove</v>
      </c>
      <c r="Q120" s="5" t="str">
        <f t="shared" si="7"/>
        <v>England</v>
      </c>
      <c r="R120" s="5" t="str">
        <f t="shared" si="8"/>
        <v>United Kingdom</v>
      </c>
    </row>
    <row r="121">
      <c r="A121" s="8" t="s">
        <v>4932</v>
      </c>
      <c r="B121" s="12" t="s">
        <v>4933</v>
      </c>
      <c r="C121" s="10" t="s">
        <v>4934</v>
      </c>
      <c r="D121" s="10"/>
      <c r="E121" s="10" t="s">
        <v>4935</v>
      </c>
      <c r="F121" s="10" t="s">
        <v>4250</v>
      </c>
      <c r="G121" s="11" t="s">
        <v>4936</v>
      </c>
      <c r="H121" s="11" t="s">
        <v>203</v>
      </c>
      <c r="I121" s="11" t="s">
        <v>18</v>
      </c>
      <c r="J121" s="9" t="str">
        <f>IFERROR(__xludf.DUMMYFUNCTION("""COMPUTED_VALUE"""),"https://www.google.com/search?newwindow=1&amp;ei=2MT0XrvGGM-vytMP1OyDgAY&amp;q=site%3Alinkedin.com+Kaylene+Hanlon+Student+Administration+Officer+-+Postgraduate+programs")</f>
        <v>https://www.google.com/search?newwindow=1&amp;ei=2MT0XrvGGM-vytMP1OyDgAY&amp;q=site%3Alinkedin.com+Kaylene+Hanlon+Student+Administration+Officer+-+Postgraduate+programs</v>
      </c>
      <c r="K121" s="5" t="str">
        <f t="shared" si="1"/>
        <v>Kaylene Hanlon</v>
      </c>
      <c r="L121" s="5" t="str">
        <f t="shared" si="2"/>
        <v>Student Administration Officer - Postgraduate programs</v>
      </c>
      <c r="M121" s="5" t="str">
        <f t="shared" si="3"/>
        <v/>
      </c>
      <c r="N121" s="5" t="str">
        <f t="shared" si="4"/>
        <v>The University of Queensland</v>
      </c>
      <c r="O121" s="5" t="str">
        <f t="shared" si="5"/>
        <v>1 year 11 months in role and company</v>
      </c>
      <c r="P121" s="5" t="str">
        <f t="shared" si="6"/>
        <v>Brisbane</v>
      </c>
      <c r="Q121" s="5" t="str">
        <f t="shared" si="7"/>
        <v>Queensland</v>
      </c>
      <c r="R121" s="5" t="str">
        <f t="shared" si="8"/>
        <v>Australia</v>
      </c>
    </row>
    <row r="122">
      <c r="A122" s="8" t="s">
        <v>4937</v>
      </c>
      <c r="B122" s="12" t="s">
        <v>4938</v>
      </c>
      <c r="C122" s="10" t="s">
        <v>4939</v>
      </c>
      <c r="D122" s="10"/>
      <c r="E122" s="10" t="s">
        <v>2185</v>
      </c>
      <c r="F122" s="10" t="s">
        <v>734</v>
      </c>
      <c r="G122" s="11" t="s">
        <v>4940</v>
      </c>
      <c r="H122" s="11" t="s">
        <v>4757</v>
      </c>
      <c r="I122" s="11" t="s">
        <v>4607</v>
      </c>
      <c r="J122" s="9" t="str">
        <f>IFERROR(__xludf.DUMMYFUNCTION("""COMPUTED_VALUE"""),"https://www.google.com/search?newwindow=1&amp;ei=2MT0XrvGGM-vytMP1OyDgAY&amp;q=site%3Alinkedin.com+Wendy+Gilbert+Manager,+International+Student+Programs")</f>
        <v>https://www.google.com/search?newwindow=1&amp;ei=2MT0XrvGGM-vytMP1OyDgAY&amp;q=site%3Alinkedin.com+Wendy+Gilbert+Manager,+International+Student+Programs</v>
      </c>
      <c r="K122" s="5" t="str">
        <f t="shared" si="1"/>
        <v>Wendy Gilbert</v>
      </c>
      <c r="L122" s="5" t="str">
        <f t="shared" si="2"/>
        <v>Manager, International Student Programs</v>
      </c>
      <c r="M122" s="5" t="str">
        <f t="shared" si="3"/>
        <v/>
      </c>
      <c r="N122" s="5" t="str">
        <f t="shared" si="4"/>
        <v>Education Queensland International</v>
      </c>
      <c r="O122" s="5" t="str">
        <f t="shared" si="5"/>
        <v>6 years 10 months in role and company</v>
      </c>
      <c r="P122" s="5" t="str">
        <f t="shared" si="6"/>
        <v>Brisbane</v>
      </c>
      <c r="Q122" s="5" t="str">
        <f t="shared" si="7"/>
        <v>Queensland</v>
      </c>
      <c r="R122" s="5" t="str">
        <f t="shared" si="8"/>
        <v>Australia</v>
      </c>
    </row>
    <row r="123">
      <c r="A123" s="8" t="s">
        <v>4941</v>
      </c>
      <c r="B123" s="12" t="s">
        <v>1067</v>
      </c>
      <c r="C123" s="10" t="s">
        <v>371</v>
      </c>
      <c r="D123" s="10"/>
      <c r="E123" s="10" t="s">
        <v>1064</v>
      </c>
      <c r="F123" s="10" t="s">
        <v>1068</v>
      </c>
      <c r="G123" s="11" t="s">
        <v>1069</v>
      </c>
      <c r="H123" s="11" t="s">
        <v>96</v>
      </c>
      <c r="I123" s="11" t="s">
        <v>18</v>
      </c>
      <c r="J123" s="9" t="str">
        <f>IFERROR(__xludf.DUMMYFUNCTION("""COMPUTED_VALUE"""),"https://www.google.com/search?newwindow=1&amp;ei=2MT0XrvGGM-vytMP1OyDgAY&amp;q=site%3Alinkedin.com+Lydiah+Njagi+(she/+her)+Campus+Recruiter+-+Diverse+Hires")</f>
        <v>https://www.google.com/search?newwindow=1&amp;ei=2MT0XrvGGM-vytMP1OyDgAY&amp;q=site%3Alinkedin.com+Lydiah+Njagi+(she/+her)+Campus+Recruiter+-+Diverse+Hires</v>
      </c>
      <c r="K123" s="5" t="str">
        <f t="shared" si="1"/>
        <v>Lydiah Njagi (she/ her)</v>
      </c>
      <c r="L123" s="5" t="str">
        <f t="shared" si="2"/>
        <v>Campus Recruiter - Diverse Hires</v>
      </c>
      <c r="M123" s="5" t="str">
        <f t="shared" si="3"/>
        <v/>
      </c>
      <c r="N123" s="5" t="str">
        <f t="shared" si="4"/>
        <v>PwC Australia</v>
      </c>
      <c r="O123" s="5" t="str">
        <f t="shared" si="5"/>
        <v>1 year 9 months in role</v>
      </c>
      <c r="P123" s="5" t="str">
        <f t="shared" si="6"/>
        <v>Brisbane</v>
      </c>
      <c r="Q123" s="5" t="str">
        <f t="shared" si="7"/>
        <v>Queensland</v>
      </c>
      <c r="R123" s="5" t="str">
        <f t="shared" si="8"/>
        <v>Australia</v>
      </c>
    </row>
    <row r="124">
      <c r="A124" s="8" t="s">
        <v>4942</v>
      </c>
      <c r="B124" s="10" t="s">
        <v>4943</v>
      </c>
      <c r="C124" s="10" t="s">
        <v>4944</v>
      </c>
      <c r="D124" s="10"/>
      <c r="E124" s="10" t="s">
        <v>4945</v>
      </c>
      <c r="F124" s="10" t="s">
        <v>222</v>
      </c>
      <c r="G124" s="11" t="s">
        <v>4946</v>
      </c>
      <c r="H124" s="11" t="s">
        <v>4606</v>
      </c>
      <c r="I124" s="11" t="s">
        <v>4607</v>
      </c>
      <c r="J124" s="9" t="str">
        <f>IFERROR(__xludf.DUMMYFUNCTION("""COMPUTED_VALUE"""),"https://www.google.com/search?newwindow=1&amp;ei=2MT0XrvGGM-vytMP1OyDgAY&amp;q=site%3Alinkedin.com+Anthea+Berry+Regional+Manager,+Recruitment+-+International+Student+Programs")</f>
        <v>https://www.google.com/search?newwindow=1&amp;ei=2MT0XrvGGM-vytMP1OyDgAY&amp;q=site%3Alinkedin.com+Anthea+Berry+Regional+Manager,+Recruitment+-+International+Student+Programs</v>
      </c>
      <c r="K124" s="5" t="str">
        <f t="shared" si="1"/>
        <v>Anthea Berry</v>
      </c>
      <c r="L124" s="5" t="str">
        <f t="shared" si="2"/>
        <v>Regional Manager, Recruitment - International Student Programs</v>
      </c>
      <c r="M124" s="5" t="str">
        <f t="shared" si="3"/>
        <v/>
      </c>
      <c r="N124" s="5" t="str">
        <f t="shared" si="4"/>
        <v>Education Queensland International (QLD Department of Education)</v>
      </c>
      <c r="O124" s="5" t="str">
        <f t="shared" si="5"/>
        <v>1 year 1 month in role and company</v>
      </c>
      <c r="P124" s="5" t="str">
        <f t="shared" si="6"/>
        <v>Brisbane</v>
      </c>
      <c r="Q124" s="5" t="str">
        <f t="shared" si="7"/>
        <v>Queensland</v>
      </c>
      <c r="R124" s="5" t="str">
        <f t="shared" si="8"/>
        <v>Australia</v>
      </c>
    </row>
    <row r="125">
      <c r="A125" s="8" t="s">
        <v>4947</v>
      </c>
      <c r="B125" s="10" t="s">
        <v>4948</v>
      </c>
      <c r="C125" s="10" t="s">
        <v>110</v>
      </c>
      <c r="D125" s="10"/>
      <c r="E125" s="10" t="s">
        <v>4366</v>
      </c>
      <c r="F125" s="10" t="s">
        <v>100</v>
      </c>
      <c r="G125" s="11" t="s">
        <v>4949</v>
      </c>
      <c r="H125" s="11" t="s">
        <v>4757</v>
      </c>
      <c r="I125" s="11" t="s">
        <v>4607</v>
      </c>
      <c r="J125" s="9" t="str">
        <f>IFERROR(__xludf.DUMMYFUNCTION("""COMPUTED_VALUE"""),"https://www.google.com/search?newwindow=1&amp;ei=2MT0XrvGGM-vytMP1OyDgAY&amp;q=site%3Alinkedin.com+Hayley+V+Support+Officer-+International+Student+Programs")</f>
        <v>https://www.google.com/search?newwindow=1&amp;ei=2MT0XrvGGM-vytMP1OyDgAY&amp;q=site%3Alinkedin.com+Hayley+V+Support+Officer-+International+Student+Programs</v>
      </c>
      <c r="K125" s="5" t="str">
        <f t="shared" si="1"/>
        <v>Hayley V</v>
      </c>
      <c r="L125" s="5" t="str">
        <f t="shared" si="2"/>
        <v>Support Officer- International Student Programs</v>
      </c>
      <c r="M125" s="5" t="str">
        <f t="shared" si="3"/>
        <v/>
      </c>
      <c r="N125" s="5" t="str">
        <f t="shared" si="4"/>
        <v>Queensland Department of Education</v>
      </c>
      <c r="O125" s="5" t="str">
        <f t="shared" si="5"/>
        <v>4 years 10 months in role and company</v>
      </c>
      <c r="P125" s="5" t="str">
        <f t="shared" si="6"/>
        <v>Brisbane</v>
      </c>
      <c r="Q125" s="5" t="str">
        <f t="shared" si="7"/>
        <v>Queensland</v>
      </c>
      <c r="R125" s="5" t="str">
        <f t="shared" si="8"/>
        <v>Australia</v>
      </c>
    </row>
    <row r="126">
      <c r="A126" s="8" t="s">
        <v>4950</v>
      </c>
      <c r="B126" s="10" t="s">
        <v>4951</v>
      </c>
      <c r="C126" s="10" t="s">
        <v>4952</v>
      </c>
      <c r="D126" s="10"/>
      <c r="E126" s="10" t="s">
        <v>4953</v>
      </c>
      <c r="F126" s="10" t="s">
        <v>136</v>
      </c>
      <c r="G126" s="13" t="s">
        <v>4954</v>
      </c>
      <c r="H126" s="11" t="s">
        <v>4757</v>
      </c>
      <c r="I126" s="11" t="s">
        <v>4607</v>
      </c>
      <c r="J126" s="9" t="str">
        <f>IFERROR(__xludf.DUMMYFUNCTION("""COMPUTED_VALUE"""),"https://www.google.com/search?newwindow=1&amp;ei=2MT0XrvGGM-vytMP1OyDgAY&amp;q=site%3Alinkedin.com+Madelein+Hawthorne+Office+Manager+and+Graduate+Recruiter")</f>
        <v>https://www.google.com/search?newwindow=1&amp;ei=2MT0XrvGGM-vytMP1OyDgAY&amp;q=site%3Alinkedin.com+Madelein+Hawthorne+Office+Manager+and+Graduate+Recruiter</v>
      </c>
      <c r="K126" s="5" t="str">
        <f t="shared" si="1"/>
        <v>Madelein Hawthorne</v>
      </c>
      <c r="L126" s="5" t="str">
        <f t="shared" si="2"/>
        <v>Office Manager and Graduate Recruiter</v>
      </c>
      <c r="M126" s="5" t="str">
        <f t="shared" si="3"/>
        <v/>
      </c>
      <c r="N126" s="5" t="str">
        <f t="shared" si="4"/>
        <v>Grant Thornton Australia</v>
      </c>
      <c r="O126" s="5" t="str">
        <f t="shared" si="5"/>
        <v>14 years 9 months in role and company</v>
      </c>
      <c r="P126" s="5" t="str">
        <f t="shared" si="6"/>
        <v>Brisbane</v>
      </c>
      <c r="Q126" s="5" t="str">
        <f t="shared" si="7"/>
        <v>Queensland</v>
      </c>
      <c r="R126" s="5" t="str">
        <f t="shared" si="8"/>
        <v>Australia</v>
      </c>
    </row>
    <row r="127">
      <c r="A127" s="8" t="s">
        <v>4955</v>
      </c>
      <c r="B127" s="10" t="s">
        <v>4956</v>
      </c>
      <c r="C127" s="10" t="s">
        <v>4957</v>
      </c>
      <c r="D127" s="10"/>
      <c r="E127" s="10" t="s">
        <v>4958</v>
      </c>
      <c r="F127" s="10" t="s">
        <v>268</v>
      </c>
      <c r="G127" s="13" t="s">
        <v>4954</v>
      </c>
      <c r="H127" s="11" t="s">
        <v>4757</v>
      </c>
      <c r="I127" s="11" t="s">
        <v>4607</v>
      </c>
      <c r="J127" s="9" t="str">
        <f>IFERROR(__xludf.DUMMYFUNCTION("""COMPUTED_VALUE"""),"https://www.google.com/search?newwindow=1&amp;ei=2MT0XrvGGM-vytMP1OyDgAY&amp;q=site%3Alinkedin.com+Philippa+Douglas+Director+of+Student+Wellbeing+Programs")</f>
        <v>https://www.google.com/search?newwindow=1&amp;ei=2MT0XrvGGM-vytMP1OyDgAY&amp;q=site%3Alinkedin.com+Philippa+Douglas+Director+of+Student+Wellbeing+Programs</v>
      </c>
      <c r="K127" s="5" t="str">
        <f t="shared" si="1"/>
        <v>Philippa Douglas</v>
      </c>
      <c r="L127" s="5" t="str">
        <f t="shared" si="2"/>
        <v>Director of Student Wellbeing Programs</v>
      </c>
      <c r="M127" s="5" t="str">
        <f t="shared" si="3"/>
        <v/>
      </c>
      <c r="N127" s="5" t="str">
        <f t="shared" si="4"/>
        <v>Brisbane Grammar School</v>
      </c>
      <c r="O127" s="5" t="str">
        <f t="shared" si="5"/>
        <v>2 years 10 months in role</v>
      </c>
      <c r="P127" s="5" t="str">
        <f t="shared" si="6"/>
        <v>Brisbane</v>
      </c>
      <c r="Q127" s="5" t="str">
        <f t="shared" si="7"/>
        <v>Queensland</v>
      </c>
      <c r="R127" s="5" t="str">
        <f t="shared" si="8"/>
        <v>Australia</v>
      </c>
    </row>
    <row r="128">
      <c r="A128" s="8" t="s">
        <v>4959</v>
      </c>
      <c r="B128" s="10" t="s">
        <v>4960</v>
      </c>
      <c r="C128" s="10" t="s">
        <v>4961</v>
      </c>
      <c r="D128" s="10"/>
      <c r="E128" s="10" t="s">
        <v>4962</v>
      </c>
      <c r="F128" s="10" t="s">
        <v>125</v>
      </c>
      <c r="G128" s="13" t="s">
        <v>4954</v>
      </c>
      <c r="H128" s="11" t="s">
        <v>4757</v>
      </c>
      <c r="I128" s="11" t="s">
        <v>4607</v>
      </c>
      <c r="J128" s="9" t="str">
        <f>IFERROR(__xludf.DUMMYFUNCTION("""COMPUTED_VALUE"""),"https://www.google.com/search?newwindow=1&amp;ei=2MT0XrvGGM-vytMP1OyDgAY&amp;q=site%3Alinkedin.com+Fiona+Hudghton+HOD+-+Languages+and+International+Student+Programs")</f>
        <v>https://www.google.com/search?newwindow=1&amp;ei=2MT0XrvGGM-vytMP1OyDgAY&amp;q=site%3Alinkedin.com+Fiona+Hudghton+HOD+-+Languages+and+International+Student+Programs</v>
      </c>
      <c r="K128" s="5" t="str">
        <f t="shared" si="1"/>
        <v>Fiona Hudghton</v>
      </c>
      <c r="L128" s="5" t="str">
        <f t="shared" si="2"/>
        <v>HOD - Languages and International Student Programs</v>
      </c>
      <c r="M128" s="5" t="str">
        <f t="shared" si="3"/>
        <v/>
      </c>
      <c r="N128" s="5" t="str">
        <f t="shared" si="4"/>
        <v>Education Queensland</v>
      </c>
      <c r="O128" s="5" t="str">
        <f t="shared" si="5"/>
        <v/>
      </c>
      <c r="P128" s="5" t="str">
        <f t="shared" si="6"/>
        <v>Brisbane</v>
      </c>
      <c r="Q128" s="5" t="str">
        <f t="shared" si="7"/>
        <v>Queensland</v>
      </c>
      <c r="R128" s="5" t="str">
        <f t="shared" si="8"/>
        <v>Australia</v>
      </c>
    </row>
    <row r="129">
      <c r="A129" s="8" t="s">
        <v>4963</v>
      </c>
      <c r="B129" s="10" t="s">
        <v>4964</v>
      </c>
      <c r="C129" s="10" t="s">
        <v>115</v>
      </c>
      <c r="D129" s="10"/>
      <c r="E129" s="10" t="s">
        <v>4965</v>
      </c>
      <c r="F129" s="10" t="s">
        <v>1065</v>
      </c>
      <c r="G129" s="13" t="s">
        <v>4954</v>
      </c>
      <c r="H129" s="11" t="s">
        <v>4757</v>
      </c>
      <c r="I129" s="11" t="s">
        <v>4607</v>
      </c>
      <c r="J129" s="9" t="str">
        <f>IFERROR(__xludf.DUMMYFUNCTION("""COMPUTED_VALUE"""),"https://www.google.com/search?newwindow=1&amp;ei=2MT0XrvGGM-vytMP1OyDgAY&amp;q=site%3Alinkedin.com+Anne+Shaw+Director+-+International+Student+Programs")</f>
        <v>https://www.google.com/search?newwindow=1&amp;ei=2MT0XrvGGM-vytMP1OyDgAY&amp;q=site%3Alinkedin.com+Anne+Shaw+Director+-+International+Student+Programs</v>
      </c>
      <c r="K129" s="5" t="str">
        <f t="shared" si="1"/>
        <v>Anne Shaw</v>
      </c>
      <c r="L129" s="5" t="str">
        <f t="shared" si="2"/>
        <v>Director - International Student Programs</v>
      </c>
      <c r="M129" s="5" t="str">
        <f t="shared" si="3"/>
        <v/>
      </c>
      <c r="N129" s="5" t="str">
        <f t="shared" si="4"/>
        <v>West Moreton Anglican College</v>
      </c>
      <c r="O129" s="5" t="str">
        <f t="shared" si="5"/>
        <v>18 years  in role and company</v>
      </c>
      <c r="P129" s="5" t="str">
        <f t="shared" si="6"/>
        <v>Brisbane</v>
      </c>
      <c r="Q129" s="5" t="str">
        <f t="shared" si="7"/>
        <v>Queensland</v>
      </c>
      <c r="R129" s="5" t="str">
        <f t="shared" si="8"/>
        <v>Australia</v>
      </c>
    </row>
    <row r="130">
      <c r="A130" s="8" t="s">
        <v>4966</v>
      </c>
      <c r="B130" s="12" t="s">
        <v>4967</v>
      </c>
      <c r="C130" s="10" t="s">
        <v>4968</v>
      </c>
      <c r="D130" s="10"/>
      <c r="E130" s="10" t="s">
        <v>4969</v>
      </c>
      <c r="F130" s="10" t="s">
        <v>3110</v>
      </c>
      <c r="G130" s="11" t="s">
        <v>4970</v>
      </c>
      <c r="H130" s="11" t="s">
        <v>4971</v>
      </c>
      <c r="I130" s="11" t="s">
        <v>4619</v>
      </c>
      <c r="J130" s="9" t="str">
        <f>IFERROR(__xludf.DUMMYFUNCTION("""COMPUTED_VALUE"""),"https://www.google.com/search?newwindow=1&amp;ei=2MT0XrvGGM-vytMP1OyDgAY&amp;q=site%3Alinkedin.com+Ann+Poiner+Director,+Academic+Programs+and+Student+Services")</f>
        <v>https://www.google.com/search?newwindow=1&amp;ei=2MT0XrvGGM-vytMP1OyDgAY&amp;q=site%3Alinkedin.com+Ann+Poiner+Director,+Academic+Programs+and+Student+Services</v>
      </c>
      <c r="K130" s="5" t="str">
        <f t="shared" si="1"/>
        <v>Ann Poiner</v>
      </c>
      <c r="L130" s="5" t="str">
        <f t="shared" si="2"/>
        <v>Director, Academic Programs and Student Services</v>
      </c>
      <c r="M130" s="5" t="str">
        <f t="shared" si="3"/>
        <v/>
      </c>
      <c r="N130" s="5" t="str">
        <f t="shared" si="4"/>
        <v>Griffith College</v>
      </c>
      <c r="O130" s="5" t="str">
        <f t="shared" si="5"/>
        <v>5 years 10 months in role and company</v>
      </c>
      <c r="P130" s="5" t="str">
        <f t="shared" si="6"/>
        <v>Brisbane</v>
      </c>
      <c r="Q130" s="5" t="str">
        <f t="shared" si="7"/>
        <v>Queensland</v>
      </c>
      <c r="R130" s="5" t="str">
        <f t="shared" si="8"/>
        <v>Australia</v>
      </c>
    </row>
    <row r="131">
      <c r="A131" s="8" t="s">
        <v>4972</v>
      </c>
      <c r="B131" s="10" t="s">
        <v>4973</v>
      </c>
      <c r="C131" s="10" t="s">
        <v>4974</v>
      </c>
      <c r="D131" s="10"/>
      <c r="E131" s="10" t="s">
        <v>4975</v>
      </c>
      <c r="F131" s="10" t="s">
        <v>1065</v>
      </c>
      <c r="G131" s="11" t="s">
        <v>4970</v>
      </c>
      <c r="H131" s="11" t="s">
        <v>4971</v>
      </c>
      <c r="I131" s="11" t="s">
        <v>4619</v>
      </c>
      <c r="J131" s="9" t="str">
        <f>IFERROR(__xludf.DUMMYFUNCTION("""COMPUTED_VALUE"""),"https://www.google.com/search?newwindow=1&amp;ei=2MT0XrvGGM-vytMP1OyDgAY&amp;q=site%3Alinkedin.com+Rowena+Robles+Manager,+State+Operations,+International+Student+Programs")</f>
        <v>https://www.google.com/search?newwindow=1&amp;ei=2MT0XrvGGM-vytMP1OyDgAY&amp;q=site%3Alinkedin.com+Rowena+Robles+Manager,+State+Operations,+International+Student+Programs</v>
      </c>
      <c r="K131" s="5" t="str">
        <f t="shared" si="1"/>
        <v>Rowena Robles</v>
      </c>
      <c r="L131" s="5" t="str">
        <f t="shared" si="2"/>
        <v>Manager, State Operations, International Student Programs</v>
      </c>
      <c r="M131" s="5" t="str">
        <f t="shared" si="3"/>
        <v/>
      </c>
      <c r="N131" s="5" t="str">
        <f t="shared" si="4"/>
        <v>Department of Education International</v>
      </c>
      <c r="O131" s="5" t="str">
        <f t="shared" si="5"/>
        <v>2 years 3 months in role and company</v>
      </c>
      <c r="P131" s="5" t="str">
        <f t="shared" si="6"/>
        <v>Brisbane</v>
      </c>
      <c r="Q131" s="5" t="str">
        <f t="shared" si="7"/>
        <v>Queensland</v>
      </c>
      <c r="R131" s="5" t="str">
        <f t="shared" si="8"/>
        <v>Australia</v>
      </c>
    </row>
    <row r="132">
      <c r="A132" s="8" t="s">
        <v>4976</v>
      </c>
      <c r="B132" s="10" t="s">
        <v>4977</v>
      </c>
      <c r="C132" s="10" t="s">
        <v>4978</v>
      </c>
      <c r="D132" s="10"/>
      <c r="E132" s="10" t="s">
        <v>4979</v>
      </c>
      <c r="F132" s="10" t="s">
        <v>1460</v>
      </c>
      <c r="G132" s="11" t="s">
        <v>4970</v>
      </c>
      <c r="H132" s="11" t="s">
        <v>4971</v>
      </c>
      <c r="I132" s="11" t="s">
        <v>4619</v>
      </c>
      <c r="J132" s="9" t="str">
        <f>IFERROR(__xludf.DUMMYFUNCTION("""COMPUTED_VALUE"""),"https://www.google.com/search?newwindow=1&amp;ei=2MT0XrvGGM-vytMP1OyDgAY&amp;q=site%3Alinkedin.com+Janelle+Peacock+Project+Officer+|+Strategy,+Quality+and+Compliance+|+International+Student+Programs")</f>
        <v>https://www.google.com/search?newwindow=1&amp;ei=2MT0XrvGGM-vytMP1OyDgAY&amp;q=site%3Alinkedin.com+Janelle+Peacock+Project+Officer+|+Strategy,+Quality+and+Compliance+|+International+Student+Programs</v>
      </c>
      <c r="K132" s="5" t="str">
        <f t="shared" si="1"/>
        <v>Janelle Peacock</v>
      </c>
      <c r="L132" s="5" t="str">
        <f t="shared" si="2"/>
        <v>Project Officer | Strategy, Quality and Compliance | International Student Programs</v>
      </c>
      <c r="M132" s="5" t="str">
        <f t="shared" si="3"/>
        <v/>
      </c>
      <c r="N132" s="5" t="str">
        <f t="shared" si="4"/>
        <v>Education Queensland International</v>
      </c>
      <c r="O132" s="5" t="str">
        <f t="shared" si="5"/>
        <v>1 year 10 months in role and company</v>
      </c>
      <c r="P132" s="5" t="str">
        <f t="shared" si="6"/>
        <v>Brisbane</v>
      </c>
      <c r="Q132" s="5" t="str">
        <f t="shared" si="7"/>
        <v>Queensland</v>
      </c>
      <c r="R132" s="5" t="str">
        <f t="shared" si="8"/>
        <v>Australia</v>
      </c>
    </row>
    <row r="133">
      <c r="A133" s="8" t="s">
        <v>4980</v>
      </c>
      <c r="B133" s="10" t="s">
        <v>4981</v>
      </c>
      <c r="C133" s="10" t="s">
        <v>4982</v>
      </c>
      <c r="D133" s="10"/>
      <c r="E133" s="10" t="s">
        <v>4983</v>
      </c>
      <c r="F133" s="10" t="s">
        <v>188</v>
      </c>
      <c r="G133" s="11" t="s">
        <v>4970</v>
      </c>
      <c r="H133" s="11" t="s">
        <v>4971</v>
      </c>
      <c r="I133" s="11" t="s">
        <v>4619</v>
      </c>
      <c r="J133" s="9" t="str">
        <f>IFERROR(__xludf.DUMMYFUNCTION("""COMPUTED_VALUE"""),"https://www.google.com/search?newwindow=1&amp;ei=2MT0XrvGGM-vytMP1OyDgAY&amp;q=site%3Alinkedin.com+Nathan+Pugliese+The+Manager,+Strategy+&amp;+Performance,+International+Student+Programs")</f>
        <v>https://www.google.com/search?newwindow=1&amp;ei=2MT0XrvGGM-vytMP1OyDgAY&amp;q=site%3Alinkedin.com+Nathan+Pugliese+The+Manager,+Strategy+&amp;+Performance,+International+Student+Programs</v>
      </c>
      <c r="K133" s="5" t="str">
        <f t="shared" si="1"/>
        <v>Nathan Pugliese</v>
      </c>
      <c r="L133" s="5" t="str">
        <f t="shared" si="2"/>
        <v>The Manager, Strategy &amp; Performance, International Student Programs</v>
      </c>
      <c r="M133" s="5" t="str">
        <f t="shared" si="3"/>
        <v/>
      </c>
      <c r="N133" s="5" t="str">
        <f t="shared" si="4"/>
        <v>Queensland Department of Education</v>
      </c>
      <c r="O133" s="5" t="str">
        <f t="shared" si="5"/>
        <v>3 years 3 months in role and company</v>
      </c>
      <c r="P133" s="5" t="str">
        <f t="shared" si="6"/>
        <v>Brisbane</v>
      </c>
      <c r="Q133" s="5" t="str">
        <f t="shared" si="7"/>
        <v>Queensland</v>
      </c>
      <c r="R133" s="5" t="str">
        <f t="shared" si="8"/>
        <v>Australia</v>
      </c>
    </row>
    <row r="134">
      <c r="A134" s="8" t="s">
        <v>4984</v>
      </c>
      <c r="B134" s="10" t="s">
        <v>4985</v>
      </c>
      <c r="C134" s="10" t="s">
        <v>4986</v>
      </c>
      <c r="D134" s="10"/>
      <c r="E134" s="10" t="s">
        <v>4987</v>
      </c>
      <c r="F134" s="10" t="s">
        <v>430</v>
      </c>
      <c r="G134" s="11" t="s">
        <v>4970</v>
      </c>
      <c r="H134" s="11" t="s">
        <v>4971</v>
      </c>
      <c r="I134" s="11" t="s">
        <v>4619</v>
      </c>
      <c r="J134" s="9" t="str">
        <f>IFERROR(__xludf.DUMMYFUNCTION("""COMPUTED_VALUE"""),"https://www.google.com/search?newwindow=1&amp;ei=2MT0XrvGGM-vytMP1OyDgAY&amp;q=site%3Alinkedin.com+Emma+Lockwood+Graduate+Program+Coordinator")</f>
        <v>https://www.google.com/search?newwindow=1&amp;ei=2MT0XrvGGM-vytMP1OyDgAY&amp;q=site%3Alinkedin.com+Emma+Lockwood+Graduate+Program+Coordinator</v>
      </c>
      <c r="K134" s="5" t="str">
        <f t="shared" si="1"/>
        <v>Emma Lockwood</v>
      </c>
      <c r="L134" s="5" t="str">
        <f t="shared" si="2"/>
        <v>Graduate Program Coordinator</v>
      </c>
      <c r="M134" s="5" t="str">
        <f t="shared" si="3"/>
        <v/>
      </c>
      <c r="N134" s="5" t="str">
        <f t="shared" si="4"/>
        <v>Bechtel Australia Pty Ltd</v>
      </c>
      <c r="O134" s="5" t="str">
        <f t="shared" si="5"/>
        <v>6 years 11 months in role and company</v>
      </c>
      <c r="P134" s="5" t="str">
        <f t="shared" si="6"/>
        <v>Brisbane</v>
      </c>
      <c r="Q134" s="5" t="str">
        <f t="shared" si="7"/>
        <v>Queensland</v>
      </c>
      <c r="R134" s="5" t="str">
        <f t="shared" si="8"/>
        <v>Australia</v>
      </c>
    </row>
    <row r="135">
      <c r="A135" s="8" t="s">
        <v>4988</v>
      </c>
      <c r="B135" s="12" t="s">
        <v>4989</v>
      </c>
      <c r="C135" s="10" t="s">
        <v>4990</v>
      </c>
      <c r="D135" s="10"/>
      <c r="E135" s="10" t="s">
        <v>4991</v>
      </c>
      <c r="F135" s="10" t="s">
        <v>4992</v>
      </c>
      <c r="G135" s="11" t="s">
        <v>4970</v>
      </c>
      <c r="H135" s="11" t="s">
        <v>4971</v>
      </c>
      <c r="I135" s="11" t="s">
        <v>4619</v>
      </c>
      <c r="J135" s="9" t="str">
        <f>IFERROR(__xludf.DUMMYFUNCTION("""COMPUTED_VALUE"""),"https://www.google.com/search?newwindow=1&amp;ei=2MT0XrvGGM-vytMP1OyDgAY&amp;q=site%3Alinkedin.com+Heather+Yerdon+Medical+Student")</f>
        <v>https://www.google.com/search?newwindow=1&amp;ei=2MT0XrvGGM-vytMP1OyDgAY&amp;q=site%3Alinkedin.com+Heather+Yerdon+Medical+Student</v>
      </c>
      <c r="K135" s="5" t="str">
        <f t="shared" si="1"/>
        <v>Heather Yerdon</v>
      </c>
      <c r="L135" s="5" t="str">
        <f t="shared" si="2"/>
        <v>Medical Student</v>
      </c>
      <c r="M135" s="5" t="str">
        <f t="shared" si="3"/>
        <v/>
      </c>
      <c r="N135" s="5" t="str">
        <f t="shared" si="4"/>
        <v>University of Queensland</v>
      </c>
      <c r="O135" s="5" t="str">
        <f t="shared" si="5"/>
        <v>2 years 10 months in role and company</v>
      </c>
      <c r="P135" s="5" t="str">
        <f t="shared" si="6"/>
        <v>Brisbane</v>
      </c>
      <c r="Q135" s="5" t="str">
        <f t="shared" si="7"/>
        <v>Queensland</v>
      </c>
      <c r="R135" s="5" t="str">
        <f t="shared" si="8"/>
        <v>Australia</v>
      </c>
    </row>
    <row r="136">
      <c r="A136" s="8" t="s">
        <v>4993</v>
      </c>
      <c r="B136" s="12" t="s">
        <v>4994</v>
      </c>
      <c r="C136" s="10" t="s">
        <v>4995</v>
      </c>
      <c r="D136" s="10"/>
      <c r="E136" s="10" t="s">
        <v>4996</v>
      </c>
      <c r="F136" s="10" t="s">
        <v>832</v>
      </c>
      <c r="G136" s="11" t="s">
        <v>4970</v>
      </c>
      <c r="H136" s="11" t="s">
        <v>4971</v>
      </c>
      <c r="I136" s="11" t="s">
        <v>4619</v>
      </c>
      <c r="J136" s="9" t="str">
        <f>IFERROR(__xludf.DUMMYFUNCTION("""COMPUTED_VALUE"""),"https://www.google.com/search?newwindow=1&amp;ei=2MT0XrvGGM-vytMP1OyDgAY&amp;q=site%3Alinkedin.com+Emma+Tanuvasa+Pacific+Island+Programs+Officer,+Student+Diversity+&amp;+Inclusion,+Student+Services")</f>
        <v>https://www.google.com/search?newwindow=1&amp;ei=2MT0XrvGGM-vytMP1OyDgAY&amp;q=site%3Alinkedin.com+Emma+Tanuvasa+Pacific+Island+Programs+Officer,+Student+Diversity+&amp;+Inclusion,+Student+Services</v>
      </c>
      <c r="K136" s="5" t="str">
        <f t="shared" si="1"/>
        <v>Emma Tanuvasa</v>
      </c>
      <c r="L136" s="5" t="str">
        <f t="shared" si="2"/>
        <v>Pacific Island Programs Officer, Student Diversity &amp; Inclusion, Student Services</v>
      </c>
      <c r="M136" s="5" t="str">
        <f t="shared" si="3"/>
        <v/>
      </c>
      <c r="N136" s="5" t="str">
        <f t="shared" si="4"/>
        <v>Griffith University</v>
      </c>
      <c r="O136" s="5" t="str">
        <f t="shared" si="5"/>
        <v>7 years 10 months in role and company</v>
      </c>
      <c r="P136" s="5" t="str">
        <f t="shared" si="6"/>
        <v>Brisbane</v>
      </c>
      <c r="Q136" s="5" t="str">
        <f t="shared" si="7"/>
        <v>Queensland</v>
      </c>
      <c r="R136" s="5" t="str">
        <f t="shared" si="8"/>
        <v>Australia</v>
      </c>
    </row>
    <row r="137">
      <c r="A137" s="8" t="s">
        <v>4997</v>
      </c>
      <c r="B137" s="12" t="s">
        <v>4998</v>
      </c>
      <c r="C137" s="10" t="s">
        <v>4999</v>
      </c>
      <c r="D137" s="12"/>
      <c r="E137" s="12" t="s">
        <v>5000</v>
      </c>
      <c r="F137" s="10"/>
      <c r="G137" s="11" t="s">
        <v>4970</v>
      </c>
      <c r="H137" s="11" t="s">
        <v>4971</v>
      </c>
      <c r="I137" s="11" t="s">
        <v>4619</v>
      </c>
      <c r="J137" s="9" t="str">
        <f>IFERROR(__xludf.DUMMYFUNCTION("""COMPUTED_VALUE"""),"https://www.google.com/search?newwindow=1&amp;ei=2MT0XrvGGM-vytMP1OyDgAY&amp;q=site%3Alinkedin.com+Jess+Schofield+Public+Programs+Assistant")</f>
        <v>https://www.google.com/search?newwindow=1&amp;ei=2MT0XrvGGM-vytMP1OyDgAY&amp;q=site%3Alinkedin.com+Jess+Schofield+Public+Programs+Assistant</v>
      </c>
      <c r="K137" s="5" t="str">
        <f t="shared" si="1"/>
        <v>Jess Schofield</v>
      </c>
      <c r="L137" s="5" t="str">
        <f t="shared" si="2"/>
        <v>Public Programs Assistant</v>
      </c>
      <c r="M137" s="5" t="str">
        <f t="shared" si="3"/>
        <v/>
      </c>
      <c r="N137" s="5" t="str">
        <f t="shared" si="4"/>
        <v>Queensland University of Technology</v>
      </c>
      <c r="O137" s="5" t="str">
        <f t="shared" si="5"/>
        <v>7 years 9 months in role</v>
      </c>
      <c r="P137" s="5" t="str">
        <f t="shared" si="6"/>
        <v>Brisbane</v>
      </c>
      <c r="Q137" s="5" t="str">
        <f t="shared" si="7"/>
        <v>Queensland</v>
      </c>
      <c r="R137" s="5" t="str">
        <f t="shared" si="8"/>
        <v>Australia</v>
      </c>
    </row>
    <row r="138">
      <c r="A138" s="8" t="s">
        <v>5001</v>
      </c>
      <c r="B138" s="10" t="s">
        <v>5002</v>
      </c>
      <c r="C138" s="10" t="s">
        <v>5003</v>
      </c>
      <c r="D138" s="10"/>
      <c r="E138" s="10" t="s">
        <v>5004</v>
      </c>
      <c r="F138" s="10" t="s">
        <v>5005</v>
      </c>
      <c r="G138" s="11" t="s">
        <v>4970</v>
      </c>
      <c r="H138" s="11" t="s">
        <v>4971</v>
      </c>
      <c r="I138" s="11" t="s">
        <v>4619</v>
      </c>
      <c r="J138" s="9" t="str">
        <f>IFERROR(__xludf.DUMMYFUNCTION("""COMPUTED_VALUE"""),"https://www.google.com/search?newwindow=1&amp;ei=2MT0XrvGGM-vytMP1OyDgAY&amp;q=site%3Alinkedin.com+Rachel+Fox+Student+Note-Taker")</f>
        <v>https://www.google.com/search?newwindow=1&amp;ei=2MT0XrvGGM-vytMP1OyDgAY&amp;q=site%3Alinkedin.com+Rachel+Fox+Student+Note-Taker</v>
      </c>
      <c r="K138" s="5" t="str">
        <f t="shared" si="1"/>
        <v>Rachel Fox</v>
      </c>
      <c r="L138" s="5" t="str">
        <f t="shared" si="2"/>
        <v>Student Note-Taker</v>
      </c>
      <c r="M138" s="5" t="str">
        <f t="shared" si="3"/>
        <v/>
      </c>
      <c r="N138" s="5" t="str">
        <f t="shared" si="4"/>
        <v>QUT (Queensland University of Technology)</v>
      </c>
      <c r="O138" s="5" t="str">
        <f t="shared" si="5"/>
        <v>2 years 9 months in role and company</v>
      </c>
      <c r="P138" s="5" t="str">
        <f t="shared" si="6"/>
        <v>Brisbane</v>
      </c>
      <c r="Q138" s="5" t="str">
        <f t="shared" si="7"/>
        <v>Queensland</v>
      </c>
      <c r="R138" s="5" t="str">
        <f t="shared" si="8"/>
        <v>Australia</v>
      </c>
    </row>
    <row r="139">
      <c r="A139" s="8" t="s">
        <v>5006</v>
      </c>
      <c r="B139" s="10" t="s">
        <v>5007</v>
      </c>
      <c r="C139" s="10" t="s">
        <v>5008</v>
      </c>
      <c r="D139" s="10"/>
      <c r="E139" s="10" t="s">
        <v>5009</v>
      </c>
      <c r="F139" s="10" t="s">
        <v>22</v>
      </c>
      <c r="G139" s="11" t="s">
        <v>4970</v>
      </c>
      <c r="H139" s="11" t="s">
        <v>4971</v>
      </c>
      <c r="I139" s="11" t="s">
        <v>4619</v>
      </c>
      <c r="J139" s="9" t="str">
        <f>IFERROR(__xludf.DUMMYFUNCTION("""COMPUTED_VALUE"""),"https://www.google.com/search?newwindow=1&amp;ei=2MT0XrvGGM-vytMP1OyDgAY&amp;q=site%3Alinkedin.com+Morgan+Elizabeth+Public+programs+assistant")</f>
        <v>https://www.google.com/search?newwindow=1&amp;ei=2MT0XrvGGM-vytMP1OyDgAY&amp;q=site%3Alinkedin.com+Morgan+Elizabeth+Public+programs+assistant</v>
      </c>
      <c r="K139" s="5" t="str">
        <f t="shared" si="1"/>
        <v>Morgan Elizabeth</v>
      </c>
      <c r="L139" s="5" t="str">
        <f t="shared" si="2"/>
        <v>Public programs assistant</v>
      </c>
      <c r="M139" s="5" t="str">
        <f t="shared" si="3"/>
        <v/>
      </c>
      <c r="N139" s="5" t="str">
        <f t="shared" si="4"/>
        <v>Qut/Lego education</v>
      </c>
      <c r="O139" s="5" t="str">
        <f t="shared" si="5"/>
        <v>7 years 10 months in role and company</v>
      </c>
      <c r="P139" s="5" t="str">
        <f t="shared" si="6"/>
        <v>Brisbane</v>
      </c>
      <c r="Q139" s="5" t="str">
        <f t="shared" si="7"/>
        <v>Queensland</v>
      </c>
      <c r="R139" s="5" t="str">
        <f t="shared" si="8"/>
        <v>Australia</v>
      </c>
    </row>
    <row r="140">
      <c r="A140" s="8" t="s">
        <v>5010</v>
      </c>
      <c r="B140" s="12" t="s">
        <v>5011</v>
      </c>
      <c r="C140" s="10" t="s">
        <v>5012</v>
      </c>
      <c r="D140" s="10"/>
      <c r="E140" s="10" t="s">
        <v>5013</v>
      </c>
      <c r="F140" s="10" t="s">
        <v>182</v>
      </c>
      <c r="G140" s="11" t="s">
        <v>4970</v>
      </c>
      <c r="H140" s="11" t="s">
        <v>4971</v>
      </c>
      <c r="I140" s="11" t="s">
        <v>4619</v>
      </c>
      <c r="J140" s="9" t="str">
        <f>IFERROR(__xludf.DUMMYFUNCTION("""COMPUTED_VALUE"""),"https://www.google.com/search?newwindow=1&amp;ei=2MT0XrvGGM-vytMP1OyDgAY&amp;q=site%3Alinkedin.com+Michaela+Tsiouva+Strategy+&amp;+Operations+Recruiter")</f>
        <v>https://www.google.com/search?newwindow=1&amp;ei=2MT0XrvGGM-vytMP1OyDgAY&amp;q=site%3Alinkedin.com+Michaela+Tsiouva+Strategy+&amp;+Operations+Recruiter</v>
      </c>
      <c r="K140" s="5" t="str">
        <f t="shared" si="1"/>
        <v>Michaela Tsiouva</v>
      </c>
      <c r="L140" s="5" t="str">
        <f t="shared" si="2"/>
        <v>Strategy &amp; Operations Recruiter</v>
      </c>
      <c r="M140" s="5" t="str">
        <f t="shared" si="3"/>
        <v/>
      </c>
      <c r="N140" s="5" t="str">
        <f t="shared" si="4"/>
        <v>Revolut</v>
      </c>
      <c r="O140" s="5" t="str">
        <f t="shared" si="5"/>
        <v>1 year 3 months in role and company</v>
      </c>
      <c r="P140" s="5" t="str">
        <f t="shared" si="6"/>
        <v>Bristol</v>
      </c>
      <c r="Q140" s="5" t="str">
        <f t="shared" si="7"/>
        <v>England</v>
      </c>
      <c r="R140" s="5" t="str">
        <f t="shared" si="8"/>
        <v>United Kingdom</v>
      </c>
    </row>
    <row r="141">
      <c r="A141" s="8" t="s">
        <v>5014</v>
      </c>
      <c r="B141" s="12" t="s">
        <v>5015</v>
      </c>
      <c r="C141" s="10" t="s">
        <v>5016</v>
      </c>
      <c r="D141" s="10"/>
      <c r="E141" s="10" t="s">
        <v>4975</v>
      </c>
      <c r="F141" s="10" t="s">
        <v>63</v>
      </c>
      <c r="G141" s="11" t="s">
        <v>4970</v>
      </c>
      <c r="H141" s="11" t="s">
        <v>4971</v>
      </c>
      <c r="I141" s="11" t="s">
        <v>4619</v>
      </c>
      <c r="J141" s="9" t="str">
        <f>IFERROR(__xludf.DUMMYFUNCTION("""COMPUTED_VALUE"""),"https://www.google.com/search?newwindow=1&amp;ei=2MT0XrvGGM-vytMP1OyDgAY&amp;q=site%3Alinkedin.com+Owen+Gough+Graduate+Recruiter")</f>
        <v>https://www.google.com/search?newwindow=1&amp;ei=2MT0XrvGGM-vytMP1OyDgAY&amp;q=site%3Alinkedin.com+Owen+Gough+Graduate+Recruiter</v>
      </c>
      <c r="K141" s="5" t="str">
        <f t="shared" si="1"/>
        <v>Owen Gough</v>
      </c>
      <c r="L141" s="5" t="str">
        <f t="shared" si="2"/>
        <v>Graduate Recruiter</v>
      </c>
      <c r="M141" s="5" t="str">
        <f t="shared" si="3"/>
        <v/>
      </c>
      <c r="N141" s="5" t="str">
        <f t="shared" si="4"/>
        <v>g2 Recruitment Solutions</v>
      </c>
      <c r="O141" s="5" t="str">
        <f t="shared" si="5"/>
        <v>6 months in role and company</v>
      </c>
      <c r="P141" s="5" t="str">
        <f t="shared" si="6"/>
        <v>Bristol</v>
      </c>
      <c r="Q141" s="5" t="str">
        <f t="shared" si="7"/>
        <v>England</v>
      </c>
      <c r="R141" s="5" t="str">
        <f t="shared" si="8"/>
        <v>United Kingdom</v>
      </c>
    </row>
    <row r="142">
      <c r="A142" s="8" t="s">
        <v>5017</v>
      </c>
      <c r="B142" s="12" t="s">
        <v>5018</v>
      </c>
      <c r="C142" s="10" t="s">
        <v>5019</v>
      </c>
      <c r="D142" s="10"/>
      <c r="E142" s="10" t="s">
        <v>4987</v>
      </c>
      <c r="F142" s="10" t="s">
        <v>909</v>
      </c>
      <c r="G142" s="11" t="s">
        <v>4970</v>
      </c>
      <c r="H142" s="11" t="s">
        <v>4971</v>
      </c>
      <c r="I142" s="11" t="s">
        <v>4619</v>
      </c>
      <c r="J142" s="9" t="str">
        <f>IFERROR(__xludf.DUMMYFUNCTION("""COMPUTED_VALUE"""),"https://www.google.com/search?newwindow=1&amp;ei=2MT0XrvGGM-vytMP1OyDgAY&amp;q=site%3Alinkedin.com+Chloe+Hall+University+Recruiter")</f>
        <v>https://www.google.com/search?newwindow=1&amp;ei=2MT0XrvGGM-vytMP1OyDgAY&amp;q=site%3Alinkedin.com+Chloe+Hall+University+Recruiter</v>
      </c>
      <c r="K142" s="5" t="str">
        <f t="shared" si="1"/>
        <v>Chloe Hall</v>
      </c>
      <c r="L142" s="5" t="str">
        <f t="shared" si="2"/>
        <v>University Recruiter</v>
      </c>
      <c r="M142" s="5" t="str">
        <f t="shared" si="3"/>
        <v/>
      </c>
      <c r="N142" s="5" t="str">
        <f t="shared" si="4"/>
        <v>Teach First</v>
      </c>
      <c r="O142" s="5" t="str">
        <f t="shared" si="5"/>
        <v>1 year 4 months in role and company</v>
      </c>
      <c r="P142" s="5" t="str">
        <f t="shared" si="6"/>
        <v>Bristol</v>
      </c>
      <c r="Q142" s="5" t="str">
        <f t="shared" si="7"/>
        <v>England</v>
      </c>
      <c r="R142" s="5" t="str">
        <f t="shared" si="8"/>
        <v>United Kingdom</v>
      </c>
    </row>
    <row r="143">
      <c r="A143" s="8" t="s">
        <v>5020</v>
      </c>
      <c r="B143" s="12" t="s">
        <v>5021</v>
      </c>
      <c r="C143" s="10" t="s">
        <v>5022</v>
      </c>
      <c r="D143" s="10"/>
      <c r="E143" s="10" t="s">
        <v>5023</v>
      </c>
      <c r="F143" s="10" t="s">
        <v>5024</v>
      </c>
      <c r="G143" s="11" t="s">
        <v>4970</v>
      </c>
      <c r="H143" s="11" t="s">
        <v>4971</v>
      </c>
      <c r="I143" s="11" t="s">
        <v>4619</v>
      </c>
      <c r="J143" s="9" t="str">
        <f>IFERROR(__xludf.DUMMYFUNCTION("""COMPUTED_VALUE"""),"https://www.google.com/search?newwindow=1&amp;ei=2MT0XrvGGM-vytMP1OyDgAY&amp;q=site%3Alinkedin.com+Natalie+Smith+Membership+&amp;+Programs+Manager")</f>
        <v>https://www.google.com/search?newwindow=1&amp;ei=2MT0XrvGGM-vytMP1OyDgAY&amp;q=site%3Alinkedin.com+Natalie+Smith+Membership+&amp;+Programs+Manager</v>
      </c>
      <c r="K143" s="5" t="str">
        <f t="shared" si="1"/>
        <v>Natalie Smith</v>
      </c>
      <c r="L143" s="5" t="str">
        <f t="shared" si="2"/>
        <v>Membership &amp; Programs Manager</v>
      </c>
      <c r="M143" s="5" t="str">
        <f t="shared" si="3"/>
        <v/>
      </c>
      <c r="N143" s="5" t="str">
        <f t="shared" si="4"/>
        <v>The Cynefin Centre</v>
      </c>
      <c r="O143" s="5" t="str">
        <f t="shared" si="5"/>
        <v>4 months in role</v>
      </c>
      <c r="P143" s="5" t="str">
        <f t="shared" si="6"/>
        <v>Bristol</v>
      </c>
      <c r="Q143" s="5" t="str">
        <f t="shared" si="7"/>
        <v>England</v>
      </c>
      <c r="R143" s="5" t="str">
        <f t="shared" si="8"/>
        <v>United Kingdom</v>
      </c>
    </row>
    <row r="144">
      <c r="A144" s="8" t="s">
        <v>5025</v>
      </c>
      <c r="B144" s="12" t="s">
        <v>5026</v>
      </c>
      <c r="C144" s="10" t="s">
        <v>5027</v>
      </c>
      <c r="D144" s="10"/>
      <c r="E144" s="10" t="s">
        <v>5028</v>
      </c>
      <c r="F144" s="10" t="s">
        <v>125</v>
      </c>
      <c r="G144" s="11" t="s">
        <v>4970</v>
      </c>
      <c r="H144" s="11" t="s">
        <v>4971</v>
      </c>
      <c r="I144" s="11" t="s">
        <v>4619</v>
      </c>
      <c r="J144" s="9" t="str">
        <f>IFERROR(__xludf.DUMMYFUNCTION("""COMPUTED_VALUE"""),"https://www.google.com/search?newwindow=1&amp;ei=2MT0XrvGGM-vytMP1OyDgAY&amp;q=site%3Alinkedin.com+Charlene+Coleman+Airbus+Group+-+Recruitment+Business+Partner+for+Airbus+Defence+and+Space+(UK)")</f>
        <v>https://www.google.com/search?newwindow=1&amp;ei=2MT0XrvGGM-vytMP1OyDgAY&amp;q=site%3Alinkedin.com+Charlene+Coleman+Airbus+Group+-+Recruitment+Business+Partner+for+Airbus+Defence+and+Space+(UK)</v>
      </c>
      <c r="K144" s="5" t="str">
        <f t="shared" si="1"/>
        <v>Charlene Coleman</v>
      </c>
      <c r="L144" s="5" t="str">
        <f t="shared" si="2"/>
        <v>Airbus Group - Recruitment Business Partner for Airbus Defence and Space (UK)</v>
      </c>
      <c r="M144" s="5" t="str">
        <f t="shared" si="3"/>
        <v/>
      </c>
      <c r="N144" s="5" t="str">
        <f t="shared" si="4"/>
        <v>Airbus</v>
      </c>
      <c r="O144" s="5" t="str">
        <f t="shared" si="5"/>
        <v>3 years 8 months in role</v>
      </c>
      <c r="P144" s="5" t="str">
        <f t="shared" si="6"/>
        <v>Bristol</v>
      </c>
      <c r="Q144" s="5" t="str">
        <f t="shared" si="7"/>
        <v>England</v>
      </c>
      <c r="R144" s="5" t="str">
        <f t="shared" si="8"/>
        <v>United Kingdom</v>
      </c>
    </row>
    <row r="145">
      <c r="A145" s="8" t="s">
        <v>5029</v>
      </c>
      <c r="B145" s="12" t="s">
        <v>5030</v>
      </c>
      <c r="C145" s="10" t="s">
        <v>5031</v>
      </c>
      <c r="D145" s="10"/>
      <c r="E145" s="10" t="s">
        <v>5032</v>
      </c>
      <c r="F145" s="10" t="s">
        <v>5033</v>
      </c>
      <c r="G145" s="11" t="s">
        <v>4970</v>
      </c>
      <c r="H145" s="11" t="s">
        <v>4971</v>
      </c>
      <c r="I145" s="11" t="s">
        <v>4619</v>
      </c>
      <c r="J145" s="9" t="str">
        <f>IFERROR(__xludf.DUMMYFUNCTION("""COMPUTED_VALUE"""),"https://www.google.com/search?newwindow=1&amp;ei=2MT0XrvGGM-vytMP1OyDgAY&amp;q=site%3Alinkedin.com+Emily+Kandborg+International+Student+Recruiter")</f>
        <v>https://www.google.com/search?newwindow=1&amp;ei=2MT0XrvGGM-vytMP1OyDgAY&amp;q=site%3Alinkedin.com+Emily+Kandborg+International+Student+Recruiter</v>
      </c>
      <c r="K145" s="5" t="str">
        <f t="shared" si="1"/>
        <v>Emily Kandborg</v>
      </c>
      <c r="L145" s="5" t="str">
        <f t="shared" si="2"/>
        <v>International Student Recruiter</v>
      </c>
      <c r="M145" s="5" t="str">
        <f t="shared" si="3"/>
        <v/>
      </c>
      <c r="N145" s="5" t="str">
        <f t="shared" si="4"/>
        <v>Selkirk College</v>
      </c>
      <c r="O145" s="5" t="str">
        <f t="shared" si="5"/>
        <v>2 years 2 months in role and company</v>
      </c>
      <c r="P145" s="5" t="str">
        <f t="shared" si="6"/>
        <v>Vancouver</v>
      </c>
      <c r="Q145" s="5" t="str">
        <f t="shared" si="7"/>
        <v>British Columbia</v>
      </c>
      <c r="R145" s="5" t="str">
        <f t="shared" si="8"/>
        <v>Canada</v>
      </c>
    </row>
    <row r="146">
      <c r="A146" s="8" t="s">
        <v>5034</v>
      </c>
      <c r="B146" s="10" t="s">
        <v>5035</v>
      </c>
      <c r="C146" s="10" t="s">
        <v>5036</v>
      </c>
      <c r="D146" s="10"/>
      <c r="E146" s="10" t="s">
        <v>5037</v>
      </c>
      <c r="F146" s="10" t="s">
        <v>5038</v>
      </c>
      <c r="G146" s="11" t="s">
        <v>4970</v>
      </c>
      <c r="H146" s="11" t="s">
        <v>4971</v>
      </c>
      <c r="I146" s="11" t="s">
        <v>4619</v>
      </c>
      <c r="J146" s="9" t="str">
        <f>IFERROR(__xludf.DUMMYFUNCTION("""COMPUTED_VALUE"""),"https://www.google.com/search?newwindow=1&amp;ei=2MT0XrvGGM-vytMP1OyDgAY&amp;q=site%3Alinkedin.com+Renae+Roles+Student+Recruiter-Advisor")</f>
        <v>https://www.google.com/search?newwindow=1&amp;ei=2MT0XrvGGM-vytMP1OyDgAY&amp;q=site%3Alinkedin.com+Renae+Roles+Student+Recruiter-Advisor</v>
      </c>
      <c r="K146" s="5" t="str">
        <f t="shared" si="1"/>
        <v>Renae Roles</v>
      </c>
      <c r="L146" s="5" t="str">
        <f t="shared" si="2"/>
        <v>Student Recruiter-Advisor</v>
      </c>
      <c r="M146" s="5" t="str">
        <f t="shared" si="3"/>
        <v/>
      </c>
      <c r="N146" s="5" t="str">
        <f t="shared" si="4"/>
        <v>North Island College</v>
      </c>
      <c r="O146" s="5" t="str">
        <f t="shared" si="5"/>
        <v>2 years 7 months in role and company</v>
      </c>
      <c r="P146" s="5" t="str">
        <f t="shared" si="6"/>
        <v>Vancouver</v>
      </c>
      <c r="Q146" s="5" t="str">
        <f t="shared" si="7"/>
        <v>British Columbia</v>
      </c>
      <c r="R146" s="5" t="str">
        <f t="shared" si="8"/>
        <v>Canada</v>
      </c>
    </row>
    <row r="147">
      <c r="A147" s="8" t="s">
        <v>5039</v>
      </c>
      <c r="B147" s="10" t="s">
        <v>5040</v>
      </c>
      <c r="C147" s="10" t="s">
        <v>5041</v>
      </c>
      <c r="D147" s="10"/>
      <c r="E147" s="10" t="s">
        <v>5042</v>
      </c>
      <c r="F147" s="10" t="s">
        <v>213</v>
      </c>
      <c r="G147" s="11" t="s">
        <v>4970</v>
      </c>
      <c r="H147" s="11" t="s">
        <v>4971</v>
      </c>
      <c r="I147" s="11" t="s">
        <v>4619</v>
      </c>
      <c r="J147" s="9" t="str">
        <f>IFERROR(__xludf.DUMMYFUNCTION("""COMPUTED_VALUE"""),"https://www.google.com/search?newwindow=1&amp;ei=2MT0XrvGGM-vytMP1OyDgAY&amp;q=site%3Alinkedin.com+Brayden+Tielmann+Student+Recruiter")</f>
        <v>https://www.google.com/search?newwindow=1&amp;ei=2MT0XrvGGM-vytMP1OyDgAY&amp;q=site%3Alinkedin.com+Brayden+Tielmann+Student+Recruiter</v>
      </c>
      <c r="K147" s="5" t="str">
        <f t="shared" si="1"/>
        <v>Brayden Tielmann</v>
      </c>
      <c r="L147" s="5" t="str">
        <f t="shared" si="2"/>
        <v>Student Recruiter</v>
      </c>
      <c r="M147" s="5" t="str">
        <f t="shared" si="3"/>
        <v/>
      </c>
      <c r="N147" s="5" t="str">
        <f t="shared" si="4"/>
        <v>University of the Fraser Valley</v>
      </c>
      <c r="O147" s="5" t="str">
        <f t="shared" si="5"/>
        <v>1 year 2 months in role and company</v>
      </c>
      <c r="P147" s="5" t="str">
        <f t="shared" si="6"/>
        <v>Vancouver</v>
      </c>
      <c r="Q147" s="5" t="str">
        <f t="shared" si="7"/>
        <v>British Columbia</v>
      </c>
      <c r="R147" s="5" t="str">
        <f t="shared" si="8"/>
        <v>Canada</v>
      </c>
    </row>
    <row r="148">
      <c r="A148" s="8" t="s">
        <v>5043</v>
      </c>
      <c r="B148" s="12" t="s">
        <v>5044</v>
      </c>
      <c r="C148" s="10" t="s">
        <v>5045</v>
      </c>
      <c r="D148" s="10"/>
      <c r="E148" s="10" t="s">
        <v>5046</v>
      </c>
      <c r="F148" s="10" t="s">
        <v>5033</v>
      </c>
      <c r="G148" s="11" t="s">
        <v>4970</v>
      </c>
      <c r="H148" s="11" t="s">
        <v>4971</v>
      </c>
      <c r="I148" s="11" t="s">
        <v>4619</v>
      </c>
      <c r="J148" s="9" t="str">
        <f>IFERROR(__xludf.DUMMYFUNCTION("""COMPUTED_VALUE"""),"https://www.google.com/search?newwindow=1&amp;ei=2MT0XrvGGM-vytMP1OyDgAY&amp;q=site%3Alinkedin.com+Lauren+Dallow+Student+Recruiter")</f>
        <v>https://www.google.com/search?newwindow=1&amp;ei=2MT0XrvGGM-vytMP1OyDgAY&amp;q=site%3Alinkedin.com+Lauren+Dallow+Student+Recruiter</v>
      </c>
      <c r="K148" s="5" t="str">
        <f t="shared" si="1"/>
        <v>Lauren Dallow</v>
      </c>
      <c r="L148" s="5" t="str">
        <f t="shared" si="2"/>
        <v>Student Recruiter</v>
      </c>
      <c r="M148" s="5" t="str">
        <f t="shared" si="3"/>
        <v/>
      </c>
      <c r="N148" s="5" t="str">
        <f t="shared" si="4"/>
        <v>University of the Fraser Valley</v>
      </c>
      <c r="O148" s="5" t="str">
        <f t="shared" si="5"/>
        <v>1 year 5 months in role</v>
      </c>
      <c r="P148" s="5" t="str">
        <f t="shared" si="6"/>
        <v>Vancouver</v>
      </c>
      <c r="Q148" s="5" t="str">
        <f t="shared" si="7"/>
        <v>British Columbia</v>
      </c>
      <c r="R148" s="5" t="str">
        <f t="shared" si="8"/>
        <v>Canada</v>
      </c>
    </row>
    <row r="149">
      <c r="A149" s="8" t="s">
        <v>5047</v>
      </c>
      <c r="B149" s="10" t="s">
        <v>5048</v>
      </c>
      <c r="C149" s="10" t="s">
        <v>5049</v>
      </c>
      <c r="D149" s="10"/>
      <c r="E149" s="10" t="s">
        <v>5050</v>
      </c>
      <c r="F149" s="10" t="s">
        <v>79</v>
      </c>
      <c r="G149" s="11" t="s">
        <v>5051</v>
      </c>
      <c r="H149" s="11" t="s">
        <v>4757</v>
      </c>
      <c r="I149" s="11" t="s">
        <v>4607</v>
      </c>
      <c r="J149" s="9" t="str">
        <f>IFERROR(__xludf.DUMMYFUNCTION("""COMPUTED_VALUE"""),"https://www.google.com/search?newwindow=1&amp;ei=2MT0XrvGGM-vytMP1OyDgAY&amp;q=site%3Alinkedin.com+Jenna+Felske+Student+Recruiter")</f>
        <v>https://www.google.com/search?newwindow=1&amp;ei=2MT0XrvGGM-vytMP1OyDgAY&amp;q=site%3Alinkedin.com+Jenna+Felske+Student+Recruiter</v>
      </c>
      <c r="K149" s="5" t="str">
        <f t="shared" si="1"/>
        <v>Jenna Felske</v>
      </c>
      <c r="L149" s="5" t="str">
        <f t="shared" si="2"/>
        <v>Student Recruiter</v>
      </c>
      <c r="M149" s="5" t="str">
        <f t="shared" si="3"/>
        <v/>
      </c>
      <c r="N149" s="5" t="str">
        <f t="shared" si="4"/>
        <v>Northern Lights College</v>
      </c>
      <c r="O149" s="5" t="str">
        <f t="shared" si="5"/>
        <v>3 years 6 months in role and company</v>
      </c>
      <c r="P149" s="5" t="str">
        <f t="shared" si="6"/>
        <v>Vancouver</v>
      </c>
      <c r="Q149" s="5" t="str">
        <f t="shared" si="7"/>
        <v>British Columbia</v>
      </c>
      <c r="R149" s="5" t="str">
        <f t="shared" si="8"/>
        <v>Canada</v>
      </c>
    </row>
    <row r="150">
      <c r="A150" s="8" t="s">
        <v>5052</v>
      </c>
      <c r="B150" s="10" t="s">
        <v>5053</v>
      </c>
      <c r="C150" s="10" t="s">
        <v>5054</v>
      </c>
      <c r="D150" s="10"/>
      <c r="E150" s="10" t="s">
        <v>5055</v>
      </c>
      <c r="F150" s="10" t="s">
        <v>1089</v>
      </c>
      <c r="G150" s="11" t="s">
        <v>5051</v>
      </c>
      <c r="H150" s="11" t="s">
        <v>4757</v>
      </c>
      <c r="I150" s="11" t="s">
        <v>4607</v>
      </c>
      <c r="J150" s="9" t="str">
        <f>IFERROR(__xludf.DUMMYFUNCTION("""COMPUTED_VALUE"""),"https://www.google.com/search?newwindow=1&amp;ei=2MT0XrvGGM-vytMP1OyDgAY&amp;q=site%3Alinkedin.com+Megan+Ryan+Student+Recruiter")</f>
        <v>https://www.google.com/search?newwindow=1&amp;ei=2MT0XrvGGM-vytMP1OyDgAY&amp;q=site%3Alinkedin.com+Megan+Ryan+Student+Recruiter</v>
      </c>
      <c r="K150" s="5" t="str">
        <f t="shared" si="1"/>
        <v>Megan Ryan</v>
      </c>
      <c r="L150" s="5" t="str">
        <f t="shared" si="2"/>
        <v>Student Recruiter</v>
      </c>
      <c r="M150" s="5" t="str">
        <f t="shared" si="3"/>
        <v/>
      </c>
      <c r="N150" s="5" t="str">
        <f t="shared" si="4"/>
        <v>Grande Prairie Regional College (GPRC)</v>
      </c>
      <c r="O150" s="5" t="str">
        <f t="shared" si="5"/>
        <v/>
      </c>
      <c r="P150" s="5" t="str">
        <f t="shared" si="6"/>
        <v>Vancouver</v>
      </c>
      <c r="Q150" s="5" t="str">
        <f t="shared" si="7"/>
        <v>British Columbia</v>
      </c>
      <c r="R150" s="5" t="str">
        <f t="shared" si="8"/>
        <v>Canada</v>
      </c>
    </row>
    <row r="151">
      <c r="A151" s="8" t="s">
        <v>5056</v>
      </c>
      <c r="B151" s="10" t="s">
        <v>5057</v>
      </c>
      <c r="C151" s="10" t="s">
        <v>110</v>
      </c>
      <c r="D151" s="10"/>
      <c r="E151" s="10" t="s">
        <v>4836</v>
      </c>
      <c r="F151" s="10" t="s">
        <v>651</v>
      </c>
      <c r="G151" s="11" t="s">
        <v>5051</v>
      </c>
      <c r="H151" s="11" t="s">
        <v>4757</v>
      </c>
      <c r="I151" s="11" t="s">
        <v>4607</v>
      </c>
      <c r="J151" s="9" t="str">
        <f>IFERROR(__xludf.DUMMYFUNCTION("""COMPUTED_VALUE"""),"https://www.google.com/search?newwindow=1&amp;ei=2MT0XrvGGM-vytMP1OyDgAY&amp;q=site%3Alinkedin.com+Karen+Otway+(O'Brien)+Student+Recruiter+Lead")</f>
        <v>https://www.google.com/search?newwindow=1&amp;ei=2MT0XrvGGM-vytMP1OyDgAY&amp;q=site%3Alinkedin.com+Karen+Otway+(O'Brien)+Student+Recruiter+Lead</v>
      </c>
      <c r="K151" s="5" t="str">
        <f t="shared" si="1"/>
        <v>Karen Otway (O'Brien)</v>
      </c>
      <c r="L151" s="5" t="str">
        <f t="shared" si="2"/>
        <v>Student Recruiter Lead</v>
      </c>
      <c r="M151" s="5" t="str">
        <f t="shared" si="3"/>
        <v/>
      </c>
      <c r="N151" s="5" t="str">
        <f t="shared" si="4"/>
        <v>Northern Lights College</v>
      </c>
      <c r="O151" s="5" t="str">
        <f t="shared" si="5"/>
        <v>4 years 10 months in role and company</v>
      </c>
      <c r="P151" s="5" t="str">
        <f t="shared" si="6"/>
        <v>Vancouver</v>
      </c>
      <c r="Q151" s="5" t="str">
        <f t="shared" si="7"/>
        <v>British Columbia</v>
      </c>
      <c r="R151" s="5" t="str">
        <f t="shared" si="8"/>
        <v>Canada</v>
      </c>
    </row>
    <row r="152">
      <c r="A152" s="8" t="s">
        <v>5058</v>
      </c>
      <c r="B152" s="10" t="s">
        <v>5059</v>
      </c>
      <c r="C152" s="10" t="s">
        <v>5060</v>
      </c>
      <c r="D152" s="10"/>
      <c r="E152" s="10" t="s">
        <v>5061</v>
      </c>
      <c r="F152" s="10" t="s">
        <v>149</v>
      </c>
      <c r="G152" s="11" t="s">
        <v>5051</v>
      </c>
      <c r="H152" s="11" t="s">
        <v>4757</v>
      </c>
      <c r="I152" s="11" t="s">
        <v>4607</v>
      </c>
      <c r="J152" s="9" t="str">
        <f>IFERROR(__xludf.DUMMYFUNCTION("""COMPUTED_VALUE"""),"https://www.google.com/search?newwindow=1&amp;ei=2MT0XrvGGM-vytMP1OyDgAY&amp;q=site%3Alinkedin.com+Halyna+Petryshyn+Student+Recruiter+-+Advisor")</f>
        <v>https://www.google.com/search?newwindow=1&amp;ei=2MT0XrvGGM-vytMP1OyDgAY&amp;q=site%3Alinkedin.com+Halyna+Petryshyn+Student+Recruiter+-+Advisor</v>
      </c>
      <c r="K152" s="5" t="str">
        <f t="shared" si="1"/>
        <v>Halyna Petryshyn</v>
      </c>
      <c r="L152" s="5" t="str">
        <f t="shared" si="2"/>
        <v>Student Recruiter - Advisor</v>
      </c>
      <c r="M152" s="5" t="str">
        <f t="shared" si="3"/>
        <v/>
      </c>
      <c r="N152" s="5" t="str">
        <f t="shared" si="4"/>
        <v>The University of British Columbia</v>
      </c>
      <c r="O152" s="5" t="str">
        <f t="shared" si="5"/>
        <v>8 years 2 months in role and company</v>
      </c>
      <c r="P152" s="5" t="str">
        <f t="shared" si="6"/>
        <v>Vancouver</v>
      </c>
      <c r="Q152" s="5" t="str">
        <f t="shared" si="7"/>
        <v>British Columbia</v>
      </c>
      <c r="R152" s="5" t="str">
        <f t="shared" si="8"/>
        <v>Canada</v>
      </c>
    </row>
    <row r="153">
      <c r="A153" s="8" t="s">
        <v>5062</v>
      </c>
      <c r="B153" s="12" t="s">
        <v>5063</v>
      </c>
      <c r="C153" s="10" t="s">
        <v>5064</v>
      </c>
      <c r="D153" s="10"/>
      <c r="E153" s="10" t="s">
        <v>5065</v>
      </c>
      <c r="F153" s="10" t="s">
        <v>1300</v>
      </c>
      <c r="G153" s="11" t="s">
        <v>5051</v>
      </c>
      <c r="H153" s="11" t="s">
        <v>4757</v>
      </c>
      <c r="I153" s="11" t="s">
        <v>4607</v>
      </c>
      <c r="J153" s="9" t="str">
        <f>IFERROR(__xludf.DUMMYFUNCTION("""COMPUTED_VALUE"""),"https://www.google.com/search?newwindow=1&amp;ei=2MT0XrvGGM-vytMP1OyDgAY&amp;q=site%3Alinkedin.com+Brianne+Lakeman+Co-op+Student+-+Compensation+Policy+and+Programs")</f>
        <v>https://www.google.com/search?newwindow=1&amp;ei=2MT0XrvGGM-vytMP1OyDgAY&amp;q=site%3Alinkedin.com+Brianne+Lakeman+Co-op+Student+-+Compensation+Policy+and+Programs</v>
      </c>
      <c r="K153" s="5" t="str">
        <f t="shared" si="1"/>
        <v>Brianne Lakeman</v>
      </c>
      <c r="L153" s="5" t="str">
        <f t="shared" si="2"/>
        <v>Co-op Student - Compensation Policy and Programs</v>
      </c>
      <c r="M153" s="5" t="str">
        <f t="shared" si="3"/>
        <v/>
      </c>
      <c r="N153" s="5" t="str">
        <f t="shared" si="4"/>
        <v>British Columbia Ministry of Health</v>
      </c>
      <c r="O153" s="5" t="str">
        <f t="shared" si="5"/>
        <v>1 year 6 months in role and company</v>
      </c>
      <c r="P153" s="5" t="str">
        <f t="shared" si="6"/>
        <v>Vancouver</v>
      </c>
      <c r="Q153" s="5" t="str">
        <f t="shared" si="7"/>
        <v>British Columbia</v>
      </c>
      <c r="R153" s="5" t="str">
        <f t="shared" si="8"/>
        <v>Canada</v>
      </c>
    </row>
    <row r="154">
      <c r="A154" s="8" t="s">
        <v>5066</v>
      </c>
      <c r="B154" s="12" t="s">
        <v>5067</v>
      </c>
      <c r="C154" s="10" t="s">
        <v>5068</v>
      </c>
      <c r="D154" s="10"/>
      <c r="E154" s="10" t="s">
        <v>5069</v>
      </c>
      <c r="F154" s="10" t="s">
        <v>48</v>
      </c>
      <c r="G154" s="13" t="s">
        <v>2113</v>
      </c>
      <c r="H154" s="11" t="s">
        <v>4599</v>
      </c>
      <c r="I154" s="11" t="s">
        <v>4600</v>
      </c>
      <c r="J154" s="9" t="str">
        <f>IFERROR(__xludf.DUMMYFUNCTION("""COMPUTED_VALUE"""),"https://www.google.com/search?newwindow=1&amp;ei=2MT0XrvGGM-vytMP1OyDgAY&amp;q=site%3Alinkedin.com+Catherine+Camp+University+Recruiter")</f>
        <v>https://www.google.com/search?newwindow=1&amp;ei=2MT0XrvGGM-vytMP1OyDgAY&amp;q=site%3Alinkedin.com+Catherine+Camp+University+Recruiter</v>
      </c>
      <c r="K154" s="5" t="str">
        <f t="shared" si="1"/>
        <v>Catherine Camp</v>
      </c>
      <c r="L154" s="5" t="str">
        <f t="shared" si="2"/>
        <v>University Recruiter</v>
      </c>
      <c r="M154" s="5" t="str">
        <f t="shared" si="3"/>
        <v/>
      </c>
      <c r="N154" s="5" t="str">
        <f t="shared" si="4"/>
        <v>Teach First</v>
      </c>
      <c r="O154" s="5" t="str">
        <f t="shared" si="5"/>
        <v>1 year 3 months in role and company</v>
      </c>
      <c r="P154" s="5" t="str">
        <f t="shared" si="6"/>
        <v>Bromley</v>
      </c>
      <c r="Q154" s="5" t="str">
        <f t="shared" si="7"/>
        <v>England</v>
      </c>
      <c r="R154" s="5" t="str">
        <f t="shared" si="8"/>
        <v>United Kingdom</v>
      </c>
    </row>
    <row r="155">
      <c r="A155" s="8" t="s">
        <v>5070</v>
      </c>
      <c r="B155" s="10" t="s">
        <v>5071</v>
      </c>
      <c r="C155" s="10" t="s">
        <v>5072</v>
      </c>
      <c r="D155" s="10"/>
      <c r="E155" s="10" t="s">
        <v>5073</v>
      </c>
      <c r="F155" s="10" t="s">
        <v>446</v>
      </c>
      <c r="G155" s="13" t="s">
        <v>2113</v>
      </c>
      <c r="H155" s="11" t="s">
        <v>4599</v>
      </c>
      <c r="I155" s="11" t="s">
        <v>4600</v>
      </c>
      <c r="J155" s="9" t="str">
        <f>IFERROR(__xludf.DUMMYFUNCTION("""COMPUTED_VALUE"""),"https://www.google.com/search?newwindow=1&amp;ei=2MT0XrvGGM-vytMP1OyDgAY&amp;q=site%3Alinkedin.com+Jessica+Franklin+Graduate+Recruiter")</f>
        <v>https://www.google.com/search?newwindow=1&amp;ei=2MT0XrvGGM-vytMP1OyDgAY&amp;q=site%3Alinkedin.com+Jessica+Franklin+Graduate+Recruiter</v>
      </c>
      <c r="K155" s="5" t="str">
        <f t="shared" si="1"/>
        <v>Jessica Franklin</v>
      </c>
      <c r="L155" s="5" t="str">
        <f t="shared" si="2"/>
        <v>Graduate Recruiter</v>
      </c>
      <c r="M155" s="5" t="str">
        <f t="shared" si="3"/>
        <v/>
      </c>
      <c r="N155" s="5" t="str">
        <f t="shared" si="4"/>
        <v>FDM Group</v>
      </c>
      <c r="O155" s="5" t="str">
        <f t="shared" si="5"/>
        <v>1 year 9 months in role and company</v>
      </c>
      <c r="P155" s="5" t="str">
        <f t="shared" si="6"/>
        <v>Bromley</v>
      </c>
      <c r="Q155" s="5" t="str">
        <f t="shared" si="7"/>
        <v>England</v>
      </c>
      <c r="R155" s="5" t="str">
        <f t="shared" si="8"/>
        <v>United Kingdom</v>
      </c>
    </row>
    <row r="156">
      <c r="A156" s="8" t="s">
        <v>5074</v>
      </c>
      <c r="B156" s="12" t="s">
        <v>5075</v>
      </c>
      <c r="C156" s="10" t="s">
        <v>4596</v>
      </c>
      <c r="D156" s="10"/>
      <c r="E156" s="10" t="s">
        <v>4597</v>
      </c>
      <c r="F156" s="10" t="s">
        <v>144</v>
      </c>
      <c r="G156" s="13" t="s">
        <v>2113</v>
      </c>
      <c r="H156" s="11" t="s">
        <v>4599</v>
      </c>
      <c r="I156" s="11" t="s">
        <v>4600</v>
      </c>
      <c r="J156" s="9" t="str">
        <f>IFERROR(__xludf.DUMMYFUNCTION("""COMPUTED_VALUE"""),"https://www.google.com/search?newwindow=1&amp;ei=2MT0XrvGGM-vytMP1OyDgAY&amp;q=site%3Alinkedin.com+Kwame+Joseph+Campus+Recruiting+Coordinator+onsite+at+Goldman+Sachs+via+ADP+RPO")</f>
        <v>https://www.google.com/search?newwindow=1&amp;ei=2MT0XrvGGM-vytMP1OyDgAY&amp;q=site%3Alinkedin.com+Kwame+Joseph+Campus+Recruiting+Coordinator+onsite+at+Goldman+Sachs+via+ADP+RPO</v>
      </c>
      <c r="K156" s="5" t="str">
        <f t="shared" si="1"/>
        <v>Kwame Joseph</v>
      </c>
      <c r="L156" s="5" t="str">
        <f t="shared" si="2"/>
        <v>Campus Recruiting Coordinator onsite at Goldman Sachs via ADP RPO</v>
      </c>
      <c r="M156" s="5" t="str">
        <f t="shared" si="3"/>
        <v/>
      </c>
      <c r="N156" s="5" t="str">
        <f t="shared" si="4"/>
        <v>Goldman Sachs</v>
      </c>
      <c r="O156" s="5" t="str">
        <f t="shared" si="5"/>
        <v>1 year 6 months in role and company</v>
      </c>
      <c r="P156" s="5" t="str">
        <f t="shared" si="6"/>
        <v>Bronx</v>
      </c>
      <c r="Q156" s="5" t="str">
        <f t="shared" si="7"/>
        <v>New York</v>
      </c>
      <c r="R156" s="5" t="str">
        <f t="shared" si="8"/>
        <v>United States</v>
      </c>
    </row>
    <row r="157">
      <c r="A157" s="8" t="s">
        <v>5076</v>
      </c>
      <c r="B157" s="10" t="s">
        <v>5077</v>
      </c>
      <c r="C157" s="10" t="s">
        <v>4596</v>
      </c>
      <c r="D157" s="10"/>
      <c r="E157" s="10" t="s">
        <v>4597</v>
      </c>
      <c r="F157" s="10" t="s">
        <v>106</v>
      </c>
      <c r="G157" s="13" t="s">
        <v>2113</v>
      </c>
      <c r="H157" s="11" t="s">
        <v>4599</v>
      </c>
      <c r="I157" s="11" t="s">
        <v>4600</v>
      </c>
      <c r="J157" s="9" t="str">
        <f>IFERROR(__xludf.DUMMYFUNCTION("""COMPUTED_VALUE"""),"https://www.google.com/search?newwindow=1&amp;ei=2MT0XrvGGM-vytMP1OyDgAY&amp;q=site%3Alinkedin.com+Gregory+Lopez+Campus+recruiting+senior+specialist")</f>
        <v>https://www.google.com/search?newwindow=1&amp;ei=2MT0XrvGGM-vytMP1OyDgAY&amp;q=site%3Alinkedin.com+Gregory+Lopez+Campus+recruiting+senior+specialist</v>
      </c>
      <c r="K157" s="5" t="str">
        <f t="shared" si="1"/>
        <v>Gregory Lopez</v>
      </c>
      <c r="L157" s="5" t="str">
        <f t="shared" si="2"/>
        <v>Campus recruiting senior specialist</v>
      </c>
      <c r="M157" s="5" t="str">
        <f t="shared" si="3"/>
        <v/>
      </c>
      <c r="N157" s="5" t="str">
        <f t="shared" si="4"/>
        <v>Citi</v>
      </c>
      <c r="O157" s="5" t="str">
        <f t="shared" si="5"/>
        <v>2 years 5 months in role and company</v>
      </c>
      <c r="P157" s="5" t="str">
        <f t="shared" si="6"/>
        <v>Bronx</v>
      </c>
      <c r="Q157" s="5" t="str">
        <f t="shared" si="7"/>
        <v>New York</v>
      </c>
      <c r="R157" s="5" t="str">
        <f t="shared" si="8"/>
        <v>United States</v>
      </c>
    </row>
    <row r="158">
      <c r="A158" s="8" t="s">
        <v>5078</v>
      </c>
      <c r="B158" s="10" t="s">
        <v>5079</v>
      </c>
      <c r="C158" s="10" t="s">
        <v>4596</v>
      </c>
      <c r="D158" s="10"/>
      <c r="E158" s="10" t="s">
        <v>5080</v>
      </c>
      <c r="F158" s="10" t="s">
        <v>179</v>
      </c>
      <c r="G158" s="13" t="s">
        <v>2113</v>
      </c>
      <c r="H158" s="11" t="s">
        <v>4599</v>
      </c>
      <c r="I158" s="11" t="s">
        <v>4600</v>
      </c>
      <c r="J158" s="9" t="str">
        <f>IFERROR(__xludf.DUMMYFUNCTION("""COMPUTED_VALUE"""),"https://www.google.com/search?newwindow=1&amp;ei=2MT0XrvGGM-vytMP1OyDgAY&amp;q=site%3Alinkedin.com+Robin+Diglio+Vice+President,+Campus+Recruiting+and+Entry+Programs")</f>
        <v>https://www.google.com/search?newwindow=1&amp;ei=2MT0XrvGGM-vytMP1OyDgAY&amp;q=site%3Alinkedin.com+Robin+Diglio+Vice+President,+Campus+Recruiting+and+Entry+Programs</v>
      </c>
      <c r="K158" s="5" t="str">
        <f t="shared" si="1"/>
        <v>Robin Diglio</v>
      </c>
      <c r="L158" s="5" t="str">
        <f t="shared" si="2"/>
        <v>Vice President, Campus Recruiting and Entry Programs</v>
      </c>
      <c r="M158" s="5" t="str">
        <f t="shared" si="3"/>
        <v/>
      </c>
      <c r="N158" s="5" t="str">
        <f t="shared" si="4"/>
        <v>Morgan Stanley</v>
      </c>
      <c r="O158" s="5" t="str">
        <f t="shared" si="5"/>
        <v>1 year 10 months in role</v>
      </c>
      <c r="P158" s="5" t="str">
        <f t="shared" si="6"/>
        <v>Brooklyn</v>
      </c>
      <c r="Q158" s="5" t="str">
        <f t="shared" si="7"/>
        <v>New York</v>
      </c>
      <c r="R158" s="5" t="str">
        <f t="shared" si="8"/>
        <v>United States</v>
      </c>
    </row>
    <row r="159">
      <c r="A159" s="8" t="s">
        <v>5081</v>
      </c>
      <c r="B159" s="10" t="s">
        <v>5082</v>
      </c>
      <c r="C159" s="10" t="s">
        <v>4596</v>
      </c>
      <c r="D159" s="12"/>
      <c r="E159" s="12" t="s">
        <v>5083</v>
      </c>
      <c r="F159" s="10"/>
      <c r="G159" s="13" t="s">
        <v>2113</v>
      </c>
      <c r="H159" s="11" t="s">
        <v>4599</v>
      </c>
      <c r="I159" s="11" t="s">
        <v>4600</v>
      </c>
      <c r="J159" s="9" t="str">
        <f>IFERROR(__xludf.DUMMYFUNCTION("""COMPUTED_VALUE"""),"https://www.google.com/search?newwindow=1&amp;ei=2MT0XrvGGM-vytMP1OyDgAY&amp;q=site%3Alinkedin.com+Missy+Miller+Consulting+Campus+Recruiting+Leader")</f>
        <v>https://www.google.com/search?newwindow=1&amp;ei=2MT0XrvGGM-vytMP1OyDgAY&amp;q=site%3Alinkedin.com+Missy+Miller+Consulting+Campus+Recruiting+Leader</v>
      </c>
      <c r="K159" s="5" t="str">
        <f t="shared" si="1"/>
        <v>Missy Miller</v>
      </c>
      <c r="L159" s="5" t="str">
        <f t="shared" si="2"/>
        <v>Consulting Campus Recruiting Leader</v>
      </c>
      <c r="M159" s="5" t="str">
        <f t="shared" si="3"/>
        <v/>
      </c>
      <c r="N159" s="5" t="str">
        <f t="shared" si="4"/>
        <v>Deloitte</v>
      </c>
      <c r="O159" s="5" t="str">
        <f t="shared" si="5"/>
        <v>13 years 8 months in role and company</v>
      </c>
      <c r="P159" s="5" t="str">
        <f t="shared" si="6"/>
        <v>Brooklyn</v>
      </c>
      <c r="Q159" s="5" t="str">
        <f t="shared" si="7"/>
        <v>New York</v>
      </c>
      <c r="R159" s="5" t="str">
        <f t="shared" si="8"/>
        <v>United States</v>
      </c>
    </row>
    <row r="160">
      <c r="A160" s="8" t="s">
        <v>5084</v>
      </c>
      <c r="B160" s="12" t="s">
        <v>5085</v>
      </c>
      <c r="C160" s="10" t="s">
        <v>5086</v>
      </c>
      <c r="D160" s="10"/>
      <c r="E160" s="10" t="s">
        <v>5080</v>
      </c>
      <c r="F160" s="10" t="s">
        <v>430</v>
      </c>
      <c r="G160" s="13" t="s">
        <v>2113</v>
      </c>
      <c r="H160" s="11" t="s">
        <v>4599</v>
      </c>
      <c r="I160" s="11" t="s">
        <v>4600</v>
      </c>
      <c r="J160" s="9" t="str">
        <f>IFERROR(__xludf.DUMMYFUNCTION("""COMPUTED_VALUE"""),"https://www.google.com/search?newwindow=1&amp;ei=2MT0XrvGGM-vytMP1OyDgAY&amp;q=site%3Alinkedin.com+Abir+Rahi+CodeNext+Student")</f>
        <v>https://www.google.com/search?newwindow=1&amp;ei=2MT0XrvGGM-vytMP1OyDgAY&amp;q=site%3Alinkedin.com+Abir+Rahi+CodeNext+Student</v>
      </c>
      <c r="K160" s="5" t="str">
        <f t="shared" si="1"/>
        <v>Abir Rahi</v>
      </c>
      <c r="L160" s="5" t="str">
        <f t="shared" si="2"/>
        <v>CodeNext Student</v>
      </c>
      <c r="M160" s="5" t="str">
        <f t="shared" si="3"/>
        <v/>
      </c>
      <c r="N160" s="5" t="str">
        <f t="shared" si="4"/>
        <v>Google</v>
      </c>
      <c r="O160" s="5" t="str">
        <f t="shared" si="5"/>
        <v>2 months in role and company</v>
      </c>
      <c r="P160" s="5" t="str">
        <f t="shared" si="6"/>
        <v>Brooklyn</v>
      </c>
      <c r="Q160" s="5" t="str">
        <f t="shared" si="7"/>
        <v>New York</v>
      </c>
      <c r="R160" s="5" t="str">
        <f t="shared" si="8"/>
        <v>United States</v>
      </c>
    </row>
    <row r="161">
      <c r="A161" s="8" t="s">
        <v>5087</v>
      </c>
      <c r="B161" s="12" t="s">
        <v>5088</v>
      </c>
      <c r="C161" s="10" t="s">
        <v>5089</v>
      </c>
      <c r="D161" s="10"/>
      <c r="E161" s="10" t="s">
        <v>5090</v>
      </c>
      <c r="F161" s="10" t="s">
        <v>1289</v>
      </c>
      <c r="G161" s="13" t="s">
        <v>2113</v>
      </c>
      <c r="H161" s="11" t="s">
        <v>4599</v>
      </c>
      <c r="I161" s="11" t="s">
        <v>4600</v>
      </c>
      <c r="J161" s="9" t="str">
        <f>IFERROR(__xludf.DUMMYFUNCTION("""COMPUTED_VALUE"""),"https://www.google.com/search?newwindow=1&amp;ei=2MT0XrvGGM-vytMP1OyDgAY&amp;q=site%3Alinkedin.com+Gregg+Pica+Senior+Campus+Recruiting+Coordinator")</f>
        <v>https://www.google.com/search?newwindow=1&amp;ei=2MT0XrvGGM-vytMP1OyDgAY&amp;q=site%3Alinkedin.com+Gregg+Pica+Senior+Campus+Recruiting+Coordinator</v>
      </c>
      <c r="K161" s="5" t="str">
        <f t="shared" si="1"/>
        <v>Gregg Pica</v>
      </c>
      <c r="L161" s="5" t="str">
        <f t="shared" si="2"/>
        <v>Senior Campus Recruiting Coordinator</v>
      </c>
      <c r="M161" s="5" t="str">
        <f t="shared" si="3"/>
        <v/>
      </c>
      <c r="N161" s="5" t="str">
        <f t="shared" si="4"/>
        <v>Deloitte</v>
      </c>
      <c r="O161" s="5" t="str">
        <f t="shared" si="5"/>
        <v>6 years 4 months in role and company</v>
      </c>
      <c r="P161" s="5" t="str">
        <f t="shared" si="6"/>
        <v>Brooklyn</v>
      </c>
      <c r="Q161" s="5" t="str">
        <f t="shared" si="7"/>
        <v>New York</v>
      </c>
      <c r="R161" s="5" t="str">
        <f t="shared" si="8"/>
        <v>United States</v>
      </c>
    </row>
    <row r="162">
      <c r="A162" s="8" t="s">
        <v>5066</v>
      </c>
      <c r="B162" s="12" t="s">
        <v>5067</v>
      </c>
      <c r="C162" s="10" t="s">
        <v>5068</v>
      </c>
      <c r="D162" s="10"/>
      <c r="E162" s="10" t="s">
        <v>5069</v>
      </c>
      <c r="F162" s="10" t="s">
        <v>48</v>
      </c>
      <c r="G162" s="13" t="s">
        <v>2113</v>
      </c>
      <c r="H162" s="11" t="s">
        <v>4599</v>
      </c>
      <c r="I162" s="11" t="s">
        <v>4600</v>
      </c>
      <c r="J162" s="9" t="str">
        <f>IFERROR(__xludf.DUMMYFUNCTION("""COMPUTED_VALUE"""),"https://www.google.com/search?newwindow=1&amp;ei=2MT0XrvGGM-vytMP1OyDgAY&amp;q=site%3Alinkedin.com+Kristi+Fields+Interview+Partner,+Campus+Recruiting")</f>
        <v>https://www.google.com/search?newwindow=1&amp;ei=2MT0XrvGGM-vytMP1OyDgAY&amp;q=site%3Alinkedin.com+Kristi+Fields+Interview+Partner,+Campus+Recruiting</v>
      </c>
      <c r="K162" s="5" t="str">
        <f t="shared" si="1"/>
        <v>Kristi Fields</v>
      </c>
      <c r="L162" s="5" t="str">
        <f t="shared" si="2"/>
        <v>Interview Partner, Campus Recruiting</v>
      </c>
      <c r="M162" s="5" t="str">
        <f t="shared" si="3"/>
        <v/>
      </c>
      <c r="N162" s="5" t="str">
        <f t="shared" si="4"/>
        <v>The Walt Disney Company</v>
      </c>
      <c r="O162" s="5" t="str">
        <f t="shared" si="5"/>
        <v>7 years 9 months in role and company</v>
      </c>
      <c r="P162" s="5" t="str">
        <f t="shared" si="6"/>
        <v>Buffalo</v>
      </c>
      <c r="Q162" s="5" t="str">
        <f t="shared" si="7"/>
        <v>New York</v>
      </c>
      <c r="R162" s="5" t="str">
        <f t="shared" si="8"/>
        <v>United States</v>
      </c>
    </row>
    <row r="163">
      <c r="A163" s="8" t="s">
        <v>5070</v>
      </c>
      <c r="B163" s="10" t="s">
        <v>5071</v>
      </c>
      <c r="C163" s="10" t="s">
        <v>5072</v>
      </c>
      <c r="D163" s="10"/>
      <c r="E163" s="10" t="s">
        <v>5073</v>
      </c>
      <c r="F163" s="10" t="s">
        <v>446</v>
      </c>
      <c r="G163" s="13" t="s">
        <v>2113</v>
      </c>
      <c r="H163" s="11" t="s">
        <v>4599</v>
      </c>
      <c r="I163" s="11" t="s">
        <v>4600</v>
      </c>
      <c r="J163" s="9" t="str">
        <f>IFERROR(__xludf.DUMMYFUNCTION("""COMPUTED_VALUE"""),"https://www.google.com/search?newwindow=1&amp;ei=2MT0XrvGGM-vytMP1OyDgAY&amp;q=site%3Alinkedin.com+Jessica+Kelly-Noakes+Graduate+Recruiter+and+University+Partnerships+Consultant")</f>
        <v>https://www.google.com/search?newwindow=1&amp;ei=2MT0XrvGGM-vytMP1OyDgAY&amp;q=site%3Alinkedin.com+Jessica+Kelly-Noakes+Graduate+Recruiter+and+University+Partnerships+Consultant</v>
      </c>
      <c r="K163" s="5" t="str">
        <f t="shared" si="1"/>
        <v>Jessica Kelly-Noakes</v>
      </c>
      <c r="L163" s="5" t="str">
        <f t="shared" si="2"/>
        <v>Graduate Recruiter and University Partnerships Consultant</v>
      </c>
      <c r="M163" s="5" t="str">
        <f t="shared" si="3"/>
        <v/>
      </c>
      <c r="N163" s="5" t="str">
        <f t="shared" si="4"/>
        <v>FDM Group</v>
      </c>
      <c r="O163" s="5" t="str">
        <f t="shared" si="5"/>
        <v>8 months in role and company</v>
      </c>
      <c r="P163" s="5" t="str">
        <f t="shared" si="6"/>
        <v>Burgess Hill</v>
      </c>
      <c r="Q163" s="5" t="str">
        <f t="shared" si="7"/>
        <v>England</v>
      </c>
      <c r="R163" s="5" t="str">
        <f t="shared" si="8"/>
        <v>United Kingdom</v>
      </c>
    </row>
    <row r="164">
      <c r="A164" s="8" t="s">
        <v>5074</v>
      </c>
      <c r="B164" s="12" t="s">
        <v>5075</v>
      </c>
      <c r="C164" s="10" t="s">
        <v>4596</v>
      </c>
      <c r="D164" s="10"/>
      <c r="E164" s="10" t="s">
        <v>4597</v>
      </c>
      <c r="F164" s="10" t="s">
        <v>144</v>
      </c>
      <c r="G164" s="13" t="s">
        <v>2113</v>
      </c>
      <c r="H164" s="11" t="s">
        <v>4599</v>
      </c>
      <c r="I164" s="11" t="s">
        <v>4600</v>
      </c>
      <c r="J164" s="9" t="str">
        <f>IFERROR(__xludf.DUMMYFUNCTION("""COMPUTED_VALUE"""),"https://www.google.com/search?newwindow=1&amp;ei=2MT0XrvGGM-vytMP1OyDgAY&amp;q=site%3Alinkedin.com+Allana+Davis+Student+Recruiter")</f>
        <v>https://www.google.com/search?newwindow=1&amp;ei=2MT0XrvGGM-vytMP1OyDgAY&amp;q=site%3Alinkedin.com+Allana+Davis+Student+Recruiter</v>
      </c>
      <c r="K164" s="5" t="str">
        <f t="shared" si="1"/>
        <v>Allana Davis</v>
      </c>
      <c r="L164" s="5" t="str">
        <f t="shared" si="2"/>
        <v>Student Recruiter</v>
      </c>
      <c r="M164" s="5" t="str">
        <f t="shared" si="3"/>
        <v/>
      </c>
      <c r="N164" s="5" t="str">
        <f t="shared" si="4"/>
        <v>Canadian Blood Services</v>
      </c>
      <c r="O164" s="5" t="str">
        <f t="shared" si="5"/>
        <v>2 months in role and company</v>
      </c>
      <c r="P164" s="5" t="str">
        <f t="shared" si="6"/>
        <v>Burnaby</v>
      </c>
      <c r="Q164" s="5" t="str">
        <f t="shared" si="7"/>
        <v>British Columbia</v>
      </c>
      <c r="R164" s="5" t="str">
        <f t="shared" si="8"/>
        <v>Canada</v>
      </c>
    </row>
    <row r="165">
      <c r="A165" s="8" t="s">
        <v>5076</v>
      </c>
      <c r="B165" s="10" t="s">
        <v>5077</v>
      </c>
      <c r="C165" s="10" t="s">
        <v>4596</v>
      </c>
      <c r="D165" s="10"/>
      <c r="E165" s="10" t="s">
        <v>4597</v>
      </c>
      <c r="F165" s="10" t="s">
        <v>106</v>
      </c>
      <c r="G165" s="13" t="s">
        <v>2113</v>
      </c>
      <c r="H165" s="11" t="s">
        <v>4599</v>
      </c>
      <c r="I165" s="11" t="s">
        <v>4600</v>
      </c>
      <c r="J165" s="9" t="str">
        <f>IFERROR(__xludf.DUMMYFUNCTION("""COMPUTED_VALUE"""),"https://www.google.com/search?newwindow=1&amp;ei=2MT0XrvGGM-vytMP1OyDgAY&amp;q=site%3Alinkedin.com+Claire+Wilson+Student+Recruiter+-+Faculty+of+Science")</f>
        <v>https://www.google.com/search?newwindow=1&amp;ei=2MT0XrvGGM-vytMP1OyDgAY&amp;q=site%3Alinkedin.com+Claire+Wilson+Student+Recruiter+-+Faculty+of+Science</v>
      </c>
      <c r="K165" s="5" t="str">
        <f t="shared" si="1"/>
        <v>Claire Wilson</v>
      </c>
      <c r="L165" s="5" t="str">
        <f t="shared" si="2"/>
        <v>Student Recruiter - Faculty of Science</v>
      </c>
      <c r="M165" s="5" t="str">
        <f t="shared" si="3"/>
        <v/>
      </c>
      <c r="N165" s="5" t="str">
        <f t="shared" si="4"/>
        <v>Simon Fraser University</v>
      </c>
      <c r="O165" s="5" t="str">
        <f t="shared" si="5"/>
        <v>1 year 6 months in role</v>
      </c>
      <c r="P165" s="5" t="str">
        <f t="shared" si="6"/>
        <v>Burnaby</v>
      </c>
      <c r="Q165" s="5" t="str">
        <f t="shared" si="7"/>
        <v>British Columbia</v>
      </c>
      <c r="R165" s="5" t="str">
        <f t="shared" si="8"/>
        <v>Canada</v>
      </c>
    </row>
    <row r="166">
      <c r="A166" s="8" t="s">
        <v>5078</v>
      </c>
      <c r="B166" s="10" t="s">
        <v>5079</v>
      </c>
      <c r="C166" s="10" t="s">
        <v>4596</v>
      </c>
      <c r="D166" s="10"/>
      <c r="E166" s="10" t="s">
        <v>5080</v>
      </c>
      <c r="F166" s="10" t="s">
        <v>179</v>
      </c>
      <c r="G166" s="13" t="s">
        <v>2113</v>
      </c>
      <c r="H166" s="11" t="s">
        <v>4599</v>
      </c>
      <c r="I166" s="11" t="s">
        <v>4600</v>
      </c>
      <c r="J166" s="9" t="str">
        <f>IFERROR(__xludf.DUMMYFUNCTION("""COMPUTED_VALUE"""),"https://www.google.com/search?newwindow=1&amp;ei=2MT0XrvGGM-vytMP1OyDgAY&amp;q=site%3Alinkedin.com+Tessa+Briglio+Student+Affairs+Coordinator+-+Faculty+of+Applied+Sciences")</f>
        <v>https://www.google.com/search?newwindow=1&amp;ei=2MT0XrvGGM-vytMP1OyDgAY&amp;q=site%3Alinkedin.com+Tessa+Briglio+Student+Affairs+Coordinator+-+Faculty+of+Applied+Sciences</v>
      </c>
      <c r="K166" s="5" t="str">
        <f t="shared" si="1"/>
        <v>Tessa Briglio</v>
      </c>
      <c r="L166" s="5" t="str">
        <f t="shared" si="2"/>
        <v>Student Affairs Coordinator - Faculty of Applied Sciences</v>
      </c>
      <c r="M166" s="5" t="str">
        <f t="shared" si="3"/>
        <v/>
      </c>
      <c r="N166" s="5" t="str">
        <f t="shared" si="4"/>
        <v>Simon Fraser University</v>
      </c>
      <c r="O166" s="5" t="str">
        <f t="shared" si="5"/>
        <v>1 year 5 months in role</v>
      </c>
      <c r="P166" s="5" t="str">
        <f t="shared" si="6"/>
        <v>Burnaby</v>
      </c>
      <c r="Q166" s="5" t="str">
        <f t="shared" si="7"/>
        <v>British Columbia</v>
      </c>
      <c r="R166" s="5" t="str">
        <f t="shared" si="8"/>
        <v>Canada</v>
      </c>
    </row>
    <row r="167">
      <c r="A167" s="8" t="s">
        <v>5091</v>
      </c>
      <c r="B167" s="12" t="s">
        <v>5092</v>
      </c>
      <c r="C167" s="10" t="s">
        <v>5093</v>
      </c>
      <c r="D167" s="10"/>
      <c r="E167" s="10" t="s">
        <v>5094</v>
      </c>
      <c r="F167" s="10" t="s">
        <v>574</v>
      </c>
      <c r="G167" s="13" t="s">
        <v>2113</v>
      </c>
      <c r="H167" s="11" t="s">
        <v>4599</v>
      </c>
      <c r="I167" s="11" t="s">
        <v>4600</v>
      </c>
      <c r="J167" s="9" t="str">
        <f>IFERROR(__xludf.DUMMYFUNCTION("""COMPUTED_VALUE"""),"https://www.google.com/search?newwindow=1&amp;ei=2MT0XrvGGM-vytMP1OyDgAY&amp;q=site%3Alinkedin.com+Ashlyn+Monks+Campus+Recruiter")</f>
        <v>https://www.google.com/search?newwindow=1&amp;ei=2MT0XrvGGM-vytMP1OyDgAY&amp;q=site%3Alinkedin.com+Ashlyn+Monks+Campus+Recruiter</v>
      </c>
      <c r="K167" s="5" t="str">
        <f t="shared" si="1"/>
        <v>Ashlyn Monks</v>
      </c>
      <c r="L167" s="5" t="str">
        <f t="shared" si="2"/>
        <v>Campus Recruiter</v>
      </c>
      <c r="M167" s="5" t="str">
        <f t="shared" si="3"/>
        <v/>
      </c>
      <c r="N167" s="5" t="str">
        <f t="shared" si="4"/>
        <v>TELUS</v>
      </c>
      <c r="O167" s="5" t="str">
        <f t="shared" si="5"/>
        <v>13 years 11 months in role</v>
      </c>
      <c r="P167" s="5" t="str">
        <f t="shared" si="6"/>
        <v>Burnaby</v>
      </c>
      <c r="Q167" s="5" t="str">
        <f t="shared" si="7"/>
        <v>British Columbia</v>
      </c>
      <c r="R167" s="5" t="str">
        <f t="shared" si="8"/>
        <v>Canada</v>
      </c>
    </row>
    <row r="168">
      <c r="A168" s="8" t="s">
        <v>5081</v>
      </c>
      <c r="B168" s="10" t="s">
        <v>5082</v>
      </c>
      <c r="C168" s="10" t="s">
        <v>4596</v>
      </c>
      <c r="D168" s="12"/>
      <c r="E168" s="12" t="s">
        <v>5083</v>
      </c>
      <c r="F168" s="10"/>
      <c r="G168" s="13" t="s">
        <v>2113</v>
      </c>
      <c r="H168" s="11" t="s">
        <v>4599</v>
      </c>
      <c r="I168" s="11" t="s">
        <v>4600</v>
      </c>
      <c r="J168" s="9" t="str">
        <f>IFERROR(__xludf.DUMMYFUNCTION("""COMPUTED_VALUE"""),"https://www.google.com/search?newwindow=1&amp;ei=2MT0XrvGGM-vytMP1OyDgAY&amp;q=site%3Alinkedin.com+Denise+Somuah-Asamoah+Virtual+Programs+Assistant")</f>
        <v>https://www.google.com/search?newwindow=1&amp;ei=2MT0XrvGGM-vytMP1OyDgAY&amp;q=site%3Alinkedin.com+Denise+Somuah-Asamoah+Virtual+Programs+Assistant</v>
      </c>
      <c r="K168" s="5" t="str">
        <f t="shared" si="1"/>
        <v>Denise Somuah-Asamoah</v>
      </c>
      <c r="L168" s="5" t="str">
        <f t="shared" si="2"/>
        <v>Virtual Programs Assistant</v>
      </c>
      <c r="M168" s="5" t="str">
        <f t="shared" si="3"/>
        <v/>
      </c>
      <c r="N168" s="5" t="str">
        <f t="shared" si="4"/>
        <v>InpireHealth- Supportive Cancer Care</v>
      </c>
      <c r="O168" s="5" t="str">
        <f t="shared" si="5"/>
        <v>2 months in role and company</v>
      </c>
      <c r="P168" s="5" t="str">
        <f t="shared" si="6"/>
        <v>Burnaby</v>
      </c>
      <c r="Q168" s="5" t="str">
        <f t="shared" si="7"/>
        <v>British Columbia</v>
      </c>
      <c r="R168" s="5" t="str">
        <f t="shared" si="8"/>
        <v>Canada</v>
      </c>
    </row>
    <row r="169">
      <c r="A169" s="8" t="s">
        <v>5084</v>
      </c>
      <c r="B169" s="12" t="s">
        <v>5085</v>
      </c>
      <c r="C169" s="10" t="s">
        <v>5086</v>
      </c>
      <c r="D169" s="10"/>
      <c r="E169" s="10" t="s">
        <v>5080</v>
      </c>
      <c r="F169" s="10" t="s">
        <v>430</v>
      </c>
      <c r="G169" s="13" t="s">
        <v>2113</v>
      </c>
      <c r="H169" s="11" t="s">
        <v>4599</v>
      </c>
      <c r="I169" s="11" t="s">
        <v>4600</v>
      </c>
      <c r="J169" s="9" t="str">
        <f>IFERROR(__xludf.DUMMYFUNCTION("""COMPUTED_VALUE"""),"https://www.google.com/search?newwindow=1&amp;ei=2MT0XrvGGM-vytMP1OyDgAY&amp;q=site%3Alinkedin.com+Donna+Pistilli+Associate+&amp;+Student+Programs+Coordinator")</f>
        <v>https://www.google.com/search?newwindow=1&amp;ei=2MT0XrvGGM-vytMP1OyDgAY&amp;q=site%3Alinkedin.com+Donna+Pistilli+Associate+&amp;+Student+Programs+Coordinator</v>
      </c>
      <c r="K169" s="5" t="str">
        <f t="shared" si="1"/>
        <v>Donna Pistilli</v>
      </c>
      <c r="L169" s="5" t="str">
        <f t="shared" si="2"/>
        <v>Associate &amp; Student Programs Coordinator</v>
      </c>
      <c r="M169" s="5" t="str">
        <f t="shared" si="3"/>
        <v/>
      </c>
      <c r="N169" s="5" t="str">
        <f t="shared" si="4"/>
        <v>McCarthy Tetrault</v>
      </c>
      <c r="O169" s="5" t="str">
        <f t="shared" si="5"/>
        <v/>
      </c>
      <c r="P169" s="5" t="str">
        <f t="shared" si="6"/>
        <v>Burnaby</v>
      </c>
      <c r="Q169" s="5" t="str">
        <f t="shared" si="7"/>
        <v>British Columbia</v>
      </c>
      <c r="R169" s="5" t="str">
        <f t="shared" si="8"/>
        <v>Canada</v>
      </c>
    </row>
    <row r="170">
      <c r="A170" s="8" t="s">
        <v>5087</v>
      </c>
      <c r="B170" s="12" t="s">
        <v>5088</v>
      </c>
      <c r="C170" s="10" t="s">
        <v>5089</v>
      </c>
      <c r="D170" s="10"/>
      <c r="E170" s="10" t="s">
        <v>5090</v>
      </c>
      <c r="F170" s="10" t="s">
        <v>1289</v>
      </c>
      <c r="G170" s="13" t="s">
        <v>2113</v>
      </c>
      <c r="H170" s="11" t="s">
        <v>4599</v>
      </c>
      <c r="I170" s="11" t="s">
        <v>4600</v>
      </c>
      <c r="J170" s="9" t="str">
        <f>IFERROR(__xludf.DUMMYFUNCTION("""COMPUTED_VALUE"""),"https://www.google.com/search?newwindow=1&amp;ei=2MT0XrvGGM-vytMP1OyDgAY&amp;q=site%3Alinkedin.com+Hiroshi+Yasuoka+Recruitment,+Academic+and+Student+Affairs+Advisor,+Undergraduate+Programs,+Beedie+School+of+Business")</f>
        <v>https://www.google.com/search?newwindow=1&amp;ei=2MT0XrvGGM-vytMP1OyDgAY&amp;q=site%3Alinkedin.com+Hiroshi+Yasuoka+Recruitment,+Academic+and+Student+Affairs+Advisor,+Undergraduate+Programs,+Beedie+School+of+Business</v>
      </c>
      <c r="K170" s="5" t="str">
        <f t="shared" si="1"/>
        <v>Hiroshi Yasuoka</v>
      </c>
      <c r="L170" s="5" t="str">
        <f t="shared" si="2"/>
        <v>Recruitment, Academic and Student Affairs Advisor, Undergraduate Programs, Beedie School of Business</v>
      </c>
      <c r="M170" s="5" t="str">
        <f t="shared" si="3"/>
        <v/>
      </c>
      <c r="N170" s="5" t="str">
        <f t="shared" si="4"/>
        <v>Simon Fraser University</v>
      </c>
      <c r="O170" s="5" t="str">
        <f t="shared" si="5"/>
        <v>1 year 7 months in role</v>
      </c>
      <c r="P170" s="5" t="str">
        <f t="shared" si="6"/>
        <v>Burnaby</v>
      </c>
      <c r="Q170" s="5" t="str">
        <f t="shared" si="7"/>
        <v>British Columbia</v>
      </c>
      <c r="R170" s="5" t="str">
        <f t="shared" si="8"/>
        <v>Canada</v>
      </c>
    </row>
    <row r="171">
      <c r="A171" s="8" t="s">
        <v>5095</v>
      </c>
      <c r="B171" s="12" t="s">
        <v>5096</v>
      </c>
      <c r="C171" s="10" t="s">
        <v>110</v>
      </c>
      <c r="D171" s="10"/>
      <c r="E171" s="10" t="s">
        <v>4836</v>
      </c>
      <c r="F171" s="10" t="s">
        <v>79</v>
      </c>
      <c r="G171" s="11" t="s">
        <v>5097</v>
      </c>
      <c r="H171" s="11" t="s">
        <v>4757</v>
      </c>
      <c r="I171" s="11" t="s">
        <v>4607</v>
      </c>
      <c r="J171" s="9" t="str">
        <f>IFERROR(__xludf.DUMMYFUNCTION("""COMPUTED_VALUE"""),"https://www.google.com/search?newwindow=1&amp;ei=2MT0XrvGGM-vytMP1OyDgAY&amp;q=site%3Alinkedin.com+Carolyn+Hanna+Coordinator,+International+Graduate+Student+Programs")</f>
        <v>https://www.google.com/search?newwindow=1&amp;ei=2MT0XrvGGM-vytMP1OyDgAY&amp;q=site%3Alinkedin.com+Carolyn+Hanna+Coordinator,+International+Graduate+Student+Programs</v>
      </c>
      <c r="K171" s="5" t="str">
        <f t="shared" si="1"/>
        <v>Carolyn Hanna</v>
      </c>
      <c r="L171" s="5" t="str">
        <f t="shared" si="2"/>
        <v>Coordinator, International Graduate Student Programs</v>
      </c>
      <c r="M171" s="5" t="str">
        <f t="shared" si="3"/>
        <v/>
      </c>
      <c r="N171" s="5" t="str">
        <f t="shared" si="4"/>
        <v>Simon Fraser University</v>
      </c>
      <c r="O171" s="5" t="str">
        <f t="shared" si="5"/>
        <v/>
      </c>
      <c r="P171" s="5" t="str">
        <f t="shared" si="6"/>
        <v>Burnaby</v>
      </c>
      <c r="Q171" s="5" t="str">
        <f t="shared" si="7"/>
        <v>British Columbia</v>
      </c>
      <c r="R171" s="5" t="str">
        <f t="shared" si="8"/>
        <v>Canada</v>
      </c>
    </row>
    <row r="172">
      <c r="A172" s="8" t="s">
        <v>5098</v>
      </c>
      <c r="B172" s="12" t="s">
        <v>5099</v>
      </c>
      <c r="C172" s="10" t="s">
        <v>5054</v>
      </c>
      <c r="D172" s="10"/>
      <c r="E172" s="10" t="s">
        <v>4632</v>
      </c>
      <c r="F172" s="10" t="s">
        <v>29</v>
      </c>
      <c r="G172" s="11" t="s">
        <v>5097</v>
      </c>
      <c r="H172" s="11" t="s">
        <v>4757</v>
      </c>
      <c r="I172" s="11" t="s">
        <v>4607</v>
      </c>
      <c r="J172" s="9" t="str">
        <f>IFERROR(__xludf.DUMMYFUNCTION("""COMPUTED_VALUE"""),"https://www.google.com/search?newwindow=1&amp;ei=2MT0XrvGGM-vytMP1OyDgAY&amp;q=site%3Alinkedin.com+Mark+Fell+University+Recruitment+Business+Partner")</f>
        <v>https://www.google.com/search?newwindow=1&amp;ei=2MT0XrvGGM-vytMP1OyDgAY&amp;q=site%3Alinkedin.com+Mark+Fell+University+Recruitment+Business+Partner</v>
      </c>
      <c r="K172" s="5" t="str">
        <f t="shared" si="1"/>
        <v>Mark Fell</v>
      </c>
      <c r="L172" s="5" t="str">
        <f t="shared" si="2"/>
        <v>University Recruitment Business Partner</v>
      </c>
      <c r="M172" s="5" t="str">
        <f t="shared" si="3"/>
        <v/>
      </c>
      <c r="N172" s="5" t="str">
        <f t="shared" si="4"/>
        <v>Cisco</v>
      </c>
      <c r="O172" s="5" t="str">
        <f t="shared" si="5"/>
        <v>1 year 2 months in role and company</v>
      </c>
      <c r="P172" s="5" t="str">
        <f t="shared" si="6"/>
        <v>Buxton</v>
      </c>
      <c r="Q172" s="5" t="str">
        <f t="shared" si="7"/>
        <v>England</v>
      </c>
      <c r="R172" s="5" t="str">
        <f t="shared" si="8"/>
        <v>United Kingdom</v>
      </c>
    </row>
    <row r="173">
      <c r="A173" s="8" t="s">
        <v>5100</v>
      </c>
      <c r="B173" s="10" t="s">
        <v>5101</v>
      </c>
      <c r="C173" s="10" t="s">
        <v>5102</v>
      </c>
      <c r="D173" s="10"/>
      <c r="E173" s="10" t="s">
        <v>2297</v>
      </c>
      <c r="F173" s="10" t="s">
        <v>574</v>
      </c>
      <c r="G173" s="11" t="s">
        <v>4537</v>
      </c>
      <c r="H173" s="11" t="s">
        <v>137</v>
      </c>
      <c r="I173" s="11" t="s">
        <v>18</v>
      </c>
      <c r="J173" s="9" t="str">
        <f>IFERROR(__xludf.DUMMYFUNCTION("""COMPUTED_VALUE"""),"https://www.google.com/search?newwindow=1&amp;ei=2MT0XrvGGM-vytMP1OyDgAY&amp;q=site%3Alinkedin.com+Ty+Logan+Programs+Officer")</f>
        <v>https://www.google.com/search?newwindow=1&amp;ei=2MT0XrvGGM-vytMP1OyDgAY&amp;q=site%3Alinkedin.com+Ty+Logan+Programs+Officer</v>
      </c>
      <c r="K173" s="5" t="str">
        <f t="shared" si="1"/>
        <v>Ty Logan</v>
      </c>
      <c r="L173" s="5" t="str">
        <f t="shared" si="2"/>
        <v>Programs Officer</v>
      </c>
      <c r="M173" s="5" t="str">
        <f t="shared" si="3"/>
        <v/>
      </c>
      <c r="N173" s="5" t="str">
        <f t="shared" si="4"/>
        <v>Canada Revenue Agency</v>
      </c>
      <c r="O173" s="5" t="str">
        <f t="shared" si="5"/>
        <v>2 years 5 months in role and company</v>
      </c>
      <c r="P173" s="5" t="str">
        <f t="shared" si="6"/>
        <v>Caledonia</v>
      </c>
      <c r="Q173" s="5" t="str">
        <f t="shared" si="7"/>
        <v>Ontario</v>
      </c>
      <c r="R173" s="5" t="str">
        <f t="shared" si="8"/>
        <v>Canada</v>
      </c>
    </row>
    <row r="174">
      <c r="A174" s="8" t="s">
        <v>5103</v>
      </c>
      <c r="B174" s="10" t="s">
        <v>5104</v>
      </c>
      <c r="C174" s="10" t="s">
        <v>5105</v>
      </c>
      <c r="D174" s="10"/>
      <c r="E174" s="10" t="s">
        <v>1064</v>
      </c>
      <c r="F174" s="10" t="s">
        <v>694</v>
      </c>
      <c r="G174" s="11" t="s">
        <v>4537</v>
      </c>
      <c r="H174" s="11" t="s">
        <v>137</v>
      </c>
      <c r="I174" s="11" t="s">
        <v>18</v>
      </c>
      <c r="J174" s="9" t="str">
        <f>IFERROR(__xludf.DUMMYFUNCTION("""COMPUTED_VALUE"""),"https://www.google.com/search?newwindow=1&amp;ei=2MT0XrvGGM-vytMP1OyDgAY&amp;q=site%3Alinkedin.com+Michael+McKinlay,+MBA+Student+Recruiter")</f>
        <v>https://www.google.com/search?newwindow=1&amp;ei=2MT0XrvGGM-vytMP1OyDgAY&amp;q=site%3Alinkedin.com+Michael+McKinlay,+MBA+Student+Recruiter</v>
      </c>
      <c r="K174" s="5" t="str">
        <f t="shared" si="1"/>
        <v>Michael McKinlay, MBA</v>
      </c>
      <c r="L174" s="5" t="str">
        <f t="shared" si="2"/>
        <v>Student Recruiter</v>
      </c>
      <c r="M174" s="5" t="str">
        <f t="shared" si="3"/>
        <v/>
      </c>
      <c r="N174" s="5" t="str">
        <f t="shared" si="4"/>
        <v>University of Regina</v>
      </c>
      <c r="O174" s="5" t="str">
        <f t="shared" si="5"/>
        <v>3 months in role and company</v>
      </c>
      <c r="P174" s="5" t="str">
        <f t="shared" si="6"/>
        <v>Calgary</v>
      </c>
      <c r="Q174" s="5" t="str">
        <f t="shared" si="7"/>
        <v>Alberta</v>
      </c>
      <c r="R174" s="5" t="str">
        <f t="shared" si="8"/>
        <v>Canada</v>
      </c>
    </row>
    <row r="175">
      <c r="A175" s="8" t="s">
        <v>5106</v>
      </c>
      <c r="B175" s="10" t="s">
        <v>5107</v>
      </c>
      <c r="C175" s="10" t="s">
        <v>5108</v>
      </c>
      <c r="D175" s="10"/>
      <c r="E175" s="10" t="s">
        <v>3389</v>
      </c>
      <c r="F175" s="10" t="s">
        <v>121</v>
      </c>
      <c r="G175" s="11" t="s">
        <v>703</v>
      </c>
      <c r="H175" s="11" t="s">
        <v>137</v>
      </c>
      <c r="I175" s="11" t="s">
        <v>18</v>
      </c>
      <c r="J175" s="9" t="str">
        <f>IFERROR(__xludf.DUMMYFUNCTION("""COMPUTED_VALUE"""),"https://www.google.com/search?newwindow=1&amp;ei=2MT0XrvGGM-vytMP1OyDgAY&amp;q=site%3Alinkedin.com+Amanda+Pearson+Campus+Recruiter")</f>
        <v>https://www.google.com/search?newwindow=1&amp;ei=2MT0XrvGGM-vytMP1OyDgAY&amp;q=site%3Alinkedin.com+Amanda+Pearson+Campus+Recruiter</v>
      </c>
      <c r="K175" s="5" t="str">
        <f t="shared" si="1"/>
        <v>Amanda Pearson</v>
      </c>
      <c r="L175" s="5" t="str">
        <f t="shared" si="2"/>
        <v>Campus Recruiter</v>
      </c>
      <c r="M175" s="5" t="str">
        <f t="shared" si="3"/>
        <v/>
      </c>
      <c r="N175" s="5" t="str">
        <f t="shared" si="4"/>
        <v>EY</v>
      </c>
      <c r="O175" s="5" t="str">
        <f t="shared" si="5"/>
        <v>1 year 2 months in role and company</v>
      </c>
      <c r="P175" s="5" t="str">
        <f t="shared" si="6"/>
        <v>Calgary</v>
      </c>
      <c r="Q175" s="5" t="str">
        <f t="shared" si="7"/>
        <v>Alberta</v>
      </c>
      <c r="R175" s="5" t="str">
        <f t="shared" si="8"/>
        <v>Canada</v>
      </c>
    </row>
    <row r="176">
      <c r="A176" s="8" t="s">
        <v>5109</v>
      </c>
      <c r="B176" s="10" t="s">
        <v>5110</v>
      </c>
      <c r="C176" s="10" t="s">
        <v>5111</v>
      </c>
      <c r="D176" s="10"/>
      <c r="E176" s="10" t="s">
        <v>1233</v>
      </c>
      <c r="F176" s="10" t="s">
        <v>5112</v>
      </c>
      <c r="G176" s="11" t="s">
        <v>703</v>
      </c>
      <c r="H176" s="11" t="s">
        <v>137</v>
      </c>
      <c r="I176" s="11" t="s">
        <v>18</v>
      </c>
      <c r="J176" s="9" t="str">
        <f>IFERROR(__xludf.DUMMYFUNCTION("""COMPUTED_VALUE"""),"https://www.google.com/search?newwindow=1&amp;ei=2MT0XrvGGM-vytMP1OyDgAY&amp;q=site%3Alinkedin.com+Jessica+Abel+University+Recruiter,+Americas")</f>
        <v>https://www.google.com/search?newwindow=1&amp;ei=2MT0XrvGGM-vytMP1OyDgAY&amp;q=site%3Alinkedin.com+Jessica+Abel+University+Recruiter,+Americas</v>
      </c>
      <c r="K176" s="5" t="str">
        <f t="shared" si="1"/>
        <v>Jessica Abel</v>
      </c>
      <c r="L176" s="5" t="str">
        <f t="shared" si="2"/>
        <v>University Recruiter, Americas</v>
      </c>
      <c r="M176" s="5" t="str">
        <f t="shared" si="3"/>
        <v/>
      </c>
      <c r="N176" s="5" t="str">
        <f t="shared" si="4"/>
        <v>Unity Technologies</v>
      </c>
      <c r="O176" s="5" t="str">
        <f t="shared" si="5"/>
        <v>3 months in role</v>
      </c>
      <c r="P176" s="5" t="str">
        <f t="shared" si="6"/>
        <v>Calgary</v>
      </c>
      <c r="Q176" s="5" t="str">
        <f t="shared" si="7"/>
        <v>Alberta</v>
      </c>
      <c r="R176" s="5" t="str">
        <f t="shared" si="8"/>
        <v>Canada</v>
      </c>
    </row>
    <row r="177">
      <c r="A177" s="8" t="s">
        <v>5113</v>
      </c>
      <c r="B177" s="10" t="s">
        <v>5114</v>
      </c>
      <c r="C177" s="10" t="s">
        <v>5115</v>
      </c>
      <c r="D177" s="10"/>
      <c r="E177" s="10" t="s">
        <v>2349</v>
      </c>
      <c r="F177" s="10" t="s">
        <v>237</v>
      </c>
      <c r="G177" s="11" t="s">
        <v>703</v>
      </c>
      <c r="H177" s="11" t="s">
        <v>137</v>
      </c>
      <c r="I177" s="11" t="s">
        <v>18</v>
      </c>
      <c r="J177" s="9" t="str">
        <f>IFERROR(__xludf.DUMMYFUNCTION("""COMPUTED_VALUE"""),"https://www.google.com/search?newwindow=1&amp;ei=2MT0XrvGGM-vytMP1OyDgAY&amp;q=site%3Alinkedin.com+Aimee+Tadeo+Admission+Advisor/Student+Recruiter")</f>
        <v>https://www.google.com/search?newwindow=1&amp;ei=2MT0XrvGGM-vytMP1OyDgAY&amp;q=site%3Alinkedin.com+Aimee+Tadeo+Admission+Advisor/Student+Recruiter</v>
      </c>
      <c r="K177" s="5" t="str">
        <f t="shared" si="1"/>
        <v>Aimee Tadeo</v>
      </c>
      <c r="L177" s="5" t="str">
        <f t="shared" si="2"/>
        <v>Admission Advisor/Student Recruiter</v>
      </c>
      <c r="M177" s="5" t="str">
        <f t="shared" si="3"/>
        <v/>
      </c>
      <c r="N177" s="5" t="str">
        <f t="shared" si="4"/>
        <v>ABM College</v>
      </c>
      <c r="O177" s="5" t="str">
        <f t="shared" si="5"/>
        <v>3 months in role and company</v>
      </c>
      <c r="P177" s="5" t="str">
        <f t="shared" si="6"/>
        <v>Calgary</v>
      </c>
      <c r="Q177" s="5" t="str">
        <f t="shared" si="7"/>
        <v>Alberta</v>
      </c>
      <c r="R177" s="5" t="str">
        <f t="shared" si="8"/>
        <v>Canada</v>
      </c>
    </row>
    <row r="178">
      <c r="A178" s="8" t="s">
        <v>5116</v>
      </c>
      <c r="B178" s="10" t="s">
        <v>5117</v>
      </c>
      <c r="C178" s="10" t="s">
        <v>4677</v>
      </c>
      <c r="D178" s="10"/>
      <c r="E178" s="10" t="s">
        <v>1233</v>
      </c>
      <c r="F178" s="10" t="s">
        <v>1148</v>
      </c>
      <c r="G178" s="11" t="s">
        <v>703</v>
      </c>
      <c r="H178" s="11" t="s">
        <v>137</v>
      </c>
      <c r="I178" s="11" t="s">
        <v>18</v>
      </c>
      <c r="J178" s="9" t="str">
        <f>IFERROR(__xludf.DUMMYFUNCTION("""COMPUTED_VALUE"""),"https://www.google.com/search?newwindow=1&amp;ei=2MT0XrvGGM-vytMP1OyDgAY&amp;q=site%3Alinkedin.com+Adela+Harja+University+Recruiting+Programs+Support")</f>
        <v>https://www.google.com/search?newwindow=1&amp;ei=2MT0XrvGGM-vytMP1OyDgAY&amp;q=site%3Alinkedin.com+Adela+Harja+University+Recruiting+Programs+Support</v>
      </c>
      <c r="K178" s="5" t="str">
        <f t="shared" si="1"/>
        <v>Adela Harja</v>
      </c>
      <c r="L178" s="5" t="str">
        <f t="shared" si="2"/>
        <v>University Recruiting Programs Support</v>
      </c>
      <c r="M178" s="5" t="str">
        <f t="shared" si="3"/>
        <v/>
      </c>
      <c r="N178" s="5" t="str">
        <f t="shared" si="4"/>
        <v>Unity Technologies</v>
      </c>
      <c r="O178" s="5" t="str">
        <f t="shared" si="5"/>
        <v>3 months in role</v>
      </c>
      <c r="P178" s="5" t="str">
        <f t="shared" si="6"/>
        <v>Calgary</v>
      </c>
      <c r="Q178" s="5" t="str">
        <f t="shared" si="7"/>
        <v>Alberta</v>
      </c>
      <c r="R178" s="5" t="str">
        <f t="shared" si="8"/>
        <v>Canada</v>
      </c>
    </row>
    <row r="179">
      <c r="A179" s="8" t="s">
        <v>5118</v>
      </c>
      <c r="B179" s="10" t="s">
        <v>5119</v>
      </c>
      <c r="C179" s="10" t="s">
        <v>5120</v>
      </c>
      <c r="D179" s="10"/>
      <c r="E179" s="10" t="s">
        <v>4191</v>
      </c>
      <c r="F179" s="10" t="s">
        <v>2276</v>
      </c>
      <c r="G179" s="11" t="s">
        <v>2209</v>
      </c>
      <c r="H179" s="11" t="s">
        <v>137</v>
      </c>
      <c r="I179" s="11" t="s">
        <v>18</v>
      </c>
      <c r="J179" s="9" t="str">
        <f>IFERROR(__xludf.DUMMYFUNCTION("""COMPUTED_VALUE"""),"https://www.google.com/search?newwindow=1&amp;ei=2MT0XrvGGM-vytMP1OyDgAY&amp;q=site%3Alinkedin.com+Rita+Matveyenko+International+Student+Recruiter+and+Partnership+Development+Officer")</f>
        <v>https://www.google.com/search?newwindow=1&amp;ei=2MT0XrvGGM-vytMP1OyDgAY&amp;q=site%3Alinkedin.com+Rita+Matveyenko+International+Student+Recruiter+and+Partnership+Development+Officer</v>
      </c>
      <c r="K179" s="5" t="str">
        <f t="shared" si="1"/>
        <v>Rita Matveyenko</v>
      </c>
      <c r="L179" s="5" t="str">
        <f t="shared" si="2"/>
        <v>International Student Recruiter and Partnership Development Officer</v>
      </c>
      <c r="M179" s="5" t="str">
        <f t="shared" si="3"/>
        <v/>
      </c>
      <c r="N179" s="5" t="str">
        <f t="shared" si="4"/>
        <v>Southern Alberta Institute of Technology (SAIT)</v>
      </c>
      <c r="O179" s="5" t="str">
        <f t="shared" si="5"/>
        <v>10 months in role</v>
      </c>
      <c r="P179" s="5" t="str">
        <f t="shared" si="6"/>
        <v>Calgary</v>
      </c>
      <c r="Q179" s="5" t="str">
        <f t="shared" si="7"/>
        <v>Alberta</v>
      </c>
      <c r="R179" s="5" t="str">
        <f t="shared" si="8"/>
        <v>Canada</v>
      </c>
    </row>
    <row r="180">
      <c r="A180" s="8" t="s">
        <v>5121</v>
      </c>
      <c r="B180" s="12" t="s">
        <v>5122</v>
      </c>
      <c r="C180" s="10" t="s">
        <v>5123</v>
      </c>
      <c r="D180" s="10"/>
      <c r="E180" s="10" t="s">
        <v>4632</v>
      </c>
      <c r="F180" s="10" t="s">
        <v>222</v>
      </c>
      <c r="G180" s="11" t="s">
        <v>5124</v>
      </c>
      <c r="H180" s="11" t="s">
        <v>4757</v>
      </c>
      <c r="I180" s="11" t="s">
        <v>4607</v>
      </c>
      <c r="J180" s="9" t="str">
        <f>IFERROR(__xludf.DUMMYFUNCTION("""COMPUTED_VALUE"""),"https://www.google.com/search?newwindow=1&amp;ei=2MT0XrvGGM-vytMP1OyDgAY&amp;q=site%3Alinkedin.com+Kasia+Sterniczuk+Talent+Attraction+Manager+-+Campus+Recruiting")</f>
        <v>https://www.google.com/search?newwindow=1&amp;ei=2MT0XrvGGM-vytMP1OyDgAY&amp;q=site%3Alinkedin.com+Kasia+Sterniczuk+Talent+Attraction+Manager+-+Campus+Recruiting</v>
      </c>
      <c r="K180" s="5" t="str">
        <f t="shared" si="1"/>
        <v>Kasia Sterniczuk</v>
      </c>
      <c r="L180" s="5" t="str">
        <f t="shared" si="2"/>
        <v>Talent Attraction Manager - Campus Recruiting</v>
      </c>
      <c r="M180" s="5" t="str">
        <f t="shared" si="3"/>
        <v/>
      </c>
      <c r="N180" s="5" t="str">
        <f t="shared" si="4"/>
        <v>KPMG Canada</v>
      </c>
      <c r="O180" s="5" t="str">
        <f t="shared" si="5"/>
        <v>3 years 11 months in role and company</v>
      </c>
      <c r="P180" s="5" t="str">
        <f t="shared" si="6"/>
        <v>Calgary</v>
      </c>
      <c r="Q180" s="5" t="str">
        <f t="shared" si="7"/>
        <v>Alberta</v>
      </c>
      <c r="R180" s="5" t="str">
        <f t="shared" si="8"/>
        <v>Canada</v>
      </c>
    </row>
    <row r="181">
      <c r="A181" s="8" t="s">
        <v>5125</v>
      </c>
      <c r="B181" s="10" t="s">
        <v>5126</v>
      </c>
      <c r="C181" s="10" t="s">
        <v>4596</v>
      </c>
      <c r="D181" s="10"/>
      <c r="E181" s="10" t="s">
        <v>5127</v>
      </c>
      <c r="F181" s="10" t="s">
        <v>237</v>
      </c>
      <c r="G181" s="11" t="s">
        <v>5128</v>
      </c>
      <c r="H181" s="11" t="s">
        <v>4599</v>
      </c>
      <c r="I181" s="11" t="s">
        <v>4600</v>
      </c>
      <c r="J181" s="9" t="str">
        <f>IFERROR(__xludf.DUMMYFUNCTION("""COMPUTED_VALUE"""),"https://www.google.com/search?newwindow=1&amp;ei=2MT0XrvGGM-vytMP1OyDgAY&amp;q=site%3Alinkedin.com+Casey+Bryant+Campus+Recruiting+Team+Member")</f>
        <v>https://www.google.com/search?newwindow=1&amp;ei=2MT0XrvGGM-vytMP1OyDgAY&amp;q=site%3Alinkedin.com+Casey+Bryant+Campus+Recruiting+Team+Member</v>
      </c>
      <c r="K181" s="5" t="str">
        <f t="shared" si="1"/>
        <v>Casey Bryant</v>
      </c>
      <c r="L181" s="5" t="str">
        <f t="shared" si="2"/>
        <v>Campus Recruiting Team Member</v>
      </c>
      <c r="M181" s="5" t="str">
        <f t="shared" si="3"/>
        <v/>
      </c>
      <c r="N181" s="5" t="str">
        <f t="shared" si="4"/>
        <v>KPMG</v>
      </c>
      <c r="O181" s="5" t="str">
        <f t="shared" si="5"/>
        <v>3 years 5 months in role</v>
      </c>
      <c r="P181" s="5" t="str">
        <f t="shared" si="6"/>
        <v>Calgary</v>
      </c>
      <c r="Q181" s="5" t="str">
        <f t="shared" si="7"/>
        <v>Alberta</v>
      </c>
      <c r="R181" s="5" t="str">
        <f t="shared" si="8"/>
        <v>Canada</v>
      </c>
    </row>
    <row r="182">
      <c r="A182" s="8" t="s">
        <v>5129</v>
      </c>
      <c r="B182" s="10" t="s">
        <v>5130</v>
      </c>
      <c r="C182" s="10" t="s">
        <v>5131</v>
      </c>
      <c r="D182" s="10"/>
      <c r="E182" s="10" t="s">
        <v>5132</v>
      </c>
      <c r="F182" s="10" t="s">
        <v>217</v>
      </c>
      <c r="G182" s="11" t="s">
        <v>5128</v>
      </c>
      <c r="H182" s="11" t="s">
        <v>4599</v>
      </c>
      <c r="I182" s="11" t="s">
        <v>4600</v>
      </c>
      <c r="J182" s="9" t="str">
        <f>IFERROR(__xludf.DUMMYFUNCTION("""COMPUTED_VALUE"""),"https://www.google.com/search?newwindow=1&amp;ei=2MT0XrvGGM-vytMP1OyDgAY&amp;q=site%3Alinkedin.com+Zi+Yu+Peng+College+Recruiter")</f>
        <v>https://www.google.com/search?newwindow=1&amp;ei=2MT0XrvGGM-vytMP1OyDgAY&amp;q=site%3Alinkedin.com+Zi+Yu+Peng+College+Recruiter</v>
      </c>
      <c r="K182" s="5" t="str">
        <f t="shared" si="1"/>
        <v>Zi Yu Peng</v>
      </c>
      <c r="L182" s="5" t="str">
        <f t="shared" si="2"/>
        <v>College Recruiter</v>
      </c>
      <c r="M182" s="5" t="str">
        <f t="shared" si="3"/>
        <v/>
      </c>
      <c r="N182" s="5" t="str">
        <f t="shared" si="4"/>
        <v>Alison College</v>
      </c>
      <c r="O182" s="5" t="str">
        <f t="shared" si="5"/>
        <v>9 months in role and company</v>
      </c>
      <c r="P182" s="5" t="str">
        <f t="shared" si="6"/>
        <v>Calgary</v>
      </c>
      <c r="Q182" s="5" t="str">
        <f t="shared" si="7"/>
        <v>Alberta</v>
      </c>
      <c r="R182" s="5" t="str">
        <f t="shared" si="8"/>
        <v>Canada</v>
      </c>
    </row>
    <row r="183">
      <c r="A183" s="8" t="s">
        <v>5133</v>
      </c>
      <c r="B183" s="10" t="s">
        <v>5134</v>
      </c>
      <c r="C183" s="10" t="s">
        <v>5135</v>
      </c>
      <c r="D183" s="10"/>
      <c r="E183" s="10" t="s">
        <v>5132</v>
      </c>
      <c r="F183" s="10" t="s">
        <v>106</v>
      </c>
      <c r="G183" s="11" t="s">
        <v>5128</v>
      </c>
      <c r="H183" s="11" t="s">
        <v>4599</v>
      </c>
      <c r="I183" s="11" t="s">
        <v>4600</v>
      </c>
      <c r="J183" s="9" t="str">
        <f>IFERROR(__xludf.DUMMYFUNCTION("""COMPUTED_VALUE"""),"https://www.google.com/search?newwindow=1&amp;ei=2MT0XrvGGM-vytMP1OyDgAY&amp;q=site%3Alinkedin.com+Stella+Bamurekye+International+Student+recruiter")</f>
        <v>https://www.google.com/search?newwindow=1&amp;ei=2MT0XrvGGM-vytMP1OyDgAY&amp;q=site%3Alinkedin.com+Stella+Bamurekye+International+Student+recruiter</v>
      </c>
      <c r="K183" s="5" t="str">
        <f t="shared" si="1"/>
        <v>Stella Bamurekye</v>
      </c>
      <c r="L183" s="5" t="str">
        <f t="shared" si="2"/>
        <v>International Student recruiter</v>
      </c>
      <c r="M183" s="5" t="str">
        <f t="shared" si="3"/>
        <v/>
      </c>
      <c r="N183" s="5" t="str">
        <f t="shared" si="4"/>
        <v>ABM College</v>
      </c>
      <c r="O183" s="5" t="str">
        <f t="shared" si="5"/>
        <v/>
      </c>
      <c r="P183" s="5" t="str">
        <f t="shared" si="6"/>
        <v>Calgary</v>
      </c>
      <c r="Q183" s="5" t="str">
        <f t="shared" si="7"/>
        <v>Alberta</v>
      </c>
      <c r="R183" s="5" t="str">
        <f t="shared" si="8"/>
        <v>Canada</v>
      </c>
    </row>
    <row r="184">
      <c r="A184" s="8" t="s">
        <v>5136</v>
      </c>
      <c r="B184" s="10" t="s">
        <v>5137</v>
      </c>
      <c r="C184" s="10" t="s">
        <v>25</v>
      </c>
      <c r="D184" s="10"/>
      <c r="E184" s="10" t="s">
        <v>5138</v>
      </c>
      <c r="F184" s="10" t="s">
        <v>5139</v>
      </c>
      <c r="G184" s="11" t="s">
        <v>5128</v>
      </c>
      <c r="H184" s="11" t="s">
        <v>4599</v>
      </c>
      <c r="I184" s="11" t="s">
        <v>4600</v>
      </c>
      <c r="J184" s="9" t="str">
        <f>IFERROR(__xludf.DUMMYFUNCTION("""COMPUTED_VALUE"""),"https://www.google.com/search?newwindow=1&amp;ei=2MT0XrvGGM-vytMP1OyDgAY&amp;q=site%3Alinkedin.com+Guiomar+Rouillard+Campus+Recruiter-Western+Canada")</f>
        <v>https://www.google.com/search?newwindow=1&amp;ei=2MT0XrvGGM-vytMP1OyDgAY&amp;q=site%3Alinkedin.com+Guiomar+Rouillard+Campus+Recruiter-Western+Canada</v>
      </c>
      <c r="K184" s="5" t="str">
        <f t="shared" si="1"/>
        <v>Guiomar Rouillard</v>
      </c>
      <c r="L184" s="5" t="str">
        <f t="shared" si="2"/>
        <v>Campus Recruiter-Western Canada</v>
      </c>
      <c r="M184" s="5" t="str">
        <f t="shared" si="3"/>
        <v/>
      </c>
      <c r="N184" s="5" t="str">
        <f t="shared" si="4"/>
        <v>Ernst &amp; Young LLP</v>
      </c>
      <c r="O184" s="5" t="str">
        <f t="shared" si="5"/>
        <v/>
      </c>
      <c r="P184" s="5" t="str">
        <f t="shared" si="6"/>
        <v>Calgary</v>
      </c>
      <c r="Q184" s="5" t="str">
        <f t="shared" si="7"/>
        <v>Alberta</v>
      </c>
      <c r="R184" s="5" t="str">
        <f t="shared" si="8"/>
        <v>Canada</v>
      </c>
    </row>
    <row r="185">
      <c r="A185" s="8" t="s">
        <v>5140</v>
      </c>
      <c r="B185" s="12" t="s">
        <v>5141</v>
      </c>
      <c r="C185" s="10" t="s">
        <v>5142</v>
      </c>
      <c r="D185" s="10"/>
      <c r="E185" s="10" t="s">
        <v>5143</v>
      </c>
      <c r="F185" s="10" t="s">
        <v>237</v>
      </c>
      <c r="G185" s="11" t="s">
        <v>5128</v>
      </c>
      <c r="H185" s="11" t="s">
        <v>4599</v>
      </c>
      <c r="I185" s="11" t="s">
        <v>4600</v>
      </c>
      <c r="J185" s="9" t="str">
        <f>IFERROR(__xludf.DUMMYFUNCTION("""COMPUTED_VALUE"""),"https://www.google.com/search?newwindow=1&amp;ei=2MT0XrvGGM-vytMP1OyDgAY&amp;q=site%3Alinkedin.com+Annaliisa+Sando+Manager,+Student+Recruitment+and+Programs+(Alberta)")</f>
        <v>https://www.google.com/search?newwindow=1&amp;ei=2MT0XrvGGM-vytMP1OyDgAY&amp;q=site%3Alinkedin.com+Annaliisa+Sando+Manager,+Student+Recruitment+and+Programs+(Alberta)</v>
      </c>
      <c r="K185" s="5" t="str">
        <f t="shared" si="1"/>
        <v>Annaliisa Sando</v>
      </c>
      <c r="L185" s="5" t="str">
        <f t="shared" si="2"/>
        <v>Manager, Student Recruitment and Programs (Alberta)</v>
      </c>
      <c r="M185" s="5" t="str">
        <f t="shared" si="3"/>
        <v/>
      </c>
      <c r="N185" s="5" t="str">
        <f t="shared" si="4"/>
        <v>Bennett Jones LLP</v>
      </c>
      <c r="O185" s="5" t="str">
        <f t="shared" si="5"/>
        <v>2 years 10 months in role and company</v>
      </c>
      <c r="P185" s="5" t="str">
        <f t="shared" si="6"/>
        <v>Calgary</v>
      </c>
      <c r="Q185" s="5" t="str">
        <f t="shared" si="7"/>
        <v>Alberta</v>
      </c>
      <c r="R185" s="5" t="str">
        <f t="shared" si="8"/>
        <v>Canada</v>
      </c>
    </row>
    <row r="186">
      <c r="A186" s="8" t="s">
        <v>5125</v>
      </c>
      <c r="B186" s="10" t="s">
        <v>5126</v>
      </c>
      <c r="C186" s="10" t="s">
        <v>4596</v>
      </c>
      <c r="D186" s="10"/>
      <c r="E186" s="10" t="s">
        <v>5127</v>
      </c>
      <c r="F186" s="10" t="s">
        <v>237</v>
      </c>
      <c r="G186" s="11" t="s">
        <v>5128</v>
      </c>
      <c r="H186" s="11" t="s">
        <v>4599</v>
      </c>
      <c r="I186" s="11" t="s">
        <v>4600</v>
      </c>
      <c r="J186" s="9" t="str">
        <f>IFERROR(__xludf.DUMMYFUNCTION("""COMPUTED_VALUE"""),"https://www.google.com/search?newwindow=1&amp;ei=2MT0XrvGGM-vytMP1OyDgAY&amp;q=site%3Alinkedin.com+Rob+Lyon+HR+Lead+-+Student+Programs")</f>
        <v>https://www.google.com/search?newwindow=1&amp;ei=2MT0XrvGGM-vytMP1OyDgAY&amp;q=site%3Alinkedin.com+Rob+Lyon+HR+Lead+-+Student+Programs</v>
      </c>
      <c r="K186" s="5" t="str">
        <f t="shared" si="1"/>
        <v>Rob Lyon</v>
      </c>
      <c r="L186" s="5" t="str">
        <f t="shared" si="2"/>
        <v>HR Lead - Student Programs</v>
      </c>
      <c r="M186" s="5" t="str">
        <f t="shared" si="3"/>
        <v/>
      </c>
      <c r="N186" s="5" t="str">
        <f t="shared" si="4"/>
        <v>TC Energy</v>
      </c>
      <c r="O186" s="5" t="str">
        <f t="shared" si="5"/>
        <v>9 months in role and company</v>
      </c>
      <c r="P186" s="5" t="str">
        <f t="shared" si="6"/>
        <v>Calgary</v>
      </c>
      <c r="Q186" s="5" t="str">
        <f t="shared" si="7"/>
        <v>Alberta</v>
      </c>
      <c r="R186" s="5" t="str">
        <f t="shared" si="8"/>
        <v>Canada</v>
      </c>
    </row>
    <row r="187">
      <c r="A187" s="8" t="s">
        <v>5129</v>
      </c>
      <c r="B187" s="10" t="s">
        <v>5130</v>
      </c>
      <c r="C187" s="10" t="s">
        <v>5131</v>
      </c>
      <c r="D187" s="10"/>
      <c r="E187" s="10" t="s">
        <v>5132</v>
      </c>
      <c r="F187" s="10" t="s">
        <v>217</v>
      </c>
      <c r="G187" s="11" t="s">
        <v>5128</v>
      </c>
      <c r="H187" s="11" t="s">
        <v>4599</v>
      </c>
      <c r="I187" s="11" t="s">
        <v>4600</v>
      </c>
      <c r="J187" s="9" t="str">
        <f>IFERROR(__xludf.DUMMYFUNCTION("""COMPUTED_VALUE"""),"https://www.google.com/search?newwindow=1&amp;ei=2MT0XrvGGM-vytMP1OyDgAY&amp;q=site%3Alinkedin.com+Aurora+Huber+Talent+Acquisition+Programs-+Summer+Student")</f>
        <v>https://www.google.com/search?newwindow=1&amp;ei=2MT0XrvGGM-vytMP1OyDgAY&amp;q=site%3Alinkedin.com+Aurora+Huber+Talent+Acquisition+Programs-+Summer+Student</v>
      </c>
      <c r="K187" s="5" t="str">
        <f t="shared" si="1"/>
        <v>Aurora Huber</v>
      </c>
      <c r="L187" s="5" t="str">
        <f t="shared" si="2"/>
        <v>Talent Acquisition Programs- Summer Student</v>
      </c>
      <c r="M187" s="5" t="str">
        <f t="shared" si="3"/>
        <v/>
      </c>
      <c r="N187" s="5" t="str">
        <f t="shared" si="4"/>
        <v>Suncor</v>
      </c>
      <c r="O187" s="5" t="str">
        <f t="shared" si="5"/>
        <v>6 months in role and company</v>
      </c>
      <c r="P187" s="5" t="str">
        <f t="shared" si="6"/>
        <v>Calgary</v>
      </c>
      <c r="Q187" s="5" t="str">
        <f t="shared" si="7"/>
        <v>Alberta</v>
      </c>
      <c r="R187" s="5" t="str">
        <f t="shared" si="8"/>
        <v>Canada</v>
      </c>
    </row>
    <row r="188">
      <c r="A188" s="8" t="s">
        <v>5133</v>
      </c>
      <c r="B188" s="10" t="s">
        <v>5134</v>
      </c>
      <c r="C188" s="10" t="s">
        <v>5135</v>
      </c>
      <c r="D188" s="10"/>
      <c r="E188" s="10" t="s">
        <v>5132</v>
      </c>
      <c r="F188" s="10" t="s">
        <v>106</v>
      </c>
      <c r="G188" s="11" t="s">
        <v>5128</v>
      </c>
      <c r="H188" s="11" t="s">
        <v>4599</v>
      </c>
      <c r="I188" s="11" t="s">
        <v>4600</v>
      </c>
      <c r="J188" s="9" t="str">
        <f>IFERROR(__xludf.DUMMYFUNCTION("""COMPUTED_VALUE"""),"https://www.google.com/search?newwindow=1&amp;ei=2MT0XrvGGM-vytMP1OyDgAY&amp;q=site%3Alinkedin.com+Maureen+Ohaya+STUDENT+SERVICES+AND+PROGRAMS+MANAGER")</f>
        <v>https://www.google.com/search?newwindow=1&amp;ei=2MT0XrvGGM-vytMP1OyDgAY&amp;q=site%3Alinkedin.com+Maureen+Ohaya+STUDENT+SERVICES+AND+PROGRAMS+MANAGER</v>
      </c>
      <c r="K188" s="5" t="str">
        <f t="shared" si="1"/>
        <v>Maureen Ohaya</v>
      </c>
      <c r="L188" s="5" t="str">
        <f t="shared" si="2"/>
        <v>STUDENT SERVICES AND PROGRAMS MANAGER</v>
      </c>
      <c r="M188" s="5" t="str">
        <f t="shared" si="3"/>
        <v/>
      </c>
      <c r="N188" s="5" t="str">
        <f t="shared" si="4"/>
        <v>CAMBROOKS COLLEGE CALGARY.</v>
      </c>
      <c r="O188" s="5" t="str">
        <f t="shared" si="5"/>
        <v>2 years 3 months in role and company</v>
      </c>
      <c r="P188" s="5" t="str">
        <f t="shared" si="6"/>
        <v>Calgary</v>
      </c>
      <c r="Q188" s="5" t="str">
        <f t="shared" si="7"/>
        <v>Alberta</v>
      </c>
      <c r="R188" s="5" t="str">
        <f t="shared" si="8"/>
        <v>Canada</v>
      </c>
    </row>
    <row r="189">
      <c r="A189" s="8" t="s">
        <v>5144</v>
      </c>
      <c r="B189" s="10" t="s">
        <v>5145</v>
      </c>
      <c r="C189" s="10" t="s">
        <v>5146</v>
      </c>
      <c r="D189" s="12"/>
      <c r="E189" s="12" t="s">
        <v>5147</v>
      </c>
      <c r="F189" s="10"/>
      <c r="G189" s="11" t="s">
        <v>5128</v>
      </c>
      <c r="H189" s="11" t="s">
        <v>4599</v>
      </c>
      <c r="I189" s="11" t="s">
        <v>4600</v>
      </c>
      <c r="J189" s="9" t="str">
        <f>IFERROR(__xludf.DUMMYFUNCTION("""COMPUTED_VALUE"""),"https://www.google.com/search?newwindow=1&amp;ei=2MT0XrvGGM-vytMP1OyDgAY&amp;q=site%3Alinkedin.com+Anmol+Hehar+Coordinator+-+HR+&amp;+Student/Associate+Programs")</f>
        <v>https://www.google.com/search?newwindow=1&amp;ei=2MT0XrvGGM-vytMP1OyDgAY&amp;q=site%3Alinkedin.com+Anmol+Hehar+Coordinator+-+HR+&amp;+Student/Associate+Programs</v>
      </c>
      <c r="K189" s="5" t="str">
        <f t="shared" si="1"/>
        <v>Anmol Hehar</v>
      </c>
      <c r="L189" s="5" t="str">
        <f t="shared" si="2"/>
        <v>Coordinator - HR &amp; Student/Associate Programs</v>
      </c>
      <c r="M189" s="5" t="str">
        <f t="shared" si="3"/>
        <v/>
      </c>
      <c r="N189" s="5" t="str">
        <f t="shared" si="4"/>
        <v>Gowling WLG</v>
      </c>
      <c r="O189" s="5" t="str">
        <f t="shared" si="5"/>
        <v>1 year 4 months in role and company</v>
      </c>
      <c r="P189" s="5" t="str">
        <f t="shared" si="6"/>
        <v>Calgary</v>
      </c>
      <c r="Q189" s="5" t="str">
        <f t="shared" si="7"/>
        <v>Alberta</v>
      </c>
      <c r="R189" s="5" t="str">
        <f t="shared" si="8"/>
        <v>Canada</v>
      </c>
    </row>
    <row r="190">
      <c r="A190" s="8" t="s">
        <v>5136</v>
      </c>
      <c r="B190" s="10" t="s">
        <v>5137</v>
      </c>
      <c r="C190" s="10" t="s">
        <v>25</v>
      </c>
      <c r="D190" s="10"/>
      <c r="E190" s="10" t="s">
        <v>5138</v>
      </c>
      <c r="F190" s="10" t="s">
        <v>5139</v>
      </c>
      <c r="G190" s="11" t="s">
        <v>5128</v>
      </c>
      <c r="H190" s="11" t="s">
        <v>4599</v>
      </c>
      <c r="I190" s="11" t="s">
        <v>4600</v>
      </c>
      <c r="J190" s="9" t="str">
        <f>IFERROR(__xludf.DUMMYFUNCTION("""COMPUTED_VALUE"""),"https://www.google.com/search?newwindow=1&amp;ei=2MT0XrvGGM-vytMP1OyDgAY&amp;q=site%3Alinkedin.com+Marvinn+Antonio+Student+Support+Specialist,+Language+Programs")</f>
        <v>https://www.google.com/search?newwindow=1&amp;ei=2MT0XrvGGM-vytMP1OyDgAY&amp;q=site%3Alinkedin.com+Marvinn+Antonio+Student+Support+Specialist,+Language+Programs</v>
      </c>
      <c r="K190" s="5" t="str">
        <f t="shared" si="1"/>
        <v>Marvinn Antonio</v>
      </c>
      <c r="L190" s="5" t="str">
        <f t="shared" si="2"/>
        <v>Student Support Specialist, Language Programs</v>
      </c>
      <c r="M190" s="5" t="str">
        <f t="shared" si="3"/>
        <v/>
      </c>
      <c r="N190" s="5" t="str">
        <f t="shared" si="4"/>
        <v>Centre for Newcomers</v>
      </c>
      <c r="O190" s="5" t="str">
        <f t="shared" si="5"/>
        <v>2 years 10 months in role and company</v>
      </c>
      <c r="P190" s="5" t="str">
        <f t="shared" si="6"/>
        <v>Calgary</v>
      </c>
      <c r="Q190" s="5" t="str">
        <f t="shared" si="7"/>
        <v>Alberta</v>
      </c>
      <c r="R190" s="5" t="str">
        <f t="shared" si="8"/>
        <v>Canada</v>
      </c>
    </row>
    <row r="191">
      <c r="A191" s="8" t="s">
        <v>5148</v>
      </c>
      <c r="B191" s="12" t="s">
        <v>5149</v>
      </c>
      <c r="C191" s="10" t="s">
        <v>5150</v>
      </c>
      <c r="D191" s="10"/>
      <c r="E191" s="10" t="s">
        <v>5132</v>
      </c>
      <c r="F191" s="10" t="s">
        <v>283</v>
      </c>
      <c r="G191" s="11" t="s">
        <v>5128</v>
      </c>
      <c r="H191" s="11" t="s">
        <v>4599</v>
      </c>
      <c r="I191" s="11" t="s">
        <v>4600</v>
      </c>
      <c r="J191" s="9" t="str">
        <f>IFERROR(__xludf.DUMMYFUNCTION("""COMPUTED_VALUE"""),"https://www.google.com/search?newwindow=1&amp;ei=2MT0XrvGGM-vytMP1OyDgAY&amp;q=site%3Alinkedin.com+Allyson+Patmore+Graduate+Recruiter+&amp;+Internship+Advisor")</f>
        <v>https://www.google.com/search?newwindow=1&amp;ei=2MT0XrvGGM-vytMP1OyDgAY&amp;q=site%3Alinkedin.com+Allyson+Patmore+Graduate+Recruiter+&amp;+Internship+Advisor</v>
      </c>
      <c r="K191" s="5" t="str">
        <f t="shared" si="1"/>
        <v>Allyson Patmore</v>
      </c>
      <c r="L191" s="5" t="str">
        <f t="shared" si="2"/>
        <v>Graduate Recruiter &amp; Internship Advisor</v>
      </c>
      <c r="M191" s="5" t="str">
        <f t="shared" si="3"/>
        <v/>
      </c>
      <c r="N191" s="5" t="str">
        <f t="shared" si="4"/>
        <v>Shell</v>
      </c>
      <c r="O191" s="5" t="str">
        <f t="shared" si="5"/>
        <v>5 years 2 months in role</v>
      </c>
      <c r="P191" s="5" t="str">
        <f t="shared" si="6"/>
        <v>Calgary</v>
      </c>
      <c r="Q191" s="5" t="str">
        <f t="shared" si="7"/>
        <v>Alberta</v>
      </c>
      <c r="R191" s="5" t="str">
        <f t="shared" si="8"/>
        <v>Canada</v>
      </c>
    </row>
    <row r="192">
      <c r="A192" s="8" t="s">
        <v>5151</v>
      </c>
      <c r="B192" s="10" t="s">
        <v>5152</v>
      </c>
      <c r="C192" s="10" t="s">
        <v>5153</v>
      </c>
      <c r="D192" s="12"/>
      <c r="E192" s="12" t="s">
        <v>5132</v>
      </c>
      <c r="F192" s="10"/>
      <c r="G192" s="11" t="s">
        <v>5128</v>
      </c>
      <c r="H192" s="11" t="s">
        <v>4599</v>
      </c>
      <c r="I192" s="11" t="s">
        <v>4600</v>
      </c>
      <c r="J192" s="9" t="str">
        <f>IFERROR(__xludf.DUMMYFUNCTION("""COMPUTED_VALUE"""),"https://www.google.com/search?newwindow=1&amp;ei=2MT0XrvGGM-vytMP1OyDgAY&amp;q=site%3Alinkedin.com+Ashley+Coss+Coordinator+of+Student+and+Associate+Programs")</f>
        <v>https://www.google.com/search?newwindow=1&amp;ei=2MT0XrvGGM-vytMP1OyDgAY&amp;q=site%3Alinkedin.com+Ashley+Coss+Coordinator+of+Student+and+Associate+Programs</v>
      </c>
      <c r="K192" s="5" t="str">
        <f t="shared" si="1"/>
        <v>Ashley Coss</v>
      </c>
      <c r="L192" s="5" t="str">
        <f t="shared" si="2"/>
        <v>Coordinator of Student and Associate Programs</v>
      </c>
      <c r="M192" s="5" t="str">
        <f t="shared" si="3"/>
        <v/>
      </c>
      <c r="N192" s="5" t="str">
        <f t="shared" si="4"/>
        <v>Gowling WLG Canada</v>
      </c>
      <c r="O192" s="5" t="str">
        <f t="shared" si="5"/>
        <v>3 years 3 months in role and company</v>
      </c>
      <c r="P192" s="5" t="str">
        <f t="shared" si="6"/>
        <v>Calgary</v>
      </c>
      <c r="Q192" s="5" t="str">
        <f t="shared" si="7"/>
        <v>Alberta</v>
      </c>
      <c r="R192" s="5" t="str">
        <f t="shared" si="8"/>
        <v>Canada</v>
      </c>
    </row>
    <row r="193">
      <c r="A193" s="8" t="s">
        <v>5154</v>
      </c>
      <c r="B193" s="10" t="s">
        <v>5155</v>
      </c>
      <c r="C193" s="10" t="s">
        <v>5156</v>
      </c>
      <c r="D193" s="10"/>
      <c r="E193" s="10" t="s">
        <v>1007</v>
      </c>
      <c r="F193" s="10" t="s">
        <v>144</v>
      </c>
      <c r="G193" s="11" t="s">
        <v>5157</v>
      </c>
      <c r="H193" s="11" t="s">
        <v>4757</v>
      </c>
      <c r="I193" s="11" t="s">
        <v>4607</v>
      </c>
      <c r="J193" s="9" t="str">
        <f>IFERROR(__xludf.DUMMYFUNCTION("""COMPUTED_VALUE"""),"https://www.google.com/search?newwindow=1&amp;ei=2MT0XrvGGM-vytMP1OyDgAY&amp;q=site%3Alinkedin.com+Jessica+Weatherhead+Supervisor,+Professional+Development+&amp;+Student+Programs")</f>
        <v>https://www.google.com/search?newwindow=1&amp;ei=2MT0XrvGGM-vytMP1OyDgAY&amp;q=site%3Alinkedin.com+Jessica+Weatherhead+Supervisor,+Professional+Development+&amp;+Student+Programs</v>
      </c>
      <c r="K193" s="5" t="str">
        <f t="shared" si="1"/>
        <v>Jessica Weatherhead</v>
      </c>
      <c r="L193" s="5" t="str">
        <f t="shared" si="2"/>
        <v>Supervisor, Professional Development &amp; Student Programs</v>
      </c>
      <c r="M193" s="5" t="str">
        <f t="shared" si="3"/>
        <v/>
      </c>
      <c r="N193" s="5" t="str">
        <f t="shared" si="4"/>
        <v>Blake, Cassels &amp; Graydon LLP</v>
      </c>
      <c r="O193" s="5" t="str">
        <f t="shared" si="5"/>
        <v>8 years 2 months in role and company</v>
      </c>
      <c r="P193" s="5" t="str">
        <f t="shared" si="6"/>
        <v>Calgary</v>
      </c>
      <c r="Q193" s="5" t="str">
        <f t="shared" si="7"/>
        <v>Alberta</v>
      </c>
      <c r="R193" s="5" t="str">
        <f t="shared" si="8"/>
        <v>Canada</v>
      </c>
    </row>
    <row r="194">
      <c r="A194" s="8" t="s">
        <v>5158</v>
      </c>
      <c r="B194" s="10" t="s">
        <v>5159</v>
      </c>
      <c r="C194" s="10" t="s">
        <v>5160</v>
      </c>
      <c r="D194" s="10"/>
      <c r="E194" s="10" t="s">
        <v>5161</v>
      </c>
      <c r="F194" s="10" t="s">
        <v>694</v>
      </c>
      <c r="G194" s="11" t="s">
        <v>5162</v>
      </c>
      <c r="H194" s="11" t="s">
        <v>4638</v>
      </c>
      <c r="I194" s="11" t="s">
        <v>4600</v>
      </c>
      <c r="J194" s="9" t="str">
        <f>IFERROR(__xludf.DUMMYFUNCTION("""COMPUTED_VALUE"""),"https://www.google.com/search?newwindow=1&amp;ei=2MT0XrvGGM-vytMP1OyDgAY&amp;q=site%3Alinkedin.com+Lizelle+Igesund+Cordinator+SCMFL+Student+Programs")</f>
        <v>https://www.google.com/search?newwindow=1&amp;ei=2MT0XrvGGM-vytMP1OyDgAY&amp;q=site%3Alinkedin.com+Lizelle+Igesund+Cordinator+SCMFL+Student+Programs</v>
      </c>
      <c r="K194" s="5" t="str">
        <f t="shared" si="1"/>
        <v>Lizelle Igesund</v>
      </c>
      <c r="L194" s="5" t="str">
        <f t="shared" si="2"/>
        <v>Cordinator SCMFL Student Programs</v>
      </c>
      <c r="M194" s="5" t="str">
        <f t="shared" si="3"/>
        <v/>
      </c>
      <c r="N194" s="5" t="str">
        <f t="shared" si="4"/>
        <v>Suncor Energy</v>
      </c>
      <c r="O194" s="5" t="str">
        <f t="shared" si="5"/>
        <v>1 year 11 months in role and company</v>
      </c>
      <c r="P194" s="5" t="str">
        <f t="shared" si="6"/>
        <v>Calgary</v>
      </c>
      <c r="Q194" s="5" t="str">
        <f t="shared" si="7"/>
        <v>Alberta</v>
      </c>
      <c r="R194" s="5" t="str">
        <f t="shared" si="8"/>
        <v>Canada</v>
      </c>
    </row>
    <row r="195">
      <c r="A195" s="8" t="s">
        <v>5163</v>
      </c>
      <c r="B195" s="12" t="s">
        <v>5164</v>
      </c>
      <c r="C195" s="10" t="s">
        <v>4596</v>
      </c>
      <c r="D195" s="10"/>
      <c r="E195" s="10" t="s">
        <v>5165</v>
      </c>
      <c r="F195" s="10" t="s">
        <v>233</v>
      </c>
      <c r="G195" s="11" t="s">
        <v>4643</v>
      </c>
      <c r="H195" s="11" t="s">
        <v>4644</v>
      </c>
      <c r="I195" s="11" t="s">
        <v>4600</v>
      </c>
      <c r="J195" s="9" t="str">
        <f>IFERROR(__xludf.DUMMYFUNCTION("""COMPUTED_VALUE"""),"https://www.google.com/search?newwindow=1&amp;ei=2MT0XrvGGM-vytMP1OyDgAY&amp;q=site%3Alinkedin.com+Jenn+H.+Student+Advisor,+Undergraduate+Programs,+Haskayne+School+of+Business")</f>
        <v>https://www.google.com/search?newwindow=1&amp;ei=2MT0XrvGGM-vytMP1OyDgAY&amp;q=site%3Alinkedin.com+Jenn+H.+Student+Advisor,+Undergraduate+Programs,+Haskayne+School+of+Business</v>
      </c>
      <c r="K195" s="5" t="str">
        <f t="shared" si="1"/>
        <v>Jenn H.</v>
      </c>
      <c r="L195" s="5" t="str">
        <f t="shared" si="2"/>
        <v>Student Advisor, Undergraduate Programs, Haskayne School of Business</v>
      </c>
      <c r="M195" s="5" t="str">
        <f t="shared" si="3"/>
        <v/>
      </c>
      <c r="N195" s="5" t="str">
        <f t="shared" si="4"/>
        <v>University of Calgary</v>
      </c>
      <c r="O195" s="5" t="str">
        <f t="shared" si="5"/>
        <v>8 years 5 months in role</v>
      </c>
      <c r="P195" s="5" t="str">
        <f t="shared" si="6"/>
        <v>Calgary</v>
      </c>
      <c r="Q195" s="5" t="str">
        <f t="shared" si="7"/>
        <v>Alberta</v>
      </c>
      <c r="R195" s="5" t="str">
        <f t="shared" si="8"/>
        <v>Canada</v>
      </c>
    </row>
    <row r="196">
      <c r="A196" s="8" t="s">
        <v>5166</v>
      </c>
      <c r="B196" s="12" t="s">
        <v>5167</v>
      </c>
      <c r="C196" s="10" t="s">
        <v>25</v>
      </c>
      <c r="D196" s="10"/>
      <c r="E196" s="10" t="s">
        <v>4701</v>
      </c>
      <c r="F196" s="10" t="s">
        <v>144</v>
      </c>
      <c r="G196" s="11" t="s">
        <v>4643</v>
      </c>
      <c r="H196" s="11" t="s">
        <v>4644</v>
      </c>
      <c r="I196" s="11" t="s">
        <v>4600</v>
      </c>
      <c r="J196" s="9" t="str">
        <f>IFERROR(__xludf.DUMMYFUNCTION("""COMPUTED_VALUE"""),"https://www.google.com/search?newwindow=1&amp;ei=2MT0XrvGGM-vytMP1OyDgAY&amp;q=site%3Alinkedin.com+Carole+Tucker+Student+Advisor,+Aboriginal+Programs+&amp;+Support+Services")</f>
        <v>https://www.google.com/search?newwindow=1&amp;ei=2MT0XrvGGM-vytMP1OyDgAY&amp;q=site%3Alinkedin.com+Carole+Tucker+Student+Advisor,+Aboriginal+Programs+&amp;+Support+Services</v>
      </c>
      <c r="K196" s="5" t="str">
        <f t="shared" si="1"/>
        <v>Carole Tucker</v>
      </c>
      <c r="L196" s="5" t="str">
        <f t="shared" si="2"/>
        <v>Student Advisor, Aboriginal Programs &amp; Support Services</v>
      </c>
      <c r="M196" s="5" t="str">
        <f t="shared" si="3"/>
        <v/>
      </c>
      <c r="N196" s="5" t="str">
        <f t="shared" si="4"/>
        <v>University of Calgary</v>
      </c>
      <c r="O196" s="5" t="str">
        <f t="shared" si="5"/>
        <v/>
      </c>
      <c r="P196" s="5" t="str">
        <f t="shared" si="6"/>
        <v>Calgary</v>
      </c>
      <c r="Q196" s="5" t="str">
        <f t="shared" si="7"/>
        <v>Alberta</v>
      </c>
      <c r="R196" s="5" t="str">
        <f t="shared" si="8"/>
        <v>Canada</v>
      </c>
    </row>
    <row r="197">
      <c r="A197" s="8" t="s">
        <v>5168</v>
      </c>
      <c r="B197" s="10" t="s">
        <v>5169</v>
      </c>
      <c r="C197" s="10" t="s">
        <v>5170</v>
      </c>
      <c r="D197" s="10"/>
      <c r="E197" s="10" t="s">
        <v>4366</v>
      </c>
      <c r="F197" s="10" t="s">
        <v>228</v>
      </c>
      <c r="G197" s="11" t="s">
        <v>4643</v>
      </c>
      <c r="H197" s="11" t="s">
        <v>4644</v>
      </c>
      <c r="I197" s="11" t="s">
        <v>4600</v>
      </c>
      <c r="J197" s="9" t="str">
        <f>IFERROR(__xludf.DUMMYFUNCTION("""COMPUTED_VALUE"""),"https://www.google.com/search?newwindow=1&amp;ei=2MT0XrvGGM-vytMP1OyDgAY&amp;q=site%3Alinkedin.com+Brock+Robertson+Co-ordinaor,+International+Student+Programs+(Science)")</f>
        <v>https://www.google.com/search?newwindow=1&amp;ei=2MT0XrvGGM-vytMP1OyDgAY&amp;q=site%3Alinkedin.com+Brock+Robertson+Co-ordinaor,+International+Student+Programs+(Science)</v>
      </c>
      <c r="K197" s="5" t="str">
        <f t="shared" si="1"/>
        <v>Brock Robertson</v>
      </c>
      <c r="L197" s="5" t="str">
        <f t="shared" si="2"/>
        <v>Co-ordinaor, International Student Programs (Science)</v>
      </c>
      <c r="M197" s="5" t="str">
        <f t="shared" si="3"/>
        <v/>
      </c>
      <c r="N197" s="5" t="str">
        <f t="shared" si="4"/>
        <v>University of Calgary</v>
      </c>
      <c r="O197" s="5" t="str">
        <f t="shared" si="5"/>
        <v/>
      </c>
      <c r="P197" s="5" t="str">
        <f t="shared" si="6"/>
        <v>Calgary</v>
      </c>
      <c r="Q197" s="5" t="str">
        <f t="shared" si="7"/>
        <v>Alberta</v>
      </c>
      <c r="R197" s="5" t="str">
        <f t="shared" si="8"/>
        <v>Canada</v>
      </c>
    </row>
    <row r="198">
      <c r="A198" s="8" t="s">
        <v>5171</v>
      </c>
      <c r="B198" s="10" t="s">
        <v>5172</v>
      </c>
      <c r="C198" s="10" t="s">
        <v>5173</v>
      </c>
      <c r="D198" s="10"/>
      <c r="E198" s="10" t="s">
        <v>5174</v>
      </c>
      <c r="F198" s="10" t="s">
        <v>233</v>
      </c>
      <c r="G198" s="11" t="s">
        <v>4643</v>
      </c>
      <c r="H198" s="11" t="s">
        <v>4644</v>
      </c>
      <c r="I198" s="11" t="s">
        <v>4600</v>
      </c>
      <c r="J198" s="9" t="str">
        <f>IFERROR(__xludf.DUMMYFUNCTION("""COMPUTED_VALUE"""),"https://www.google.com/search?newwindow=1&amp;ei=2MT0XrvGGM-vytMP1OyDgAY&amp;q=site%3Alinkedin.com+Tenzin+D+Associate+&amp;+Student+Programs+Coordinator")</f>
        <v>https://www.google.com/search?newwindow=1&amp;ei=2MT0XrvGGM-vytMP1OyDgAY&amp;q=site%3Alinkedin.com+Tenzin+D+Associate+&amp;+Student+Programs+Coordinator</v>
      </c>
      <c r="K198" s="5" t="str">
        <f t="shared" si="1"/>
        <v>Tenzin D</v>
      </c>
      <c r="L198" s="5" t="str">
        <f t="shared" si="2"/>
        <v>Associate &amp; Student Programs Coordinator</v>
      </c>
      <c r="M198" s="5" t="str">
        <f t="shared" si="3"/>
        <v/>
      </c>
      <c r="N198" s="5" t="str">
        <f t="shared" si="4"/>
        <v>McCarthy Tétrault</v>
      </c>
      <c r="O198" s="5" t="str">
        <f t="shared" si="5"/>
        <v/>
      </c>
      <c r="P198" s="5" t="str">
        <f t="shared" si="6"/>
        <v>Calgary</v>
      </c>
      <c r="Q198" s="5" t="str">
        <f t="shared" si="7"/>
        <v>Alberta</v>
      </c>
      <c r="R198" s="5" t="str">
        <f t="shared" si="8"/>
        <v>Canada</v>
      </c>
    </row>
    <row r="199">
      <c r="A199" s="8" t="s">
        <v>5175</v>
      </c>
      <c r="B199" s="10" t="s">
        <v>5176</v>
      </c>
      <c r="C199" s="10" t="s">
        <v>5177</v>
      </c>
      <c r="D199" s="10"/>
      <c r="E199" s="10" t="s">
        <v>4366</v>
      </c>
      <c r="F199" s="10" t="s">
        <v>228</v>
      </c>
      <c r="G199" s="11" t="s">
        <v>4643</v>
      </c>
      <c r="H199" s="11" t="s">
        <v>4644</v>
      </c>
      <c r="I199" s="11" t="s">
        <v>4600</v>
      </c>
      <c r="J199" s="9" t="str">
        <f>IFERROR(__xludf.DUMMYFUNCTION("""COMPUTED_VALUE"""),"https://www.google.com/search?newwindow=1&amp;ei=2MT0XrvGGM-vytMP1OyDgAY&amp;q=site%3Alinkedin.com+Steven+Ekert+Analyst,+Engineering+Campus+Recruiting")</f>
        <v>https://www.google.com/search?newwindow=1&amp;ei=2MT0XrvGGM-vytMP1OyDgAY&amp;q=site%3Alinkedin.com+Steven+Ekert+Analyst,+Engineering+Campus+Recruiting</v>
      </c>
      <c r="K199" s="5" t="str">
        <f t="shared" si="1"/>
        <v>Steven Ekert</v>
      </c>
      <c r="L199" s="5" t="str">
        <f t="shared" si="2"/>
        <v>Analyst, Engineering Campus Recruiting</v>
      </c>
      <c r="M199" s="5" t="str">
        <f t="shared" si="3"/>
        <v/>
      </c>
      <c r="N199" s="5" t="str">
        <f t="shared" si="4"/>
        <v>Goldman Sachs</v>
      </c>
      <c r="O199" s="5" t="str">
        <f t="shared" si="5"/>
        <v>4 months in role and company</v>
      </c>
      <c r="P199" s="5" t="str">
        <f t="shared" si="6"/>
        <v>Cambridge</v>
      </c>
      <c r="Q199" s="5" t="str">
        <f t="shared" si="7"/>
        <v>Massachusetts</v>
      </c>
      <c r="R199" s="5" t="str">
        <f t="shared" si="8"/>
        <v>United States</v>
      </c>
    </row>
    <row r="200">
      <c r="A200" s="8" t="s">
        <v>5178</v>
      </c>
      <c r="B200" s="12" t="s">
        <v>5179</v>
      </c>
      <c r="C200" s="10" t="s">
        <v>5180</v>
      </c>
      <c r="D200" s="10"/>
      <c r="E200" s="10" t="s">
        <v>5181</v>
      </c>
      <c r="F200" s="10" t="s">
        <v>512</v>
      </c>
      <c r="G200" s="11" t="s">
        <v>4643</v>
      </c>
      <c r="H200" s="11" t="s">
        <v>4644</v>
      </c>
      <c r="I200" s="11" t="s">
        <v>4600</v>
      </c>
      <c r="J200" s="9" t="str">
        <f>IFERROR(__xludf.DUMMYFUNCTION("""COMPUTED_VALUE"""),"https://www.google.com/search?newwindow=1&amp;ei=2MT0XrvGGM-vytMP1OyDgAY&amp;q=site%3Alinkedin.com+Liz+Souza+Senior+Associate+-+Campus+Recruiting,+Technology")</f>
        <v>https://www.google.com/search?newwindow=1&amp;ei=2MT0XrvGGM-vytMP1OyDgAY&amp;q=site%3Alinkedin.com+Liz+Souza+Senior+Associate+-+Campus+Recruiting,+Technology</v>
      </c>
      <c r="K200" s="5" t="str">
        <f t="shared" si="1"/>
        <v>Liz Souza</v>
      </c>
      <c r="L200" s="5" t="str">
        <f t="shared" si="2"/>
        <v>Senior Associate - Campus Recruiting, Technology</v>
      </c>
      <c r="M200" s="5" t="str">
        <f t="shared" si="3"/>
        <v/>
      </c>
      <c r="N200" s="5" t="str">
        <f t="shared" si="4"/>
        <v>Capital One</v>
      </c>
      <c r="O200" s="5" t="str">
        <f t="shared" si="5"/>
        <v>4 months in role</v>
      </c>
      <c r="P200" s="5" t="str">
        <f t="shared" si="6"/>
        <v>Cambridge</v>
      </c>
      <c r="Q200" s="5" t="str">
        <f t="shared" si="7"/>
        <v>Massachusetts</v>
      </c>
      <c r="R200" s="5" t="str">
        <f t="shared" si="8"/>
        <v>United States</v>
      </c>
    </row>
    <row r="201">
      <c r="A201" s="8" t="s">
        <v>5182</v>
      </c>
      <c r="B201" s="12" t="s">
        <v>5183</v>
      </c>
      <c r="C201" s="10" t="s">
        <v>5184</v>
      </c>
      <c r="D201" s="10"/>
      <c r="E201" s="10" t="s">
        <v>4914</v>
      </c>
      <c r="F201" s="10" t="s">
        <v>4799</v>
      </c>
      <c r="G201" s="11" t="s">
        <v>4643</v>
      </c>
      <c r="H201" s="11" t="s">
        <v>4644</v>
      </c>
      <c r="I201" s="11" t="s">
        <v>4600</v>
      </c>
      <c r="J201" s="9" t="str">
        <f>IFERROR(__xludf.DUMMYFUNCTION("""COMPUTED_VALUE"""),"https://www.google.com/search?newwindow=1&amp;ei=2MT0XrvGGM-vytMP1OyDgAY&amp;q=site%3Alinkedin.com+Veronica+Pickard+AVP,+Human+Resources+-+Campus+Program+Lead")</f>
        <v>https://www.google.com/search?newwindow=1&amp;ei=2MT0XrvGGM-vytMP1OyDgAY&amp;q=site%3Alinkedin.com+Veronica+Pickard+AVP,+Human+Resources+-+Campus+Program+Lead</v>
      </c>
      <c r="K201" s="5" t="str">
        <f t="shared" si="1"/>
        <v>Veronica Pickard</v>
      </c>
      <c r="L201" s="5" t="str">
        <f t="shared" si="2"/>
        <v>AVP, Human Resources - Campus Program Lead</v>
      </c>
      <c r="M201" s="5" t="str">
        <f t="shared" si="3"/>
        <v/>
      </c>
      <c r="N201" s="5" t="str">
        <f t="shared" si="4"/>
        <v>Citi</v>
      </c>
      <c r="O201" s="5" t="str">
        <f t="shared" si="5"/>
        <v>1 year 10 months in role</v>
      </c>
      <c r="P201" s="5" t="str">
        <f t="shared" si="6"/>
        <v>Cambridge</v>
      </c>
      <c r="Q201" s="5" t="str">
        <f t="shared" si="7"/>
        <v>Ontario</v>
      </c>
      <c r="R201" s="5" t="str">
        <f t="shared" si="8"/>
        <v>Canada</v>
      </c>
    </row>
    <row r="202">
      <c r="A202" s="8" t="s">
        <v>5185</v>
      </c>
      <c r="B202" s="10" t="s">
        <v>5186</v>
      </c>
      <c r="C202" s="10" t="s">
        <v>5187</v>
      </c>
      <c r="D202" s="10"/>
      <c r="E202" s="10" t="s">
        <v>2839</v>
      </c>
      <c r="F202" s="10" t="s">
        <v>1950</v>
      </c>
      <c r="G202" s="11" t="s">
        <v>4643</v>
      </c>
      <c r="H202" s="11" t="s">
        <v>4644</v>
      </c>
      <c r="I202" s="11" t="s">
        <v>4600</v>
      </c>
      <c r="J202" s="9" t="str">
        <f>IFERROR(__xludf.DUMMYFUNCTION("""COMPUTED_VALUE"""),"https://www.google.com/search?newwindow=1&amp;ei=2MT0XrvGGM-vytMP1OyDgAY&amp;q=site%3Alinkedin.com+Desiree+Saunders+Recruiter")</f>
        <v>https://www.google.com/search?newwindow=1&amp;ei=2MT0XrvGGM-vytMP1OyDgAY&amp;q=site%3Alinkedin.com+Desiree+Saunders+Recruiter</v>
      </c>
      <c r="K202" s="5" t="str">
        <f t="shared" si="1"/>
        <v>Desiree Saunders</v>
      </c>
      <c r="L202" s="5" t="str">
        <f t="shared" si="2"/>
        <v>Recruiter</v>
      </c>
      <c r="M202" s="5" t="str">
        <f t="shared" si="3"/>
        <v/>
      </c>
      <c r="N202" s="5" t="str">
        <f t="shared" si="4"/>
        <v>Poly Placements</v>
      </c>
      <c r="O202" s="5" t="str">
        <f t="shared" si="5"/>
        <v>13 years 10 months in role and company</v>
      </c>
      <c r="P202" s="5" t="str">
        <f t="shared" si="6"/>
        <v>Cambridge</v>
      </c>
      <c r="Q202" s="5" t="str">
        <f t="shared" si="7"/>
        <v>Ontario</v>
      </c>
      <c r="R202" s="5" t="str">
        <f t="shared" si="8"/>
        <v>Canada</v>
      </c>
    </row>
    <row r="203">
      <c r="A203" s="8" t="s">
        <v>5188</v>
      </c>
      <c r="B203" s="10" t="s">
        <v>5189</v>
      </c>
      <c r="C203" s="10" t="s">
        <v>480</v>
      </c>
      <c r="D203" s="10"/>
      <c r="E203" s="10" t="s">
        <v>5190</v>
      </c>
      <c r="F203" s="10" t="s">
        <v>441</v>
      </c>
      <c r="G203" s="11" t="s">
        <v>4643</v>
      </c>
      <c r="H203" s="11" t="s">
        <v>4644</v>
      </c>
      <c r="I203" s="11" t="s">
        <v>4600</v>
      </c>
      <c r="J203" s="9" t="str">
        <f>IFERROR(__xludf.DUMMYFUNCTION("""COMPUTED_VALUE"""),"https://www.google.com/search?newwindow=1&amp;ei=2MT0XrvGGM-vytMP1OyDgAY&amp;q=site%3Alinkedin.com+Aimee+Everest+EMEA+Campus+Recruiter+-+Graduate+Programme+&amp;+Early+Years+-+hiring+now!")</f>
        <v>https://www.google.com/search?newwindow=1&amp;ei=2MT0XrvGGM-vytMP1OyDgAY&amp;q=site%3Alinkedin.com+Aimee+Everest+EMEA+Campus+Recruiter+-+Graduate+Programme+&amp;+Early+Years+-+hiring+now!</v>
      </c>
      <c r="K203" s="5" t="str">
        <f t="shared" si="1"/>
        <v>Aimee Everest</v>
      </c>
      <c r="L203" s="5" t="str">
        <f t="shared" si="2"/>
        <v>EMEA Campus Recruiter - Graduate Programme &amp; Early Years - hiring now!</v>
      </c>
      <c r="M203" s="5" t="str">
        <f t="shared" si="3"/>
        <v/>
      </c>
      <c r="N203" s="5" t="str">
        <f t="shared" si="4"/>
        <v>MathWorks</v>
      </c>
      <c r="O203" s="5" t="str">
        <f t="shared" si="5"/>
        <v>1 year 3 months in role and company</v>
      </c>
      <c r="P203" s="5" t="str">
        <f t="shared" si="6"/>
        <v>Cambridge</v>
      </c>
      <c r="Q203" s="5" t="str">
        <f t="shared" si="7"/>
        <v>England</v>
      </c>
      <c r="R203" s="5" t="str">
        <f t="shared" si="8"/>
        <v>United Kingdom</v>
      </c>
    </row>
    <row r="204">
      <c r="A204" s="8" t="s">
        <v>5191</v>
      </c>
      <c r="B204" s="12" t="s">
        <v>5192</v>
      </c>
      <c r="C204" s="10" t="s">
        <v>5193</v>
      </c>
      <c r="D204" s="10"/>
      <c r="E204" s="10" t="s">
        <v>5174</v>
      </c>
      <c r="F204" s="10"/>
      <c r="G204" s="11" t="s">
        <v>4643</v>
      </c>
      <c r="H204" s="11" t="s">
        <v>4644</v>
      </c>
      <c r="I204" s="11" t="s">
        <v>4600</v>
      </c>
      <c r="J204" s="9" t="str">
        <f>IFERROR(__xludf.DUMMYFUNCTION("""COMPUTED_VALUE"""),"https://www.google.com/search?newwindow=1&amp;ei=2MT0XrvGGM-vytMP1OyDgAY&amp;q=site%3Alinkedin.com+Daria+Kimerina+European+MBA+University+Recruiter")</f>
        <v>https://www.google.com/search?newwindow=1&amp;ei=2MT0XrvGGM-vytMP1OyDgAY&amp;q=site%3Alinkedin.com+Daria+Kimerina+European+MBA+University+Recruiter</v>
      </c>
      <c r="K204" s="5" t="str">
        <f t="shared" si="1"/>
        <v>Daria Kimerina</v>
      </c>
      <c r="L204" s="5" t="str">
        <f t="shared" si="2"/>
        <v>European MBA University Recruiter</v>
      </c>
      <c r="M204" s="5" t="str">
        <f t="shared" si="3"/>
        <v>MBA</v>
      </c>
      <c r="N204" s="5" t="str">
        <f t="shared" si="4"/>
        <v>Microsoft</v>
      </c>
      <c r="O204" s="5" t="str">
        <f t="shared" si="5"/>
        <v>4 years 2 months in role and company</v>
      </c>
      <c r="P204" s="5" t="str">
        <f t="shared" si="6"/>
        <v>Cambridge</v>
      </c>
      <c r="Q204" s="5" t="str">
        <f t="shared" si="7"/>
        <v>England</v>
      </c>
      <c r="R204" s="5" t="str">
        <f t="shared" si="8"/>
        <v>United Kingdom</v>
      </c>
    </row>
    <row r="205">
      <c r="A205" s="8" t="s">
        <v>5194</v>
      </c>
      <c r="B205" s="12" t="s">
        <v>5195</v>
      </c>
      <c r="C205" s="10" t="s">
        <v>5196</v>
      </c>
      <c r="D205" s="12"/>
      <c r="E205" s="12" t="s">
        <v>5197</v>
      </c>
      <c r="F205" s="10"/>
      <c r="G205" s="11" t="s">
        <v>4643</v>
      </c>
      <c r="H205" s="11" t="s">
        <v>4644</v>
      </c>
      <c r="I205" s="11" t="s">
        <v>4600</v>
      </c>
      <c r="J205" s="9" t="str">
        <f>IFERROR(__xludf.DUMMYFUNCTION("""COMPUTED_VALUE"""),"https://www.google.com/search?newwindow=1&amp;ei=2MT0XrvGGM-vytMP1OyDgAY&amp;q=site%3Alinkedin.com+Tom+Fowler+Student")</f>
        <v>https://www.google.com/search?newwindow=1&amp;ei=2MT0XrvGGM-vytMP1OyDgAY&amp;q=site%3Alinkedin.com+Tom+Fowler+Student</v>
      </c>
      <c r="K205" s="5" t="str">
        <f t="shared" si="1"/>
        <v>Tom Fowler</v>
      </c>
      <c r="L205" s="5" t="str">
        <f t="shared" si="2"/>
        <v>Student</v>
      </c>
      <c r="M205" s="5" t="str">
        <f t="shared" si="3"/>
        <v/>
      </c>
      <c r="N205" s="5" t="str">
        <f t="shared" si="4"/>
        <v>St George's, University of London</v>
      </c>
      <c r="O205" s="5" t="str">
        <f t="shared" si="5"/>
        <v>4 years 3 months in role and company</v>
      </c>
      <c r="P205" s="5" t="str">
        <f t="shared" si="6"/>
        <v>Cambridge</v>
      </c>
      <c r="Q205" s="5" t="str">
        <f t="shared" si="7"/>
        <v>England</v>
      </c>
      <c r="R205" s="5" t="str">
        <f t="shared" si="8"/>
        <v>United Kingdom</v>
      </c>
    </row>
    <row r="206">
      <c r="A206" s="8" t="s">
        <v>5163</v>
      </c>
      <c r="B206" s="12" t="s">
        <v>5164</v>
      </c>
      <c r="C206" s="10" t="s">
        <v>4596</v>
      </c>
      <c r="D206" s="10"/>
      <c r="E206" s="10" t="s">
        <v>5165</v>
      </c>
      <c r="F206" s="10" t="s">
        <v>233</v>
      </c>
      <c r="G206" s="11" t="s">
        <v>4643</v>
      </c>
      <c r="H206" s="11" t="s">
        <v>4644</v>
      </c>
      <c r="I206" s="11" t="s">
        <v>4600</v>
      </c>
      <c r="J206" s="9" t="str">
        <f>IFERROR(__xludf.DUMMYFUNCTION("""COMPUTED_VALUE"""),"https://www.google.com/search?newwindow=1&amp;ei=2MT0XrvGGM-vytMP1OyDgAY&amp;q=site%3Alinkedin.com+Sara+Buxton+NorCal+Campus+Recruiting+Manager")</f>
        <v>https://www.google.com/search?newwindow=1&amp;ei=2MT0XrvGGM-vytMP1OyDgAY&amp;q=site%3Alinkedin.com+Sara+Buxton+NorCal+Campus+Recruiting+Manager</v>
      </c>
      <c r="K206" s="5" t="str">
        <f t="shared" si="1"/>
        <v>Sara Buxton</v>
      </c>
      <c r="L206" s="5" t="str">
        <f t="shared" si="2"/>
        <v>NorCal Campus Recruiting Manager</v>
      </c>
      <c r="M206" s="5" t="str">
        <f t="shared" si="3"/>
        <v/>
      </c>
      <c r="N206" s="5" t="str">
        <f t="shared" si="4"/>
        <v>Accenture</v>
      </c>
      <c r="O206" s="5" t="str">
        <f t="shared" si="5"/>
        <v>2 years 2 months in role</v>
      </c>
      <c r="P206" s="5" t="str">
        <f t="shared" si="6"/>
        <v>Campbell</v>
      </c>
      <c r="Q206" s="5" t="str">
        <f t="shared" si="7"/>
        <v>California</v>
      </c>
      <c r="R206" s="5" t="str">
        <f t="shared" si="8"/>
        <v>United States</v>
      </c>
    </row>
    <row r="207">
      <c r="A207" s="8" t="s">
        <v>5168</v>
      </c>
      <c r="B207" s="10" t="s">
        <v>5169</v>
      </c>
      <c r="C207" s="10" t="s">
        <v>5170</v>
      </c>
      <c r="D207" s="10"/>
      <c r="E207" s="10" t="s">
        <v>4366</v>
      </c>
      <c r="F207" s="10" t="s">
        <v>228</v>
      </c>
      <c r="G207" s="11" t="s">
        <v>4643</v>
      </c>
      <c r="H207" s="11" t="s">
        <v>4644</v>
      </c>
      <c r="I207" s="11" t="s">
        <v>4600</v>
      </c>
      <c r="J207" s="9" t="str">
        <f>IFERROR(__xludf.DUMMYFUNCTION("""COMPUTED_VALUE"""),"https://www.google.com/search?newwindow=1&amp;ei=2MT0XrvGGM-vytMP1OyDgAY&amp;q=site%3Alinkedin.com+Emma+Pilkington+Student+Recruiter+and+Advisor")</f>
        <v>https://www.google.com/search?newwindow=1&amp;ei=2MT0XrvGGM-vytMP1OyDgAY&amp;q=site%3Alinkedin.com+Emma+Pilkington+Student+Recruiter+and+Advisor</v>
      </c>
      <c r="K207" s="5" t="str">
        <f t="shared" si="1"/>
        <v>Emma Pilkington</v>
      </c>
      <c r="L207" s="5" t="str">
        <f t="shared" si="2"/>
        <v>Student Recruiter and Advisor</v>
      </c>
      <c r="M207" s="5" t="str">
        <f t="shared" si="3"/>
        <v/>
      </c>
      <c r="N207" s="5" t="str">
        <f t="shared" si="4"/>
        <v>University of Alberta</v>
      </c>
      <c r="O207" s="5" t="str">
        <f t="shared" si="5"/>
        <v>2 months in role and company</v>
      </c>
      <c r="P207" s="5" t="str">
        <f t="shared" si="6"/>
        <v>Camrose</v>
      </c>
      <c r="Q207" s="5" t="str">
        <f t="shared" si="7"/>
        <v>Alberta</v>
      </c>
      <c r="R207" s="5" t="str">
        <f t="shared" si="8"/>
        <v>Canada</v>
      </c>
    </row>
    <row r="208">
      <c r="A208" s="8" t="s">
        <v>5166</v>
      </c>
      <c r="B208" s="12" t="s">
        <v>5167</v>
      </c>
      <c r="C208" s="10" t="s">
        <v>25</v>
      </c>
      <c r="D208" s="10"/>
      <c r="E208" s="10" t="s">
        <v>4701</v>
      </c>
      <c r="F208" s="10" t="s">
        <v>144</v>
      </c>
      <c r="G208" s="11" t="s">
        <v>4643</v>
      </c>
      <c r="H208" s="11" t="s">
        <v>4644</v>
      </c>
      <c r="I208" s="11" t="s">
        <v>4600</v>
      </c>
      <c r="J208" s="9" t="str">
        <f>IFERROR(__xludf.DUMMYFUNCTION("""COMPUTED_VALUE"""),"https://www.google.com/search?newwindow=1&amp;ei=2MT0XrvGGM-vytMP1OyDgAY&amp;q=site%3Alinkedin.com+Sean+Lynott,+MBA,+CDR+Senior+Campus+Recruiter")</f>
        <v>https://www.google.com/search?newwindow=1&amp;ei=2MT0XrvGGM-vytMP1OyDgAY&amp;q=site%3Alinkedin.com+Sean+Lynott,+MBA,+CDR+Senior+Campus+Recruiter</v>
      </c>
      <c r="K208" s="5" t="str">
        <f t="shared" si="1"/>
        <v>Sean Lynott, MBA, CDR</v>
      </c>
      <c r="L208" s="5" t="str">
        <f t="shared" si="2"/>
        <v>Senior Campus Recruiter</v>
      </c>
      <c r="M208" s="5" t="str">
        <f t="shared" si="3"/>
        <v/>
      </c>
      <c r="N208" s="5" t="str">
        <f t="shared" si="4"/>
        <v>T-Mobile</v>
      </c>
      <c r="O208" s="5" t="str">
        <f t="shared" si="5"/>
        <v>9 months in role</v>
      </c>
      <c r="P208" s="5" t="str">
        <f t="shared" si="6"/>
        <v>Toronto</v>
      </c>
      <c r="Q208" s="5" t="str">
        <f t="shared" si="7"/>
        <v>Ontario</v>
      </c>
      <c r="R208" s="5" t="str">
        <f t="shared" si="8"/>
        <v>Canada</v>
      </c>
    </row>
    <row r="209">
      <c r="A209" s="8" t="s">
        <v>5198</v>
      </c>
      <c r="B209" s="12" t="s">
        <v>5199</v>
      </c>
      <c r="C209" s="10" t="s">
        <v>5200</v>
      </c>
      <c r="D209" s="10"/>
      <c r="E209" s="10" t="s">
        <v>5201</v>
      </c>
      <c r="F209" s="10" t="s">
        <v>125</v>
      </c>
      <c r="G209" s="11" t="s">
        <v>4643</v>
      </c>
      <c r="H209" s="11" t="s">
        <v>4644</v>
      </c>
      <c r="I209" s="11" t="s">
        <v>4600</v>
      </c>
      <c r="J209" s="9" t="str">
        <f>IFERROR(__xludf.DUMMYFUNCTION("""COMPUTED_VALUE"""),"https://www.google.com/search?newwindow=1&amp;ei=2MT0XrvGGM-vytMP1OyDgAY&amp;q=site%3Alinkedin.com+Saliha+Ahmadi+Campus+Recruiter")</f>
        <v>https://www.google.com/search?newwindow=1&amp;ei=2MT0XrvGGM-vytMP1OyDgAY&amp;q=site%3Alinkedin.com+Saliha+Ahmadi+Campus+Recruiter</v>
      </c>
      <c r="K209" s="5" t="str">
        <f t="shared" si="1"/>
        <v>Saliha Ahmadi</v>
      </c>
      <c r="L209" s="5" t="str">
        <f t="shared" si="2"/>
        <v>Campus Recruiter</v>
      </c>
      <c r="M209" s="5" t="str">
        <f t="shared" si="3"/>
        <v/>
      </c>
      <c r="N209" s="5" t="str">
        <f t="shared" si="4"/>
        <v>Rio Tinto</v>
      </c>
      <c r="O209" s="5" t="str">
        <f t="shared" si="5"/>
        <v>2 years 6 months in role and company</v>
      </c>
      <c r="P209" s="5" t="str">
        <f t="shared" si="6"/>
        <v>Toronto</v>
      </c>
      <c r="Q209" s="5" t="str">
        <f t="shared" si="7"/>
        <v>Ontario</v>
      </c>
      <c r="R209" s="5" t="str">
        <f t="shared" si="8"/>
        <v>Canada</v>
      </c>
    </row>
    <row r="210">
      <c r="A210" s="8" t="s">
        <v>5175</v>
      </c>
      <c r="B210" s="10" t="s">
        <v>5176</v>
      </c>
      <c r="C210" s="10" t="s">
        <v>5177</v>
      </c>
      <c r="D210" s="10"/>
      <c r="E210" s="10" t="s">
        <v>4366</v>
      </c>
      <c r="F210" s="10" t="s">
        <v>228</v>
      </c>
      <c r="G210" s="11" t="s">
        <v>4643</v>
      </c>
      <c r="H210" s="11" t="s">
        <v>4644</v>
      </c>
      <c r="I210" s="11" t="s">
        <v>4600</v>
      </c>
      <c r="J210" s="9" t="str">
        <f>IFERROR(__xludf.DUMMYFUNCTION("""COMPUTED_VALUE"""),"https://www.google.com/search?newwindow=1&amp;ei=2MT0XrvGGM-vytMP1OyDgAY&amp;q=site%3Alinkedin.com+Robyn+Macdonald,+CHRP+Corporate+Recruiter,+University+Relations")</f>
        <v>https://www.google.com/search?newwindow=1&amp;ei=2MT0XrvGGM-vytMP1OyDgAY&amp;q=site%3Alinkedin.com+Robyn+Macdonald,+CHRP+Corporate+Recruiter,+University+Relations</v>
      </c>
      <c r="K210" s="5" t="str">
        <f t="shared" si="1"/>
        <v>Robyn Macdonald, CHRP</v>
      </c>
      <c r="L210" s="5" t="str">
        <f t="shared" si="2"/>
        <v>Corporate Recruiter, University Relations</v>
      </c>
      <c r="M210" s="5" t="str">
        <f t="shared" si="3"/>
        <v/>
      </c>
      <c r="N210" s="5" t="str">
        <f t="shared" si="4"/>
        <v>Kinaxis</v>
      </c>
      <c r="O210" s="5" t="str">
        <f t="shared" si="5"/>
        <v>1 year 4 months in role and company</v>
      </c>
      <c r="P210" s="5" t="str">
        <f t="shared" si="6"/>
        <v>Toronto</v>
      </c>
      <c r="Q210" s="5" t="str">
        <f t="shared" si="7"/>
        <v>Ontario</v>
      </c>
      <c r="R210" s="5" t="str">
        <f t="shared" si="8"/>
        <v>Canada</v>
      </c>
    </row>
    <row r="211">
      <c r="A211" s="8" t="s">
        <v>5171</v>
      </c>
      <c r="B211" s="10" t="s">
        <v>5172</v>
      </c>
      <c r="C211" s="10" t="s">
        <v>5173</v>
      </c>
      <c r="D211" s="10"/>
      <c r="E211" s="10" t="s">
        <v>5174</v>
      </c>
      <c r="F211" s="10" t="s">
        <v>233</v>
      </c>
      <c r="G211" s="11" t="s">
        <v>4643</v>
      </c>
      <c r="H211" s="11" t="s">
        <v>4644</v>
      </c>
      <c r="I211" s="11" t="s">
        <v>4600</v>
      </c>
      <c r="J211" s="9" t="str">
        <f>IFERROR(__xludf.DUMMYFUNCTION("""COMPUTED_VALUE"""),"https://www.google.com/search?newwindow=1&amp;ei=2MT0XrvGGM-vytMP1OyDgAY&amp;q=site%3Alinkedin.com+Sandra+Abdelmaseih+Associate+University+Relations+Recruiter")</f>
        <v>https://www.google.com/search?newwindow=1&amp;ei=2MT0XrvGGM-vytMP1OyDgAY&amp;q=site%3Alinkedin.com+Sandra+Abdelmaseih+Associate+University+Relations+Recruiter</v>
      </c>
      <c r="K211" s="5" t="str">
        <f t="shared" si="1"/>
        <v>Sandra Abdelmaseih</v>
      </c>
      <c r="L211" s="5" t="str">
        <f t="shared" si="2"/>
        <v>Associate University Relations Recruiter</v>
      </c>
      <c r="M211" s="5" t="str">
        <f t="shared" si="3"/>
        <v/>
      </c>
      <c r="N211" s="5" t="str">
        <f t="shared" si="4"/>
        <v>Zynga</v>
      </c>
      <c r="O211" s="5" t="str">
        <f t="shared" si="5"/>
        <v>6 months in role</v>
      </c>
      <c r="P211" s="5" t="str">
        <f t="shared" si="6"/>
        <v>Toronto</v>
      </c>
      <c r="Q211" s="5" t="str">
        <f t="shared" si="7"/>
        <v>Ontario</v>
      </c>
      <c r="R211" s="5" t="str">
        <f t="shared" si="8"/>
        <v>Canada</v>
      </c>
    </row>
    <row r="212">
      <c r="A212" s="8" t="s">
        <v>5202</v>
      </c>
      <c r="B212" s="10" t="s">
        <v>5203</v>
      </c>
      <c r="C212" s="10" t="s">
        <v>5204</v>
      </c>
      <c r="D212" s="10"/>
      <c r="E212" s="10" t="s">
        <v>5205</v>
      </c>
      <c r="F212" s="10" t="s">
        <v>441</v>
      </c>
      <c r="G212" s="11" t="s">
        <v>4643</v>
      </c>
      <c r="H212" s="11" t="s">
        <v>4644</v>
      </c>
      <c r="I212" s="11" t="s">
        <v>4600</v>
      </c>
      <c r="J212" s="9" t="str">
        <f>IFERROR(__xludf.DUMMYFUNCTION("""COMPUTED_VALUE"""),"https://www.google.com/search?newwindow=1&amp;ei=2MT0XrvGGM-vytMP1OyDgAY&amp;q=site%3Alinkedin.com+Daniel+Booth+(pronouns+-+he,+him)+National+Campus+Recruiting+Lead")</f>
        <v>https://www.google.com/search?newwindow=1&amp;ei=2MT0XrvGGM-vytMP1OyDgAY&amp;q=site%3Alinkedin.com+Daniel+Booth+(pronouns+-+he,+him)+National+Campus+Recruiting+Lead</v>
      </c>
      <c r="K212" s="5" t="str">
        <f t="shared" si="1"/>
        <v>Daniel Booth (pronouns - he, him)</v>
      </c>
      <c r="L212" s="5" t="str">
        <f t="shared" si="2"/>
        <v>National Campus Recruiting Lead</v>
      </c>
      <c r="M212" s="5" t="str">
        <f t="shared" si="3"/>
        <v/>
      </c>
      <c r="N212" s="5" t="str">
        <f t="shared" si="4"/>
        <v>RSM Canada</v>
      </c>
      <c r="O212" s="5" t="str">
        <f t="shared" si="5"/>
        <v>8 months in role and company</v>
      </c>
      <c r="P212" s="5" t="str">
        <f t="shared" si="6"/>
        <v>Toronto</v>
      </c>
      <c r="Q212" s="5" t="str">
        <f t="shared" si="7"/>
        <v>Ontario</v>
      </c>
      <c r="R212" s="5" t="str">
        <f t="shared" si="8"/>
        <v>Canada</v>
      </c>
    </row>
    <row r="213">
      <c r="A213" s="8" t="s">
        <v>5206</v>
      </c>
      <c r="B213" s="10" t="s">
        <v>5207</v>
      </c>
      <c r="C213" s="10" t="s">
        <v>5208</v>
      </c>
      <c r="D213" s="10"/>
      <c r="E213" s="10" t="s">
        <v>5209</v>
      </c>
      <c r="F213" s="10" t="s">
        <v>1089</v>
      </c>
      <c r="G213" s="11" t="s">
        <v>4643</v>
      </c>
      <c r="H213" s="11" t="s">
        <v>4644</v>
      </c>
      <c r="I213" s="11" t="s">
        <v>4600</v>
      </c>
      <c r="J213" s="9" t="str">
        <f>IFERROR(__xludf.DUMMYFUNCTION("""COMPUTED_VALUE"""),"https://www.google.com/search?newwindow=1&amp;ei=2MT0XrvGGM-vytMP1OyDgAY&amp;q=site%3Alinkedin.com+Pavit+S.+Arora+Campus+Recruiting+Specialist")</f>
        <v>https://www.google.com/search?newwindow=1&amp;ei=2MT0XrvGGM-vytMP1OyDgAY&amp;q=site%3Alinkedin.com+Pavit+S.+Arora+Campus+Recruiting+Specialist</v>
      </c>
      <c r="K213" s="5" t="str">
        <f t="shared" si="1"/>
        <v>Pavit S. Arora</v>
      </c>
      <c r="L213" s="5" t="str">
        <f t="shared" si="2"/>
        <v>Campus Recruiting Specialist</v>
      </c>
      <c r="M213" s="5" t="str">
        <f t="shared" si="3"/>
        <v/>
      </c>
      <c r="N213" s="5" t="str">
        <f t="shared" si="4"/>
        <v>EY</v>
      </c>
      <c r="O213" s="5" t="str">
        <f t="shared" si="5"/>
        <v>2 months in role and company</v>
      </c>
      <c r="P213" s="5" t="str">
        <f t="shared" si="6"/>
        <v>Toronto</v>
      </c>
      <c r="Q213" s="5" t="str">
        <f t="shared" si="7"/>
        <v>Ontario</v>
      </c>
      <c r="R213" s="5" t="str">
        <f t="shared" si="8"/>
        <v>Canada</v>
      </c>
    </row>
    <row r="214">
      <c r="A214" s="8" t="s">
        <v>5178</v>
      </c>
      <c r="B214" s="12" t="s">
        <v>5179</v>
      </c>
      <c r="C214" s="10" t="s">
        <v>5180</v>
      </c>
      <c r="D214" s="10"/>
      <c r="E214" s="10" t="s">
        <v>5181</v>
      </c>
      <c r="F214" s="10" t="s">
        <v>512</v>
      </c>
      <c r="G214" s="11" t="s">
        <v>4643</v>
      </c>
      <c r="H214" s="11" t="s">
        <v>4644</v>
      </c>
      <c r="I214" s="11" t="s">
        <v>4600</v>
      </c>
      <c r="J214" s="9" t="str">
        <f>IFERROR(__xludf.DUMMYFUNCTION("""COMPUTED_VALUE"""),"https://www.google.com/search?newwindow=1&amp;ei=2MT0XrvGGM-vytMP1OyDgAY&amp;q=site%3Alinkedin.com+Scott+Lee+Associate+International+Student+Advisor/Recruiter")</f>
        <v>https://www.google.com/search?newwindow=1&amp;ei=2MT0XrvGGM-vytMP1OyDgAY&amp;q=site%3Alinkedin.com+Scott+Lee+Associate+International+Student+Advisor/Recruiter</v>
      </c>
      <c r="K214" s="5" t="str">
        <f t="shared" si="1"/>
        <v>Scott Lee</v>
      </c>
      <c r="L214" s="5" t="str">
        <f t="shared" si="2"/>
        <v>Associate International Student Advisor/Recruiter</v>
      </c>
      <c r="M214" s="5" t="str">
        <f t="shared" si="3"/>
        <v/>
      </c>
      <c r="N214" s="5" t="str">
        <f t="shared" si="4"/>
        <v>The University of British Columbia</v>
      </c>
      <c r="O214" s="5" t="str">
        <f t="shared" si="5"/>
        <v>1 year 9 months in role</v>
      </c>
      <c r="P214" s="5" t="str">
        <f t="shared" si="6"/>
        <v>Toronto</v>
      </c>
      <c r="Q214" s="5" t="str">
        <f t="shared" si="7"/>
        <v>Ontario</v>
      </c>
      <c r="R214" s="5" t="str">
        <f t="shared" si="8"/>
        <v>Canada</v>
      </c>
    </row>
    <row r="215">
      <c r="A215" s="8" t="s">
        <v>5210</v>
      </c>
      <c r="B215" s="12" t="s">
        <v>5211</v>
      </c>
      <c r="C215" s="10" t="s">
        <v>5212</v>
      </c>
      <c r="D215" s="10"/>
      <c r="E215" s="10" t="s">
        <v>5213</v>
      </c>
      <c r="F215" s="10" t="s">
        <v>182</v>
      </c>
      <c r="G215" s="11" t="s">
        <v>4643</v>
      </c>
      <c r="H215" s="11" t="s">
        <v>4644</v>
      </c>
      <c r="I215" s="11" t="s">
        <v>4600</v>
      </c>
      <c r="J215" s="9" t="str">
        <f>IFERROR(__xludf.DUMMYFUNCTION("""COMPUTED_VALUE"""),"https://www.google.com/search?newwindow=1&amp;ei=2MT0XrvGGM-vytMP1OyDgAY&amp;q=site%3Alinkedin.com+Andy+Chung+Fat+Recruitment+Intern+(University+Collaborations)")</f>
        <v>https://www.google.com/search?newwindow=1&amp;ei=2MT0XrvGGM-vytMP1OyDgAY&amp;q=site%3Alinkedin.com+Andy+Chung+Fat+Recruitment+Intern+(University+Collaborations)</v>
      </c>
      <c r="K215" s="5" t="str">
        <f t="shared" si="1"/>
        <v>Andy Chung Fat</v>
      </c>
      <c r="L215" s="5" t="str">
        <f t="shared" si="2"/>
        <v>Recruitment Intern (University Collaborations)</v>
      </c>
      <c r="M215" s="5" t="str">
        <f t="shared" si="3"/>
        <v/>
      </c>
      <c r="N215" s="5" t="str">
        <f t="shared" si="4"/>
        <v>BOMBARDIER</v>
      </c>
      <c r="O215" s="5" t="str">
        <f t="shared" si="5"/>
        <v>1 year 3 months in role and company</v>
      </c>
      <c r="P215" s="5" t="str">
        <f t="shared" si="6"/>
        <v>Toronto</v>
      </c>
      <c r="Q215" s="5" t="str">
        <f t="shared" si="7"/>
        <v>Ontario</v>
      </c>
      <c r="R215" s="5" t="str">
        <f t="shared" si="8"/>
        <v>Canada</v>
      </c>
    </row>
    <row r="216">
      <c r="A216" s="8" t="s">
        <v>5182</v>
      </c>
      <c r="B216" s="12" t="s">
        <v>5183</v>
      </c>
      <c r="C216" s="10" t="s">
        <v>5184</v>
      </c>
      <c r="D216" s="10"/>
      <c r="E216" s="10" t="s">
        <v>4914</v>
      </c>
      <c r="F216" s="10" t="s">
        <v>4799</v>
      </c>
      <c r="G216" s="11" t="s">
        <v>4643</v>
      </c>
      <c r="H216" s="11" t="s">
        <v>4644</v>
      </c>
      <c r="I216" s="11" t="s">
        <v>4600</v>
      </c>
      <c r="J216" s="9" t="str">
        <f>IFERROR(__xludf.DUMMYFUNCTION("""COMPUTED_VALUE"""),"https://www.google.com/search?newwindow=1&amp;ei=2MT0XrvGGM-vytMP1OyDgAY&amp;q=site%3Alinkedin.com+Deo+Mancini+University+Relations+Recruiter")</f>
        <v>https://www.google.com/search?newwindow=1&amp;ei=2MT0XrvGGM-vytMP1OyDgAY&amp;q=site%3Alinkedin.com+Deo+Mancini+University+Relations+Recruiter</v>
      </c>
      <c r="K216" s="5" t="str">
        <f t="shared" si="1"/>
        <v>Deo Mancini</v>
      </c>
      <c r="L216" s="5" t="str">
        <f t="shared" si="2"/>
        <v>University Relations Recruiter</v>
      </c>
      <c r="M216" s="5" t="str">
        <f t="shared" si="3"/>
        <v/>
      </c>
      <c r="N216" s="5" t="str">
        <f t="shared" si="4"/>
        <v>Ericsson</v>
      </c>
      <c r="O216" s="5" t="str">
        <f t="shared" si="5"/>
        <v>8 months in role and company</v>
      </c>
      <c r="P216" s="5" t="str">
        <f t="shared" si="6"/>
        <v>Toronto</v>
      </c>
      <c r="Q216" s="5" t="str">
        <f t="shared" si="7"/>
        <v>Ontario</v>
      </c>
      <c r="R216" s="5" t="str">
        <f t="shared" si="8"/>
        <v>Canada</v>
      </c>
    </row>
    <row r="217">
      <c r="A217" s="8" t="s">
        <v>5214</v>
      </c>
      <c r="B217" s="10" t="s">
        <v>5215</v>
      </c>
      <c r="C217" s="10" t="s">
        <v>5216</v>
      </c>
      <c r="D217" s="10"/>
      <c r="E217" s="10" t="s">
        <v>5217</v>
      </c>
      <c r="F217" s="10" t="s">
        <v>651</v>
      </c>
      <c r="G217" s="11" t="s">
        <v>4643</v>
      </c>
      <c r="H217" s="11" t="s">
        <v>4644</v>
      </c>
      <c r="I217" s="11" t="s">
        <v>4600</v>
      </c>
      <c r="J217" s="9" t="str">
        <f>IFERROR(__xludf.DUMMYFUNCTION("""COMPUTED_VALUE"""),"https://www.google.com/search?newwindow=1&amp;ei=2MT0XrvGGM-vytMP1OyDgAY&amp;q=site%3Alinkedin.com+Jessica+Nguyen+Assistant+Student+Recruiter")</f>
        <v>https://www.google.com/search?newwindow=1&amp;ei=2MT0XrvGGM-vytMP1OyDgAY&amp;q=site%3Alinkedin.com+Jessica+Nguyen+Assistant+Student+Recruiter</v>
      </c>
      <c r="K217" s="5" t="str">
        <f t="shared" si="1"/>
        <v>Jessica Nguyen</v>
      </c>
      <c r="L217" s="5" t="str">
        <f t="shared" si="2"/>
        <v>Assistant Student Recruiter</v>
      </c>
      <c r="M217" s="5" t="str">
        <f t="shared" si="3"/>
        <v/>
      </c>
      <c r="N217" s="5" t="str">
        <f t="shared" si="4"/>
        <v>Ontario Tech University</v>
      </c>
      <c r="O217" s="5" t="str">
        <f t="shared" si="5"/>
        <v>3 months in role and company</v>
      </c>
      <c r="P217" s="5" t="str">
        <f t="shared" si="6"/>
        <v>Toronto</v>
      </c>
      <c r="Q217" s="5" t="str">
        <f t="shared" si="7"/>
        <v>Ontario</v>
      </c>
      <c r="R217" s="5" t="str">
        <f t="shared" si="8"/>
        <v>Canada</v>
      </c>
    </row>
    <row r="218">
      <c r="A218" s="8" t="s">
        <v>5185</v>
      </c>
      <c r="B218" s="10" t="s">
        <v>5186</v>
      </c>
      <c r="C218" s="10" t="s">
        <v>5187</v>
      </c>
      <c r="D218" s="10"/>
      <c r="E218" s="10" t="s">
        <v>2839</v>
      </c>
      <c r="F218" s="10" t="s">
        <v>1950</v>
      </c>
      <c r="G218" s="11" t="s">
        <v>4643</v>
      </c>
      <c r="H218" s="11" t="s">
        <v>4644</v>
      </c>
      <c r="I218" s="11" t="s">
        <v>4600</v>
      </c>
      <c r="J218" s="9" t="str">
        <f>IFERROR(__xludf.DUMMYFUNCTION("""COMPUTED_VALUE"""),"https://www.google.com/search?newwindow=1&amp;ei=2MT0XrvGGM-vytMP1OyDgAY&amp;q=site%3Alinkedin.com+Ana+Moaz+Campus+Recruiting+Manager+-+Commercial+&amp;+Canadian+Banking+(Secondment)")</f>
        <v>https://www.google.com/search?newwindow=1&amp;ei=2MT0XrvGGM-vytMP1OyDgAY&amp;q=site%3Alinkedin.com+Ana+Moaz+Campus+Recruiting+Manager+-+Commercial+&amp;+Canadian+Banking+(Secondment)</v>
      </c>
      <c r="K218" s="5" t="str">
        <f t="shared" si="1"/>
        <v>Ana Moaz</v>
      </c>
      <c r="L218" s="5" t="str">
        <f t="shared" si="2"/>
        <v>Campus Recruiting Manager - Commercial &amp; Canadian Banking (Secondment)</v>
      </c>
      <c r="M218" s="5" t="str">
        <f t="shared" si="3"/>
        <v/>
      </c>
      <c r="N218" s="5" t="str">
        <f t="shared" si="4"/>
        <v>Scotiabank</v>
      </c>
      <c r="O218" s="5" t="str">
        <f t="shared" si="5"/>
        <v>2 months in role</v>
      </c>
      <c r="P218" s="5" t="str">
        <f t="shared" si="6"/>
        <v>Toronto</v>
      </c>
      <c r="Q218" s="5" t="str">
        <f t="shared" si="7"/>
        <v>Ontario</v>
      </c>
      <c r="R218" s="5" t="str">
        <f t="shared" si="8"/>
        <v>Canada</v>
      </c>
    </row>
    <row r="219">
      <c r="A219" s="8" t="s">
        <v>5218</v>
      </c>
      <c r="B219" s="12" t="s">
        <v>5219</v>
      </c>
      <c r="C219" s="10" t="s">
        <v>5220</v>
      </c>
      <c r="D219" s="10"/>
      <c r="E219" s="10" t="s">
        <v>5221</v>
      </c>
      <c r="F219" s="10" t="s">
        <v>125</v>
      </c>
      <c r="G219" s="11" t="s">
        <v>4643</v>
      </c>
      <c r="H219" s="11" t="s">
        <v>4644</v>
      </c>
      <c r="I219" s="11" t="s">
        <v>4600</v>
      </c>
      <c r="J219" s="9" t="str">
        <f>IFERROR(__xludf.DUMMYFUNCTION("""COMPUTED_VALUE"""),"https://www.google.com/search?newwindow=1&amp;ei=2MT0XrvGGM-vytMP1OyDgAY&amp;q=site%3Alinkedin.com+Arina+Levko+Sr.+Manager,+Canadian+University+Recruitment")</f>
        <v>https://www.google.com/search?newwindow=1&amp;ei=2MT0XrvGGM-vytMP1OyDgAY&amp;q=site%3Alinkedin.com+Arina+Levko+Sr.+Manager,+Canadian+University+Recruitment</v>
      </c>
      <c r="K219" s="5" t="str">
        <f t="shared" si="1"/>
        <v>Arina Levko</v>
      </c>
      <c r="L219" s="5" t="str">
        <f t="shared" si="2"/>
        <v>Sr. Manager, Canadian University Recruitment</v>
      </c>
      <c r="M219" s="5" t="str">
        <f t="shared" si="3"/>
        <v/>
      </c>
      <c r="N219" s="5" t="str">
        <f t="shared" si="4"/>
        <v>Scotiabank</v>
      </c>
      <c r="O219" s="5" t="str">
        <f t="shared" si="5"/>
        <v>10 months in role</v>
      </c>
      <c r="P219" s="5" t="str">
        <f t="shared" si="6"/>
        <v>Toronto</v>
      </c>
      <c r="Q219" s="5" t="str">
        <f t="shared" si="7"/>
        <v>Ontario</v>
      </c>
      <c r="R219" s="5" t="str">
        <f t="shared" si="8"/>
        <v>Canada</v>
      </c>
    </row>
    <row r="220">
      <c r="A220" s="8" t="s">
        <v>5222</v>
      </c>
      <c r="B220" s="12" t="s">
        <v>5223</v>
      </c>
      <c r="C220" s="10" t="s">
        <v>5224</v>
      </c>
      <c r="D220" s="10"/>
      <c r="E220" s="10" t="s">
        <v>3928</v>
      </c>
      <c r="F220" s="10" t="s">
        <v>886</v>
      </c>
      <c r="G220" s="11" t="s">
        <v>4643</v>
      </c>
      <c r="H220" s="11" t="s">
        <v>4644</v>
      </c>
      <c r="I220" s="11" t="s">
        <v>4600</v>
      </c>
      <c r="J220" s="9" t="str">
        <f>IFERROR(__xludf.DUMMYFUNCTION("""COMPUTED_VALUE"""),"https://www.google.com/search?newwindow=1&amp;ei=2MT0XrvGGM-vytMP1OyDgAY&amp;q=site%3Alinkedin.com+Vince+Watson+Student+Recruiter+-+Advisor")</f>
        <v>https://www.google.com/search?newwindow=1&amp;ei=2MT0XrvGGM-vytMP1OyDgAY&amp;q=site%3Alinkedin.com+Vince+Watson+Student+Recruiter+-+Advisor</v>
      </c>
      <c r="K220" s="5" t="str">
        <f t="shared" si="1"/>
        <v>Vince Watson</v>
      </c>
      <c r="L220" s="5" t="str">
        <f t="shared" si="2"/>
        <v>Student Recruiter - Advisor</v>
      </c>
      <c r="M220" s="5" t="str">
        <f t="shared" si="3"/>
        <v/>
      </c>
      <c r="N220" s="5" t="str">
        <f t="shared" si="4"/>
        <v>Thompson Rivers University</v>
      </c>
      <c r="O220" s="5" t="str">
        <f t="shared" si="5"/>
        <v>1 month in role</v>
      </c>
      <c r="P220" s="5" t="str">
        <f t="shared" si="6"/>
        <v>Toronto</v>
      </c>
      <c r="Q220" s="5" t="str">
        <f t="shared" si="7"/>
        <v>Ontario</v>
      </c>
      <c r="R220" s="5" t="str">
        <f t="shared" si="8"/>
        <v>Canada</v>
      </c>
    </row>
    <row r="221">
      <c r="A221" s="8" t="s">
        <v>5225</v>
      </c>
      <c r="B221" s="10" t="s">
        <v>5226</v>
      </c>
      <c r="C221" s="10" t="s">
        <v>5227</v>
      </c>
      <c r="D221" s="10"/>
      <c r="E221" s="10" t="s">
        <v>5228</v>
      </c>
      <c r="F221" s="10" t="s">
        <v>909</v>
      </c>
      <c r="G221" s="11" t="s">
        <v>4643</v>
      </c>
      <c r="H221" s="11" t="s">
        <v>4644</v>
      </c>
      <c r="I221" s="11" t="s">
        <v>4600</v>
      </c>
      <c r="J221" s="9" t="str">
        <f>IFERROR(__xludf.DUMMYFUNCTION("""COMPUTED_VALUE"""),"https://www.google.com/search?newwindow=1&amp;ei=2MT0XrvGGM-vytMP1OyDgAY&amp;q=site%3Alinkedin.com+Jasleen+Subherwal+Campus+Recruiter,+Strategic+Functions")</f>
        <v>https://www.google.com/search?newwindow=1&amp;ei=2MT0XrvGGM-vytMP1OyDgAY&amp;q=site%3Alinkedin.com+Jasleen+Subherwal+Campus+Recruiter,+Strategic+Functions</v>
      </c>
      <c r="K221" s="5" t="str">
        <f t="shared" si="1"/>
        <v>Jasleen Subherwal</v>
      </c>
      <c r="L221" s="5" t="str">
        <f t="shared" si="2"/>
        <v>Campus Recruiter, Strategic Functions</v>
      </c>
      <c r="M221" s="5" t="str">
        <f t="shared" si="3"/>
        <v/>
      </c>
      <c r="N221" s="5" t="str">
        <f t="shared" si="4"/>
        <v>Scotiabank</v>
      </c>
      <c r="O221" s="5" t="str">
        <f t="shared" si="5"/>
        <v>10 months in role</v>
      </c>
      <c r="P221" s="5" t="str">
        <f t="shared" si="6"/>
        <v>Toronto</v>
      </c>
      <c r="Q221" s="5" t="str">
        <f t="shared" si="7"/>
        <v>Ontario</v>
      </c>
      <c r="R221" s="5" t="str">
        <f t="shared" si="8"/>
        <v>Canada</v>
      </c>
    </row>
    <row r="222">
      <c r="A222" s="8" t="s">
        <v>5188</v>
      </c>
      <c r="B222" s="10" t="s">
        <v>5189</v>
      </c>
      <c r="C222" s="10" t="s">
        <v>480</v>
      </c>
      <c r="D222" s="10"/>
      <c r="E222" s="10" t="s">
        <v>5190</v>
      </c>
      <c r="F222" s="10" t="s">
        <v>441</v>
      </c>
      <c r="G222" s="11" t="s">
        <v>4643</v>
      </c>
      <c r="H222" s="11" t="s">
        <v>4644</v>
      </c>
      <c r="I222" s="11" t="s">
        <v>4600</v>
      </c>
      <c r="J222" s="9" t="str">
        <f>IFERROR(__xludf.DUMMYFUNCTION("""COMPUTED_VALUE"""),"https://www.google.com/search?newwindow=1&amp;ei=2MT0XrvGGM-vytMP1OyDgAY&amp;q=site%3Alinkedin.com+Ana+Curcin+Student+Advisor/Recruiter")</f>
        <v>https://www.google.com/search?newwindow=1&amp;ei=2MT0XrvGGM-vytMP1OyDgAY&amp;q=site%3Alinkedin.com+Ana+Curcin+Student+Advisor/Recruiter</v>
      </c>
      <c r="K222" s="5" t="str">
        <f t="shared" si="1"/>
        <v>Ana Curcin</v>
      </c>
      <c r="L222" s="5" t="str">
        <f t="shared" si="2"/>
        <v>Student Advisor/Recruiter</v>
      </c>
      <c r="M222" s="5" t="str">
        <f t="shared" si="3"/>
        <v/>
      </c>
      <c r="N222" s="5" t="str">
        <f t="shared" si="4"/>
        <v>The University of British Columbia</v>
      </c>
      <c r="O222" s="5" t="str">
        <f t="shared" si="5"/>
        <v>8 years 4 months in role</v>
      </c>
      <c r="P222" s="5" t="str">
        <f t="shared" si="6"/>
        <v>Toronto</v>
      </c>
      <c r="Q222" s="5" t="str">
        <f t="shared" si="7"/>
        <v>Ontario</v>
      </c>
      <c r="R222" s="5" t="str">
        <f t="shared" si="8"/>
        <v>Canada</v>
      </c>
    </row>
    <row r="223">
      <c r="A223" s="8" t="s">
        <v>5229</v>
      </c>
      <c r="B223" s="12" t="s">
        <v>5230</v>
      </c>
      <c r="C223" s="10" t="s">
        <v>5231</v>
      </c>
      <c r="D223" s="10"/>
      <c r="E223" s="10" t="s">
        <v>4930</v>
      </c>
      <c r="F223" s="10" t="s">
        <v>1289</v>
      </c>
      <c r="G223" s="11" t="s">
        <v>4643</v>
      </c>
      <c r="H223" s="11" t="s">
        <v>4644</v>
      </c>
      <c r="I223" s="11" t="s">
        <v>4600</v>
      </c>
      <c r="J223" s="9" t="str">
        <f>IFERROR(__xludf.DUMMYFUNCTION("""COMPUTED_VALUE"""),"https://www.google.com/search?newwindow=1&amp;ei=2MT0XrvGGM-vytMP1OyDgAY&amp;q=site%3Alinkedin.com+Susana+Baez+Associate+Student+Recruiter+&amp;+Advisor")</f>
        <v>https://www.google.com/search?newwindow=1&amp;ei=2MT0XrvGGM-vytMP1OyDgAY&amp;q=site%3Alinkedin.com+Susana+Baez+Associate+Student+Recruiter+&amp;+Advisor</v>
      </c>
      <c r="K223" s="5" t="str">
        <f t="shared" si="1"/>
        <v>Susana Baez</v>
      </c>
      <c r="L223" s="5" t="str">
        <f t="shared" si="2"/>
        <v>Associate Student Recruiter &amp; Advisor</v>
      </c>
      <c r="M223" s="5" t="str">
        <f t="shared" si="3"/>
        <v/>
      </c>
      <c r="N223" s="5" t="str">
        <f t="shared" si="4"/>
        <v>The University of British Columbia</v>
      </c>
      <c r="O223" s="5" t="str">
        <f t="shared" si="5"/>
        <v>1 year 3 months in role and company</v>
      </c>
      <c r="P223" s="5" t="str">
        <f t="shared" si="6"/>
        <v>Toronto</v>
      </c>
      <c r="Q223" s="5" t="str">
        <f t="shared" si="7"/>
        <v>Ontario</v>
      </c>
      <c r="R223" s="5" t="str">
        <f t="shared" si="8"/>
        <v>Canada</v>
      </c>
    </row>
    <row r="224">
      <c r="A224" s="8" t="s">
        <v>5191</v>
      </c>
      <c r="B224" s="12" t="s">
        <v>5192</v>
      </c>
      <c r="C224" s="10" t="s">
        <v>5193</v>
      </c>
      <c r="D224" s="10"/>
      <c r="E224" s="10" t="s">
        <v>5174</v>
      </c>
      <c r="F224" s="10"/>
      <c r="G224" s="11" t="s">
        <v>4643</v>
      </c>
      <c r="H224" s="11" t="s">
        <v>4644</v>
      </c>
      <c r="I224" s="11" t="s">
        <v>4600</v>
      </c>
      <c r="J224" s="9" t="str">
        <f>IFERROR(__xludf.DUMMYFUNCTION("""COMPUTED_VALUE"""),"https://www.google.com/search?newwindow=1&amp;ei=2MT0XrvGGM-vytMP1OyDgAY&amp;q=site%3Alinkedin.com+Dana+Taylor+Student+Recruiter")</f>
        <v>https://www.google.com/search?newwindow=1&amp;ei=2MT0XrvGGM-vytMP1OyDgAY&amp;q=site%3Alinkedin.com+Dana+Taylor+Student+Recruiter</v>
      </c>
      <c r="K224" s="5" t="str">
        <f t="shared" si="1"/>
        <v>Dana Taylor</v>
      </c>
      <c r="L224" s="5" t="str">
        <f t="shared" si="2"/>
        <v>Student Recruiter</v>
      </c>
      <c r="M224" s="5" t="str">
        <f t="shared" si="3"/>
        <v/>
      </c>
      <c r="N224" s="5" t="str">
        <f t="shared" si="4"/>
        <v>Canadian Blood Services</v>
      </c>
      <c r="O224" s="5" t="str">
        <f t="shared" si="5"/>
        <v>4 months in role and company</v>
      </c>
      <c r="P224" s="5" t="str">
        <f t="shared" si="6"/>
        <v>Toronto</v>
      </c>
      <c r="Q224" s="5" t="str">
        <f t="shared" si="7"/>
        <v>Ontario</v>
      </c>
      <c r="R224" s="5" t="str">
        <f t="shared" si="8"/>
        <v>Canada</v>
      </c>
    </row>
    <row r="225">
      <c r="A225" s="8" t="s">
        <v>5194</v>
      </c>
      <c r="B225" s="12" t="s">
        <v>5195</v>
      </c>
      <c r="C225" s="10" t="s">
        <v>5196</v>
      </c>
      <c r="D225" s="12"/>
      <c r="E225" s="12" t="s">
        <v>5197</v>
      </c>
      <c r="F225" s="10"/>
      <c r="G225" s="11" t="s">
        <v>4643</v>
      </c>
      <c r="H225" s="11" t="s">
        <v>4644</v>
      </c>
      <c r="I225" s="11" t="s">
        <v>4600</v>
      </c>
      <c r="J225" s="9" t="str">
        <f>IFERROR(__xludf.DUMMYFUNCTION("""COMPUTED_VALUE"""),"https://www.google.com/search?newwindow=1&amp;ei=2MT0XrvGGM-vytMP1OyDgAY&amp;q=site%3Alinkedin.com+Ozench+Ibrahim+Lead+Executive+Partner,+Campus+Recruiting")</f>
        <v>https://www.google.com/search?newwindow=1&amp;ei=2MT0XrvGGM-vytMP1OyDgAY&amp;q=site%3Alinkedin.com+Ozench+Ibrahim+Lead+Executive+Partner,+Campus+Recruiting</v>
      </c>
      <c r="K225" s="5" t="str">
        <f t="shared" si="1"/>
        <v>Ozench Ibrahim</v>
      </c>
      <c r="L225" s="5" t="str">
        <f t="shared" si="2"/>
        <v>Lead Executive Partner, Campus Recruiting</v>
      </c>
      <c r="M225" s="5" t="str">
        <f t="shared" si="3"/>
        <v/>
      </c>
      <c r="N225" s="5" t="str">
        <f t="shared" si="4"/>
        <v>KPMG Canada</v>
      </c>
      <c r="O225" s="5" t="str">
        <f t="shared" si="5"/>
        <v>8 years 10 months in role and company</v>
      </c>
      <c r="P225" s="5" t="str">
        <f t="shared" si="6"/>
        <v>Toronto</v>
      </c>
      <c r="Q225" s="5" t="str">
        <f t="shared" si="7"/>
        <v>Ontario</v>
      </c>
      <c r="R225" s="5" t="str">
        <f t="shared" si="8"/>
        <v>Canada</v>
      </c>
    </row>
    <row r="226">
      <c r="A226" s="8" t="s">
        <v>5232</v>
      </c>
      <c r="B226" s="10" t="s">
        <v>5233</v>
      </c>
      <c r="C226" s="10" t="s">
        <v>5234</v>
      </c>
      <c r="D226" s="10"/>
      <c r="E226" s="10" t="s">
        <v>5235</v>
      </c>
      <c r="F226" s="10" t="s">
        <v>3110</v>
      </c>
      <c r="G226" s="11" t="s">
        <v>4643</v>
      </c>
      <c r="H226" s="11" t="s">
        <v>4644</v>
      </c>
      <c r="I226" s="11" t="s">
        <v>4600</v>
      </c>
      <c r="J226" s="9" t="str">
        <f>IFERROR(__xludf.DUMMYFUNCTION("""COMPUTED_VALUE"""),"https://www.google.com/search?newwindow=1&amp;ei=2MT0XrvGGM-vytMP1OyDgAY&amp;q=site%3Alinkedin.com+Bojan+Pajic+MBA+Student+Consultant")</f>
        <v>https://www.google.com/search?newwindow=1&amp;ei=2MT0XrvGGM-vytMP1OyDgAY&amp;q=site%3Alinkedin.com+Bojan+Pajic+MBA+Student+Consultant</v>
      </c>
      <c r="K226" s="5" t="str">
        <f t="shared" si="1"/>
        <v>Bojan Pajic</v>
      </c>
      <c r="L226" s="5" t="str">
        <f t="shared" si="2"/>
        <v>MBA Student Consultant</v>
      </c>
      <c r="M226" s="5" t="str">
        <f t="shared" si="3"/>
        <v>MBA</v>
      </c>
      <c r="N226" s="5" t="str">
        <f t="shared" si="4"/>
        <v>Detroit Economic Growth Corporation</v>
      </c>
      <c r="O226" s="5" t="str">
        <f t="shared" si="5"/>
        <v>1 year 10 months in role and company</v>
      </c>
      <c r="P226" s="5" t="str">
        <f t="shared" si="6"/>
        <v>Toronto</v>
      </c>
      <c r="Q226" s="5" t="str">
        <f t="shared" si="7"/>
        <v>Ontario</v>
      </c>
      <c r="R226" s="5" t="str">
        <f t="shared" si="8"/>
        <v>Canada</v>
      </c>
    </row>
    <row r="227">
      <c r="A227" s="8" t="s">
        <v>5236</v>
      </c>
      <c r="B227" s="10" t="s">
        <v>5237</v>
      </c>
      <c r="C227" s="10" t="s">
        <v>5238</v>
      </c>
      <c r="D227" s="10"/>
      <c r="E227" s="10" t="s">
        <v>5239</v>
      </c>
      <c r="F227" s="10" t="s">
        <v>3686</v>
      </c>
      <c r="G227" s="11" t="s">
        <v>4643</v>
      </c>
      <c r="H227" s="11" t="s">
        <v>4644</v>
      </c>
      <c r="I227" s="11" t="s">
        <v>4600</v>
      </c>
      <c r="J227" s="9" t="str">
        <f>IFERROR(__xludf.DUMMYFUNCTION("""COMPUTED_VALUE"""),"https://www.google.com/search?newwindow=1&amp;ei=2MT0XrvGGM-vytMP1OyDgAY&amp;q=site%3Alinkedin.com+Shweta+Gaikar+University+Recruitment")</f>
        <v>https://www.google.com/search?newwindow=1&amp;ei=2MT0XrvGGM-vytMP1OyDgAY&amp;q=site%3Alinkedin.com+Shweta+Gaikar+University+Recruitment</v>
      </c>
      <c r="K227" s="5" t="str">
        <f t="shared" si="1"/>
        <v>Shweta Gaikar</v>
      </c>
      <c r="L227" s="5" t="str">
        <f t="shared" si="2"/>
        <v>University Recruitment</v>
      </c>
      <c r="M227" s="5" t="str">
        <f t="shared" si="3"/>
        <v/>
      </c>
      <c r="N227" s="5" t="str">
        <f t="shared" si="4"/>
        <v>Sanofi</v>
      </c>
      <c r="O227" s="5" t="str">
        <f t="shared" si="5"/>
        <v>1 year 3 months in role and company</v>
      </c>
      <c r="P227" s="5" t="str">
        <f t="shared" si="6"/>
        <v>Toronto</v>
      </c>
      <c r="Q227" s="5" t="str">
        <f t="shared" si="7"/>
        <v>Ontario</v>
      </c>
      <c r="R227" s="5" t="str">
        <f t="shared" si="8"/>
        <v>Canada</v>
      </c>
    </row>
    <row r="228">
      <c r="A228" s="8" t="s">
        <v>5240</v>
      </c>
      <c r="B228" s="10" t="s">
        <v>5241</v>
      </c>
      <c r="C228" s="10" t="s">
        <v>5242</v>
      </c>
      <c r="D228" s="12"/>
      <c r="E228" s="12" t="s">
        <v>5239</v>
      </c>
      <c r="F228" s="10"/>
      <c r="G228" s="11" t="s">
        <v>4643</v>
      </c>
      <c r="H228" s="11" t="s">
        <v>4644</v>
      </c>
      <c r="I228" s="11" t="s">
        <v>4600</v>
      </c>
      <c r="J228" s="9" t="str">
        <f>IFERROR(__xludf.DUMMYFUNCTION("""COMPUTED_VALUE"""),"https://www.google.com/search?newwindow=1&amp;ei=2MT0XrvGGM-vytMP1OyDgAY&amp;q=site%3Alinkedin.com+Jonathan+Tee+Student+Recruiter")</f>
        <v>https://www.google.com/search?newwindow=1&amp;ei=2MT0XrvGGM-vytMP1OyDgAY&amp;q=site%3Alinkedin.com+Jonathan+Tee+Student+Recruiter</v>
      </c>
      <c r="K228" s="5" t="str">
        <f t="shared" si="1"/>
        <v>Jonathan Tee</v>
      </c>
      <c r="L228" s="5" t="str">
        <f t="shared" si="2"/>
        <v>Student Recruiter</v>
      </c>
      <c r="M228" s="5" t="str">
        <f t="shared" si="3"/>
        <v/>
      </c>
      <c r="N228" s="5" t="str">
        <f t="shared" si="4"/>
        <v>Corpus Christi College and St. Mark's College at UBC</v>
      </c>
      <c r="O228" s="5" t="str">
        <f t="shared" si="5"/>
        <v>1 year 5 months in role and company</v>
      </c>
      <c r="P228" s="5" t="str">
        <f t="shared" si="6"/>
        <v>Toronto</v>
      </c>
      <c r="Q228" s="5" t="str">
        <f t="shared" si="7"/>
        <v>Ontario</v>
      </c>
      <c r="R228" s="5" t="str">
        <f t="shared" si="8"/>
        <v>Canada</v>
      </c>
    </row>
    <row r="229">
      <c r="A229" s="8" t="s">
        <v>5243</v>
      </c>
      <c r="B229" s="12" t="s">
        <v>5244</v>
      </c>
      <c r="C229" s="10" t="s">
        <v>5245</v>
      </c>
      <c r="D229" s="12"/>
      <c r="E229" s="12" t="s">
        <v>5239</v>
      </c>
      <c r="F229" s="10"/>
      <c r="G229" s="11" t="s">
        <v>4643</v>
      </c>
      <c r="H229" s="11" t="s">
        <v>4644</v>
      </c>
      <c r="I229" s="11" t="s">
        <v>4600</v>
      </c>
      <c r="J229" s="9" t="str">
        <f>IFERROR(__xludf.DUMMYFUNCTION("""COMPUTED_VALUE"""),"https://www.google.com/search?newwindow=1&amp;ei=2MT0XrvGGM-vytMP1OyDgAY&amp;q=site%3Alinkedin.com+Jessica+Chen+Guide+and+Student+Representative+on+the+University+Recruitment+Committee+at+Columbia")</f>
        <v>https://www.google.com/search?newwindow=1&amp;ei=2MT0XrvGGM-vytMP1OyDgAY&amp;q=site%3Alinkedin.com+Jessica+Chen+Guide+and+Student+Representative+on+the+University+Recruitment+Committee+at+Columbia</v>
      </c>
      <c r="K229" s="5" t="str">
        <f t="shared" si="1"/>
        <v>Jessica Chen</v>
      </c>
      <c r="L229" s="5" t="str">
        <f t="shared" si="2"/>
        <v>Guide and Student Representative on the University Recruitment Committee at Columbia</v>
      </c>
      <c r="M229" s="5" t="str">
        <f t="shared" si="3"/>
        <v/>
      </c>
      <c r="N229" s="5" t="str">
        <f t="shared" si="4"/>
        <v>Columbia University in the City of New York</v>
      </c>
      <c r="O229" s="5" t="str">
        <f t="shared" si="5"/>
        <v>10 months in role and company</v>
      </c>
      <c r="P229" s="5" t="str">
        <f t="shared" si="6"/>
        <v>Toronto</v>
      </c>
      <c r="Q229" s="5" t="str">
        <f t="shared" si="7"/>
        <v>Ontario</v>
      </c>
      <c r="R229" s="5" t="str">
        <f t="shared" si="8"/>
        <v>Canada</v>
      </c>
    </row>
    <row r="230">
      <c r="A230" s="8" t="s">
        <v>5246</v>
      </c>
      <c r="B230" s="10" t="s">
        <v>5247</v>
      </c>
      <c r="C230" s="10" t="s">
        <v>5146</v>
      </c>
      <c r="D230" s="12"/>
      <c r="E230" s="12" t="s">
        <v>5248</v>
      </c>
      <c r="F230" s="10"/>
      <c r="G230" s="11" t="s">
        <v>4643</v>
      </c>
      <c r="H230" s="11" t="s">
        <v>4644</v>
      </c>
      <c r="I230" s="11" t="s">
        <v>4600</v>
      </c>
      <c r="J230" s="9" t="str">
        <f>IFERROR(__xludf.DUMMYFUNCTION("""COMPUTED_VALUE"""),"https://www.google.com/search?newwindow=1&amp;ei=2MT0XrvGGM-vytMP1OyDgAY&amp;q=site%3Alinkedin.com+Nadia+Paul+Student+Recruiter")</f>
        <v>https://www.google.com/search?newwindow=1&amp;ei=2MT0XrvGGM-vytMP1OyDgAY&amp;q=site%3Alinkedin.com+Nadia+Paul+Student+Recruiter</v>
      </c>
      <c r="K230" s="5" t="str">
        <f t="shared" si="1"/>
        <v>Nadia Paul</v>
      </c>
      <c r="L230" s="5" t="str">
        <f t="shared" si="2"/>
        <v>Student Recruiter</v>
      </c>
      <c r="M230" s="5" t="str">
        <f t="shared" si="3"/>
        <v/>
      </c>
      <c r="N230" s="5" t="str">
        <f t="shared" si="4"/>
        <v>The University of Winnipeg</v>
      </c>
      <c r="O230" s="5" t="str">
        <f t="shared" si="5"/>
        <v>4 years 3 months in role and company</v>
      </c>
      <c r="P230" s="5" t="str">
        <f t="shared" si="6"/>
        <v>Toronto</v>
      </c>
      <c r="Q230" s="5" t="str">
        <f t="shared" si="7"/>
        <v>Ontario</v>
      </c>
      <c r="R230" s="5" t="str">
        <f t="shared" si="8"/>
        <v>Canada</v>
      </c>
    </row>
    <row r="231">
      <c r="A231" s="8" t="s">
        <v>5249</v>
      </c>
      <c r="B231" s="10" t="s">
        <v>5250</v>
      </c>
      <c r="C231" s="10" t="s">
        <v>5251</v>
      </c>
      <c r="D231" s="10"/>
      <c r="E231" s="10" t="s">
        <v>2297</v>
      </c>
      <c r="F231" s="10" t="s">
        <v>351</v>
      </c>
      <c r="G231" s="11" t="s">
        <v>1914</v>
      </c>
      <c r="H231" s="11" t="s">
        <v>378</v>
      </c>
      <c r="I231" s="11" t="s">
        <v>18</v>
      </c>
      <c r="J231" s="9" t="str">
        <f>IFERROR(__xludf.DUMMYFUNCTION("""COMPUTED_VALUE"""),"https://www.google.com/search?newwindow=1&amp;ei=2MT0XrvGGM-vytMP1OyDgAY&amp;q=site%3Alinkedin.com+Stacy+P.+Student+Recruiter+-+Advisor")</f>
        <v>https://www.google.com/search?newwindow=1&amp;ei=2MT0XrvGGM-vytMP1OyDgAY&amp;q=site%3Alinkedin.com+Stacy+P.+Student+Recruiter+-+Advisor</v>
      </c>
      <c r="K231" s="5" t="str">
        <f t="shared" si="1"/>
        <v>Stacy P.</v>
      </c>
      <c r="L231" s="5" t="str">
        <f t="shared" si="2"/>
        <v>Student Recruiter - Advisor</v>
      </c>
      <c r="M231" s="5" t="str">
        <f t="shared" si="3"/>
        <v/>
      </c>
      <c r="N231" s="5" t="str">
        <f t="shared" si="4"/>
        <v>Thompson Rivers University</v>
      </c>
      <c r="O231" s="5" t="str">
        <f t="shared" si="5"/>
        <v>5 months in role</v>
      </c>
      <c r="P231" s="5" t="str">
        <f t="shared" si="6"/>
        <v>Toronto</v>
      </c>
      <c r="Q231" s="5" t="str">
        <f t="shared" si="7"/>
        <v>Ontario</v>
      </c>
      <c r="R231" s="5" t="str">
        <f t="shared" si="8"/>
        <v>Canada</v>
      </c>
    </row>
    <row r="232">
      <c r="A232" s="8" t="s">
        <v>5252</v>
      </c>
      <c r="B232" s="10" t="s">
        <v>5253</v>
      </c>
      <c r="C232" s="10" t="s">
        <v>5254</v>
      </c>
      <c r="D232" s="10"/>
      <c r="E232" s="10" t="s">
        <v>845</v>
      </c>
      <c r="F232" s="10" t="s">
        <v>149</v>
      </c>
      <c r="G232" s="11" t="s">
        <v>1914</v>
      </c>
      <c r="H232" s="11" t="s">
        <v>378</v>
      </c>
      <c r="I232" s="11" t="s">
        <v>18</v>
      </c>
      <c r="J232" s="9" t="str">
        <f>IFERROR(__xludf.DUMMYFUNCTION("""COMPUTED_VALUE"""),"https://www.google.com/search?newwindow=1&amp;ei=2MT0XrvGGM-vytMP1OyDgAY&amp;q=site%3Alinkedin.com+Henry+Pham+Recruiter")</f>
        <v>https://www.google.com/search?newwindow=1&amp;ei=2MT0XrvGGM-vytMP1OyDgAY&amp;q=site%3Alinkedin.com+Henry+Pham+Recruiter</v>
      </c>
      <c r="K232" s="5" t="str">
        <f t="shared" si="1"/>
        <v>Henry Pham</v>
      </c>
      <c r="L232" s="5" t="str">
        <f t="shared" si="2"/>
        <v>Recruiter</v>
      </c>
      <c r="M232" s="5" t="str">
        <f t="shared" si="3"/>
        <v/>
      </c>
      <c r="N232" s="5" t="str">
        <f t="shared" si="4"/>
        <v>Future Foundation.inc</v>
      </c>
      <c r="O232" s="5" t="str">
        <f t="shared" si="5"/>
        <v>2 years 7 months in role and company</v>
      </c>
      <c r="P232" s="5" t="str">
        <f t="shared" si="6"/>
        <v>Toronto</v>
      </c>
      <c r="Q232" s="5" t="str">
        <f t="shared" si="7"/>
        <v>Ontario</v>
      </c>
      <c r="R232" s="5" t="str">
        <f t="shared" si="8"/>
        <v>Canada</v>
      </c>
    </row>
    <row r="233">
      <c r="A233" s="8" t="s">
        <v>5255</v>
      </c>
      <c r="B233" s="12" t="s">
        <v>5256</v>
      </c>
      <c r="C233" s="10" t="s">
        <v>5257</v>
      </c>
      <c r="D233" s="10"/>
      <c r="E233" s="10" t="s">
        <v>1064</v>
      </c>
      <c r="F233" s="10" t="s">
        <v>121</v>
      </c>
      <c r="G233" s="11" t="s">
        <v>1914</v>
      </c>
      <c r="H233" s="11" t="s">
        <v>4638</v>
      </c>
      <c r="I233" s="11" t="s">
        <v>4600</v>
      </c>
      <c r="J233" s="9" t="str">
        <f>IFERROR(__xludf.DUMMYFUNCTION("""COMPUTED_VALUE"""),"https://www.google.com/search?newwindow=1&amp;ei=2MT0XrvGGM-vytMP1OyDgAY&amp;q=site%3Alinkedin.com+Rashi+Shah+Volunteer+-+University+Representative")</f>
        <v>https://www.google.com/search?newwindow=1&amp;ei=2MT0XrvGGM-vytMP1OyDgAY&amp;q=site%3Alinkedin.com+Rashi+Shah+Volunteer+-+University+Representative</v>
      </c>
      <c r="K233" s="5" t="str">
        <f t="shared" si="1"/>
        <v>Rashi Shah</v>
      </c>
      <c r="L233" s="5" t="str">
        <f t="shared" si="2"/>
        <v>Volunteer - University Representative</v>
      </c>
      <c r="M233" s="5" t="str">
        <f t="shared" si="3"/>
        <v/>
      </c>
      <c r="N233" s="9" t="str">
        <f t="shared" si="4"/>
        <v>INACE.ORG</v>
      </c>
      <c r="O233" s="5" t="str">
        <f t="shared" si="5"/>
        <v>3 months in role and company</v>
      </c>
      <c r="P233" s="5" t="str">
        <f t="shared" si="6"/>
        <v>Toronto</v>
      </c>
      <c r="Q233" s="5" t="str">
        <f t="shared" si="7"/>
        <v>Ontario</v>
      </c>
      <c r="R233" s="5" t="str">
        <f t="shared" si="8"/>
        <v>Canada</v>
      </c>
    </row>
    <row r="234">
      <c r="A234" s="8" t="s">
        <v>5258</v>
      </c>
      <c r="B234" s="12" t="s">
        <v>5259</v>
      </c>
      <c r="C234" s="10" t="s">
        <v>115</v>
      </c>
      <c r="D234" s="10"/>
      <c r="E234" s="10" t="s">
        <v>5260</v>
      </c>
      <c r="F234" s="10" t="s">
        <v>2322</v>
      </c>
      <c r="G234" s="11" t="s">
        <v>1914</v>
      </c>
      <c r="H234" s="11" t="s">
        <v>4638</v>
      </c>
      <c r="I234" s="11" t="s">
        <v>4600</v>
      </c>
      <c r="J234" s="9" t="str">
        <f>IFERROR(__xludf.DUMMYFUNCTION("""COMPUTED_VALUE"""),"https://www.google.com/search?newwindow=1&amp;ei=2MT0XrvGGM-vytMP1OyDgAY&amp;q=site%3Alinkedin.com+Karina+Holmgren+National+Recruitment+Coordinator")</f>
        <v>https://www.google.com/search?newwindow=1&amp;ei=2MT0XrvGGM-vytMP1OyDgAY&amp;q=site%3Alinkedin.com+Karina+Holmgren+National+Recruitment+Coordinator</v>
      </c>
      <c r="K234" s="5" t="str">
        <f t="shared" si="1"/>
        <v>Karina Holmgren</v>
      </c>
      <c r="L234" s="5" t="str">
        <f t="shared" si="2"/>
        <v>National Recruitment Coordinator</v>
      </c>
      <c r="M234" s="5" t="str">
        <f t="shared" si="3"/>
        <v/>
      </c>
      <c r="N234" s="5" t="str">
        <f t="shared" si="4"/>
        <v>University of Alberta</v>
      </c>
      <c r="O234" s="5" t="str">
        <f t="shared" si="5"/>
        <v>1 year 3 months in role</v>
      </c>
      <c r="P234" s="5" t="str">
        <f t="shared" si="6"/>
        <v>Toronto</v>
      </c>
      <c r="Q234" s="5" t="str">
        <f t="shared" si="7"/>
        <v>Ontario</v>
      </c>
      <c r="R234" s="5" t="str">
        <f t="shared" si="8"/>
        <v>Canada</v>
      </c>
    </row>
    <row r="235">
      <c r="A235" s="8" t="s">
        <v>5261</v>
      </c>
      <c r="B235" s="10" t="s">
        <v>5262</v>
      </c>
      <c r="C235" s="10" t="s">
        <v>5263</v>
      </c>
      <c r="D235" s="10"/>
      <c r="E235" s="10" t="s">
        <v>5264</v>
      </c>
      <c r="F235" s="10" t="s">
        <v>79</v>
      </c>
      <c r="G235" s="11" t="s">
        <v>1914</v>
      </c>
      <c r="H235" s="11" t="s">
        <v>4757</v>
      </c>
      <c r="I235" s="11" t="s">
        <v>4607</v>
      </c>
      <c r="J235" s="9" t="str">
        <f>IFERROR(__xludf.DUMMYFUNCTION("""COMPUTED_VALUE"""),"https://www.google.com/search?newwindow=1&amp;ei=2MT0XrvGGM-vytMP1OyDgAY&amp;q=site%3Alinkedin.com+Jessie+I.+Administrative+and+Recruitment+Assistant+-+Trent+University+(School+of+Graduate+Studies)")</f>
        <v>https://www.google.com/search?newwindow=1&amp;ei=2MT0XrvGGM-vytMP1OyDgAY&amp;q=site%3Alinkedin.com+Jessie+I.+Administrative+and+Recruitment+Assistant+-+Trent+University+(School+of+Graduate+Studies)</v>
      </c>
      <c r="K235" s="5" t="str">
        <f t="shared" si="1"/>
        <v>Jessie I.</v>
      </c>
      <c r="L235" s="5" t="str">
        <f t="shared" si="2"/>
        <v>Administrative and Recruitment Assistant - Trent University (School of Graduate Studies)</v>
      </c>
      <c r="M235" s="5" t="str">
        <f t="shared" si="3"/>
        <v/>
      </c>
      <c r="N235" s="5" t="str">
        <f t="shared" si="4"/>
        <v>Trent University</v>
      </c>
      <c r="O235" s="5" t="str">
        <f t="shared" si="5"/>
        <v>1 year  in role</v>
      </c>
      <c r="P235" s="5" t="str">
        <f t="shared" si="6"/>
        <v>Toronto</v>
      </c>
      <c r="Q235" s="5" t="str">
        <f t="shared" si="7"/>
        <v>Ontario</v>
      </c>
      <c r="R235" s="5" t="str">
        <f t="shared" si="8"/>
        <v>Canada</v>
      </c>
    </row>
    <row r="236">
      <c r="A236" s="8" t="s">
        <v>5255</v>
      </c>
      <c r="B236" s="12" t="s">
        <v>5256</v>
      </c>
      <c r="C236" s="10" t="s">
        <v>5257</v>
      </c>
      <c r="D236" s="10"/>
      <c r="E236" s="10" t="s">
        <v>1064</v>
      </c>
      <c r="F236" s="10" t="s">
        <v>121</v>
      </c>
      <c r="G236" s="11" t="s">
        <v>1914</v>
      </c>
      <c r="H236" s="11" t="s">
        <v>4638</v>
      </c>
      <c r="I236" s="11" t="s">
        <v>4600</v>
      </c>
      <c r="J236" s="9" t="str">
        <f>IFERROR(__xludf.DUMMYFUNCTION("""COMPUTED_VALUE"""),"https://www.google.com/search?newwindow=1&amp;ei=2MT0XrvGGM-vytMP1OyDgAY&amp;q=site%3Alinkedin.com+Milica+N.+Student+Advisory+Services+-+Student+Recruiter")</f>
        <v>https://www.google.com/search?newwindow=1&amp;ei=2MT0XrvGGM-vytMP1OyDgAY&amp;q=site%3Alinkedin.com+Milica+N.+Student+Advisory+Services+-+Student+Recruiter</v>
      </c>
      <c r="K236" s="5" t="str">
        <f t="shared" si="1"/>
        <v>Milica N.</v>
      </c>
      <c r="L236" s="5" t="str">
        <f t="shared" si="2"/>
        <v>Student Advisory Services - Student Recruiter</v>
      </c>
      <c r="M236" s="5" t="str">
        <f t="shared" si="3"/>
        <v/>
      </c>
      <c r="N236" s="5" t="str">
        <f t="shared" si="4"/>
        <v>MaKami College</v>
      </c>
      <c r="O236" s="5" t="str">
        <f t="shared" si="5"/>
        <v>1 year  in role and company</v>
      </c>
      <c r="P236" s="5" t="str">
        <f t="shared" si="6"/>
        <v>Toronto</v>
      </c>
      <c r="Q236" s="5" t="str">
        <f t="shared" si="7"/>
        <v>Ontario</v>
      </c>
      <c r="R236" s="5" t="str">
        <f t="shared" si="8"/>
        <v>Canada</v>
      </c>
    </row>
    <row r="237">
      <c r="A237" s="8" t="s">
        <v>5265</v>
      </c>
      <c r="B237" s="10" t="s">
        <v>5266</v>
      </c>
      <c r="C237" s="10" t="s">
        <v>5267</v>
      </c>
      <c r="D237" s="14" t="s">
        <v>4</v>
      </c>
      <c r="E237" s="10" t="s">
        <v>3208</v>
      </c>
      <c r="F237" s="10" t="s">
        <v>734</v>
      </c>
      <c r="G237" s="11" t="s">
        <v>1914</v>
      </c>
      <c r="H237" s="11" t="s">
        <v>4757</v>
      </c>
      <c r="I237" s="11" t="s">
        <v>4607</v>
      </c>
      <c r="J237" s="9" t="str">
        <f>IFERROR(__xludf.DUMMYFUNCTION("""COMPUTED_VALUE"""),"https://www.google.com/search?newwindow=1&amp;ei=2MT0XrvGGM-vytMP1OyDgAY&amp;q=site%3Alinkedin.com+Boyao+(Roy)+Jiang+Student")</f>
        <v>https://www.google.com/search?newwindow=1&amp;ei=2MT0XrvGGM-vytMP1OyDgAY&amp;q=site%3Alinkedin.com+Boyao+(Roy)+Jiang+Student</v>
      </c>
      <c r="K237" s="5" t="str">
        <f t="shared" si="1"/>
        <v>Boyao (Roy) Jiang</v>
      </c>
      <c r="L237" s="5" t="str">
        <f t="shared" si="2"/>
        <v>Student</v>
      </c>
      <c r="M237" s="5" t="str">
        <f t="shared" si="3"/>
        <v/>
      </c>
      <c r="N237" s="5" t="str">
        <f t="shared" si="4"/>
        <v>University of Toronto</v>
      </c>
      <c r="O237" s="5" t="str">
        <f t="shared" si="5"/>
        <v/>
      </c>
      <c r="P237" s="5" t="str">
        <f t="shared" si="6"/>
        <v>Toronto</v>
      </c>
      <c r="Q237" s="5" t="str">
        <f t="shared" si="7"/>
        <v>Ontario</v>
      </c>
      <c r="R237" s="5" t="str">
        <f t="shared" si="8"/>
        <v>Canada</v>
      </c>
    </row>
    <row r="238">
      <c r="A238" s="8" t="s">
        <v>5268</v>
      </c>
      <c r="B238" s="10" t="s">
        <v>5269</v>
      </c>
      <c r="C238" s="10" t="s">
        <v>5270</v>
      </c>
      <c r="D238" s="10"/>
      <c r="E238" s="10" t="s">
        <v>5271</v>
      </c>
      <c r="F238" s="10" t="s">
        <v>376</v>
      </c>
      <c r="G238" s="11" t="s">
        <v>1914</v>
      </c>
      <c r="H238" s="11" t="s">
        <v>4757</v>
      </c>
      <c r="I238" s="11" t="s">
        <v>4607</v>
      </c>
      <c r="J238" s="9" t="str">
        <f>IFERROR(__xludf.DUMMYFUNCTION("""COMPUTED_VALUE"""),"https://www.google.com/search?newwindow=1&amp;ei=2MT0XrvGGM-vytMP1OyDgAY&amp;q=site%3Alinkedin.com+Toronto+Forensic+Institute+College+Recruiter")</f>
        <v>https://www.google.com/search?newwindow=1&amp;ei=2MT0XrvGGM-vytMP1OyDgAY&amp;q=site%3Alinkedin.com+Toronto+Forensic+Institute+College+Recruiter</v>
      </c>
      <c r="K238" s="5" t="str">
        <f t="shared" si="1"/>
        <v>Toronto Forensic Institute</v>
      </c>
      <c r="L238" s="5" t="str">
        <f t="shared" si="2"/>
        <v>College Recruiter</v>
      </c>
      <c r="M238" s="5" t="str">
        <f t="shared" si="3"/>
        <v/>
      </c>
      <c r="N238" s="5" t="str">
        <f t="shared" si="4"/>
        <v>Toronto Forensic Institute</v>
      </c>
      <c r="O238" s="5" t="str">
        <f t="shared" si="5"/>
        <v>1 year 10 months in role and company</v>
      </c>
      <c r="P238" s="5" t="str">
        <f t="shared" si="6"/>
        <v>Toronto</v>
      </c>
      <c r="Q238" s="5" t="str">
        <f t="shared" si="7"/>
        <v>Ontario</v>
      </c>
      <c r="R238" s="5" t="str">
        <f t="shared" si="8"/>
        <v>Canada</v>
      </c>
    </row>
    <row r="239">
      <c r="A239" s="8" t="s">
        <v>5258</v>
      </c>
      <c r="B239" s="12" t="s">
        <v>5259</v>
      </c>
      <c r="C239" s="10" t="s">
        <v>115</v>
      </c>
      <c r="D239" s="10"/>
      <c r="E239" s="10" t="s">
        <v>5260</v>
      </c>
      <c r="F239" s="10" t="s">
        <v>2322</v>
      </c>
      <c r="G239" s="11" t="s">
        <v>1914</v>
      </c>
      <c r="H239" s="11" t="s">
        <v>4638</v>
      </c>
      <c r="I239" s="11" t="s">
        <v>4600</v>
      </c>
      <c r="J239" s="9" t="str">
        <f>IFERROR(__xludf.DUMMYFUNCTION("""COMPUTED_VALUE"""),"https://www.google.com/search?newwindow=1&amp;ei=2MT0XrvGGM-vytMP1OyDgAY&amp;q=site%3Alinkedin.com+Sashah+R.+Student+Recruiter-Advisor")</f>
        <v>https://www.google.com/search?newwindow=1&amp;ei=2MT0XrvGGM-vytMP1OyDgAY&amp;q=site%3Alinkedin.com+Sashah+R.+Student+Recruiter-Advisor</v>
      </c>
      <c r="K239" s="5" t="str">
        <f t="shared" si="1"/>
        <v>Sashah R.</v>
      </c>
      <c r="L239" s="5" t="str">
        <f t="shared" si="2"/>
        <v>Student Recruiter-Advisor</v>
      </c>
      <c r="M239" s="5" t="str">
        <f t="shared" si="3"/>
        <v/>
      </c>
      <c r="N239" s="5" t="str">
        <f t="shared" si="4"/>
        <v>The University of British Columbia</v>
      </c>
      <c r="O239" s="5" t="str">
        <f t="shared" si="5"/>
        <v>1 year 2 months in role and company</v>
      </c>
      <c r="P239" s="5" t="str">
        <f t="shared" si="6"/>
        <v>Toronto</v>
      </c>
      <c r="Q239" s="5" t="str">
        <f t="shared" si="7"/>
        <v>Ontario</v>
      </c>
      <c r="R239" s="5" t="str">
        <f t="shared" si="8"/>
        <v>Canada</v>
      </c>
    </row>
    <row r="240">
      <c r="A240" s="8" t="s">
        <v>5272</v>
      </c>
      <c r="B240" s="10" t="s">
        <v>40</v>
      </c>
      <c r="C240" s="10" t="s">
        <v>41</v>
      </c>
      <c r="D240" s="10"/>
      <c r="E240" s="10" t="s">
        <v>14</v>
      </c>
      <c r="F240" s="10" t="s">
        <v>42</v>
      </c>
      <c r="G240" s="11" t="s">
        <v>43</v>
      </c>
      <c r="H240" s="11" t="s">
        <v>44</v>
      </c>
      <c r="I240" s="11" t="s">
        <v>18</v>
      </c>
      <c r="J240" s="9" t="str">
        <f>IFERROR(__xludf.DUMMYFUNCTION("""COMPUTED_VALUE"""),"https://www.google.com/search?newwindow=1&amp;ei=2MT0XrvGGM-vytMP1OyDgAY&amp;q=site%3Alinkedin.com+Hak-Ki+Noh+International+Student+Recruiter")</f>
        <v>https://www.google.com/search?newwindow=1&amp;ei=2MT0XrvGGM-vytMP1OyDgAY&amp;q=site%3Alinkedin.com+Hak-Ki+Noh+International+Student+Recruiter</v>
      </c>
      <c r="K240" s="5" t="str">
        <f t="shared" si="1"/>
        <v>Hak-Ki Noh</v>
      </c>
      <c r="L240" s="5" t="str">
        <f t="shared" si="2"/>
        <v>International Student Recruiter</v>
      </c>
      <c r="M240" s="5" t="str">
        <f t="shared" si="3"/>
        <v/>
      </c>
      <c r="N240" s="5" t="str">
        <f t="shared" si="4"/>
        <v>Vision Info Centre</v>
      </c>
      <c r="O240" s="5" t="str">
        <f t="shared" si="5"/>
        <v>8 years 5 months in role and company</v>
      </c>
      <c r="P240" s="5" t="str">
        <f t="shared" si="6"/>
        <v>Toronto</v>
      </c>
      <c r="Q240" s="5" t="str">
        <f t="shared" si="7"/>
        <v>Ontario</v>
      </c>
      <c r="R240" s="5" t="str">
        <f t="shared" si="8"/>
        <v>Canada</v>
      </c>
    </row>
    <row r="241">
      <c r="A241" s="8" t="s">
        <v>5273</v>
      </c>
      <c r="B241" s="12" t="s">
        <v>5274</v>
      </c>
      <c r="C241" s="10" t="s">
        <v>5275</v>
      </c>
      <c r="D241" s="10"/>
      <c r="E241" s="10" t="s">
        <v>5276</v>
      </c>
      <c r="F241" s="10" t="s">
        <v>237</v>
      </c>
      <c r="G241" s="11" t="s">
        <v>5277</v>
      </c>
      <c r="H241" s="11" t="s">
        <v>4644</v>
      </c>
      <c r="I241" s="11" t="s">
        <v>4600</v>
      </c>
      <c r="J241" s="9" t="str">
        <f>IFERROR(__xludf.DUMMYFUNCTION("""COMPUTED_VALUE"""),"https://www.google.com/search?newwindow=1&amp;ei=2MT0XrvGGM-vytMP1OyDgAY&amp;q=site%3Alinkedin.com+Melinda+Drews+Student+Recruiter")</f>
        <v>https://www.google.com/search?newwindow=1&amp;ei=2MT0XrvGGM-vytMP1OyDgAY&amp;q=site%3Alinkedin.com+Melinda+Drews+Student+Recruiter</v>
      </c>
      <c r="K241" s="5" t="str">
        <f t="shared" si="1"/>
        <v>Melinda Drews</v>
      </c>
      <c r="L241" s="5" t="str">
        <f t="shared" si="2"/>
        <v>Student Recruiter</v>
      </c>
      <c r="M241" s="5" t="str">
        <f t="shared" si="3"/>
        <v/>
      </c>
      <c r="N241" s="5" t="str">
        <f t="shared" si="4"/>
        <v>SAIT Polytechnic</v>
      </c>
      <c r="O241" s="5" t="str">
        <f t="shared" si="5"/>
        <v>8 years 7 months in role and company</v>
      </c>
      <c r="P241" s="5" t="str">
        <f t="shared" si="6"/>
        <v>Toronto</v>
      </c>
      <c r="Q241" s="5" t="str">
        <f t="shared" si="7"/>
        <v>Ontario</v>
      </c>
      <c r="R241" s="5" t="str">
        <f t="shared" si="8"/>
        <v>Canada</v>
      </c>
    </row>
    <row r="242">
      <c r="A242" s="8" t="s">
        <v>5273</v>
      </c>
      <c r="B242" s="12" t="s">
        <v>5274</v>
      </c>
      <c r="C242" s="10" t="s">
        <v>5275</v>
      </c>
      <c r="D242" s="10"/>
      <c r="E242" s="10" t="s">
        <v>5276</v>
      </c>
      <c r="F242" s="10" t="s">
        <v>237</v>
      </c>
      <c r="G242" s="11" t="s">
        <v>5277</v>
      </c>
      <c r="H242" s="11" t="s">
        <v>4644</v>
      </c>
      <c r="I242" s="11" t="s">
        <v>4600</v>
      </c>
      <c r="J242" s="9" t="str">
        <f>IFERROR(__xludf.DUMMYFUNCTION("""COMPUTED_VALUE"""),"https://www.google.com/search?newwindow=1&amp;ei=2MT0XrvGGM-vytMP1OyDgAY&amp;q=site%3Alinkedin.com+Cleo+Wah+Graduate+Development+and+Campus+Recruiter,+HR")</f>
        <v>https://www.google.com/search?newwindow=1&amp;ei=2MT0XrvGGM-vytMP1OyDgAY&amp;q=site%3Alinkedin.com+Cleo+Wah+Graduate+Development+and+Campus+Recruiter,+HR</v>
      </c>
      <c r="K242" s="5" t="str">
        <f t="shared" si="1"/>
        <v>Cleo Wah</v>
      </c>
      <c r="L242" s="5" t="str">
        <f t="shared" si="2"/>
        <v>Graduate Development and Campus Recruiter, HR</v>
      </c>
      <c r="M242" s="5" t="str">
        <f t="shared" si="3"/>
        <v/>
      </c>
      <c r="N242" s="5" t="str">
        <f t="shared" si="4"/>
        <v>Barclays Capital</v>
      </c>
      <c r="O242" s="5" t="str">
        <f t="shared" si="5"/>
        <v>9 years 2 months in role and company</v>
      </c>
      <c r="P242" s="5" t="str">
        <f t="shared" si="6"/>
        <v>Toronto</v>
      </c>
      <c r="Q242" s="5" t="str">
        <f t="shared" si="7"/>
        <v>Ontario</v>
      </c>
      <c r="R242" s="5" t="str">
        <f t="shared" si="8"/>
        <v>Canada</v>
      </c>
    </row>
    <row r="243">
      <c r="A243" s="8" t="s">
        <v>5278</v>
      </c>
      <c r="B243" s="12" t="s">
        <v>5279</v>
      </c>
      <c r="C243" s="10" t="s">
        <v>32</v>
      </c>
      <c r="D243" s="10"/>
      <c r="E243" s="10" t="s">
        <v>4007</v>
      </c>
      <c r="F243" s="10" t="s">
        <v>496</v>
      </c>
      <c r="G243" s="14" t="s">
        <v>5280</v>
      </c>
      <c r="H243" s="14" t="s">
        <v>4638</v>
      </c>
      <c r="I243" s="15" t="s">
        <v>4600</v>
      </c>
      <c r="J243" s="9" t="str">
        <f>IFERROR(__xludf.DUMMYFUNCTION("""COMPUTED_VALUE"""),"https://www.google.com/search?newwindow=1&amp;ei=2MT0XrvGGM-vytMP1OyDgAY&amp;q=site%3Alinkedin.com+kaur+Gurpreet+Student+Recruiter+and+Bookkeeper")</f>
        <v>https://www.google.com/search?newwindow=1&amp;ei=2MT0XrvGGM-vytMP1OyDgAY&amp;q=site%3Alinkedin.com+kaur+Gurpreet+Student+Recruiter+and+Bookkeeper</v>
      </c>
      <c r="K243" s="5" t="str">
        <f t="shared" si="1"/>
        <v>kaur Gurpreet</v>
      </c>
      <c r="L243" s="5" t="str">
        <f t="shared" si="2"/>
        <v>Student Recruiter and Bookkeeper</v>
      </c>
      <c r="M243" s="5" t="str">
        <f t="shared" si="3"/>
        <v/>
      </c>
      <c r="N243" s="5" t="str">
        <f t="shared" si="4"/>
        <v>Brampton Immigration Consultancy</v>
      </c>
      <c r="O243" s="5" t="str">
        <f t="shared" si="5"/>
        <v>1 year 2 months in role and company</v>
      </c>
      <c r="P243" s="5" t="str">
        <f t="shared" si="6"/>
        <v>Toronto</v>
      </c>
      <c r="Q243" s="5" t="str">
        <f t="shared" si="7"/>
        <v>Ontario</v>
      </c>
      <c r="R243" s="5" t="str">
        <f t="shared" si="8"/>
        <v>Canada</v>
      </c>
    </row>
    <row r="244">
      <c r="A244" s="8" t="s">
        <v>5281</v>
      </c>
      <c r="B244" s="10" t="s">
        <v>5282</v>
      </c>
      <c r="C244" s="10" t="s">
        <v>25</v>
      </c>
      <c r="D244" s="10"/>
      <c r="E244" s="10" t="s">
        <v>5283</v>
      </c>
      <c r="F244" s="10" t="s">
        <v>554</v>
      </c>
      <c r="G244" s="14" t="s">
        <v>5280</v>
      </c>
      <c r="H244" s="14" t="s">
        <v>4638</v>
      </c>
      <c r="I244" s="15" t="s">
        <v>4600</v>
      </c>
      <c r="J244" s="9" t="str">
        <f>IFERROR(__xludf.DUMMYFUNCTION("""COMPUTED_VALUE"""),"https://www.google.com/search?newwindow=1&amp;ei=2MT0XrvGGM-vytMP1OyDgAY&amp;q=site%3Alinkedin.com+Udy+Olaolu-Oyeyemi+Student+Services+Advisor")</f>
        <v>https://www.google.com/search?newwindow=1&amp;ei=2MT0XrvGGM-vytMP1OyDgAY&amp;q=site%3Alinkedin.com+Udy+Olaolu-Oyeyemi+Student+Services+Advisor</v>
      </c>
      <c r="K244" s="5" t="str">
        <f t="shared" si="1"/>
        <v>Udy Olaolu-Oyeyemi</v>
      </c>
      <c r="L244" s="5" t="str">
        <f t="shared" si="2"/>
        <v>Student Services Advisor</v>
      </c>
      <c r="M244" s="5" t="str">
        <f t="shared" si="3"/>
        <v/>
      </c>
      <c r="N244" s="5" t="str">
        <f t="shared" si="4"/>
        <v>NorQuest College</v>
      </c>
      <c r="O244" s="5" t="str">
        <f t="shared" si="5"/>
        <v>2 years 6 months in role and company</v>
      </c>
      <c r="P244" s="5" t="str">
        <f t="shared" si="6"/>
        <v>Toronto</v>
      </c>
      <c r="Q244" s="5" t="str">
        <f t="shared" si="7"/>
        <v>Ontario</v>
      </c>
      <c r="R244" s="5" t="str">
        <f t="shared" si="8"/>
        <v>Canada</v>
      </c>
    </row>
    <row r="245">
      <c r="A245" s="8" t="s">
        <v>5284</v>
      </c>
      <c r="B245" s="10" t="s">
        <v>5285</v>
      </c>
      <c r="C245" s="10" t="s">
        <v>5286</v>
      </c>
      <c r="D245" s="10"/>
      <c r="E245" s="10" t="s">
        <v>5287</v>
      </c>
      <c r="F245" s="10" t="s">
        <v>651</v>
      </c>
      <c r="G245" s="14" t="s">
        <v>5280</v>
      </c>
      <c r="H245" s="14" t="s">
        <v>4638</v>
      </c>
      <c r="I245" s="15" t="s">
        <v>4600</v>
      </c>
      <c r="J245" s="9" t="str">
        <f>IFERROR(__xludf.DUMMYFUNCTION("""COMPUTED_VALUE"""),"https://www.google.com/search?newwindow=1&amp;ei=2MT0XrvGGM-vytMP1OyDgAY&amp;q=site%3Alinkedin.com+Jonathon+Chio+Recruitment+Assistant")</f>
        <v>https://www.google.com/search?newwindow=1&amp;ei=2MT0XrvGGM-vytMP1OyDgAY&amp;q=site%3Alinkedin.com+Jonathon+Chio+Recruitment+Assistant</v>
      </c>
      <c r="K245" s="5" t="str">
        <f t="shared" si="1"/>
        <v>Jonathon Chio</v>
      </c>
      <c r="L245" s="5" t="str">
        <f t="shared" si="2"/>
        <v>Recruitment Assistant</v>
      </c>
      <c r="M245" s="5" t="str">
        <f t="shared" si="3"/>
        <v/>
      </c>
      <c r="N245" s="5" t="str">
        <f t="shared" si="4"/>
        <v>Endeavour Volunteer Consulting for Non-Profits</v>
      </c>
      <c r="O245" s="5" t="str">
        <f t="shared" si="5"/>
        <v>1 year 5 months in role and company</v>
      </c>
      <c r="P245" s="5" t="str">
        <f t="shared" si="6"/>
        <v>Toronto</v>
      </c>
      <c r="Q245" s="5" t="str">
        <f t="shared" si="7"/>
        <v>Ontario</v>
      </c>
      <c r="R245" s="5" t="str">
        <f t="shared" si="8"/>
        <v>Canada</v>
      </c>
    </row>
    <row r="246">
      <c r="A246" s="8" t="s">
        <v>5288</v>
      </c>
      <c r="B246" s="10" t="s">
        <v>5289</v>
      </c>
      <c r="C246" s="10" t="s">
        <v>5290</v>
      </c>
      <c r="D246" s="10"/>
      <c r="E246" s="10" t="s">
        <v>5291</v>
      </c>
      <c r="F246" s="10" t="s">
        <v>387</v>
      </c>
      <c r="G246" s="14" t="s">
        <v>5280</v>
      </c>
      <c r="H246" s="14" t="s">
        <v>4638</v>
      </c>
      <c r="I246" s="15" t="s">
        <v>4600</v>
      </c>
      <c r="J246" s="9" t="str">
        <f>IFERROR(__xludf.DUMMYFUNCTION("""COMPUTED_VALUE"""),"https://www.google.com/search?newwindow=1&amp;ei=2MT0XrvGGM-vytMP1OyDgAY&amp;q=site%3Alinkedin.com+Beverly+Schrekinger+HR+Programs+Student")</f>
        <v>https://www.google.com/search?newwindow=1&amp;ei=2MT0XrvGGM-vytMP1OyDgAY&amp;q=site%3Alinkedin.com+Beverly+Schrekinger+HR+Programs+Student</v>
      </c>
      <c r="K246" s="5" t="str">
        <f t="shared" si="1"/>
        <v>Beverly Schrekinger</v>
      </c>
      <c r="L246" s="5" t="str">
        <f t="shared" si="2"/>
        <v>HR Programs Student</v>
      </c>
      <c r="M246" s="5" t="str">
        <f t="shared" si="3"/>
        <v/>
      </c>
      <c r="N246" s="5" t="str">
        <f t="shared" si="4"/>
        <v>PCL Construction</v>
      </c>
      <c r="O246" s="5" t="str">
        <f t="shared" si="5"/>
        <v>2 months in role and company</v>
      </c>
      <c r="P246" s="5" t="str">
        <f t="shared" si="6"/>
        <v>Toronto</v>
      </c>
      <c r="Q246" s="5" t="str">
        <f t="shared" si="7"/>
        <v>Ontario</v>
      </c>
      <c r="R246" s="5" t="str">
        <f t="shared" si="8"/>
        <v>Canada</v>
      </c>
    </row>
    <row r="247">
      <c r="A247" s="8" t="s">
        <v>5292</v>
      </c>
      <c r="B247" s="12" t="s">
        <v>5293</v>
      </c>
      <c r="C247" s="10" t="s">
        <v>5294</v>
      </c>
      <c r="D247" s="10"/>
      <c r="E247" s="10" t="s">
        <v>5295</v>
      </c>
      <c r="F247" s="10" t="s">
        <v>222</v>
      </c>
      <c r="G247" s="14" t="s">
        <v>5280</v>
      </c>
      <c r="H247" s="14" t="s">
        <v>4638</v>
      </c>
      <c r="I247" s="15" t="s">
        <v>4600</v>
      </c>
      <c r="J247" s="9" t="str">
        <f>IFERROR(__xludf.DUMMYFUNCTION("""COMPUTED_VALUE"""),"https://www.google.com/search?newwindow=1&amp;ei=2MT0XrvGGM-vytMP1OyDgAY&amp;q=site%3Alinkedin.com+You+Jia+Lee+Coordinator,+International+Programs+(International+Student+Experience)")</f>
        <v>https://www.google.com/search?newwindow=1&amp;ei=2MT0XrvGGM-vytMP1OyDgAY&amp;q=site%3Alinkedin.com+You+Jia+Lee+Coordinator,+International+Programs+(International+Student+Experience)</v>
      </c>
      <c r="K247" s="5" t="str">
        <f t="shared" si="1"/>
        <v>You Jia Lee</v>
      </c>
      <c r="L247" s="5" t="str">
        <f t="shared" si="2"/>
        <v>Coordinator, International Programs (International Student Experience)</v>
      </c>
      <c r="M247" s="5" t="str">
        <f t="shared" si="3"/>
        <v/>
      </c>
      <c r="N247" s="5" t="str">
        <f t="shared" si="4"/>
        <v>University of Guelph</v>
      </c>
      <c r="O247" s="5" t="str">
        <f t="shared" si="5"/>
        <v>6 months in role</v>
      </c>
      <c r="P247" s="5" t="str">
        <f t="shared" si="6"/>
        <v>Toronto</v>
      </c>
      <c r="Q247" s="5" t="str">
        <f t="shared" si="7"/>
        <v>Ontario</v>
      </c>
      <c r="R247" s="5" t="str">
        <f t="shared" si="8"/>
        <v>Canada</v>
      </c>
    </row>
    <row r="248">
      <c r="A248" s="8" t="s">
        <v>5296</v>
      </c>
      <c r="B248" s="10" t="s">
        <v>5297</v>
      </c>
      <c r="C248" s="10" t="s">
        <v>1378</v>
      </c>
      <c r="D248" s="10"/>
      <c r="E248" s="10" t="s">
        <v>4701</v>
      </c>
      <c r="F248" s="10" t="s">
        <v>237</v>
      </c>
      <c r="G248" s="14" t="s">
        <v>5280</v>
      </c>
      <c r="H248" s="14" t="s">
        <v>4638</v>
      </c>
      <c r="I248" s="15" t="s">
        <v>4600</v>
      </c>
      <c r="J248" s="9" t="str">
        <f>IFERROR(__xludf.DUMMYFUNCTION("""COMPUTED_VALUE"""),"https://www.google.com/search?newwindow=1&amp;ei=2MT0XrvGGM-vytMP1OyDgAY&amp;q=site%3Alinkedin.com+Maryam+Jula+Zadeh,+RCIC+International+Student+Programs+Coordinator")</f>
        <v>https://www.google.com/search?newwindow=1&amp;ei=2MT0XrvGGM-vytMP1OyDgAY&amp;q=site%3Alinkedin.com+Maryam+Jula+Zadeh,+RCIC+International+Student+Programs+Coordinator</v>
      </c>
      <c r="K248" s="5" t="str">
        <f t="shared" si="1"/>
        <v>Maryam Jula Zadeh, RCIC</v>
      </c>
      <c r="L248" s="5" t="str">
        <f t="shared" si="2"/>
        <v>International Student Programs Coordinator</v>
      </c>
      <c r="M248" s="5" t="str">
        <f t="shared" si="3"/>
        <v/>
      </c>
      <c r="N248" s="5" t="str">
        <f t="shared" si="4"/>
        <v>George Brown College</v>
      </c>
      <c r="O248" s="5" t="str">
        <f t="shared" si="5"/>
        <v>1 year 1 month in role and company</v>
      </c>
      <c r="P248" s="5" t="str">
        <f t="shared" si="6"/>
        <v>Toronto</v>
      </c>
      <c r="Q248" s="5" t="str">
        <f t="shared" si="7"/>
        <v>Ontario</v>
      </c>
      <c r="R248" s="5" t="str">
        <f t="shared" si="8"/>
        <v>Canada</v>
      </c>
    </row>
    <row r="249">
      <c r="A249" s="8" t="s">
        <v>5298</v>
      </c>
      <c r="B249" s="10" t="s">
        <v>5299</v>
      </c>
      <c r="C249" s="10" t="s">
        <v>5300</v>
      </c>
      <c r="D249" s="10"/>
      <c r="E249" s="10" t="s">
        <v>5090</v>
      </c>
      <c r="F249" s="10" t="s">
        <v>1460</v>
      </c>
      <c r="G249" s="14" t="s">
        <v>5280</v>
      </c>
      <c r="H249" s="14" t="s">
        <v>4638</v>
      </c>
      <c r="I249" s="15" t="s">
        <v>4600</v>
      </c>
      <c r="J249" s="9" t="str">
        <f>IFERROR(__xludf.DUMMYFUNCTION("""COMPUTED_VALUE"""),"https://www.google.com/search?newwindow=1&amp;ei=2MT0XrvGGM-vytMP1OyDgAY&amp;q=site%3Alinkedin.com+Jackie+Young+National+Director+of+Student+Programs")</f>
        <v>https://www.google.com/search?newwindow=1&amp;ei=2MT0XrvGGM-vytMP1OyDgAY&amp;q=site%3Alinkedin.com+Jackie+Young+National+Director+of+Student+Programs</v>
      </c>
      <c r="K249" s="5" t="str">
        <f t="shared" si="1"/>
        <v>Jackie Young</v>
      </c>
      <c r="L249" s="5" t="str">
        <f t="shared" si="2"/>
        <v>National Director of Student Programs</v>
      </c>
      <c r="M249" s="5" t="str">
        <f t="shared" si="3"/>
        <v/>
      </c>
      <c r="N249" s="5" t="str">
        <f t="shared" si="4"/>
        <v>The Learning Partnership</v>
      </c>
      <c r="O249" s="5" t="str">
        <f t="shared" si="5"/>
        <v>1 year  in role and company</v>
      </c>
      <c r="P249" s="5" t="str">
        <f t="shared" si="6"/>
        <v>Toronto</v>
      </c>
      <c r="Q249" s="5" t="str">
        <f t="shared" si="7"/>
        <v>Ontario</v>
      </c>
      <c r="R249" s="5" t="str">
        <f t="shared" si="8"/>
        <v>Canada</v>
      </c>
    </row>
    <row r="250">
      <c r="A250" s="8" t="s">
        <v>5301</v>
      </c>
      <c r="B250" s="12" t="s">
        <v>5302</v>
      </c>
      <c r="C250" s="10" t="s">
        <v>5303</v>
      </c>
      <c r="D250" s="10"/>
      <c r="E250" s="10" t="s">
        <v>5304</v>
      </c>
      <c r="F250" s="10" t="s">
        <v>79</v>
      </c>
      <c r="G250" s="14" t="s">
        <v>5280</v>
      </c>
      <c r="H250" s="14" t="s">
        <v>4638</v>
      </c>
      <c r="I250" s="15" t="s">
        <v>4600</v>
      </c>
      <c r="J250" s="9" t="str">
        <f>IFERROR(__xludf.DUMMYFUNCTION("""COMPUTED_VALUE"""),"https://www.google.com/search?newwindow=1&amp;ei=2MT0XrvGGM-vytMP1OyDgAY&amp;q=site%3Alinkedin.com+Jared+Boland+Student+Life+Programs+Coordinator")</f>
        <v>https://www.google.com/search?newwindow=1&amp;ei=2MT0XrvGGM-vytMP1OyDgAY&amp;q=site%3Alinkedin.com+Jared+Boland+Student+Life+Programs+Coordinator</v>
      </c>
      <c r="K250" s="5" t="str">
        <f t="shared" si="1"/>
        <v>Jared Boland</v>
      </c>
      <c r="L250" s="5" t="str">
        <f t="shared" si="2"/>
        <v>Student Life Programs Coordinator</v>
      </c>
      <c r="M250" s="5" t="str">
        <f t="shared" si="3"/>
        <v/>
      </c>
      <c r="N250" s="5" t="str">
        <f t="shared" si="4"/>
        <v>University of Toronto - New College</v>
      </c>
      <c r="O250" s="5" t="str">
        <f t="shared" si="5"/>
        <v>5 months in role and company</v>
      </c>
      <c r="P250" s="5" t="str">
        <f t="shared" si="6"/>
        <v>Toronto</v>
      </c>
      <c r="Q250" s="5" t="str">
        <f t="shared" si="7"/>
        <v>Ontario</v>
      </c>
      <c r="R250" s="5" t="str">
        <f t="shared" si="8"/>
        <v>Canada</v>
      </c>
    </row>
    <row r="251">
      <c r="A251" s="8" t="s">
        <v>5305</v>
      </c>
      <c r="B251" s="10" t="s">
        <v>5306</v>
      </c>
      <c r="C251" s="10" t="s">
        <v>404</v>
      </c>
      <c r="D251" s="10"/>
      <c r="E251" s="10" t="s">
        <v>5307</v>
      </c>
      <c r="F251" s="10" t="s">
        <v>222</v>
      </c>
      <c r="G251" s="14" t="s">
        <v>5280</v>
      </c>
      <c r="H251" s="14" t="s">
        <v>4638</v>
      </c>
      <c r="I251" s="15" t="s">
        <v>4600</v>
      </c>
      <c r="J251" s="9" t="str">
        <f>IFERROR(__xludf.DUMMYFUNCTION("""COMPUTED_VALUE"""),"https://www.google.com/search?newwindow=1&amp;ei=2MT0XrvGGM-vytMP1OyDgAY&amp;q=site%3Alinkedin.com+Tatianna+Burnett+Undergraduate+Recruiter")</f>
        <v>https://www.google.com/search?newwindow=1&amp;ei=2MT0XrvGGM-vytMP1OyDgAY&amp;q=site%3Alinkedin.com+Tatianna+Burnett+Undergraduate+Recruiter</v>
      </c>
      <c r="K251" s="5" t="str">
        <f t="shared" si="1"/>
        <v>Tatianna Burnett</v>
      </c>
      <c r="L251" s="5" t="str">
        <f t="shared" si="2"/>
        <v>Undergraduate Recruiter</v>
      </c>
      <c r="M251" s="5" t="str">
        <f t="shared" si="3"/>
        <v/>
      </c>
      <c r="N251" s="5" t="str">
        <f t="shared" si="4"/>
        <v>Carleton University Undergraduate Recruitment Office</v>
      </c>
      <c r="O251" s="5" t="str">
        <f t="shared" si="5"/>
        <v>1 year 2 months in role and company</v>
      </c>
      <c r="P251" s="5" t="str">
        <f t="shared" si="6"/>
        <v>Toronto</v>
      </c>
      <c r="Q251" s="5" t="str">
        <f t="shared" si="7"/>
        <v>Ontario</v>
      </c>
      <c r="R251" s="5" t="str">
        <f t="shared" si="8"/>
        <v>Canada</v>
      </c>
    </row>
    <row r="252">
      <c r="A252" s="8" t="s">
        <v>5308</v>
      </c>
      <c r="B252" s="10" t="s">
        <v>3223</v>
      </c>
      <c r="C252" s="10" t="s">
        <v>5309</v>
      </c>
      <c r="D252" s="10"/>
      <c r="E252" s="10" t="s">
        <v>5310</v>
      </c>
      <c r="F252" s="10" t="s">
        <v>233</v>
      </c>
      <c r="G252" s="14" t="s">
        <v>5280</v>
      </c>
      <c r="H252" s="14" t="s">
        <v>4638</v>
      </c>
      <c r="I252" s="15" t="s">
        <v>4600</v>
      </c>
      <c r="J252" s="9" t="str">
        <f>IFERROR(__xludf.DUMMYFUNCTION("""COMPUTED_VALUE"""),"https://www.google.com/search?newwindow=1&amp;ei=2MT0XrvGGM-vytMP1OyDgAY&amp;q=site%3Alinkedin.com+Zed+Chia+Undergraduate+Advisor+&amp;+Recruiter")</f>
        <v>https://www.google.com/search?newwindow=1&amp;ei=2MT0XrvGGM-vytMP1OyDgAY&amp;q=site%3Alinkedin.com+Zed+Chia+Undergraduate+Advisor+&amp;+Recruiter</v>
      </c>
      <c r="K252" s="5" t="str">
        <f t="shared" si="1"/>
        <v>Zed Chia</v>
      </c>
      <c r="L252" s="5" t="str">
        <f t="shared" si="2"/>
        <v>Undergraduate Advisor &amp; Recruiter</v>
      </c>
      <c r="M252" s="5" t="str">
        <f t="shared" si="3"/>
        <v/>
      </c>
      <c r="N252" s="5" t="str">
        <f t="shared" si="4"/>
        <v>Simon Fraser University</v>
      </c>
      <c r="O252" s="5" t="str">
        <f t="shared" si="5"/>
        <v>1 year 8 months in role and company</v>
      </c>
      <c r="P252" s="5" t="str">
        <f t="shared" si="6"/>
        <v>Toronto</v>
      </c>
      <c r="Q252" s="5" t="str">
        <f t="shared" si="7"/>
        <v>Ontario</v>
      </c>
      <c r="R252" s="5" t="str">
        <f t="shared" si="8"/>
        <v>Canada</v>
      </c>
    </row>
    <row r="253">
      <c r="A253" s="8" t="s">
        <v>5311</v>
      </c>
      <c r="B253" s="10" t="s">
        <v>5312</v>
      </c>
      <c r="C253" s="10" t="s">
        <v>5313</v>
      </c>
      <c r="D253" s="10"/>
      <c r="E253" s="10" t="s">
        <v>5314</v>
      </c>
      <c r="F253" s="10" t="s">
        <v>257</v>
      </c>
      <c r="G253" s="14" t="s">
        <v>5280</v>
      </c>
      <c r="H253" s="14" t="s">
        <v>4638</v>
      </c>
      <c r="I253" s="15" t="s">
        <v>4600</v>
      </c>
      <c r="J253" s="9" t="str">
        <f>IFERROR(__xludf.DUMMYFUNCTION("""COMPUTED_VALUE"""),"https://www.google.com/search?newwindow=1&amp;ei=2MT0XrvGGM-vytMP1OyDgAY&amp;q=site%3Alinkedin.com+Alysia+Isidro+Student+Programs+Coordinator")</f>
        <v>https://www.google.com/search?newwindow=1&amp;ei=2MT0XrvGGM-vytMP1OyDgAY&amp;q=site%3Alinkedin.com+Alysia+Isidro+Student+Programs+Coordinator</v>
      </c>
      <c r="K253" s="5" t="str">
        <f t="shared" si="1"/>
        <v>Alysia Isidro</v>
      </c>
      <c r="L253" s="5" t="str">
        <f t="shared" si="2"/>
        <v>Student Programs Coordinator</v>
      </c>
      <c r="M253" s="5" t="str">
        <f t="shared" si="3"/>
        <v/>
      </c>
      <c r="N253" s="5" t="str">
        <f t="shared" si="4"/>
        <v>McCarthy Tétrault</v>
      </c>
      <c r="O253" s="5" t="str">
        <f t="shared" si="5"/>
        <v>3 years 10 months in role and company</v>
      </c>
      <c r="P253" s="5" t="str">
        <f t="shared" si="6"/>
        <v>Toronto</v>
      </c>
      <c r="Q253" s="5" t="str">
        <f t="shared" si="7"/>
        <v>Ontario</v>
      </c>
      <c r="R253" s="5" t="str">
        <f t="shared" si="8"/>
        <v>Canada</v>
      </c>
    </row>
    <row r="254">
      <c r="A254" s="8" t="s">
        <v>5315</v>
      </c>
      <c r="B254" s="10" t="s">
        <v>5316</v>
      </c>
      <c r="C254" s="10" t="s">
        <v>5317</v>
      </c>
      <c r="D254" s="10"/>
      <c r="E254" s="10" t="s">
        <v>5314</v>
      </c>
      <c r="F254" s="10" t="s">
        <v>512</v>
      </c>
      <c r="G254" s="14" t="s">
        <v>5280</v>
      </c>
      <c r="H254" s="14" t="s">
        <v>4638</v>
      </c>
      <c r="I254" s="15" t="s">
        <v>4600</v>
      </c>
      <c r="J254" s="9" t="str">
        <f>IFERROR(__xludf.DUMMYFUNCTION("""COMPUTED_VALUE"""),"https://www.google.com/search?newwindow=1&amp;ei=2MT0XrvGGM-vytMP1OyDgAY&amp;q=site%3Alinkedin.com+Thandi+Myers+Student+Engineer")</f>
        <v>https://www.google.com/search?newwindow=1&amp;ei=2MT0XrvGGM-vytMP1OyDgAY&amp;q=site%3Alinkedin.com+Thandi+Myers+Student+Engineer</v>
      </c>
      <c r="K254" s="5" t="str">
        <f t="shared" si="1"/>
        <v>Thandi Myers</v>
      </c>
      <c r="L254" s="5" t="str">
        <f t="shared" si="2"/>
        <v>Student Engineer</v>
      </c>
      <c r="M254" s="5" t="str">
        <f t="shared" si="3"/>
        <v/>
      </c>
      <c r="N254" s="5" t="str">
        <f t="shared" si="4"/>
        <v>R.V. Anderson Associates Limited</v>
      </c>
      <c r="O254" s="5" t="str">
        <f t="shared" si="5"/>
        <v>6 months in role and company</v>
      </c>
      <c r="P254" s="5" t="str">
        <f t="shared" si="6"/>
        <v>Toronto</v>
      </c>
      <c r="Q254" s="5" t="str">
        <f t="shared" si="7"/>
        <v>Ontario</v>
      </c>
      <c r="R254" s="5" t="str">
        <f t="shared" si="8"/>
        <v>Canada</v>
      </c>
    </row>
    <row r="255">
      <c r="A255" s="8" t="s">
        <v>5318</v>
      </c>
      <c r="B255" s="10" t="s">
        <v>5319</v>
      </c>
      <c r="C255" s="10" t="s">
        <v>5089</v>
      </c>
      <c r="D255" s="10"/>
      <c r="E255" s="10" t="s">
        <v>5320</v>
      </c>
      <c r="F255" s="10" t="s">
        <v>314</v>
      </c>
      <c r="G255" s="14" t="s">
        <v>5280</v>
      </c>
      <c r="H255" s="14" t="s">
        <v>4638</v>
      </c>
      <c r="I255" s="15" t="s">
        <v>4600</v>
      </c>
      <c r="J255" s="9" t="str">
        <f>IFERROR(__xludf.DUMMYFUNCTION("""COMPUTED_VALUE"""),"https://www.google.com/search?newwindow=1&amp;ei=2MT0XrvGGM-vytMP1OyDgAY&amp;q=site%3Alinkedin.com+Remi+Kandal+Research+Student")</f>
        <v>https://www.google.com/search?newwindow=1&amp;ei=2MT0XrvGGM-vytMP1OyDgAY&amp;q=site%3Alinkedin.com+Remi+Kandal+Research+Student</v>
      </c>
      <c r="K255" s="5" t="str">
        <f t="shared" si="1"/>
        <v>Remi Kandal</v>
      </c>
      <c r="L255" s="5" t="str">
        <f t="shared" si="2"/>
        <v>Research Student</v>
      </c>
      <c r="M255" s="5" t="str">
        <f t="shared" si="3"/>
        <v/>
      </c>
      <c r="N255" s="5" t="str">
        <f t="shared" si="4"/>
        <v>The Birth Place Lab</v>
      </c>
      <c r="O255" s="5" t="str">
        <f t="shared" si="5"/>
        <v>7 months in role and company</v>
      </c>
      <c r="P255" s="5" t="str">
        <f t="shared" si="6"/>
        <v>Toronto</v>
      </c>
      <c r="Q255" s="5" t="str">
        <f t="shared" si="7"/>
        <v>Ontario</v>
      </c>
      <c r="R255" s="5" t="str">
        <f t="shared" si="8"/>
        <v>Canada</v>
      </c>
    </row>
    <row r="256">
      <c r="A256" s="8" t="s">
        <v>5321</v>
      </c>
      <c r="B256" s="12" t="s">
        <v>5322</v>
      </c>
      <c r="C256" s="10" t="s">
        <v>5323</v>
      </c>
      <c r="D256" s="10"/>
      <c r="E256" s="10" t="s">
        <v>5314</v>
      </c>
      <c r="F256" s="10" t="s">
        <v>512</v>
      </c>
      <c r="G256" s="14" t="s">
        <v>5280</v>
      </c>
      <c r="H256" s="14" t="s">
        <v>4638</v>
      </c>
      <c r="I256" s="15" t="s">
        <v>4600</v>
      </c>
      <c r="J256" s="9" t="str">
        <f>IFERROR(__xludf.DUMMYFUNCTION("""COMPUTED_VALUE"""),"https://www.google.com/search?newwindow=1&amp;ei=2MT0XrvGGM-vytMP1OyDgAY&amp;q=site%3Alinkedin.com+Jim+Bohun+Assistant+Dean,+Academic+and+Student+Programs")</f>
        <v>https://www.google.com/search?newwindow=1&amp;ei=2MT0XrvGGM-vytMP1OyDgAY&amp;q=site%3Alinkedin.com+Jim+Bohun+Assistant+Dean,+Academic+and+Student+Programs</v>
      </c>
      <c r="K256" s="5" t="str">
        <f t="shared" si="1"/>
        <v>Jim Bohun</v>
      </c>
      <c r="L256" s="5" t="str">
        <f t="shared" si="2"/>
        <v>Assistant Dean, Academic and Student Programs</v>
      </c>
      <c r="M256" s="5" t="str">
        <f t="shared" si="3"/>
        <v/>
      </c>
      <c r="N256" s="5" t="str">
        <f t="shared" si="4"/>
        <v>Faculty of Agricultural, Life &amp; Environmental Sciences</v>
      </c>
      <c r="O256" s="5" t="str">
        <f t="shared" si="5"/>
        <v>6 years 8 months in role and company</v>
      </c>
      <c r="P256" s="5" t="str">
        <f t="shared" si="6"/>
        <v>Toronto</v>
      </c>
      <c r="Q256" s="5" t="str">
        <f t="shared" si="7"/>
        <v>Ontario</v>
      </c>
      <c r="R256" s="5" t="str">
        <f t="shared" si="8"/>
        <v>Canada</v>
      </c>
    </row>
    <row r="257">
      <c r="A257" s="8" t="s">
        <v>5324</v>
      </c>
      <c r="B257" s="10" t="s">
        <v>5325</v>
      </c>
      <c r="C257" s="10" t="s">
        <v>5326</v>
      </c>
      <c r="D257" s="10"/>
      <c r="E257" s="10" t="s">
        <v>5090</v>
      </c>
      <c r="F257" s="10" t="s">
        <v>4870</v>
      </c>
      <c r="G257" s="14" t="s">
        <v>5280</v>
      </c>
      <c r="H257" s="14" t="s">
        <v>4638</v>
      </c>
      <c r="I257" s="15" t="s">
        <v>4600</v>
      </c>
      <c r="J257" s="9" t="str">
        <f>IFERROR(__xludf.DUMMYFUNCTION("""COMPUTED_VALUE"""),"https://www.google.com/search?newwindow=1&amp;ei=2MT0XrvGGM-vytMP1OyDgAY&amp;q=site%3Alinkedin.com+Zarina+Mamadbekova+International+Student+Programs+Team+Lead")</f>
        <v>https://www.google.com/search?newwindow=1&amp;ei=2MT0XrvGGM-vytMP1OyDgAY&amp;q=site%3Alinkedin.com+Zarina+Mamadbekova+International+Student+Programs+Team+Lead</v>
      </c>
      <c r="K257" s="5" t="str">
        <f t="shared" si="1"/>
        <v>Zarina Mamadbekova</v>
      </c>
      <c r="L257" s="5" t="str">
        <f t="shared" si="2"/>
        <v>International Student Programs Team Lead</v>
      </c>
      <c r="M257" s="5" t="str">
        <f t="shared" si="3"/>
        <v/>
      </c>
      <c r="N257" s="5" t="str">
        <f t="shared" si="4"/>
        <v>University of Toronto</v>
      </c>
      <c r="O257" s="5" t="str">
        <f t="shared" si="5"/>
        <v>6 months in role and company</v>
      </c>
      <c r="P257" s="5" t="str">
        <f t="shared" si="6"/>
        <v>Toronto</v>
      </c>
      <c r="Q257" s="5" t="str">
        <f t="shared" si="7"/>
        <v>Ontario</v>
      </c>
      <c r="R257" s="5" t="str">
        <f t="shared" si="8"/>
        <v>Canada</v>
      </c>
    </row>
    <row r="258">
      <c r="A258" s="8" t="s">
        <v>5327</v>
      </c>
      <c r="B258" s="10" t="s">
        <v>5328</v>
      </c>
      <c r="C258" s="10" t="s">
        <v>5329</v>
      </c>
      <c r="D258" s="10"/>
      <c r="E258" s="10" t="s">
        <v>5090</v>
      </c>
      <c r="F258" s="10" t="s">
        <v>79</v>
      </c>
      <c r="G258" s="14" t="s">
        <v>5280</v>
      </c>
      <c r="H258" s="14" t="s">
        <v>4638</v>
      </c>
      <c r="I258" s="15" t="s">
        <v>4600</v>
      </c>
      <c r="J258" s="9" t="str">
        <f>IFERROR(__xludf.DUMMYFUNCTION("""COMPUTED_VALUE"""),"https://www.google.com/search?newwindow=1&amp;ei=2MT0XrvGGM-vytMP1OyDgAY&amp;q=site%3Alinkedin.com+Natasha+Bhimji+Director+of+Student+Programs")</f>
        <v>https://www.google.com/search?newwindow=1&amp;ei=2MT0XrvGGM-vytMP1OyDgAY&amp;q=site%3Alinkedin.com+Natasha+Bhimji+Director+of+Student+Programs</v>
      </c>
      <c r="K258" s="5" t="str">
        <f t="shared" si="1"/>
        <v>Natasha Bhimji</v>
      </c>
      <c r="L258" s="5" t="str">
        <f t="shared" si="2"/>
        <v>Director of Student Programs</v>
      </c>
      <c r="M258" s="5" t="str">
        <f t="shared" si="3"/>
        <v/>
      </c>
      <c r="N258" s="5" t="str">
        <f t="shared" si="4"/>
        <v>Stikeman Elliott LLP</v>
      </c>
      <c r="O258" s="5" t="str">
        <f t="shared" si="5"/>
        <v>2 years 3 months in role and company</v>
      </c>
      <c r="P258" s="5" t="str">
        <f t="shared" si="6"/>
        <v>Toronto</v>
      </c>
      <c r="Q258" s="5" t="str">
        <f t="shared" si="7"/>
        <v>Ontario</v>
      </c>
      <c r="R258" s="5" t="str">
        <f t="shared" si="8"/>
        <v>Canada</v>
      </c>
    </row>
    <row r="259">
      <c r="A259" s="8" t="s">
        <v>5330</v>
      </c>
      <c r="B259" s="10" t="s">
        <v>5331</v>
      </c>
      <c r="C259" s="10" t="s">
        <v>4596</v>
      </c>
      <c r="D259" s="10"/>
      <c r="E259" s="10" t="s">
        <v>5127</v>
      </c>
      <c r="F259" s="10" t="s">
        <v>351</v>
      </c>
      <c r="G259" s="14" t="s">
        <v>5280</v>
      </c>
      <c r="H259" s="14" t="s">
        <v>4638</v>
      </c>
      <c r="I259" s="15" t="s">
        <v>4600</v>
      </c>
      <c r="J259" s="9" t="str">
        <f>IFERROR(__xludf.DUMMYFUNCTION("""COMPUTED_VALUE"""),"https://www.google.com/search?newwindow=1&amp;ei=2MT0XrvGGM-vytMP1OyDgAY&amp;q=site%3Alinkedin.com+Min+Ji+Kang+Student+Programs+Coordinator")</f>
        <v>https://www.google.com/search?newwindow=1&amp;ei=2MT0XrvGGM-vytMP1OyDgAY&amp;q=site%3Alinkedin.com+Min+Ji+Kang+Student+Programs+Coordinator</v>
      </c>
      <c r="K259" s="5" t="str">
        <f t="shared" si="1"/>
        <v>Min Ji Kang</v>
      </c>
      <c r="L259" s="5" t="str">
        <f t="shared" si="2"/>
        <v>Student Programs Coordinator</v>
      </c>
      <c r="M259" s="5" t="str">
        <f t="shared" si="3"/>
        <v/>
      </c>
      <c r="N259" s="5" t="str">
        <f t="shared" si="4"/>
        <v>The University of British Columbia</v>
      </c>
      <c r="O259" s="5" t="str">
        <f t="shared" si="5"/>
        <v>3 months in role</v>
      </c>
      <c r="P259" s="5" t="str">
        <f t="shared" si="6"/>
        <v>Toronto</v>
      </c>
      <c r="Q259" s="5" t="str">
        <f t="shared" si="7"/>
        <v>Ontario</v>
      </c>
      <c r="R259" s="5" t="str">
        <f t="shared" si="8"/>
        <v>Canada</v>
      </c>
    </row>
    <row r="260">
      <c r="A260" s="8" t="s">
        <v>5332</v>
      </c>
      <c r="B260" s="12" t="s">
        <v>5333</v>
      </c>
      <c r="C260" s="10" t="s">
        <v>5334</v>
      </c>
      <c r="D260" s="10"/>
      <c r="E260" s="10" t="s">
        <v>4914</v>
      </c>
      <c r="F260" s="10" t="s">
        <v>1249</v>
      </c>
      <c r="G260" s="14" t="s">
        <v>5280</v>
      </c>
      <c r="H260" s="14" t="s">
        <v>4638</v>
      </c>
      <c r="I260" s="15" t="s">
        <v>4600</v>
      </c>
      <c r="J260" s="9" t="str">
        <f>IFERROR(__xludf.DUMMYFUNCTION("""COMPUTED_VALUE"""),"https://www.google.com/search?newwindow=1&amp;ei=2MT0XrvGGM-vytMP1OyDgAY&amp;q=site%3Alinkedin.com+Sarah-Mae+Rahal+Indigenous+Programs+Coordinator")</f>
        <v>https://www.google.com/search?newwindow=1&amp;ei=2MT0XrvGGM-vytMP1OyDgAY&amp;q=site%3Alinkedin.com+Sarah-Mae+Rahal+Indigenous+Programs+Coordinator</v>
      </c>
      <c r="K260" s="5" t="str">
        <f t="shared" si="1"/>
        <v>Sarah-Mae Rahal</v>
      </c>
      <c r="L260" s="5" t="str">
        <f t="shared" si="2"/>
        <v>Indigenous Programs Coordinator</v>
      </c>
      <c r="M260" s="5" t="str">
        <f t="shared" si="3"/>
        <v/>
      </c>
      <c r="N260" s="5" t="str">
        <f t="shared" si="4"/>
        <v>Aboriginal Labour Force Development Circle</v>
      </c>
      <c r="O260" s="5" t="str">
        <f t="shared" si="5"/>
        <v>5 months in role and company</v>
      </c>
      <c r="P260" s="5" t="str">
        <f t="shared" si="6"/>
        <v>Toronto</v>
      </c>
      <c r="Q260" s="5" t="str">
        <f t="shared" si="7"/>
        <v>Ontario</v>
      </c>
      <c r="R260" s="5" t="str">
        <f t="shared" si="8"/>
        <v>Canada</v>
      </c>
    </row>
    <row r="261">
      <c r="A261" s="8" t="s">
        <v>5335</v>
      </c>
      <c r="B261" s="10" t="s">
        <v>5336</v>
      </c>
      <c r="C261" s="10" t="s">
        <v>5337</v>
      </c>
      <c r="D261" s="14" t="s">
        <v>4</v>
      </c>
      <c r="E261" s="10" t="s">
        <v>5338</v>
      </c>
      <c r="F261" s="10" t="s">
        <v>63</v>
      </c>
      <c r="G261" s="14" t="s">
        <v>5280</v>
      </c>
      <c r="H261" s="14" t="s">
        <v>4638</v>
      </c>
      <c r="I261" s="15" t="s">
        <v>4600</v>
      </c>
      <c r="J261" s="9" t="str">
        <f>IFERROR(__xludf.DUMMYFUNCTION("""COMPUTED_VALUE"""),"https://www.google.com/search?newwindow=1&amp;ei=2MT0XrvGGM-vytMP1OyDgAY&amp;q=site%3Alinkedin.com+Liz+Gamble+District+Principal+of+International+Student+Programs")</f>
        <v>https://www.google.com/search?newwindow=1&amp;ei=2MT0XrvGGM-vytMP1OyDgAY&amp;q=site%3Alinkedin.com+Liz+Gamble+District+Principal+of+International+Student+Programs</v>
      </c>
      <c r="K261" s="5" t="str">
        <f t="shared" si="1"/>
        <v>Liz Gamble</v>
      </c>
      <c r="L261" s="5" t="str">
        <f t="shared" si="2"/>
        <v>District Principal of International Student Programs</v>
      </c>
      <c r="M261" s="5" t="str">
        <f t="shared" si="3"/>
        <v/>
      </c>
      <c r="N261" s="5" t="str">
        <f t="shared" si="4"/>
        <v>Cowichan Valley School District</v>
      </c>
      <c r="O261" s="5" t="str">
        <f t="shared" si="5"/>
        <v>12 years 4 months in role and company</v>
      </c>
      <c r="P261" s="5" t="str">
        <f t="shared" si="6"/>
        <v>Toronto</v>
      </c>
      <c r="Q261" s="5" t="str">
        <f t="shared" si="7"/>
        <v>Ontario</v>
      </c>
      <c r="R261" s="5" t="str">
        <f t="shared" si="8"/>
        <v>Canada</v>
      </c>
    </row>
    <row r="262">
      <c r="A262" s="8" t="s">
        <v>5339</v>
      </c>
      <c r="B262" s="10" t="s">
        <v>5340</v>
      </c>
      <c r="C262" s="10" t="s">
        <v>5341</v>
      </c>
      <c r="D262" s="10"/>
      <c r="E262" s="10" t="s">
        <v>3901</v>
      </c>
      <c r="F262" s="10" t="s">
        <v>79</v>
      </c>
      <c r="G262" s="14" t="s">
        <v>5280</v>
      </c>
      <c r="H262" s="14" t="s">
        <v>4638</v>
      </c>
      <c r="I262" s="15" t="s">
        <v>4600</v>
      </c>
      <c r="J262" s="9" t="str">
        <f>IFERROR(__xludf.DUMMYFUNCTION("""COMPUTED_VALUE"""),"https://www.google.com/search?newwindow=1&amp;ei=2MT0XrvGGM-vytMP1OyDgAY&amp;q=site%3Alinkedin.com+Abby+Taher+Assistant+of+Student+Development+Programs")</f>
        <v>https://www.google.com/search?newwindow=1&amp;ei=2MT0XrvGGM-vytMP1OyDgAY&amp;q=site%3Alinkedin.com+Abby+Taher+Assistant+of+Student+Development+Programs</v>
      </c>
      <c r="K262" s="5" t="str">
        <f t="shared" si="1"/>
        <v>Abby Taher</v>
      </c>
      <c r="L262" s="5" t="str">
        <f t="shared" si="2"/>
        <v>Assistant of Student Development Programs</v>
      </c>
      <c r="M262" s="5" t="str">
        <f t="shared" si="3"/>
        <v/>
      </c>
      <c r="N262" s="5" t="str">
        <f t="shared" si="4"/>
        <v>Queen's University</v>
      </c>
      <c r="O262" s="5" t="str">
        <f t="shared" si="5"/>
        <v>6 months in role and company</v>
      </c>
      <c r="P262" s="5" t="str">
        <f t="shared" si="6"/>
        <v>Toronto</v>
      </c>
      <c r="Q262" s="5" t="str">
        <f t="shared" si="7"/>
        <v>Ontario</v>
      </c>
      <c r="R262" s="5" t="str">
        <f t="shared" si="8"/>
        <v>Canada</v>
      </c>
    </row>
    <row r="263">
      <c r="A263" s="8" t="s">
        <v>5342</v>
      </c>
      <c r="B263" s="10" t="s">
        <v>5343</v>
      </c>
      <c r="C263" s="10" t="s">
        <v>4596</v>
      </c>
      <c r="D263" s="10"/>
      <c r="E263" s="10" t="s">
        <v>5344</v>
      </c>
      <c r="F263" s="10" t="s">
        <v>15</v>
      </c>
      <c r="G263" s="14" t="s">
        <v>5280</v>
      </c>
      <c r="H263" s="14" t="s">
        <v>4638</v>
      </c>
      <c r="I263" s="15" t="s">
        <v>4600</v>
      </c>
      <c r="J263" s="9" t="str">
        <f>IFERROR(__xludf.DUMMYFUNCTION("""COMPUTED_VALUE"""),"https://www.google.com/search?newwindow=1&amp;ei=2MT0XrvGGM-vytMP1OyDgAY&amp;q=site%3Alinkedin.com+Caroline+Mitry+Manager,+Global+Operations+and+Student+Support+Programs")</f>
        <v>https://www.google.com/search?newwindow=1&amp;ei=2MT0XrvGGM-vytMP1OyDgAY&amp;q=site%3Alinkedin.com+Caroline+Mitry+Manager,+Global+Operations+and+Student+Support+Programs</v>
      </c>
      <c r="K263" s="5" t="str">
        <f t="shared" si="1"/>
        <v>Caroline Mitry</v>
      </c>
      <c r="L263" s="5" t="str">
        <f t="shared" si="2"/>
        <v>Manager, Global Operations and Student Support Programs</v>
      </c>
      <c r="M263" s="5" t="str">
        <f t="shared" si="3"/>
        <v/>
      </c>
      <c r="N263" s="5" t="str">
        <f t="shared" si="4"/>
        <v>Morneau Shepell</v>
      </c>
      <c r="O263" s="5" t="str">
        <f t="shared" si="5"/>
        <v>3 years  in role</v>
      </c>
      <c r="P263" s="5" t="str">
        <f t="shared" si="6"/>
        <v>Toronto</v>
      </c>
      <c r="Q263" s="5" t="str">
        <f t="shared" si="7"/>
        <v>Ontario</v>
      </c>
      <c r="R263" s="5" t="str">
        <f t="shared" si="8"/>
        <v>Canada</v>
      </c>
    </row>
    <row r="264">
      <c r="A264" s="8" t="s">
        <v>5345</v>
      </c>
      <c r="B264" s="10" t="s">
        <v>5346</v>
      </c>
      <c r="C264" s="10" t="s">
        <v>5347</v>
      </c>
      <c r="D264" s="10"/>
      <c r="E264" s="10" t="s">
        <v>5348</v>
      </c>
      <c r="F264" s="10" t="s">
        <v>165</v>
      </c>
      <c r="G264" s="14" t="s">
        <v>5280</v>
      </c>
      <c r="H264" s="14" t="s">
        <v>4638</v>
      </c>
      <c r="I264" s="15" t="s">
        <v>4600</v>
      </c>
      <c r="J264" s="9" t="str">
        <f>IFERROR(__xludf.DUMMYFUNCTION("""COMPUTED_VALUE"""),"https://www.google.com/search?newwindow=1&amp;ei=2MT0XrvGGM-vytMP1OyDgAY&amp;q=site%3Alinkedin.com+Mara+Mihailescu+Health+Systems+Stream+Representative+-+Telfer+Graduate+Research+Programs+Student+Association")</f>
        <v>https://www.google.com/search?newwindow=1&amp;ei=2MT0XrvGGM-vytMP1OyDgAY&amp;q=site%3Alinkedin.com+Mara+Mihailescu+Health+Systems+Stream+Representative+-+Telfer+Graduate+Research+Programs+Student+Association</v>
      </c>
      <c r="K264" s="5" t="str">
        <f t="shared" si="1"/>
        <v>Mara Mihailescu</v>
      </c>
      <c r="L264" s="5" t="str">
        <f t="shared" si="2"/>
        <v>Health Systems Stream Representative - Telfer Graduate Research Programs Student Association</v>
      </c>
      <c r="M264" s="5" t="str">
        <f t="shared" si="3"/>
        <v/>
      </c>
      <c r="N264" s="5" t="str">
        <f t="shared" si="4"/>
        <v>Telfer School of Management at the University of Ottawa</v>
      </c>
      <c r="O264" s="5" t="str">
        <f t="shared" si="5"/>
        <v>1 year  in role and company</v>
      </c>
      <c r="P264" s="5" t="str">
        <f t="shared" si="6"/>
        <v>Toronto</v>
      </c>
      <c r="Q264" s="5" t="str">
        <f t="shared" si="7"/>
        <v>Ontario</v>
      </c>
      <c r="R264" s="5" t="str">
        <f t="shared" si="8"/>
        <v>Canada</v>
      </c>
    </row>
    <row r="265">
      <c r="A265" s="8" t="s">
        <v>5349</v>
      </c>
      <c r="B265" s="10" t="s">
        <v>5350</v>
      </c>
      <c r="C265" s="10" t="s">
        <v>4596</v>
      </c>
      <c r="D265" s="10"/>
      <c r="E265" s="10" t="s">
        <v>5351</v>
      </c>
      <c r="F265" s="10" t="s">
        <v>376</v>
      </c>
      <c r="G265" s="14" t="s">
        <v>5280</v>
      </c>
      <c r="H265" s="14" t="s">
        <v>4638</v>
      </c>
      <c r="I265" s="15" t="s">
        <v>4600</v>
      </c>
      <c r="J265" s="9" t="str">
        <f>IFERROR(__xludf.DUMMYFUNCTION("""COMPUTED_VALUE"""),"https://www.google.com/search?newwindow=1&amp;ei=2MT0XrvGGM-vytMP1OyDgAY&amp;q=site%3Alinkedin.com+Valerie+Groysman+Coordinator,+Student+Programs+and+Outreach")</f>
        <v>https://www.google.com/search?newwindow=1&amp;ei=2MT0XrvGGM-vytMP1OyDgAY&amp;q=site%3Alinkedin.com+Valerie+Groysman+Coordinator,+Student+Programs+and+Outreach</v>
      </c>
      <c r="K265" s="5" t="str">
        <f t="shared" si="1"/>
        <v>Valerie Groysman</v>
      </c>
      <c r="L265" s="5" t="str">
        <f t="shared" si="2"/>
        <v>Coordinator, Student Programs and Outreach</v>
      </c>
      <c r="M265" s="5" t="str">
        <f t="shared" si="3"/>
        <v/>
      </c>
      <c r="N265" s="5" t="str">
        <f t="shared" si="4"/>
        <v>University of Toronto</v>
      </c>
      <c r="O265" s="5" t="str">
        <f t="shared" si="5"/>
        <v>3 years 1 month in role and company</v>
      </c>
      <c r="P265" s="5" t="str">
        <f t="shared" si="6"/>
        <v>Toronto</v>
      </c>
      <c r="Q265" s="5" t="str">
        <f t="shared" si="7"/>
        <v>Ontario</v>
      </c>
      <c r="R265" s="5" t="str">
        <f t="shared" si="8"/>
        <v>Canada</v>
      </c>
    </row>
    <row r="266">
      <c r="A266" s="8" t="s">
        <v>5352</v>
      </c>
      <c r="B266" s="10" t="s">
        <v>5353</v>
      </c>
      <c r="C266" s="10" t="s">
        <v>5089</v>
      </c>
      <c r="D266" s="10"/>
      <c r="E266" s="10" t="s">
        <v>5320</v>
      </c>
      <c r="F266" s="10" t="s">
        <v>60</v>
      </c>
      <c r="G266" s="14" t="s">
        <v>5280</v>
      </c>
      <c r="H266" s="14" t="s">
        <v>4638</v>
      </c>
      <c r="I266" s="15" t="s">
        <v>4600</v>
      </c>
      <c r="J266" s="9" t="str">
        <f>IFERROR(__xludf.DUMMYFUNCTION("""COMPUTED_VALUE"""),"https://www.google.com/search?newwindow=1&amp;ei=2MT0XrvGGM-vytMP1OyDgAY&amp;q=site%3Alinkedin.com+Shunmathi+Shanmugam+Undergraduate+Teaching+Assistant+-+INSPIRE+3EL3+(C03)")</f>
        <v>https://www.google.com/search?newwindow=1&amp;ei=2MT0XrvGGM-vytMP1OyDgAY&amp;q=site%3Alinkedin.com+Shunmathi+Shanmugam+Undergraduate+Teaching+Assistant+-+INSPIRE+3EL3+(C03)</v>
      </c>
      <c r="K266" s="5" t="str">
        <f t="shared" si="1"/>
        <v>Shunmathi Shanmugam</v>
      </c>
      <c r="L266" s="5" t="str">
        <f t="shared" si="2"/>
        <v>Undergraduate Teaching Assistant - INSPIRE 3EL3 (C03)</v>
      </c>
      <c r="M266" s="5" t="str">
        <f t="shared" si="3"/>
        <v/>
      </c>
      <c r="N266" s="5" t="str">
        <f t="shared" si="4"/>
        <v>McMaster University</v>
      </c>
      <c r="O266" s="5" t="str">
        <f t="shared" si="5"/>
        <v>6 months in role</v>
      </c>
      <c r="P266" s="5" t="str">
        <f t="shared" si="6"/>
        <v>Toronto</v>
      </c>
      <c r="Q266" s="5" t="str">
        <f t="shared" si="7"/>
        <v>Ontario</v>
      </c>
      <c r="R266" s="5" t="str">
        <f t="shared" si="8"/>
        <v>Canada</v>
      </c>
    </row>
    <row r="267">
      <c r="A267" s="8" t="s">
        <v>5354</v>
      </c>
      <c r="B267" s="10" t="s">
        <v>5355</v>
      </c>
      <c r="C267" s="10" t="s">
        <v>115</v>
      </c>
      <c r="D267" s="10"/>
      <c r="E267" s="10" t="s">
        <v>5356</v>
      </c>
      <c r="F267" s="10" t="s">
        <v>446</v>
      </c>
      <c r="G267" s="14" t="s">
        <v>5280</v>
      </c>
      <c r="H267" s="14" t="s">
        <v>4638</v>
      </c>
      <c r="I267" s="15" t="s">
        <v>4600</v>
      </c>
      <c r="J267" s="9" t="str">
        <f>IFERROR(__xludf.DUMMYFUNCTION("""COMPUTED_VALUE"""),"https://www.google.com/search?newwindow=1&amp;ei=2MT0XrvGGM-vytMP1OyDgAY&amp;q=site%3Alinkedin.com+Cathy+Watkins+Manager+of+Associate+and+Student+Programs")</f>
        <v>https://www.google.com/search?newwindow=1&amp;ei=2MT0XrvGGM-vytMP1OyDgAY&amp;q=site%3Alinkedin.com+Cathy+Watkins+Manager+of+Associate+and+Student+Programs</v>
      </c>
      <c r="K267" s="5" t="str">
        <f t="shared" si="1"/>
        <v>Cathy Watkins</v>
      </c>
      <c r="L267" s="5" t="str">
        <f t="shared" si="2"/>
        <v>Manager of Associate and Student Programs</v>
      </c>
      <c r="M267" s="5" t="str">
        <f t="shared" si="3"/>
        <v/>
      </c>
      <c r="N267" s="5" t="str">
        <f t="shared" si="4"/>
        <v>Gowling WLG</v>
      </c>
      <c r="O267" s="5" t="str">
        <f t="shared" si="5"/>
        <v>10 months in role and company</v>
      </c>
      <c r="P267" s="5" t="str">
        <f t="shared" si="6"/>
        <v>Toronto</v>
      </c>
      <c r="Q267" s="5" t="str">
        <f t="shared" si="7"/>
        <v>Ontario</v>
      </c>
      <c r="R267" s="5" t="str">
        <f t="shared" si="8"/>
        <v>Canada</v>
      </c>
    </row>
    <row r="268">
      <c r="A268" s="8" t="s">
        <v>5357</v>
      </c>
      <c r="B268" s="10" t="s">
        <v>5358</v>
      </c>
      <c r="C268" s="10" t="s">
        <v>5359</v>
      </c>
      <c r="D268" s="10"/>
      <c r="E268" s="10" t="s">
        <v>5360</v>
      </c>
      <c r="F268" s="10" t="s">
        <v>233</v>
      </c>
      <c r="G268" s="14" t="s">
        <v>5280</v>
      </c>
      <c r="H268" s="14" t="s">
        <v>4638</v>
      </c>
      <c r="I268" s="15" t="s">
        <v>4600</v>
      </c>
      <c r="J268" s="9" t="str">
        <f>IFERROR(__xludf.DUMMYFUNCTION("""COMPUTED_VALUE"""),"https://www.google.com/search?newwindow=1&amp;ei=2MT0XrvGGM-vytMP1OyDgAY&amp;q=site%3Alinkedin.com+Heba+Qazilbash+Student+Success+Programs+Assistant")</f>
        <v>https://www.google.com/search?newwindow=1&amp;ei=2MT0XrvGGM-vytMP1OyDgAY&amp;q=site%3Alinkedin.com+Heba+Qazilbash+Student+Success+Programs+Assistant</v>
      </c>
      <c r="K268" s="5" t="str">
        <f t="shared" si="1"/>
        <v>Heba Qazilbash</v>
      </c>
      <c r="L268" s="5" t="str">
        <f t="shared" si="2"/>
        <v>Student Success Programs Assistant</v>
      </c>
      <c r="M268" s="5" t="str">
        <f t="shared" si="3"/>
        <v/>
      </c>
      <c r="N268" s="5" t="str">
        <f t="shared" si="4"/>
        <v>University of Toronto - Faculty of Arts &amp; Science</v>
      </c>
      <c r="O268" s="5" t="str">
        <f t="shared" si="5"/>
        <v>1 year 6 months in role and company</v>
      </c>
      <c r="P268" s="5" t="str">
        <f t="shared" si="6"/>
        <v>Toronto</v>
      </c>
      <c r="Q268" s="5" t="str">
        <f t="shared" si="7"/>
        <v>Ontario</v>
      </c>
      <c r="R268" s="5" t="str">
        <f t="shared" si="8"/>
        <v>Canada</v>
      </c>
    </row>
    <row r="269">
      <c r="A269" s="8" t="s">
        <v>5361</v>
      </c>
      <c r="B269" s="12" t="s">
        <v>5362</v>
      </c>
      <c r="C269" s="10" t="s">
        <v>5363</v>
      </c>
      <c r="D269" s="10"/>
      <c r="E269" s="10" t="s">
        <v>5276</v>
      </c>
      <c r="F269" s="10" t="s">
        <v>192</v>
      </c>
      <c r="G269" s="14" t="s">
        <v>5280</v>
      </c>
      <c r="H269" s="14" t="s">
        <v>4638</v>
      </c>
      <c r="I269" s="15" t="s">
        <v>4600</v>
      </c>
      <c r="J269" s="9" t="str">
        <f>IFERROR(__xludf.DUMMYFUNCTION("""COMPUTED_VALUE"""),"https://www.google.com/search?newwindow=1&amp;ei=2MT0XrvGGM-vytMP1OyDgAY&amp;q=site%3Alinkedin.com+Wendy+Norman+Associate+Director,+Student+Engagement+Programs")</f>
        <v>https://www.google.com/search?newwindow=1&amp;ei=2MT0XrvGGM-vytMP1OyDgAY&amp;q=site%3Alinkedin.com+Wendy+Norman+Associate+Director,+Student+Engagement+Programs</v>
      </c>
      <c r="K269" s="5" t="str">
        <f t="shared" si="1"/>
        <v>Wendy Norman</v>
      </c>
      <c r="L269" s="5" t="str">
        <f t="shared" si="2"/>
        <v>Associate Director, Student Engagement Programs</v>
      </c>
      <c r="M269" s="5" t="str">
        <f t="shared" si="3"/>
        <v/>
      </c>
      <c r="N269" s="5" t="str">
        <f t="shared" si="4"/>
        <v>Simon Fraser University</v>
      </c>
      <c r="O269" s="5" t="str">
        <f t="shared" si="5"/>
        <v>4 years 6 months in role</v>
      </c>
      <c r="P269" s="5" t="str">
        <f t="shared" si="6"/>
        <v>Toronto</v>
      </c>
      <c r="Q269" s="5" t="str">
        <f t="shared" si="7"/>
        <v>Ontario</v>
      </c>
      <c r="R269" s="5" t="str">
        <f t="shared" si="8"/>
        <v>Canada</v>
      </c>
    </row>
    <row r="270">
      <c r="A270" s="8" t="s">
        <v>5364</v>
      </c>
      <c r="B270" s="10" t="s">
        <v>5365</v>
      </c>
      <c r="C270" s="10" t="s">
        <v>5366</v>
      </c>
      <c r="D270" s="10"/>
      <c r="E270" s="10" t="s">
        <v>5367</v>
      </c>
      <c r="F270" s="10" t="s">
        <v>1123</v>
      </c>
      <c r="G270" s="14" t="s">
        <v>5280</v>
      </c>
      <c r="H270" s="14" t="s">
        <v>4638</v>
      </c>
      <c r="I270" s="15" t="s">
        <v>4600</v>
      </c>
      <c r="J270" s="9" t="str">
        <f>IFERROR(__xludf.DUMMYFUNCTION("""COMPUTED_VALUE"""),"https://www.google.com/search?newwindow=1&amp;ei=2MT0XrvGGM-vytMP1OyDgAY&amp;q=site%3Alinkedin.com+Amber+O'Quinn+Vice+Principal+for+International+Student+Programs")</f>
        <v>https://www.google.com/search?newwindow=1&amp;ei=2MT0XrvGGM-vytMP1OyDgAY&amp;q=site%3Alinkedin.com+Amber+O'Quinn+Vice+Principal+for+International+Student+Programs</v>
      </c>
      <c r="K270" s="5" t="str">
        <f t="shared" si="1"/>
        <v>Amber O'Quinn</v>
      </c>
      <c r="L270" s="5" t="str">
        <f t="shared" si="2"/>
        <v>Vice Principal for International Student Programs</v>
      </c>
      <c r="M270" s="5" t="str">
        <f t="shared" si="3"/>
        <v/>
      </c>
      <c r="N270" s="5" t="str">
        <f t="shared" si="4"/>
        <v>Sooke School District</v>
      </c>
      <c r="O270" s="5" t="str">
        <f t="shared" si="5"/>
        <v>5 years 2 months in role and company</v>
      </c>
      <c r="P270" s="5" t="str">
        <f t="shared" si="6"/>
        <v>Toronto</v>
      </c>
      <c r="Q270" s="5" t="str">
        <f t="shared" si="7"/>
        <v>Ontario</v>
      </c>
      <c r="R270" s="5" t="str">
        <f t="shared" si="8"/>
        <v>Canada</v>
      </c>
    </row>
    <row r="271">
      <c r="A271" s="8" t="s">
        <v>5368</v>
      </c>
      <c r="B271" s="10" t="s">
        <v>5369</v>
      </c>
      <c r="C271" s="10" t="s">
        <v>5370</v>
      </c>
      <c r="D271" s="10"/>
      <c r="E271" s="10" t="s">
        <v>5371</v>
      </c>
      <c r="F271" s="10" t="s">
        <v>136</v>
      </c>
      <c r="G271" s="14" t="s">
        <v>5280</v>
      </c>
      <c r="H271" s="14" t="s">
        <v>4638</v>
      </c>
      <c r="I271" s="15" t="s">
        <v>4600</v>
      </c>
      <c r="J271" s="9" t="str">
        <f>IFERROR(__xludf.DUMMYFUNCTION("""COMPUTED_VALUE"""),"https://www.google.com/search?newwindow=1&amp;ei=2MT0XrvGGM-vytMP1OyDgAY&amp;q=site%3Alinkedin.com+Andrea+Kirkham+PhD+Student,+Applied+Human+Nutrition")</f>
        <v>https://www.google.com/search?newwindow=1&amp;ei=2MT0XrvGGM-vytMP1OyDgAY&amp;q=site%3Alinkedin.com+Andrea+Kirkham+PhD+Student,+Applied+Human+Nutrition</v>
      </c>
      <c r="K271" s="5" t="str">
        <f t="shared" si="1"/>
        <v>Andrea Kirkham</v>
      </c>
      <c r="L271" s="5" t="str">
        <f t="shared" si="2"/>
        <v>PhD Student, Applied Human Nutrition</v>
      </c>
      <c r="M271" s="5" t="str">
        <f t="shared" si="3"/>
        <v/>
      </c>
      <c r="N271" s="5" t="str">
        <f t="shared" si="4"/>
        <v>University of Guelph</v>
      </c>
      <c r="O271" s="5" t="str">
        <f t="shared" si="5"/>
        <v>2 years 2 months in role and company</v>
      </c>
      <c r="P271" s="5" t="str">
        <f t="shared" si="6"/>
        <v>Toronto</v>
      </c>
      <c r="Q271" s="5" t="str">
        <f t="shared" si="7"/>
        <v>Ontario</v>
      </c>
      <c r="R271" s="5" t="str">
        <f t="shared" si="8"/>
        <v>Canada</v>
      </c>
    </row>
    <row r="272">
      <c r="A272" s="8" t="s">
        <v>5372</v>
      </c>
      <c r="B272" s="12" t="s">
        <v>5373</v>
      </c>
      <c r="C272" s="10" t="s">
        <v>5270</v>
      </c>
      <c r="D272" s="12"/>
      <c r="E272" s="12" t="s">
        <v>5374</v>
      </c>
      <c r="F272" s="10"/>
      <c r="G272" s="14" t="s">
        <v>5280</v>
      </c>
      <c r="H272" s="14" t="s">
        <v>4638</v>
      </c>
      <c r="I272" s="15" t="s">
        <v>4600</v>
      </c>
      <c r="J272" s="9" t="str">
        <f>IFERROR(__xludf.DUMMYFUNCTION("""COMPUTED_VALUE"""),"https://www.google.com/search?newwindow=1&amp;ei=2MT0XrvGGM-vytMP1OyDgAY&amp;q=site%3Alinkedin.com+Jennifer+Berman+National+Manager,+CPA+Student+Program")</f>
        <v>https://www.google.com/search?newwindow=1&amp;ei=2MT0XrvGGM-vytMP1OyDgAY&amp;q=site%3Alinkedin.com+Jennifer+Berman+National+Manager,+CPA+Student+Program</v>
      </c>
      <c r="K272" s="5" t="str">
        <f t="shared" si="1"/>
        <v>Jennifer Berman</v>
      </c>
      <c r="L272" s="5" t="str">
        <f t="shared" si="2"/>
        <v>National Manager, CPA Student Program</v>
      </c>
      <c r="M272" s="5" t="str">
        <f t="shared" si="3"/>
        <v/>
      </c>
      <c r="N272" s="5" t="str">
        <f t="shared" si="4"/>
        <v>Grant Thornton LLP</v>
      </c>
      <c r="O272" s="5" t="str">
        <f t="shared" si="5"/>
        <v>10 months in role</v>
      </c>
      <c r="P272" s="5" t="str">
        <f t="shared" si="6"/>
        <v>Toronto</v>
      </c>
      <c r="Q272" s="5" t="str">
        <f t="shared" si="7"/>
        <v>Ontario</v>
      </c>
      <c r="R272" s="5" t="str">
        <f t="shared" si="8"/>
        <v>Canada</v>
      </c>
    </row>
    <row r="273">
      <c r="A273" s="8" t="s">
        <v>5375</v>
      </c>
      <c r="B273" s="12" t="s">
        <v>5376</v>
      </c>
      <c r="C273" s="10" t="s">
        <v>480</v>
      </c>
      <c r="D273" s="10"/>
      <c r="E273" s="10" t="s">
        <v>5376</v>
      </c>
      <c r="F273" s="10" t="s">
        <v>63</v>
      </c>
      <c r="G273" s="14" t="s">
        <v>5280</v>
      </c>
      <c r="H273" s="14" t="s">
        <v>4638</v>
      </c>
      <c r="I273" s="15" t="s">
        <v>4600</v>
      </c>
      <c r="J273" s="9" t="str">
        <f>IFERROR(__xludf.DUMMYFUNCTION("""COMPUTED_VALUE"""),"https://www.google.com/search?newwindow=1&amp;ei=2MT0XrvGGM-vytMP1OyDgAY&amp;q=site%3Alinkedin.com+Sandra+Loeppky+Coordinator+of+Commuter,+International+Student+and+Accessibility+Programs")</f>
        <v>https://www.google.com/search?newwindow=1&amp;ei=2MT0XrvGGM-vytMP1OyDgAY&amp;q=site%3Alinkedin.com+Sandra+Loeppky+Coordinator+of+Commuter,+International+Student+and+Accessibility+Programs</v>
      </c>
      <c r="K273" s="5" t="str">
        <f t="shared" si="1"/>
        <v>Sandra Loeppky</v>
      </c>
      <c r="L273" s="5" t="str">
        <f t="shared" si="2"/>
        <v>Coordinator of Commuter, International Student and Accessibility Programs</v>
      </c>
      <c r="M273" s="5" t="str">
        <f t="shared" si="3"/>
        <v/>
      </c>
      <c r="N273" s="5" t="str">
        <f t="shared" si="4"/>
        <v>Canadian Mennonite University</v>
      </c>
      <c r="O273" s="5" t="str">
        <f t="shared" si="5"/>
        <v>10 years 3 months in role and company</v>
      </c>
      <c r="P273" s="5" t="str">
        <f t="shared" si="6"/>
        <v>Toronto</v>
      </c>
      <c r="Q273" s="5" t="str">
        <f t="shared" si="7"/>
        <v>Ontario</v>
      </c>
      <c r="R273" s="5" t="str">
        <f t="shared" si="8"/>
        <v>Canada</v>
      </c>
    </row>
    <row r="274">
      <c r="A274" s="8" t="s">
        <v>5377</v>
      </c>
      <c r="B274" s="10" t="s">
        <v>5378</v>
      </c>
      <c r="C274" s="10" t="s">
        <v>5072</v>
      </c>
      <c r="D274" s="10"/>
      <c r="E274" s="10" t="s">
        <v>5090</v>
      </c>
      <c r="F274" s="10" t="s">
        <v>144</v>
      </c>
      <c r="G274" s="14" t="s">
        <v>5280</v>
      </c>
      <c r="H274" s="14" t="s">
        <v>4638</v>
      </c>
      <c r="I274" s="15" t="s">
        <v>4600</v>
      </c>
      <c r="J274" s="9" t="str">
        <f>IFERROR(__xludf.DUMMYFUNCTION("""COMPUTED_VALUE"""),"https://www.google.com/search?newwindow=1&amp;ei=2MT0XrvGGM-vytMP1OyDgAY&amp;q=site%3Alinkedin.com+Tanya+Saini+Coordinator,+Student+Financial+Aid+&amp;+Awards,+Masters+Programs,+Office+of+the+Registrar+&amp;")</f>
        <v>https://www.google.com/search?newwindow=1&amp;ei=2MT0XrvGGM-vytMP1OyDgAY&amp;q=site%3Alinkedin.com+Tanya+Saini+Coordinator,+Student+Financial+Aid+&amp;+Awards,+Masters+Programs,+Office+of+the+Registrar+&amp;</v>
      </c>
      <c r="K274" s="5" t="str">
        <f t="shared" si="1"/>
        <v>Tanya Saini</v>
      </c>
      <c r="L274" s="5" t="str">
        <f t="shared" si="2"/>
        <v>Coordinator, Student Financial Aid &amp; Awards, Masters Programs, Office of the Registrar &amp;</v>
      </c>
      <c r="M274" s="5" t="str">
        <f t="shared" si="3"/>
        <v/>
      </c>
      <c r="N274" s="5" t="str">
        <f t="shared" si="4"/>
        <v>University of Toronto - Rotman School of Management</v>
      </c>
      <c r="O274" s="5" t="str">
        <f t="shared" si="5"/>
        <v>4 months in role</v>
      </c>
      <c r="P274" s="5" t="str">
        <f t="shared" si="6"/>
        <v>Toronto</v>
      </c>
      <c r="Q274" s="5" t="str">
        <f t="shared" si="7"/>
        <v>Ontario</v>
      </c>
      <c r="R274" s="5" t="str">
        <f t="shared" si="8"/>
        <v>Canada</v>
      </c>
    </row>
    <row r="275">
      <c r="A275" s="8" t="s">
        <v>5379</v>
      </c>
      <c r="B275" s="10" t="s">
        <v>5380</v>
      </c>
      <c r="C275" s="10" t="s">
        <v>5068</v>
      </c>
      <c r="D275" s="10"/>
      <c r="E275" s="10" t="s">
        <v>5381</v>
      </c>
      <c r="F275" s="10" t="s">
        <v>5382</v>
      </c>
      <c r="G275" s="14" t="s">
        <v>5280</v>
      </c>
      <c r="H275" s="14" t="s">
        <v>4638</v>
      </c>
      <c r="I275" s="15" t="s">
        <v>4600</v>
      </c>
      <c r="J275" s="9" t="str">
        <f>IFERROR(__xludf.DUMMYFUNCTION("""COMPUTED_VALUE"""),"https://www.google.com/search?newwindow=1&amp;ei=2MT0XrvGGM-vytMP1OyDgAY&amp;q=site%3Alinkedin.com+Charlene+Mak+International+Student+Advisor:+Immigration+and+University+Regualtions")</f>
        <v>https://www.google.com/search?newwindow=1&amp;ei=2MT0XrvGGM-vytMP1OyDgAY&amp;q=site%3Alinkedin.com+Charlene+Mak+International+Student+Advisor:+Immigration+and+University+Regualtions</v>
      </c>
      <c r="K275" s="5" t="str">
        <f t="shared" si="1"/>
        <v>Charlene Mak</v>
      </c>
      <c r="L275" s="5" t="str">
        <f t="shared" si="2"/>
        <v>International Student Advisor: Immigration and University Regualtions</v>
      </c>
      <c r="M275" s="5" t="str">
        <f t="shared" si="3"/>
        <v/>
      </c>
      <c r="N275" s="5" t="str">
        <f t="shared" si="4"/>
        <v>Wilfrid Laurier University</v>
      </c>
      <c r="O275" s="5" t="str">
        <f t="shared" si="5"/>
        <v>3 years 7 months in role</v>
      </c>
      <c r="P275" s="5" t="str">
        <f t="shared" si="6"/>
        <v>Toronto</v>
      </c>
      <c r="Q275" s="5" t="str">
        <f t="shared" si="7"/>
        <v>Ontario</v>
      </c>
      <c r="R275" s="5" t="str">
        <f t="shared" si="8"/>
        <v>Canada</v>
      </c>
    </row>
    <row r="276">
      <c r="A276" s="8" t="s">
        <v>5383</v>
      </c>
      <c r="B276" s="10" t="s">
        <v>5384</v>
      </c>
      <c r="C276" s="10" t="s">
        <v>4596</v>
      </c>
      <c r="D276" s="10"/>
      <c r="E276" s="10" t="s">
        <v>5385</v>
      </c>
      <c r="F276" s="10" t="s">
        <v>5386</v>
      </c>
      <c r="G276" s="14" t="s">
        <v>5280</v>
      </c>
      <c r="H276" s="14" t="s">
        <v>4638</v>
      </c>
      <c r="I276" s="15" t="s">
        <v>4600</v>
      </c>
      <c r="J276" s="9" t="str">
        <f>IFERROR(__xludf.DUMMYFUNCTION("""COMPUTED_VALUE"""),"https://www.google.com/search?newwindow=1&amp;ei=2MT0XrvGGM-vytMP1OyDgAY&amp;q=site%3Alinkedin.com+Jenna+Purther+University+Student")</f>
        <v>https://www.google.com/search?newwindow=1&amp;ei=2MT0XrvGGM-vytMP1OyDgAY&amp;q=site%3Alinkedin.com+Jenna+Purther+University+Student</v>
      </c>
      <c r="K276" s="5" t="str">
        <f t="shared" si="1"/>
        <v>Jenna Purther</v>
      </c>
      <c r="L276" s="5" t="str">
        <f t="shared" si="2"/>
        <v>University Student</v>
      </c>
      <c r="M276" s="5" t="str">
        <f t="shared" si="3"/>
        <v/>
      </c>
      <c r="N276" s="5" t="str">
        <f t="shared" si="4"/>
        <v>Ryerson University</v>
      </c>
      <c r="O276" s="5" t="str">
        <f t="shared" si="5"/>
        <v>2 years 2 months in role and company</v>
      </c>
      <c r="P276" s="5" t="str">
        <f t="shared" si="6"/>
        <v>Toronto</v>
      </c>
      <c r="Q276" s="5" t="str">
        <f t="shared" si="7"/>
        <v>Ontario</v>
      </c>
      <c r="R276" s="5" t="str">
        <f t="shared" si="8"/>
        <v>Canada</v>
      </c>
    </row>
    <row r="277">
      <c r="A277" s="8" t="s">
        <v>5387</v>
      </c>
      <c r="B277" s="10" t="s">
        <v>5388</v>
      </c>
      <c r="C277" s="10" t="s">
        <v>5389</v>
      </c>
      <c r="D277" s="10"/>
      <c r="E277" s="10" t="s">
        <v>621</v>
      </c>
      <c r="F277" s="10" t="s">
        <v>2818</v>
      </c>
      <c r="G277" s="14" t="s">
        <v>5280</v>
      </c>
      <c r="H277" s="14" t="s">
        <v>4638</v>
      </c>
      <c r="I277" s="15" t="s">
        <v>4600</v>
      </c>
      <c r="J277" s="9" t="str">
        <f>IFERROR(__xludf.DUMMYFUNCTION("""COMPUTED_VALUE"""),"https://www.google.com/search?newwindow=1&amp;ei=2MT0XrvGGM-vytMP1OyDgAY&amp;q=site%3Alinkedin.com+Maureen+Workman+Manager+of+Student+Clubs")</f>
        <v>https://www.google.com/search?newwindow=1&amp;ei=2MT0XrvGGM-vytMP1OyDgAY&amp;q=site%3Alinkedin.com+Maureen+Workman+Manager+of+Student+Clubs</v>
      </c>
      <c r="K277" s="5" t="str">
        <f t="shared" si="1"/>
        <v>Maureen Workman</v>
      </c>
      <c r="L277" s="5" t="str">
        <f t="shared" si="2"/>
        <v>Manager of Student Clubs</v>
      </c>
      <c r="M277" s="5" t="str">
        <f t="shared" si="3"/>
        <v/>
      </c>
      <c r="N277" s="5" t="str">
        <f t="shared" si="4"/>
        <v>Students' Association MacEwan University</v>
      </c>
      <c r="O277" s="5" t="str">
        <f t="shared" si="5"/>
        <v>9 years 2 months in role and company</v>
      </c>
      <c r="P277" s="5" t="str">
        <f t="shared" si="6"/>
        <v>Toronto</v>
      </c>
      <c r="Q277" s="5" t="str">
        <f t="shared" si="7"/>
        <v>Ontario</v>
      </c>
      <c r="R277" s="5" t="str">
        <f t="shared" si="8"/>
        <v>Canada</v>
      </c>
    </row>
    <row r="278">
      <c r="A278" s="8" t="s">
        <v>5390</v>
      </c>
      <c r="B278" s="10" t="s">
        <v>5391</v>
      </c>
      <c r="C278" s="10" t="s">
        <v>5392</v>
      </c>
      <c r="D278" s="10"/>
      <c r="E278" s="10" t="s">
        <v>5393</v>
      </c>
      <c r="F278" s="10" t="s">
        <v>144</v>
      </c>
      <c r="G278" s="14" t="s">
        <v>5280</v>
      </c>
      <c r="H278" s="14" t="s">
        <v>4638</v>
      </c>
      <c r="I278" s="15" t="s">
        <v>4600</v>
      </c>
      <c r="J278" s="9" t="str">
        <f>IFERROR(__xludf.DUMMYFUNCTION("""COMPUTED_VALUE"""),"https://www.google.com/search?newwindow=1&amp;ei=2MT0XrvGGM-vytMP1OyDgAY&amp;q=site%3Alinkedin.com+Laura+Schwertfeger+District+Principal;+International+Student+Programs")</f>
        <v>https://www.google.com/search?newwindow=1&amp;ei=2MT0XrvGGM-vytMP1OyDgAY&amp;q=site%3Alinkedin.com+Laura+Schwertfeger+District+Principal;+International+Student+Programs</v>
      </c>
      <c r="K278" s="5" t="str">
        <f t="shared" si="1"/>
        <v>Laura Schwertfeger</v>
      </c>
      <c r="L278" s="5" t="str">
        <f t="shared" si="2"/>
        <v>District Principal; International Student Programs</v>
      </c>
      <c r="M278" s="5" t="str">
        <f t="shared" si="3"/>
        <v/>
      </c>
      <c r="N278" s="5" t="str">
        <f t="shared" si="4"/>
        <v>Sooke School District</v>
      </c>
      <c r="O278" s="5" t="str">
        <f t="shared" si="5"/>
        <v>10 years 1 month in role and company</v>
      </c>
      <c r="P278" s="5" t="str">
        <f t="shared" si="6"/>
        <v>Toronto</v>
      </c>
      <c r="Q278" s="5" t="str">
        <f t="shared" si="7"/>
        <v>Ontario</v>
      </c>
      <c r="R278" s="5" t="str">
        <f t="shared" si="8"/>
        <v>Canada</v>
      </c>
    </row>
    <row r="279">
      <c r="A279" s="8" t="s">
        <v>5394</v>
      </c>
      <c r="B279" s="12" t="s">
        <v>5395</v>
      </c>
      <c r="C279" s="10" t="s">
        <v>5396</v>
      </c>
      <c r="D279" s="10"/>
      <c r="E279" s="10" t="s">
        <v>5397</v>
      </c>
      <c r="F279" s="10" t="s">
        <v>554</v>
      </c>
      <c r="G279" s="14" t="s">
        <v>5280</v>
      </c>
      <c r="H279" s="14" t="s">
        <v>4638</v>
      </c>
      <c r="I279" s="15" t="s">
        <v>4600</v>
      </c>
      <c r="J279" s="9" t="str">
        <f>IFERROR(__xludf.DUMMYFUNCTION("""COMPUTED_VALUE"""),"https://www.google.com/search?newwindow=1&amp;ei=2MT0XrvGGM-vytMP1OyDgAY&amp;q=site%3Alinkedin.com+Nezha+soumir+Recreation+Programs+Assistant")</f>
        <v>https://www.google.com/search?newwindow=1&amp;ei=2MT0XrvGGM-vytMP1OyDgAY&amp;q=site%3Alinkedin.com+Nezha+soumir+Recreation+Programs+Assistant</v>
      </c>
      <c r="K279" s="5" t="str">
        <f t="shared" si="1"/>
        <v>Nezha soumir</v>
      </c>
      <c r="L279" s="5" t="str">
        <f t="shared" si="2"/>
        <v>Recreation Programs Assistant</v>
      </c>
      <c r="M279" s="5" t="str">
        <f t="shared" si="3"/>
        <v/>
      </c>
      <c r="N279" s="5" t="str">
        <f t="shared" si="4"/>
        <v>Hamlet</v>
      </c>
      <c r="O279" s="5" t="str">
        <f t="shared" si="5"/>
        <v>2 years 6 months in role and company</v>
      </c>
      <c r="P279" s="5" t="str">
        <f t="shared" si="6"/>
        <v>Toronto</v>
      </c>
      <c r="Q279" s="5" t="str">
        <f t="shared" si="7"/>
        <v>Ontario</v>
      </c>
      <c r="R279" s="5" t="str">
        <f t="shared" si="8"/>
        <v>Canada</v>
      </c>
    </row>
    <row r="280">
      <c r="A280" s="8" t="s">
        <v>5398</v>
      </c>
      <c r="B280" s="10" t="s">
        <v>5399</v>
      </c>
      <c r="C280" s="10" t="s">
        <v>5400</v>
      </c>
      <c r="D280" s="10"/>
      <c r="E280" s="10" t="s">
        <v>5401</v>
      </c>
      <c r="F280" s="10" t="s">
        <v>15</v>
      </c>
      <c r="G280" s="14" t="s">
        <v>5280</v>
      </c>
      <c r="H280" s="14" t="s">
        <v>4638</v>
      </c>
      <c r="I280" s="15" t="s">
        <v>4600</v>
      </c>
      <c r="J280" s="9" t="str">
        <f>IFERROR(__xludf.DUMMYFUNCTION("""COMPUTED_VALUE"""),"https://www.google.com/search?newwindow=1&amp;ei=2MT0XrvGGM-vytMP1OyDgAY&amp;q=site%3Alinkedin.com+Amanda+Lemus+Administrative+Assistant+&amp;+Student+Programs+Support")</f>
        <v>https://www.google.com/search?newwindow=1&amp;ei=2MT0XrvGGM-vytMP1OyDgAY&amp;q=site%3Alinkedin.com+Amanda+Lemus+Administrative+Assistant+&amp;+Student+Programs+Support</v>
      </c>
      <c r="K280" s="5" t="str">
        <f t="shared" si="1"/>
        <v>Amanda Lemus</v>
      </c>
      <c r="L280" s="5" t="str">
        <f t="shared" si="2"/>
        <v>Administrative Assistant &amp; Student Programs Support</v>
      </c>
      <c r="M280" s="5" t="str">
        <f t="shared" si="3"/>
        <v/>
      </c>
      <c r="N280" s="5" t="str">
        <f t="shared" si="4"/>
        <v>The McMaster Chaplaincy Centre</v>
      </c>
      <c r="O280" s="5" t="str">
        <f t="shared" si="5"/>
        <v>6 years 10 months in role and company</v>
      </c>
      <c r="P280" s="5" t="str">
        <f t="shared" si="6"/>
        <v>Toronto</v>
      </c>
      <c r="Q280" s="5" t="str">
        <f t="shared" si="7"/>
        <v>Ontario</v>
      </c>
      <c r="R280" s="5" t="str">
        <f t="shared" si="8"/>
        <v>Canada</v>
      </c>
    </row>
    <row r="281">
      <c r="A281" s="8" t="s">
        <v>5278</v>
      </c>
      <c r="B281" s="12" t="s">
        <v>5279</v>
      </c>
      <c r="C281" s="10" t="s">
        <v>32</v>
      </c>
      <c r="D281" s="10"/>
      <c r="E281" s="10" t="s">
        <v>4007</v>
      </c>
      <c r="F281" s="10" t="s">
        <v>496</v>
      </c>
      <c r="G281" s="14" t="s">
        <v>5280</v>
      </c>
      <c r="H281" s="14" t="s">
        <v>4638</v>
      </c>
      <c r="I281" s="15" t="s">
        <v>4600</v>
      </c>
      <c r="J281" s="9" t="str">
        <f>IFERROR(__xludf.DUMMYFUNCTION("""COMPUTED_VALUE"""),"https://www.google.com/search?newwindow=1&amp;ei=2MT0XrvGGM-vytMP1OyDgAY&amp;q=site%3Alinkedin.com+Jenny+Gardipy+University+Student")</f>
        <v>https://www.google.com/search?newwindow=1&amp;ei=2MT0XrvGGM-vytMP1OyDgAY&amp;q=site%3Alinkedin.com+Jenny+Gardipy+University+Student</v>
      </c>
      <c r="K281" s="5" t="str">
        <f t="shared" si="1"/>
        <v>Jenny Gardipy</v>
      </c>
      <c r="L281" s="5" t="str">
        <f t="shared" si="2"/>
        <v>University Student</v>
      </c>
      <c r="M281" s="5" t="str">
        <f t="shared" si="3"/>
        <v/>
      </c>
      <c r="N281" s="5" t="str">
        <f t="shared" si="4"/>
        <v>University of Saskatchewan</v>
      </c>
      <c r="O281" s="5" t="str">
        <f t="shared" si="5"/>
        <v>1 year 2 months in role and company</v>
      </c>
      <c r="P281" s="5" t="str">
        <f t="shared" si="6"/>
        <v>Toronto</v>
      </c>
      <c r="Q281" s="5" t="str">
        <f t="shared" si="7"/>
        <v>Ontario</v>
      </c>
      <c r="R281" s="5" t="str">
        <f t="shared" si="8"/>
        <v>Canada</v>
      </c>
    </row>
    <row r="282">
      <c r="A282" s="8" t="s">
        <v>5281</v>
      </c>
      <c r="B282" s="10" t="s">
        <v>5282</v>
      </c>
      <c r="C282" s="10" t="s">
        <v>25</v>
      </c>
      <c r="D282" s="10"/>
      <c r="E282" s="10" t="s">
        <v>5283</v>
      </c>
      <c r="F282" s="10" t="s">
        <v>554</v>
      </c>
      <c r="G282" s="14" t="s">
        <v>5280</v>
      </c>
      <c r="H282" s="14" t="s">
        <v>4638</v>
      </c>
      <c r="I282" s="15" t="s">
        <v>4600</v>
      </c>
      <c r="J282" s="9" t="str">
        <f>IFERROR(__xludf.DUMMYFUNCTION("""COMPUTED_VALUE"""),"https://www.google.com/search?newwindow=1&amp;ei=2MT0XrvGGM-vytMP1OyDgAY&amp;q=site%3Alinkedin.com+Jeff+Dewolfe+Director+of+Programs+and+Student+Services")</f>
        <v>https://www.google.com/search?newwindow=1&amp;ei=2MT0XrvGGM-vytMP1OyDgAY&amp;q=site%3Alinkedin.com+Jeff+Dewolfe+Director+of+Programs+and+Student+Services</v>
      </c>
      <c r="K282" s="5" t="str">
        <f t="shared" si="1"/>
        <v>Jeff Dewolfe</v>
      </c>
      <c r="L282" s="5" t="str">
        <f t="shared" si="2"/>
        <v>Director of Programs and Student Services</v>
      </c>
      <c r="M282" s="5" t="str">
        <f t="shared" si="3"/>
        <v/>
      </c>
      <c r="N282" s="5" t="str">
        <f t="shared" si="4"/>
        <v>South Shore Regional School Board</v>
      </c>
      <c r="O282" s="5" t="str">
        <f t="shared" si="5"/>
        <v/>
      </c>
      <c r="P282" s="5" t="str">
        <f t="shared" si="6"/>
        <v>Toronto</v>
      </c>
      <c r="Q282" s="5" t="str">
        <f t="shared" si="7"/>
        <v>Ontario</v>
      </c>
      <c r="R282" s="5" t="str">
        <f t="shared" si="8"/>
        <v>Canada</v>
      </c>
    </row>
    <row r="283">
      <c r="A283" s="8" t="s">
        <v>5284</v>
      </c>
      <c r="B283" s="10" t="s">
        <v>5285</v>
      </c>
      <c r="C283" s="10" t="s">
        <v>5286</v>
      </c>
      <c r="D283" s="10"/>
      <c r="E283" s="10" t="s">
        <v>5287</v>
      </c>
      <c r="F283" s="10" t="s">
        <v>651</v>
      </c>
      <c r="G283" s="14" t="s">
        <v>5280</v>
      </c>
      <c r="H283" s="14" t="s">
        <v>4638</v>
      </c>
      <c r="I283" s="15" t="s">
        <v>4600</v>
      </c>
      <c r="J283" s="9" t="str">
        <f>IFERROR(__xludf.DUMMYFUNCTION("""COMPUTED_VALUE"""),"https://www.google.com/search?newwindow=1&amp;ei=2MT0XrvGGM-vytMP1OyDgAY&amp;q=site%3Alinkedin.com+Desiree+Bagnall+Tourism+Resource+and+Programs+Coordinator")</f>
        <v>https://www.google.com/search?newwindow=1&amp;ei=2MT0XrvGGM-vytMP1OyDgAY&amp;q=site%3Alinkedin.com+Desiree+Bagnall+Tourism+Resource+and+Programs+Coordinator</v>
      </c>
      <c r="K283" s="5" t="str">
        <f t="shared" si="1"/>
        <v>Desiree Bagnall</v>
      </c>
      <c r="L283" s="5" t="str">
        <f t="shared" si="2"/>
        <v>Tourism Resource and Programs Coordinator</v>
      </c>
      <c r="M283" s="5" t="str">
        <f t="shared" si="3"/>
        <v/>
      </c>
      <c r="N283" s="5" t="str">
        <f t="shared" si="4"/>
        <v>Government of the Northwest Territories</v>
      </c>
      <c r="O283" s="5" t="str">
        <f t="shared" si="5"/>
        <v>2 years 8 months in role and company</v>
      </c>
      <c r="P283" s="5" t="str">
        <f t="shared" si="6"/>
        <v>Toronto</v>
      </c>
      <c r="Q283" s="5" t="str">
        <f t="shared" si="7"/>
        <v>Ontario</v>
      </c>
      <c r="R283" s="5" t="str">
        <f t="shared" si="8"/>
        <v>Canada</v>
      </c>
    </row>
    <row r="284">
      <c r="A284" s="8" t="s">
        <v>5288</v>
      </c>
      <c r="B284" s="10" t="s">
        <v>5289</v>
      </c>
      <c r="C284" s="10" t="s">
        <v>5290</v>
      </c>
      <c r="D284" s="10"/>
      <c r="E284" s="10" t="s">
        <v>5291</v>
      </c>
      <c r="F284" s="10" t="s">
        <v>387</v>
      </c>
      <c r="G284" s="14" t="s">
        <v>5280</v>
      </c>
      <c r="H284" s="14" t="s">
        <v>4638</v>
      </c>
      <c r="I284" s="15" t="s">
        <v>4600</v>
      </c>
      <c r="J284" s="9" t="str">
        <f>IFERROR(__xludf.DUMMYFUNCTION("""COMPUTED_VALUE"""),"https://www.google.com/search?newwindow=1&amp;ei=2MT0XrvGGM-vytMP1OyDgAY&amp;q=site%3Alinkedin.com+Bissoon+Radica+Coordinator+of+Student+and+Associate+Programs")</f>
        <v>https://www.google.com/search?newwindow=1&amp;ei=2MT0XrvGGM-vytMP1OyDgAY&amp;q=site%3Alinkedin.com+Bissoon+Radica+Coordinator+of+Student+and+Associate+Programs</v>
      </c>
      <c r="K284" s="5" t="str">
        <f t="shared" si="1"/>
        <v>Bissoon Radica</v>
      </c>
      <c r="L284" s="5" t="str">
        <f t="shared" si="2"/>
        <v>Coordinator of Student and Associate Programs</v>
      </c>
      <c r="M284" s="5" t="str">
        <f t="shared" si="3"/>
        <v/>
      </c>
      <c r="N284" s="5" t="str">
        <f t="shared" si="4"/>
        <v>Gowling WLG (Canada) LLP</v>
      </c>
      <c r="O284" s="5" t="str">
        <f t="shared" si="5"/>
        <v>16 years 3 months in role and company</v>
      </c>
      <c r="P284" s="5" t="str">
        <f t="shared" si="6"/>
        <v>Toronto</v>
      </c>
      <c r="Q284" s="5" t="str">
        <f t="shared" si="7"/>
        <v>Ontario</v>
      </c>
      <c r="R284" s="5" t="str">
        <f t="shared" si="8"/>
        <v>Canada</v>
      </c>
    </row>
    <row r="285">
      <c r="A285" s="8" t="s">
        <v>5292</v>
      </c>
      <c r="B285" s="12" t="s">
        <v>5293</v>
      </c>
      <c r="C285" s="10" t="s">
        <v>5294</v>
      </c>
      <c r="D285" s="10"/>
      <c r="E285" s="10" t="s">
        <v>5295</v>
      </c>
      <c r="F285" s="10" t="s">
        <v>222</v>
      </c>
      <c r="G285" s="14" t="s">
        <v>5280</v>
      </c>
      <c r="H285" s="14" t="s">
        <v>4638</v>
      </c>
      <c r="I285" s="15" t="s">
        <v>4600</v>
      </c>
      <c r="J285" s="9" t="str">
        <f>IFERROR(__xludf.DUMMYFUNCTION("""COMPUTED_VALUE"""),"https://www.google.com/search?newwindow=1&amp;ei=2MT0XrvGGM-vytMP1OyDgAY&amp;q=site%3Alinkedin.com+Doug+Bothwell+Student+Success/Sec.+School+Programs+Principal")</f>
        <v>https://www.google.com/search?newwindow=1&amp;ei=2MT0XrvGGM-vytMP1OyDgAY&amp;q=site%3Alinkedin.com+Doug+Bothwell+Student+Success/Sec.+School+Programs+Principal</v>
      </c>
      <c r="K285" s="5" t="str">
        <f t="shared" si="1"/>
        <v>Doug Bothwell</v>
      </c>
      <c r="L285" s="5" t="str">
        <f t="shared" si="2"/>
        <v>Student Success/Sec. School Programs Principal</v>
      </c>
      <c r="M285" s="5" t="str">
        <f t="shared" si="3"/>
        <v/>
      </c>
      <c r="N285" s="5" t="str">
        <f t="shared" si="4"/>
        <v>Halton District School Board</v>
      </c>
      <c r="O285" s="5" t="str">
        <f t="shared" si="5"/>
        <v/>
      </c>
      <c r="P285" s="5" t="str">
        <f t="shared" si="6"/>
        <v>Toronto</v>
      </c>
      <c r="Q285" s="5" t="str">
        <f t="shared" si="7"/>
        <v>Ontario</v>
      </c>
      <c r="R285" s="5" t="str">
        <f t="shared" si="8"/>
        <v>Canada</v>
      </c>
    </row>
    <row r="286">
      <c r="A286" s="8" t="s">
        <v>5298</v>
      </c>
      <c r="B286" s="10" t="s">
        <v>5299</v>
      </c>
      <c r="C286" s="10" t="s">
        <v>5300</v>
      </c>
      <c r="D286" s="10"/>
      <c r="E286" s="10" t="s">
        <v>5090</v>
      </c>
      <c r="F286" s="10" t="s">
        <v>1460</v>
      </c>
      <c r="G286" s="14" t="s">
        <v>5280</v>
      </c>
      <c r="H286" s="14" t="s">
        <v>4638</v>
      </c>
      <c r="I286" s="15" t="s">
        <v>4600</v>
      </c>
      <c r="J286" s="9" t="str">
        <f>IFERROR(__xludf.DUMMYFUNCTION("""COMPUTED_VALUE"""),"https://www.google.com/search?newwindow=1&amp;ei=2MT0XrvGGM-vytMP1OyDgAY&amp;q=site%3Alinkedin.com+Jakob+Voo+(he/him)+CBE+Student+Employability+Coordinator+(Industry+Programs)")</f>
        <v>https://www.google.com/search?newwindow=1&amp;ei=2MT0XrvGGM-vytMP1OyDgAY&amp;q=site%3Alinkedin.com+Jakob+Voo+(he/him)+CBE+Student+Employability+Coordinator+(Industry+Programs)</v>
      </c>
      <c r="K286" s="5" t="str">
        <f t="shared" si="1"/>
        <v>Jakob Voo (he/him)</v>
      </c>
      <c r="L286" s="5" t="str">
        <f t="shared" si="2"/>
        <v>CBE Student Employability Coordinator (Industry Programs)</v>
      </c>
      <c r="M286" s="5" t="str">
        <f t="shared" si="3"/>
        <v/>
      </c>
      <c r="N286" s="5" t="str">
        <f t="shared" si="4"/>
        <v>The Australian National University</v>
      </c>
      <c r="O286" s="5" t="str">
        <f t="shared" si="5"/>
        <v>1 year 2 months in role</v>
      </c>
      <c r="P286" s="5" t="str">
        <f t="shared" si="6"/>
        <v>Canberra</v>
      </c>
      <c r="Q286" s="5" t="str">
        <f t="shared" si="7"/>
        <v>Australian Capital Territory</v>
      </c>
      <c r="R286" s="5" t="str">
        <f t="shared" si="8"/>
        <v>Australia</v>
      </c>
    </row>
    <row r="287">
      <c r="A287" s="8" t="s">
        <v>5296</v>
      </c>
      <c r="B287" s="10" t="s">
        <v>5297</v>
      </c>
      <c r="C287" s="10" t="s">
        <v>1378</v>
      </c>
      <c r="D287" s="10"/>
      <c r="E287" s="10" t="s">
        <v>4701</v>
      </c>
      <c r="F287" s="10" t="s">
        <v>237</v>
      </c>
      <c r="G287" s="14" t="s">
        <v>5280</v>
      </c>
      <c r="H287" s="14" t="s">
        <v>4638</v>
      </c>
      <c r="I287" s="15" t="s">
        <v>4600</v>
      </c>
      <c r="J287" s="9" t="str">
        <f>IFERROR(__xludf.DUMMYFUNCTION("""COMPUTED_VALUE"""),"https://www.google.com/search?newwindow=1&amp;ei=2MT0XrvGGM-vytMP1OyDgAY&amp;q=site%3Alinkedin.com+Dylan+Clements+Programs+Manager")</f>
        <v>https://www.google.com/search?newwindow=1&amp;ei=2MT0XrvGGM-vytMP1OyDgAY&amp;q=site%3Alinkedin.com+Dylan+Clements+Programs+Manager</v>
      </c>
      <c r="K287" s="5" t="str">
        <f t="shared" si="1"/>
        <v>Dylan Clements</v>
      </c>
      <c r="L287" s="5" t="str">
        <f t="shared" si="2"/>
        <v>Programs Manager</v>
      </c>
      <c r="M287" s="5" t="str">
        <f t="shared" si="3"/>
        <v/>
      </c>
      <c r="N287" s="5" t="str">
        <f t="shared" si="4"/>
        <v>Academy of the Social Sciences in Australia</v>
      </c>
      <c r="O287" s="5" t="str">
        <f t="shared" si="5"/>
        <v>2 years 11 months in role and company</v>
      </c>
      <c r="P287" s="5" t="str">
        <f t="shared" si="6"/>
        <v>Canberra</v>
      </c>
      <c r="Q287" s="5" t="str">
        <f t="shared" si="7"/>
        <v>Australian Capital Territory</v>
      </c>
      <c r="R287" s="5" t="str">
        <f t="shared" si="8"/>
        <v>Australia</v>
      </c>
    </row>
    <row r="288">
      <c r="A288" s="8" t="s">
        <v>5402</v>
      </c>
      <c r="B288" s="12" t="s">
        <v>5403</v>
      </c>
      <c r="C288" s="10" t="s">
        <v>5404</v>
      </c>
      <c r="D288" s="10"/>
      <c r="E288" s="10" t="s">
        <v>5405</v>
      </c>
      <c r="F288" s="10" t="s">
        <v>237</v>
      </c>
      <c r="G288" s="14" t="s">
        <v>5280</v>
      </c>
      <c r="H288" s="14" t="s">
        <v>4638</v>
      </c>
      <c r="I288" s="15" t="s">
        <v>4600</v>
      </c>
      <c r="J288" s="9" t="str">
        <f>IFERROR(__xludf.DUMMYFUNCTION("""COMPUTED_VALUE"""),"https://www.google.com/search?newwindow=1&amp;ei=2MT0XrvGGM-vytMP1OyDgAY&amp;q=site%3Alinkedin.com+Wendy+Moore+Teacher,+Aboriginal+Health+Programs")</f>
        <v>https://www.google.com/search?newwindow=1&amp;ei=2MT0XrvGGM-vytMP1OyDgAY&amp;q=site%3Alinkedin.com+Wendy+Moore+Teacher,+Aboriginal+Health+Programs</v>
      </c>
      <c r="K288" s="5" t="str">
        <f t="shared" si="1"/>
        <v>Wendy Moore</v>
      </c>
      <c r="L288" s="5" t="str">
        <f t="shared" si="2"/>
        <v>Teacher, Aboriginal Health Programs</v>
      </c>
      <c r="M288" s="5" t="str">
        <f t="shared" si="3"/>
        <v/>
      </c>
      <c r="N288" s="5" t="str">
        <f t="shared" si="4"/>
        <v>TAFE NSW</v>
      </c>
      <c r="O288" s="5" t="str">
        <f t="shared" si="5"/>
        <v>1 year 11 months in role and company</v>
      </c>
      <c r="P288" s="5" t="str">
        <f t="shared" si="6"/>
        <v>Canobolas</v>
      </c>
      <c r="Q288" s="5" t="str">
        <f t="shared" si="7"/>
        <v>New South Wales</v>
      </c>
      <c r="R288" s="5" t="str">
        <f t="shared" si="8"/>
        <v>Australia</v>
      </c>
    </row>
    <row r="289">
      <c r="A289" s="8" t="s">
        <v>5305</v>
      </c>
      <c r="B289" s="10" t="s">
        <v>5306</v>
      </c>
      <c r="C289" s="10" t="s">
        <v>404</v>
      </c>
      <c r="D289" s="10"/>
      <c r="E289" s="10" t="s">
        <v>5307</v>
      </c>
      <c r="F289" s="10" t="s">
        <v>222</v>
      </c>
      <c r="G289" s="14" t="s">
        <v>5280</v>
      </c>
      <c r="H289" s="14" t="s">
        <v>4638</v>
      </c>
      <c r="I289" s="15" t="s">
        <v>4600</v>
      </c>
      <c r="J289" s="9" t="str">
        <f>IFERROR(__xludf.DUMMYFUNCTION("""COMPUTED_VALUE"""),"https://www.google.com/search?newwindow=1&amp;ei=2MT0XrvGGM-vytMP1OyDgAY&amp;q=site%3Alinkedin.com+Matthew+Aitchison+Student+Recruiter")</f>
        <v>https://www.google.com/search?newwindow=1&amp;ei=2MT0XrvGGM-vytMP1OyDgAY&amp;q=site%3Alinkedin.com+Matthew+Aitchison+Student+Recruiter</v>
      </c>
      <c r="K289" s="5" t="str">
        <f t="shared" si="1"/>
        <v>Matthew Aitchison</v>
      </c>
      <c r="L289" s="5" t="str">
        <f t="shared" si="2"/>
        <v>Student Recruiter</v>
      </c>
      <c r="M289" s="5" t="str">
        <f t="shared" si="3"/>
        <v/>
      </c>
      <c r="N289" s="5" t="str">
        <f t="shared" si="4"/>
        <v>University</v>
      </c>
      <c r="O289" s="5" t="str">
        <f t="shared" si="5"/>
        <v/>
      </c>
      <c r="P289" s="5" t="str">
        <f t="shared" si="6"/>
        <v>Carlisle</v>
      </c>
      <c r="Q289" s="5" t="str">
        <f t="shared" si="7"/>
        <v>England</v>
      </c>
      <c r="R289" s="5" t="str">
        <f t="shared" si="8"/>
        <v>United Kingdom</v>
      </c>
    </row>
    <row r="290">
      <c r="A290" s="8" t="s">
        <v>5308</v>
      </c>
      <c r="B290" s="10" t="s">
        <v>3223</v>
      </c>
      <c r="C290" s="10" t="s">
        <v>5309</v>
      </c>
      <c r="D290" s="10"/>
      <c r="E290" s="10" t="s">
        <v>5310</v>
      </c>
      <c r="F290" s="10" t="s">
        <v>233</v>
      </c>
      <c r="G290" s="14" t="s">
        <v>5280</v>
      </c>
      <c r="H290" s="14" t="s">
        <v>4638</v>
      </c>
      <c r="I290" s="15" t="s">
        <v>4600</v>
      </c>
      <c r="J290" s="9" t="str">
        <f>IFERROR(__xludf.DUMMYFUNCTION("""COMPUTED_VALUE"""),"https://www.google.com/search?newwindow=1&amp;ei=2MT0XrvGGM-vytMP1OyDgAY&amp;q=site%3Alinkedin.com+Lauren+Suttner+Campus+Recruiting+Manager")</f>
        <v>https://www.google.com/search?newwindow=1&amp;ei=2MT0XrvGGM-vytMP1OyDgAY&amp;q=site%3Alinkedin.com+Lauren+Suttner+Campus+Recruiting+Manager</v>
      </c>
      <c r="K290" s="5" t="str">
        <f t="shared" si="1"/>
        <v>Lauren Suttner</v>
      </c>
      <c r="L290" s="5" t="str">
        <f t="shared" si="2"/>
        <v>Campus Recruiting Manager</v>
      </c>
      <c r="M290" s="5" t="str">
        <f t="shared" si="3"/>
        <v/>
      </c>
      <c r="N290" s="5" t="str">
        <f t="shared" si="4"/>
        <v>PwC</v>
      </c>
      <c r="O290" s="5" t="str">
        <f t="shared" si="5"/>
        <v>6 years 3 months in role</v>
      </c>
      <c r="P290" s="5" t="str">
        <f t="shared" si="6"/>
        <v>Carmel</v>
      </c>
      <c r="Q290" s="5" t="str">
        <f t="shared" si="7"/>
        <v>Indiana</v>
      </c>
      <c r="R290" s="5" t="str">
        <f t="shared" si="8"/>
        <v>United States</v>
      </c>
    </row>
    <row r="291">
      <c r="A291" s="8" t="s">
        <v>5301</v>
      </c>
      <c r="B291" s="12" t="s">
        <v>5302</v>
      </c>
      <c r="C291" s="10" t="s">
        <v>5303</v>
      </c>
      <c r="D291" s="10"/>
      <c r="E291" s="10" t="s">
        <v>5304</v>
      </c>
      <c r="F291" s="10" t="s">
        <v>79</v>
      </c>
      <c r="G291" s="14" t="s">
        <v>5280</v>
      </c>
      <c r="H291" s="14" t="s">
        <v>4638</v>
      </c>
      <c r="I291" s="15" t="s">
        <v>4600</v>
      </c>
      <c r="J291" s="9" t="str">
        <f>IFERROR(__xludf.DUMMYFUNCTION("""COMPUTED_VALUE"""),"https://www.google.com/search?newwindow=1&amp;ei=2MT0XrvGGM-vytMP1OyDgAY&amp;q=site%3Alinkedin.com+Emily+Graves+McWatty+Campus+Recruiting+Southeast+Region+Co-Lead/Campus+Recruiting+Operations+Lead")</f>
        <v>https://www.google.com/search?newwindow=1&amp;ei=2MT0XrvGGM-vytMP1OyDgAY&amp;q=site%3Alinkedin.com+Emily+Graves+McWatty+Campus+Recruiting+Southeast+Region+Co-Lead/Campus+Recruiting+Operations+Lead</v>
      </c>
      <c r="K291" s="5" t="str">
        <f t="shared" si="1"/>
        <v>Emily Graves McWatty</v>
      </c>
      <c r="L291" s="5" t="str">
        <f t="shared" si="2"/>
        <v>Campus Recruiting Southeast Region Co-Lead/Campus Recruiting Operations Lead</v>
      </c>
      <c r="M291" s="5" t="str">
        <f t="shared" si="3"/>
        <v/>
      </c>
      <c r="N291" s="5" t="str">
        <f t="shared" si="4"/>
        <v>Accenture</v>
      </c>
      <c r="O291" s="5" t="str">
        <f t="shared" si="5"/>
        <v>2 years 4 months in role</v>
      </c>
      <c r="P291" s="5" t="str">
        <f t="shared" si="6"/>
        <v>Cary</v>
      </c>
      <c r="Q291" s="5" t="str">
        <f t="shared" si="7"/>
        <v>North Carolina</v>
      </c>
      <c r="R291" s="5" t="str">
        <f t="shared" si="8"/>
        <v>United States</v>
      </c>
    </row>
    <row r="292">
      <c r="A292" s="8" t="s">
        <v>5311</v>
      </c>
      <c r="B292" s="10" t="s">
        <v>5312</v>
      </c>
      <c r="C292" s="10" t="s">
        <v>5313</v>
      </c>
      <c r="D292" s="10"/>
      <c r="E292" s="10" t="s">
        <v>5314</v>
      </c>
      <c r="F292" s="10" t="s">
        <v>257</v>
      </c>
      <c r="G292" s="14" t="s">
        <v>5280</v>
      </c>
      <c r="H292" s="14" t="s">
        <v>4638</v>
      </c>
      <c r="I292" s="15" t="s">
        <v>4600</v>
      </c>
      <c r="J292" s="9" t="str">
        <f>IFERROR(__xludf.DUMMYFUNCTION("""COMPUTED_VALUE"""),"https://www.google.com/search?newwindow=1&amp;ei=2MT0XrvGGM-vytMP1OyDgAY&amp;q=site%3Alinkedin.com+Erica+Johnson+Campus+Recruiting+Manager")</f>
        <v>https://www.google.com/search?newwindow=1&amp;ei=2MT0XrvGGM-vytMP1OyDgAY&amp;q=site%3Alinkedin.com+Erica+Johnson+Campus+Recruiting+Manager</v>
      </c>
      <c r="K292" s="5" t="str">
        <f t="shared" si="1"/>
        <v>Erica Johnson</v>
      </c>
      <c r="L292" s="5" t="str">
        <f t="shared" si="2"/>
        <v>Campus Recruiting Manager</v>
      </c>
      <c r="M292" s="5" t="str">
        <f t="shared" si="3"/>
        <v/>
      </c>
      <c r="N292" s="5" t="str">
        <f t="shared" si="4"/>
        <v>Deloitte LP</v>
      </c>
      <c r="O292" s="5" t="str">
        <f t="shared" si="5"/>
        <v/>
      </c>
      <c r="P292" s="5" t="str">
        <f t="shared" si="6"/>
        <v>Cary</v>
      </c>
      <c r="Q292" s="5" t="str">
        <f t="shared" si="7"/>
        <v>Illinois</v>
      </c>
      <c r="R292" s="5" t="str">
        <f t="shared" si="8"/>
        <v>United States</v>
      </c>
    </row>
    <row r="293">
      <c r="A293" s="8" t="s">
        <v>5315</v>
      </c>
      <c r="B293" s="10" t="s">
        <v>5316</v>
      </c>
      <c r="C293" s="10" t="s">
        <v>5317</v>
      </c>
      <c r="D293" s="10"/>
      <c r="E293" s="10" t="s">
        <v>5314</v>
      </c>
      <c r="F293" s="10" t="s">
        <v>512</v>
      </c>
      <c r="G293" s="14" t="s">
        <v>5280</v>
      </c>
      <c r="H293" s="14" t="s">
        <v>4638</v>
      </c>
      <c r="I293" s="15" t="s">
        <v>4600</v>
      </c>
      <c r="J293" s="9" t="str">
        <f>IFERROR(__xludf.DUMMYFUNCTION("""COMPUTED_VALUE"""),"https://www.google.com/search?newwindow=1&amp;ei=2MT0XrvGGM-vytMP1OyDgAY&amp;q=site%3Alinkedin.com+Samantha+Jacobs+Campus+Recruiting+Coordinator")</f>
        <v>https://www.google.com/search?newwindow=1&amp;ei=2MT0XrvGGM-vytMP1OyDgAY&amp;q=site%3Alinkedin.com+Samantha+Jacobs+Campus+Recruiting+Coordinator</v>
      </c>
      <c r="K293" s="5" t="str">
        <f t="shared" si="1"/>
        <v>Samantha Jacobs</v>
      </c>
      <c r="L293" s="5" t="str">
        <f t="shared" si="2"/>
        <v>Campus Recruiting Coordinator</v>
      </c>
      <c r="M293" s="5" t="str">
        <f t="shared" si="3"/>
        <v/>
      </c>
      <c r="N293" s="5" t="str">
        <f t="shared" si="4"/>
        <v>JPMorgan Chase &amp; Co.</v>
      </c>
      <c r="O293" s="5" t="str">
        <f t="shared" si="5"/>
        <v>1 year 9 months in role and company</v>
      </c>
      <c r="P293" s="5" t="str">
        <f t="shared" si="6"/>
        <v>Chadds Ford</v>
      </c>
      <c r="Q293" s="5" t="str">
        <f t="shared" si="7"/>
        <v>Pennsylvania</v>
      </c>
      <c r="R293" s="5" t="str">
        <f t="shared" si="8"/>
        <v>United States</v>
      </c>
    </row>
    <row r="294">
      <c r="A294" s="8" t="s">
        <v>5406</v>
      </c>
      <c r="B294" s="10" t="s">
        <v>5407</v>
      </c>
      <c r="C294" s="10" t="s">
        <v>5408</v>
      </c>
      <c r="D294" s="10"/>
      <c r="E294" s="10" t="s">
        <v>5409</v>
      </c>
      <c r="F294" s="10" t="s">
        <v>387</v>
      </c>
      <c r="G294" s="14" t="s">
        <v>5280</v>
      </c>
      <c r="H294" s="14" t="s">
        <v>4638</v>
      </c>
      <c r="I294" s="15" t="s">
        <v>4600</v>
      </c>
      <c r="J294" s="9" t="str">
        <f>IFERROR(__xludf.DUMMYFUNCTION("""COMPUTED_VALUE"""),"https://www.google.com/search?newwindow=1&amp;ei=2MT0XrvGGM-vytMP1OyDgAY&amp;q=site%3Alinkedin.com+Britton+Frampton+Campus+Recruiting+Consultant")</f>
        <v>https://www.google.com/search?newwindow=1&amp;ei=2MT0XrvGGM-vytMP1OyDgAY&amp;q=site%3Alinkedin.com+Britton+Frampton+Campus+Recruiting+Consultant</v>
      </c>
      <c r="K294" s="5" t="str">
        <f t="shared" si="1"/>
        <v>Britton Frampton</v>
      </c>
      <c r="L294" s="5" t="str">
        <f t="shared" si="2"/>
        <v>Campus Recruiting Consultant</v>
      </c>
      <c r="M294" s="5" t="str">
        <f t="shared" si="3"/>
        <v/>
      </c>
      <c r="N294" s="5" t="str">
        <f t="shared" si="4"/>
        <v>Wells Fargo</v>
      </c>
      <c r="O294" s="5" t="str">
        <f t="shared" si="5"/>
        <v>2 years 3 months in role and company</v>
      </c>
      <c r="P294" s="5" t="str">
        <f t="shared" si="6"/>
        <v>Charlotte</v>
      </c>
      <c r="Q294" s="5" t="str">
        <f t="shared" si="7"/>
        <v>North Carolina</v>
      </c>
      <c r="R294" s="5" t="str">
        <f t="shared" si="8"/>
        <v>United States</v>
      </c>
    </row>
    <row r="295">
      <c r="A295" s="8" t="s">
        <v>5410</v>
      </c>
      <c r="B295" s="12" t="s">
        <v>5411</v>
      </c>
      <c r="C295" s="10" t="s">
        <v>5412</v>
      </c>
      <c r="D295" s="10"/>
      <c r="E295" s="10" t="s">
        <v>5413</v>
      </c>
      <c r="F295" s="10" t="s">
        <v>188</v>
      </c>
      <c r="G295" s="14" t="s">
        <v>5280</v>
      </c>
      <c r="H295" s="14" t="s">
        <v>4638</v>
      </c>
      <c r="I295" s="15" t="s">
        <v>4600</v>
      </c>
      <c r="J295" s="9" t="str">
        <f>IFERROR(__xludf.DUMMYFUNCTION("""COMPUTED_VALUE"""),"https://www.google.com/search?newwindow=1&amp;ei=2MT0XrvGGM-vytMP1OyDgAY&amp;q=site%3Alinkedin.com+Claire+Hall+Senior+Associate,+Campus+Recruiting")</f>
        <v>https://www.google.com/search?newwindow=1&amp;ei=2MT0XrvGGM-vytMP1OyDgAY&amp;q=site%3Alinkedin.com+Claire+Hall+Senior+Associate,+Campus+Recruiting</v>
      </c>
      <c r="K295" s="5" t="str">
        <f t="shared" si="1"/>
        <v>Claire Hall</v>
      </c>
      <c r="L295" s="5" t="str">
        <f t="shared" si="2"/>
        <v>Senior Associate, Campus Recruiting</v>
      </c>
      <c r="M295" s="5" t="str">
        <f t="shared" si="3"/>
        <v/>
      </c>
      <c r="N295" s="5" t="str">
        <f t="shared" si="4"/>
        <v>EY</v>
      </c>
      <c r="O295" s="5" t="str">
        <f t="shared" si="5"/>
        <v>2 years  in role and company</v>
      </c>
      <c r="P295" s="5" t="str">
        <f t="shared" si="6"/>
        <v>Charlotte</v>
      </c>
      <c r="Q295" s="5" t="str">
        <f t="shared" si="7"/>
        <v>North Carolina</v>
      </c>
      <c r="R295" s="5" t="str">
        <f t="shared" si="8"/>
        <v>United States</v>
      </c>
    </row>
    <row r="296">
      <c r="A296" s="8" t="s">
        <v>5414</v>
      </c>
      <c r="B296" s="10" t="s">
        <v>5415</v>
      </c>
      <c r="C296" s="10" t="s">
        <v>5416</v>
      </c>
      <c r="D296" s="10"/>
      <c r="E296" s="10" t="s">
        <v>5417</v>
      </c>
      <c r="F296" s="10" t="s">
        <v>136</v>
      </c>
      <c r="G296" s="14" t="s">
        <v>5280</v>
      </c>
      <c r="H296" s="14" t="s">
        <v>4638</v>
      </c>
      <c r="I296" s="15" t="s">
        <v>4600</v>
      </c>
      <c r="J296" s="9" t="str">
        <f>IFERROR(__xludf.DUMMYFUNCTION("""COMPUTED_VALUE"""),"https://www.google.com/search?newwindow=1&amp;ei=2MT0XrvGGM-vytMP1OyDgAY&amp;q=site%3Alinkedin.com+Christie+Kerr+Campus+Recruiting,+Project+Manager")</f>
        <v>https://www.google.com/search?newwindow=1&amp;ei=2MT0XrvGGM-vytMP1OyDgAY&amp;q=site%3Alinkedin.com+Christie+Kerr+Campus+Recruiting,+Project+Manager</v>
      </c>
      <c r="K296" s="5" t="str">
        <f t="shared" si="1"/>
        <v>Christie Kerr</v>
      </c>
      <c r="L296" s="5" t="str">
        <f t="shared" si="2"/>
        <v>Campus Recruiting, Project Manager</v>
      </c>
      <c r="M296" s="5" t="str">
        <f t="shared" si="3"/>
        <v/>
      </c>
      <c r="N296" s="5" t="str">
        <f t="shared" si="4"/>
        <v>Wells Fargo</v>
      </c>
      <c r="O296" s="5" t="str">
        <f t="shared" si="5"/>
        <v>8 years 9 months in role</v>
      </c>
      <c r="P296" s="5" t="str">
        <f t="shared" si="6"/>
        <v>Charlotte</v>
      </c>
      <c r="Q296" s="5" t="str">
        <f t="shared" si="7"/>
        <v>North Carolina</v>
      </c>
      <c r="R296" s="5" t="str">
        <f t="shared" si="8"/>
        <v>United States</v>
      </c>
    </row>
    <row r="297">
      <c r="A297" s="8" t="s">
        <v>5321</v>
      </c>
      <c r="B297" s="12" t="s">
        <v>5322</v>
      </c>
      <c r="C297" s="10" t="s">
        <v>5323</v>
      </c>
      <c r="D297" s="10"/>
      <c r="E297" s="10" t="s">
        <v>5314</v>
      </c>
      <c r="F297" s="10" t="s">
        <v>512</v>
      </c>
      <c r="G297" s="14" t="s">
        <v>5280</v>
      </c>
      <c r="H297" s="14" t="s">
        <v>4638</v>
      </c>
      <c r="I297" s="15" t="s">
        <v>4600</v>
      </c>
      <c r="J297" s="9" t="str">
        <f>IFERROR(__xludf.DUMMYFUNCTION("""COMPUTED_VALUE"""),"https://www.google.com/search?newwindow=1&amp;ei=2MT0XrvGGM-vytMP1OyDgAY&amp;q=site%3Alinkedin.com+Cameron+Thomasson+Campus+Recruiting+Coordinator")</f>
        <v>https://www.google.com/search?newwindow=1&amp;ei=2MT0XrvGGM-vytMP1OyDgAY&amp;q=site%3Alinkedin.com+Cameron+Thomasson+Campus+Recruiting+Coordinator</v>
      </c>
      <c r="K297" s="5" t="str">
        <f t="shared" si="1"/>
        <v>Cameron Thomasson</v>
      </c>
      <c r="L297" s="5" t="str">
        <f t="shared" si="2"/>
        <v>Campus Recruiting Coordinator</v>
      </c>
      <c r="M297" s="5" t="str">
        <f t="shared" si="3"/>
        <v/>
      </c>
      <c r="N297" s="5" t="str">
        <f t="shared" si="4"/>
        <v>EY</v>
      </c>
      <c r="O297" s="5" t="str">
        <f t="shared" si="5"/>
        <v>1 year  in role and company</v>
      </c>
      <c r="P297" s="5" t="str">
        <f t="shared" si="6"/>
        <v>Charlotte</v>
      </c>
      <c r="Q297" s="5" t="str">
        <f t="shared" si="7"/>
        <v>North Carolina</v>
      </c>
      <c r="R297" s="5" t="str">
        <f t="shared" si="8"/>
        <v>United States</v>
      </c>
    </row>
    <row r="298">
      <c r="A298" s="8" t="s">
        <v>5418</v>
      </c>
      <c r="B298" s="10" t="s">
        <v>5419</v>
      </c>
      <c r="C298" s="10" t="s">
        <v>5420</v>
      </c>
      <c r="D298" s="10"/>
      <c r="E298" s="10" t="s">
        <v>5421</v>
      </c>
      <c r="F298" s="10" t="s">
        <v>727</v>
      </c>
      <c r="G298" s="14" t="s">
        <v>5280</v>
      </c>
      <c r="H298" s="14" t="s">
        <v>4638</v>
      </c>
      <c r="I298" s="15" t="s">
        <v>4600</v>
      </c>
      <c r="J298" s="9" t="str">
        <f>IFERROR(__xludf.DUMMYFUNCTION("""COMPUTED_VALUE"""),"https://www.google.com/search?newwindow=1&amp;ei=2MT0XrvGGM-vytMP1OyDgAY&amp;q=site%3Alinkedin.com+Fawn+Price+National+Tax+Campus+Recruiting+Leader,+Assistant+Director")</f>
        <v>https://www.google.com/search?newwindow=1&amp;ei=2MT0XrvGGM-vytMP1OyDgAY&amp;q=site%3Alinkedin.com+Fawn+Price+National+Tax+Campus+Recruiting+Leader,+Assistant+Director</v>
      </c>
      <c r="K298" s="5" t="str">
        <f t="shared" si="1"/>
        <v>Fawn Price</v>
      </c>
      <c r="L298" s="5" t="str">
        <f t="shared" si="2"/>
        <v>National Tax Campus Recruiting Leader, Assistant Director</v>
      </c>
      <c r="M298" s="5" t="str">
        <f t="shared" si="3"/>
        <v/>
      </c>
      <c r="N298" s="5" t="str">
        <f t="shared" si="4"/>
        <v>EY</v>
      </c>
      <c r="O298" s="5" t="str">
        <f t="shared" si="5"/>
        <v>1 year 3 months in role</v>
      </c>
      <c r="P298" s="5" t="str">
        <f t="shared" si="6"/>
        <v>Charlotte</v>
      </c>
      <c r="Q298" s="5" t="str">
        <f t="shared" si="7"/>
        <v>North Carolina</v>
      </c>
      <c r="R298" s="5" t="str">
        <f t="shared" si="8"/>
        <v>United States</v>
      </c>
    </row>
    <row r="299">
      <c r="A299" s="8" t="s">
        <v>5324</v>
      </c>
      <c r="B299" s="10" t="s">
        <v>5325</v>
      </c>
      <c r="C299" s="10" t="s">
        <v>5326</v>
      </c>
      <c r="D299" s="10"/>
      <c r="E299" s="10" t="s">
        <v>5090</v>
      </c>
      <c r="F299" s="10" t="s">
        <v>4870</v>
      </c>
      <c r="G299" s="14" t="s">
        <v>5280</v>
      </c>
      <c r="H299" s="14" t="s">
        <v>4638</v>
      </c>
      <c r="I299" s="15" t="s">
        <v>4600</v>
      </c>
      <c r="J299" s="9" t="str">
        <f>IFERROR(__xludf.DUMMYFUNCTION("""COMPUTED_VALUE"""),"https://www.google.com/search?newwindow=1&amp;ei=2MT0XrvGGM-vytMP1OyDgAY&amp;q=site%3Alinkedin.com+Crissy+Hartman+Campus+Recruiting+Coordinator")</f>
        <v>https://www.google.com/search?newwindow=1&amp;ei=2MT0XrvGGM-vytMP1OyDgAY&amp;q=site%3Alinkedin.com+Crissy+Hartman+Campus+Recruiting+Coordinator</v>
      </c>
      <c r="K299" s="5" t="str">
        <f t="shared" si="1"/>
        <v>Crissy Hartman</v>
      </c>
      <c r="L299" s="5" t="str">
        <f t="shared" si="2"/>
        <v>Campus Recruiting Coordinator</v>
      </c>
      <c r="M299" s="5" t="str">
        <f t="shared" si="3"/>
        <v/>
      </c>
      <c r="N299" s="5" t="str">
        <f t="shared" si="4"/>
        <v>EY</v>
      </c>
      <c r="O299" s="5" t="str">
        <f t="shared" si="5"/>
        <v>1 year 3 months in role and company</v>
      </c>
      <c r="P299" s="5" t="str">
        <f t="shared" si="6"/>
        <v>Charlotte</v>
      </c>
      <c r="Q299" s="5" t="str">
        <f t="shared" si="7"/>
        <v>North Carolina</v>
      </c>
      <c r="R299" s="5" t="str">
        <f t="shared" si="8"/>
        <v>United States</v>
      </c>
    </row>
    <row r="300">
      <c r="A300" s="8" t="s">
        <v>5422</v>
      </c>
      <c r="B300" s="12" t="s">
        <v>5423</v>
      </c>
      <c r="C300" s="10" t="s">
        <v>5424</v>
      </c>
      <c r="D300" s="10"/>
      <c r="E300" s="10" t="s">
        <v>5425</v>
      </c>
      <c r="F300" s="10" t="s">
        <v>144</v>
      </c>
      <c r="G300" s="14" t="s">
        <v>5280</v>
      </c>
      <c r="H300" s="14" t="s">
        <v>4638</v>
      </c>
      <c r="I300" s="15" t="s">
        <v>4600</v>
      </c>
      <c r="J300" s="9" t="str">
        <f>IFERROR(__xludf.DUMMYFUNCTION("""COMPUTED_VALUE"""),"https://www.google.com/search?newwindow=1&amp;ei=2MT0XrvGGM-vytMP1OyDgAY&amp;q=site%3Alinkedin.com+Erin+Green+Campus+Recruiting+Manager")</f>
        <v>https://www.google.com/search?newwindow=1&amp;ei=2MT0XrvGGM-vytMP1OyDgAY&amp;q=site%3Alinkedin.com+Erin+Green+Campus+Recruiting+Manager</v>
      </c>
      <c r="K300" s="5" t="str">
        <f t="shared" si="1"/>
        <v>Erin Green</v>
      </c>
      <c r="L300" s="5" t="str">
        <f t="shared" si="2"/>
        <v>Campus Recruiting Manager</v>
      </c>
      <c r="M300" s="5" t="str">
        <f t="shared" si="3"/>
        <v/>
      </c>
      <c r="N300" s="5" t="str">
        <f t="shared" si="4"/>
        <v>EY</v>
      </c>
      <c r="O300" s="5" t="str">
        <f t="shared" si="5"/>
        <v>7 years 7 months in role</v>
      </c>
      <c r="P300" s="5" t="str">
        <f t="shared" si="6"/>
        <v>Charlotte</v>
      </c>
      <c r="Q300" s="5" t="str">
        <f t="shared" si="7"/>
        <v>North Carolina</v>
      </c>
      <c r="R300" s="5" t="str">
        <f t="shared" si="8"/>
        <v>United States</v>
      </c>
    </row>
    <row r="301">
      <c r="A301" s="8" t="s">
        <v>5426</v>
      </c>
      <c r="B301" s="10" t="s">
        <v>5427</v>
      </c>
      <c r="C301" s="10" t="s">
        <v>5428</v>
      </c>
      <c r="D301" s="10"/>
      <c r="E301" s="10" t="s">
        <v>5132</v>
      </c>
      <c r="F301" s="10" t="s">
        <v>686</v>
      </c>
      <c r="G301" s="14" t="s">
        <v>5280</v>
      </c>
      <c r="H301" s="14" t="s">
        <v>4638</v>
      </c>
      <c r="I301" s="15" t="s">
        <v>4600</v>
      </c>
      <c r="J301" s="9" t="str">
        <f>IFERROR(__xludf.DUMMYFUNCTION("""COMPUTED_VALUE"""),"https://www.google.com/search?newwindow=1&amp;ei=2MT0XrvGGM-vytMP1OyDgAY&amp;q=site%3Alinkedin.com+Molly+Leonard+Campus+Recruiting+Coordinator")</f>
        <v>https://www.google.com/search?newwindow=1&amp;ei=2MT0XrvGGM-vytMP1OyDgAY&amp;q=site%3Alinkedin.com+Molly+Leonard+Campus+Recruiting+Coordinator</v>
      </c>
      <c r="K301" s="5" t="str">
        <f t="shared" si="1"/>
        <v>Molly Leonard</v>
      </c>
      <c r="L301" s="5" t="str">
        <f t="shared" si="2"/>
        <v>Campus Recruiting Coordinator</v>
      </c>
      <c r="M301" s="5" t="str">
        <f t="shared" si="3"/>
        <v/>
      </c>
      <c r="N301" s="5" t="str">
        <f t="shared" si="4"/>
        <v>Bank of America</v>
      </c>
      <c r="O301" s="5" t="str">
        <f t="shared" si="5"/>
        <v>1 year 4 months in role and company</v>
      </c>
      <c r="P301" s="5" t="str">
        <f t="shared" si="6"/>
        <v>Charlotte</v>
      </c>
      <c r="Q301" s="5" t="str">
        <f t="shared" si="7"/>
        <v>North Carolina</v>
      </c>
      <c r="R301" s="5" t="str">
        <f t="shared" si="8"/>
        <v>United States</v>
      </c>
    </row>
    <row r="302">
      <c r="A302" s="8" t="s">
        <v>5327</v>
      </c>
      <c r="B302" s="10" t="s">
        <v>5328</v>
      </c>
      <c r="C302" s="10" t="s">
        <v>5329</v>
      </c>
      <c r="D302" s="10"/>
      <c r="E302" s="10" t="s">
        <v>5090</v>
      </c>
      <c r="F302" s="10" t="s">
        <v>79</v>
      </c>
      <c r="G302" s="14" t="s">
        <v>5280</v>
      </c>
      <c r="H302" s="14" t="s">
        <v>4638</v>
      </c>
      <c r="I302" s="15" t="s">
        <v>4600</v>
      </c>
      <c r="J302" s="9" t="str">
        <f>IFERROR(__xludf.DUMMYFUNCTION("""COMPUTED_VALUE"""),"https://www.google.com/search?newwindow=1&amp;ei=2MT0XrvGGM-vytMP1OyDgAY&amp;q=site%3Alinkedin.com+Ryan+Kist+Recruiting")</f>
        <v>https://www.google.com/search?newwindow=1&amp;ei=2MT0XrvGGM-vytMP1OyDgAY&amp;q=site%3Alinkedin.com+Ryan+Kist+Recruiting</v>
      </c>
      <c r="K302" s="5" t="str">
        <f t="shared" si="1"/>
        <v>Ryan Kist</v>
      </c>
      <c r="L302" s="5" t="str">
        <f t="shared" si="2"/>
        <v>Recruiting</v>
      </c>
      <c r="M302" s="5" t="str">
        <f t="shared" si="3"/>
        <v/>
      </c>
      <c r="N302" s="5" t="str">
        <f t="shared" si="4"/>
        <v>Ernst &amp; Young</v>
      </c>
      <c r="O302" s="5" t="str">
        <f t="shared" si="5"/>
        <v/>
      </c>
      <c r="P302" s="5" t="str">
        <f t="shared" si="6"/>
        <v>Charlotte</v>
      </c>
      <c r="Q302" s="5" t="str">
        <f t="shared" si="7"/>
        <v>North Carolina</v>
      </c>
      <c r="R302" s="5" t="str">
        <f t="shared" si="8"/>
        <v>United States</v>
      </c>
    </row>
    <row r="303">
      <c r="A303" s="8" t="s">
        <v>5429</v>
      </c>
      <c r="B303" s="10" t="s">
        <v>5430</v>
      </c>
      <c r="C303" s="10" t="s">
        <v>4929</v>
      </c>
      <c r="D303" s="10"/>
      <c r="E303" s="10" t="s">
        <v>5248</v>
      </c>
      <c r="F303" s="10" t="s">
        <v>331</v>
      </c>
      <c r="G303" s="14" t="s">
        <v>5280</v>
      </c>
      <c r="H303" s="14" t="s">
        <v>4638</v>
      </c>
      <c r="I303" s="15" t="s">
        <v>4600</v>
      </c>
      <c r="J303" s="9" t="str">
        <f>IFERROR(__xludf.DUMMYFUNCTION("""COMPUTED_VALUE"""),"https://www.google.com/search?newwindow=1&amp;ei=2MT0XrvGGM-vytMP1OyDgAY&amp;q=site%3Alinkedin.com+Katy+Grant+MBA+Recruiter")</f>
        <v>https://www.google.com/search?newwindow=1&amp;ei=2MT0XrvGGM-vytMP1OyDgAY&amp;q=site%3Alinkedin.com+Katy+Grant+MBA+Recruiter</v>
      </c>
      <c r="K303" s="5" t="str">
        <f t="shared" si="1"/>
        <v>Katy Grant</v>
      </c>
      <c r="L303" s="5" t="str">
        <f t="shared" si="2"/>
        <v>MBA Recruiter</v>
      </c>
      <c r="M303" s="5" t="str">
        <f t="shared" si="3"/>
        <v>MBA</v>
      </c>
      <c r="N303" s="5" t="str">
        <f t="shared" si="4"/>
        <v>Wells Fargo Securities</v>
      </c>
      <c r="O303" s="5" t="str">
        <f t="shared" si="5"/>
        <v>2 years 10 months in role</v>
      </c>
      <c r="P303" s="5" t="str">
        <f t="shared" si="6"/>
        <v>Charlotte</v>
      </c>
      <c r="Q303" s="5" t="str">
        <f t="shared" si="7"/>
        <v>North Carolina</v>
      </c>
      <c r="R303" s="5" t="str">
        <f t="shared" si="8"/>
        <v>United States</v>
      </c>
    </row>
    <row r="304">
      <c r="A304" s="8" t="s">
        <v>5431</v>
      </c>
      <c r="B304" s="10" t="s">
        <v>5432</v>
      </c>
      <c r="C304" s="10" t="s">
        <v>5433</v>
      </c>
      <c r="D304" s="10"/>
      <c r="E304" s="10" t="s">
        <v>5434</v>
      </c>
      <c r="F304" s="10" t="s">
        <v>1089</v>
      </c>
      <c r="G304" s="14" t="s">
        <v>5280</v>
      </c>
      <c r="H304" s="14" t="s">
        <v>4638</v>
      </c>
      <c r="I304" s="15" t="s">
        <v>4600</v>
      </c>
      <c r="J304" s="9" t="str">
        <f>IFERROR(__xludf.DUMMYFUNCTION("""COMPUTED_VALUE"""),"https://www.google.com/search?newwindow=1&amp;ei=2MT0XrvGGM-vytMP1OyDgAY&amp;q=site%3Alinkedin.com+Patricia+Moretz+MBA+Campus+Recruiting+Consultant")</f>
        <v>https://www.google.com/search?newwindow=1&amp;ei=2MT0XrvGGM-vytMP1OyDgAY&amp;q=site%3Alinkedin.com+Patricia+Moretz+MBA+Campus+Recruiting+Consultant</v>
      </c>
      <c r="K304" s="5" t="str">
        <f t="shared" si="1"/>
        <v>Patricia Moretz</v>
      </c>
      <c r="L304" s="5" t="str">
        <f t="shared" si="2"/>
        <v>MBA Campus Recruiting Consultant</v>
      </c>
      <c r="M304" s="5" t="str">
        <f t="shared" si="3"/>
        <v>MBA</v>
      </c>
      <c r="N304" s="5" t="str">
        <f t="shared" si="4"/>
        <v>Wells Fargo</v>
      </c>
      <c r="O304" s="5" t="str">
        <f t="shared" si="5"/>
        <v>2 years 1 month in role</v>
      </c>
      <c r="P304" s="5" t="str">
        <f t="shared" si="6"/>
        <v>Charlotte</v>
      </c>
      <c r="Q304" s="5" t="str">
        <f t="shared" si="7"/>
        <v>North Carolina</v>
      </c>
      <c r="R304" s="5" t="str">
        <f t="shared" si="8"/>
        <v>United States</v>
      </c>
    </row>
    <row r="305">
      <c r="A305" s="8" t="s">
        <v>5435</v>
      </c>
      <c r="B305" s="10" t="s">
        <v>5436</v>
      </c>
      <c r="C305" s="10" t="s">
        <v>5437</v>
      </c>
      <c r="D305" s="10"/>
      <c r="E305" s="10" t="s">
        <v>5438</v>
      </c>
      <c r="F305" s="10" t="s">
        <v>399</v>
      </c>
      <c r="G305" s="14" t="s">
        <v>5280</v>
      </c>
      <c r="H305" s="14" t="s">
        <v>4638</v>
      </c>
      <c r="I305" s="15" t="s">
        <v>4600</v>
      </c>
      <c r="J305" s="9" t="str">
        <f>IFERROR(__xludf.DUMMYFUNCTION("""COMPUTED_VALUE"""),"https://www.google.com/search?newwindow=1&amp;ei=2MT0XrvGGM-vytMP1OyDgAY&amp;q=site%3Alinkedin.com+Danielle+Smith+Campus+Recruiter")</f>
        <v>https://www.google.com/search?newwindow=1&amp;ei=2MT0XrvGGM-vytMP1OyDgAY&amp;q=site%3Alinkedin.com+Danielle+Smith+Campus+Recruiter</v>
      </c>
      <c r="K305" s="5" t="str">
        <f t="shared" si="1"/>
        <v>Danielle Smith</v>
      </c>
      <c r="L305" s="5" t="str">
        <f t="shared" si="2"/>
        <v>Campus Recruiter</v>
      </c>
      <c r="M305" s="5" t="str">
        <f t="shared" si="3"/>
        <v/>
      </c>
      <c r="N305" s="5" t="str">
        <f t="shared" si="4"/>
        <v>Bank of America</v>
      </c>
      <c r="O305" s="5" t="str">
        <f t="shared" si="5"/>
        <v>4 years 4 months in role</v>
      </c>
      <c r="P305" s="5" t="str">
        <f t="shared" si="6"/>
        <v>Charlotte</v>
      </c>
      <c r="Q305" s="5" t="str">
        <f t="shared" si="7"/>
        <v>North Carolina</v>
      </c>
      <c r="R305" s="5" t="str">
        <f t="shared" si="8"/>
        <v>United States</v>
      </c>
    </row>
    <row r="306">
      <c r="A306" s="8" t="s">
        <v>5330</v>
      </c>
      <c r="B306" s="10" t="s">
        <v>5331</v>
      </c>
      <c r="C306" s="10" t="s">
        <v>4596</v>
      </c>
      <c r="D306" s="10"/>
      <c r="E306" s="10" t="s">
        <v>5127</v>
      </c>
      <c r="F306" s="10" t="s">
        <v>351</v>
      </c>
      <c r="G306" s="14" t="s">
        <v>5280</v>
      </c>
      <c r="H306" s="14" t="s">
        <v>4638</v>
      </c>
      <c r="I306" s="15" t="s">
        <v>4600</v>
      </c>
      <c r="J306" s="9" t="str">
        <f>IFERROR(__xludf.DUMMYFUNCTION("""COMPUTED_VALUE"""),"https://www.google.com/search?newwindow=1&amp;ei=2MT0XrvGGM-vytMP1OyDgAY&amp;q=site%3Alinkedin.com+Kendra+Murphy+Project+Manager+for+National+Campus+Recruiting")</f>
        <v>https://www.google.com/search?newwindow=1&amp;ei=2MT0XrvGGM-vytMP1OyDgAY&amp;q=site%3Alinkedin.com+Kendra+Murphy+Project+Manager+for+National+Campus+Recruiting</v>
      </c>
      <c r="K306" s="5" t="str">
        <f t="shared" si="1"/>
        <v>Kendra Murphy</v>
      </c>
      <c r="L306" s="5" t="str">
        <f t="shared" si="2"/>
        <v>Project Manager for National Campus Recruiting</v>
      </c>
      <c r="M306" s="5" t="str">
        <f t="shared" si="3"/>
        <v/>
      </c>
      <c r="N306" s="5" t="str">
        <f t="shared" si="4"/>
        <v>Deloitte &amp; Touche</v>
      </c>
      <c r="O306" s="5" t="str">
        <f t="shared" si="5"/>
        <v>14 years 8 months in role and company</v>
      </c>
      <c r="P306" s="5" t="str">
        <f t="shared" si="6"/>
        <v>Charlotte</v>
      </c>
      <c r="Q306" s="5" t="str">
        <f t="shared" si="7"/>
        <v>North Carolina</v>
      </c>
      <c r="R306" s="5" t="str">
        <f t="shared" si="8"/>
        <v>United States</v>
      </c>
    </row>
    <row r="307">
      <c r="A307" s="8" t="s">
        <v>5332</v>
      </c>
      <c r="B307" s="12" t="s">
        <v>5333</v>
      </c>
      <c r="C307" s="10" t="s">
        <v>5334</v>
      </c>
      <c r="D307" s="10"/>
      <c r="E307" s="10" t="s">
        <v>4914</v>
      </c>
      <c r="F307" s="10" t="s">
        <v>1249</v>
      </c>
      <c r="G307" s="14" t="s">
        <v>5280</v>
      </c>
      <c r="H307" s="14" t="s">
        <v>4638</v>
      </c>
      <c r="I307" s="15" t="s">
        <v>4600</v>
      </c>
      <c r="J307" s="9" t="str">
        <f>IFERROR(__xludf.DUMMYFUNCTION("""COMPUTED_VALUE"""),"https://www.google.com/search?newwindow=1&amp;ei=2MT0XrvGGM-vytMP1OyDgAY&amp;q=site%3Alinkedin.com+Tiara+Birtha+Campus+Recruiting+Consultant")</f>
        <v>https://www.google.com/search?newwindow=1&amp;ei=2MT0XrvGGM-vytMP1OyDgAY&amp;q=site%3Alinkedin.com+Tiara+Birtha+Campus+Recruiting+Consultant</v>
      </c>
      <c r="K307" s="5" t="str">
        <f t="shared" si="1"/>
        <v>Tiara Birtha</v>
      </c>
      <c r="L307" s="5" t="str">
        <f t="shared" si="2"/>
        <v>Campus Recruiting Consultant</v>
      </c>
      <c r="M307" s="5" t="str">
        <f t="shared" si="3"/>
        <v/>
      </c>
      <c r="N307" s="5" t="str">
        <f t="shared" si="4"/>
        <v>Wells Fargo</v>
      </c>
      <c r="O307" s="5" t="str">
        <f t="shared" si="5"/>
        <v>7 months in role</v>
      </c>
      <c r="P307" s="5" t="str">
        <f t="shared" si="6"/>
        <v>Charlotte</v>
      </c>
      <c r="Q307" s="5" t="str">
        <f t="shared" si="7"/>
        <v>North Carolina</v>
      </c>
      <c r="R307" s="5" t="str">
        <f t="shared" si="8"/>
        <v>United States</v>
      </c>
    </row>
    <row r="308">
      <c r="A308" s="8" t="s">
        <v>5439</v>
      </c>
      <c r="B308" s="10" t="s">
        <v>5440</v>
      </c>
      <c r="C308" s="10" t="s">
        <v>5441</v>
      </c>
      <c r="D308" s="10"/>
      <c r="E308" s="10" t="s">
        <v>5442</v>
      </c>
      <c r="F308" s="10" t="s">
        <v>5443</v>
      </c>
      <c r="G308" s="14" t="s">
        <v>5280</v>
      </c>
      <c r="H308" s="14" t="s">
        <v>4638</v>
      </c>
      <c r="I308" s="15" t="s">
        <v>4600</v>
      </c>
      <c r="J308" s="9" t="str">
        <f>IFERROR(__xludf.DUMMYFUNCTION("""COMPUTED_VALUE"""),"https://www.google.com/search?newwindow=1&amp;ei=2MT0XrvGGM-vytMP1OyDgAY&amp;q=site%3Alinkedin.com+Pamela+Benavente+Campus+Recruiting+Coordinator")</f>
        <v>https://www.google.com/search?newwindow=1&amp;ei=2MT0XrvGGM-vytMP1OyDgAY&amp;q=site%3Alinkedin.com+Pamela+Benavente+Campus+Recruiting+Coordinator</v>
      </c>
      <c r="K308" s="5" t="str">
        <f t="shared" si="1"/>
        <v>Pamela Benavente</v>
      </c>
      <c r="L308" s="5" t="str">
        <f t="shared" si="2"/>
        <v>Campus Recruiting Coordinator</v>
      </c>
      <c r="M308" s="5" t="str">
        <f t="shared" si="3"/>
        <v/>
      </c>
      <c r="N308" s="5" t="str">
        <f t="shared" si="4"/>
        <v>Bank of America</v>
      </c>
      <c r="O308" s="5" t="str">
        <f t="shared" si="5"/>
        <v>9 months in role and company</v>
      </c>
      <c r="P308" s="5" t="str">
        <f t="shared" si="6"/>
        <v>Charlotte</v>
      </c>
      <c r="Q308" s="5" t="str">
        <f t="shared" si="7"/>
        <v>North Carolina</v>
      </c>
      <c r="R308" s="5" t="str">
        <f t="shared" si="8"/>
        <v>United States</v>
      </c>
    </row>
    <row r="309">
      <c r="A309" s="8" t="s">
        <v>5335</v>
      </c>
      <c r="B309" s="10" t="s">
        <v>5336</v>
      </c>
      <c r="C309" s="10" t="s">
        <v>5337</v>
      </c>
      <c r="D309" s="14" t="s">
        <v>4</v>
      </c>
      <c r="E309" s="10" t="s">
        <v>5338</v>
      </c>
      <c r="F309" s="10" t="s">
        <v>63</v>
      </c>
      <c r="G309" s="14" t="s">
        <v>5280</v>
      </c>
      <c r="H309" s="14" t="s">
        <v>4638</v>
      </c>
      <c r="I309" s="15" t="s">
        <v>4600</v>
      </c>
      <c r="J309" s="9" t="str">
        <f>IFERROR(__xludf.DUMMYFUNCTION("""COMPUTED_VALUE"""),"https://www.google.com/search?newwindow=1&amp;ei=2MT0XrvGGM-vytMP1OyDgAY&amp;q=site%3Alinkedin.com+Madeline+Korol+Senior+Campus+Recruiting+Coordinator")</f>
        <v>https://www.google.com/search?newwindow=1&amp;ei=2MT0XrvGGM-vytMP1OyDgAY&amp;q=site%3Alinkedin.com+Madeline+Korol+Senior+Campus+Recruiting+Coordinator</v>
      </c>
      <c r="K309" s="5" t="str">
        <f t="shared" si="1"/>
        <v>Madeline Korol</v>
      </c>
      <c r="L309" s="5" t="str">
        <f t="shared" si="2"/>
        <v>Senior Campus Recruiting Coordinator</v>
      </c>
      <c r="M309" s="5" t="str">
        <f t="shared" si="3"/>
        <v/>
      </c>
      <c r="N309" s="5" t="str">
        <f t="shared" si="4"/>
        <v>Deloitte</v>
      </c>
      <c r="O309" s="5" t="str">
        <f t="shared" si="5"/>
        <v>1 year 10 months in role</v>
      </c>
      <c r="P309" s="5" t="str">
        <f t="shared" si="6"/>
        <v>Charlotte</v>
      </c>
      <c r="Q309" s="5" t="str">
        <f t="shared" si="7"/>
        <v>North Carolina</v>
      </c>
      <c r="R309" s="5" t="str">
        <f t="shared" si="8"/>
        <v>United States</v>
      </c>
    </row>
    <row r="310">
      <c r="A310" s="8" t="s">
        <v>5444</v>
      </c>
      <c r="B310" s="12" t="s">
        <v>5445</v>
      </c>
      <c r="C310" s="10" t="s">
        <v>5446</v>
      </c>
      <c r="D310" s="10"/>
      <c r="E310" s="10" t="s">
        <v>5374</v>
      </c>
      <c r="F310" s="10" t="s">
        <v>1089</v>
      </c>
      <c r="G310" s="14" t="s">
        <v>5280</v>
      </c>
      <c r="H310" s="14" t="s">
        <v>4638</v>
      </c>
      <c r="I310" s="15" t="s">
        <v>4600</v>
      </c>
      <c r="J310" s="9" t="str">
        <f>IFERROR(__xludf.DUMMYFUNCTION("""COMPUTED_VALUE"""),"https://www.google.com/search?newwindow=1&amp;ei=2MT0XrvGGM-vytMP1OyDgAY&amp;q=site%3Alinkedin.com+Meagan+Scheffler+Head+of+Commercial+Banking+Campus+Recruiting")</f>
        <v>https://www.google.com/search?newwindow=1&amp;ei=2MT0XrvGGM-vytMP1OyDgAY&amp;q=site%3Alinkedin.com+Meagan+Scheffler+Head+of+Commercial+Banking+Campus+Recruiting</v>
      </c>
      <c r="K310" s="5" t="str">
        <f t="shared" si="1"/>
        <v>Meagan Scheffler</v>
      </c>
      <c r="L310" s="5" t="str">
        <f t="shared" si="2"/>
        <v>Head of Commercial Banking Campus Recruiting</v>
      </c>
      <c r="M310" s="5" t="str">
        <f t="shared" si="3"/>
        <v/>
      </c>
      <c r="N310" s="5" t="str">
        <f t="shared" si="4"/>
        <v>JPMorgan Chase &amp; Co.</v>
      </c>
      <c r="O310" s="5" t="str">
        <f t="shared" si="5"/>
        <v>7 months in role</v>
      </c>
      <c r="P310" s="5" t="str">
        <f t="shared" si="6"/>
        <v>Charlotte</v>
      </c>
      <c r="Q310" s="5" t="str">
        <f t="shared" si="7"/>
        <v>North Carolina</v>
      </c>
      <c r="R310" s="5" t="str">
        <f t="shared" si="8"/>
        <v>United States</v>
      </c>
    </row>
    <row r="311">
      <c r="A311" s="8" t="s">
        <v>5447</v>
      </c>
      <c r="B311" s="10" t="s">
        <v>5448</v>
      </c>
      <c r="C311" s="10" t="s">
        <v>5449</v>
      </c>
      <c r="D311" s="10"/>
      <c r="E311" s="10" t="s">
        <v>5450</v>
      </c>
      <c r="F311" s="10" t="s">
        <v>182</v>
      </c>
      <c r="G311" s="14" t="s">
        <v>5280</v>
      </c>
      <c r="H311" s="14" t="s">
        <v>4638</v>
      </c>
      <c r="I311" s="15" t="s">
        <v>4600</v>
      </c>
      <c r="J311" s="9" t="str">
        <f>IFERROR(__xludf.DUMMYFUNCTION("""COMPUTED_VALUE"""),"https://www.google.com/search?newwindow=1&amp;ei=2MT0XrvGGM-vytMP1OyDgAY&amp;q=site%3Alinkedin.com+Emily+Scott+Early+Talent+Program+Coordinator")</f>
        <v>https://www.google.com/search?newwindow=1&amp;ei=2MT0XrvGGM-vytMP1OyDgAY&amp;q=site%3Alinkedin.com+Emily+Scott+Early+Talent+Program+Coordinator</v>
      </c>
      <c r="K311" s="5" t="str">
        <f t="shared" si="1"/>
        <v>Emily Scott</v>
      </c>
      <c r="L311" s="5" t="str">
        <f t="shared" si="2"/>
        <v>Early Talent Program Coordinator</v>
      </c>
      <c r="M311" s="5" t="str">
        <f t="shared" si="3"/>
        <v/>
      </c>
      <c r="N311" s="5" t="str">
        <f t="shared" si="4"/>
        <v>Wells Fargo</v>
      </c>
      <c r="O311" s="5" t="str">
        <f t="shared" si="5"/>
        <v>1 year 4 months in role</v>
      </c>
      <c r="P311" s="5" t="str">
        <f t="shared" si="6"/>
        <v>Charlotte</v>
      </c>
      <c r="Q311" s="5" t="str">
        <f t="shared" si="7"/>
        <v>North Carolina</v>
      </c>
      <c r="R311" s="5" t="str">
        <f t="shared" si="8"/>
        <v>United States</v>
      </c>
    </row>
    <row r="312">
      <c r="A312" s="8" t="s">
        <v>5451</v>
      </c>
      <c r="B312" s="10" t="s">
        <v>5452</v>
      </c>
      <c r="C312" s="10" t="s">
        <v>4929</v>
      </c>
      <c r="D312" s="10"/>
      <c r="E312" s="10" t="s">
        <v>5090</v>
      </c>
      <c r="F312" s="10" t="s">
        <v>228</v>
      </c>
      <c r="G312" s="14" t="s">
        <v>5280</v>
      </c>
      <c r="H312" s="14" t="s">
        <v>4638</v>
      </c>
      <c r="I312" s="15" t="s">
        <v>4600</v>
      </c>
      <c r="J312" s="9" t="str">
        <f>IFERROR(__xludf.DUMMYFUNCTION("""COMPUTED_VALUE"""),"https://www.google.com/search?newwindow=1&amp;ei=2MT0XrvGGM-vytMP1OyDgAY&amp;q=site%3Alinkedin.com+David+Busshart+College+Recruiter")</f>
        <v>https://www.google.com/search?newwindow=1&amp;ei=2MT0XrvGGM-vytMP1OyDgAY&amp;q=site%3Alinkedin.com+David+Busshart+College+Recruiter</v>
      </c>
      <c r="K312" s="5" t="str">
        <f t="shared" si="1"/>
        <v>David Busshart</v>
      </c>
      <c r="L312" s="5" t="str">
        <f t="shared" si="2"/>
        <v>College Recruiter</v>
      </c>
      <c r="M312" s="5" t="str">
        <f t="shared" si="3"/>
        <v/>
      </c>
      <c r="N312" s="5" t="str">
        <f t="shared" si="4"/>
        <v>Bank of America</v>
      </c>
      <c r="O312" s="5" t="str">
        <f t="shared" si="5"/>
        <v>2 years 10 months in role and company</v>
      </c>
      <c r="P312" s="5" t="str">
        <f t="shared" si="6"/>
        <v>Charlotte</v>
      </c>
      <c r="Q312" s="5" t="str">
        <f t="shared" si="7"/>
        <v>North Carolina</v>
      </c>
      <c r="R312" s="5" t="str">
        <f t="shared" si="8"/>
        <v>United States</v>
      </c>
    </row>
    <row r="313">
      <c r="A313" s="8" t="s">
        <v>5339</v>
      </c>
      <c r="B313" s="10" t="s">
        <v>5340</v>
      </c>
      <c r="C313" s="10" t="s">
        <v>5341</v>
      </c>
      <c r="D313" s="10"/>
      <c r="E313" s="10" t="s">
        <v>3901</v>
      </c>
      <c r="F313" s="10" t="s">
        <v>79</v>
      </c>
      <c r="G313" s="14" t="s">
        <v>5280</v>
      </c>
      <c r="H313" s="14" t="s">
        <v>4638</v>
      </c>
      <c r="I313" s="15" t="s">
        <v>4600</v>
      </c>
      <c r="J313" s="9" t="str">
        <f>IFERROR(__xludf.DUMMYFUNCTION("""COMPUTED_VALUE"""),"https://www.google.com/search?newwindow=1&amp;ei=2MT0XrvGGM-vytMP1OyDgAY&amp;q=site%3Alinkedin.com+Lisa+Ulker+Engineering+Campus+Recruiting+Coordinator")</f>
        <v>https://www.google.com/search?newwindow=1&amp;ei=2MT0XrvGGM-vytMP1OyDgAY&amp;q=site%3Alinkedin.com+Lisa+Ulker+Engineering+Campus+Recruiting+Coordinator</v>
      </c>
      <c r="K313" s="5" t="str">
        <f t="shared" si="1"/>
        <v>Lisa Ulker</v>
      </c>
      <c r="L313" s="5" t="str">
        <f t="shared" si="2"/>
        <v>Engineering Campus Recruiting Coordinator</v>
      </c>
      <c r="M313" s="5" t="str">
        <f t="shared" si="3"/>
        <v/>
      </c>
      <c r="N313" s="5" t="str">
        <f t="shared" si="4"/>
        <v>Bloomberg LP</v>
      </c>
      <c r="O313" s="5" t="str">
        <f t="shared" si="5"/>
        <v>2 years 5 months in role and company</v>
      </c>
      <c r="P313" s="5" t="str">
        <f t="shared" si="6"/>
        <v>Chatham</v>
      </c>
      <c r="Q313" s="5" t="str">
        <f t="shared" si="7"/>
        <v>New Jersey</v>
      </c>
      <c r="R313" s="5" t="str">
        <f t="shared" si="8"/>
        <v>United States</v>
      </c>
    </row>
    <row r="314">
      <c r="A314" s="8" t="s">
        <v>5342</v>
      </c>
      <c r="B314" s="10" t="s">
        <v>5343</v>
      </c>
      <c r="C314" s="10" t="s">
        <v>4596</v>
      </c>
      <c r="D314" s="10"/>
      <c r="E314" s="10" t="s">
        <v>5344</v>
      </c>
      <c r="F314" s="10" t="s">
        <v>15</v>
      </c>
      <c r="G314" s="14" t="s">
        <v>5280</v>
      </c>
      <c r="H314" s="14" t="s">
        <v>4638</v>
      </c>
      <c r="I314" s="15" t="s">
        <v>4600</v>
      </c>
      <c r="J314" s="9" t="str">
        <f>IFERROR(__xludf.DUMMYFUNCTION("""COMPUTED_VALUE"""),"https://www.google.com/search?newwindow=1&amp;ei=2MT0XrvGGM-vytMP1OyDgAY&amp;q=site%3Alinkedin.com+Emma+Bailey+Graduate+Recruiter")</f>
        <v>https://www.google.com/search?newwindow=1&amp;ei=2MT0XrvGGM-vytMP1OyDgAY&amp;q=site%3Alinkedin.com+Emma+Bailey+Graduate+Recruiter</v>
      </c>
      <c r="K314" s="5" t="str">
        <f t="shared" si="1"/>
        <v>Emma Bailey</v>
      </c>
      <c r="L314" s="5" t="str">
        <f t="shared" si="2"/>
        <v>Graduate Recruiter</v>
      </c>
      <c r="M314" s="5" t="str">
        <f t="shared" si="3"/>
        <v/>
      </c>
      <c r="N314" s="5" t="str">
        <f t="shared" si="4"/>
        <v>Bright Futures Resourcing</v>
      </c>
      <c r="O314" s="5" t="str">
        <f t="shared" si="5"/>
        <v/>
      </c>
      <c r="P314" s="5" t="str">
        <f t="shared" si="6"/>
        <v>Cheltenham</v>
      </c>
      <c r="Q314" s="5" t="str">
        <f t="shared" si="7"/>
        <v>England</v>
      </c>
      <c r="R314" s="5" t="str">
        <f t="shared" si="8"/>
        <v>United Kingdom</v>
      </c>
    </row>
    <row r="315">
      <c r="A315" s="8" t="s">
        <v>5345</v>
      </c>
      <c r="B315" s="10" t="s">
        <v>5346</v>
      </c>
      <c r="C315" s="10" t="s">
        <v>5347</v>
      </c>
      <c r="D315" s="10"/>
      <c r="E315" s="10" t="s">
        <v>5348</v>
      </c>
      <c r="F315" s="10" t="s">
        <v>165</v>
      </c>
      <c r="G315" s="14" t="s">
        <v>5280</v>
      </c>
      <c r="H315" s="14" t="s">
        <v>4638</v>
      </c>
      <c r="I315" s="15" t="s">
        <v>4600</v>
      </c>
      <c r="J315" s="9" t="str">
        <f>IFERROR(__xludf.DUMMYFUNCTION("""COMPUTED_VALUE"""),"https://www.google.com/search?newwindow=1&amp;ei=2MT0XrvGGM-vytMP1OyDgAY&amp;q=site%3Alinkedin.com+John+Sarsfield+International+University+Recruiter")</f>
        <v>https://www.google.com/search?newwindow=1&amp;ei=2MT0XrvGGM-vytMP1OyDgAY&amp;q=site%3Alinkedin.com+John+Sarsfield+International+University+Recruiter</v>
      </c>
      <c r="K315" s="5" t="str">
        <f t="shared" si="1"/>
        <v>John Sarsfield</v>
      </c>
      <c r="L315" s="5" t="str">
        <f t="shared" si="2"/>
        <v>International University Recruiter</v>
      </c>
      <c r="M315" s="5" t="str">
        <f t="shared" si="3"/>
        <v/>
      </c>
      <c r="N315" s="9" t="str">
        <f t="shared" si="4"/>
        <v>johnsarsfield.ca</v>
      </c>
      <c r="O315" s="5" t="str">
        <f t="shared" si="5"/>
        <v>11 years 10 months in role and company</v>
      </c>
      <c r="P315" s="5" t="str">
        <f t="shared" si="6"/>
        <v>Chemainus Indian Reserve 13</v>
      </c>
      <c r="Q315" s="5" t="str">
        <f t="shared" si="7"/>
        <v>British Columbia</v>
      </c>
      <c r="R315" s="5" t="str">
        <f t="shared" si="8"/>
        <v>Canada</v>
      </c>
    </row>
    <row r="316">
      <c r="A316" s="8" t="s">
        <v>5453</v>
      </c>
      <c r="B316" s="12" t="s">
        <v>5454</v>
      </c>
      <c r="C316" s="10" t="s">
        <v>5455</v>
      </c>
      <c r="D316" s="10"/>
      <c r="E316" s="10" t="s">
        <v>5456</v>
      </c>
      <c r="F316" s="10" t="s">
        <v>727</v>
      </c>
      <c r="G316" s="14" t="s">
        <v>5280</v>
      </c>
      <c r="H316" s="14" t="s">
        <v>4638</v>
      </c>
      <c r="I316" s="15" t="s">
        <v>4600</v>
      </c>
      <c r="J316" s="9" t="str">
        <f>IFERROR(__xludf.DUMMYFUNCTION("""COMPUTED_VALUE"""),"https://www.google.com/search?newwindow=1&amp;ei=2MT0XrvGGM-vytMP1OyDgAY&amp;q=site%3Alinkedin.com+john+R.+student")</f>
        <v>https://www.google.com/search?newwindow=1&amp;ei=2MT0XrvGGM-vytMP1OyDgAY&amp;q=site%3Alinkedin.com+john+R.+student</v>
      </c>
      <c r="K316" s="5" t="str">
        <f t="shared" si="1"/>
        <v>john R.</v>
      </c>
      <c r="L316" s="5" t="str">
        <f t="shared" si="2"/>
        <v>student</v>
      </c>
      <c r="M316" s="5" t="str">
        <f t="shared" si="3"/>
        <v/>
      </c>
      <c r="N316" s="5" t="str">
        <f t="shared" si="4"/>
        <v>BCC</v>
      </c>
      <c r="O316" s="5" t="str">
        <f t="shared" si="5"/>
        <v/>
      </c>
      <c r="P316" s="5" t="str">
        <f t="shared" si="6"/>
        <v>Chestermere</v>
      </c>
      <c r="Q316" s="5" t="str">
        <f t="shared" si="7"/>
        <v>Alberta</v>
      </c>
      <c r="R316" s="5" t="str">
        <f t="shared" si="8"/>
        <v>Canada</v>
      </c>
    </row>
    <row r="317">
      <c r="A317" s="8" t="s">
        <v>5457</v>
      </c>
      <c r="B317" s="10" t="s">
        <v>5458</v>
      </c>
      <c r="C317" s="10" t="s">
        <v>5459</v>
      </c>
      <c r="D317" s="10"/>
      <c r="E317" s="10" t="s">
        <v>5460</v>
      </c>
      <c r="F317" s="10" t="s">
        <v>3841</v>
      </c>
      <c r="G317" s="14" t="s">
        <v>5280</v>
      </c>
      <c r="H317" s="14" t="s">
        <v>4638</v>
      </c>
      <c r="I317" s="15" t="s">
        <v>4600</v>
      </c>
      <c r="J317" s="9" t="str">
        <f>IFERROR(__xludf.DUMMYFUNCTION("""COMPUTED_VALUE"""),"https://www.google.com/search?newwindow=1&amp;ei=2MT0XrvGGM-vytMP1OyDgAY&amp;q=site%3Alinkedin.com+Michael+Watkins+Manager,+Campus+Recruiting")</f>
        <v>https://www.google.com/search?newwindow=1&amp;ei=2MT0XrvGGM-vytMP1OyDgAY&amp;q=site%3Alinkedin.com+Michael+Watkins+Manager,+Campus+Recruiting</v>
      </c>
      <c r="K317" s="5" t="str">
        <f t="shared" si="1"/>
        <v>Michael Watkins</v>
      </c>
      <c r="L317" s="5" t="str">
        <f t="shared" si="2"/>
        <v>Manager, Campus Recruiting</v>
      </c>
      <c r="M317" s="5" t="str">
        <f t="shared" si="3"/>
        <v/>
      </c>
      <c r="N317" s="5" t="str">
        <f t="shared" si="4"/>
        <v>PwC</v>
      </c>
      <c r="O317" s="5" t="str">
        <f t="shared" si="5"/>
        <v>1 year 6 months in role and company</v>
      </c>
      <c r="P317" s="5" t="str">
        <f t="shared" si="6"/>
        <v>Chicago</v>
      </c>
      <c r="Q317" s="5" t="str">
        <f t="shared" si="7"/>
        <v>Illinois</v>
      </c>
      <c r="R317" s="5" t="str">
        <f t="shared" si="8"/>
        <v>United States</v>
      </c>
    </row>
    <row r="318">
      <c r="A318" s="8" t="s">
        <v>5352</v>
      </c>
      <c r="B318" s="10" t="s">
        <v>5353</v>
      </c>
      <c r="C318" s="10" t="s">
        <v>5089</v>
      </c>
      <c r="D318" s="10"/>
      <c r="E318" s="10" t="s">
        <v>5320</v>
      </c>
      <c r="F318" s="10" t="s">
        <v>60</v>
      </c>
      <c r="G318" s="14" t="s">
        <v>5280</v>
      </c>
      <c r="H318" s="14" t="s">
        <v>4638</v>
      </c>
      <c r="I318" s="15" t="s">
        <v>4600</v>
      </c>
      <c r="J318" s="9" t="str">
        <f>IFERROR(__xludf.DUMMYFUNCTION("""COMPUTED_VALUE"""),"https://www.google.com/search?newwindow=1&amp;ei=2MT0XrvGGM-vytMP1OyDgAY&amp;q=site%3Alinkedin.com+Gretchen+Thom+Campus+Recruiting+Specialist+-+Consulting")</f>
        <v>https://www.google.com/search?newwindow=1&amp;ei=2MT0XrvGGM-vytMP1OyDgAY&amp;q=site%3Alinkedin.com+Gretchen+Thom+Campus+Recruiting+Specialist+-+Consulting</v>
      </c>
      <c r="K318" s="5" t="str">
        <f t="shared" si="1"/>
        <v>Gretchen Thom</v>
      </c>
      <c r="L318" s="5" t="str">
        <f t="shared" si="2"/>
        <v>Campus Recruiting Specialist - Consulting</v>
      </c>
      <c r="M318" s="5" t="str">
        <f t="shared" si="3"/>
        <v/>
      </c>
      <c r="N318" s="5" t="str">
        <f t="shared" si="4"/>
        <v>Deloitte</v>
      </c>
      <c r="O318" s="5" t="str">
        <f t="shared" si="5"/>
        <v>1 year 2 months in role and company</v>
      </c>
      <c r="P318" s="5" t="str">
        <f t="shared" si="6"/>
        <v>Chicago</v>
      </c>
      <c r="Q318" s="5" t="str">
        <f t="shared" si="7"/>
        <v>Illinois</v>
      </c>
      <c r="R318" s="5" t="str">
        <f t="shared" si="8"/>
        <v>United States</v>
      </c>
    </row>
    <row r="319">
      <c r="A319" s="8" t="s">
        <v>5461</v>
      </c>
      <c r="B319" s="10" t="s">
        <v>5462</v>
      </c>
      <c r="C319" s="10" t="s">
        <v>5463</v>
      </c>
      <c r="D319" s="10"/>
      <c r="E319" s="10" t="s">
        <v>5464</v>
      </c>
      <c r="F319" s="10" t="s">
        <v>1089</v>
      </c>
      <c r="G319" s="14" t="s">
        <v>5280</v>
      </c>
      <c r="H319" s="14" t="s">
        <v>4638</v>
      </c>
      <c r="I319" s="15" t="s">
        <v>4600</v>
      </c>
      <c r="J319" s="9" t="str">
        <f>IFERROR(__xludf.DUMMYFUNCTION("""COMPUTED_VALUE"""),"https://www.google.com/search?newwindow=1&amp;ei=2MT0XrvGGM-vytMP1OyDgAY&amp;q=site%3Alinkedin.com+Taylor+Bjerke+Firmwide+Diversity+Programs,+Campus+Recruiting")</f>
        <v>https://www.google.com/search?newwindow=1&amp;ei=2MT0XrvGGM-vytMP1OyDgAY&amp;q=site%3Alinkedin.com+Taylor+Bjerke+Firmwide+Diversity+Programs,+Campus+Recruiting</v>
      </c>
      <c r="K319" s="5" t="str">
        <f t="shared" si="1"/>
        <v>Taylor Bjerke</v>
      </c>
      <c r="L319" s="5" t="str">
        <f t="shared" si="2"/>
        <v>Firmwide Diversity Programs, Campus Recruiting</v>
      </c>
      <c r="M319" s="5" t="str">
        <f t="shared" si="3"/>
        <v/>
      </c>
      <c r="N319" s="5" t="str">
        <f t="shared" si="4"/>
        <v>JPMorgan Chase &amp; Co.</v>
      </c>
      <c r="O319" s="5" t="str">
        <f t="shared" si="5"/>
        <v>7 months in role</v>
      </c>
      <c r="P319" s="5" t="str">
        <f t="shared" si="6"/>
        <v>Chicago</v>
      </c>
      <c r="Q319" s="5" t="str">
        <f t="shared" si="7"/>
        <v>Illinois</v>
      </c>
      <c r="R319" s="5" t="str">
        <f t="shared" si="8"/>
        <v>United States</v>
      </c>
    </row>
    <row r="320">
      <c r="A320" s="8" t="s">
        <v>5465</v>
      </c>
      <c r="B320" s="10" t="s">
        <v>5466</v>
      </c>
      <c r="C320" s="10" t="s">
        <v>5467</v>
      </c>
      <c r="D320" s="10"/>
      <c r="E320" s="10" t="s">
        <v>5468</v>
      </c>
      <c r="F320" s="10" t="s">
        <v>1634</v>
      </c>
      <c r="G320" s="14" t="s">
        <v>5280</v>
      </c>
      <c r="H320" s="14" t="s">
        <v>4638</v>
      </c>
      <c r="I320" s="15" t="s">
        <v>4600</v>
      </c>
      <c r="J320" s="9" t="str">
        <f>IFERROR(__xludf.DUMMYFUNCTION("""COMPUTED_VALUE"""),"https://www.google.com/search?newwindow=1&amp;ei=2MT0XrvGGM-vytMP1OyDgAY&amp;q=site%3Alinkedin.com+Jessica+C.+Campus+Recruiting+Specialist")</f>
        <v>https://www.google.com/search?newwindow=1&amp;ei=2MT0XrvGGM-vytMP1OyDgAY&amp;q=site%3Alinkedin.com+Jessica+C.+Campus+Recruiting+Specialist</v>
      </c>
      <c r="K320" s="5" t="str">
        <f t="shared" si="1"/>
        <v>Jessica C.</v>
      </c>
      <c r="L320" s="5" t="str">
        <f t="shared" si="2"/>
        <v>Campus Recruiting Specialist</v>
      </c>
      <c r="M320" s="5" t="str">
        <f t="shared" si="3"/>
        <v/>
      </c>
      <c r="N320" s="5" t="str">
        <f t="shared" si="4"/>
        <v>Deloitte</v>
      </c>
      <c r="O320" s="5" t="str">
        <f t="shared" si="5"/>
        <v>1 year 6 months in role and company</v>
      </c>
      <c r="P320" s="5" t="str">
        <f t="shared" si="6"/>
        <v>Chicago</v>
      </c>
      <c r="Q320" s="5" t="str">
        <f t="shared" si="7"/>
        <v>Illinois</v>
      </c>
      <c r="R320" s="5" t="str">
        <f t="shared" si="8"/>
        <v>United States</v>
      </c>
    </row>
    <row r="321">
      <c r="A321" s="8" t="s">
        <v>5349</v>
      </c>
      <c r="B321" s="10" t="s">
        <v>5350</v>
      </c>
      <c r="C321" s="10" t="s">
        <v>4596</v>
      </c>
      <c r="D321" s="10"/>
      <c r="E321" s="10" t="s">
        <v>5351</v>
      </c>
      <c r="F321" s="10" t="s">
        <v>376</v>
      </c>
      <c r="G321" s="14" t="s">
        <v>5280</v>
      </c>
      <c r="H321" s="14" t="s">
        <v>4638</v>
      </c>
      <c r="I321" s="15" t="s">
        <v>4600</v>
      </c>
      <c r="J321" s="9" t="str">
        <f>IFERROR(__xludf.DUMMYFUNCTION("""COMPUTED_VALUE"""),"https://www.google.com/search?newwindow=1&amp;ei=2MT0XrvGGM-vytMP1OyDgAY&amp;q=site%3Alinkedin.com+Blake+Johnson+Firmwide+Diversity+Campus+Recruiting")</f>
        <v>https://www.google.com/search?newwindow=1&amp;ei=2MT0XrvGGM-vytMP1OyDgAY&amp;q=site%3Alinkedin.com+Blake+Johnson+Firmwide+Diversity+Campus+Recruiting</v>
      </c>
      <c r="K321" s="5" t="str">
        <f t="shared" si="1"/>
        <v>Blake Johnson</v>
      </c>
      <c r="L321" s="5" t="str">
        <f t="shared" si="2"/>
        <v>Firmwide Diversity Campus Recruiting</v>
      </c>
      <c r="M321" s="5" t="str">
        <f t="shared" si="3"/>
        <v/>
      </c>
      <c r="N321" s="5" t="str">
        <f t="shared" si="4"/>
        <v>JPMorgan Chase &amp; Co.</v>
      </c>
      <c r="O321" s="5" t="str">
        <f t="shared" si="5"/>
        <v>7 months in role</v>
      </c>
      <c r="P321" s="5" t="str">
        <f t="shared" si="6"/>
        <v>Chicago</v>
      </c>
      <c r="Q321" s="5" t="str">
        <f t="shared" si="7"/>
        <v>Illinois</v>
      </c>
      <c r="R321" s="5" t="str">
        <f t="shared" si="8"/>
        <v>United States</v>
      </c>
    </row>
    <row r="322">
      <c r="A322" s="8" t="s">
        <v>5469</v>
      </c>
      <c r="B322" s="12" t="s">
        <v>5470</v>
      </c>
      <c r="C322" s="10" t="s">
        <v>5471</v>
      </c>
      <c r="D322" s="10"/>
      <c r="E322" s="10" t="s">
        <v>5472</v>
      </c>
      <c r="F322" s="10" t="s">
        <v>136</v>
      </c>
      <c r="G322" s="14" t="s">
        <v>5280</v>
      </c>
      <c r="H322" s="14" t="s">
        <v>4638</v>
      </c>
      <c r="I322" s="15" t="s">
        <v>4600</v>
      </c>
      <c r="J322" s="9" t="str">
        <f>IFERROR(__xludf.DUMMYFUNCTION("""COMPUTED_VALUE"""),"https://www.google.com/search?newwindow=1&amp;ei=2MT0XrvGGM-vytMP1OyDgAY&amp;q=site%3Alinkedin.com+Katherine+Roy+Campus+Recruiting+Specialist")</f>
        <v>https://www.google.com/search?newwindow=1&amp;ei=2MT0XrvGGM-vytMP1OyDgAY&amp;q=site%3Alinkedin.com+Katherine+Roy+Campus+Recruiting+Specialist</v>
      </c>
      <c r="K322" s="5" t="str">
        <f t="shared" si="1"/>
        <v>Katherine Roy</v>
      </c>
      <c r="L322" s="5" t="str">
        <f t="shared" si="2"/>
        <v>Campus Recruiting Specialist</v>
      </c>
      <c r="M322" s="5" t="str">
        <f t="shared" si="3"/>
        <v/>
      </c>
      <c r="N322" s="5" t="str">
        <f t="shared" si="4"/>
        <v>Deloitte</v>
      </c>
      <c r="O322" s="5" t="str">
        <f t="shared" si="5"/>
        <v>1 year 5 months in role and company</v>
      </c>
      <c r="P322" s="5" t="str">
        <f t="shared" si="6"/>
        <v>Chicago</v>
      </c>
      <c r="Q322" s="5" t="str">
        <f t="shared" si="7"/>
        <v>Illinois</v>
      </c>
      <c r="R322" s="5" t="str">
        <f t="shared" si="8"/>
        <v>United States</v>
      </c>
    </row>
    <row r="323">
      <c r="A323" s="8" t="s">
        <v>5473</v>
      </c>
      <c r="B323" s="12" t="s">
        <v>5474</v>
      </c>
      <c r="C323" s="10" t="s">
        <v>5475</v>
      </c>
      <c r="D323" s="10"/>
      <c r="E323" s="10" t="s">
        <v>5374</v>
      </c>
      <c r="F323" s="10" t="s">
        <v>697</v>
      </c>
      <c r="G323" s="14" t="s">
        <v>5280</v>
      </c>
      <c r="H323" s="14" t="s">
        <v>4638</v>
      </c>
      <c r="I323" s="15" t="s">
        <v>4600</v>
      </c>
      <c r="J323" s="9" t="str">
        <f>IFERROR(__xludf.DUMMYFUNCTION("""COMPUTED_VALUE"""),"https://www.google.com/search?newwindow=1&amp;ei=2MT0XrvGGM-vytMP1OyDgAY&amp;q=site%3Alinkedin.com+Kori+Kelly+Campus+Recruiting+Manager")</f>
        <v>https://www.google.com/search?newwindow=1&amp;ei=2MT0XrvGGM-vytMP1OyDgAY&amp;q=site%3Alinkedin.com+Kori+Kelly+Campus+Recruiting+Manager</v>
      </c>
      <c r="K323" s="5" t="str">
        <f t="shared" si="1"/>
        <v>Kori Kelly</v>
      </c>
      <c r="L323" s="5" t="str">
        <f t="shared" si="2"/>
        <v>Campus Recruiting Manager</v>
      </c>
      <c r="M323" s="5" t="str">
        <f t="shared" si="3"/>
        <v/>
      </c>
      <c r="N323" s="5" t="str">
        <f t="shared" si="4"/>
        <v>Deloitte</v>
      </c>
      <c r="O323" s="5" t="str">
        <f t="shared" si="5"/>
        <v>9 months in role</v>
      </c>
      <c r="P323" s="5" t="str">
        <f t="shared" si="6"/>
        <v>Chicago</v>
      </c>
      <c r="Q323" s="5" t="str">
        <f t="shared" si="7"/>
        <v>Illinois</v>
      </c>
      <c r="R323" s="5" t="str">
        <f t="shared" si="8"/>
        <v>United States</v>
      </c>
    </row>
    <row r="324">
      <c r="A324" s="8" t="s">
        <v>5476</v>
      </c>
      <c r="B324" s="12" t="s">
        <v>5477</v>
      </c>
      <c r="C324" s="10" t="s">
        <v>5478</v>
      </c>
      <c r="D324" s="10"/>
      <c r="E324" s="10" t="s">
        <v>5479</v>
      </c>
      <c r="F324" s="10" t="s">
        <v>387</v>
      </c>
      <c r="G324" s="14" t="s">
        <v>5280</v>
      </c>
      <c r="H324" s="14" t="s">
        <v>4638</v>
      </c>
      <c r="I324" s="15" t="s">
        <v>4600</v>
      </c>
      <c r="J324" s="9" t="str">
        <f>IFERROR(__xludf.DUMMYFUNCTION("""COMPUTED_VALUE"""),"https://www.google.com/search?newwindow=1&amp;ei=2MT0XrvGGM-vytMP1OyDgAY&amp;q=site%3Alinkedin.com+Kaitlyn+Tallarico+Associate+CTS+Campus+Recruiting+Specialist")</f>
        <v>https://www.google.com/search?newwindow=1&amp;ei=2MT0XrvGGM-vytMP1OyDgAY&amp;q=site%3Alinkedin.com+Kaitlyn+Tallarico+Associate+CTS+Campus+Recruiting+Specialist</v>
      </c>
      <c r="K324" s="5" t="str">
        <f t="shared" si="1"/>
        <v>Kaitlyn Tallarico</v>
      </c>
      <c r="L324" s="5" t="str">
        <f t="shared" si="2"/>
        <v>Associate CTS Campus Recruiting Specialist</v>
      </c>
      <c r="M324" s="5" t="str">
        <f t="shared" si="3"/>
        <v/>
      </c>
      <c r="N324" s="5" t="str">
        <f t="shared" si="4"/>
        <v>Deloitte</v>
      </c>
      <c r="O324" s="5" t="str">
        <f t="shared" si="5"/>
        <v>3 years 9 months in role</v>
      </c>
      <c r="P324" s="5" t="str">
        <f t="shared" si="6"/>
        <v>Chicago</v>
      </c>
      <c r="Q324" s="5" t="str">
        <f t="shared" si="7"/>
        <v>Illinois</v>
      </c>
      <c r="R324" s="5" t="str">
        <f t="shared" si="8"/>
        <v>United States</v>
      </c>
    </row>
    <row r="325">
      <c r="A325" s="8" t="s">
        <v>5480</v>
      </c>
      <c r="B325" s="10" t="s">
        <v>5481</v>
      </c>
      <c r="C325" s="10" t="s">
        <v>5482</v>
      </c>
      <c r="D325" s="10"/>
      <c r="E325" s="10" t="s">
        <v>5217</v>
      </c>
      <c r="F325" s="10" t="s">
        <v>165</v>
      </c>
      <c r="G325" s="14" t="s">
        <v>5280</v>
      </c>
      <c r="H325" s="14" t="s">
        <v>4638</v>
      </c>
      <c r="I325" s="15" t="s">
        <v>4600</v>
      </c>
      <c r="J325" s="9" t="str">
        <f>IFERROR(__xludf.DUMMYFUNCTION("""COMPUTED_VALUE"""),"https://www.google.com/search?newwindow=1&amp;ei=2MT0XrvGGM-vytMP1OyDgAY&amp;q=site%3Alinkedin.com+Stephanie+Loftus,+aPHR+Campus+Recruiting+Coordinator")</f>
        <v>https://www.google.com/search?newwindow=1&amp;ei=2MT0XrvGGM-vytMP1OyDgAY&amp;q=site%3Alinkedin.com+Stephanie+Loftus,+aPHR+Campus+Recruiting+Coordinator</v>
      </c>
      <c r="K325" s="5" t="str">
        <f t="shared" si="1"/>
        <v>Stephanie Loftus, aPHR</v>
      </c>
      <c r="L325" s="5" t="str">
        <f t="shared" si="2"/>
        <v>Campus Recruiting Coordinator</v>
      </c>
      <c r="M325" s="5" t="str">
        <f t="shared" si="3"/>
        <v/>
      </c>
      <c r="N325" s="5" t="str">
        <f t="shared" si="4"/>
        <v>EY</v>
      </c>
      <c r="O325" s="5" t="str">
        <f t="shared" si="5"/>
        <v>2 years 4 months in role and company</v>
      </c>
      <c r="P325" s="5" t="str">
        <f t="shared" si="6"/>
        <v>Chicago</v>
      </c>
      <c r="Q325" s="5" t="str">
        <f t="shared" si="7"/>
        <v>Illinois</v>
      </c>
      <c r="R325" s="5" t="str">
        <f t="shared" si="8"/>
        <v>United States</v>
      </c>
    </row>
    <row r="326">
      <c r="A326" s="8" t="s">
        <v>5354</v>
      </c>
      <c r="B326" s="10" t="s">
        <v>5355</v>
      </c>
      <c r="C326" s="10" t="s">
        <v>115</v>
      </c>
      <c r="D326" s="10"/>
      <c r="E326" s="10" t="s">
        <v>5356</v>
      </c>
      <c r="F326" s="10" t="s">
        <v>446</v>
      </c>
      <c r="G326" s="14" t="s">
        <v>5280</v>
      </c>
      <c r="H326" s="14" t="s">
        <v>4638</v>
      </c>
      <c r="I326" s="15" t="s">
        <v>4600</v>
      </c>
      <c r="J326" s="9" t="str">
        <f>IFERROR(__xludf.DUMMYFUNCTION("""COMPUTED_VALUE"""),"https://www.google.com/search?newwindow=1&amp;ei=2MT0XrvGGM-vytMP1OyDgAY&amp;q=site%3Alinkedin.com+Kathleen+McMillan+Campus+Recruiting+Specialist")</f>
        <v>https://www.google.com/search?newwindow=1&amp;ei=2MT0XrvGGM-vytMP1OyDgAY&amp;q=site%3Alinkedin.com+Kathleen+McMillan+Campus+Recruiting+Specialist</v>
      </c>
      <c r="K326" s="5" t="str">
        <f t="shared" si="1"/>
        <v>Kathleen McMillan</v>
      </c>
      <c r="L326" s="5" t="str">
        <f t="shared" si="2"/>
        <v>Campus Recruiting Specialist</v>
      </c>
      <c r="M326" s="5" t="str">
        <f t="shared" si="3"/>
        <v/>
      </c>
      <c r="N326" s="5" t="str">
        <f t="shared" si="4"/>
        <v>Deloitte</v>
      </c>
      <c r="O326" s="5" t="str">
        <f t="shared" si="5"/>
        <v>1 year 5 months in role</v>
      </c>
      <c r="P326" s="5" t="str">
        <f t="shared" si="6"/>
        <v>Chicago</v>
      </c>
      <c r="Q326" s="5" t="str">
        <f t="shared" si="7"/>
        <v>Illinois</v>
      </c>
      <c r="R326" s="5" t="str">
        <f t="shared" si="8"/>
        <v>United States</v>
      </c>
    </row>
    <row r="327">
      <c r="A327" s="8" t="s">
        <v>5483</v>
      </c>
      <c r="B327" s="12" t="s">
        <v>5484</v>
      </c>
      <c r="C327" s="10" t="s">
        <v>5485</v>
      </c>
      <c r="D327" s="10"/>
      <c r="E327" s="10" t="s">
        <v>5486</v>
      </c>
      <c r="F327" s="10" t="s">
        <v>574</v>
      </c>
      <c r="G327" s="14" t="s">
        <v>5280</v>
      </c>
      <c r="H327" s="14" t="s">
        <v>4638</v>
      </c>
      <c r="I327" s="15" t="s">
        <v>4600</v>
      </c>
      <c r="J327" s="9" t="str">
        <f>IFERROR(__xludf.DUMMYFUNCTION("""COMPUTED_VALUE"""),"https://www.google.com/search?newwindow=1&amp;ei=2MT0XrvGGM-vytMP1OyDgAY&amp;q=site%3Alinkedin.com+Carter+McCormack+Hartung+Campus+Recruiting+Manager")</f>
        <v>https://www.google.com/search?newwindow=1&amp;ei=2MT0XrvGGM-vytMP1OyDgAY&amp;q=site%3Alinkedin.com+Carter+McCormack+Hartung+Campus+Recruiting+Manager</v>
      </c>
      <c r="K327" s="5" t="str">
        <f t="shared" si="1"/>
        <v>Carter McCormack Hartung</v>
      </c>
      <c r="L327" s="5" t="str">
        <f t="shared" si="2"/>
        <v>Campus Recruiting Manager</v>
      </c>
      <c r="M327" s="5" t="str">
        <f t="shared" si="3"/>
        <v/>
      </c>
      <c r="N327" s="5" t="str">
        <f t="shared" si="4"/>
        <v>Deloitte</v>
      </c>
      <c r="O327" s="5" t="str">
        <f t="shared" si="5"/>
        <v>1 year 5 months in role and company</v>
      </c>
      <c r="P327" s="5" t="str">
        <f t="shared" si="6"/>
        <v>Chicago</v>
      </c>
      <c r="Q327" s="5" t="str">
        <f t="shared" si="7"/>
        <v>Illinois</v>
      </c>
      <c r="R327" s="5" t="str">
        <f t="shared" si="8"/>
        <v>United States</v>
      </c>
    </row>
    <row r="328">
      <c r="A328" s="8" t="s">
        <v>5364</v>
      </c>
      <c r="B328" s="10" t="s">
        <v>5365</v>
      </c>
      <c r="C328" s="10" t="s">
        <v>5366</v>
      </c>
      <c r="D328" s="10"/>
      <c r="E328" s="10" t="s">
        <v>5367</v>
      </c>
      <c r="F328" s="10" t="s">
        <v>1123</v>
      </c>
      <c r="G328" s="14" t="s">
        <v>5280</v>
      </c>
      <c r="H328" s="14" t="s">
        <v>4638</v>
      </c>
      <c r="I328" s="15" t="s">
        <v>4600</v>
      </c>
      <c r="J328" s="9" t="str">
        <f>IFERROR(__xludf.DUMMYFUNCTION("""COMPUTED_VALUE"""),"https://www.google.com/search?newwindow=1&amp;ei=2MT0XrvGGM-vytMP1OyDgAY&amp;q=site%3Alinkedin.com+Katelin+Penaranda+Campus+Recruiting+Specialist")</f>
        <v>https://www.google.com/search?newwindow=1&amp;ei=2MT0XrvGGM-vytMP1OyDgAY&amp;q=site%3Alinkedin.com+Katelin+Penaranda+Campus+Recruiting+Specialist</v>
      </c>
      <c r="K328" s="5" t="str">
        <f t="shared" si="1"/>
        <v>Katelin Penaranda</v>
      </c>
      <c r="L328" s="5" t="str">
        <f t="shared" si="2"/>
        <v>Campus Recruiting Specialist</v>
      </c>
      <c r="M328" s="5" t="str">
        <f t="shared" si="3"/>
        <v/>
      </c>
      <c r="N328" s="5" t="str">
        <f t="shared" si="4"/>
        <v>Deloitte</v>
      </c>
      <c r="O328" s="5" t="str">
        <f t="shared" si="5"/>
        <v>1 year 3 months in role</v>
      </c>
      <c r="P328" s="5" t="str">
        <f t="shared" si="6"/>
        <v>Chicago</v>
      </c>
      <c r="Q328" s="5" t="str">
        <f t="shared" si="7"/>
        <v>Illinois</v>
      </c>
      <c r="R328" s="5" t="str">
        <f t="shared" si="8"/>
        <v>United States</v>
      </c>
    </row>
    <row r="329">
      <c r="A329" s="8" t="s">
        <v>5357</v>
      </c>
      <c r="B329" s="10" t="s">
        <v>5358</v>
      </c>
      <c r="C329" s="10" t="s">
        <v>5359</v>
      </c>
      <c r="D329" s="10"/>
      <c r="E329" s="10" t="s">
        <v>5360</v>
      </c>
      <c r="F329" s="10" t="s">
        <v>233</v>
      </c>
      <c r="G329" s="14" t="s">
        <v>5280</v>
      </c>
      <c r="H329" s="14" t="s">
        <v>4638</v>
      </c>
      <c r="I329" s="15" t="s">
        <v>4600</v>
      </c>
      <c r="J329" s="9" t="str">
        <f>IFERROR(__xludf.DUMMYFUNCTION("""COMPUTED_VALUE"""),"https://www.google.com/search?newwindow=1&amp;ei=2MT0XrvGGM-vytMP1OyDgAY&amp;q=site%3Alinkedin.com+Eddie+Covarrubias+Senior+Campus+Recruiting+Specialist")</f>
        <v>https://www.google.com/search?newwindow=1&amp;ei=2MT0XrvGGM-vytMP1OyDgAY&amp;q=site%3Alinkedin.com+Eddie+Covarrubias+Senior+Campus+Recruiting+Specialist</v>
      </c>
      <c r="K329" s="5" t="str">
        <f t="shared" si="1"/>
        <v>Eddie Covarrubias</v>
      </c>
      <c r="L329" s="5" t="str">
        <f t="shared" si="2"/>
        <v>Senior Campus Recruiting Specialist</v>
      </c>
      <c r="M329" s="5" t="str">
        <f t="shared" si="3"/>
        <v/>
      </c>
      <c r="N329" s="5" t="str">
        <f t="shared" si="4"/>
        <v>Deloitte</v>
      </c>
      <c r="O329" s="5" t="str">
        <f t="shared" si="5"/>
        <v>1 year 3 months in role</v>
      </c>
      <c r="P329" s="5" t="str">
        <f t="shared" si="6"/>
        <v>Chicago</v>
      </c>
      <c r="Q329" s="5" t="str">
        <f t="shared" si="7"/>
        <v>Illinois</v>
      </c>
      <c r="R329" s="5" t="str">
        <f t="shared" si="8"/>
        <v>United States</v>
      </c>
    </row>
    <row r="330">
      <c r="A330" s="8" t="s">
        <v>5487</v>
      </c>
      <c r="B330" s="12" t="s">
        <v>5488</v>
      </c>
      <c r="C330" s="10" t="s">
        <v>5489</v>
      </c>
      <c r="D330" s="10"/>
      <c r="E330" s="10" t="s">
        <v>5132</v>
      </c>
      <c r="F330" s="10" t="s">
        <v>1531</v>
      </c>
      <c r="G330" s="14" t="s">
        <v>5280</v>
      </c>
      <c r="H330" s="14" t="s">
        <v>4638</v>
      </c>
      <c r="I330" s="15" t="s">
        <v>4600</v>
      </c>
      <c r="J330" s="9" t="str">
        <f>IFERROR(__xludf.DUMMYFUNCTION("""COMPUTED_VALUE"""),"https://www.google.com/search?newwindow=1&amp;ei=2MT0XrvGGM-vytMP1OyDgAY&amp;q=site%3Alinkedin.com+Andrea+Schott+Senior+Campus+Recruiting+Specialist")</f>
        <v>https://www.google.com/search?newwindow=1&amp;ei=2MT0XrvGGM-vytMP1OyDgAY&amp;q=site%3Alinkedin.com+Andrea+Schott+Senior+Campus+Recruiting+Specialist</v>
      </c>
      <c r="K330" s="5" t="str">
        <f t="shared" si="1"/>
        <v>Andrea Schott</v>
      </c>
      <c r="L330" s="5" t="str">
        <f t="shared" si="2"/>
        <v>Senior Campus Recruiting Specialist</v>
      </c>
      <c r="M330" s="5" t="str">
        <f t="shared" si="3"/>
        <v/>
      </c>
      <c r="N330" s="5" t="str">
        <f t="shared" si="4"/>
        <v>Deloitte</v>
      </c>
      <c r="O330" s="5" t="str">
        <f t="shared" si="5"/>
        <v>1 year 4 months in role</v>
      </c>
      <c r="P330" s="5" t="str">
        <f t="shared" si="6"/>
        <v>Chicago</v>
      </c>
      <c r="Q330" s="5" t="str">
        <f t="shared" si="7"/>
        <v>Illinois</v>
      </c>
      <c r="R330" s="5" t="str">
        <f t="shared" si="8"/>
        <v>United States</v>
      </c>
    </row>
    <row r="331">
      <c r="A331" s="8" t="s">
        <v>5490</v>
      </c>
      <c r="B331" s="12" t="s">
        <v>5491</v>
      </c>
      <c r="C331" s="10" t="s">
        <v>5492</v>
      </c>
      <c r="D331" s="10"/>
      <c r="E331" s="10" t="s">
        <v>5493</v>
      </c>
      <c r="F331" s="10" t="s">
        <v>1809</v>
      </c>
      <c r="G331" s="14" t="s">
        <v>5280</v>
      </c>
      <c r="H331" s="14" t="s">
        <v>4638</v>
      </c>
      <c r="I331" s="15" t="s">
        <v>4600</v>
      </c>
      <c r="J331" s="9" t="str">
        <f>IFERROR(__xludf.DUMMYFUNCTION("""COMPUTED_VALUE"""),"https://www.google.com/search?newwindow=1&amp;ei=2MT0XrvGGM-vytMP1OyDgAY&amp;q=site%3Alinkedin.com+Celeste+Benton+Rotational+Talent+Advisor,+Supervising+Associate,+Campus+Recruiting")</f>
        <v>https://www.google.com/search?newwindow=1&amp;ei=2MT0XrvGGM-vytMP1OyDgAY&amp;q=site%3Alinkedin.com+Celeste+Benton+Rotational+Talent+Advisor,+Supervising+Associate,+Campus+Recruiting</v>
      </c>
      <c r="K331" s="5" t="str">
        <f t="shared" si="1"/>
        <v>Celeste Benton</v>
      </c>
      <c r="L331" s="5" t="str">
        <f t="shared" si="2"/>
        <v>Rotational Talent Advisor, Supervising Associate, Campus Recruiting</v>
      </c>
      <c r="M331" s="5" t="str">
        <f t="shared" si="3"/>
        <v/>
      </c>
      <c r="N331" s="5" t="str">
        <f t="shared" si="4"/>
        <v>EY</v>
      </c>
      <c r="O331" s="5" t="str">
        <f t="shared" si="5"/>
        <v>1 year 2 months in role and company</v>
      </c>
      <c r="P331" s="5" t="str">
        <f t="shared" si="6"/>
        <v>Chicago</v>
      </c>
      <c r="Q331" s="5" t="str">
        <f t="shared" si="7"/>
        <v>Illinois</v>
      </c>
      <c r="R331" s="5" t="str">
        <f t="shared" si="8"/>
        <v>United States</v>
      </c>
    </row>
    <row r="332">
      <c r="A332" s="8" t="s">
        <v>5494</v>
      </c>
      <c r="B332" s="12" t="s">
        <v>5495</v>
      </c>
      <c r="C332" s="10" t="s">
        <v>5496</v>
      </c>
      <c r="D332" s="10"/>
      <c r="E332" s="10" t="s">
        <v>5409</v>
      </c>
      <c r="F332" s="10" t="s">
        <v>48</v>
      </c>
      <c r="G332" s="14" t="s">
        <v>5280</v>
      </c>
      <c r="H332" s="14" t="s">
        <v>4638</v>
      </c>
      <c r="I332" s="15" t="s">
        <v>4600</v>
      </c>
      <c r="J332" s="9" t="str">
        <f>IFERROR(__xludf.DUMMYFUNCTION("""COMPUTED_VALUE"""),"https://www.google.com/search?newwindow=1&amp;ei=2MT0XrvGGM-vytMP1OyDgAY&amp;q=site%3Alinkedin.com+Samara+R.+Campus+Recruiting+Coordinator")</f>
        <v>https://www.google.com/search?newwindow=1&amp;ei=2MT0XrvGGM-vytMP1OyDgAY&amp;q=site%3Alinkedin.com+Samara+R.+Campus+Recruiting+Coordinator</v>
      </c>
      <c r="K332" s="5" t="str">
        <f t="shared" si="1"/>
        <v>Samara R.</v>
      </c>
      <c r="L332" s="5" t="str">
        <f t="shared" si="2"/>
        <v>Campus Recruiting Coordinator</v>
      </c>
      <c r="M332" s="5" t="str">
        <f t="shared" si="3"/>
        <v/>
      </c>
      <c r="N332" s="5" t="str">
        <f t="shared" si="4"/>
        <v>EY</v>
      </c>
      <c r="O332" s="5" t="str">
        <f t="shared" si="5"/>
        <v>1 year 10 months in role and company</v>
      </c>
      <c r="P332" s="5" t="str">
        <f t="shared" si="6"/>
        <v>Chicago</v>
      </c>
      <c r="Q332" s="5" t="str">
        <f t="shared" si="7"/>
        <v>Illinois</v>
      </c>
      <c r="R332" s="5" t="str">
        <f t="shared" si="8"/>
        <v>United States</v>
      </c>
    </row>
    <row r="333">
      <c r="A333" s="8" t="s">
        <v>5361</v>
      </c>
      <c r="B333" s="12" t="s">
        <v>5362</v>
      </c>
      <c r="C333" s="10" t="s">
        <v>5363</v>
      </c>
      <c r="D333" s="10"/>
      <c r="E333" s="10" t="s">
        <v>5276</v>
      </c>
      <c r="F333" s="10" t="s">
        <v>192</v>
      </c>
      <c r="G333" s="14" t="s">
        <v>5280</v>
      </c>
      <c r="H333" s="14" t="s">
        <v>4638</v>
      </c>
      <c r="I333" s="15" t="s">
        <v>4600</v>
      </c>
      <c r="J333" s="9" t="str">
        <f>IFERROR(__xludf.DUMMYFUNCTION("""COMPUTED_VALUE"""),"https://www.google.com/search?newwindow=1&amp;ei=2MT0XrvGGM-vytMP1OyDgAY&amp;q=site%3Alinkedin.com+Elizabeth+Abboreno+Senior+Associate+Campus+Recruiting")</f>
        <v>https://www.google.com/search?newwindow=1&amp;ei=2MT0XrvGGM-vytMP1OyDgAY&amp;q=site%3Alinkedin.com+Elizabeth+Abboreno+Senior+Associate+Campus+Recruiting</v>
      </c>
      <c r="K333" s="5" t="str">
        <f t="shared" si="1"/>
        <v>Elizabeth Abboreno</v>
      </c>
      <c r="L333" s="5" t="str">
        <f t="shared" si="2"/>
        <v>Senior Associate Campus Recruiting</v>
      </c>
      <c r="M333" s="5" t="str">
        <f t="shared" si="3"/>
        <v/>
      </c>
      <c r="N333" s="5" t="str">
        <f t="shared" si="4"/>
        <v>KPMG</v>
      </c>
      <c r="O333" s="5" t="str">
        <f t="shared" si="5"/>
        <v>3 years 10 months in role</v>
      </c>
      <c r="P333" s="5" t="str">
        <f t="shared" si="6"/>
        <v>Chicago</v>
      </c>
      <c r="Q333" s="5" t="str">
        <f t="shared" si="7"/>
        <v>Illinois</v>
      </c>
      <c r="R333" s="5" t="str">
        <f t="shared" si="8"/>
        <v>United States</v>
      </c>
    </row>
    <row r="334">
      <c r="A334" s="8" t="s">
        <v>5368</v>
      </c>
      <c r="B334" s="10" t="s">
        <v>5369</v>
      </c>
      <c r="C334" s="10" t="s">
        <v>5370</v>
      </c>
      <c r="D334" s="10"/>
      <c r="E334" s="10" t="s">
        <v>5371</v>
      </c>
      <c r="F334" s="10" t="s">
        <v>136</v>
      </c>
      <c r="G334" s="14" t="s">
        <v>5280</v>
      </c>
      <c r="H334" s="14" t="s">
        <v>4638</v>
      </c>
      <c r="I334" s="15" t="s">
        <v>4600</v>
      </c>
      <c r="J334" s="9" t="str">
        <f>IFERROR(__xludf.DUMMYFUNCTION("""COMPUTED_VALUE"""),"https://www.google.com/search?newwindow=1&amp;ei=2MT0XrvGGM-vytMP1OyDgAY&amp;q=site%3Alinkedin.com+Ashleigh+Butler+Senior+Campus+Recruiting+Analyst")</f>
        <v>https://www.google.com/search?newwindow=1&amp;ei=2MT0XrvGGM-vytMP1OyDgAY&amp;q=site%3Alinkedin.com+Ashleigh+Butler+Senior+Campus+Recruiting+Analyst</v>
      </c>
      <c r="K334" s="5" t="str">
        <f t="shared" si="1"/>
        <v>Ashleigh Butler</v>
      </c>
      <c r="L334" s="5" t="str">
        <f t="shared" si="2"/>
        <v>Senior Campus Recruiting Analyst</v>
      </c>
      <c r="M334" s="5" t="str">
        <f t="shared" si="3"/>
        <v/>
      </c>
      <c r="N334" s="5" t="str">
        <f t="shared" si="4"/>
        <v>Accenture</v>
      </c>
      <c r="O334" s="5" t="str">
        <f t="shared" si="5"/>
        <v>1 year 7 months in role and company</v>
      </c>
      <c r="P334" s="5" t="str">
        <f t="shared" si="6"/>
        <v>Chicago</v>
      </c>
      <c r="Q334" s="5" t="str">
        <f t="shared" si="7"/>
        <v>Illinois</v>
      </c>
      <c r="R334" s="5" t="str">
        <f t="shared" si="8"/>
        <v>United States</v>
      </c>
    </row>
    <row r="335">
      <c r="A335" s="8" t="s">
        <v>5497</v>
      </c>
      <c r="B335" s="12" t="s">
        <v>5498</v>
      </c>
      <c r="C335" s="10" t="s">
        <v>5499</v>
      </c>
      <c r="D335" s="10"/>
      <c r="E335" s="10" t="s">
        <v>5500</v>
      </c>
      <c r="F335" s="10" t="s">
        <v>512</v>
      </c>
      <c r="G335" s="14" t="s">
        <v>5280</v>
      </c>
      <c r="H335" s="14" t="s">
        <v>4638</v>
      </c>
      <c r="I335" s="15" t="s">
        <v>4600</v>
      </c>
      <c r="J335" s="9" t="str">
        <f>IFERROR(__xludf.DUMMYFUNCTION("""COMPUTED_VALUE"""),"https://www.google.com/search?newwindow=1&amp;ei=2MT0XrvGGM-vytMP1OyDgAY&amp;q=site%3Alinkedin.com+Ariana+Tomasula+FSO+Campus+Recruiting+Coordinator")</f>
        <v>https://www.google.com/search?newwindow=1&amp;ei=2MT0XrvGGM-vytMP1OyDgAY&amp;q=site%3Alinkedin.com+Ariana+Tomasula+FSO+Campus+Recruiting+Coordinator</v>
      </c>
      <c r="K335" s="5" t="str">
        <f t="shared" si="1"/>
        <v>Ariana Tomasula</v>
      </c>
      <c r="L335" s="5" t="str">
        <f t="shared" si="2"/>
        <v>FSO Campus Recruiting Coordinator</v>
      </c>
      <c r="M335" s="5" t="str">
        <f t="shared" si="3"/>
        <v/>
      </c>
      <c r="N335" s="5" t="str">
        <f t="shared" si="4"/>
        <v>EY</v>
      </c>
      <c r="O335" s="5" t="str">
        <f t="shared" si="5"/>
        <v>1 year 3 months in role</v>
      </c>
      <c r="P335" s="5" t="str">
        <f t="shared" si="6"/>
        <v>Chicago</v>
      </c>
      <c r="Q335" s="5" t="str">
        <f t="shared" si="7"/>
        <v>Illinois</v>
      </c>
      <c r="R335" s="5" t="str">
        <f t="shared" si="8"/>
        <v>United States</v>
      </c>
    </row>
    <row r="336">
      <c r="A336" s="8" t="s">
        <v>5501</v>
      </c>
      <c r="B336" s="12" t="s">
        <v>5502</v>
      </c>
      <c r="C336" s="10" t="s">
        <v>5503</v>
      </c>
      <c r="D336" s="10"/>
      <c r="E336" s="10" t="s">
        <v>5504</v>
      </c>
      <c r="F336" s="10" t="s">
        <v>4250</v>
      </c>
      <c r="G336" s="14" t="s">
        <v>5280</v>
      </c>
      <c r="H336" s="14" t="s">
        <v>4638</v>
      </c>
      <c r="I336" s="15" t="s">
        <v>4600</v>
      </c>
      <c r="J336" s="9" t="str">
        <f>IFERROR(__xludf.DUMMYFUNCTION("""COMPUTED_VALUE"""),"https://www.google.com/search?newwindow=1&amp;ei=2MT0XrvGGM-vytMP1OyDgAY&amp;q=site%3Alinkedin.com+Helen+Luz+Campus+Recruiting+Specialist")</f>
        <v>https://www.google.com/search?newwindow=1&amp;ei=2MT0XrvGGM-vytMP1OyDgAY&amp;q=site%3Alinkedin.com+Helen+Luz+Campus+Recruiting+Specialist</v>
      </c>
      <c r="K336" s="5" t="str">
        <f t="shared" si="1"/>
        <v>Helen Luz</v>
      </c>
      <c r="L336" s="5" t="str">
        <f t="shared" si="2"/>
        <v>Campus Recruiting Specialist</v>
      </c>
      <c r="M336" s="5" t="str">
        <f t="shared" si="3"/>
        <v/>
      </c>
      <c r="N336" s="5" t="str">
        <f t="shared" si="4"/>
        <v>Deloitte</v>
      </c>
      <c r="O336" s="5" t="str">
        <f t="shared" si="5"/>
        <v>1 year 3 months in role and company</v>
      </c>
      <c r="P336" s="5" t="str">
        <f t="shared" si="6"/>
        <v>Chicago</v>
      </c>
      <c r="Q336" s="5" t="str">
        <f t="shared" si="7"/>
        <v>Illinois</v>
      </c>
      <c r="R336" s="5" t="str">
        <f t="shared" si="8"/>
        <v>United States</v>
      </c>
    </row>
    <row r="337">
      <c r="A337" s="8" t="s">
        <v>5505</v>
      </c>
      <c r="B337" s="10" t="s">
        <v>5506</v>
      </c>
      <c r="C337" s="10" t="s">
        <v>5507</v>
      </c>
      <c r="D337" s="10"/>
      <c r="E337" s="10" t="s">
        <v>5508</v>
      </c>
      <c r="F337" s="10" t="s">
        <v>149</v>
      </c>
      <c r="G337" s="14" t="s">
        <v>5280</v>
      </c>
      <c r="H337" s="14" t="s">
        <v>4638</v>
      </c>
      <c r="I337" s="15" t="s">
        <v>4600</v>
      </c>
      <c r="J337" s="9" t="str">
        <f>IFERROR(__xludf.DUMMYFUNCTION("""COMPUTED_VALUE"""),"https://www.google.com/search?newwindow=1&amp;ei=2MT0XrvGGM-vytMP1OyDgAY&amp;q=site%3Alinkedin.com+Lauren+Smith+Campus+Recruiting+Specialist")</f>
        <v>https://www.google.com/search?newwindow=1&amp;ei=2MT0XrvGGM-vytMP1OyDgAY&amp;q=site%3Alinkedin.com+Lauren+Smith+Campus+Recruiting+Specialist</v>
      </c>
      <c r="K337" s="5" t="str">
        <f t="shared" si="1"/>
        <v>Lauren Smith</v>
      </c>
      <c r="L337" s="5" t="str">
        <f t="shared" si="2"/>
        <v>Campus Recruiting Specialist</v>
      </c>
      <c r="M337" s="5" t="str">
        <f t="shared" si="3"/>
        <v/>
      </c>
      <c r="N337" s="5" t="str">
        <f t="shared" si="4"/>
        <v>Deloitte</v>
      </c>
      <c r="O337" s="5" t="str">
        <f t="shared" si="5"/>
        <v>2 years 1 month in role and company</v>
      </c>
      <c r="P337" s="5" t="str">
        <f t="shared" si="6"/>
        <v>Chicago</v>
      </c>
      <c r="Q337" s="5" t="str">
        <f t="shared" si="7"/>
        <v>Illinois</v>
      </c>
      <c r="R337" s="5" t="str">
        <f t="shared" si="8"/>
        <v>United States</v>
      </c>
    </row>
    <row r="338">
      <c r="A338" s="8" t="s">
        <v>5509</v>
      </c>
      <c r="B338" s="10" t="s">
        <v>5510</v>
      </c>
      <c r="C338" s="10" t="s">
        <v>5511</v>
      </c>
      <c r="D338" s="10"/>
      <c r="E338" s="10" t="s">
        <v>5512</v>
      </c>
      <c r="F338" s="10" t="s">
        <v>958</v>
      </c>
      <c r="G338" s="14" t="s">
        <v>5280</v>
      </c>
      <c r="H338" s="14" t="s">
        <v>4638</v>
      </c>
      <c r="I338" s="15" t="s">
        <v>4600</v>
      </c>
      <c r="J338" s="9" t="str">
        <f>IFERROR(__xludf.DUMMYFUNCTION("""COMPUTED_VALUE"""),"https://www.google.com/search?newwindow=1&amp;ei=2MT0XrvGGM-vytMP1OyDgAY&amp;q=site%3Alinkedin.com+Mary+Nolan+Campus+Recruiting+Manager")</f>
        <v>https://www.google.com/search?newwindow=1&amp;ei=2MT0XrvGGM-vytMP1OyDgAY&amp;q=site%3Alinkedin.com+Mary+Nolan+Campus+Recruiting+Manager</v>
      </c>
      <c r="K338" s="5" t="str">
        <f t="shared" si="1"/>
        <v>Mary Nolan</v>
      </c>
      <c r="L338" s="5" t="str">
        <f t="shared" si="2"/>
        <v>Campus Recruiting Manager</v>
      </c>
      <c r="M338" s="5" t="str">
        <f t="shared" si="3"/>
        <v/>
      </c>
      <c r="N338" s="5" t="str">
        <f t="shared" si="4"/>
        <v>KPMG US</v>
      </c>
      <c r="O338" s="5" t="str">
        <f t="shared" si="5"/>
        <v>2 years 10 months in role</v>
      </c>
      <c r="P338" s="5" t="str">
        <f t="shared" si="6"/>
        <v>Chicago</v>
      </c>
      <c r="Q338" s="5" t="str">
        <f t="shared" si="7"/>
        <v>Illinois</v>
      </c>
      <c r="R338" s="5" t="str">
        <f t="shared" si="8"/>
        <v>United States</v>
      </c>
    </row>
    <row r="339">
      <c r="A339" s="8" t="s">
        <v>5513</v>
      </c>
      <c r="B339" s="10" t="s">
        <v>5514</v>
      </c>
      <c r="C339" s="10" t="s">
        <v>5515</v>
      </c>
      <c r="D339" s="10"/>
      <c r="E339" s="10" t="s">
        <v>5516</v>
      </c>
      <c r="F339" s="10" t="s">
        <v>48</v>
      </c>
      <c r="G339" s="14" t="s">
        <v>5280</v>
      </c>
      <c r="H339" s="14" t="s">
        <v>4638</v>
      </c>
      <c r="I339" s="15" t="s">
        <v>4600</v>
      </c>
      <c r="J339" s="9" t="str">
        <f>IFERROR(__xludf.DUMMYFUNCTION("""COMPUTED_VALUE"""),"https://www.google.com/search?newwindow=1&amp;ei=2MT0XrvGGM-vytMP1OyDgAY&amp;q=site%3Alinkedin.com+Kelly+Rath+Senior+Manager,+National+Campus+Recruiting")</f>
        <v>https://www.google.com/search?newwindow=1&amp;ei=2MT0XrvGGM-vytMP1OyDgAY&amp;q=site%3Alinkedin.com+Kelly+Rath+Senior+Manager,+National+Campus+Recruiting</v>
      </c>
      <c r="K339" s="5" t="str">
        <f t="shared" si="1"/>
        <v>Kelly Rath</v>
      </c>
      <c r="L339" s="5" t="str">
        <f t="shared" si="2"/>
        <v>Senior Manager, National Campus Recruiting</v>
      </c>
      <c r="M339" s="5" t="str">
        <f t="shared" si="3"/>
        <v/>
      </c>
      <c r="N339" s="5" t="str">
        <f t="shared" si="4"/>
        <v>Andersen</v>
      </c>
      <c r="O339" s="5" t="str">
        <f t="shared" si="5"/>
        <v>11 months in role and company</v>
      </c>
      <c r="P339" s="5" t="str">
        <f t="shared" si="6"/>
        <v>Chicago</v>
      </c>
      <c r="Q339" s="5" t="str">
        <f t="shared" si="7"/>
        <v>Illinois</v>
      </c>
      <c r="R339" s="5" t="str">
        <f t="shared" si="8"/>
        <v>United States</v>
      </c>
    </row>
    <row r="340">
      <c r="A340" s="8" t="s">
        <v>5517</v>
      </c>
      <c r="B340" s="12" t="s">
        <v>5518</v>
      </c>
      <c r="C340" s="10" t="s">
        <v>5519</v>
      </c>
      <c r="D340" s="10"/>
      <c r="E340" s="10" t="s">
        <v>5520</v>
      </c>
      <c r="F340" s="10" t="s">
        <v>2818</v>
      </c>
      <c r="G340" s="14" t="s">
        <v>5280</v>
      </c>
      <c r="H340" s="14" t="s">
        <v>4638</v>
      </c>
      <c r="I340" s="15" t="s">
        <v>4600</v>
      </c>
      <c r="J340" s="9" t="str">
        <f>IFERROR(__xludf.DUMMYFUNCTION("""COMPUTED_VALUE"""),"https://www.google.com/search?newwindow=1&amp;ei=2MT0XrvGGM-vytMP1OyDgAY&amp;q=site%3Alinkedin.com+Cristina+Tomasko+Campus+Recruiting+Manager")</f>
        <v>https://www.google.com/search?newwindow=1&amp;ei=2MT0XrvGGM-vytMP1OyDgAY&amp;q=site%3Alinkedin.com+Cristina+Tomasko+Campus+Recruiting+Manager</v>
      </c>
      <c r="K340" s="5" t="str">
        <f t="shared" si="1"/>
        <v>Cristina Tomasko</v>
      </c>
      <c r="L340" s="5" t="str">
        <f t="shared" si="2"/>
        <v>Campus Recruiting Manager</v>
      </c>
      <c r="M340" s="5" t="str">
        <f t="shared" si="3"/>
        <v/>
      </c>
      <c r="N340" s="5" t="str">
        <f t="shared" si="4"/>
        <v>Deloitte</v>
      </c>
      <c r="O340" s="5" t="str">
        <f t="shared" si="5"/>
        <v>2 years 4 months in role</v>
      </c>
      <c r="P340" s="5" t="str">
        <f t="shared" si="6"/>
        <v>Chicago</v>
      </c>
      <c r="Q340" s="5" t="str">
        <f t="shared" si="7"/>
        <v>Illinois</v>
      </c>
      <c r="R340" s="5" t="str">
        <f t="shared" si="8"/>
        <v>United States</v>
      </c>
    </row>
    <row r="341">
      <c r="A341" s="8" t="s">
        <v>5521</v>
      </c>
      <c r="B341" s="12" t="s">
        <v>5522</v>
      </c>
      <c r="C341" s="10" t="s">
        <v>5523</v>
      </c>
      <c r="D341" s="10"/>
      <c r="E341" s="10" t="s">
        <v>5493</v>
      </c>
      <c r="F341" s="10" t="s">
        <v>5524</v>
      </c>
      <c r="G341" s="14" t="s">
        <v>5280</v>
      </c>
      <c r="H341" s="14" t="s">
        <v>4638</v>
      </c>
      <c r="I341" s="15" t="s">
        <v>4600</v>
      </c>
      <c r="J341" s="9" t="str">
        <f>IFERROR(__xludf.DUMMYFUNCTION("""COMPUTED_VALUE"""),"https://www.google.com/search?newwindow=1&amp;ei=2MT0XrvGGM-vytMP1OyDgAY&amp;q=site%3Alinkedin.com+Rabia+Baig+Vice+President,+Diversity+Sourcing+for+Campus+Recruiting")</f>
        <v>https://www.google.com/search?newwindow=1&amp;ei=2MT0XrvGGM-vytMP1OyDgAY&amp;q=site%3Alinkedin.com+Rabia+Baig+Vice+President,+Diversity+Sourcing+for+Campus+Recruiting</v>
      </c>
      <c r="K341" s="5" t="str">
        <f t="shared" si="1"/>
        <v>Rabia Baig</v>
      </c>
      <c r="L341" s="5" t="str">
        <f t="shared" si="2"/>
        <v>Vice President, Diversity Sourcing for Campus Recruiting</v>
      </c>
      <c r="M341" s="5" t="str">
        <f t="shared" si="3"/>
        <v/>
      </c>
      <c r="N341" s="5" t="str">
        <f t="shared" si="4"/>
        <v>JPMorgan Chase &amp; Co.</v>
      </c>
      <c r="O341" s="5" t="str">
        <f t="shared" si="5"/>
        <v>2 years  in role and company</v>
      </c>
      <c r="P341" s="5" t="str">
        <f t="shared" si="6"/>
        <v>Chicago</v>
      </c>
      <c r="Q341" s="5" t="str">
        <f t="shared" si="7"/>
        <v>Illinois</v>
      </c>
      <c r="R341" s="5" t="str">
        <f t="shared" si="8"/>
        <v>United States</v>
      </c>
    </row>
    <row r="342">
      <c r="A342" s="8" t="s">
        <v>5372</v>
      </c>
      <c r="B342" s="12" t="s">
        <v>5373</v>
      </c>
      <c r="C342" s="10" t="s">
        <v>5270</v>
      </c>
      <c r="D342" s="12"/>
      <c r="E342" s="12" t="s">
        <v>5374</v>
      </c>
      <c r="F342" s="10"/>
      <c r="G342" s="14" t="s">
        <v>5280</v>
      </c>
      <c r="H342" s="14" t="s">
        <v>4638</v>
      </c>
      <c r="I342" s="15" t="s">
        <v>4600</v>
      </c>
      <c r="J342" s="9" t="str">
        <f>IFERROR(__xludf.DUMMYFUNCTION("""COMPUTED_VALUE"""),"https://www.google.com/search?newwindow=1&amp;ei=2MT0XrvGGM-vytMP1OyDgAY&amp;q=site%3Alinkedin.com+Elizabeth+Zimmermann+Campus+Recruiting+Coordinator")</f>
        <v>https://www.google.com/search?newwindow=1&amp;ei=2MT0XrvGGM-vytMP1OyDgAY&amp;q=site%3Alinkedin.com+Elizabeth+Zimmermann+Campus+Recruiting+Coordinator</v>
      </c>
      <c r="K342" s="5" t="str">
        <f t="shared" si="1"/>
        <v>Elizabeth Zimmermann</v>
      </c>
      <c r="L342" s="5" t="str">
        <f t="shared" si="2"/>
        <v>Campus Recruiting Coordinator</v>
      </c>
      <c r="M342" s="5" t="str">
        <f t="shared" si="3"/>
        <v/>
      </c>
      <c r="N342" s="5" t="str">
        <f t="shared" si="4"/>
        <v>JPMorgan Chase &amp; Co.</v>
      </c>
      <c r="O342" s="5" t="str">
        <f t="shared" si="5"/>
        <v>1 year 5 months in role and company</v>
      </c>
      <c r="P342" s="5" t="str">
        <f t="shared" si="6"/>
        <v>Chicago</v>
      </c>
      <c r="Q342" s="5" t="str">
        <f t="shared" si="7"/>
        <v>Illinois</v>
      </c>
      <c r="R342" s="5" t="str">
        <f t="shared" si="8"/>
        <v>United States</v>
      </c>
    </row>
    <row r="343">
      <c r="A343" s="8" t="s">
        <v>5375</v>
      </c>
      <c r="B343" s="12" t="s">
        <v>5376</v>
      </c>
      <c r="C343" s="10" t="s">
        <v>480</v>
      </c>
      <c r="D343" s="10"/>
      <c r="E343" s="10" t="s">
        <v>5376</v>
      </c>
      <c r="F343" s="10" t="s">
        <v>63</v>
      </c>
      <c r="G343" s="14" t="s">
        <v>5280</v>
      </c>
      <c r="H343" s="14" t="s">
        <v>4638</v>
      </c>
      <c r="I343" s="15" t="s">
        <v>4600</v>
      </c>
      <c r="J343" s="9" t="str">
        <f>IFERROR(__xludf.DUMMYFUNCTION("""COMPUTED_VALUE"""),"https://www.google.com/search?newwindow=1&amp;ei=2MT0XrvGGM-vytMP1OyDgAY&amp;q=site%3Alinkedin.com+Danielle+Watson+Associate+Director+of+Campus+Recruiting,+Advisory+Services")</f>
        <v>https://www.google.com/search?newwindow=1&amp;ei=2MT0XrvGGM-vytMP1OyDgAY&amp;q=site%3Alinkedin.com+Danielle+Watson+Associate+Director+of+Campus+Recruiting,+Advisory+Services</v>
      </c>
      <c r="K343" s="5" t="str">
        <f t="shared" si="1"/>
        <v>Danielle Watson</v>
      </c>
      <c r="L343" s="5" t="str">
        <f t="shared" si="2"/>
        <v>Associate Director of Campus Recruiting, Advisory Services</v>
      </c>
      <c r="M343" s="5" t="str">
        <f t="shared" si="3"/>
        <v/>
      </c>
      <c r="N343" s="5" t="str">
        <f t="shared" si="4"/>
        <v>KPMG</v>
      </c>
      <c r="O343" s="5" t="str">
        <f t="shared" si="5"/>
        <v>3 years 1 month in role and company</v>
      </c>
      <c r="P343" s="5" t="str">
        <f t="shared" si="6"/>
        <v>Chicago</v>
      </c>
      <c r="Q343" s="5" t="str">
        <f t="shared" si="7"/>
        <v>Illinois</v>
      </c>
      <c r="R343" s="5" t="str">
        <f t="shared" si="8"/>
        <v>United States</v>
      </c>
    </row>
    <row r="344">
      <c r="A344" s="8" t="s">
        <v>5377</v>
      </c>
      <c r="B344" s="10" t="s">
        <v>5378</v>
      </c>
      <c r="C344" s="10" t="s">
        <v>5072</v>
      </c>
      <c r="D344" s="10"/>
      <c r="E344" s="10" t="s">
        <v>5090</v>
      </c>
      <c r="F344" s="10" t="s">
        <v>144</v>
      </c>
      <c r="G344" s="14" t="s">
        <v>5280</v>
      </c>
      <c r="H344" s="14" t="s">
        <v>4638</v>
      </c>
      <c r="I344" s="15" t="s">
        <v>4600</v>
      </c>
      <c r="J344" s="9" t="str">
        <f>IFERROR(__xludf.DUMMYFUNCTION("""COMPUTED_VALUE"""),"https://www.google.com/search?newwindow=1&amp;ei=2MT0XrvGGM-vytMP1OyDgAY&amp;q=site%3Alinkedin.com+Amy+Fondell+Campus+Recruiting+Field+Leader,+Talent+Attraction+&amp;+Acquisition+at+EY")</f>
        <v>https://www.google.com/search?newwindow=1&amp;ei=2MT0XrvGGM-vytMP1OyDgAY&amp;q=site%3Alinkedin.com+Amy+Fondell+Campus+Recruiting+Field+Leader,+Talent+Attraction+&amp;+Acquisition+at+EY</v>
      </c>
      <c r="K344" s="5" t="str">
        <f t="shared" si="1"/>
        <v>Amy Fondell</v>
      </c>
      <c r="L344" s="5" t="str">
        <f t="shared" si="2"/>
        <v>Campus Recruiting Field Leader, Talent Attraction &amp; Acquisition at EY</v>
      </c>
      <c r="M344" s="5" t="str">
        <f t="shared" si="3"/>
        <v/>
      </c>
      <c r="N344" s="5" t="str">
        <f t="shared" si="4"/>
        <v>EY</v>
      </c>
      <c r="O344" s="5" t="str">
        <f t="shared" si="5"/>
        <v>4 years 6 months in role</v>
      </c>
      <c r="P344" s="5" t="str">
        <f t="shared" si="6"/>
        <v>Chicago</v>
      </c>
      <c r="Q344" s="5" t="str">
        <f t="shared" si="7"/>
        <v>Illinois</v>
      </c>
      <c r="R344" s="5" t="str">
        <f t="shared" si="8"/>
        <v>United States</v>
      </c>
    </row>
    <row r="345">
      <c r="A345" s="8" t="s">
        <v>5379</v>
      </c>
      <c r="B345" s="10" t="s">
        <v>5380</v>
      </c>
      <c r="C345" s="10" t="s">
        <v>5068</v>
      </c>
      <c r="D345" s="10"/>
      <c r="E345" s="10" t="s">
        <v>5381</v>
      </c>
      <c r="F345" s="10" t="s">
        <v>5382</v>
      </c>
      <c r="G345" s="14" t="s">
        <v>5280</v>
      </c>
      <c r="H345" s="14" t="s">
        <v>4638</v>
      </c>
      <c r="I345" s="15" t="s">
        <v>4600</v>
      </c>
      <c r="J345" s="9" t="str">
        <f>IFERROR(__xludf.DUMMYFUNCTION("""COMPUTED_VALUE"""),"https://www.google.com/search?newwindow=1&amp;ei=2MT0XrvGGM-vytMP1OyDgAY&amp;q=site%3Alinkedin.com+Bridgett+Turro+Campus+Recruiting+Coordinator")</f>
        <v>https://www.google.com/search?newwindow=1&amp;ei=2MT0XrvGGM-vytMP1OyDgAY&amp;q=site%3Alinkedin.com+Bridgett+Turro+Campus+Recruiting+Coordinator</v>
      </c>
      <c r="K345" s="5" t="str">
        <f t="shared" si="1"/>
        <v>Bridgett Turro</v>
      </c>
      <c r="L345" s="5" t="str">
        <f t="shared" si="2"/>
        <v>Campus Recruiting Coordinator</v>
      </c>
      <c r="M345" s="5" t="str">
        <f t="shared" si="3"/>
        <v/>
      </c>
      <c r="N345" s="5" t="str">
        <f t="shared" si="4"/>
        <v>JPMorgan Chase &amp; Co.</v>
      </c>
      <c r="O345" s="5" t="str">
        <f t="shared" si="5"/>
        <v>1 year 10 months in role and company</v>
      </c>
      <c r="P345" s="5" t="str">
        <f t="shared" si="6"/>
        <v>Chicago</v>
      </c>
      <c r="Q345" s="5" t="str">
        <f t="shared" si="7"/>
        <v>Illinois</v>
      </c>
      <c r="R345" s="5" t="str">
        <f t="shared" si="8"/>
        <v>United States</v>
      </c>
    </row>
    <row r="346">
      <c r="A346" s="8" t="s">
        <v>5387</v>
      </c>
      <c r="B346" s="10" t="s">
        <v>5388</v>
      </c>
      <c r="C346" s="10" t="s">
        <v>5389</v>
      </c>
      <c r="D346" s="10"/>
      <c r="E346" s="10" t="s">
        <v>621</v>
      </c>
      <c r="F346" s="10" t="s">
        <v>2818</v>
      </c>
      <c r="G346" s="14" t="s">
        <v>5280</v>
      </c>
      <c r="H346" s="14" t="s">
        <v>4638</v>
      </c>
      <c r="I346" s="15" t="s">
        <v>4600</v>
      </c>
      <c r="J346" s="9" t="str">
        <f>IFERROR(__xludf.DUMMYFUNCTION("""COMPUTED_VALUE"""),"https://www.google.com/search?newwindow=1&amp;ei=2MT0XrvGGM-vytMP1OyDgAY&amp;q=site%3Alinkedin.com+Charlotte+Rivard+Senior+Campus+Recruiting+Coordinator")</f>
        <v>https://www.google.com/search?newwindow=1&amp;ei=2MT0XrvGGM-vytMP1OyDgAY&amp;q=site%3Alinkedin.com+Charlotte+Rivard+Senior+Campus+Recruiting+Coordinator</v>
      </c>
      <c r="K346" s="5" t="str">
        <f t="shared" si="1"/>
        <v>Charlotte Rivard</v>
      </c>
      <c r="L346" s="5" t="str">
        <f t="shared" si="2"/>
        <v>Senior Campus Recruiting Coordinator</v>
      </c>
      <c r="M346" s="5" t="str">
        <f t="shared" si="3"/>
        <v/>
      </c>
      <c r="N346" s="5" t="str">
        <f t="shared" si="4"/>
        <v>Deloitte</v>
      </c>
      <c r="O346" s="5" t="str">
        <f t="shared" si="5"/>
        <v>2 years 4 months in role and company</v>
      </c>
      <c r="P346" s="5" t="str">
        <f t="shared" si="6"/>
        <v>Chicago</v>
      </c>
      <c r="Q346" s="5" t="str">
        <f t="shared" si="7"/>
        <v>Illinois</v>
      </c>
      <c r="R346" s="5" t="str">
        <f t="shared" si="8"/>
        <v>United States</v>
      </c>
    </row>
    <row r="347">
      <c r="A347" s="8" t="s">
        <v>5525</v>
      </c>
      <c r="B347" s="10" t="s">
        <v>5526</v>
      </c>
      <c r="C347" s="10" t="s">
        <v>5527</v>
      </c>
      <c r="D347" s="10"/>
      <c r="E347" s="10" t="s">
        <v>5528</v>
      </c>
      <c r="F347" s="10" t="s">
        <v>554</v>
      </c>
      <c r="G347" s="14" t="s">
        <v>5280</v>
      </c>
      <c r="H347" s="14" t="s">
        <v>4638</v>
      </c>
      <c r="I347" s="15" t="s">
        <v>4600</v>
      </c>
      <c r="J347" s="9" t="str">
        <f>IFERROR(__xludf.DUMMYFUNCTION("""COMPUTED_VALUE"""),"https://www.google.com/search?newwindow=1&amp;ei=2MT0XrvGGM-vytMP1OyDgAY&amp;q=site%3Alinkedin.com+William+Hilbrich+Campus+Recruiting+Specialist+-+Consulting")</f>
        <v>https://www.google.com/search?newwindow=1&amp;ei=2MT0XrvGGM-vytMP1OyDgAY&amp;q=site%3Alinkedin.com+William+Hilbrich+Campus+Recruiting+Specialist+-+Consulting</v>
      </c>
      <c r="K347" s="5" t="str">
        <f t="shared" si="1"/>
        <v>William Hilbrich</v>
      </c>
      <c r="L347" s="5" t="str">
        <f t="shared" si="2"/>
        <v>Campus Recruiting Specialist - Consulting</v>
      </c>
      <c r="M347" s="5" t="str">
        <f t="shared" si="3"/>
        <v/>
      </c>
      <c r="N347" s="5" t="str">
        <f t="shared" si="4"/>
        <v>Deloitte</v>
      </c>
      <c r="O347" s="5" t="str">
        <f t="shared" si="5"/>
        <v>4 years 10 months in role</v>
      </c>
      <c r="P347" s="5" t="str">
        <f t="shared" si="6"/>
        <v>Chicago</v>
      </c>
      <c r="Q347" s="5" t="str">
        <f t="shared" si="7"/>
        <v>Illinois</v>
      </c>
      <c r="R347" s="5" t="str">
        <f t="shared" si="8"/>
        <v>United States</v>
      </c>
    </row>
    <row r="348">
      <c r="A348" s="8" t="s">
        <v>5529</v>
      </c>
      <c r="B348" s="12" t="s">
        <v>5530</v>
      </c>
      <c r="C348" s="10" t="s">
        <v>5531</v>
      </c>
      <c r="D348" s="10"/>
      <c r="E348" s="10" t="s">
        <v>5532</v>
      </c>
      <c r="F348" s="10" t="s">
        <v>1065</v>
      </c>
      <c r="G348" s="14" t="s">
        <v>5280</v>
      </c>
      <c r="H348" s="14" t="s">
        <v>4638</v>
      </c>
      <c r="I348" s="15" t="s">
        <v>4600</v>
      </c>
      <c r="J348" s="9" t="str">
        <f>IFERROR(__xludf.DUMMYFUNCTION("""COMPUTED_VALUE"""),"https://www.google.com/search?newwindow=1&amp;ei=2MT0XrvGGM-vytMP1OyDgAY&amp;q=site%3Alinkedin.com+Jen+Marshall+Central+Market+Talent+Identification+Lead")</f>
        <v>https://www.google.com/search?newwindow=1&amp;ei=2MT0XrvGGM-vytMP1OyDgAY&amp;q=site%3Alinkedin.com+Jen+Marshall+Central+Market+Talent+Identification+Lead</v>
      </c>
      <c r="K348" s="5" t="str">
        <f t="shared" si="1"/>
        <v>Jen Marshall</v>
      </c>
      <c r="L348" s="5" t="str">
        <f t="shared" si="2"/>
        <v>Central Market Talent Identification Lead</v>
      </c>
      <c r="M348" s="5" t="str">
        <f t="shared" si="3"/>
        <v/>
      </c>
      <c r="N348" s="5" t="str">
        <f t="shared" si="4"/>
        <v>PwC</v>
      </c>
      <c r="O348" s="5" t="str">
        <f t="shared" si="5"/>
        <v>3 years 6 months in role</v>
      </c>
      <c r="P348" s="5" t="str">
        <f t="shared" si="6"/>
        <v>Chicago</v>
      </c>
      <c r="Q348" s="5" t="str">
        <f t="shared" si="7"/>
        <v>Illinois</v>
      </c>
      <c r="R348" s="5" t="str">
        <f t="shared" si="8"/>
        <v>United States</v>
      </c>
    </row>
    <row r="349">
      <c r="A349" s="8" t="s">
        <v>5383</v>
      </c>
      <c r="B349" s="10" t="s">
        <v>5384</v>
      </c>
      <c r="C349" s="10" t="s">
        <v>4596</v>
      </c>
      <c r="D349" s="10"/>
      <c r="E349" s="10" t="s">
        <v>5385</v>
      </c>
      <c r="F349" s="10" t="s">
        <v>5386</v>
      </c>
      <c r="G349" s="14" t="s">
        <v>5280</v>
      </c>
      <c r="H349" s="14" t="s">
        <v>4638</v>
      </c>
      <c r="I349" s="15" t="s">
        <v>4600</v>
      </c>
      <c r="J349" s="9" t="str">
        <f>IFERROR(__xludf.DUMMYFUNCTION("""COMPUTED_VALUE"""),"https://www.google.com/search?newwindow=1&amp;ei=2MT0XrvGGM-vytMP1OyDgAY&amp;q=site%3Alinkedin.com+Jill+Wilson+Campus+Recruiting+Market+Segment+Lead")</f>
        <v>https://www.google.com/search?newwindow=1&amp;ei=2MT0XrvGGM-vytMP1OyDgAY&amp;q=site%3Alinkedin.com+Jill+Wilson+Campus+Recruiting+Market+Segment+Lead</v>
      </c>
      <c r="K349" s="5" t="str">
        <f t="shared" si="1"/>
        <v>Jill Wilson</v>
      </c>
      <c r="L349" s="5" t="str">
        <f t="shared" si="2"/>
        <v>Campus Recruiting Market Segment Lead</v>
      </c>
      <c r="M349" s="5" t="str">
        <f t="shared" si="3"/>
        <v/>
      </c>
      <c r="N349" s="5" t="str">
        <f t="shared" si="4"/>
        <v>EY</v>
      </c>
      <c r="O349" s="5" t="str">
        <f t="shared" si="5"/>
        <v>5 years 6 months in role</v>
      </c>
      <c r="P349" s="5" t="str">
        <f t="shared" si="6"/>
        <v>Chicago</v>
      </c>
      <c r="Q349" s="5" t="str">
        <f t="shared" si="7"/>
        <v>Illinois</v>
      </c>
      <c r="R349" s="5" t="str">
        <f t="shared" si="8"/>
        <v>United States</v>
      </c>
    </row>
    <row r="350">
      <c r="A350" s="8" t="s">
        <v>5533</v>
      </c>
      <c r="B350" s="10" t="s">
        <v>5534</v>
      </c>
      <c r="C350" s="10" t="s">
        <v>5515</v>
      </c>
      <c r="D350" s="10"/>
      <c r="E350" s="10" t="s">
        <v>5535</v>
      </c>
      <c r="F350" s="10" t="s">
        <v>144</v>
      </c>
      <c r="G350" s="14" t="s">
        <v>5280</v>
      </c>
      <c r="H350" s="14" t="s">
        <v>4638</v>
      </c>
      <c r="I350" s="15" t="s">
        <v>4600</v>
      </c>
      <c r="J350" s="9" t="str">
        <f>IFERROR(__xludf.DUMMYFUNCTION("""COMPUTED_VALUE"""),"https://www.google.com/search?newwindow=1&amp;ei=2MT0XrvGGM-vytMP1OyDgAY&amp;q=site%3Alinkedin.com+Kristin+Mikelson+Campus+Recruiting+Manager")</f>
        <v>https://www.google.com/search?newwindow=1&amp;ei=2MT0XrvGGM-vytMP1OyDgAY&amp;q=site%3Alinkedin.com+Kristin+Mikelson+Campus+Recruiting+Manager</v>
      </c>
      <c r="K350" s="5" t="str">
        <f t="shared" si="1"/>
        <v>Kristin Mikelson</v>
      </c>
      <c r="L350" s="5" t="str">
        <f t="shared" si="2"/>
        <v>Campus Recruiting Manager</v>
      </c>
      <c r="M350" s="5" t="str">
        <f t="shared" si="3"/>
        <v/>
      </c>
      <c r="N350" s="5" t="str">
        <f t="shared" si="4"/>
        <v>Deloitte</v>
      </c>
      <c r="O350" s="5" t="str">
        <f t="shared" si="5"/>
        <v>1 year 2 months in role and company</v>
      </c>
      <c r="P350" s="5" t="str">
        <f t="shared" si="6"/>
        <v>Chicago</v>
      </c>
      <c r="Q350" s="5" t="str">
        <f t="shared" si="7"/>
        <v>Illinois</v>
      </c>
      <c r="R350" s="5" t="str">
        <f t="shared" si="8"/>
        <v>United States</v>
      </c>
    </row>
    <row r="351">
      <c r="A351" s="8" t="s">
        <v>5536</v>
      </c>
      <c r="B351" s="10" t="s">
        <v>5537</v>
      </c>
      <c r="C351" s="10" t="s">
        <v>4668</v>
      </c>
      <c r="D351" s="12"/>
      <c r="E351" s="12" t="s">
        <v>5538</v>
      </c>
      <c r="F351" s="10"/>
      <c r="G351" s="14" t="s">
        <v>5280</v>
      </c>
      <c r="H351" s="14" t="s">
        <v>4638</v>
      </c>
      <c r="I351" s="15" t="s">
        <v>4600</v>
      </c>
      <c r="J351" s="9" t="str">
        <f>IFERROR(__xludf.DUMMYFUNCTION("""COMPUTED_VALUE"""),"https://www.google.com/search?newwindow=1&amp;ei=2MT0XrvGGM-vytMP1OyDgAY&amp;q=site%3Alinkedin.com+Natasha+Stough+Campus+Recruiting+Leader")</f>
        <v>https://www.google.com/search?newwindow=1&amp;ei=2MT0XrvGGM-vytMP1OyDgAY&amp;q=site%3Alinkedin.com+Natasha+Stough+Campus+Recruiting+Leader</v>
      </c>
      <c r="K351" s="5" t="str">
        <f t="shared" si="1"/>
        <v>Natasha Stough</v>
      </c>
      <c r="L351" s="5" t="str">
        <f t="shared" si="2"/>
        <v>Campus Recruiting Leader</v>
      </c>
      <c r="M351" s="5" t="str">
        <f t="shared" si="3"/>
        <v/>
      </c>
      <c r="N351" s="5" t="str">
        <f t="shared" si="4"/>
        <v>Ernst &amp; Young LLP</v>
      </c>
      <c r="O351" s="5" t="str">
        <f t="shared" si="5"/>
        <v/>
      </c>
      <c r="P351" s="5" t="str">
        <f t="shared" si="6"/>
        <v>Chicago</v>
      </c>
      <c r="Q351" s="5" t="str">
        <f t="shared" si="7"/>
        <v>Illinois</v>
      </c>
      <c r="R351" s="5" t="str">
        <f t="shared" si="8"/>
        <v>United States</v>
      </c>
    </row>
    <row r="352">
      <c r="A352" s="8" t="s">
        <v>5390</v>
      </c>
      <c r="B352" s="10" t="s">
        <v>5391</v>
      </c>
      <c r="C352" s="10" t="s">
        <v>5392</v>
      </c>
      <c r="D352" s="10"/>
      <c r="E352" s="10" t="s">
        <v>5393</v>
      </c>
      <c r="F352" s="10" t="s">
        <v>144</v>
      </c>
      <c r="G352" s="14" t="s">
        <v>5280</v>
      </c>
      <c r="H352" s="14" t="s">
        <v>4638</v>
      </c>
      <c r="I352" s="15" t="s">
        <v>4600</v>
      </c>
      <c r="J352" s="9" t="str">
        <f>IFERROR(__xludf.DUMMYFUNCTION("""COMPUTED_VALUE"""),"https://www.google.com/search?newwindow=1&amp;ei=2MT0XrvGGM-vytMP1OyDgAY&amp;q=site%3Alinkedin.com+Laura+Hamilton+Campus+Recruiting+Specialist")</f>
        <v>https://www.google.com/search?newwindow=1&amp;ei=2MT0XrvGGM-vytMP1OyDgAY&amp;q=site%3Alinkedin.com+Laura+Hamilton+Campus+Recruiting+Specialist</v>
      </c>
      <c r="K352" s="5" t="str">
        <f t="shared" si="1"/>
        <v>Laura Hamilton</v>
      </c>
      <c r="L352" s="5" t="str">
        <f t="shared" si="2"/>
        <v>Campus Recruiting Specialist</v>
      </c>
      <c r="M352" s="5" t="str">
        <f t="shared" si="3"/>
        <v/>
      </c>
      <c r="N352" s="5" t="str">
        <f t="shared" si="4"/>
        <v>Deloitte</v>
      </c>
      <c r="O352" s="5" t="str">
        <f t="shared" si="5"/>
        <v>8 months in role and company</v>
      </c>
      <c r="P352" s="5" t="str">
        <f t="shared" si="6"/>
        <v>Chicago</v>
      </c>
      <c r="Q352" s="5" t="str">
        <f t="shared" si="7"/>
        <v>Illinois</v>
      </c>
      <c r="R352" s="5" t="str">
        <f t="shared" si="8"/>
        <v>United States</v>
      </c>
    </row>
    <row r="353">
      <c r="A353" s="8" t="s">
        <v>5539</v>
      </c>
      <c r="B353" s="12" t="s">
        <v>5540</v>
      </c>
      <c r="C353" s="10" t="s">
        <v>5541</v>
      </c>
      <c r="D353" s="10"/>
      <c r="E353" s="10" t="s">
        <v>5542</v>
      </c>
      <c r="F353" s="10" t="s">
        <v>68</v>
      </c>
      <c r="G353" s="14" t="s">
        <v>5280</v>
      </c>
      <c r="H353" s="14" t="s">
        <v>4638</v>
      </c>
      <c r="I353" s="15" t="s">
        <v>4600</v>
      </c>
      <c r="J353" s="9" t="str">
        <f>IFERROR(__xludf.DUMMYFUNCTION("""COMPUTED_VALUE"""),"https://www.google.com/search?newwindow=1&amp;ei=2MT0XrvGGM-vytMP1OyDgAY&amp;q=site%3Alinkedin.com+Natalie+Schoonover+Campus+Recruiting+Leader")</f>
        <v>https://www.google.com/search?newwindow=1&amp;ei=2MT0XrvGGM-vytMP1OyDgAY&amp;q=site%3Alinkedin.com+Natalie+Schoonover+Campus+Recruiting+Leader</v>
      </c>
      <c r="K353" s="5" t="str">
        <f t="shared" si="1"/>
        <v>Natalie Schoonover</v>
      </c>
      <c r="L353" s="5" t="str">
        <f t="shared" si="2"/>
        <v>Campus Recruiting Leader</v>
      </c>
      <c r="M353" s="5" t="str">
        <f t="shared" si="3"/>
        <v/>
      </c>
      <c r="N353" s="5" t="str">
        <f t="shared" si="4"/>
        <v>EY</v>
      </c>
      <c r="O353" s="5" t="str">
        <f t="shared" si="5"/>
        <v>1 year 4 months in role</v>
      </c>
      <c r="P353" s="5" t="str">
        <f t="shared" si="6"/>
        <v>Chicago</v>
      </c>
      <c r="Q353" s="5" t="str">
        <f t="shared" si="7"/>
        <v>Illinois</v>
      </c>
      <c r="R353" s="5" t="str">
        <f t="shared" si="8"/>
        <v>United States</v>
      </c>
    </row>
    <row r="354">
      <c r="A354" s="8" t="s">
        <v>5543</v>
      </c>
      <c r="B354" s="10" t="s">
        <v>5544</v>
      </c>
      <c r="C354" s="10" t="s">
        <v>5227</v>
      </c>
      <c r="D354" s="10"/>
      <c r="E354" s="10" t="s">
        <v>5545</v>
      </c>
      <c r="F354" s="10" t="s">
        <v>5546</v>
      </c>
      <c r="G354" s="14" t="s">
        <v>5280</v>
      </c>
      <c r="H354" s="14" t="s">
        <v>4638</v>
      </c>
      <c r="I354" s="15" t="s">
        <v>4600</v>
      </c>
      <c r="J354" s="9" t="str">
        <f>IFERROR(__xludf.DUMMYFUNCTION("""COMPUTED_VALUE"""),"https://www.google.com/search?newwindow=1&amp;ei=2MT0XrvGGM-vytMP1OyDgAY&amp;q=site%3Alinkedin.com+Jessica+Yaeger+Campus+Recruiting+Coordinator")</f>
        <v>https://www.google.com/search?newwindow=1&amp;ei=2MT0XrvGGM-vytMP1OyDgAY&amp;q=site%3Alinkedin.com+Jessica+Yaeger+Campus+Recruiting+Coordinator</v>
      </c>
      <c r="K354" s="5" t="str">
        <f t="shared" si="1"/>
        <v>Jessica Yaeger</v>
      </c>
      <c r="L354" s="5" t="str">
        <f t="shared" si="2"/>
        <v>Campus Recruiting Coordinator</v>
      </c>
      <c r="M354" s="5" t="str">
        <f t="shared" si="3"/>
        <v/>
      </c>
      <c r="N354" s="5" t="str">
        <f t="shared" si="4"/>
        <v>Deloitte</v>
      </c>
      <c r="O354" s="5" t="str">
        <f t="shared" si="5"/>
        <v>3 years 2 months in role and company</v>
      </c>
      <c r="P354" s="5" t="str">
        <f t="shared" si="6"/>
        <v>Chicago</v>
      </c>
      <c r="Q354" s="5" t="str">
        <f t="shared" si="7"/>
        <v>Illinois</v>
      </c>
      <c r="R354" s="5" t="str">
        <f t="shared" si="8"/>
        <v>United States</v>
      </c>
    </row>
    <row r="355">
      <c r="A355" s="8" t="s">
        <v>5398</v>
      </c>
      <c r="B355" s="10" t="s">
        <v>5399</v>
      </c>
      <c r="C355" s="10" t="s">
        <v>5400</v>
      </c>
      <c r="D355" s="10"/>
      <c r="E355" s="10" t="s">
        <v>5401</v>
      </c>
      <c r="F355" s="10" t="s">
        <v>15</v>
      </c>
      <c r="G355" s="14" t="s">
        <v>5280</v>
      </c>
      <c r="H355" s="14" t="s">
        <v>4638</v>
      </c>
      <c r="I355" s="15" t="s">
        <v>4600</v>
      </c>
      <c r="J355" s="9" t="str">
        <f>IFERROR(__xludf.DUMMYFUNCTION("""COMPUTED_VALUE"""),"https://www.google.com/search?newwindow=1&amp;ei=2MT0XrvGGM-vytMP1OyDgAY&amp;q=site%3Alinkedin.com+Elise+E+Grover+Campus+Recruiting+Coordinator")</f>
        <v>https://www.google.com/search?newwindow=1&amp;ei=2MT0XrvGGM-vytMP1OyDgAY&amp;q=site%3Alinkedin.com+Elise+E+Grover+Campus+Recruiting+Coordinator</v>
      </c>
      <c r="K355" s="5" t="str">
        <f t="shared" si="1"/>
        <v>Elise E Grover</v>
      </c>
      <c r="L355" s="5" t="str">
        <f t="shared" si="2"/>
        <v>Campus Recruiting Coordinator</v>
      </c>
      <c r="M355" s="5" t="str">
        <f t="shared" si="3"/>
        <v/>
      </c>
      <c r="N355" s="5" t="str">
        <f t="shared" si="4"/>
        <v>EY</v>
      </c>
      <c r="O355" s="5" t="str">
        <f t="shared" si="5"/>
        <v>8 months in role and company</v>
      </c>
      <c r="P355" s="5" t="str">
        <f t="shared" si="6"/>
        <v>Chicago</v>
      </c>
      <c r="Q355" s="5" t="str">
        <f t="shared" si="7"/>
        <v>Illinois</v>
      </c>
      <c r="R355" s="5" t="str">
        <f t="shared" si="8"/>
        <v>United States</v>
      </c>
    </row>
    <row r="356">
      <c r="A356" s="8" t="s">
        <v>5394</v>
      </c>
      <c r="B356" s="12" t="s">
        <v>5395</v>
      </c>
      <c r="C356" s="10" t="s">
        <v>5396</v>
      </c>
      <c r="D356" s="10"/>
      <c r="E356" s="10" t="s">
        <v>5397</v>
      </c>
      <c r="F356" s="10" t="s">
        <v>554</v>
      </c>
      <c r="G356" s="14" t="s">
        <v>5280</v>
      </c>
      <c r="H356" s="14" t="s">
        <v>4638</v>
      </c>
      <c r="I356" s="15" t="s">
        <v>4600</v>
      </c>
      <c r="J356" s="9" t="str">
        <f>IFERROR(__xludf.DUMMYFUNCTION("""COMPUTED_VALUE"""),"https://www.google.com/search?newwindow=1&amp;ei=2MT0XrvGGM-vytMP1OyDgAY&amp;q=site%3Alinkedin.com+Anne+(Keppler)+Mayor+Advisory+Consumer+Markets+Talent+Consultant")</f>
        <v>https://www.google.com/search?newwindow=1&amp;ei=2MT0XrvGGM-vytMP1OyDgAY&amp;q=site%3Alinkedin.com+Anne+(Keppler)+Mayor+Advisory+Consumer+Markets+Talent+Consultant</v>
      </c>
      <c r="K356" s="5" t="str">
        <f t="shared" si="1"/>
        <v>Anne (Keppler) Mayor</v>
      </c>
      <c r="L356" s="5" t="str">
        <f t="shared" si="2"/>
        <v>Advisory Consumer Markets Talent Consultant</v>
      </c>
      <c r="M356" s="5" t="str">
        <f t="shared" si="3"/>
        <v/>
      </c>
      <c r="N356" s="5" t="str">
        <f t="shared" si="4"/>
        <v>PwC</v>
      </c>
      <c r="O356" s="5" t="str">
        <f t="shared" si="5"/>
        <v>2 years 1 month in role</v>
      </c>
      <c r="P356" s="5" t="str">
        <f t="shared" si="6"/>
        <v>Chicago</v>
      </c>
      <c r="Q356" s="5" t="str">
        <f t="shared" si="7"/>
        <v>Illinois</v>
      </c>
      <c r="R356" s="5" t="str">
        <f t="shared" si="8"/>
        <v>United States</v>
      </c>
    </row>
    <row r="357">
      <c r="A357" s="8" t="s">
        <v>5547</v>
      </c>
      <c r="B357" s="10" t="s">
        <v>5548</v>
      </c>
      <c r="C357" s="10" t="s">
        <v>5549</v>
      </c>
      <c r="D357" s="12"/>
      <c r="E357" s="12" t="s">
        <v>5550</v>
      </c>
      <c r="F357" s="10"/>
      <c r="G357" s="14" t="s">
        <v>5280</v>
      </c>
      <c r="H357" s="14" t="s">
        <v>4638</v>
      </c>
      <c r="I357" s="15" t="s">
        <v>4600</v>
      </c>
      <c r="J357" s="9" t="str">
        <f>IFERROR(__xludf.DUMMYFUNCTION("""COMPUTED_VALUE"""),"https://www.google.com/search?newwindow=1&amp;ei=2MT0XrvGGM-vytMP1OyDgAY&amp;q=site%3Alinkedin.com+Brianne+Petricone+Campus+Recruiting+Coordinator")</f>
        <v>https://www.google.com/search?newwindow=1&amp;ei=2MT0XrvGGM-vytMP1OyDgAY&amp;q=site%3Alinkedin.com+Brianne+Petricone+Campus+Recruiting+Coordinator</v>
      </c>
      <c r="K357" s="5" t="str">
        <f t="shared" si="1"/>
        <v>Brianne Petricone</v>
      </c>
      <c r="L357" s="5" t="str">
        <f t="shared" si="2"/>
        <v>Campus Recruiting Coordinator</v>
      </c>
      <c r="M357" s="5" t="str">
        <f t="shared" si="3"/>
        <v/>
      </c>
      <c r="N357" s="5" t="str">
        <f t="shared" si="4"/>
        <v>Deloitte</v>
      </c>
      <c r="O357" s="5" t="str">
        <f t="shared" si="5"/>
        <v/>
      </c>
      <c r="P357" s="5" t="str">
        <f t="shared" si="6"/>
        <v>Chicago</v>
      </c>
      <c r="Q357" s="5" t="str">
        <f t="shared" si="7"/>
        <v>Illinois</v>
      </c>
      <c r="R357" s="5" t="str">
        <f t="shared" si="8"/>
        <v>United States</v>
      </c>
    </row>
    <row r="358">
      <c r="A358" s="8" t="s">
        <v>5551</v>
      </c>
      <c r="B358" s="10" t="s">
        <v>5552</v>
      </c>
      <c r="C358" s="10" t="s">
        <v>5553</v>
      </c>
      <c r="D358" s="10"/>
      <c r="E358" s="10" t="s">
        <v>5554</v>
      </c>
      <c r="F358" s="10" t="s">
        <v>26</v>
      </c>
      <c r="G358" s="11" t="s">
        <v>5555</v>
      </c>
      <c r="H358" s="11" t="s">
        <v>5556</v>
      </c>
      <c r="I358" s="11" t="s">
        <v>4619</v>
      </c>
      <c r="J358" s="9" t="str">
        <f>IFERROR(__xludf.DUMMYFUNCTION("""COMPUTED_VALUE"""),"https://www.google.com/search?newwindow=1&amp;ei=2MT0XrvGGM-vytMP1OyDgAY&amp;q=site%3Alinkedin.com+Carol+Mammel+UFV+International+Student+Support+and+Programs")</f>
        <v>https://www.google.com/search?newwindow=1&amp;ei=2MT0XrvGGM-vytMP1OyDgAY&amp;q=site%3Alinkedin.com+Carol+Mammel+UFV+International+Student+Support+and+Programs</v>
      </c>
      <c r="K358" s="5" t="str">
        <f t="shared" si="1"/>
        <v>Carol Mammel</v>
      </c>
      <c r="L358" s="5" t="str">
        <f t="shared" si="2"/>
        <v>UFV International Student Support and Programs</v>
      </c>
      <c r="M358" s="5" t="str">
        <f t="shared" si="3"/>
        <v/>
      </c>
      <c r="N358" s="5" t="str">
        <f t="shared" si="4"/>
        <v>University of the Fraser Valley</v>
      </c>
      <c r="O358" s="5" t="str">
        <f t="shared" si="5"/>
        <v/>
      </c>
      <c r="P358" s="5" t="str">
        <f t="shared" si="6"/>
        <v>Chilliwack</v>
      </c>
      <c r="Q358" s="5" t="str">
        <f t="shared" si="7"/>
        <v>British Columbia</v>
      </c>
      <c r="R358" s="5" t="str">
        <f t="shared" si="8"/>
        <v>Canada</v>
      </c>
    </row>
    <row r="359">
      <c r="A359" s="8" t="s">
        <v>5557</v>
      </c>
      <c r="B359" s="12" t="s">
        <v>5558</v>
      </c>
      <c r="C359" s="10" t="s">
        <v>5559</v>
      </c>
      <c r="D359" s="10"/>
      <c r="E359" s="10" t="s">
        <v>5560</v>
      </c>
      <c r="F359" s="10" t="s">
        <v>500</v>
      </c>
      <c r="G359" s="11" t="s">
        <v>5555</v>
      </c>
      <c r="H359" s="11" t="s">
        <v>5556</v>
      </c>
      <c r="I359" s="11" t="s">
        <v>4619</v>
      </c>
      <c r="J359" s="9" t="str">
        <f>IFERROR(__xludf.DUMMYFUNCTION("""COMPUTED_VALUE"""),"https://www.google.com/search?newwindow=1&amp;ei=2MT0XrvGGM-vytMP1OyDgAY&amp;q=site%3Alinkedin.com+Christal+Shillingford+Assistant+Director,+US-West+Diversity+&amp;+Inclusiveness+Campus+Recruiting+Lead")</f>
        <v>https://www.google.com/search?newwindow=1&amp;ei=2MT0XrvGGM-vytMP1OyDgAY&amp;q=site%3Alinkedin.com+Christal+Shillingford+Assistant+Director,+US-West+Diversity+&amp;+Inclusiveness+Campus+Recruiting+Lead</v>
      </c>
      <c r="K359" s="5" t="str">
        <f t="shared" si="1"/>
        <v>Christal Shillingford</v>
      </c>
      <c r="L359" s="5" t="str">
        <f t="shared" si="2"/>
        <v>Assistant Director, US-West Diversity &amp; Inclusiveness Campus Recruiting Lead</v>
      </c>
      <c r="M359" s="5" t="str">
        <f t="shared" si="3"/>
        <v/>
      </c>
      <c r="N359" s="5" t="str">
        <f t="shared" si="4"/>
        <v>EY</v>
      </c>
      <c r="O359" s="5" t="str">
        <f t="shared" si="5"/>
        <v>1 year 4 months in role</v>
      </c>
      <c r="P359" s="5" t="str">
        <f t="shared" si="6"/>
        <v>Chino Hills</v>
      </c>
      <c r="Q359" s="5" t="str">
        <f t="shared" si="7"/>
        <v>California</v>
      </c>
      <c r="R359" s="5" t="str">
        <f t="shared" si="8"/>
        <v>United States</v>
      </c>
    </row>
    <row r="360">
      <c r="A360" s="8" t="s">
        <v>5561</v>
      </c>
      <c r="B360" s="10" t="s">
        <v>5562</v>
      </c>
      <c r="C360" s="10" t="s">
        <v>5563</v>
      </c>
      <c r="D360" s="10"/>
      <c r="E360" s="10" t="s">
        <v>5564</v>
      </c>
      <c r="F360" s="10" t="s">
        <v>3110</v>
      </c>
      <c r="G360" s="11" t="s">
        <v>5565</v>
      </c>
      <c r="H360" s="11" t="s">
        <v>5566</v>
      </c>
      <c r="I360" s="11" t="s">
        <v>4619</v>
      </c>
      <c r="J360" s="9" t="str">
        <f>IFERROR(__xludf.DUMMYFUNCTION("""COMPUTED_VALUE"""),"https://www.google.com/search?newwindow=1&amp;ei=2MT0XrvGGM-vytMP1OyDgAY&amp;q=site%3Alinkedin.com+Lucy+Lim+Student+Recruiter")</f>
        <v>https://www.google.com/search?newwindow=1&amp;ei=2MT0XrvGGM-vytMP1OyDgAY&amp;q=site%3Alinkedin.com+Lucy+Lim+Student+Recruiter</v>
      </c>
      <c r="K360" s="5" t="str">
        <f t="shared" si="1"/>
        <v>Lucy Lim</v>
      </c>
      <c r="L360" s="5" t="str">
        <f t="shared" si="2"/>
        <v>Student Recruiter</v>
      </c>
      <c r="M360" s="5" t="str">
        <f t="shared" si="3"/>
        <v/>
      </c>
      <c r="N360" s="5" t="str">
        <f t="shared" si="4"/>
        <v>85 Broads University of New South Wales Chapter</v>
      </c>
      <c r="O360" s="5" t="str">
        <f t="shared" si="5"/>
        <v/>
      </c>
      <c r="P360" s="5" t="str">
        <f t="shared" si="6"/>
        <v>Chirnside Park</v>
      </c>
      <c r="Q360" s="5" t="str">
        <f t="shared" si="7"/>
        <v>Victoria</v>
      </c>
      <c r="R360" s="5" t="str">
        <f t="shared" si="8"/>
        <v>Australia</v>
      </c>
    </row>
    <row r="361">
      <c r="A361" s="8" t="s">
        <v>5567</v>
      </c>
      <c r="B361" s="12" t="s">
        <v>5568</v>
      </c>
      <c r="C361" s="10" t="s">
        <v>4596</v>
      </c>
      <c r="D361" s="10"/>
      <c r="E361" s="10" t="s">
        <v>5569</v>
      </c>
      <c r="F361" s="10"/>
      <c r="G361" s="11" t="s">
        <v>5570</v>
      </c>
      <c r="H361" s="11" t="s">
        <v>4757</v>
      </c>
      <c r="I361" s="11" t="s">
        <v>4607</v>
      </c>
      <c r="J361" s="9" t="str">
        <f>IFERROR(__xludf.DUMMYFUNCTION("""COMPUTED_VALUE"""),"https://www.google.com/search?newwindow=1&amp;ei=2MT0XrvGGM-vytMP1OyDgAY&amp;q=site%3Alinkedin.com+Megan+Schulte+Senior+Campus+Recruiting+Specialist")</f>
        <v>https://www.google.com/search?newwindow=1&amp;ei=2MT0XrvGGM-vytMP1OyDgAY&amp;q=site%3Alinkedin.com+Megan+Schulte+Senior+Campus+Recruiting+Specialist</v>
      </c>
      <c r="K361" s="5" t="str">
        <f t="shared" si="1"/>
        <v>Megan Schulte</v>
      </c>
      <c r="L361" s="5" t="str">
        <f t="shared" si="2"/>
        <v>Senior Campus Recruiting Specialist</v>
      </c>
      <c r="M361" s="5" t="str">
        <f t="shared" si="3"/>
        <v/>
      </c>
      <c r="N361" s="5" t="str">
        <f t="shared" si="4"/>
        <v>Deloitte</v>
      </c>
      <c r="O361" s="5" t="str">
        <f t="shared" si="5"/>
        <v>1 year 3 months in role</v>
      </c>
      <c r="P361" s="5" t="str">
        <f t="shared" si="6"/>
        <v>Cincinnati</v>
      </c>
      <c r="Q361" s="5" t="str">
        <f t="shared" si="7"/>
        <v>Ohio</v>
      </c>
      <c r="R361" s="5" t="str">
        <f t="shared" si="8"/>
        <v>United States</v>
      </c>
    </row>
    <row r="362">
      <c r="A362" s="8" t="s">
        <v>5571</v>
      </c>
      <c r="B362" s="10" t="s">
        <v>3679</v>
      </c>
      <c r="C362" s="10" t="s">
        <v>371</v>
      </c>
      <c r="D362" s="10"/>
      <c r="E362" s="10" t="s">
        <v>3649</v>
      </c>
      <c r="F362" s="10" t="s">
        <v>1398</v>
      </c>
      <c r="G362" s="11" t="s">
        <v>1532</v>
      </c>
      <c r="H362" s="11" t="s">
        <v>945</v>
      </c>
      <c r="I362" s="11" t="s">
        <v>18</v>
      </c>
      <c r="J362" s="9" t="str">
        <f>IFERROR(__xludf.DUMMYFUNCTION("""COMPUTED_VALUE"""),"https://www.google.com/search?newwindow=1&amp;ei=2MT0XrvGGM-vytMP1OyDgAY&amp;q=site%3Alinkedin.com+Emma+Laura+Campus+Recruiting+Coordinator")</f>
        <v>https://www.google.com/search?newwindow=1&amp;ei=2MT0XrvGGM-vytMP1OyDgAY&amp;q=site%3Alinkedin.com+Emma+Laura+Campus+Recruiting+Coordinator</v>
      </c>
      <c r="K362" s="5" t="str">
        <f t="shared" si="1"/>
        <v>Emma Laura</v>
      </c>
      <c r="L362" s="5" t="str">
        <f t="shared" si="2"/>
        <v>Campus Recruiting Coordinator</v>
      </c>
      <c r="M362" s="5" t="str">
        <f t="shared" si="3"/>
        <v/>
      </c>
      <c r="N362" s="5" t="str">
        <f t="shared" si="4"/>
        <v>EY</v>
      </c>
      <c r="O362" s="5" t="str">
        <f t="shared" si="5"/>
        <v>2 years 11 months in role</v>
      </c>
      <c r="P362" s="5" t="str">
        <f t="shared" si="6"/>
        <v>Cincinnati</v>
      </c>
      <c r="Q362" s="5" t="str">
        <f t="shared" si="7"/>
        <v>Ohio</v>
      </c>
      <c r="R362" s="5" t="str">
        <f t="shared" si="8"/>
        <v>United States</v>
      </c>
    </row>
    <row r="363">
      <c r="A363" s="8" t="s">
        <v>5572</v>
      </c>
      <c r="B363" s="12" t="s">
        <v>5573</v>
      </c>
      <c r="C363" s="10" t="s">
        <v>5574</v>
      </c>
      <c r="D363" s="10"/>
      <c r="E363" s="10" t="s">
        <v>14</v>
      </c>
      <c r="F363" s="10" t="s">
        <v>94</v>
      </c>
      <c r="G363" s="11" t="s">
        <v>1415</v>
      </c>
      <c r="H363" s="11" t="s">
        <v>50</v>
      </c>
      <c r="I363" s="11" t="s">
        <v>18</v>
      </c>
      <c r="J363" s="9" t="str">
        <f>IFERROR(__xludf.DUMMYFUNCTION("""COMPUTED_VALUE"""),"https://www.google.com/search?newwindow=1&amp;ei=2MT0XrvGGM-vytMP1OyDgAY&amp;q=site%3Alinkedin.com+Ali+Strohm+Assistant+Director+-+Campus+Recruiting,+CPA,+PHR")</f>
        <v>https://www.google.com/search?newwindow=1&amp;ei=2MT0XrvGGM-vytMP1OyDgAY&amp;q=site%3Alinkedin.com+Ali+Strohm+Assistant+Director+-+Campus+Recruiting,+CPA,+PHR</v>
      </c>
      <c r="K363" s="5" t="str">
        <f t="shared" si="1"/>
        <v>Ali Strohm</v>
      </c>
      <c r="L363" s="5" t="str">
        <f t="shared" si="2"/>
        <v>Assistant Director - Campus Recruiting, CPA, PHR</v>
      </c>
      <c r="M363" s="5" t="str">
        <f t="shared" si="3"/>
        <v/>
      </c>
      <c r="N363" s="5" t="str">
        <f t="shared" si="4"/>
        <v>EY</v>
      </c>
      <c r="O363" s="5" t="str">
        <f t="shared" si="5"/>
        <v>3 years 1 month in role</v>
      </c>
      <c r="P363" s="5" t="str">
        <f t="shared" si="6"/>
        <v>Cincinnati</v>
      </c>
      <c r="Q363" s="5" t="str">
        <f t="shared" si="7"/>
        <v>Ohio</v>
      </c>
      <c r="R363" s="5" t="str">
        <f t="shared" si="8"/>
        <v>United States</v>
      </c>
    </row>
    <row r="364">
      <c r="A364" s="8" t="s">
        <v>5575</v>
      </c>
      <c r="B364" s="10" t="s">
        <v>1414</v>
      </c>
      <c r="C364" s="10" t="s">
        <v>371</v>
      </c>
      <c r="D364" s="10"/>
      <c r="E364" s="10" t="s">
        <v>5576</v>
      </c>
      <c r="F364" s="10"/>
      <c r="G364" s="11" t="s">
        <v>1415</v>
      </c>
      <c r="H364" s="11" t="s">
        <v>65</v>
      </c>
      <c r="I364" s="11" t="s">
        <v>18</v>
      </c>
      <c r="J364" s="9" t="str">
        <f>IFERROR(__xludf.DUMMYFUNCTION("""COMPUTED_VALUE"""),"https://www.google.com/search?newwindow=1&amp;ei=2MT0XrvGGM-vytMP1OyDgAY&amp;q=site%3Alinkedin.com+Lynn+Steele+Janson+Administrative+Assistant+&amp;+Campus+Recruiting+Coordinator")</f>
        <v>https://www.google.com/search?newwindow=1&amp;ei=2MT0XrvGGM-vytMP1OyDgAY&amp;q=site%3Alinkedin.com+Lynn+Steele+Janson+Administrative+Assistant+&amp;+Campus+Recruiting+Coordinator</v>
      </c>
      <c r="K364" s="5" t="str">
        <f t="shared" si="1"/>
        <v>Lynn Steele Janson</v>
      </c>
      <c r="L364" s="5" t="str">
        <f t="shared" si="2"/>
        <v>Administrative Assistant &amp; Campus Recruiting Coordinator</v>
      </c>
      <c r="M364" s="5" t="str">
        <f t="shared" si="3"/>
        <v/>
      </c>
      <c r="N364" s="5" t="str">
        <f t="shared" si="4"/>
        <v>Grant Thornton LLP</v>
      </c>
      <c r="O364" s="5" t="str">
        <f t="shared" si="5"/>
        <v>15 years 1 month in role and company</v>
      </c>
      <c r="P364" s="5" t="str">
        <f t="shared" si="6"/>
        <v>Cincinnati</v>
      </c>
      <c r="Q364" s="5" t="str">
        <f t="shared" si="7"/>
        <v>Ohio</v>
      </c>
      <c r="R364" s="5" t="str">
        <f t="shared" si="8"/>
        <v>United States</v>
      </c>
    </row>
    <row r="365">
      <c r="A365" s="8" t="s">
        <v>5577</v>
      </c>
      <c r="B365" s="12" t="s">
        <v>5578</v>
      </c>
      <c r="C365" s="10" t="s">
        <v>4749</v>
      </c>
      <c r="D365" s="10"/>
      <c r="E365" s="10" t="s">
        <v>4611</v>
      </c>
      <c r="F365" s="10" t="s">
        <v>29</v>
      </c>
      <c r="G365" s="11" t="s">
        <v>5579</v>
      </c>
      <c r="H365" s="11" t="s">
        <v>154</v>
      </c>
      <c r="I365" s="11" t="s">
        <v>18</v>
      </c>
      <c r="J365" s="9" t="str">
        <f>IFERROR(__xludf.DUMMYFUNCTION("""COMPUTED_VALUE"""),"https://www.google.com/search?newwindow=1&amp;ei=2MT0XrvGGM-vytMP1OyDgAY&amp;q=site%3Alinkedin.com+Takao+Tanaka+Student+Lifecycle+Services+Officer,+Students+&amp;+Programs,+College+of+Business+&amp;+Law")</f>
        <v>https://www.google.com/search?newwindow=1&amp;ei=2MT0XrvGGM-vytMP1OyDgAY&amp;q=site%3Alinkedin.com+Takao+Tanaka+Student+Lifecycle+Services+Officer,+Students+&amp;+Programs,+College+of+Business+&amp;+Law</v>
      </c>
      <c r="K365" s="5" t="str">
        <f t="shared" si="1"/>
        <v>Takao Tanaka</v>
      </c>
      <c r="L365" s="5" t="str">
        <f t="shared" si="2"/>
        <v>Student Lifecycle Services Officer, Students &amp; Programs, College of Business &amp; Law</v>
      </c>
      <c r="M365" s="5" t="str">
        <f t="shared" si="3"/>
        <v/>
      </c>
      <c r="N365" s="5" t="str">
        <f t="shared" si="4"/>
        <v>RMIT University</v>
      </c>
      <c r="O365" s="5" t="str">
        <f t="shared" si="5"/>
        <v>2 years 2 months in role and company</v>
      </c>
      <c r="P365" s="5" t="str">
        <f t="shared" si="6"/>
        <v>City of Melbourne</v>
      </c>
      <c r="Q365" s="5" t="str">
        <f t="shared" si="7"/>
        <v>Victoria</v>
      </c>
      <c r="R365" s="5" t="str">
        <f t="shared" si="8"/>
        <v>Australia</v>
      </c>
    </row>
    <row r="366">
      <c r="A366" s="8" t="s">
        <v>5580</v>
      </c>
      <c r="B366" s="10" t="s">
        <v>5581</v>
      </c>
      <c r="C366" s="10" t="s">
        <v>4560</v>
      </c>
      <c r="D366" s="10"/>
      <c r="E366" s="10" t="s">
        <v>4536</v>
      </c>
      <c r="F366" s="10" t="s">
        <v>182</v>
      </c>
      <c r="G366" s="11" t="s">
        <v>49</v>
      </c>
      <c r="H366" s="11" t="s">
        <v>50</v>
      </c>
      <c r="I366" s="11" t="s">
        <v>18</v>
      </c>
      <c r="J366" s="9" t="str">
        <f>IFERROR(__xludf.DUMMYFUNCTION("""COMPUTED_VALUE"""),"https://www.google.com/search?newwindow=1&amp;ei=2MT0XrvGGM-vytMP1OyDgAY&amp;q=site%3Alinkedin.com+Mylena+Sigalou+Campus+Recruiter")</f>
        <v>https://www.google.com/search?newwindow=1&amp;ei=2MT0XrvGGM-vytMP1OyDgAY&amp;q=site%3Alinkedin.com+Mylena+Sigalou+Campus+Recruiter</v>
      </c>
      <c r="K366" s="5" t="str">
        <f t="shared" si="1"/>
        <v>Mylena Sigalou</v>
      </c>
      <c r="L366" s="5" t="str">
        <f t="shared" si="2"/>
        <v>Campus Recruiter</v>
      </c>
      <c r="M366" s="5" t="str">
        <f t="shared" si="3"/>
        <v/>
      </c>
      <c r="N366" s="5" t="str">
        <f t="shared" si="4"/>
        <v>GSA Capital</v>
      </c>
      <c r="O366" s="5" t="str">
        <f t="shared" si="5"/>
        <v>9 years 1 month in role and company</v>
      </c>
      <c r="P366" s="5" t="str">
        <f t="shared" si="6"/>
        <v>City of Westminster</v>
      </c>
      <c r="Q366" s="5" t="str">
        <f t="shared" si="7"/>
        <v>England</v>
      </c>
      <c r="R366" s="5" t="str">
        <f t="shared" si="8"/>
        <v>United Kingdom</v>
      </c>
    </row>
    <row r="367">
      <c r="A367" s="8" t="s">
        <v>5582</v>
      </c>
      <c r="B367" s="10" t="s">
        <v>5583</v>
      </c>
      <c r="C367" s="10" t="s">
        <v>2871</v>
      </c>
      <c r="D367" s="10"/>
      <c r="E367" s="10" t="s">
        <v>4701</v>
      </c>
      <c r="F367" s="10" t="s">
        <v>421</v>
      </c>
      <c r="G367" s="11" t="s">
        <v>49</v>
      </c>
      <c r="H367" s="11" t="s">
        <v>50</v>
      </c>
      <c r="I367" s="11" t="s">
        <v>18</v>
      </c>
      <c r="J367" s="9" t="str">
        <f>IFERROR(__xludf.DUMMYFUNCTION("""COMPUTED_VALUE"""),"https://www.google.com/search?newwindow=1&amp;ei=2MT0XrvGGM-vytMP1OyDgAY&amp;q=site%3Alinkedin.com+Sian+Rowlands-Mackenzie+Graduate+Recruiter+&amp;+Professional+Development+Specialist")</f>
        <v>https://www.google.com/search?newwindow=1&amp;ei=2MT0XrvGGM-vytMP1OyDgAY&amp;q=site%3Alinkedin.com+Sian+Rowlands-Mackenzie+Graduate+Recruiter+&amp;+Professional+Development+Specialist</v>
      </c>
      <c r="K367" s="5" t="str">
        <f t="shared" si="1"/>
        <v>Sian Rowlands-Mackenzie</v>
      </c>
      <c r="L367" s="5" t="str">
        <f t="shared" si="2"/>
        <v>Graduate Recruiter &amp; Professional Development Specialist</v>
      </c>
      <c r="M367" s="5" t="str">
        <f t="shared" si="3"/>
        <v/>
      </c>
      <c r="N367" s="5" t="str">
        <f t="shared" si="4"/>
        <v>Eden McCallum</v>
      </c>
      <c r="O367" s="5" t="str">
        <f t="shared" si="5"/>
        <v>1 year 10 months in role and company</v>
      </c>
      <c r="P367" s="5" t="str">
        <f t="shared" si="6"/>
        <v>City of Westminster</v>
      </c>
      <c r="Q367" s="5" t="str">
        <f t="shared" si="7"/>
        <v>England</v>
      </c>
      <c r="R367" s="5" t="str">
        <f t="shared" si="8"/>
        <v>United Kingdom</v>
      </c>
    </row>
    <row r="368">
      <c r="A368" s="8" t="s">
        <v>5584</v>
      </c>
      <c r="B368" s="10" t="s">
        <v>4539</v>
      </c>
      <c r="C368" s="10" t="s">
        <v>4540</v>
      </c>
      <c r="D368" s="10"/>
      <c r="E368" s="10" t="s">
        <v>4536</v>
      </c>
      <c r="F368" s="10" t="s">
        <v>4541</v>
      </c>
      <c r="G368" s="11" t="s">
        <v>49</v>
      </c>
      <c r="H368" s="11" t="s">
        <v>50</v>
      </c>
      <c r="I368" s="11" t="s">
        <v>18</v>
      </c>
      <c r="J368" s="9" t="str">
        <f>IFERROR(__xludf.DUMMYFUNCTION("""COMPUTED_VALUE"""),"https://www.google.com/search?newwindow=1&amp;ei=2MT0XrvGGM-vytMP1OyDgAY&amp;q=site%3Alinkedin.com+Dan+Hawkinson+Campus+Recruiting+Specialist")</f>
        <v>https://www.google.com/search?newwindow=1&amp;ei=2MT0XrvGGM-vytMP1OyDgAY&amp;q=site%3Alinkedin.com+Dan+Hawkinson+Campus+Recruiting+Specialist</v>
      </c>
      <c r="K368" s="5" t="str">
        <f t="shared" si="1"/>
        <v>Dan Hawkinson</v>
      </c>
      <c r="L368" s="5" t="str">
        <f t="shared" si="2"/>
        <v>Campus Recruiting Specialist</v>
      </c>
      <c r="M368" s="5" t="str">
        <f t="shared" si="3"/>
        <v/>
      </c>
      <c r="N368" s="5" t="str">
        <f t="shared" si="4"/>
        <v>Citi</v>
      </c>
      <c r="O368" s="5" t="str">
        <f t="shared" si="5"/>
        <v>3 years 10 months in role and company</v>
      </c>
      <c r="P368" s="5" t="str">
        <f t="shared" si="6"/>
        <v>Clearwater</v>
      </c>
      <c r="Q368" s="5" t="str">
        <f t="shared" si="7"/>
        <v>Florida</v>
      </c>
      <c r="R368" s="5" t="str">
        <f t="shared" si="8"/>
        <v>United States</v>
      </c>
    </row>
    <row r="369">
      <c r="A369" s="8" t="s">
        <v>5585</v>
      </c>
      <c r="B369" s="12" t="s">
        <v>5586</v>
      </c>
      <c r="C369" s="10" t="s">
        <v>4749</v>
      </c>
      <c r="D369" s="10"/>
      <c r="E369" s="10" t="s">
        <v>4701</v>
      </c>
      <c r="F369" s="10" t="s">
        <v>136</v>
      </c>
      <c r="G369" s="11" t="s">
        <v>49</v>
      </c>
      <c r="H369" s="11" t="s">
        <v>50</v>
      </c>
      <c r="I369" s="11" t="s">
        <v>18</v>
      </c>
      <c r="J369" s="9" t="str">
        <f>IFERROR(__xludf.DUMMYFUNCTION("""COMPUTED_VALUE"""),"https://www.google.com/search?newwindow=1&amp;ei=2MT0XrvGGM-vytMP1OyDgAY&amp;q=site%3Alinkedin.com+Danielle+Schneck+Associate,+Campus+Recruiting")</f>
        <v>https://www.google.com/search?newwindow=1&amp;ei=2MT0XrvGGM-vytMP1OyDgAY&amp;q=site%3Alinkedin.com+Danielle+Schneck+Associate,+Campus+Recruiting</v>
      </c>
      <c r="K369" s="5" t="str">
        <f t="shared" si="1"/>
        <v>Danielle Schneck</v>
      </c>
      <c r="L369" s="5" t="str">
        <f t="shared" si="2"/>
        <v>Associate, Campus Recruiting</v>
      </c>
      <c r="M369" s="5" t="str">
        <f t="shared" si="3"/>
        <v/>
      </c>
      <c r="N369" s="5" t="str">
        <f t="shared" si="4"/>
        <v>KPMG</v>
      </c>
      <c r="O369" s="5" t="str">
        <f t="shared" si="5"/>
        <v>1 year 10 months in role and company</v>
      </c>
      <c r="P369" s="5" t="str">
        <f t="shared" si="6"/>
        <v>Cleveland</v>
      </c>
      <c r="Q369" s="5" t="str">
        <f t="shared" si="7"/>
        <v>Ohio</v>
      </c>
      <c r="R369" s="5" t="str">
        <f t="shared" si="8"/>
        <v>United States</v>
      </c>
    </row>
    <row r="370">
      <c r="A370" s="8" t="s">
        <v>5587</v>
      </c>
      <c r="B370" s="10" t="s">
        <v>5588</v>
      </c>
      <c r="C370" s="10" t="s">
        <v>5589</v>
      </c>
      <c r="D370" s="10"/>
      <c r="E370" s="10" t="s">
        <v>4701</v>
      </c>
      <c r="F370" s="10" t="s">
        <v>192</v>
      </c>
      <c r="G370" s="11" t="s">
        <v>49</v>
      </c>
      <c r="H370" s="11" t="s">
        <v>50</v>
      </c>
      <c r="I370" s="11" t="s">
        <v>18</v>
      </c>
      <c r="J370" s="9" t="str">
        <f>IFERROR(__xludf.DUMMYFUNCTION("""COMPUTED_VALUE"""),"https://www.google.com/search?newwindow=1&amp;ei=2MT0XrvGGM-vytMP1OyDgAY&amp;q=site%3Alinkedin.com+Danielle+Porter+Campus+Recruiting+Coordinator")</f>
        <v>https://www.google.com/search?newwindow=1&amp;ei=2MT0XrvGGM-vytMP1OyDgAY&amp;q=site%3Alinkedin.com+Danielle+Porter+Campus+Recruiting+Coordinator</v>
      </c>
      <c r="K370" s="5" t="str">
        <f t="shared" si="1"/>
        <v>Danielle Porter</v>
      </c>
      <c r="L370" s="5" t="str">
        <f t="shared" si="2"/>
        <v>Campus Recruiting Coordinator</v>
      </c>
      <c r="M370" s="5" t="str">
        <f t="shared" si="3"/>
        <v/>
      </c>
      <c r="N370" s="5" t="str">
        <f t="shared" si="4"/>
        <v>EY</v>
      </c>
      <c r="O370" s="5" t="str">
        <f t="shared" si="5"/>
        <v>2 years 8 months in role and company</v>
      </c>
      <c r="P370" s="5" t="str">
        <f t="shared" si="6"/>
        <v>Cleveland</v>
      </c>
      <c r="Q370" s="5" t="str">
        <f t="shared" si="7"/>
        <v>Ohio</v>
      </c>
      <c r="R370" s="5" t="str">
        <f t="shared" si="8"/>
        <v>United States</v>
      </c>
    </row>
    <row r="371">
      <c r="A371" s="8" t="s">
        <v>5590</v>
      </c>
      <c r="B371" s="10" t="s">
        <v>5591</v>
      </c>
      <c r="C371" s="10" t="s">
        <v>4749</v>
      </c>
      <c r="D371" s="10"/>
      <c r="E371" s="10" t="s">
        <v>4701</v>
      </c>
      <c r="F371" s="10" t="s">
        <v>79</v>
      </c>
      <c r="G371" s="11" t="s">
        <v>49</v>
      </c>
      <c r="H371" s="11" t="s">
        <v>50</v>
      </c>
      <c r="I371" s="11" t="s">
        <v>18</v>
      </c>
      <c r="J371" s="9" t="str">
        <f>IFERROR(__xludf.DUMMYFUNCTION("""COMPUTED_VALUE"""),"https://www.google.com/search?newwindow=1&amp;ei=2MT0XrvGGM-vytMP1OyDgAY&amp;q=site%3Alinkedin.com+Erika+DiCresce+Campus+Recruiting+Operations+Specialist")</f>
        <v>https://www.google.com/search?newwindow=1&amp;ei=2MT0XrvGGM-vytMP1OyDgAY&amp;q=site%3Alinkedin.com+Erika+DiCresce+Campus+Recruiting+Operations+Specialist</v>
      </c>
      <c r="K371" s="5" t="str">
        <f t="shared" si="1"/>
        <v>Erika DiCresce</v>
      </c>
      <c r="L371" s="5" t="str">
        <f t="shared" si="2"/>
        <v>Campus Recruiting Operations Specialist</v>
      </c>
      <c r="M371" s="5" t="str">
        <f t="shared" si="3"/>
        <v/>
      </c>
      <c r="N371" s="5" t="str">
        <f t="shared" si="4"/>
        <v>EY</v>
      </c>
      <c r="O371" s="5" t="str">
        <f t="shared" si="5"/>
        <v>9 months in role</v>
      </c>
      <c r="P371" s="5" t="str">
        <f t="shared" si="6"/>
        <v>Cleveland</v>
      </c>
      <c r="Q371" s="5" t="str">
        <f t="shared" si="7"/>
        <v>Ohio</v>
      </c>
      <c r="R371" s="5" t="str">
        <f t="shared" si="8"/>
        <v>United States</v>
      </c>
    </row>
    <row r="372">
      <c r="A372" s="8" t="s">
        <v>5592</v>
      </c>
      <c r="B372" s="10" t="s">
        <v>1666</v>
      </c>
      <c r="C372" s="10" t="s">
        <v>371</v>
      </c>
      <c r="D372" s="10"/>
      <c r="E372" s="10" t="s">
        <v>4701</v>
      </c>
      <c r="F372" s="10" t="s">
        <v>1667</v>
      </c>
      <c r="G372" s="11" t="s">
        <v>49</v>
      </c>
      <c r="H372" s="11" t="s">
        <v>50</v>
      </c>
      <c r="I372" s="11" t="s">
        <v>18</v>
      </c>
      <c r="J372" s="9" t="str">
        <f>IFERROR(__xludf.DUMMYFUNCTION("""COMPUTED_VALUE"""),"https://www.google.com/search?newwindow=1&amp;ei=2MT0XrvGGM-vytMP1OyDgAY&amp;q=site%3Alinkedin.com+Diana+Vanucci+Assistant+Director,+Brand,+Marketing+and+Communications+Leader+-+US+Campus+Recruiting")</f>
        <v>https://www.google.com/search?newwindow=1&amp;ei=2MT0XrvGGM-vytMP1OyDgAY&amp;q=site%3Alinkedin.com+Diana+Vanucci+Assistant+Director,+Brand,+Marketing+and+Communications+Leader+-+US+Campus+Recruiting</v>
      </c>
      <c r="K372" s="5" t="str">
        <f t="shared" si="1"/>
        <v>Diana Vanucci</v>
      </c>
      <c r="L372" s="5" t="str">
        <f t="shared" si="2"/>
        <v>Assistant Director, Brand, Marketing and Communications Leader - US Campus Recruiting</v>
      </c>
      <c r="M372" s="5" t="str">
        <f t="shared" si="3"/>
        <v/>
      </c>
      <c r="N372" s="5" t="str">
        <f t="shared" si="4"/>
        <v>EY</v>
      </c>
      <c r="O372" s="5" t="str">
        <f t="shared" si="5"/>
        <v>1 year 1 month in role</v>
      </c>
      <c r="P372" s="5" t="str">
        <f t="shared" si="6"/>
        <v>Cleveland</v>
      </c>
      <c r="Q372" s="5" t="str">
        <f t="shared" si="7"/>
        <v>Ohio</v>
      </c>
      <c r="R372" s="5" t="str">
        <f t="shared" si="8"/>
        <v>United States</v>
      </c>
    </row>
    <row r="373">
      <c r="A373" s="8" t="s">
        <v>5593</v>
      </c>
      <c r="B373" s="10" t="s">
        <v>5594</v>
      </c>
      <c r="C373" s="10" t="s">
        <v>4749</v>
      </c>
      <c r="D373" s="10"/>
      <c r="E373" s="10" t="s">
        <v>492</v>
      </c>
      <c r="F373" s="10" t="s">
        <v>651</v>
      </c>
      <c r="G373" s="11" t="s">
        <v>49</v>
      </c>
      <c r="H373" s="11" t="s">
        <v>50</v>
      </c>
      <c r="I373" s="11" t="s">
        <v>18</v>
      </c>
      <c r="J373" s="9" t="str">
        <f>IFERROR(__xludf.DUMMYFUNCTION("""COMPUTED_VALUE"""),"https://www.google.com/search?newwindow=1&amp;ei=2MT0XrvGGM-vytMP1OyDgAY&amp;q=site%3Alinkedin.com+Lisa+Severino+Campus+Recruiting+Coordinator")</f>
        <v>https://www.google.com/search?newwindow=1&amp;ei=2MT0XrvGGM-vytMP1OyDgAY&amp;q=site%3Alinkedin.com+Lisa+Severino+Campus+Recruiting+Coordinator</v>
      </c>
      <c r="K373" s="5" t="str">
        <f t="shared" si="1"/>
        <v>Lisa Severino</v>
      </c>
      <c r="L373" s="5" t="str">
        <f t="shared" si="2"/>
        <v>Campus Recruiting Coordinator</v>
      </c>
      <c r="M373" s="5" t="str">
        <f t="shared" si="3"/>
        <v/>
      </c>
      <c r="N373" s="5" t="str">
        <f t="shared" si="4"/>
        <v>EY</v>
      </c>
      <c r="O373" s="5" t="str">
        <f t="shared" si="5"/>
        <v>5 years 11 months in role</v>
      </c>
      <c r="P373" s="5" t="str">
        <f t="shared" si="6"/>
        <v>Cleveland</v>
      </c>
      <c r="Q373" s="5" t="str">
        <f t="shared" si="7"/>
        <v>Ohio</v>
      </c>
      <c r="R373" s="5" t="str">
        <f t="shared" si="8"/>
        <v>United States</v>
      </c>
    </row>
    <row r="374">
      <c r="A374" s="8" t="s">
        <v>5595</v>
      </c>
      <c r="B374" s="10" t="s">
        <v>5596</v>
      </c>
      <c r="C374" s="10" t="s">
        <v>5597</v>
      </c>
      <c r="D374" s="10"/>
      <c r="E374" s="10" t="s">
        <v>1560</v>
      </c>
      <c r="F374" s="10"/>
      <c r="G374" s="11" t="s">
        <v>49</v>
      </c>
      <c r="H374" s="11" t="s">
        <v>50</v>
      </c>
      <c r="I374" s="11" t="s">
        <v>18</v>
      </c>
      <c r="J374" s="9" t="str">
        <f>IFERROR(__xludf.DUMMYFUNCTION("""COMPUTED_VALUE"""),"https://www.google.com/search?newwindow=1&amp;ei=2MT0XrvGGM-vytMP1OyDgAY&amp;q=site%3Alinkedin.com+Laura+Warren+Campus+recruiting+assistant")</f>
        <v>https://www.google.com/search?newwindow=1&amp;ei=2MT0XrvGGM-vytMP1OyDgAY&amp;q=site%3Alinkedin.com+Laura+Warren+Campus+recruiting+assistant</v>
      </c>
      <c r="K374" s="5" t="str">
        <f t="shared" si="1"/>
        <v>Laura Warren</v>
      </c>
      <c r="L374" s="5" t="str">
        <f t="shared" si="2"/>
        <v>Campus recruiting assistant</v>
      </c>
      <c r="M374" s="5" t="str">
        <f t="shared" si="3"/>
        <v/>
      </c>
      <c r="N374" s="5" t="str">
        <f t="shared" si="4"/>
        <v>Ernst &amp; Young</v>
      </c>
      <c r="O374" s="5" t="str">
        <f t="shared" si="5"/>
        <v/>
      </c>
      <c r="P374" s="5" t="str">
        <f t="shared" si="6"/>
        <v>Cleveland</v>
      </c>
      <c r="Q374" s="5" t="str">
        <f t="shared" si="7"/>
        <v>Ohio</v>
      </c>
      <c r="R374" s="5" t="str">
        <f t="shared" si="8"/>
        <v>United States</v>
      </c>
    </row>
    <row r="375">
      <c r="A375" s="8" t="s">
        <v>5598</v>
      </c>
      <c r="B375" s="10" t="s">
        <v>4580</v>
      </c>
      <c r="C375" s="10" t="s">
        <v>4581</v>
      </c>
      <c r="D375" s="14" t="s">
        <v>4</v>
      </c>
      <c r="E375" s="10" t="s">
        <v>5599</v>
      </c>
      <c r="F375" s="10" t="s">
        <v>832</v>
      </c>
      <c r="G375" s="11" t="s">
        <v>49</v>
      </c>
      <c r="H375" s="11" t="s">
        <v>50</v>
      </c>
      <c r="I375" s="11" t="s">
        <v>18</v>
      </c>
      <c r="J375" s="9" t="str">
        <f>IFERROR(__xludf.DUMMYFUNCTION("""COMPUTED_VALUE"""),"https://www.google.com/search?newwindow=1&amp;ei=2MT0XrvGGM-vytMP1OyDgAY&amp;q=site%3Alinkedin.com+David+Goodchild+Head+Volleyball+Coach+Durham+University+/+athlete+recruitment+co-ordinator")</f>
        <v>https://www.google.com/search?newwindow=1&amp;ei=2MT0XrvGGM-vytMP1OyDgAY&amp;q=site%3Alinkedin.com+David+Goodchild+Head+Volleyball+Coach+Durham+University+/+athlete+recruitment+co-ordinator</v>
      </c>
      <c r="K375" s="5" t="str">
        <f t="shared" si="1"/>
        <v>David Goodchild</v>
      </c>
      <c r="L375" s="5" t="str">
        <f t="shared" si="2"/>
        <v>Head Volleyball Coach Durham University / athlete recruitment co-ordinator</v>
      </c>
      <c r="M375" s="5" t="str">
        <f t="shared" si="3"/>
        <v/>
      </c>
      <c r="N375" s="5" t="str">
        <f t="shared" si="4"/>
        <v>Durham University</v>
      </c>
      <c r="O375" s="5" t="str">
        <f t="shared" si="5"/>
        <v>1 year 1 month in role and company</v>
      </c>
      <c r="P375" s="5" t="str">
        <f t="shared" si="6"/>
        <v>Cleveland</v>
      </c>
      <c r="Q375" s="5" t="str">
        <f t="shared" si="7"/>
        <v>England</v>
      </c>
      <c r="R375" s="5" t="str">
        <f t="shared" si="8"/>
        <v>United Kingdom</v>
      </c>
    </row>
    <row r="376">
      <c r="A376" s="8" t="s">
        <v>5600</v>
      </c>
      <c r="B376" s="10" t="s">
        <v>5601</v>
      </c>
      <c r="C376" s="10" t="s">
        <v>5602</v>
      </c>
      <c r="D376" s="14" t="s">
        <v>4</v>
      </c>
      <c r="E376" s="10" t="s">
        <v>4536</v>
      </c>
      <c r="F376" s="10" t="s">
        <v>84</v>
      </c>
      <c r="G376" s="11" t="s">
        <v>49</v>
      </c>
      <c r="H376" s="11" t="s">
        <v>50</v>
      </c>
      <c r="I376" s="11" t="s">
        <v>18</v>
      </c>
      <c r="J376" s="9" t="str">
        <f>IFERROR(__xludf.DUMMYFUNCTION("""COMPUTED_VALUE"""),"https://www.google.com/search?newwindow=1&amp;ei=2MT0XrvGGM-vytMP1OyDgAY&amp;q=site%3Alinkedin.com+Kaelen+O'Rahilly+Human+Resources+Assistant-Recruiter")</f>
        <v>https://www.google.com/search?newwindow=1&amp;ei=2MT0XrvGGM-vytMP1OyDgAY&amp;q=site%3Alinkedin.com+Kaelen+O'Rahilly+Human+Resources+Assistant-Recruiter</v>
      </c>
      <c r="K376" s="5" t="str">
        <f t="shared" si="1"/>
        <v>Kaelen O'Rahilly</v>
      </c>
      <c r="L376" s="5" t="str">
        <f t="shared" si="2"/>
        <v>Human Resources Assistant-Recruiter</v>
      </c>
      <c r="M376" s="5" t="str">
        <f t="shared" si="3"/>
        <v/>
      </c>
      <c r="N376" s="5" t="str">
        <f t="shared" si="4"/>
        <v>Ontario Shores Centre for Mental Health Sciences</v>
      </c>
      <c r="O376" s="5" t="str">
        <f t="shared" si="5"/>
        <v>1 year 4 months in role</v>
      </c>
      <c r="P376" s="5" t="str">
        <f t="shared" si="6"/>
        <v>Cobourg</v>
      </c>
      <c r="Q376" s="5" t="str">
        <f t="shared" si="7"/>
        <v>Ontario</v>
      </c>
      <c r="R376" s="5" t="str">
        <f t="shared" si="8"/>
        <v>Canada</v>
      </c>
    </row>
    <row r="377">
      <c r="A377" s="8" t="s">
        <v>5603</v>
      </c>
      <c r="B377" s="10" t="s">
        <v>525</v>
      </c>
      <c r="C377" s="10" t="s">
        <v>25</v>
      </c>
      <c r="D377" s="10"/>
      <c r="E377" s="10" t="s">
        <v>492</v>
      </c>
      <c r="F377" s="10" t="s">
        <v>526</v>
      </c>
      <c r="G377" s="11" t="s">
        <v>49</v>
      </c>
      <c r="H377" s="11" t="s">
        <v>50</v>
      </c>
      <c r="I377" s="11" t="s">
        <v>18</v>
      </c>
      <c r="J377" s="9" t="str">
        <f>IFERROR(__xludf.DUMMYFUNCTION("""COMPUTED_VALUE"""),"https://www.google.com/search?newwindow=1&amp;ei=2MT0XrvGGM-vytMP1OyDgAY&amp;q=site%3Alinkedin.com+Caroline+Chao,+MA,+PHR+Campus+Recruiting+Specialist")</f>
        <v>https://www.google.com/search?newwindow=1&amp;ei=2MT0XrvGGM-vytMP1OyDgAY&amp;q=site%3Alinkedin.com+Caroline+Chao,+MA,+PHR+Campus+Recruiting+Specialist</v>
      </c>
      <c r="K377" s="5" t="str">
        <f t="shared" si="1"/>
        <v>Caroline Chao, MA, PHR</v>
      </c>
      <c r="L377" s="5" t="str">
        <f t="shared" si="2"/>
        <v>Campus Recruiting Specialist</v>
      </c>
      <c r="M377" s="5" t="str">
        <f t="shared" si="3"/>
        <v/>
      </c>
      <c r="N377" s="5" t="str">
        <f t="shared" si="4"/>
        <v>Deloitte</v>
      </c>
      <c r="O377" s="5" t="str">
        <f t="shared" si="5"/>
        <v>3 years 9 months in role and company</v>
      </c>
      <c r="P377" s="5" t="str">
        <f t="shared" si="6"/>
        <v>Columbus</v>
      </c>
      <c r="Q377" s="5" t="str">
        <f t="shared" si="7"/>
        <v>Ohio</v>
      </c>
      <c r="R377" s="5" t="str">
        <f t="shared" si="8"/>
        <v/>
      </c>
    </row>
    <row r="378">
      <c r="A378" s="8" t="s">
        <v>5604</v>
      </c>
      <c r="B378" s="12" t="s">
        <v>1405</v>
      </c>
      <c r="C378" s="10" t="s">
        <v>1406</v>
      </c>
      <c r="D378" s="10"/>
      <c r="E378" s="10" t="s">
        <v>5605</v>
      </c>
      <c r="F378" s="10" t="s">
        <v>1407</v>
      </c>
      <c r="G378" s="11" t="s">
        <v>49</v>
      </c>
      <c r="H378" s="11" t="s">
        <v>50</v>
      </c>
      <c r="I378" s="11" t="s">
        <v>18</v>
      </c>
      <c r="J378" s="9" t="str">
        <f>IFERROR(__xludf.DUMMYFUNCTION("""COMPUTED_VALUE"""),"https://www.google.com/search?newwindow=1&amp;ei=2MT0XrvGGM-vytMP1OyDgAY&amp;q=site%3Alinkedin.com+David+Lyle+Campus+Recruiting")</f>
        <v>https://www.google.com/search?newwindow=1&amp;ei=2MT0XrvGGM-vytMP1OyDgAY&amp;q=site%3Alinkedin.com+David+Lyle+Campus+Recruiting</v>
      </c>
      <c r="K378" s="5" t="str">
        <f t="shared" si="1"/>
        <v>David Lyle</v>
      </c>
      <c r="L378" s="5" t="str">
        <f t="shared" si="2"/>
        <v>Campus Recruiting</v>
      </c>
      <c r="M378" s="5" t="str">
        <f t="shared" si="3"/>
        <v/>
      </c>
      <c r="N378" s="5" t="str">
        <f t="shared" si="4"/>
        <v>JPMorgan Chase &amp; Co.</v>
      </c>
      <c r="O378" s="5" t="str">
        <f t="shared" si="5"/>
        <v>1 year 4 months in role and company</v>
      </c>
      <c r="P378" s="5" t="str">
        <f t="shared" si="6"/>
        <v>Columbus</v>
      </c>
      <c r="Q378" s="5" t="str">
        <f t="shared" si="7"/>
        <v>Ohio</v>
      </c>
      <c r="R378" s="5" t="str">
        <f t="shared" si="8"/>
        <v/>
      </c>
    </row>
    <row r="379">
      <c r="A379" s="8" t="s">
        <v>5606</v>
      </c>
      <c r="B379" s="10" t="s">
        <v>5607</v>
      </c>
      <c r="C379" s="10" t="s">
        <v>4560</v>
      </c>
      <c r="D379" s="10"/>
      <c r="E379" s="10" t="s">
        <v>4536</v>
      </c>
      <c r="F379" s="10" t="s">
        <v>822</v>
      </c>
      <c r="G379" s="11" t="s">
        <v>49</v>
      </c>
      <c r="H379" s="11" t="s">
        <v>50</v>
      </c>
      <c r="I379" s="11" t="s">
        <v>18</v>
      </c>
      <c r="J379" s="9" t="str">
        <f>IFERROR(__xludf.DUMMYFUNCTION("""COMPUTED_VALUE"""),"https://www.google.com/search?newwindow=1&amp;ei=2MT0XrvGGM-vytMP1OyDgAY&amp;q=site%3Alinkedin.com+Kati+Hood+Associate+Director,+University+Talent+Acquisition")</f>
        <v>https://www.google.com/search?newwindow=1&amp;ei=2MT0XrvGGM-vytMP1OyDgAY&amp;q=site%3Alinkedin.com+Kati+Hood+Associate+Director,+University+Talent+Acquisition</v>
      </c>
      <c r="K379" s="5" t="str">
        <f t="shared" si="1"/>
        <v>Kati Hood</v>
      </c>
      <c r="L379" s="5" t="str">
        <f t="shared" si="2"/>
        <v>Associate Director, University Talent Acquisition</v>
      </c>
      <c r="M379" s="5" t="str">
        <f t="shared" si="3"/>
        <v/>
      </c>
      <c r="N379" s="5" t="str">
        <f t="shared" si="4"/>
        <v>KPMG US</v>
      </c>
      <c r="O379" s="5" t="str">
        <f t="shared" si="5"/>
        <v>2 years 1 month in role</v>
      </c>
      <c r="P379" s="5" t="str">
        <f t="shared" si="6"/>
        <v>Columbus</v>
      </c>
      <c r="Q379" s="5" t="str">
        <f t="shared" si="7"/>
        <v>Ohio</v>
      </c>
      <c r="R379" s="5" t="str">
        <f t="shared" si="8"/>
        <v>United States</v>
      </c>
    </row>
    <row r="380">
      <c r="A380" s="8" t="s">
        <v>5608</v>
      </c>
      <c r="B380" s="12" t="s">
        <v>5609</v>
      </c>
      <c r="C380" s="10" t="s">
        <v>4749</v>
      </c>
      <c r="D380" s="10"/>
      <c r="E380" s="10" t="s">
        <v>492</v>
      </c>
      <c r="F380" s="10" t="s">
        <v>441</v>
      </c>
      <c r="G380" s="11" t="s">
        <v>49</v>
      </c>
      <c r="H380" s="11" t="s">
        <v>50</v>
      </c>
      <c r="I380" s="11" t="s">
        <v>18</v>
      </c>
      <c r="J380" s="9" t="str">
        <f>IFERROR(__xludf.DUMMYFUNCTION("""COMPUTED_VALUE"""),"https://www.google.com/search?newwindow=1&amp;ei=2MT0XrvGGM-vytMP1OyDgAY&amp;q=site%3Alinkedin.com+Leah+Young+Employer+Brand+&amp;+Marketing")</f>
        <v>https://www.google.com/search?newwindow=1&amp;ei=2MT0XrvGGM-vytMP1OyDgAY&amp;q=site%3Alinkedin.com+Leah+Young+Employer+Brand+&amp;+Marketing</v>
      </c>
      <c r="K380" s="5" t="str">
        <f t="shared" si="1"/>
        <v>Leah Young</v>
      </c>
      <c r="L380" s="5" t="str">
        <f t="shared" si="2"/>
        <v>Employer Brand &amp; Marketing</v>
      </c>
      <c r="M380" s="5" t="str">
        <f t="shared" si="3"/>
        <v/>
      </c>
      <c r="N380" s="5" t="str">
        <f t="shared" si="4"/>
        <v>PwC</v>
      </c>
      <c r="O380" s="5" t="str">
        <f t="shared" si="5"/>
        <v>3 years 7 months in role</v>
      </c>
      <c r="P380" s="5" t="str">
        <f t="shared" si="6"/>
        <v>Columbus</v>
      </c>
      <c r="Q380" s="5" t="str">
        <f t="shared" si="7"/>
        <v>Ohio</v>
      </c>
      <c r="R380" s="5" t="str">
        <f t="shared" si="8"/>
        <v>United States</v>
      </c>
    </row>
    <row r="381">
      <c r="A381" s="8" t="s">
        <v>5610</v>
      </c>
      <c r="B381" s="12" t="s">
        <v>5611</v>
      </c>
      <c r="C381" s="10" t="s">
        <v>4677</v>
      </c>
      <c r="D381" s="10"/>
      <c r="E381" s="10" t="s">
        <v>1233</v>
      </c>
      <c r="F381" s="10" t="s">
        <v>121</v>
      </c>
      <c r="G381" s="11" t="s">
        <v>49</v>
      </c>
      <c r="H381" s="11" t="s">
        <v>50</v>
      </c>
      <c r="I381" s="11" t="s">
        <v>18</v>
      </c>
      <c r="J381" s="9" t="str">
        <f>IFERROR(__xludf.DUMMYFUNCTION("""COMPUTED_VALUE"""),"https://www.google.com/search?newwindow=1&amp;ei=2MT0XrvGGM-vytMP1OyDgAY&amp;q=site%3Alinkedin.com+Aaron+Smith+University+Ambassador")</f>
        <v>https://www.google.com/search?newwindow=1&amp;ei=2MT0XrvGGM-vytMP1OyDgAY&amp;q=site%3Alinkedin.com+Aaron+Smith+University+Ambassador</v>
      </c>
      <c r="K381" s="5" t="str">
        <f t="shared" si="1"/>
        <v>Aaron Smith</v>
      </c>
      <c r="L381" s="5" t="str">
        <f t="shared" si="2"/>
        <v>University Ambassador</v>
      </c>
      <c r="M381" s="5" t="str">
        <f t="shared" si="3"/>
        <v/>
      </c>
      <c r="N381" s="5" t="str">
        <f t="shared" si="4"/>
        <v>The Ohio State University</v>
      </c>
      <c r="O381" s="5" t="str">
        <f t="shared" si="5"/>
        <v>1 year 6 months in role and company</v>
      </c>
      <c r="P381" s="5" t="str">
        <f t="shared" si="6"/>
        <v>Columbus</v>
      </c>
      <c r="Q381" s="5" t="str">
        <f t="shared" si="7"/>
        <v>Ohio</v>
      </c>
      <c r="R381" s="5" t="str">
        <f t="shared" si="8"/>
        <v/>
      </c>
    </row>
    <row r="382">
      <c r="A382" s="8" t="s">
        <v>5612</v>
      </c>
      <c r="B382" s="12" t="s">
        <v>5613</v>
      </c>
      <c r="C382" s="10" t="s">
        <v>5614</v>
      </c>
      <c r="D382" s="10"/>
      <c r="E382" s="10" t="s">
        <v>4611</v>
      </c>
      <c r="F382" s="10" t="s">
        <v>822</v>
      </c>
      <c r="G382" s="11" t="s">
        <v>49</v>
      </c>
      <c r="H382" s="11" t="s">
        <v>50</v>
      </c>
      <c r="I382" s="11" t="s">
        <v>18</v>
      </c>
      <c r="J382" s="9" t="str">
        <f>IFERROR(__xludf.DUMMYFUNCTION("""COMPUTED_VALUE"""),"https://www.google.com/search?newwindow=1&amp;ei=2MT0XrvGGM-vytMP1OyDgAY&amp;q=site%3Alinkedin.com+Katie+Caraboa+Campus+Recruiter")</f>
        <v>https://www.google.com/search?newwindow=1&amp;ei=2MT0XrvGGM-vytMP1OyDgAY&amp;q=site%3Alinkedin.com+Katie+Caraboa+Campus+Recruiter</v>
      </c>
      <c r="K382" s="5" t="str">
        <f t="shared" si="1"/>
        <v>Katie Caraboa</v>
      </c>
      <c r="L382" s="5" t="str">
        <f t="shared" si="2"/>
        <v>Campus Recruiter</v>
      </c>
      <c r="M382" s="5" t="str">
        <f t="shared" si="3"/>
        <v/>
      </c>
      <c r="N382" s="5" t="str">
        <f t="shared" si="4"/>
        <v>EY</v>
      </c>
      <c r="O382" s="5" t="str">
        <f t="shared" si="5"/>
        <v>1 year 4 months in role</v>
      </c>
      <c r="P382" s="5" t="str">
        <f t="shared" si="6"/>
        <v>Columbus</v>
      </c>
      <c r="Q382" s="5" t="str">
        <f t="shared" si="7"/>
        <v>Indiana</v>
      </c>
      <c r="R382" s="5" t="str">
        <f t="shared" si="8"/>
        <v>United States</v>
      </c>
    </row>
    <row r="383">
      <c r="A383" s="8" t="s">
        <v>5615</v>
      </c>
      <c r="B383" s="10" t="s">
        <v>5616</v>
      </c>
      <c r="C383" s="10" t="s">
        <v>5617</v>
      </c>
      <c r="D383" s="10"/>
      <c r="E383" s="10" t="s">
        <v>4536</v>
      </c>
      <c r="F383" s="10" t="s">
        <v>268</v>
      </c>
      <c r="G383" s="11" t="s">
        <v>49</v>
      </c>
      <c r="H383" s="11" t="s">
        <v>50</v>
      </c>
      <c r="I383" s="11" t="s">
        <v>18</v>
      </c>
      <c r="J383" s="9" t="str">
        <f>IFERROR(__xludf.DUMMYFUNCTION("""COMPUTED_VALUE"""),"https://www.google.com/search?newwindow=1&amp;ei=2MT0XrvGGM-vytMP1OyDgAY&amp;q=site%3Alinkedin.com+Erika+Utt,+MBA+Campus+Recruiting+Operations+Specialist")</f>
        <v>https://www.google.com/search?newwindow=1&amp;ei=2MT0XrvGGM-vytMP1OyDgAY&amp;q=site%3Alinkedin.com+Erika+Utt,+MBA+Campus+Recruiting+Operations+Specialist</v>
      </c>
      <c r="K383" s="5" t="str">
        <f t="shared" si="1"/>
        <v>Erika Utt, MBA</v>
      </c>
      <c r="L383" s="5" t="str">
        <f t="shared" si="2"/>
        <v>Campus Recruiting Operations Specialist</v>
      </c>
      <c r="M383" s="5" t="str">
        <f t="shared" si="3"/>
        <v/>
      </c>
      <c r="N383" s="5" t="str">
        <f t="shared" si="4"/>
        <v>JPMorgan Chase &amp; Co.</v>
      </c>
      <c r="O383" s="5" t="str">
        <f t="shared" si="5"/>
        <v>9 months in role and company</v>
      </c>
      <c r="P383" s="5" t="str">
        <f t="shared" si="6"/>
        <v>Columbus</v>
      </c>
      <c r="Q383" s="5" t="str">
        <f t="shared" si="7"/>
        <v>Ohio</v>
      </c>
      <c r="R383" s="5" t="str">
        <f t="shared" si="8"/>
        <v>United States</v>
      </c>
    </row>
    <row r="384">
      <c r="A384" s="8" t="s">
        <v>5618</v>
      </c>
      <c r="B384" s="10" t="s">
        <v>531</v>
      </c>
      <c r="C384" s="10" t="s">
        <v>480</v>
      </c>
      <c r="D384" s="10"/>
      <c r="E384" s="10" t="s">
        <v>492</v>
      </c>
      <c r="F384" s="10" t="s">
        <v>125</v>
      </c>
      <c r="G384" s="11" t="s">
        <v>49</v>
      </c>
      <c r="H384" s="11" t="s">
        <v>50</v>
      </c>
      <c r="I384" s="11" t="s">
        <v>18</v>
      </c>
      <c r="J384" s="9" t="str">
        <f>IFERROR(__xludf.DUMMYFUNCTION("""COMPUTED_VALUE"""),"https://www.google.com/search?newwindow=1&amp;ei=2MT0XrvGGM-vytMP1OyDgAY&amp;q=site%3Alinkedin.com+Krysta+Lewis+Associate+Manager")</f>
        <v>https://www.google.com/search?newwindow=1&amp;ei=2MT0XrvGGM-vytMP1OyDgAY&amp;q=site%3Alinkedin.com+Krysta+Lewis+Associate+Manager</v>
      </c>
      <c r="K384" s="5" t="str">
        <f t="shared" si="1"/>
        <v>Krysta Lewis</v>
      </c>
      <c r="L384" s="5" t="str">
        <f t="shared" si="2"/>
        <v>Associate Manager</v>
      </c>
      <c r="M384" s="5" t="str">
        <f t="shared" si="3"/>
        <v/>
      </c>
      <c r="N384" s="5" t="str">
        <f t="shared" si="4"/>
        <v>Accenture</v>
      </c>
      <c r="O384" s="5" t="str">
        <f t="shared" si="5"/>
        <v>1 year 8 months in role</v>
      </c>
      <c r="P384" s="5" t="str">
        <f t="shared" si="6"/>
        <v>Columbus</v>
      </c>
      <c r="Q384" s="5" t="str">
        <f t="shared" si="7"/>
        <v>Ohio</v>
      </c>
      <c r="R384" s="5" t="str">
        <f t="shared" si="8"/>
        <v>United States</v>
      </c>
    </row>
    <row r="385">
      <c r="A385" s="8" t="s">
        <v>5619</v>
      </c>
      <c r="B385" s="10" t="s">
        <v>5620</v>
      </c>
      <c r="C385" s="10" t="s">
        <v>5621</v>
      </c>
      <c r="D385" s="10"/>
      <c r="E385" s="10" t="s">
        <v>702</v>
      </c>
      <c r="F385" s="10" t="s">
        <v>694</v>
      </c>
      <c r="G385" s="11" t="s">
        <v>5622</v>
      </c>
      <c r="H385" s="11" t="s">
        <v>96</v>
      </c>
      <c r="I385" s="11" t="s">
        <v>18</v>
      </c>
      <c r="J385" s="9" t="str">
        <f>IFERROR(__xludf.DUMMYFUNCTION("""COMPUTED_VALUE"""),"https://www.google.com/search?newwindow=1&amp;ei=2MT0XrvGGM-vytMP1OyDgAY&amp;q=site%3Alinkedin.com+Alexia+Sharell+Winfield+Culture+Solutions+Program+Manager")</f>
        <v>https://www.google.com/search?newwindow=1&amp;ei=2MT0XrvGGM-vytMP1OyDgAY&amp;q=site%3Alinkedin.com+Alexia+Sharell+Winfield+Culture+Solutions+Program+Manager</v>
      </c>
      <c r="K385" s="5" t="str">
        <f t="shared" si="1"/>
        <v>Alexia Sharell Winfield</v>
      </c>
      <c r="L385" s="5" t="str">
        <f t="shared" si="2"/>
        <v>Culture Solutions Program Manager</v>
      </c>
      <c r="M385" s="5" t="str">
        <f t="shared" si="3"/>
        <v/>
      </c>
      <c r="N385" s="5" t="str">
        <f t="shared" si="4"/>
        <v>JPMorgan Chase &amp; Co.</v>
      </c>
      <c r="O385" s="5" t="str">
        <f t="shared" si="5"/>
        <v>4 years 1 month in role</v>
      </c>
      <c r="P385" s="5" t="str">
        <f t="shared" si="6"/>
        <v>Columbus</v>
      </c>
      <c r="Q385" s="5" t="str">
        <f t="shared" si="7"/>
        <v>Ohio</v>
      </c>
      <c r="R385" s="5" t="str">
        <f t="shared" si="8"/>
        <v/>
      </c>
    </row>
    <row r="386">
      <c r="A386" s="8" t="s">
        <v>5623</v>
      </c>
      <c r="B386" s="10" t="s">
        <v>5624</v>
      </c>
      <c r="C386" s="10" t="s">
        <v>5054</v>
      </c>
      <c r="D386" s="12"/>
      <c r="E386" s="12" t="s">
        <v>5625</v>
      </c>
      <c r="F386" s="10"/>
      <c r="G386" s="11" t="s">
        <v>5626</v>
      </c>
      <c r="H386" s="11" t="s">
        <v>4757</v>
      </c>
      <c r="I386" s="11" t="s">
        <v>4607</v>
      </c>
      <c r="J386" s="9" t="str">
        <f>IFERROR(__xludf.DUMMYFUNCTION("""COMPUTED_VALUE"""),"https://www.google.com/search?newwindow=1&amp;ei=2MT0XrvGGM-vytMP1OyDgAY&amp;q=site%3Alinkedin.com+Kristen+Dorsey+Campus+Recruiting+Coordinator")</f>
        <v>https://www.google.com/search?newwindow=1&amp;ei=2MT0XrvGGM-vytMP1OyDgAY&amp;q=site%3Alinkedin.com+Kristen+Dorsey+Campus+Recruiting+Coordinator</v>
      </c>
      <c r="K386" s="5" t="str">
        <f t="shared" si="1"/>
        <v>Kristen Dorsey</v>
      </c>
      <c r="L386" s="5" t="str">
        <f t="shared" si="2"/>
        <v>Campus Recruiting Coordinator</v>
      </c>
      <c r="M386" s="5" t="str">
        <f t="shared" si="3"/>
        <v/>
      </c>
      <c r="N386" s="5" t="str">
        <f t="shared" si="4"/>
        <v>EY</v>
      </c>
      <c r="O386" s="5" t="str">
        <f t="shared" si="5"/>
        <v>1 year 3 months in role</v>
      </c>
      <c r="P386" s="5" t="str">
        <f t="shared" si="6"/>
        <v>Commack</v>
      </c>
      <c r="Q386" s="5" t="str">
        <f t="shared" si="7"/>
        <v>New York</v>
      </c>
      <c r="R386" s="5" t="str">
        <f t="shared" si="8"/>
        <v>United States</v>
      </c>
    </row>
    <row r="387">
      <c r="A387" s="8" t="s">
        <v>5627</v>
      </c>
      <c r="B387" s="10" t="s">
        <v>5628</v>
      </c>
      <c r="C387" s="10" t="s">
        <v>5629</v>
      </c>
      <c r="D387" s="10"/>
      <c r="E387" s="10" t="s">
        <v>5630</v>
      </c>
      <c r="F387" s="10" t="s">
        <v>5631</v>
      </c>
      <c r="G387" s="11" t="s">
        <v>5632</v>
      </c>
      <c r="H387" s="11" t="s">
        <v>4599</v>
      </c>
      <c r="I387" s="11" t="s">
        <v>4600</v>
      </c>
      <c r="J387" s="9" t="str">
        <f>IFERROR(__xludf.DUMMYFUNCTION("""COMPUTED_VALUE"""),"https://www.google.com/search?newwindow=1&amp;ei=2MT0XrvGGM-vytMP1OyDgAY&amp;q=site%3Alinkedin.com+Heather+Goldman+Campus+Recruiting+Associate")</f>
        <v>https://www.google.com/search?newwindow=1&amp;ei=2MT0XrvGGM-vytMP1OyDgAY&amp;q=site%3Alinkedin.com+Heather+Goldman+Campus+Recruiting+Associate</v>
      </c>
      <c r="K387" s="5" t="str">
        <f t="shared" si="1"/>
        <v>Heather Goldman</v>
      </c>
      <c r="L387" s="5" t="str">
        <f t="shared" si="2"/>
        <v>Campus Recruiting Associate</v>
      </c>
      <c r="M387" s="5" t="str">
        <f t="shared" si="3"/>
        <v/>
      </c>
      <c r="N387" s="5" t="str">
        <f t="shared" si="4"/>
        <v>KPMG</v>
      </c>
      <c r="O387" s="5" t="str">
        <f t="shared" si="5"/>
        <v>1 year 6 months in role and company</v>
      </c>
      <c r="P387" s="5" t="str">
        <f t="shared" si="6"/>
        <v>Commack</v>
      </c>
      <c r="Q387" s="5" t="str">
        <f t="shared" si="7"/>
        <v>New York</v>
      </c>
      <c r="R387" s="5" t="str">
        <f t="shared" si="8"/>
        <v>United States</v>
      </c>
    </row>
    <row r="388">
      <c r="A388" s="8" t="s">
        <v>5627</v>
      </c>
      <c r="B388" s="10" t="s">
        <v>5628</v>
      </c>
      <c r="C388" s="10" t="s">
        <v>5629</v>
      </c>
      <c r="D388" s="10"/>
      <c r="E388" s="10" t="s">
        <v>5630</v>
      </c>
      <c r="F388" s="10" t="s">
        <v>5631</v>
      </c>
      <c r="G388" s="11" t="s">
        <v>5632</v>
      </c>
      <c r="H388" s="11" t="s">
        <v>4599</v>
      </c>
      <c r="I388" s="11" t="s">
        <v>4600</v>
      </c>
      <c r="J388" s="9" t="str">
        <f>IFERROR(__xludf.DUMMYFUNCTION("""COMPUTED_VALUE"""),"https://www.google.com/search?newwindow=1&amp;ei=2MT0XrvGGM-vytMP1OyDgAY&amp;q=site%3Alinkedin.com+Sholon+Rucker+Associate+Director+-+Program+Management,+Audit")</f>
        <v>https://www.google.com/search?newwindow=1&amp;ei=2MT0XrvGGM-vytMP1OyDgAY&amp;q=site%3Alinkedin.com+Sholon+Rucker+Associate+Director+-+Program+Management,+Audit</v>
      </c>
      <c r="K388" s="5" t="str">
        <f t="shared" si="1"/>
        <v>Sholon Rucker</v>
      </c>
      <c r="L388" s="5" t="str">
        <f t="shared" si="2"/>
        <v>Associate Director - Program Management, Audit</v>
      </c>
      <c r="M388" s="5" t="str">
        <f t="shared" si="3"/>
        <v/>
      </c>
      <c r="N388" s="5" t="str">
        <f t="shared" si="4"/>
        <v>KPMG</v>
      </c>
      <c r="O388" s="5" t="str">
        <f t="shared" si="5"/>
        <v>1 year 7 months in role and company</v>
      </c>
      <c r="P388" s="5" t="str">
        <f t="shared" si="6"/>
        <v>Conyers</v>
      </c>
      <c r="Q388" s="5" t="str">
        <f t="shared" si="7"/>
        <v>Georgia</v>
      </c>
      <c r="R388" s="5" t="str">
        <f t="shared" si="8"/>
        <v>United States</v>
      </c>
    </row>
    <row r="389">
      <c r="A389" s="8" t="s">
        <v>5633</v>
      </c>
      <c r="B389" s="10" t="s">
        <v>5634</v>
      </c>
      <c r="C389" s="10" t="s">
        <v>5635</v>
      </c>
      <c r="D389" s="10"/>
      <c r="E389" s="10" t="s">
        <v>5636</v>
      </c>
      <c r="F389" s="10"/>
      <c r="G389" s="11" t="s">
        <v>5637</v>
      </c>
      <c r="H389" s="11" t="s">
        <v>4644</v>
      </c>
      <c r="I389" s="11" t="s">
        <v>4600</v>
      </c>
      <c r="J389" s="9" t="str">
        <f>IFERROR(__xludf.DUMMYFUNCTION("""COMPUTED_VALUE"""),"https://www.google.com/search?newwindow=1&amp;ei=2MT0XrvGGM-vytMP1OyDgAY&amp;q=site%3Alinkedin.com+Josephine+Gunawan+Recruiter,+Advisor+&amp;+Student+Affairs+Coordinator")</f>
        <v>https://www.google.com/search?newwindow=1&amp;ei=2MT0XrvGGM-vytMP1OyDgAY&amp;q=site%3Alinkedin.com+Josephine+Gunawan+Recruiter,+Advisor+&amp;+Student+Affairs+Coordinator</v>
      </c>
      <c r="K389" s="5" t="str">
        <f t="shared" si="1"/>
        <v>Josephine Gunawan</v>
      </c>
      <c r="L389" s="5" t="str">
        <f t="shared" si="2"/>
        <v>Recruiter, Advisor &amp; Student Affairs Coordinator</v>
      </c>
      <c r="M389" s="5" t="str">
        <f t="shared" si="3"/>
        <v/>
      </c>
      <c r="N389" s="5" t="str">
        <f t="shared" si="4"/>
        <v>Beedie School of Business at Simon Fraser University</v>
      </c>
      <c r="O389" s="5" t="str">
        <f t="shared" si="5"/>
        <v>1 year 8 months in role and company</v>
      </c>
      <c r="P389" s="5" t="str">
        <f t="shared" si="6"/>
        <v>Coquitlam</v>
      </c>
      <c r="Q389" s="5" t="str">
        <f t="shared" si="7"/>
        <v>British Columbia</v>
      </c>
      <c r="R389" s="5" t="str">
        <f t="shared" si="8"/>
        <v>Canada</v>
      </c>
    </row>
    <row r="390">
      <c r="A390" s="8" t="s">
        <v>5633</v>
      </c>
      <c r="B390" s="10" t="s">
        <v>5634</v>
      </c>
      <c r="C390" s="10" t="s">
        <v>5635</v>
      </c>
      <c r="D390" s="10"/>
      <c r="E390" s="10" t="s">
        <v>5636</v>
      </c>
      <c r="F390" s="10"/>
      <c r="G390" s="11" t="s">
        <v>5637</v>
      </c>
      <c r="H390" s="11" t="s">
        <v>4644</v>
      </c>
      <c r="I390" s="11" t="s">
        <v>4600</v>
      </c>
      <c r="J390" s="9" t="str">
        <f>IFERROR(__xludf.DUMMYFUNCTION("""COMPUTED_VALUE"""),"https://www.google.com/search?newwindow=1&amp;ei=2MT0XrvGGM-vytMP1OyDgAY&amp;q=site%3Alinkedin.com+Melissa+Lynne,+CPCU+Recruiting+Systems+Analyst")</f>
        <v>https://www.google.com/search?newwindow=1&amp;ei=2MT0XrvGGM-vytMP1OyDgAY&amp;q=site%3Alinkedin.com+Melissa+Lynne,+CPCU+Recruiting+Systems+Analyst</v>
      </c>
      <c r="K390" s="5" t="str">
        <f t="shared" si="1"/>
        <v>Melissa Lynne, CPCU</v>
      </c>
      <c r="L390" s="5" t="str">
        <f t="shared" si="2"/>
        <v>Recruiting Systems Analyst</v>
      </c>
      <c r="M390" s="5" t="str">
        <f t="shared" si="3"/>
        <v/>
      </c>
      <c r="N390" s="5" t="str">
        <f t="shared" si="4"/>
        <v>GEICO</v>
      </c>
      <c r="O390" s="5" t="str">
        <f t="shared" si="5"/>
        <v>2 years 3 months in role</v>
      </c>
      <c r="P390" s="5" t="str">
        <f t="shared" si="6"/>
        <v>Coralville</v>
      </c>
      <c r="Q390" s="5" t="str">
        <f t="shared" si="7"/>
        <v>Iowa</v>
      </c>
      <c r="R390" s="5" t="str">
        <f t="shared" si="8"/>
        <v>United States</v>
      </c>
    </row>
    <row r="391">
      <c r="A391" s="8" t="s">
        <v>5638</v>
      </c>
      <c r="B391" s="10" t="s">
        <v>3683</v>
      </c>
      <c r="C391" s="10" t="s">
        <v>2155</v>
      </c>
      <c r="D391" s="10"/>
      <c r="E391" s="10" t="s">
        <v>3649</v>
      </c>
      <c r="F391" s="10" t="s">
        <v>574</v>
      </c>
      <c r="G391" s="11" t="s">
        <v>64</v>
      </c>
      <c r="H391" s="11" t="s">
        <v>65</v>
      </c>
      <c r="I391" s="11" t="s">
        <v>18</v>
      </c>
      <c r="J391" s="9" t="str">
        <f>IFERROR(__xludf.DUMMYFUNCTION("""COMPUTED_VALUE"""),"https://www.google.com/search?newwindow=1&amp;ei=2MT0XrvGGM-vytMP1OyDgAY&amp;q=site%3Alinkedin.com+Steph+Walton+Head+of+Student+Recruitment++-+Coventry+University+Recruitment+&amp;+Admissions")</f>
        <v>https://www.google.com/search?newwindow=1&amp;ei=2MT0XrvGGM-vytMP1OyDgAY&amp;q=site%3Alinkedin.com+Steph+Walton+Head+of+Student+Recruitment++-+Coventry+University+Recruitment+&amp;+Admissions</v>
      </c>
      <c r="K391" s="5" t="str">
        <f t="shared" si="1"/>
        <v>Steph Walton</v>
      </c>
      <c r="L391" s="5" t="str">
        <f t="shared" si="2"/>
        <v>Head of Student Recruitment  - Coventry University Recruitment &amp; Admissions</v>
      </c>
      <c r="M391" s="5" t="str">
        <f t="shared" si="3"/>
        <v/>
      </c>
      <c r="N391" s="5" t="str">
        <f t="shared" si="4"/>
        <v>Coventry University</v>
      </c>
      <c r="O391" s="5" t="str">
        <f t="shared" si="5"/>
        <v>1 year  in role</v>
      </c>
      <c r="P391" s="5" t="str">
        <f t="shared" si="6"/>
        <v>Coventry</v>
      </c>
      <c r="Q391" s="5" t="str">
        <f t="shared" si="7"/>
        <v>England</v>
      </c>
      <c r="R391" s="5" t="str">
        <f t="shared" si="8"/>
        <v>United Kingdom</v>
      </c>
    </row>
    <row r="392">
      <c r="A392" s="8" t="s">
        <v>5639</v>
      </c>
      <c r="B392" s="12" t="s">
        <v>5640</v>
      </c>
      <c r="C392" s="10" t="s">
        <v>5641</v>
      </c>
      <c r="D392" s="10"/>
      <c r="E392" s="10" t="s">
        <v>1233</v>
      </c>
      <c r="F392" s="10" t="s">
        <v>144</v>
      </c>
      <c r="G392" s="11" t="s">
        <v>64</v>
      </c>
      <c r="H392" s="11" t="s">
        <v>65</v>
      </c>
      <c r="I392" s="11" t="s">
        <v>18</v>
      </c>
      <c r="J392" s="9" t="str">
        <f>IFERROR(__xludf.DUMMYFUNCTION("""COMPUTED_VALUE"""),"https://www.google.com/search?newwindow=1&amp;ei=2MT0XrvGGM-vytMP1OyDgAY&amp;q=site%3Alinkedin.com+Neelam+Thapar+Student+Experience+Officer+at+Coventry+University+Online")</f>
        <v>https://www.google.com/search?newwindow=1&amp;ei=2MT0XrvGGM-vytMP1OyDgAY&amp;q=site%3Alinkedin.com+Neelam+Thapar+Student+Experience+Officer+at+Coventry+University+Online</v>
      </c>
      <c r="K392" s="5" t="str">
        <f t="shared" si="1"/>
        <v>Neelam Thapar</v>
      </c>
      <c r="L392" s="5" t="str">
        <f t="shared" si="2"/>
        <v>Student Experience Officer at Coventry University Online</v>
      </c>
      <c r="M392" s="5" t="str">
        <f t="shared" si="3"/>
        <v/>
      </c>
      <c r="N392" s="5" t="str">
        <f t="shared" si="4"/>
        <v>Coventry University</v>
      </c>
      <c r="O392" s="5" t="str">
        <f t="shared" si="5"/>
        <v>1 year  in role</v>
      </c>
      <c r="P392" s="5" t="str">
        <f t="shared" si="6"/>
        <v>Coventry</v>
      </c>
      <c r="Q392" s="5" t="str">
        <f t="shared" si="7"/>
        <v>England</v>
      </c>
      <c r="R392" s="5" t="str">
        <f t="shared" si="8"/>
        <v>United Kingdom</v>
      </c>
    </row>
    <row r="393">
      <c r="A393" s="8" t="s">
        <v>5642</v>
      </c>
      <c r="B393" s="10" t="s">
        <v>5643</v>
      </c>
      <c r="C393" s="10" t="s">
        <v>5644</v>
      </c>
      <c r="D393" s="10"/>
      <c r="E393" s="10" t="s">
        <v>4611</v>
      </c>
      <c r="F393" s="10" t="s">
        <v>822</v>
      </c>
      <c r="G393" s="11" t="s">
        <v>64</v>
      </c>
      <c r="H393" s="11" t="s">
        <v>65</v>
      </c>
      <c r="I393" s="11" t="s">
        <v>18</v>
      </c>
      <c r="J393" s="9" t="str">
        <f>IFERROR(__xludf.DUMMYFUNCTION("""COMPUTED_VALUE"""),"https://www.google.com/search?newwindow=1&amp;ei=2MT0XrvGGM-vytMP1OyDgAY&amp;q=site%3Alinkedin.com+Lorna+Bytheway+Director+of+Unitemps+Recruitment+Service")</f>
        <v>https://www.google.com/search?newwindow=1&amp;ei=2MT0XrvGGM-vytMP1OyDgAY&amp;q=site%3Alinkedin.com+Lorna+Bytheway+Director+of+Unitemps+Recruitment+Service</v>
      </c>
      <c r="K393" s="5" t="str">
        <f t="shared" si="1"/>
        <v>Lorna Bytheway</v>
      </c>
      <c r="L393" s="5" t="str">
        <f t="shared" si="2"/>
        <v>Director of Unitemps Recruitment Service</v>
      </c>
      <c r="M393" s="5" t="str">
        <f t="shared" si="3"/>
        <v/>
      </c>
      <c r="N393" s="5" t="str">
        <f t="shared" si="4"/>
        <v>Unitemps</v>
      </c>
      <c r="O393" s="5" t="str">
        <f t="shared" si="5"/>
        <v>4 months in role and company</v>
      </c>
      <c r="P393" s="5" t="str">
        <f t="shared" si="6"/>
        <v>Coventry</v>
      </c>
      <c r="Q393" s="5" t="str">
        <f t="shared" si="7"/>
        <v>England</v>
      </c>
      <c r="R393" s="5" t="str">
        <f t="shared" si="8"/>
        <v>United Kingdom</v>
      </c>
    </row>
    <row r="394">
      <c r="A394" s="8" t="s">
        <v>5645</v>
      </c>
      <c r="B394" s="10" t="s">
        <v>5646</v>
      </c>
      <c r="C394" s="10" t="s">
        <v>1378</v>
      </c>
      <c r="D394" s="10"/>
      <c r="E394" s="10" t="s">
        <v>1233</v>
      </c>
      <c r="F394" s="10" t="s">
        <v>574</v>
      </c>
      <c r="G394" s="11" t="s">
        <v>64</v>
      </c>
      <c r="H394" s="11" t="s">
        <v>65</v>
      </c>
      <c r="I394" s="11" t="s">
        <v>18</v>
      </c>
      <c r="J394" s="9" t="str">
        <f>IFERROR(__xludf.DUMMYFUNCTION("""COMPUTED_VALUE"""),"https://www.google.com/search?newwindow=1&amp;ei=2MT0XrvGGM-vytMP1OyDgAY&amp;q=site%3Alinkedin.com+Elliott+Campbell+Graduate+Talent+Recruiter")</f>
        <v>https://www.google.com/search?newwindow=1&amp;ei=2MT0XrvGGM-vytMP1OyDgAY&amp;q=site%3Alinkedin.com+Elliott+Campbell+Graduate+Talent+Recruiter</v>
      </c>
      <c r="K394" s="5" t="str">
        <f t="shared" si="1"/>
        <v>Elliott Campbell</v>
      </c>
      <c r="L394" s="5" t="str">
        <f t="shared" si="2"/>
        <v>Graduate Talent Recruiter</v>
      </c>
      <c r="M394" s="5" t="str">
        <f t="shared" si="3"/>
        <v/>
      </c>
      <c r="N394" s="5" t="str">
        <f t="shared" si="4"/>
        <v>Lime Talent</v>
      </c>
      <c r="O394" s="5" t="str">
        <f t="shared" si="5"/>
        <v>9 months in role and company</v>
      </c>
      <c r="P394" s="5" t="str">
        <f t="shared" si="6"/>
        <v>Coventry</v>
      </c>
      <c r="Q394" s="5" t="str">
        <f t="shared" si="7"/>
        <v>England</v>
      </c>
      <c r="R394" s="5" t="str">
        <f t="shared" si="8"/>
        <v>United Kingdom</v>
      </c>
    </row>
    <row r="395">
      <c r="A395" s="8" t="s">
        <v>5647</v>
      </c>
      <c r="B395" s="10" t="s">
        <v>2674</v>
      </c>
      <c r="C395" s="10" t="s">
        <v>2675</v>
      </c>
      <c r="D395" s="10"/>
      <c r="E395" s="10" t="s">
        <v>4611</v>
      </c>
      <c r="F395" s="10" t="s">
        <v>822</v>
      </c>
      <c r="G395" s="11" t="s">
        <v>64</v>
      </c>
      <c r="H395" s="11" t="s">
        <v>65</v>
      </c>
      <c r="I395" s="11" t="s">
        <v>18</v>
      </c>
      <c r="J395" s="9" t="str">
        <f>IFERROR(__xludf.DUMMYFUNCTION("""COMPUTED_VALUE"""),"https://www.google.com/search?newwindow=1&amp;ei=2MT0XrvGGM-vytMP1OyDgAY&amp;q=site%3Alinkedin.com+Jack+Coles+Academy+Recruitment+Analyst")</f>
        <v>https://www.google.com/search?newwindow=1&amp;ei=2MT0XrvGGM-vytMP1OyDgAY&amp;q=site%3Alinkedin.com+Jack+Coles+Academy+Recruitment+Analyst</v>
      </c>
      <c r="K395" s="5" t="str">
        <f t="shared" si="1"/>
        <v>Jack Coles</v>
      </c>
      <c r="L395" s="5" t="str">
        <f t="shared" si="2"/>
        <v>Academy Recruitment Analyst</v>
      </c>
      <c r="M395" s="5" t="str">
        <f t="shared" si="3"/>
        <v/>
      </c>
      <c r="N395" s="5" t="str">
        <f t="shared" si="4"/>
        <v>Leicester City Football Club</v>
      </c>
      <c r="O395" s="5" t="str">
        <f t="shared" si="5"/>
        <v>1 year 3 months in role and company</v>
      </c>
      <c r="P395" s="5" t="str">
        <f t="shared" si="6"/>
        <v>Coventry</v>
      </c>
      <c r="Q395" s="5" t="str">
        <f t="shared" si="7"/>
        <v>England</v>
      </c>
      <c r="R395" s="5" t="str">
        <f t="shared" si="8"/>
        <v>United Kingdom</v>
      </c>
    </row>
    <row r="396">
      <c r="A396" s="8" t="s">
        <v>5648</v>
      </c>
      <c r="B396" s="10" t="s">
        <v>5649</v>
      </c>
      <c r="C396" s="10" t="s">
        <v>1378</v>
      </c>
      <c r="D396" s="10"/>
      <c r="E396" s="10" t="s">
        <v>1233</v>
      </c>
      <c r="F396" s="10" t="s">
        <v>15</v>
      </c>
      <c r="G396" s="11" t="s">
        <v>64</v>
      </c>
      <c r="H396" s="11" t="s">
        <v>65</v>
      </c>
      <c r="I396" s="11" t="s">
        <v>18</v>
      </c>
      <c r="J396" s="9" t="str">
        <f>IFERROR(__xludf.DUMMYFUNCTION("""COMPUTED_VALUE"""),"https://www.google.com/search?newwindow=1&amp;ei=2MT0XrvGGM-vytMP1OyDgAY&amp;q=site%3Alinkedin.com+Leyli+Aliyeva+Product+Officer,+UK+Programs")</f>
        <v>https://www.google.com/search?newwindow=1&amp;ei=2MT0XrvGGM-vytMP1OyDgAY&amp;q=site%3Alinkedin.com+Leyli+Aliyeva+Product+Officer,+UK+Programs</v>
      </c>
      <c r="K396" s="5" t="str">
        <f t="shared" si="1"/>
        <v>Leyli Aliyeva</v>
      </c>
      <c r="L396" s="5" t="str">
        <f t="shared" si="2"/>
        <v>Product Officer, UK Programs</v>
      </c>
      <c r="M396" s="5" t="str">
        <f t="shared" si="3"/>
        <v/>
      </c>
      <c r="N396" s="5" t="str">
        <f t="shared" si="4"/>
        <v>Project Access</v>
      </c>
      <c r="O396" s="5" t="str">
        <f t="shared" si="5"/>
        <v>2 months in role</v>
      </c>
      <c r="P396" s="5" t="str">
        <f t="shared" si="6"/>
        <v>Coventry</v>
      </c>
      <c r="Q396" s="5" t="str">
        <f t="shared" si="7"/>
        <v>England</v>
      </c>
      <c r="R396" s="5" t="str">
        <f t="shared" si="8"/>
        <v>United Kingdom</v>
      </c>
    </row>
    <row r="397">
      <c r="A397" s="8" t="s">
        <v>5650</v>
      </c>
      <c r="B397" s="10" t="s">
        <v>1263</v>
      </c>
      <c r="C397" s="10" t="s">
        <v>371</v>
      </c>
      <c r="D397" s="10"/>
      <c r="E397" s="10" t="s">
        <v>1233</v>
      </c>
      <c r="F397" s="10" t="s">
        <v>496</v>
      </c>
      <c r="G397" s="11" t="s">
        <v>64</v>
      </c>
      <c r="H397" s="11" t="s">
        <v>65</v>
      </c>
      <c r="I397" s="11" t="s">
        <v>18</v>
      </c>
      <c r="J397" s="9" t="str">
        <f>IFERROR(__xludf.DUMMYFUNCTION("""COMPUTED_VALUE"""),"https://www.google.com/search?newwindow=1&amp;ei=2MT0XrvGGM-vytMP1OyDgAY&amp;q=site%3Alinkedin.com+Steven+Hoskins+Ambulance+Technician/+Student+Paramedic")</f>
        <v>https://www.google.com/search?newwindow=1&amp;ei=2MT0XrvGGM-vytMP1OyDgAY&amp;q=site%3Alinkedin.com+Steven+Hoskins+Ambulance+Technician/+Student+Paramedic</v>
      </c>
      <c r="K397" s="5" t="str">
        <f t="shared" si="1"/>
        <v>Steven Hoskins</v>
      </c>
      <c r="L397" s="5" t="str">
        <f t="shared" si="2"/>
        <v>Ambulance Technician/ Student Paramedic</v>
      </c>
      <c r="M397" s="5" t="str">
        <f t="shared" si="3"/>
        <v/>
      </c>
      <c r="N397" s="5" t="str">
        <f t="shared" si="4"/>
        <v>West Midlands Ambulance Service NHS Trust</v>
      </c>
      <c r="O397" s="5" t="str">
        <f t="shared" si="5"/>
        <v>6 years 4 months in role and company</v>
      </c>
      <c r="P397" s="5" t="str">
        <f t="shared" si="6"/>
        <v>Coventry</v>
      </c>
      <c r="Q397" s="5" t="str">
        <f t="shared" si="7"/>
        <v>England</v>
      </c>
      <c r="R397" s="5" t="str">
        <f t="shared" si="8"/>
        <v>United Kingdom</v>
      </c>
    </row>
    <row r="398">
      <c r="A398" s="8" t="s">
        <v>5651</v>
      </c>
      <c r="B398" s="12" t="s">
        <v>5652</v>
      </c>
      <c r="C398" s="10" t="s">
        <v>5653</v>
      </c>
      <c r="D398" s="10"/>
      <c r="E398" s="10" t="s">
        <v>1233</v>
      </c>
      <c r="F398" s="10" t="s">
        <v>2544</v>
      </c>
      <c r="G398" s="11" t="s">
        <v>64</v>
      </c>
      <c r="H398" s="11" t="s">
        <v>65</v>
      </c>
      <c r="I398" s="11" t="s">
        <v>18</v>
      </c>
      <c r="J398" s="9" t="str">
        <f>IFERROR(__xludf.DUMMYFUNCTION("""COMPUTED_VALUE"""),"https://www.google.com/search?newwindow=1&amp;ei=2MT0XrvGGM-vytMP1OyDgAY&amp;q=site%3Alinkedin.com+Dennis+Chavarria+Campus+Recruiting+Coordinator")</f>
        <v>https://www.google.com/search?newwindow=1&amp;ei=2MT0XrvGGM-vytMP1OyDgAY&amp;q=site%3Alinkedin.com+Dennis+Chavarria+Campus+Recruiting+Coordinator</v>
      </c>
      <c r="K398" s="5" t="str">
        <f t="shared" si="1"/>
        <v>Dennis Chavarria</v>
      </c>
      <c r="L398" s="5" t="str">
        <f t="shared" si="2"/>
        <v>Campus Recruiting Coordinator</v>
      </c>
      <c r="M398" s="5" t="str">
        <f t="shared" si="3"/>
        <v/>
      </c>
      <c r="N398" s="5" t="str">
        <f t="shared" si="4"/>
        <v>EY</v>
      </c>
      <c r="O398" s="5" t="str">
        <f t="shared" si="5"/>
        <v>6 years 2 months in role and company</v>
      </c>
      <c r="P398" s="5" t="str">
        <f t="shared" si="6"/>
        <v>Covina</v>
      </c>
      <c r="Q398" s="5" t="str">
        <f t="shared" si="7"/>
        <v>California</v>
      </c>
      <c r="R398" s="5" t="str">
        <f t="shared" si="8"/>
        <v>United States</v>
      </c>
    </row>
    <row r="399">
      <c r="A399" s="8" t="s">
        <v>5654</v>
      </c>
      <c r="B399" s="12" t="s">
        <v>5655</v>
      </c>
      <c r="C399" s="10" t="s">
        <v>4749</v>
      </c>
      <c r="D399" s="10"/>
      <c r="E399" s="10" t="s">
        <v>4701</v>
      </c>
      <c r="F399" s="10" t="s">
        <v>36</v>
      </c>
      <c r="G399" s="11" t="s">
        <v>64</v>
      </c>
      <c r="H399" s="11" t="s">
        <v>65</v>
      </c>
      <c r="I399" s="11" t="s">
        <v>18</v>
      </c>
      <c r="J399" s="9" t="str">
        <f>IFERROR(__xludf.DUMMYFUNCTION("""COMPUTED_VALUE"""),"https://www.google.com/search?newwindow=1&amp;ei=2MT0XrvGGM-vytMP1OyDgAY&amp;q=site%3Alinkedin.com+Manasi+Nagaokar,+MHRM+Campus+Recruiting+Coordinator")</f>
        <v>https://www.google.com/search?newwindow=1&amp;ei=2MT0XrvGGM-vytMP1OyDgAY&amp;q=site%3Alinkedin.com+Manasi+Nagaokar,+MHRM+Campus+Recruiting+Coordinator</v>
      </c>
      <c r="K399" s="5" t="str">
        <f t="shared" si="1"/>
        <v>Manasi Nagaokar, MHRM</v>
      </c>
      <c r="L399" s="5" t="str">
        <f t="shared" si="2"/>
        <v>Campus Recruiting Coordinator</v>
      </c>
      <c r="M399" s="5" t="str">
        <f t="shared" si="3"/>
        <v/>
      </c>
      <c r="N399" s="5" t="str">
        <f t="shared" si="4"/>
        <v>Bank of America</v>
      </c>
      <c r="O399" s="5" t="str">
        <f t="shared" si="5"/>
        <v>1 year 1 month in role and company</v>
      </c>
      <c r="P399" s="5" t="str">
        <f t="shared" si="6"/>
        <v>Cranbury Township</v>
      </c>
      <c r="Q399" s="5" t="str">
        <f t="shared" si="7"/>
        <v>New Jersey</v>
      </c>
      <c r="R399" s="5" t="str">
        <f t="shared" si="8"/>
        <v>United States</v>
      </c>
    </row>
    <row r="400">
      <c r="A400" s="8" t="s">
        <v>5656</v>
      </c>
      <c r="B400" s="12" t="s">
        <v>5657</v>
      </c>
      <c r="C400" s="10" t="s">
        <v>1378</v>
      </c>
      <c r="D400" s="10"/>
      <c r="E400" s="10" t="s">
        <v>1233</v>
      </c>
      <c r="F400" s="10" t="s">
        <v>106</v>
      </c>
      <c r="G400" s="11" t="s">
        <v>64</v>
      </c>
      <c r="H400" s="11" t="s">
        <v>65</v>
      </c>
      <c r="I400" s="11" t="s">
        <v>18</v>
      </c>
      <c r="J400" s="9" t="str">
        <f>IFERROR(__xludf.DUMMYFUNCTION("""COMPUTED_VALUE"""),"https://www.google.com/search?newwindow=1&amp;ei=2MT0XrvGGM-vytMP1OyDgAY&amp;q=site%3Alinkedin.com+Brittany+Barker+Campus+Recruiting+Coordinator")</f>
        <v>https://www.google.com/search?newwindow=1&amp;ei=2MT0XrvGGM-vytMP1OyDgAY&amp;q=site%3Alinkedin.com+Brittany+Barker+Campus+Recruiting+Coordinator</v>
      </c>
      <c r="K400" s="5" t="str">
        <f t="shared" si="1"/>
        <v>Brittany Barker</v>
      </c>
      <c r="L400" s="5" t="str">
        <f t="shared" si="2"/>
        <v>Campus Recruiting Coordinator</v>
      </c>
      <c r="M400" s="5" t="str">
        <f t="shared" si="3"/>
        <v/>
      </c>
      <c r="N400" s="5" t="str">
        <f t="shared" si="4"/>
        <v>EY</v>
      </c>
      <c r="O400" s="5" t="str">
        <f t="shared" si="5"/>
        <v>11 months in role and company</v>
      </c>
      <c r="P400" s="5" t="str">
        <f t="shared" si="6"/>
        <v>Dallas</v>
      </c>
      <c r="Q400" s="5" t="str">
        <f t="shared" si="7"/>
        <v>Texas</v>
      </c>
      <c r="R400" s="5" t="str">
        <f t="shared" si="8"/>
        <v>United States</v>
      </c>
    </row>
    <row r="401">
      <c r="A401" s="8" t="s">
        <v>5658</v>
      </c>
      <c r="B401" s="12" t="s">
        <v>1265</v>
      </c>
      <c r="C401" s="10" t="s">
        <v>371</v>
      </c>
      <c r="D401" s="10"/>
      <c r="E401" s="10" t="s">
        <v>1233</v>
      </c>
      <c r="F401" s="10" t="s">
        <v>15</v>
      </c>
      <c r="G401" s="11" t="s">
        <v>64</v>
      </c>
      <c r="H401" s="11" t="s">
        <v>65</v>
      </c>
      <c r="I401" s="11" t="s">
        <v>18</v>
      </c>
      <c r="J401" s="9" t="str">
        <f>IFERROR(__xludf.DUMMYFUNCTION("""COMPUTED_VALUE"""),"https://www.google.com/search?newwindow=1&amp;ei=2MT0XrvGGM-vytMP1OyDgAY&amp;q=site%3Alinkedin.com+Janna+Remperas+Campus+Recruiting+Coordinator")</f>
        <v>https://www.google.com/search?newwindow=1&amp;ei=2MT0XrvGGM-vytMP1OyDgAY&amp;q=site%3Alinkedin.com+Janna+Remperas+Campus+Recruiting+Coordinator</v>
      </c>
      <c r="K401" s="5" t="str">
        <f t="shared" si="1"/>
        <v>Janna Remperas</v>
      </c>
      <c r="L401" s="5" t="str">
        <f t="shared" si="2"/>
        <v>Campus Recruiting Coordinator</v>
      </c>
      <c r="M401" s="5" t="str">
        <f t="shared" si="3"/>
        <v/>
      </c>
      <c r="N401" s="5" t="str">
        <f t="shared" si="4"/>
        <v>Goldman Sachs</v>
      </c>
      <c r="O401" s="5" t="str">
        <f t="shared" si="5"/>
        <v>1 year 2 months in role and company</v>
      </c>
      <c r="P401" s="5" t="str">
        <f t="shared" si="6"/>
        <v>Dallas</v>
      </c>
      <c r="Q401" s="5" t="str">
        <f t="shared" si="7"/>
        <v>Texas</v>
      </c>
      <c r="R401" s="5" t="str">
        <f t="shared" si="8"/>
        <v>United States</v>
      </c>
    </row>
    <row r="402">
      <c r="A402" s="8" t="s">
        <v>5659</v>
      </c>
      <c r="B402" s="12" t="s">
        <v>5660</v>
      </c>
      <c r="C402" s="10" t="s">
        <v>1378</v>
      </c>
      <c r="D402" s="10"/>
      <c r="E402" s="10" t="s">
        <v>1233</v>
      </c>
      <c r="F402" s="10" t="s">
        <v>192</v>
      </c>
      <c r="G402" s="11" t="s">
        <v>64</v>
      </c>
      <c r="H402" s="11" t="s">
        <v>65</v>
      </c>
      <c r="I402" s="11" t="s">
        <v>18</v>
      </c>
      <c r="J402" s="9" t="str">
        <f>IFERROR(__xludf.DUMMYFUNCTION("""COMPUTED_VALUE"""),"https://www.google.com/search?newwindow=1&amp;ei=2MT0XrvGGM-vytMP1OyDgAY&amp;q=site%3Alinkedin.com+Nicole+King+Campus+Recruiting")</f>
        <v>https://www.google.com/search?newwindow=1&amp;ei=2MT0XrvGGM-vytMP1OyDgAY&amp;q=site%3Alinkedin.com+Nicole+King+Campus+Recruiting</v>
      </c>
      <c r="K402" s="5" t="str">
        <f t="shared" si="1"/>
        <v>Nicole King</v>
      </c>
      <c r="L402" s="5" t="str">
        <f t="shared" si="2"/>
        <v>Campus Recruiting</v>
      </c>
      <c r="M402" s="5" t="str">
        <f t="shared" si="3"/>
        <v/>
      </c>
      <c r="N402" s="5" t="str">
        <f t="shared" si="4"/>
        <v>KPMG US</v>
      </c>
      <c r="O402" s="5" t="str">
        <f t="shared" si="5"/>
        <v>1 year 6 months in role</v>
      </c>
      <c r="P402" s="5" t="str">
        <f t="shared" si="6"/>
        <v>Dallas</v>
      </c>
      <c r="Q402" s="5" t="str">
        <f t="shared" si="7"/>
        <v>Texas</v>
      </c>
      <c r="R402" s="5" t="str">
        <f t="shared" si="8"/>
        <v>United States</v>
      </c>
    </row>
    <row r="403">
      <c r="A403" s="8" t="s">
        <v>5661</v>
      </c>
      <c r="B403" s="12" t="s">
        <v>5662</v>
      </c>
      <c r="C403" s="10" t="s">
        <v>4674</v>
      </c>
      <c r="D403" s="10"/>
      <c r="E403" s="10" t="s">
        <v>1233</v>
      </c>
      <c r="F403" s="10" t="s">
        <v>192</v>
      </c>
      <c r="G403" s="11" t="s">
        <v>64</v>
      </c>
      <c r="H403" s="11" t="s">
        <v>65</v>
      </c>
      <c r="I403" s="11" t="s">
        <v>18</v>
      </c>
      <c r="J403" s="9" t="str">
        <f>IFERROR(__xludf.DUMMYFUNCTION("""COMPUTED_VALUE"""),"https://www.google.com/search?newwindow=1&amp;ei=2MT0XrvGGM-vytMP1OyDgAY&amp;q=site%3Alinkedin.com+Lauren+Fair+Senior+Campus+Recruiting+Specialist")</f>
        <v>https://www.google.com/search?newwindow=1&amp;ei=2MT0XrvGGM-vytMP1OyDgAY&amp;q=site%3Alinkedin.com+Lauren+Fair+Senior+Campus+Recruiting+Specialist</v>
      </c>
      <c r="K403" s="5" t="str">
        <f t="shared" si="1"/>
        <v>Lauren Fair</v>
      </c>
      <c r="L403" s="5" t="str">
        <f t="shared" si="2"/>
        <v>Senior Campus Recruiting Specialist</v>
      </c>
      <c r="M403" s="5" t="str">
        <f t="shared" si="3"/>
        <v/>
      </c>
      <c r="N403" s="5" t="str">
        <f t="shared" si="4"/>
        <v>Deloitte</v>
      </c>
      <c r="O403" s="5" t="str">
        <f t="shared" si="5"/>
        <v>3 months in role</v>
      </c>
      <c r="P403" s="5" t="str">
        <f t="shared" si="6"/>
        <v>Dallas</v>
      </c>
      <c r="Q403" s="5" t="str">
        <f t="shared" si="7"/>
        <v>Texas</v>
      </c>
      <c r="R403" s="5" t="str">
        <f t="shared" si="8"/>
        <v>United States</v>
      </c>
    </row>
    <row r="404">
      <c r="A404" s="8" t="s">
        <v>5663</v>
      </c>
      <c r="B404" s="10" t="s">
        <v>5664</v>
      </c>
      <c r="C404" s="10" t="s">
        <v>4674</v>
      </c>
      <c r="D404" s="10"/>
      <c r="E404" s="10" t="s">
        <v>1233</v>
      </c>
      <c r="F404" s="10" t="s">
        <v>268</v>
      </c>
      <c r="G404" s="11" t="s">
        <v>64</v>
      </c>
      <c r="H404" s="11" t="s">
        <v>65</v>
      </c>
      <c r="I404" s="11" t="s">
        <v>18</v>
      </c>
      <c r="J404" s="9" t="str">
        <f>IFERROR(__xludf.DUMMYFUNCTION("""COMPUTED_VALUE"""),"https://www.google.com/search?newwindow=1&amp;ei=2MT0XrvGGM-vytMP1OyDgAY&amp;q=site%3Alinkedin.com+Nicole+Votsmier+Consulting+Campus+Recruiting+Manager")</f>
        <v>https://www.google.com/search?newwindow=1&amp;ei=2MT0XrvGGM-vytMP1OyDgAY&amp;q=site%3Alinkedin.com+Nicole+Votsmier+Consulting+Campus+Recruiting+Manager</v>
      </c>
      <c r="K404" s="5" t="str">
        <f t="shared" si="1"/>
        <v>Nicole Votsmier</v>
      </c>
      <c r="L404" s="5" t="str">
        <f t="shared" si="2"/>
        <v>Consulting Campus Recruiting Manager</v>
      </c>
      <c r="M404" s="5" t="str">
        <f t="shared" si="3"/>
        <v/>
      </c>
      <c r="N404" s="5" t="str">
        <f t="shared" si="4"/>
        <v>Deloitte</v>
      </c>
      <c r="O404" s="5" t="str">
        <f t="shared" si="5"/>
        <v>1 year 11 months in role</v>
      </c>
      <c r="P404" s="5" t="str">
        <f t="shared" si="6"/>
        <v>Dallas</v>
      </c>
      <c r="Q404" s="5" t="str">
        <f t="shared" si="7"/>
        <v>Texas</v>
      </c>
      <c r="R404" s="5" t="str">
        <f t="shared" si="8"/>
        <v>United States</v>
      </c>
    </row>
    <row r="405">
      <c r="A405" s="8" t="s">
        <v>5665</v>
      </c>
      <c r="B405" s="10" t="s">
        <v>5666</v>
      </c>
      <c r="C405" s="10" t="s">
        <v>5667</v>
      </c>
      <c r="D405" s="10"/>
      <c r="E405" s="10" t="s">
        <v>4701</v>
      </c>
      <c r="F405" s="10" t="s">
        <v>144</v>
      </c>
      <c r="G405" s="11" t="s">
        <v>64</v>
      </c>
      <c r="H405" s="11" t="s">
        <v>65</v>
      </c>
      <c r="I405" s="11" t="s">
        <v>18</v>
      </c>
      <c r="J405" s="9" t="str">
        <f>IFERROR(__xludf.DUMMYFUNCTION("""COMPUTED_VALUE"""),"https://www.google.com/search?newwindow=1&amp;ei=2MT0XrvGGM-vytMP1OyDgAY&amp;q=site%3Alinkedin.com+Libby+Schleinat+Campus+Recruiting+Specialist")</f>
        <v>https://www.google.com/search?newwindow=1&amp;ei=2MT0XrvGGM-vytMP1OyDgAY&amp;q=site%3Alinkedin.com+Libby+Schleinat+Campus+Recruiting+Specialist</v>
      </c>
      <c r="K405" s="5" t="str">
        <f t="shared" si="1"/>
        <v>Libby Schleinat</v>
      </c>
      <c r="L405" s="5" t="str">
        <f t="shared" si="2"/>
        <v>Campus Recruiting Specialist</v>
      </c>
      <c r="M405" s="5" t="str">
        <f t="shared" si="3"/>
        <v/>
      </c>
      <c r="N405" s="5" t="str">
        <f t="shared" si="4"/>
        <v>Deloitte</v>
      </c>
      <c r="O405" s="5" t="str">
        <f t="shared" si="5"/>
        <v>1 year 5 months in role and company</v>
      </c>
      <c r="P405" s="5" t="str">
        <f t="shared" si="6"/>
        <v>Dallas</v>
      </c>
      <c r="Q405" s="5" t="str">
        <f t="shared" si="7"/>
        <v>Texas</v>
      </c>
      <c r="R405" s="5" t="str">
        <f t="shared" si="8"/>
        <v>United States</v>
      </c>
    </row>
    <row r="406">
      <c r="A406" s="8" t="s">
        <v>5668</v>
      </c>
      <c r="B406" s="10" t="s">
        <v>5669</v>
      </c>
      <c r="C406" s="10" t="s">
        <v>4749</v>
      </c>
      <c r="D406" s="10"/>
      <c r="E406" s="10" t="s">
        <v>4701</v>
      </c>
      <c r="F406" s="10" t="s">
        <v>63</v>
      </c>
      <c r="G406" s="11" t="s">
        <v>64</v>
      </c>
      <c r="H406" s="11" t="s">
        <v>65</v>
      </c>
      <c r="I406" s="11" t="s">
        <v>18</v>
      </c>
      <c r="J406" s="9" t="str">
        <f>IFERROR(__xludf.DUMMYFUNCTION("""COMPUTED_VALUE"""),"https://www.google.com/search?newwindow=1&amp;ei=2MT0XrvGGM-vytMP1OyDgAY&amp;q=site%3Alinkedin.com+Shannon+Gyarmathy+Campus+Recruiting+Location+Lead")</f>
        <v>https://www.google.com/search?newwindow=1&amp;ei=2MT0XrvGGM-vytMP1OyDgAY&amp;q=site%3Alinkedin.com+Shannon+Gyarmathy+Campus+Recruiting+Location+Lead</v>
      </c>
      <c r="K406" s="5" t="str">
        <f t="shared" si="1"/>
        <v>Shannon Gyarmathy</v>
      </c>
      <c r="L406" s="5" t="str">
        <f t="shared" si="2"/>
        <v>Campus Recruiting Location Lead</v>
      </c>
      <c r="M406" s="5" t="str">
        <f t="shared" si="3"/>
        <v/>
      </c>
      <c r="N406" s="5" t="str">
        <f t="shared" si="4"/>
        <v>Accenture</v>
      </c>
      <c r="O406" s="5" t="str">
        <f t="shared" si="5"/>
        <v>4 months in role</v>
      </c>
      <c r="P406" s="5" t="str">
        <f t="shared" si="6"/>
        <v>Dallas</v>
      </c>
      <c r="Q406" s="5" t="str">
        <f t="shared" si="7"/>
        <v>Texas</v>
      </c>
      <c r="R406" s="5" t="str">
        <f t="shared" si="8"/>
        <v>United States</v>
      </c>
    </row>
    <row r="407">
      <c r="A407" s="8" t="s">
        <v>5670</v>
      </c>
      <c r="B407" s="12" t="s">
        <v>5671</v>
      </c>
      <c r="C407" s="10" t="s">
        <v>5672</v>
      </c>
      <c r="D407" s="10"/>
      <c r="E407" s="10" t="s">
        <v>2839</v>
      </c>
      <c r="F407" s="10" t="s">
        <v>848</v>
      </c>
      <c r="G407" s="11" t="s">
        <v>64</v>
      </c>
      <c r="H407" s="11" t="s">
        <v>65</v>
      </c>
      <c r="I407" s="11" t="s">
        <v>18</v>
      </c>
      <c r="J407" s="9" t="str">
        <f>IFERROR(__xludf.DUMMYFUNCTION("""COMPUTED_VALUE"""),"https://www.google.com/search?newwindow=1&amp;ei=2MT0XrvGGM-vytMP1OyDgAY&amp;q=site%3Alinkedin.com+Allyssa+Tivis+Campus+Recruiting+Specialist")</f>
        <v>https://www.google.com/search?newwindow=1&amp;ei=2MT0XrvGGM-vytMP1OyDgAY&amp;q=site%3Alinkedin.com+Allyssa+Tivis+Campus+Recruiting+Specialist</v>
      </c>
      <c r="K407" s="5" t="str">
        <f t="shared" si="1"/>
        <v>Allyssa Tivis</v>
      </c>
      <c r="L407" s="5" t="str">
        <f t="shared" si="2"/>
        <v>Campus Recruiting Specialist</v>
      </c>
      <c r="M407" s="5" t="str">
        <f t="shared" si="3"/>
        <v/>
      </c>
      <c r="N407" s="5" t="str">
        <f t="shared" si="4"/>
        <v>Deloitte</v>
      </c>
      <c r="O407" s="5" t="str">
        <f t="shared" si="5"/>
        <v>6 years 11 months in role</v>
      </c>
      <c r="P407" s="5" t="str">
        <f t="shared" si="6"/>
        <v>Dallas</v>
      </c>
      <c r="Q407" s="5" t="str">
        <f t="shared" si="7"/>
        <v>Texas</v>
      </c>
      <c r="R407" s="5" t="str">
        <f t="shared" si="8"/>
        <v>United States</v>
      </c>
    </row>
    <row r="408">
      <c r="A408" s="8" t="s">
        <v>5673</v>
      </c>
      <c r="B408" s="10" t="s">
        <v>5674</v>
      </c>
      <c r="C408" s="10" t="s">
        <v>5675</v>
      </c>
      <c r="D408" s="10"/>
      <c r="E408" s="10" t="s">
        <v>14</v>
      </c>
      <c r="F408" s="10" t="s">
        <v>100</v>
      </c>
      <c r="G408" s="11" t="s">
        <v>64</v>
      </c>
      <c r="H408" s="11" t="s">
        <v>65</v>
      </c>
      <c r="I408" s="11" t="s">
        <v>18</v>
      </c>
      <c r="J408" s="9" t="str">
        <f>IFERROR(__xludf.DUMMYFUNCTION("""COMPUTED_VALUE"""),"https://www.google.com/search?newwindow=1&amp;ei=2MT0XrvGGM-vytMP1OyDgAY&amp;q=site%3Alinkedin.com+Lisa+Fite+Campus+Recruiting+Coordinator")</f>
        <v>https://www.google.com/search?newwindow=1&amp;ei=2MT0XrvGGM-vytMP1OyDgAY&amp;q=site%3Alinkedin.com+Lisa+Fite+Campus+Recruiting+Coordinator</v>
      </c>
      <c r="K408" s="5" t="str">
        <f t="shared" si="1"/>
        <v>Lisa Fite</v>
      </c>
      <c r="L408" s="5" t="str">
        <f t="shared" si="2"/>
        <v>Campus Recruiting Coordinator</v>
      </c>
      <c r="M408" s="5" t="str">
        <f t="shared" si="3"/>
        <v/>
      </c>
      <c r="N408" s="5" t="str">
        <f t="shared" si="4"/>
        <v>EY</v>
      </c>
      <c r="O408" s="5" t="str">
        <f t="shared" si="5"/>
        <v>2 years 2 months in role and company</v>
      </c>
      <c r="P408" s="5" t="str">
        <f t="shared" si="6"/>
        <v>Dallas</v>
      </c>
      <c r="Q408" s="5" t="str">
        <f t="shared" si="7"/>
        <v>Texas</v>
      </c>
      <c r="R408" s="5" t="str">
        <f t="shared" si="8"/>
        <v>United States</v>
      </c>
    </row>
    <row r="409">
      <c r="A409" s="8" t="s">
        <v>5676</v>
      </c>
      <c r="B409" s="12" t="s">
        <v>5677</v>
      </c>
      <c r="C409" s="10" t="s">
        <v>5678</v>
      </c>
      <c r="D409" s="10"/>
      <c r="E409" s="10" t="s">
        <v>4701</v>
      </c>
      <c r="F409" s="10" t="s">
        <v>192</v>
      </c>
      <c r="G409" s="11" t="s">
        <v>64</v>
      </c>
      <c r="H409" s="11" t="s">
        <v>65</v>
      </c>
      <c r="I409" s="11" t="s">
        <v>18</v>
      </c>
      <c r="J409" s="9" t="str">
        <f>IFERROR(__xludf.DUMMYFUNCTION("""COMPUTED_VALUE"""),"https://www.google.com/search?newwindow=1&amp;ei=2MT0XrvGGM-vytMP1OyDgAY&amp;q=site%3Alinkedin.com+Amanda+Summey+Graduate+(MBA)+Campus+Recruiting+-+Consulting")</f>
        <v>https://www.google.com/search?newwindow=1&amp;ei=2MT0XrvGGM-vytMP1OyDgAY&amp;q=site%3Alinkedin.com+Amanda+Summey+Graduate+(MBA)+Campus+Recruiting+-+Consulting</v>
      </c>
      <c r="K409" s="5" t="str">
        <f t="shared" si="1"/>
        <v>Amanda Summey</v>
      </c>
      <c r="L409" s="5" t="str">
        <f t="shared" si="2"/>
        <v>Graduate (MBA) Campus Recruiting - Consulting</v>
      </c>
      <c r="M409" s="5" t="str">
        <f t="shared" si="3"/>
        <v/>
      </c>
      <c r="N409" s="5" t="str">
        <f t="shared" si="4"/>
        <v>EY</v>
      </c>
      <c r="O409" s="5" t="str">
        <f t="shared" si="5"/>
        <v>5 years 8 months in role and company</v>
      </c>
      <c r="P409" s="5" t="str">
        <f t="shared" si="6"/>
        <v>Dallas</v>
      </c>
      <c r="Q409" s="5" t="str">
        <f t="shared" si="7"/>
        <v>Texas</v>
      </c>
      <c r="R409" s="5" t="str">
        <f t="shared" si="8"/>
        <v>United States</v>
      </c>
    </row>
    <row r="410">
      <c r="A410" s="8" t="s">
        <v>5679</v>
      </c>
      <c r="B410" s="10" t="s">
        <v>5680</v>
      </c>
      <c r="C410" s="10" t="s">
        <v>1378</v>
      </c>
      <c r="D410" s="10"/>
      <c r="E410" s="10" t="s">
        <v>1233</v>
      </c>
      <c r="F410" s="10" t="s">
        <v>79</v>
      </c>
      <c r="G410" s="11" t="s">
        <v>64</v>
      </c>
      <c r="H410" s="11" t="s">
        <v>65</v>
      </c>
      <c r="I410" s="11" t="s">
        <v>18</v>
      </c>
      <c r="J410" s="9" t="str">
        <f>IFERROR(__xludf.DUMMYFUNCTION("""COMPUTED_VALUE"""),"https://www.google.com/search?newwindow=1&amp;ei=2MT0XrvGGM-vytMP1OyDgAY&amp;q=site%3Alinkedin.com+Anneliese+Schumacher+West+Region+Campus+Recruiting+Director")</f>
        <v>https://www.google.com/search?newwindow=1&amp;ei=2MT0XrvGGM-vytMP1OyDgAY&amp;q=site%3Alinkedin.com+Anneliese+Schumacher+West+Region+Campus+Recruiting+Director</v>
      </c>
      <c r="K410" s="5" t="str">
        <f t="shared" si="1"/>
        <v>Anneliese Schumacher</v>
      </c>
      <c r="L410" s="5" t="str">
        <f t="shared" si="2"/>
        <v>West Region Campus Recruiting Director</v>
      </c>
      <c r="M410" s="5" t="str">
        <f t="shared" si="3"/>
        <v/>
      </c>
      <c r="N410" s="5" t="str">
        <f t="shared" si="4"/>
        <v>EY</v>
      </c>
      <c r="O410" s="5" t="str">
        <f t="shared" si="5"/>
        <v>1 year 4 months in role</v>
      </c>
      <c r="P410" s="5" t="str">
        <f t="shared" si="6"/>
        <v>Dallas</v>
      </c>
      <c r="Q410" s="5" t="str">
        <f t="shared" si="7"/>
        <v>Texas</v>
      </c>
      <c r="R410" s="5" t="str">
        <f t="shared" si="8"/>
        <v>United States</v>
      </c>
    </row>
    <row r="411">
      <c r="A411" s="8" t="s">
        <v>5681</v>
      </c>
      <c r="B411" s="10" t="s">
        <v>5682</v>
      </c>
      <c r="C411" s="10" t="s">
        <v>1378</v>
      </c>
      <c r="D411" s="10"/>
      <c r="E411" s="10" t="s">
        <v>1233</v>
      </c>
      <c r="F411" s="10" t="s">
        <v>207</v>
      </c>
      <c r="G411" s="11" t="s">
        <v>64</v>
      </c>
      <c r="H411" s="11" t="s">
        <v>65</v>
      </c>
      <c r="I411" s="11" t="s">
        <v>18</v>
      </c>
      <c r="J411" s="9" t="str">
        <f>IFERROR(__xludf.DUMMYFUNCTION("""COMPUTED_VALUE"""),"https://www.google.com/search?newwindow=1&amp;ei=2MT0XrvGGM-vytMP1OyDgAY&amp;q=site%3Alinkedin.com+Lewis+Omboga+Campus+Recruiting+Sourcer")</f>
        <v>https://www.google.com/search?newwindow=1&amp;ei=2MT0XrvGGM-vytMP1OyDgAY&amp;q=site%3Alinkedin.com+Lewis+Omboga+Campus+Recruiting+Sourcer</v>
      </c>
      <c r="K411" s="5" t="str">
        <f t="shared" si="1"/>
        <v>Lewis Omboga</v>
      </c>
      <c r="L411" s="5" t="str">
        <f t="shared" si="2"/>
        <v>Campus Recruiting Sourcer</v>
      </c>
      <c r="M411" s="5" t="str">
        <f t="shared" si="3"/>
        <v/>
      </c>
      <c r="N411" s="5" t="str">
        <f t="shared" si="4"/>
        <v>JPMorgan Chase &amp; Co.</v>
      </c>
      <c r="O411" s="5" t="str">
        <f t="shared" si="5"/>
        <v>11 months in role and company</v>
      </c>
      <c r="P411" s="5" t="str">
        <f t="shared" si="6"/>
        <v>Dallas</v>
      </c>
      <c r="Q411" s="5" t="str">
        <f t="shared" si="7"/>
        <v>Texas</v>
      </c>
      <c r="R411" s="5" t="str">
        <f t="shared" si="8"/>
        <v>United States</v>
      </c>
    </row>
    <row r="412">
      <c r="A412" s="8" t="s">
        <v>5683</v>
      </c>
      <c r="B412" s="10" t="s">
        <v>2915</v>
      </c>
      <c r="C412" s="10" t="s">
        <v>371</v>
      </c>
      <c r="D412" s="10"/>
      <c r="E412" s="10" t="s">
        <v>4659</v>
      </c>
      <c r="F412" s="10" t="s">
        <v>832</v>
      </c>
      <c r="G412" s="11" t="s">
        <v>64</v>
      </c>
      <c r="H412" s="11" t="s">
        <v>65</v>
      </c>
      <c r="I412" s="11" t="s">
        <v>18</v>
      </c>
      <c r="J412" s="9" t="str">
        <f>IFERROR(__xludf.DUMMYFUNCTION("""COMPUTED_VALUE"""),"https://www.google.com/search?newwindow=1&amp;ei=2MT0XrvGGM-vytMP1OyDgAY&amp;q=site%3Alinkedin.com+Brittany+Almendrales+Campus+Recruiting+Coordinator")</f>
        <v>https://www.google.com/search?newwindow=1&amp;ei=2MT0XrvGGM-vytMP1OyDgAY&amp;q=site%3Alinkedin.com+Brittany+Almendrales+Campus+Recruiting+Coordinator</v>
      </c>
      <c r="K412" s="5" t="str">
        <f t="shared" si="1"/>
        <v>Brittany Almendrales</v>
      </c>
      <c r="L412" s="5" t="str">
        <f t="shared" si="2"/>
        <v>Campus Recruiting Coordinator</v>
      </c>
      <c r="M412" s="5" t="str">
        <f t="shared" si="3"/>
        <v/>
      </c>
      <c r="N412" s="5" t="str">
        <f t="shared" si="4"/>
        <v>EY</v>
      </c>
      <c r="O412" s="5" t="str">
        <f t="shared" si="5"/>
        <v>1 year 2 months in role and company</v>
      </c>
      <c r="P412" s="5" t="str">
        <f t="shared" si="6"/>
        <v>Dallas</v>
      </c>
      <c r="Q412" s="5" t="str">
        <f t="shared" si="7"/>
        <v>Texas</v>
      </c>
      <c r="R412" s="5" t="str">
        <f t="shared" si="8"/>
        <v>United States</v>
      </c>
    </row>
    <row r="413">
      <c r="A413" s="8" t="s">
        <v>5684</v>
      </c>
      <c r="B413" s="10" t="s">
        <v>5685</v>
      </c>
      <c r="C413" s="10" t="s">
        <v>5686</v>
      </c>
      <c r="D413" s="10"/>
      <c r="E413" s="10" t="s">
        <v>5687</v>
      </c>
      <c r="F413" s="10" t="s">
        <v>339</v>
      </c>
      <c r="G413" s="11" t="s">
        <v>64</v>
      </c>
      <c r="H413" s="11" t="s">
        <v>65</v>
      </c>
      <c r="I413" s="11" t="s">
        <v>18</v>
      </c>
      <c r="J413" s="9" t="str">
        <f>IFERROR(__xludf.DUMMYFUNCTION("""COMPUTED_VALUE"""),"https://www.google.com/search?newwindow=1&amp;ei=2MT0XrvGGM-vytMP1OyDgAY&amp;q=site%3Alinkedin.com+Amy+Droz+Lead+Campus+Recruiting+Specialist,+Deloitte+Consulting+LLP")</f>
        <v>https://www.google.com/search?newwindow=1&amp;ei=2MT0XrvGGM-vytMP1OyDgAY&amp;q=site%3Alinkedin.com+Amy+Droz+Lead+Campus+Recruiting+Specialist,+Deloitte+Consulting+LLP</v>
      </c>
      <c r="K413" s="5" t="str">
        <f t="shared" si="1"/>
        <v>Amy Droz</v>
      </c>
      <c r="L413" s="5" t="str">
        <f t="shared" si="2"/>
        <v>Lead Campus Recruiting Specialist, Deloitte Consulting LLP</v>
      </c>
      <c r="M413" s="5" t="str">
        <f t="shared" si="3"/>
        <v/>
      </c>
      <c r="N413" s="5" t="str">
        <f t="shared" si="4"/>
        <v>Deloitte</v>
      </c>
      <c r="O413" s="5" t="str">
        <f t="shared" si="5"/>
        <v>3 months in role</v>
      </c>
      <c r="P413" s="5" t="str">
        <f t="shared" si="6"/>
        <v>Dallas</v>
      </c>
      <c r="Q413" s="5" t="str">
        <f t="shared" si="7"/>
        <v>Texas</v>
      </c>
      <c r="R413" s="5" t="str">
        <f t="shared" si="8"/>
        <v>United States</v>
      </c>
    </row>
    <row r="414">
      <c r="A414" s="8" t="s">
        <v>5688</v>
      </c>
      <c r="B414" s="12" t="s">
        <v>1267</v>
      </c>
      <c r="C414" s="10" t="s">
        <v>371</v>
      </c>
      <c r="D414" s="10"/>
      <c r="E414" s="10" t="s">
        <v>1233</v>
      </c>
      <c r="F414" s="10" t="s">
        <v>94</v>
      </c>
      <c r="G414" s="11" t="s">
        <v>64</v>
      </c>
      <c r="H414" s="11" t="s">
        <v>65</v>
      </c>
      <c r="I414" s="11" t="s">
        <v>18</v>
      </c>
      <c r="J414" s="9" t="str">
        <f>IFERROR(__xludf.DUMMYFUNCTION("""COMPUTED_VALUE"""),"https://www.google.com/search?newwindow=1&amp;ei=2MT0XrvGGM-vytMP1OyDgAY&amp;q=site%3Alinkedin.com+Taylor+McKamy+Campus+Recruiting+Manager")</f>
        <v>https://www.google.com/search?newwindow=1&amp;ei=2MT0XrvGGM-vytMP1OyDgAY&amp;q=site%3Alinkedin.com+Taylor+McKamy+Campus+Recruiting+Manager</v>
      </c>
      <c r="K414" s="5" t="str">
        <f t="shared" si="1"/>
        <v>Taylor McKamy</v>
      </c>
      <c r="L414" s="5" t="str">
        <f t="shared" si="2"/>
        <v>Campus Recruiting Manager</v>
      </c>
      <c r="M414" s="5" t="str">
        <f t="shared" si="3"/>
        <v/>
      </c>
      <c r="N414" s="5" t="str">
        <f t="shared" si="4"/>
        <v>KPMG US</v>
      </c>
      <c r="O414" s="5" t="str">
        <f t="shared" si="5"/>
        <v>5 years 8 months in role</v>
      </c>
      <c r="P414" s="5" t="str">
        <f t="shared" si="6"/>
        <v>Dallas</v>
      </c>
      <c r="Q414" s="5" t="str">
        <f t="shared" si="7"/>
        <v>Texas</v>
      </c>
      <c r="R414" s="5" t="str">
        <f t="shared" si="8"/>
        <v>United States</v>
      </c>
    </row>
    <row r="415">
      <c r="A415" s="8" t="s">
        <v>5689</v>
      </c>
      <c r="B415" s="10" t="s">
        <v>5690</v>
      </c>
      <c r="C415" s="10" t="s">
        <v>5691</v>
      </c>
      <c r="D415" s="10"/>
      <c r="E415" s="10" t="s">
        <v>4611</v>
      </c>
      <c r="F415" s="10" t="s">
        <v>421</v>
      </c>
      <c r="G415" s="11" t="s">
        <v>64</v>
      </c>
      <c r="H415" s="11" t="s">
        <v>65</v>
      </c>
      <c r="I415" s="11" t="s">
        <v>18</v>
      </c>
      <c r="J415" s="9" t="str">
        <f>IFERROR(__xludf.DUMMYFUNCTION("""COMPUTED_VALUE"""),"https://www.google.com/search?newwindow=1&amp;ei=2MT0XrvGGM-vytMP1OyDgAY&amp;q=site%3Alinkedin.com+Michelle+Ferguson+National+Associate,+Campus+Recruiting+Internal+Operations")</f>
        <v>https://www.google.com/search?newwindow=1&amp;ei=2MT0XrvGGM-vytMP1OyDgAY&amp;q=site%3Alinkedin.com+Michelle+Ferguson+National+Associate,+Campus+Recruiting+Internal+Operations</v>
      </c>
      <c r="K415" s="5" t="str">
        <f t="shared" si="1"/>
        <v>Michelle Ferguson</v>
      </c>
      <c r="L415" s="5" t="str">
        <f t="shared" si="2"/>
        <v>National Associate, Campus Recruiting Internal Operations</v>
      </c>
      <c r="M415" s="5" t="str">
        <f t="shared" si="3"/>
        <v/>
      </c>
      <c r="N415" s="5" t="str">
        <f t="shared" si="4"/>
        <v>KPMG LLP</v>
      </c>
      <c r="O415" s="5" t="str">
        <f t="shared" si="5"/>
        <v>8 years 2 months in role and company</v>
      </c>
      <c r="P415" s="5" t="str">
        <f t="shared" si="6"/>
        <v>Dallas</v>
      </c>
      <c r="Q415" s="5" t="str">
        <f t="shared" si="7"/>
        <v>Texas</v>
      </c>
      <c r="R415" s="5" t="str">
        <f t="shared" si="8"/>
        <v>United States</v>
      </c>
    </row>
    <row r="416">
      <c r="A416" s="8" t="s">
        <v>5692</v>
      </c>
      <c r="B416" s="12" t="s">
        <v>5693</v>
      </c>
      <c r="C416" s="10" t="s">
        <v>4749</v>
      </c>
      <c r="D416" s="10"/>
      <c r="E416" s="10" t="s">
        <v>4611</v>
      </c>
      <c r="F416" s="10" t="s">
        <v>15</v>
      </c>
      <c r="G416" s="11" t="s">
        <v>64</v>
      </c>
      <c r="H416" s="11" t="s">
        <v>65</v>
      </c>
      <c r="I416" s="11" t="s">
        <v>18</v>
      </c>
      <c r="J416" s="9" t="str">
        <f>IFERROR(__xludf.DUMMYFUNCTION("""COMPUTED_VALUE"""),"https://www.google.com/search?newwindow=1&amp;ei=2MT0XrvGGM-vytMP1OyDgAY&amp;q=site%3Alinkedin.com+Megan+Pavalock+Large+Campus+Team+Lead")</f>
        <v>https://www.google.com/search?newwindow=1&amp;ei=2MT0XrvGGM-vytMP1OyDgAY&amp;q=site%3Alinkedin.com+Megan+Pavalock+Large+Campus+Team+Lead</v>
      </c>
      <c r="K416" s="5" t="str">
        <f t="shared" si="1"/>
        <v>Megan Pavalock</v>
      </c>
      <c r="L416" s="5" t="str">
        <f t="shared" si="2"/>
        <v>Large Campus Team Lead</v>
      </c>
      <c r="M416" s="5" t="str">
        <f t="shared" si="3"/>
        <v/>
      </c>
      <c r="N416" s="5" t="str">
        <f t="shared" si="4"/>
        <v>Accenture</v>
      </c>
      <c r="O416" s="5" t="str">
        <f t="shared" si="5"/>
        <v>6 months in role</v>
      </c>
      <c r="P416" s="5" t="str">
        <f t="shared" si="6"/>
        <v>Dallas</v>
      </c>
      <c r="Q416" s="5" t="str">
        <f t="shared" si="7"/>
        <v>Texas</v>
      </c>
      <c r="R416" s="5" t="str">
        <f t="shared" si="8"/>
        <v>United States</v>
      </c>
    </row>
    <row r="417">
      <c r="A417" s="8" t="s">
        <v>5694</v>
      </c>
      <c r="B417" s="12" t="s">
        <v>2847</v>
      </c>
      <c r="C417" s="10" t="s">
        <v>2848</v>
      </c>
      <c r="D417" s="10"/>
      <c r="E417" s="10" t="s">
        <v>2839</v>
      </c>
      <c r="F417" s="10" t="s">
        <v>697</v>
      </c>
      <c r="G417" s="11" t="s">
        <v>64</v>
      </c>
      <c r="H417" s="11" t="s">
        <v>65</v>
      </c>
      <c r="I417" s="11" t="s">
        <v>18</v>
      </c>
      <c r="J417" s="9" t="str">
        <f>IFERROR(__xludf.DUMMYFUNCTION("""COMPUTED_VALUE"""),"https://www.google.com/search?newwindow=1&amp;ei=2MT0XrvGGM-vytMP1OyDgAY&amp;q=site%3Alinkedin.com+Sarah+Jensen+Hasenauer+Regional+Campus+Recruiting+Manager")</f>
        <v>https://www.google.com/search?newwindow=1&amp;ei=2MT0XrvGGM-vytMP1OyDgAY&amp;q=site%3Alinkedin.com+Sarah+Jensen+Hasenauer+Regional+Campus+Recruiting+Manager</v>
      </c>
      <c r="K417" s="5" t="str">
        <f t="shared" si="1"/>
        <v>Sarah Jensen Hasenauer</v>
      </c>
      <c r="L417" s="5" t="str">
        <f t="shared" si="2"/>
        <v>Regional Campus Recruiting Manager</v>
      </c>
      <c r="M417" s="5" t="str">
        <f t="shared" si="3"/>
        <v/>
      </c>
      <c r="N417" s="5" t="str">
        <f t="shared" si="4"/>
        <v>Deloitte</v>
      </c>
      <c r="O417" s="5" t="str">
        <f t="shared" si="5"/>
        <v>7 years 2 months in role and company</v>
      </c>
      <c r="P417" s="5" t="str">
        <f t="shared" si="6"/>
        <v>Dallas</v>
      </c>
      <c r="Q417" s="5" t="str">
        <f t="shared" si="7"/>
        <v>Texas</v>
      </c>
      <c r="R417" s="5" t="str">
        <f t="shared" si="8"/>
        <v>United States</v>
      </c>
    </row>
    <row r="418">
      <c r="A418" s="8" t="s">
        <v>5695</v>
      </c>
      <c r="B418" s="10" t="s">
        <v>5696</v>
      </c>
      <c r="C418" s="10" t="s">
        <v>5697</v>
      </c>
      <c r="D418" s="10"/>
      <c r="E418" s="10" t="s">
        <v>4701</v>
      </c>
      <c r="F418" s="10" t="s">
        <v>1531</v>
      </c>
      <c r="G418" s="11" t="s">
        <v>64</v>
      </c>
      <c r="H418" s="11" t="s">
        <v>65</v>
      </c>
      <c r="I418" s="11" t="s">
        <v>18</v>
      </c>
      <c r="J418" s="9" t="str">
        <f>IFERROR(__xludf.DUMMYFUNCTION("""COMPUTED_VALUE"""),"https://www.google.com/search?newwindow=1&amp;ei=2MT0XrvGGM-vytMP1OyDgAY&amp;q=site%3Alinkedin.com+Hanna+Arrington+Senior+Campus+Recruiting+Coordinator")</f>
        <v>https://www.google.com/search?newwindow=1&amp;ei=2MT0XrvGGM-vytMP1OyDgAY&amp;q=site%3Alinkedin.com+Hanna+Arrington+Senior+Campus+Recruiting+Coordinator</v>
      </c>
      <c r="K418" s="5" t="str">
        <f t="shared" si="1"/>
        <v>Hanna Arrington</v>
      </c>
      <c r="L418" s="5" t="str">
        <f t="shared" si="2"/>
        <v>Senior Campus Recruiting Coordinator</v>
      </c>
      <c r="M418" s="5" t="str">
        <f t="shared" si="3"/>
        <v/>
      </c>
      <c r="N418" s="5" t="str">
        <f t="shared" si="4"/>
        <v>Deloitte</v>
      </c>
      <c r="O418" s="5" t="str">
        <f t="shared" si="5"/>
        <v>2 years 5 months in role and company</v>
      </c>
      <c r="P418" s="5" t="str">
        <f t="shared" si="6"/>
        <v>Dallas</v>
      </c>
      <c r="Q418" s="5" t="str">
        <f t="shared" si="7"/>
        <v>Texas</v>
      </c>
      <c r="R418" s="5" t="str">
        <f t="shared" si="8"/>
        <v>United States</v>
      </c>
    </row>
    <row r="419">
      <c r="A419" s="8" t="s">
        <v>5698</v>
      </c>
      <c r="B419" s="10" t="s">
        <v>5699</v>
      </c>
      <c r="C419" s="10" t="s">
        <v>4749</v>
      </c>
      <c r="D419" s="10"/>
      <c r="E419" s="10" t="s">
        <v>4611</v>
      </c>
      <c r="F419" s="10" t="s">
        <v>63</v>
      </c>
      <c r="G419" s="11" t="s">
        <v>64</v>
      </c>
      <c r="H419" s="11" t="s">
        <v>65</v>
      </c>
      <c r="I419" s="11" t="s">
        <v>18</v>
      </c>
      <c r="J419" s="9" t="str">
        <f>IFERROR(__xludf.DUMMYFUNCTION("""COMPUTED_VALUE"""),"https://www.google.com/search?newwindow=1&amp;ei=2MT0XrvGGM-vytMP1OyDgAY&amp;q=site%3Alinkedin.com+Fredrick+Scott+Americas+Campus+Recruiting+Leader+-+Advisory+Services")</f>
        <v>https://www.google.com/search?newwindow=1&amp;ei=2MT0XrvGGM-vytMP1OyDgAY&amp;q=site%3Alinkedin.com+Fredrick+Scott+Americas+Campus+Recruiting+Leader+-+Advisory+Services</v>
      </c>
      <c r="K419" s="5" t="str">
        <f t="shared" si="1"/>
        <v>Fredrick Scott</v>
      </c>
      <c r="L419" s="5" t="str">
        <f t="shared" si="2"/>
        <v>Americas Campus Recruiting Leader - Advisory Services</v>
      </c>
      <c r="M419" s="5" t="str">
        <f t="shared" si="3"/>
        <v/>
      </c>
      <c r="N419" s="5" t="str">
        <f t="shared" si="4"/>
        <v>Ernst &amp; Young</v>
      </c>
      <c r="O419" s="5" t="str">
        <f t="shared" si="5"/>
        <v/>
      </c>
      <c r="P419" s="5" t="str">
        <f t="shared" si="6"/>
        <v>Dallas</v>
      </c>
      <c r="Q419" s="5" t="str">
        <f t="shared" si="7"/>
        <v>Texas</v>
      </c>
      <c r="R419" s="5" t="str">
        <f t="shared" si="8"/>
        <v>United States</v>
      </c>
    </row>
    <row r="420">
      <c r="A420" s="8" t="s">
        <v>5700</v>
      </c>
      <c r="B420" s="12" t="s">
        <v>5701</v>
      </c>
      <c r="C420" s="10" t="s">
        <v>4677</v>
      </c>
      <c r="D420" s="10"/>
      <c r="E420" s="10" t="s">
        <v>1233</v>
      </c>
      <c r="F420" s="10" t="s">
        <v>36</v>
      </c>
      <c r="G420" s="11" t="s">
        <v>64</v>
      </c>
      <c r="H420" s="11" t="s">
        <v>65</v>
      </c>
      <c r="I420" s="11" t="s">
        <v>18</v>
      </c>
      <c r="J420" s="9" t="str">
        <f>IFERROR(__xludf.DUMMYFUNCTION("""COMPUTED_VALUE"""),"https://www.google.com/search?newwindow=1&amp;ei=2MT0XrvGGM-vytMP1OyDgAY&amp;q=site%3Alinkedin.com+Jessica+Livon+Campus+Recruiting+Sourcer")</f>
        <v>https://www.google.com/search?newwindow=1&amp;ei=2MT0XrvGGM-vytMP1OyDgAY&amp;q=site%3Alinkedin.com+Jessica+Livon+Campus+Recruiting+Sourcer</v>
      </c>
      <c r="K420" s="5" t="str">
        <f t="shared" si="1"/>
        <v>Jessica Livon</v>
      </c>
      <c r="L420" s="5" t="str">
        <f t="shared" si="2"/>
        <v>Campus Recruiting Sourcer</v>
      </c>
      <c r="M420" s="5" t="str">
        <f t="shared" si="3"/>
        <v/>
      </c>
      <c r="N420" s="5" t="str">
        <f t="shared" si="4"/>
        <v>JPMorgan Chase &amp; Co.</v>
      </c>
      <c r="O420" s="5" t="str">
        <f t="shared" si="5"/>
        <v>1 year 6 months in role and company</v>
      </c>
      <c r="P420" s="5" t="str">
        <f t="shared" si="6"/>
        <v>Dallas</v>
      </c>
      <c r="Q420" s="5" t="str">
        <f t="shared" si="7"/>
        <v>Texas</v>
      </c>
      <c r="R420" s="5" t="str">
        <f t="shared" si="8"/>
        <v>United States</v>
      </c>
    </row>
    <row r="421">
      <c r="A421" s="8" t="s">
        <v>5702</v>
      </c>
      <c r="B421" s="12" t="s">
        <v>5703</v>
      </c>
      <c r="C421" s="10" t="s">
        <v>5641</v>
      </c>
      <c r="D421" s="10"/>
      <c r="E421" s="10" t="s">
        <v>1233</v>
      </c>
      <c r="F421" s="10" t="s">
        <v>1676</v>
      </c>
      <c r="G421" s="11" t="s">
        <v>64</v>
      </c>
      <c r="H421" s="11" t="s">
        <v>65</v>
      </c>
      <c r="I421" s="11" t="s">
        <v>18</v>
      </c>
      <c r="J421" s="9" t="str">
        <f>IFERROR(__xludf.DUMMYFUNCTION("""COMPUTED_VALUE"""),"https://www.google.com/search?newwindow=1&amp;ei=2MT0XrvGGM-vytMP1OyDgAY&amp;q=site%3Alinkedin.com+Michelle+Bowens,+MBA,+PHR+Diversity+Sourcer,+Firmwide+Campus+Recruiting")</f>
        <v>https://www.google.com/search?newwindow=1&amp;ei=2MT0XrvGGM-vytMP1OyDgAY&amp;q=site%3Alinkedin.com+Michelle+Bowens,+MBA,+PHR+Diversity+Sourcer,+Firmwide+Campus+Recruiting</v>
      </c>
      <c r="K421" s="5" t="str">
        <f t="shared" si="1"/>
        <v>Michelle Bowens, MBA, PHR</v>
      </c>
      <c r="L421" s="5" t="str">
        <f t="shared" si="2"/>
        <v>Diversity Sourcer, Firmwide Campus Recruiting</v>
      </c>
      <c r="M421" s="5" t="str">
        <f t="shared" si="3"/>
        <v/>
      </c>
      <c r="N421" s="5" t="str">
        <f t="shared" si="4"/>
        <v>JPMorgan Chase &amp; Co.</v>
      </c>
      <c r="O421" s="5" t="str">
        <f t="shared" si="5"/>
        <v>7 months in role</v>
      </c>
      <c r="P421" s="5" t="str">
        <f t="shared" si="6"/>
        <v>Dallas</v>
      </c>
      <c r="Q421" s="5" t="str">
        <f t="shared" si="7"/>
        <v>Texas</v>
      </c>
      <c r="R421" s="5" t="str">
        <f t="shared" si="8"/>
        <v>United States</v>
      </c>
    </row>
    <row r="422">
      <c r="A422" s="8" t="s">
        <v>5704</v>
      </c>
      <c r="B422" s="10" t="s">
        <v>3685</v>
      </c>
      <c r="C422" s="10" t="s">
        <v>5705</v>
      </c>
      <c r="D422" s="10"/>
      <c r="E422" s="10" t="s">
        <v>3649</v>
      </c>
      <c r="F422" s="10" t="s">
        <v>409</v>
      </c>
      <c r="G422" s="11" t="s">
        <v>64</v>
      </c>
      <c r="H422" s="11" t="s">
        <v>65</v>
      </c>
      <c r="I422" s="11" t="s">
        <v>18</v>
      </c>
      <c r="J422" s="9" t="str">
        <f>IFERROR(__xludf.DUMMYFUNCTION("""COMPUTED_VALUE"""),"https://www.google.com/search?newwindow=1&amp;ei=2MT0XrvGGM-vytMP1OyDgAY&amp;q=site%3Alinkedin.com+Lauren+Ward+Senior+Campus+Recruiting+Specialist+-+Consulting")</f>
        <v>https://www.google.com/search?newwindow=1&amp;ei=2MT0XrvGGM-vytMP1OyDgAY&amp;q=site%3Alinkedin.com+Lauren+Ward+Senior+Campus+Recruiting+Specialist+-+Consulting</v>
      </c>
      <c r="K422" s="5" t="str">
        <f t="shared" si="1"/>
        <v>Lauren Ward</v>
      </c>
      <c r="L422" s="5" t="str">
        <f t="shared" si="2"/>
        <v>Senior Campus Recruiting Specialist - Consulting</v>
      </c>
      <c r="M422" s="5" t="str">
        <f t="shared" si="3"/>
        <v/>
      </c>
      <c r="N422" s="5" t="str">
        <f t="shared" si="4"/>
        <v>Deloitte</v>
      </c>
      <c r="O422" s="5" t="str">
        <f t="shared" si="5"/>
        <v>3 years 1 month in role and company</v>
      </c>
      <c r="P422" s="5" t="str">
        <f t="shared" si="6"/>
        <v>Dallas</v>
      </c>
      <c r="Q422" s="5" t="str">
        <f t="shared" si="7"/>
        <v>Texas</v>
      </c>
      <c r="R422" s="5" t="str">
        <f t="shared" si="8"/>
        <v>United States</v>
      </c>
    </row>
    <row r="423">
      <c r="A423" s="8" t="s">
        <v>5706</v>
      </c>
      <c r="B423" s="10" t="s">
        <v>5707</v>
      </c>
      <c r="C423" s="10" t="s">
        <v>5708</v>
      </c>
      <c r="D423" s="10"/>
      <c r="E423" s="10" t="s">
        <v>4701</v>
      </c>
      <c r="F423" s="10" t="s">
        <v>4033</v>
      </c>
      <c r="G423" s="11" t="s">
        <v>64</v>
      </c>
      <c r="H423" s="11" t="s">
        <v>65</v>
      </c>
      <c r="I423" s="11" t="s">
        <v>18</v>
      </c>
      <c r="J423" s="9" t="str">
        <f>IFERROR(__xludf.DUMMYFUNCTION("""COMPUTED_VALUE"""),"https://www.google.com/search?newwindow=1&amp;ei=2MT0XrvGGM-vytMP1OyDgAY&amp;q=site%3Alinkedin.com+Tierra+Carter,+MBA+Campus+Recruiting+Coordinator,+Diversity+&amp;+Early+Engagement+Events")</f>
        <v>https://www.google.com/search?newwindow=1&amp;ei=2MT0XrvGGM-vytMP1OyDgAY&amp;q=site%3Alinkedin.com+Tierra+Carter,+MBA+Campus+Recruiting+Coordinator,+Diversity+&amp;+Early+Engagement+Events</v>
      </c>
      <c r="K423" s="5" t="str">
        <f t="shared" si="1"/>
        <v>Tierra Carter, MBA</v>
      </c>
      <c r="L423" s="5" t="str">
        <f t="shared" si="2"/>
        <v>Campus Recruiting Coordinator, Diversity &amp; Early Engagement Events</v>
      </c>
      <c r="M423" s="5" t="str">
        <f t="shared" si="3"/>
        <v/>
      </c>
      <c r="N423" s="5" t="str">
        <f t="shared" si="4"/>
        <v>Capital One</v>
      </c>
      <c r="O423" s="5" t="str">
        <f t="shared" si="5"/>
        <v>1 year 8 months in role and company</v>
      </c>
      <c r="P423" s="5" t="str">
        <f t="shared" si="6"/>
        <v>Dallas</v>
      </c>
      <c r="Q423" s="5" t="str">
        <f t="shared" si="7"/>
        <v>Texas</v>
      </c>
      <c r="R423" s="5" t="str">
        <f t="shared" si="8"/>
        <v>United States</v>
      </c>
    </row>
    <row r="424">
      <c r="A424" s="8" t="s">
        <v>5709</v>
      </c>
      <c r="B424" s="12" t="s">
        <v>1269</v>
      </c>
      <c r="C424" s="10" t="s">
        <v>371</v>
      </c>
      <c r="D424" s="10"/>
      <c r="E424" s="10" t="s">
        <v>1233</v>
      </c>
      <c r="F424" s="10" t="s">
        <v>144</v>
      </c>
      <c r="G424" s="11" t="s">
        <v>64</v>
      </c>
      <c r="H424" s="11" t="s">
        <v>65</v>
      </c>
      <c r="I424" s="11" t="s">
        <v>18</v>
      </c>
      <c r="J424" s="9" t="str">
        <f>IFERROR(__xludf.DUMMYFUNCTION("""COMPUTED_VALUE"""),"https://www.google.com/search?newwindow=1&amp;ei=2MT0XrvGGM-vytMP1OyDgAY&amp;q=site%3Alinkedin.com+Laney+Oaks+Associate,+Investment+Banking+Campus+Recruiting")</f>
        <v>https://www.google.com/search?newwindow=1&amp;ei=2MT0XrvGGM-vytMP1OyDgAY&amp;q=site%3Alinkedin.com+Laney+Oaks+Associate,+Investment+Banking+Campus+Recruiting</v>
      </c>
      <c r="K424" s="5" t="str">
        <f t="shared" si="1"/>
        <v>Laney Oaks</v>
      </c>
      <c r="L424" s="5" t="str">
        <f t="shared" si="2"/>
        <v>Associate, Investment Banking Campus Recruiting</v>
      </c>
      <c r="M424" s="5" t="str">
        <f t="shared" si="3"/>
        <v/>
      </c>
      <c r="N424" s="5" t="str">
        <f t="shared" si="4"/>
        <v>Goldman Sachs</v>
      </c>
      <c r="O424" s="5" t="str">
        <f t="shared" si="5"/>
        <v>1 year 5 months in role and company</v>
      </c>
      <c r="P424" s="5" t="str">
        <f t="shared" si="6"/>
        <v>Dallas</v>
      </c>
      <c r="Q424" s="5" t="str">
        <f t="shared" si="7"/>
        <v>Texas</v>
      </c>
      <c r="R424" s="5" t="str">
        <f t="shared" si="8"/>
        <v>United States</v>
      </c>
    </row>
    <row r="425">
      <c r="A425" s="8" t="s">
        <v>5710</v>
      </c>
      <c r="B425" s="10" t="s">
        <v>5711</v>
      </c>
      <c r="C425" s="10" t="s">
        <v>5712</v>
      </c>
      <c r="D425" s="12"/>
      <c r="E425" s="12" t="s">
        <v>5197</v>
      </c>
      <c r="F425" s="10"/>
      <c r="G425" s="11" t="s">
        <v>64</v>
      </c>
      <c r="H425" s="11" t="s">
        <v>65</v>
      </c>
      <c r="I425" s="11" t="s">
        <v>18</v>
      </c>
      <c r="J425" s="9" t="str">
        <f>IFERROR(__xludf.DUMMYFUNCTION("""COMPUTED_VALUE"""),"https://www.google.com/search?newwindow=1&amp;ei=2MT0XrvGGM-vytMP1OyDgAY&amp;q=site%3Alinkedin.com+Sarah+Marsh+Firmwide+Campus+Recruiting+Events+Specialist")</f>
        <v>https://www.google.com/search?newwindow=1&amp;ei=2MT0XrvGGM-vytMP1OyDgAY&amp;q=site%3Alinkedin.com+Sarah+Marsh+Firmwide+Campus+Recruiting+Events+Specialist</v>
      </c>
      <c r="K425" s="5" t="str">
        <f t="shared" si="1"/>
        <v>Sarah Marsh</v>
      </c>
      <c r="L425" s="5" t="str">
        <f t="shared" si="2"/>
        <v>Firmwide Campus Recruiting Events Specialist</v>
      </c>
      <c r="M425" s="5" t="str">
        <f t="shared" si="3"/>
        <v/>
      </c>
      <c r="N425" s="5" t="str">
        <f t="shared" si="4"/>
        <v>JPMorgan Chase &amp; Co.</v>
      </c>
      <c r="O425" s="5" t="str">
        <f t="shared" si="5"/>
        <v>7 months in role</v>
      </c>
      <c r="P425" s="5" t="str">
        <f t="shared" si="6"/>
        <v>Dallas</v>
      </c>
      <c r="Q425" s="5" t="str">
        <f t="shared" si="7"/>
        <v>Texas</v>
      </c>
      <c r="R425" s="5" t="str">
        <f t="shared" si="8"/>
        <v>United States</v>
      </c>
    </row>
    <row r="426">
      <c r="A426" s="8" t="s">
        <v>5713</v>
      </c>
      <c r="B426" s="12" t="s">
        <v>803</v>
      </c>
      <c r="C426" s="10" t="s">
        <v>1378</v>
      </c>
      <c r="D426" s="10"/>
      <c r="E426" s="10" t="s">
        <v>1233</v>
      </c>
      <c r="F426" s="10" t="s">
        <v>222</v>
      </c>
      <c r="G426" s="11" t="s">
        <v>64</v>
      </c>
      <c r="H426" s="11" t="s">
        <v>65</v>
      </c>
      <c r="I426" s="11" t="s">
        <v>18</v>
      </c>
      <c r="J426" s="9" t="str">
        <f>IFERROR(__xludf.DUMMYFUNCTION("""COMPUTED_VALUE"""),"https://www.google.com/search?newwindow=1&amp;ei=2MT0XrvGGM-vytMP1OyDgAY&amp;q=site%3Alinkedin.com+Scott+Dai+Senior+Manager,+Business+Strategy+&amp;+Consulting")</f>
        <v>https://www.google.com/search?newwindow=1&amp;ei=2MT0XrvGGM-vytMP1OyDgAY&amp;q=site%3Alinkedin.com+Scott+Dai+Senior+Manager,+Business+Strategy+&amp;+Consulting</v>
      </c>
      <c r="K426" s="5" t="str">
        <f t="shared" si="1"/>
        <v>Scott Dai</v>
      </c>
      <c r="L426" s="5" t="str">
        <f t="shared" si="2"/>
        <v>Senior Manager, Business Strategy &amp; Consulting</v>
      </c>
      <c r="M426" s="5" t="str">
        <f t="shared" si="3"/>
        <v/>
      </c>
      <c r="N426" s="5" t="str">
        <f t="shared" si="4"/>
        <v>EY</v>
      </c>
      <c r="O426" s="5" t="str">
        <f t="shared" si="5"/>
        <v>10 years 10 months in role and company</v>
      </c>
      <c r="P426" s="5" t="str">
        <f t="shared" si="6"/>
        <v>Dallas</v>
      </c>
      <c r="Q426" s="5" t="str">
        <f t="shared" si="7"/>
        <v>Texas</v>
      </c>
      <c r="R426" s="5" t="str">
        <f t="shared" si="8"/>
        <v>United States</v>
      </c>
    </row>
    <row r="427">
      <c r="A427" s="8" t="s">
        <v>5714</v>
      </c>
      <c r="B427" s="12" t="s">
        <v>5715</v>
      </c>
      <c r="C427" s="10" t="s">
        <v>5712</v>
      </c>
      <c r="D427" s="10"/>
      <c r="E427" s="10" t="s">
        <v>4701</v>
      </c>
      <c r="F427" s="10" t="s">
        <v>268</v>
      </c>
      <c r="G427" s="11" t="s">
        <v>64</v>
      </c>
      <c r="H427" s="11" t="s">
        <v>65</v>
      </c>
      <c r="I427" s="11" t="s">
        <v>18</v>
      </c>
      <c r="J427" s="9" t="str">
        <f>IFERROR(__xludf.DUMMYFUNCTION("""COMPUTED_VALUE"""),"https://www.google.com/search?newwindow=1&amp;ei=2MT0XrvGGM-vytMP1OyDgAY&amp;q=site%3Alinkedin.com+Tiara+Triplett,+MBA+Campus+Recruiting+Operations+Specialist-+Software+Engineer+Program")</f>
        <v>https://www.google.com/search?newwindow=1&amp;ei=2MT0XrvGGM-vytMP1OyDgAY&amp;q=site%3Alinkedin.com+Tiara+Triplett,+MBA+Campus+Recruiting+Operations+Specialist-+Software+Engineer+Program</v>
      </c>
      <c r="K427" s="5" t="str">
        <f t="shared" si="1"/>
        <v>Tiara Triplett, MBA</v>
      </c>
      <c r="L427" s="5" t="str">
        <f t="shared" si="2"/>
        <v>Campus Recruiting Operations Specialist- Software Engineer Program</v>
      </c>
      <c r="M427" s="5" t="str">
        <f t="shared" si="3"/>
        <v/>
      </c>
      <c r="N427" s="5" t="str">
        <f t="shared" si="4"/>
        <v>JPMorgan Chase &amp; Co.</v>
      </c>
      <c r="O427" s="5" t="str">
        <f t="shared" si="5"/>
        <v>1 year  in role and company</v>
      </c>
      <c r="P427" s="5" t="str">
        <f t="shared" si="6"/>
        <v>Dallas</v>
      </c>
      <c r="Q427" s="5" t="str">
        <f t="shared" si="7"/>
        <v>Texas</v>
      </c>
      <c r="R427" s="5" t="str">
        <f t="shared" si="8"/>
        <v>United States</v>
      </c>
    </row>
    <row r="428">
      <c r="A428" s="8" t="s">
        <v>5716</v>
      </c>
      <c r="B428" s="10" t="s">
        <v>5717</v>
      </c>
      <c r="C428" s="10" t="s">
        <v>4749</v>
      </c>
      <c r="D428" s="10"/>
      <c r="E428" s="10" t="s">
        <v>1233</v>
      </c>
      <c r="F428" s="10" t="s">
        <v>691</v>
      </c>
      <c r="G428" s="11" t="s">
        <v>64</v>
      </c>
      <c r="H428" s="11" t="s">
        <v>65</v>
      </c>
      <c r="I428" s="11" t="s">
        <v>18</v>
      </c>
      <c r="J428" s="9" t="str">
        <f>IFERROR(__xludf.DUMMYFUNCTION("""COMPUTED_VALUE"""),"https://www.google.com/search?newwindow=1&amp;ei=2MT0XrvGGM-vytMP1OyDgAY&amp;q=site%3Alinkedin.com+Brighid+Jensen+US+Campus+Recruiting,+Associate+Director+-+Transformation+Project+Leader")</f>
        <v>https://www.google.com/search?newwindow=1&amp;ei=2MT0XrvGGM-vytMP1OyDgAY&amp;q=site%3Alinkedin.com+Brighid+Jensen+US+Campus+Recruiting,+Associate+Director+-+Transformation+Project+Leader</v>
      </c>
      <c r="K428" s="5" t="str">
        <f t="shared" si="1"/>
        <v>Brighid Jensen</v>
      </c>
      <c r="L428" s="5" t="str">
        <f t="shared" si="2"/>
        <v>US Campus Recruiting, Associate Director - Transformation Project Leader</v>
      </c>
      <c r="M428" s="5" t="str">
        <f t="shared" si="3"/>
        <v/>
      </c>
      <c r="N428" s="5" t="str">
        <f t="shared" si="4"/>
        <v>EY</v>
      </c>
      <c r="O428" s="5" t="str">
        <f t="shared" si="5"/>
        <v>1 year 10 months in role</v>
      </c>
      <c r="P428" s="5" t="str">
        <f t="shared" si="6"/>
        <v>Dallas</v>
      </c>
      <c r="Q428" s="5" t="str">
        <f t="shared" si="7"/>
        <v>Texas</v>
      </c>
      <c r="R428" s="5" t="str">
        <f t="shared" si="8"/>
        <v>United States</v>
      </c>
    </row>
    <row r="429">
      <c r="A429" s="8" t="s">
        <v>5718</v>
      </c>
      <c r="B429" s="10" t="s">
        <v>5719</v>
      </c>
      <c r="C429" s="10" t="s">
        <v>4749</v>
      </c>
      <c r="D429" s="10"/>
      <c r="E429" s="10" t="s">
        <v>4701</v>
      </c>
      <c r="F429" s="10" t="s">
        <v>222</v>
      </c>
      <c r="G429" s="11" t="s">
        <v>64</v>
      </c>
      <c r="H429" s="11" t="s">
        <v>65</v>
      </c>
      <c r="I429" s="11" t="s">
        <v>18</v>
      </c>
      <c r="J429" s="9" t="str">
        <f>IFERROR(__xludf.DUMMYFUNCTION("""COMPUTED_VALUE"""),"https://www.google.com/search?newwindow=1&amp;ei=2MT0XrvGGM-vytMP1OyDgAY&amp;q=site%3Alinkedin.com+Derek+Winkler+People+Advisory+Services+-+Americas+COO+for+Global+Immigration+and+Business+Traveler+Services")</f>
        <v>https://www.google.com/search?newwindow=1&amp;ei=2MT0XrvGGM-vytMP1OyDgAY&amp;q=site%3Alinkedin.com+Derek+Winkler+People+Advisory+Services+-+Americas+COO+for+Global+Immigration+and+Business+Traveler+Services</v>
      </c>
      <c r="K429" s="5" t="str">
        <f t="shared" si="1"/>
        <v>Derek Winkler</v>
      </c>
      <c r="L429" s="5" t="str">
        <f t="shared" si="2"/>
        <v>People Advisory Services - Americas COO for Global Immigration and Business Traveler Services</v>
      </c>
      <c r="M429" s="5" t="str">
        <f t="shared" si="3"/>
        <v/>
      </c>
      <c r="N429" s="5" t="str">
        <f t="shared" si="4"/>
        <v>EY</v>
      </c>
      <c r="O429" s="5" t="str">
        <f t="shared" si="5"/>
        <v>5 years 10 months in role</v>
      </c>
      <c r="P429" s="5" t="str">
        <f t="shared" si="6"/>
        <v>Dallas</v>
      </c>
      <c r="Q429" s="5" t="str">
        <f t="shared" si="7"/>
        <v>Texas</v>
      </c>
      <c r="R429" s="5" t="str">
        <f t="shared" si="8"/>
        <v>United States</v>
      </c>
    </row>
    <row r="430">
      <c r="A430" s="8" t="s">
        <v>5720</v>
      </c>
      <c r="B430" s="12" t="s">
        <v>3688</v>
      </c>
      <c r="C430" s="10" t="s">
        <v>5721</v>
      </c>
      <c r="D430" s="10"/>
      <c r="E430" s="10" t="s">
        <v>3649</v>
      </c>
      <c r="F430" s="10" t="s">
        <v>84</v>
      </c>
      <c r="G430" s="11" t="s">
        <v>64</v>
      </c>
      <c r="H430" s="11" t="s">
        <v>65</v>
      </c>
      <c r="I430" s="11" t="s">
        <v>18</v>
      </c>
      <c r="J430" s="9" t="str">
        <f>IFERROR(__xludf.DUMMYFUNCTION("""COMPUTED_VALUE"""),"https://www.google.com/search?newwindow=1&amp;ei=2MT0XrvGGM-vytMP1OyDgAY&amp;q=site%3Alinkedin.com+Ki'Mii+Sellers,+aPHR+CIB+Campus+Recruiting+Business+Advisor")</f>
        <v>https://www.google.com/search?newwindow=1&amp;ei=2MT0XrvGGM-vytMP1OyDgAY&amp;q=site%3Alinkedin.com+Ki'Mii+Sellers,+aPHR+CIB+Campus+Recruiting+Business+Advisor</v>
      </c>
      <c r="K430" s="5" t="str">
        <f t="shared" si="1"/>
        <v>Ki'Mii Sellers, aPHR</v>
      </c>
      <c r="L430" s="5" t="str">
        <f t="shared" si="2"/>
        <v>CIB Campus Recruiting Business Advisor</v>
      </c>
      <c r="M430" s="5" t="str">
        <f t="shared" si="3"/>
        <v/>
      </c>
      <c r="N430" s="5" t="str">
        <f t="shared" si="4"/>
        <v>JPMorgan Chase &amp; Co.</v>
      </c>
      <c r="O430" s="5" t="str">
        <f t="shared" si="5"/>
        <v>1 year  in role and company</v>
      </c>
      <c r="P430" s="5" t="str">
        <f t="shared" si="6"/>
        <v>Dallas</v>
      </c>
      <c r="Q430" s="5" t="str">
        <f t="shared" si="7"/>
        <v>Texas</v>
      </c>
      <c r="R430" s="5" t="str">
        <f t="shared" si="8"/>
        <v>United States</v>
      </c>
    </row>
    <row r="431">
      <c r="A431" s="8" t="s">
        <v>5722</v>
      </c>
      <c r="B431" s="12" t="s">
        <v>5723</v>
      </c>
      <c r="C431" s="10" t="s">
        <v>4749</v>
      </c>
      <c r="D431" s="10"/>
      <c r="E431" s="10" t="s">
        <v>1233</v>
      </c>
      <c r="F431" s="10"/>
      <c r="G431" s="11" t="s">
        <v>64</v>
      </c>
      <c r="H431" s="11" t="s">
        <v>65</v>
      </c>
      <c r="I431" s="11" t="s">
        <v>18</v>
      </c>
      <c r="J431" s="9" t="str">
        <f>IFERROR(__xludf.DUMMYFUNCTION("""COMPUTED_VALUE"""),"https://www.google.com/search?newwindow=1&amp;ei=2MT0XrvGGM-vytMP1OyDgAY&amp;q=site%3Alinkedin.com+Mary+Latino+Recruiting+Associate,+University+Recruiting")</f>
        <v>https://www.google.com/search?newwindow=1&amp;ei=2MT0XrvGGM-vytMP1OyDgAY&amp;q=site%3Alinkedin.com+Mary+Latino+Recruiting+Associate,+University+Recruiting</v>
      </c>
      <c r="K431" s="5" t="str">
        <f t="shared" si="1"/>
        <v>Mary Latino</v>
      </c>
      <c r="L431" s="5" t="str">
        <f t="shared" si="2"/>
        <v>Recruiting Associate, University Recruiting</v>
      </c>
      <c r="M431" s="5" t="str">
        <f t="shared" si="3"/>
        <v/>
      </c>
      <c r="N431" s="5" t="str">
        <f t="shared" si="4"/>
        <v>Grant Thornton LLP</v>
      </c>
      <c r="O431" s="5" t="str">
        <f t="shared" si="5"/>
        <v>1 year 1 month in role and company</v>
      </c>
      <c r="P431" s="5" t="str">
        <f t="shared" si="6"/>
        <v>Dallas</v>
      </c>
      <c r="Q431" s="5" t="str">
        <f t="shared" si="7"/>
        <v>Texas</v>
      </c>
      <c r="R431" s="5" t="str">
        <f t="shared" si="8"/>
        <v>United States</v>
      </c>
    </row>
    <row r="432">
      <c r="A432" s="8" t="s">
        <v>5724</v>
      </c>
      <c r="B432" s="10" t="s">
        <v>5725</v>
      </c>
      <c r="C432" s="10" t="s">
        <v>5726</v>
      </c>
      <c r="D432" s="12"/>
      <c r="E432" s="12" t="s">
        <v>4597</v>
      </c>
      <c r="F432" s="10"/>
      <c r="G432" s="11" t="s">
        <v>5727</v>
      </c>
      <c r="H432" s="11" t="s">
        <v>4599</v>
      </c>
      <c r="I432" s="11" t="s">
        <v>4600</v>
      </c>
      <c r="J432" s="9" t="str">
        <f>IFERROR(__xludf.DUMMYFUNCTION("""COMPUTED_VALUE"""),"https://www.google.com/search?newwindow=1&amp;ei=2MT0XrvGGM-vytMP1OyDgAY&amp;q=site%3Alinkedin.com+Aubrey+Dodds+Senior+Campus+Recruiting+Specialist")</f>
        <v>https://www.google.com/search?newwindow=1&amp;ei=2MT0XrvGGM-vytMP1OyDgAY&amp;q=site%3Alinkedin.com+Aubrey+Dodds+Senior+Campus+Recruiting+Specialist</v>
      </c>
      <c r="K432" s="5" t="str">
        <f t="shared" si="1"/>
        <v>Aubrey Dodds</v>
      </c>
      <c r="L432" s="5" t="str">
        <f t="shared" si="2"/>
        <v>Senior Campus Recruiting Specialist</v>
      </c>
      <c r="M432" s="5" t="str">
        <f t="shared" si="3"/>
        <v/>
      </c>
      <c r="N432" s="5" t="str">
        <f t="shared" si="4"/>
        <v>Deloitte</v>
      </c>
      <c r="O432" s="5" t="str">
        <f t="shared" si="5"/>
        <v>5 years 3 months in role and company</v>
      </c>
      <c r="P432" s="5" t="str">
        <f t="shared" si="6"/>
        <v>Dallas</v>
      </c>
      <c r="Q432" s="5" t="str">
        <f t="shared" si="7"/>
        <v>Texas</v>
      </c>
      <c r="R432" s="5" t="str">
        <f t="shared" si="8"/>
        <v>United States</v>
      </c>
    </row>
    <row r="433">
      <c r="A433" s="8" t="s">
        <v>5728</v>
      </c>
      <c r="B433" s="12" t="s">
        <v>5729</v>
      </c>
      <c r="C433" s="10" t="s">
        <v>5730</v>
      </c>
      <c r="D433" s="10"/>
      <c r="E433" s="10" t="s">
        <v>4701</v>
      </c>
      <c r="F433" s="10" t="s">
        <v>268</v>
      </c>
      <c r="G433" s="11" t="s">
        <v>5731</v>
      </c>
      <c r="H433" s="11" t="s">
        <v>44</v>
      </c>
      <c r="I433" s="11" t="s">
        <v>18</v>
      </c>
      <c r="J433" s="9" t="str">
        <f>IFERROR(__xludf.DUMMYFUNCTION("""COMPUTED_VALUE"""),"https://www.google.com/search?newwindow=1&amp;ei=2MT0XrvGGM-vytMP1OyDgAY&amp;q=site%3Alinkedin.com+Taryn+Talbert+Campus+Recruiting+Coordinator")</f>
        <v>https://www.google.com/search?newwindow=1&amp;ei=2MT0XrvGGM-vytMP1OyDgAY&amp;q=site%3Alinkedin.com+Taryn+Talbert+Campus+Recruiting+Coordinator</v>
      </c>
      <c r="K433" s="5" t="str">
        <f t="shared" si="1"/>
        <v>Taryn Talbert</v>
      </c>
      <c r="L433" s="5" t="str">
        <f t="shared" si="2"/>
        <v>Campus Recruiting Coordinator</v>
      </c>
      <c r="M433" s="5" t="str">
        <f t="shared" si="3"/>
        <v/>
      </c>
      <c r="N433" s="5" t="str">
        <f t="shared" si="4"/>
        <v>EY</v>
      </c>
      <c r="O433" s="5" t="str">
        <f t="shared" si="5"/>
        <v>9 years 5 months in role and company</v>
      </c>
      <c r="P433" s="5" t="str">
        <f t="shared" si="6"/>
        <v>Dallas</v>
      </c>
      <c r="Q433" s="5" t="str">
        <f t="shared" si="7"/>
        <v>Texas</v>
      </c>
      <c r="R433" s="5" t="str">
        <f t="shared" si="8"/>
        <v>United States</v>
      </c>
    </row>
    <row r="434">
      <c r="A434" s="8" t="s">
        <v>5732</v>
      </c>
      <c r="B434" s="10" t="s">
        <v>5733</v>
      </c>
      <c r="C434" s="10" t="s">
        <v>4596</v>
      </c>
      <c r="D434" s="12"/>
      <c r="E434" s="12" t="s">
        <v>5734</v>
      </c>
      <c r="F434" s="10"/>
      <c r="G434" s="11" t="s">
        <v>5735</v>
      </c>
      <c r="H434" s="11" t="s">
        <v>5736</v>
      </c>
      <c r="I434" s="11" t="s">
        <v>4619</v>
      </c>
      <c r="J434" s="9" t="str">
        <f>IFERROR(__xludf.DUMMYFUNCTION("""COMPUTED_VALUE"""),"https://www.google.com/search?newwindow=1&amp;ei=2MT0XrvGGM-vytMP1OyDgAY&amp;q=site%3Alinkedin.com+Ravinder+Sharma+Senior+Recruiter+(Graduate+&amp;+In-house)")</f>
        <v>https://www.google.com/search?newwindow=1&amp;ei=2MT0XrvGGM-vytMP1OyDgAY&amp;q=site%3Alinkedin.com+Ravinder+Sharma+Senior+Recruiter+(Graduate+&amp;+In-house)</v>
      </c>
      <c r="K434" s="5" t="str">
        <f t="shared" si="1"/>
        <v>Ravinder Sharma</v>
      </c>
      <c r="L434" s="5" t="str">
        <f t="shared" si="2"/>
        <v>Senior Recruiter (Graduate &amp; In-house)</v>
      </c>
      <c r="M434" s="5" t="str">
        <f t="shared" si="3"/>
        <v/>
      </c>
      <c r="N434" s="5" t="str">
        <f t="shared" si="4"/>
        <v>Anglia Ruskin University</v>
      </c>
      <c r="O434" s="5" t="str">
        <f t="shared" si="5"/>
        <v>5 years 6 months in role and company</v>
      </c>
      <c r="P434" s="5" t="str">
        <f t="shared" si="6"/>
        <v>Dartford</v>
      </c>
      <c r="Q434" s="5" t="str">
        <f t="shared" si="7"/>
        <v>England</v>
      </c>
      <c r="R434" s="5" t="str">
        <f t="shared" si="8"/>
        <v>United Kingdom</v>
      </c>
    </row>
    <row r="435">
      <c r="A435" s="8" t="s">
        <v>5737</v>
      </c>
      <c r="B435" s="10" t="s">
        <v>5738</v>
      </c>
      <c r="C435" s="10" t="s">
        <v>4674</v>
      </c>
      <c r="D435" s="10"/>
      <c r="E435" s="10" t="s">
        <v>1233</v>
      </c>
      <c r="F435" s="10" t="s">
        <v>192</v>
      </c>
      <c r="G435" s="11" t="s">
        <v>1274</v>
      </c>
      <c r="H435" s="11" t="s">
        <v>76</v>
      </c>
      <c r="I435" s="11" t="s">
        <v>18</v>
      </c>
      <c r="J435" s="9" t="str">
        <f>IFERROR(__xludf.DUMMYFUNCTION("""COMPUTED_VALUE"""),"https://www.google.com/search?newwindow=1&amp;ei=2MT0XrvGGM-vytMP1OyDgAY&amp;q=site%3Alinkedin.com+Allison+Halfpenny+Contingent+Worker+-+Training+Programs+&amp;+Standards+-+Administration+Student")</f>
        <v>https://www.google.com/search?newwindow=1&amp;ei=2MT0XrvGGM-vytMP1OyDgAY&amp;q=site%3Alinkedin.com+Allison+Halfpenny+Contingent+Worker+-+Training+Programs+&amp;+Standards+-+Administration+Student</v>
      </c>
      <c r="K435" s="5" t="str">
        <f t="shared" si="1"/>
        <v>Allison Halfpenny</v>
      </c>
      <c r="L435" s="5" t="str">
        <f t="shared" si="2"/>
        <v>Contingent Worker - Training Programs &amp; Standards - Administration Student</v>
      </c>
      <c r="M435" s="5" t="str">
        <f t="shared" si="3"/>
        <v/>
      </c>
      <c r="N435" s="5" t="str">
        <f t="shared" si="4"/>
        <v>Canadian Nuclear Laboratories</v>
      </c>
      <c r="O435" s="5" t="str">
        <f t="shared" si="5"/>
        <v>2 years 3 months in role and company</v>
      </c>
      <c r="P435" s="5" t="str">
        <f t="shared" si="6"/>
        <v>Deep River</v>
      </c>
      <c r="Q435" s="5" t="str">
        <f t="shared" si="7"/>
        <v>Ontario</v>
      </c>
      <c r="R435" s="5" t="str">
        <f t="shared" si="8"/>
        <v>Canada</v>
      </c>
    </row>
    <row r="436">
      <c r="A436" s="8" t="s">
        <v>5739</v>
      </c>
      <c r="B436" s="10" t="s">
        <v>5740</v>
      </c>
      <c r="C436" s="10" t="s">
        <v>4749</v>
      </c>
      <c r="D436" s="10"/>
      <c r="E436" s="10" t="s">
        <v>4701</v>
      </c>
      <c r="F436" s="10" t="s">
        <v>1880</v>
      </c>
      <c r="G436" s="11" t="s">
        <v>1274</v>
      </c>
      <c r="H436" s="11" t="s">
        <v>76</v>
      </c>
      <c r="I436" s="11" t="s">
        <v>18</v>
      </c>
      <c r="J436" s="9" t="str">
        <f>IFERROR(__xludf.DUMMYFUNCTION("""COMPUTED_VALUE"""),"https://www.google.com/search?newwindow=1&amp;ei=2MT0XrvGGM-vytMP1OyDgAY&amp;q=site%3Alinkedin.com+Lynsey+Dinovo+Associate+Director,+Campus+Recruiting")</f>
        <v>https://www.google.com/search?newwindow=1&amp;ei=2MT0XrvGGM-vytMP1OyDgAY&amp;q=site%3Alinkedin.com+Lynsey+Dinovo+Associate+Director,+Campus+Recruiting</v>
      </c>
      <c r="K436" s="5" t="str">
        <f t="shared" si="1"/>
        <v>Lynsey Dinovo</v>
      </c>
      <c r="L436" s="5" t="str">
        <f t="shared" si="2"/>
        <v>Associate Director, Campus Recruiting</v>
      </c>
      <c r="M436" s="5" t="str">
        <f t="shared" si="3"/>
        <v/>
      </c>
      <c r="N436" s="5" t="str">
        <f t="shared" si="4"/>
        <v>KPMG US</v>
      </c>
      <c r="O436" s="5" t="str">
        <f t="shared" si="5"/>
        <v>3 years 1 month in role</v>
      </c>
      <c r="P436" s="5" t="str">
        <f t="shared" si="6"/>
        <v>Delaware</v>
      </c>
      <c r="Q436" s="5" t="str">
        <f t="shared" si="7"/>
        <v>Ohio</v>
      </c>
      <c r="R436" s="5" t="str">
        <f t="shared" si="8"/>
        <v>United States</v>
      </c>
    </row>
    <row r="437">
      <c r="A437" s="8" t="s">
        <v>5741</v>
      </c>
      <c r="B437" s="10" t="s">
        <v>5742</v>
      </c>
      <c r="C437" s="10" t="s">
        <v>5743</v>
      </c>
      <c r="D437" s="10"/>
      <c r="E437" s="10" t="s">
        <v>4701</v>
      </c>
      <c r="F437" s="10" t="s">
        <v>2265</v>
      </c>
      <c r="G437" s="11" t="s">
        <v>1274</v>
      </c>
      <c r="H437" s="11" t="s">
        <v>76</v>
      </c>
      <c r="I437" s="11" t="s">
        <v>18</v>
      </c>
      <c r="J437" s="9" t="str">
        <f>IFERROR(__xludf.DUMMYFUNCTION("""COMPUTED_VALUE"""),"https://www.google.com/search?newwindow=1&amp;ei=2MT0XrvGGM-vytMP1OyDgAY&amp;q=site%3Alinkedin.com+Bailey+DeBruin-Stam+Associate+student+recruiter+advisor+Douglas+College")</f>
        <v>https://www.google.com/search?newwindow=1&amp;ei=2MT0XrvGGM-vytMP1OyDgAY&amp;q=site%3Alinkedin.com+Bailey+DeBruin-Stam+Associate+student+recruiter+advisor+Douglas+College</v>
      </c>
      <c r="K437" s="5" t="str">
        <f t="shared" si="1"/>
        <v>Bailey DeBruin-Stam</v>
      </c>
      <c r="L437" s="5" t="str">
        <f t="shared" si="2"/>
        <v>Associate student recruiter advisor Douglas College</v>
      </c>
      <c r="M437" s="5" t="str">
        <f t="shared" si="3"/>
        <v/>
      </c>
      <c r="N437" s="5" t="str">
        <f t="shared" si="4"/>
        <v>Douglas College</v>
      </c>
      <c r="O437" s="5" t="str">
        <f t="shared" si="5"/>
        <v>3 months in role</v>
      </c>
      <c r="P437" s="5" t="str">
        <f t="shared" si="6"/>
        <v>Delta</v>
      </c>
      <c r="Q437" s="5" t="str">
        <f t="shared" si="7"/>
        <v>British Columbia</v>
      </c>
      <c r="R437" s="5" t="str">
        <f t="shared" si="8"/>
        <v>Canada</v>
      </c>
    </row>
    <row r="438">
      <c r="A438" s="8" t="s">
        <v>5744</v>
      </c>
      <c r="B438" s="12" t="s">
        <v>5745</v>
      </c>
      <c r="C438" s="10" t="s">
        <v>5746</v>
      </c>
      <c r="D438" s="10"/>
      <c r="E438" s="10" t="s">
        <v>5500</v>
      </c>
      <c r="F438" s="10" t="s">
        <v>5747</v>
      </c>
      <c r="G438" s="11" t="s">
        <v>1274</v>
      </c>
      <c r="H438" s="11" t="s">
        <v>76</v>
      </c>
      <c r="I438" s="11" t="s">
        <v>18</v>
      </c>
      <c r="J438" s="9" t="str">
        <f>IFERROR(__xludf.DUMMYFUNCTION("""COMPUTED_VALUE"""),"https://www.google.com/search?newwindow=1&amp;ei=2MT0XrvGGM-vytMP1OyDgAY&amp;q=site%3Alinkedin.com+Marissa+Funaro+Executive+Director,+Undergraduate+Programs+&amp;+Student+Services")</f>
        <v>https://www.google.com/search?newwindow=1&amp;ei=2MT0XrvGGM-vytMP1OyDgAY&amp;q=site%3Alinkedin.com+Marissa+Funaro+Executive+Director,+Undergraduate+Programs+&amp;+Student+Services</v>
      </c>
      <c r="K438" s="5" t="str">
        <f t="shared" si="1"/>
        <v>Marissa Funaro</v>
      </c>
      <c r="L438" s="5" t="str">
        <f t="shared" si="2"/>
        <v>Executive Director, Undergraduate Programs &amp; Student Services</v>
      </c>
      <c r="M438" s="5" t="str">
        <f t="shared" si="3"/>
        <v/>
      </c>
      <c r="N438" s="5" t="str">
        <f t="shared" si="4"/>
        <v>Beedie School of Business at Simon Fraser University</v>
      </c>
      <c r="O438" s="5" t="str">
        <f t="shared" si="5"/>
        <v>3 years 5 months in role</v>
      </c>
      <c r="P438" s="5" t="str">
        <f t="shared" si="6"/>
        <v>Delta</v>
      </c>
      <c r="Q438" s="5" t="str">
        <f t="shared" si="7"/>
        <v>British Columbia</v>
      </c>
      <c r="R438" s="5" t="str">
        <f t="shared" si="8"/>
        <v>Canada</v>
      </c>
    </row>
    <row r="439">
      <c r="A439" s="8" t="s">
        <v>5748</v>
      </c>
      <c r="B439" s="10" t="s">
        <v>5749</v>
      </c>
      <c r="C439" s="10" t="s">
        <v>5750</v>
      </c>
      <c r="D439" s="10"/>
      <c r="E439" s="10" t="s">
        <v>5751</v>
      </c>
      <c r="F439" s="10" t="s">
        <v>48</v>
      </c>
      <c r="G439" s="11" t="s">
        <v>5752</v>
      </c>
      <c r="H439" s="11" t="s">
        <v>5736</v>
      </c>
      <c r="I439" s="11" t="s">
        <v>4619</v>
      </c>
      <c r="J439" s="9" t="str">
        <f>IFERROR(__xludf.DUMMYFUNCTION("""COMPUTED_VALUE"""),"https://www.google.com/search?newwindow=1&amp;ei=2MT0XrvGGM-vytMP1OyDgAY&amp;q=site%3Alinkedin.com+Zachary+Yarnell,+CPA+Campus+Recruiting+Specialist")</f>
        <v>https://www.google.com/search?newwindow=1&amp;ei=2MT0XrvGGM-vytMP1OyDgAY&amp;q=site%3Alinkedin.com+Zachary+Yarnell,+CPA+Campus+Recruiting+Specialist</v>
      </c>
      <c r="K439" s="5" t="str">
        <f t="shared" si="1"/>
        <v>Zachary Yarnell, CPA</v>
      </c>
      <c r="L439" s="5" t="str">
        <f t="shared" si="2"/>
        <v>Campus Recruiting Specialist</v>
      </c>
      <c r="M439" s="5" t="str">
        <f t="shared" si="3"/>
        <v/>
      </c>
      <c r="N439" s="5" t="str">
        <f t="shared" si="4"/>
        <v>Deloitte</v>
      </c>
      <c r="O439" s="5" t="str">
        <f t="shared" si="5"/>
        <v>2 years 6 months in role</v>
      </c>
      <c r="P439" s="5" t="str">
        <f t="shared" si="6"/>
        <v>Denver</v>
      </c>
      <c r="Q439" s="5" t="str">
        <f t="shared" si="7"/>
        <v>Colorado</v>
      </c>
      <c r="R439" s="5" t="str">
        <f t="shared" si="8"/>
        <v>United States</v>
      </c>
    </row>
    <row r="440">
      <c r="A440" s="8" t="s">
        <v>5753</v>
      </c>
      <c r="B440" s="12" t="s">
        <v>5754</v>
      </c>
      <c r="C440" s="10" t="s">
        <v>25</v>
      </c>
      <c r="D440" s="10"/>
      <c r="E440" s="10" t="s">
        <v>5755</v>
      </c>
      <c r="F440" s="10" t="s">
        <v>1034</v>
      </c>
      <c r="G440" s="11" t="s">
        <v>5756</v>
      </c>
      <c r="H440" s="11" t="s">
        <v>4757</v>
      </c>
      <c r="I440" s="11" t="s">
        <v>4607</v>
      </c>
      <c r="J440" s="9" t="str">
        <f>IFERROR(__xludf.DUMMYFUNCTION("""COMPUTED_VALUE"""),"https://www.google.com/search?newwindow=1&amp;ei=2MT0XrvGGM-vytMP1OyDgAY&amp;q=site%3Alinkedin.com+Jen+Bednar+Sr.+Recruiter,+Student+(University)+Programs+-+MBA")</f>
        <v>https://www.google.com/search?newwindow=1&amp;ei=2MT0XrvGGM-vytMP1OyDgAY&amp;q=site%3Alinkedin.com+Jen+Bednar+Sr.+Recruiter,+Student+(University)+Programs+-+MBA</v>
      </c>
      <c r="K440" s="5" t="str">
        <f t="shared" si="1"/>
        <v>Jen Bednar</v>
      </c>
      <c r="L440" s="5" t="str">
        <f t="shared" si="2"/>
        <v>Sr. Recruiter, Student (University) Programs - MBA</v>
      </c>
      <c r="M440" s="5" t="str">
        <f t="shared" si="3"/>
        <v/>
      </c>
      <c r="N440" s="5" t="str">
        <f t="shared" si="4"/>
        <v>Amazon</v>
      </c>
      <c r="O440" s="5" t="str">
        <f t="shared" si="5"/>
        <v>3 years 9 months in role and company</v>
      </c>
      <c r="P440" s="5" t="str">
        <f t="shared" si="6"/>
        <v>Denver</v>
      </c>
      <c r="Q440" s="5" t="str">
        <f t="shared" si="7"/>
        <v>Colorado</v>
      </c>
      <c r="R440" s="5" t="str">
        <f t="shared" si="8"/>
        <v>United States</v>
      </c>
    </row>
    <row r="441">
      <c r="A441" s="8" t="s">
        <v>5757</v>
      </c>
      <c r="B441" s="12" t="s">
        <v>5758</v>
      </c>
      <c r="C441" s="10" t="s">
        <v>5759</v>
      </c>
      <c r="D441" s="10"/>
      <c r="E441" s="10" t="s">
        <v>5760</v>
      </c>
      <c r="F441" s="10" t="s">
        <v>63</v>
      </c>
      <c r="G441" s="11" t="s">
        <v>5756</v>
      </c>
      <c r="H441" s="11" t="s">
        <v>4757</v>
      </c>
      <c r="I441" s="11" t="s">
        <v>4607</v>
      </c>
      <c r="J441" s="9" t="str">
        <f>IFERROR(__xludf.DUMMYFUNCTION("""COMPUTED_VALUE"""),"https://www.google.com/search?newwindow=1&amp;ei=2MT0XrvGGM-vytMP1OyDgAY&amp;q=site%3Alinkedin.com+Erin+Rasey+Campus+Recruiting+Senior+Associate")</f>
        <v>https://www.google.com/search?newwindow=1&amp;ei=2MT0XrvGGM-vytMP1OyDgAY&amp;q=site%3Alinkedin.com+Erin+Rasey+Campus+Recruiting+Senior+Associate</v>
      </c>
      <c r="K441" s="5" t="str">
        <f t="shared" si="1"/>
        <v>Erin Rasey</v>
      </c>
      <c r="L441" s="5" t="str">
        <f t="shared" si="2"/>
        <v>Campus Recruiting Senior Associate</v>
      </c>
      <c r="M441" s="5" t="str">
        <f t="shared" si="3"/>
        <v/>
      </c>
      <c r="N441" s="5" t="str">
        <f t="shared" si="4"/>
        <v>KPMG US</v>
      </c>
      <c r="O441" s="5" t="str">
        <f t="shared" si="5"/>
        <v>3 years 9 months in role</v>
      </c>
      <c r="P441" s="5" t="str">
        <f t="shared" si="6"/>
        <v>Denver</v>
      </c>
      <c r="Q441" s="5" t="str">
        <f t="shared" si="7"/>
        <v>Colorado</v>
      </c>
      <c r="R441" s="5" t="str">
        <f t="shared" si="8"/>
        <v>United States</v>
      </c>
    </row>
    <row r="442">
      <c r="A442" s="8" t="s">
        <v>5761</v>
      </c>
      <c r="B442" s="12" t="s">
        <v>5762</v>
      </c>
      <c r="C442" s="10" t="s">
        <v>1378</v>
      </c>
      <c r="D442" s="10"/>
      <c r="E442" s="10" t="s">
        <v>1064</v>
      </c>
      <c r="F442" s="10" t="s">
        <v>331</v>
      </c>
      <c r="G442" s="11" t="s">
        <v>5763</v>
      </c>
      <c r="H442" s="11" t="s">
        <v>203</v>
      </c>
      <c r="I442" s="11" t="s">
        <v>18</v>
      </c>
      <c r="J442" s="9" t="str">
        <f>IFERROR(__xludf.DUMMYFUNCTION("""COMPUTED_VALUE"""),"https://www.google.com/search?newwindow=1&amp;ei=2MT0XrvGGM-vytMP1OyDgAY&amp;q=site%3Alinkedin.com+Ferrin+Decker+Senior+Manager+Advisory+Campus+Recruiting")</f>
        <v>https://www.google.com/search?newwindow=1&amp;ei=2MT0XrvGGM-vytMP1OyDgAY&amp;q=site%3Alinkedin.com+Ferrin+Decker+Senior+Manager+Advisory+Campus+Recruiting</v>
      </c>
      <c r="K442" s="5" t="str">
        <f t="shared" si="1"/>
        <v>Ferrin Decker</v>
      </c>
      <c r="L442" s="5" t="str">
        <f t="shared" si="2"/>
        <v>Senior Manager Advisory Campus Recruiting</v>
      </c>
      <c r="M442" s="5" t="str">
        <f t="shared" si="3"/>
        <v/>
      </c>
      <c r="N442" s="5" t="str">
        <f t="shared" si="4"/>
        <v>PwC</v>
      </c>
      <c r="O442" s="5" t="str">
        <f t="shared" si="5"/>
        <v>2 years 10 months in role</v>
      </c>
      <c r="P442" s="5" t="str">
        <f t="shared" si="6"/>
        <v>Denver</v>
      </c>
      <c r="Q442" s="5" t="str">
        <f t="shared" si="7"/>
        <v>Colorado</v>
      </c>
      <c r="R442" s="5" t="str">
        <f t="shared" si="8"/>
        <v>United States</v>
      </c>
    </row>
    <row r="443">
      <c r="A443" s="8" t="s">
        <v>5764</v>
      </c>
      <c r="B443" s="12" t="s">
        <v>5765</v>
      </c>
      <c r="C443" s="10" t="s">
        <v>4742</v>
      </c>
      <c r="D443" s="10"/>
      <c r="E443" s="10" t="s">
        <v>2839</v>
      </c>
      <c r="F443" s="10" t="s">
        <v>63</v>
      </c>
      <c r="G443" s="11" t="s">
        <v>635</v>
      </c>
      <c r="H443" s="11" t="s">
        <v>76</v>
      </c>
      <c r="I443" s="11" t="s">
        <v>18</v>
      </c>
      <c r="J443" s="9" t="str">
        <f>IFERROR(__xludf.DUMMYFUNCTION("""COMPUTED_VALUE"""),"https://www.google.com/search?newwindow=1&amp;ei=2MT0XrvGGM-vytMP1OyDgAY&amp;q=site%3Alinkedin.com+Stephanie+Angellotto+Campus+Recruiting+Manager+-+Southwest+&amp;+Bay+Area+NW")</f>
        <v>https://www.google.com/search?newwindow=1&amp;ei=2MT0XrvGGM-vytMP1OyDgAY&amp;q=site%3Alinkedin.com+Stephanie+Angellotto+Campus+Recruiting+Manager+-+Southwest+&amp;+Bay+Area+NW</v>
      </c>
      <c r="K443" s="5" t="str">
        <f t="shared" si="1"/>
        <v>Stephanie Angellotto</v>
      </c>
      <c r="L443" s="5" t="str">
        <f t="shared" si="2"/>
        <v>Campus Recruiting Manager - Southwest &amp; Bay Area NW</v>
      </c>
      <c r="M443" s="5" t="str">
        <f t="shared" si="3"/>
        <v/>
      </c>
      <c r="N443" s="5" t="str">
        <f t="shared" si="4"/>
        <v>PwC</v>
      </c>
      <c r="O443" s="5" t="str">
        <f t="shared" si="5"/>
        <v>2 years 4 months in role</v>
      </c>
      <c r="P443" s="5" t="str">
        <f t="shared" si="6"/>
        <v>Denver</v>
      </c>
      <c r="Q443" s="5" t="str">
        <f t="shared" si="7"/>
        <v>Colorado</v>
      </c>
      <c r="R443" s="5" t="str">
        <f t="shared" si="8"/>
        <v>United States</v>
      </c>
    </row>
    <row r="444">
      <c r="A444" s="8" t="s">
        <v>5766</v>
      </c>
      <c r="B444" s="10" t="s">
        <v>5767</v>
      </c>
      <c r="C444" s="10" t="s">
        <v>4749</v>
      </c>
      <c r="D444" s="10"/>
      <c r="E444" s="10" t="s">
        <v>4701</v>
      </c>
      <c r="F444" s="10" t="s">
        <v>68</v>
      </c>
      <c r="G444" s="11" t="s">
        <v>635</v>
      </c>
      <c r="H444" s="11" t="s">
        <v>76</v>
      </c>
      <c r="I444" s="11" t="s">
        <v>18</v>
      </c>
      <c r="J444" s="9" t="str">
        <f>IFERROR(__xludf.DUMMYFUNCTION("""COMPUTED_VALUE"""),"https://www.google.com/search?newwindow=1&amp;ei=2MT0XrvGGM-vytMP1OyDgAY&amp;q=site%3Alinkedin.com+Madeline+Cahue+Senior+Campus+Recruiting+Specialist")</f>
        <v>https://www.google.com/search?newwindow=1&amp;ei=2MT0XrvGGM-vytMP1OyDgAY&amp;q=site%3Alinkedin.com+Madeline+Cahue+Senior+Campus+Recruiting+Specialist</v>
      </c>
      <c r="K444" s="5" t="str">
        <f t="shared" si="1"/>
        <v>Madeline Cahue</v>
      </c>
      <c r="L444" s="5" t="str">
        <f t="shared" si="2"/>
        <v>Senior Campus Recruiting Specialist</v>
      </c>
      <c r="M444" s="5" t="str">
        <f t="shared" si="3"/>
        <v/>
      </c>
      <c r="N444" s="5" t="str">
        <f t="shared" si="4"/>
        <v>Deloitte</v>
      </c>
      <c r="O444" s="5" t="str">
        <f t="shared" si="5"/>
        <v>1 year 5 months in role</v>
      </c>
      <c r="P444" s="5" t="str">
        <f t="shared" si="6"/>
        <v>Denver</v>
      </c>
      <c r="Q444" s="5" t="str">
        <f t="shared" si="7"/>
        <v>Colorado</v>
      </c>
      <c r="R444" s="5" t="str">
        <f t="shared" si="8"/>
        <v>United States</v>
      </c>
    </row>
    <row r="445">
      <c r="A445" s="8" t="s">
        <v>5768</v>
      </c>
      <c r="B445" s="10" t="s">
        <v>5769</v>
      </c>
      <c r="C445" s="10" t="s">
        <v>5770</v>
      </c>
      <c r="D445" s="10"/>
      <c r="E445" s="10" t="s">
        <v>4701</v>
      </c>
      <c r="F445" s="10" t="s">
        <v>496</v>
      </c>
      <c r="G445" s="11" t="s">
        <v>635</v>
      </c>
      <c r="H445" s="11" t="s">
        <v>76</v>
      </c>
      <c r="I445" s="11" t="s">
        <v>18</v>
      </c>
      <c r="J445" s="9" t="str">
        <f>IFERROR(__xludf.DUMMYFUNCTION("""COMPUTED_VALUE"""),"https://www.google.com/search?newwindow=1&amp;ei=2MT0XrvGGM-vytMP1OyDgAY&amp;q=site%3Alinkedin.com+Brad+Barry+Talent+Identification+-+Campus+Recruiting+Associate")</f>
        <v>https://www.google.com/search?newwindow=1&amp;ei=2MT0XrvGGM-vytMP1OyDgAY&amp;q=site%3Alinkedin.com+Brad+Barry+Talent+Identification+-+Campus+Recruiting+Associate</v>
      </c>
      <c r="K445" s="5" t="str">
        <f t="shared" si="1"/>
        <v>Brad Barry</v>
      </c>
      <c r="L445" s="5" t="str">
        <f t="shared" si="2"/>
        <v>Talent Identification - Campus Recruiting Associate</v>
      </c>
      <c r="M445" s="5" t="str">
        <f t="shared" si="3"/>
        <v/>
      </c>
      <c r="N445" s="5" t="str">
        <f t="shared" si="4"/>
        <v>PwC</v>
      </c>
      <c r="O445" s="5" t="str">
        <f t="shared" si="5"/>
        <v>2 years 3 months in role and company</v>
      </c>
      <c r="P445" s="5" t="str">
        <f t="shared" si="6"/>
        <v>Denver</v>
      </c>
      <c r="Q445" s="5" t="str">
        <f t="shared" si="7"/>
        <v>Colorado</v>
      </c>
      <c r="R445" s="5" t="str">
        <f t="shared" si="8"/>
        <v>United States</v>
      </c>
    </row>
    <row r="446">
      <c r="A446" s="8" t="s">
        <v>5771</v>
      </c>
      <c r="B446" s="10" t="s">
        <v>5772</v>
      </c>
      <c r="C446" s="10" t="s">
        <v>5773</v>
      </c>
      <c r="D446" s="10"/>
      <c r="E446" s="10" t="s">
        <v>4701</v>
      </c>
      <c r="F446" s="10" t="s">
        <v>277</v>
      </c>
      <c r="G446" s="11" t="s">
        <v>635</v>
      </c>
      <c r="H446" s="11" t="s">
        <v>76</v>
      </c>
      <c r="I446" s="11" t="s">
        <v>18</v>
      </c>
      <c r="J446" s="9" t="str">
        <f>IFERROR(__xludf.DUMMYFUNCTION("""COMPUTED_VALUE"""),"https://www.google.com/search?newwindow=1&amp;ei=2MT0XrvGGM-vytMP1OyDgAY&amp;q=site%3Alinkedin.com+Laurel+Miller+Stone+Associate+Director,+Campus+Recruiting")</f>
        <v>https://www.google.com/search?newwindow=1&amp;ei=2MT0XrvGGM-vytMP1OyDgAY&amp;q=site%3Alinkedin.com+Laurel+Miller+Stone+Associate+Director,+Campus+Recruiting</v>
      </c>
      <c r="K446" s="5" t="str">
        <f t="shared" si="1"/>
        <v>Laurel Miller Stone</v>
      </c>
      <c r="L446" s="5" t="str">
        <f t="shared" si="2"/>
        <v>Associate Director, Campus Recruiting</v>
      </c>
      <c r="M446" s="5" t="str">
        <f t="shared" si="3"/>
        <v/>
      </c>
      <c r="N446" s="5" t="str">
        <f t="shared" si="4"/>
        <v>KPMG US</v>
      </c>
      <c r="O446" s="5" t="str">
        <f t="shared" si="5"/>
        <v>1 year 1 month in role</v>
      </c>
      <c r="P446" s="5" t="str">
        <f t="shared" si="6"/>
        <v>Denver</v>
      </c>
      <c r="Q446" s="5" t="str">
        <f t="shared" si="7"/>
        <v>Colorado</v>
      </c>
      <c r="R446" s="5" t="str">
        <f t="shared" si="8"/>
        <v>United States</v>
      </c>
    </row>
    <row r="447">
      <c r="A447" s="8" t="s">
        <v>5774</v>
      </c>
      <c r="B447" s="10" t="s">
        <v>5775</v>
      </c>
      <c r="C447" s="10" t="s">
        <v>4749</v>
      </c>
      <c r="D447" s="10"/>
      <c r="E447" s="10" t="s">
        <v>4701</v>
      </c>
      <c r="F447" s="10" t="s">
        <v>2975</v>
      </c>
      <c r="G447" s="11" t="s">
        <v>635</v>
      </c>
      <c r="H447" s="11" t="s">
        <v>76</v>
      </c>
      <c r="I447" s="11" t="s">
        <v>18</v>
      </c>
      <c r="J447" s="9" t="str">
        <f>IFERROR(__xludf.DUMMYFUNCTION("""COMPUTED_VALUE"""),"https://www.google.com/search?newwindow=1&amp;ei=2MT0XrvGGM-vytMP1OyDgAY&amp;q=site%3Alinkedin.com+Joey+Adams+Business+Analyst+-+Strategic+Planning+for+COVID+Contact+Tracing+Program+(eCommerce)")</f>
        <v>https://www.google.com/search?newwindow=1&amp;ei=2MT0XrvGGM-vytMP1OyDgAY&amp;q=site%3Alinkedin.com+Joey+Adams+Business+Analyst+-+Strategic+Planning+for+COVID+Contact+Tracing+Program+(eCommerce)</v>
      </c>
      <c r="K447" s="5" t="str">
        <f t="shared" si="1"/>
        <v>Joey Adams</v>
      </c>
      <c r="L447" s="5" t="str">
        <f t="shared" si="2"/>
        <v>Business Analyst - Strategic Planning for COVID Contact Tracing Program (eCommerce)</v>
      </c>
      <c r="M447" s="5" t="str">
        <f t="shared" si="3"/>
        <v/>
      </c>
      <c r="N447" s="5" t="str">
        <f t="shared" si="4"/>
        <v>Accenture</v>
      </c>
      <c r="O447" s="5" t="str">
        <f t="shared" si="5"/>
        <v>5 months in role</v>
      </c>
      <c r="P447" s="5" t="str">
        <f t="shared" si="6"/>
        <v>Denver</v>
      </c>
      <c r="Q447" s="5" t="str">
        <f t="shared" si="7"/>
        <v>Colorado</v>
      </c>
      <c r="R447" s="5" t="str">
        <f t="shared" si="8"/>
        <v>United States</v>
      </c>
    </row>
    <row r="448">
      <c r="A448" s="8" t="s">
        <v>5776</v>
      </c>
      <c r="B448" s="10" t="s">
        <v>5777</v>
      </c>
      <c r="C448" s="10" t="s">
        <v>5778</v>
      </c>
      <c r="D448" s="10"/>
      <c r="E448" s="10" t="s">
        <v>1560</v>
      </c>
      <c r="F448" s="10"/>
      <c r="G448" s="11" t="s">
        <v>635</v>
      </c>
      <c r="H448" s="11" t="s">
        <v>76</v>
      </c>
      <c r="I448" s="11" t="s">
        <v>18</v>
      </c>
      <c r="J448" s="9" t="str">
        <f>IFERROR(__xludf.DUMMYFUNCTION("""COMPUTED_VALUE"""),"https://www.google.com/search?newwindow=1&amp;ei=2MT0XrvGGM-vytMP1OyDgAY&amp;q=site%3Alinkedin.com+Danielle+Brogan,+MBA+Talent+ID+Digital+Campus+Recruiting+Associate")</f>
        <v>https://www.google.com/search?newwindow=1&amp;ei=2MT0XrvGGM-vytMP1OyDgAY&amp;q=site%3Alinkedin.com+Danielle+Brogan,+MBA+Talent+ID+Digital+Campus+Recruiting+Associate</v>
      </c>
      <c r="K448" s="5" t="str">
        <f t="shared" si="1"/>
        <v>Danielle Brogan, MBA</v>
      </c>
      <c r="L448" s="5" t="str">
        <f t="shared" si="2"/>
        <v>Talent ID Digital Campus Recruiting Associate</v>
      </c>
      <c r="M448" s="5" t="str">
        <f t="shared" si="3"/>
        <v/>
      </c>
      <c r="N448" s="5" t="str">
        <f t="shared" si="4"/>
        <v>PwC</v>
      </c>
      <c r="O448" s="5" t="str">
        <f t="shared" si="5"/>
        <v>1 year 6 months in role and company</v>
      </c>
      <c r="P448" s="5" t="str">
        <f t="shared" si="6"/>
        <v>Denver</v>
      </c>
      <c r="Q448" s="5" t="str">
        <f t="shared" si="7"/>
        <v>Colorado</v>
      </c>
      <c r="R448" s="5" t="str">
        <f t="shared" si="8"/>
        <v>United States</v>
      </c>
    </row>
    <row r="449">
      <c r="A449" s="8" t="s">
        <v>5779</v>
      </c>
      <c r="B449" s="12" t="s">
        <v>5780</v>
      </c>
      <c r="C449" s="10" t="s">
        <v>5781</v>
      </c>
      <c r="D449" s="10"/>
      <c r="E449" s="10" t="s">
        <v>5782</v>
      </c>
      <c r="F449" s="10" t="s">
        <v>188</v>
      </c>
      <c r="G449" s="11" t="s">
        <v>635</v>
      </c>
      <c r="H449" s="11" t="s">
        <v>4757</v>
      </c>
      <c r="I449" s="11" t="s">
        <v>4607</v>
      </c>
      <c r="J449" s="9" t="str">
        <f>IFERROR(__xludf.DUMMYFUNCTION("""COMPUTED_VALUE"""),"https://www.google.com/search?newwindow=1&amp;ei=2MT0XrvGGM-vytMP1OyDgAY&amp;q=site%3Alinkedin.com+Shelby+McClelland+Student+Recruiter")</f>
        <v>https://www.google.com/search?newwindow=1&amp;ei=2MT0XrvGGM-vytMP1OyDgAY&amp;q=site%3Alinkedin.com+Shelby+McClelland+Student+Recruiter</v>
      </c>
      <c r="K449" s="5" t="str">
        <f t="shared" si="1"/>
        <v>Shelby McClelland</v>
      </c>
      <c r="L449" s="5" t="str">
        <f t="shared" si="2"/>
        <v>Student Recruiter</v>
      </c>
      <c r="M449" s="5" t="str">
        <f t="shared" si="3"/>
        <v/>
      </c>
      <c r="N449" s="5" t="str">
        <f t="shared" si="4"/>
        <v>Sault College</v>
      </c>
      <c r="O449" s="5" t="str">
        <f t="shared" si="5"/>
        <v>12 years 2 months in role and company</v>
      </c>
      <c r="P449" s="5" t="str">
        <f t="shared" si="6"/>
        <v>Desbarats</v>
      </c>
      <c r="Q449" s="5" t="str">
        <f t="shared" si="7"/>
        <v>Ontario</v>
      </c>
      <c r="R449" s="5" t="str">
        <f t="shared" si="8"/>
        <v>Canada</v>
      </c>
    </row>
    <row r="450">
      <c r="A450" s="8" t="s">
        <v>5783</v>
      </c>
      <c r="B450" s="12" t="s">
        <v>5784</v>
      </c>
      <c r="C450" s="10" t="s">
        <v>5785</v>
      </c>
      <c r="D450" s="10"/>
      <c r="E450" s="10" t="s">
        <v>5786</v>
      </c>
      <c r="F450" s="10" t="s">
        <v>268</v>
      </c>
      <c r="G450" s="11" t="s">
        <v>5787</v>
      </c>
      <c r="H450" s="11" t="s">
        <v>4638</v>
      </c>
      <c r="I450" s="11" t="s">
        <v>4600</v>
      </c>
      <c r="J450" s="9" t="str">
        <f>IFERROR(__xludf.DUMMYFUNCTION("""COMPUTED_VALUE"""),"https://www.google.com/search?newwindow=1&amp;ei=2MT0XrvGGM-vytMP1OyDgAY&amp;q=site%3Alinkedin.com+Bill+LeAnnais+Senior+Campus+Recruiting+Specialist")</f>
        <v>https://www.google.com/search?newwindow=1&amp;ei=2MT0XrvGGM-vytMP1OyDgAY&amp;q=site%3Alinkedin.com+Bill+LeAnnais+Senior+Campus+Recruiting+Specialist</v>
      </c>
      <c r="K450" s="5" t="str">
        <f t="shared" si="1"/>
        <v>Bill LeAnnais</v>
      </c>
      <c r="L450" s="5" t="str">
        <f t="shared" si="2"/>
        <v>Senior Campus Recruiting Specialist</v>
      </c>
      <c r="M450" s="5" t="str">
        <f t="shared" si="3"/>
        <v/>
      </c>
      <c r="N450" s="5" t="str">
        <f t="shared" si="4"/>
        <v>Deloitte</v>
      </c>
      <c r="O450" s="5" t="str">
        <f t="shared" si="5"/>
        <v>3 months in role</v>
      </c>
      <c r="P450" s="5" t="str">
        <f t="shared" si="6"/>
        <v>Detroit</v>
      </c>
      <c r="Q450" s="5" t="str">
        <f t="shared" si="7"/>
        <v>Michigan</v>
      </c>
      <c r="R450" s="5" t="str">
        <f t="shared" si="8"/>
        <v>United States</v>
      </c>
    </row>
    <row r="451">
      <c r="A451" s="8" t="s">
        <v>5783</v>
      </c>
      <c r="B451" s="12" t="s">
        <v>5784</v>
      </c>
      <c r="C451" s="10" t="s">
        <v>5785</v>
      </c>
      <c r="D451" s="10"/>
      <c r="E451" s="10" t="s">
        <v>5786</v>
      </c>
      <c r="F451" s="10" t="s">
        <v>268</v>
      </c>
      <c r="G451" s="11" t="s">
        <v>5787</v>
      </c>
      <c r="H451" s="11" t="s">
        <v>4638</v>
      </c>
      <c r="I451" s="11" t="s">
        <v>4600</v>
      </c>
      <c r="J451" s="9" t="str">
        <f>IFERROR(__xludf.DUMMYFUNCTION("""COMPUTED_VALUE"""),"https://www.google.com/search?newwindow=1&amp;ei=2MT0XrvGGM-vytMP1OyDgAY&amp;q=site%3Alinkedin.com+Molly+Martin+Senior+Campus+Recruiting+Specialist")</f>
        <v>https://www.google.com/search?newwindow=1&amp;ei=2MT0XrvGGM-vytMP1OyDgAY&amp;q=site%3Alinkedin.com+Molly+Martin+Senior+Campus+Recruiting+Specialist</v>
      </c>
      <c r="K451" s="5" t="str">
        <f t="shared" si="1"/>
        <v>Molly Martin</v>
      </c>
      <c r="L451" s="5" t="str">
        <f t="shared" si="2"/>
        <v>Senior Campus Recruiting Specialist</v>
      </c>
      <c r="M451" s="5" t="str">
        <f t="shared" si="3"/>
        <v/>
      </c>
      <c r="N451" s="5" t="str">
        <f t="shared" si="4"/>
        <v>Deloitte</v>
      </c>
      <c r="O451" s="5" t="str">
        <f t="shared" si="5"/>
        <v>2 years 3 months in role</v>
      </c>
      <c r="P451" s="5" t="str">
        <f t="shared" si="6"/>
        <v>Detroit</v>
      </c>
      <c r="Q451" s="5" t="str">
        <f t="shared" si="7"/>
        <v>Michigan</v>
      </c>
      <c r="R451" s="5" t="str">
        <f t="shared" si="8"/>
        <v>United States</v>
      </c>
    </row>
    <row r="452">
      <c r="A452" s="8" t="s">
        <v>5788</v>
      </c>
      <c r="B452" s="12" t="s">
        <v>5789</v>
      </c>
      <c r="C452" s="10" t="s">
        <v>1378</v>
      </c>
      <c r="D452" s="10"/>
      <c r="E452" s="10" t="s">
        <v>1233</v>
      </c>
      <c r="F452" s="10" t="s">
        <v>241</v>
      </c>
      <c r="G452" s="11" t="s">
        <v>75</v>
      </c>
      <c r="H452" s="13" t="s">
        <v>76</v>
      </c>
      <c r="I452" s="12"/>
      <c r="J452" s="9" t="str">
        <f>IFERROR(__xludf.DUMMYFUNCTION("""COMPUTED_VALUE"""),"https://www.google.com/search?newwindow=1&amp;ei=2MT0XrvGGM-vytMP1OyDgAY&amp;q=site%3Alinkedin.com+Natalie+Nunnold+Senior+Campus+Recruiting+Specialist")</f>
        <v>https://www.google.com/search?newwindow=1&amp;ei=2MT0XrvGGM-vytMP1OyDgAY&amp;q=site%3Alinkedin.com+Natalie+Nunnold+Senior+Campus+Recruiting+Specialist</v>
      </c>
      <c r="K452" s="5" t="str">
        <f t="shared" si="1"/>
        <v>Natalie Nunnold</v>
      </c>
      <c r="L452" s="5" t="str">
        <f t="shared" si="2"/>
        <v>Senior Campus Recruiting Specialist</v>
      </c>
      <c r="M452" s="5" t="str">
        <f t="shared" si="3"/>
        <v/>
      </c>
      <c r="N452" s="5" t="str">
        <f t="shared" si="4"/>
        <v>Deloitte</v>
      </c>
      <c r="O452" s="5" t="str">
        <f t="shared" si="5"/>
        <v>3 months in role</v>
      </c>
      <c r="P452" s="5" t="str">
        <f t="shared" si="6"/>
        <v>Detroit</v>
      </c>
      <c r="Q452" s="5" t="str">
        <f t="shared" si="7"/>
        <v>Michigan</v>
      </c>
      <c r="R452" s="5" t="str">
        <f t="shared" si="8"/>
        <v>United States</v>
      </c>
    </row>
    <row r="453">
      <c r="A453" s="8" t="s">
        <v>5790</v>
      </c>
      <c r="B453" s="10" t="s">
        <v>5791</v>
      </c>
      <c r="C453" s="10" t="s">
        <v>1896</v>
      </c>
      <c r="D453" s="10"/>
      <c r="E453" s="10" t="s">
        <v>4611</v>
      </c>
      <c r="F453" s="10" t="s">
        <v>651</v>
      </c>
      <c r="G453" s="11" t="s">
        <v>75</v>
      </c>
      <c r="H453" s="13" t="s">
        <v>76</v>
      </c>
      <c r="I453" s="12"/>
      <c r="J453" s="9" t="str">
        <f>IFERROR(__xludf.DUMMYFUNCTION("""COMPUTED_VALUE"""),"https://www.google.com/search?newwindow=1&amp;ei=2MT0XrvGGM-vytMP1OyDgAY&amp;q=site%3Alinkedin.com+Gail+Lewis-Kelley+Campus+Recruiting+Manager")</f>
        <v>https://www.google.com/search?newwindow=1&amp;ei=2MT0XrvGGM-vytMP1OyDgAY&amp;q=site%3Alinkedin.com+Gail+Lewis-Kelley+Campus+Recruiting+Manager</v>
      </c>
      <c r="K453" s="5" t="str">
        <f t="shared" si="1"/>
        <v>Gail Lewis-Kelley</v>
      </c>
      <c r="L453" s="5" t="str">
        <f t="shared" si="2"/>
        <v>Campus Recruiting Manager</v>
      </c>
      <c r="M453" s="5" t="str">
        <f t="shared" si="3"/>
        <v/>
      </c>
      <c r="N453" s="5" t="str">
        <f t="shared" si="4"/>
        <v>Deloitte</v>
      </c>
      <c r="O453" s="5" t="str">
        <f t="shared" si="5"/>
        <v>2 years 3 months in company</v>
      </c>
      <c r="P453" s="5" t="str">
        <f t="shared" si="6"/>
        <v>Detroit</v>
      </c>
      <c r="Q453" s="5" t="str">
        <f t="shared" si="7"/>
        <v>Michigan</v>
      </c>
      <c r="R453" s="5" t="str">
        <f t="shared" si="8"/>
        <v>United States</v>
      </c>
    </row>
    <row r="454">
      <c r="A454" s="8" t="s">
        <v>5792</v>
      </c>
      <c r="B454" s="10" t="s">
        <v>2917</v>
      </c>
      <c r="C454" s="10" t="s">
        <v>2918</v>
      </c>
      <c r="D454" s="10"/>
      <c r="E454" s="10" t="s">
        <v>4659</v>
      </c>
      <c r="F454" s="10" t="s">
        <v>84</v>
      </c>
      <c r="G454" s="11" t="s">
        <v>75</v>
      </c>
      <c r="H454" s="11" t="s">
        <v>76</v>
      </c>
      <c r="I454" s="11" t="s">
        <v>18</v>
      </c>
      <c r="J454" s="9" t="str">
        <f>IFERROR(__xludf.DUMMYFUNCTION("""COMPUTED_VALUE"""),"https://www.google.com/search?newwindow=1&amp;ei=2MT0XrvGGM-vytMP1OyDgAY&amp;q=site%3Alinkedin.com+Sara+Condino+Campus+Recruiting+Manager")</f>
        <v>https://www.google.com/search?newwindow=1&amp;ei=2MT0XrvGGM-vytMP1OyDgAY&amp;q=site%3Alinkedin.com+Sara+Condino+Campus+Recruiting+Manager</v>
      </c>
      <c r="K454" s="5" t="str">
        <f t="shared" si="1"/>
        <v>Sara Condino</v>
      </c>
      <c r="L454" s="5" t="str">
        <f t="shared" si="2"/>
        <v>Campus Recruiting Manager</v>
      </c>
      <c r="M454" s="5" t="str">
        <f t="shared" si="3"/>
        <v/>
      </c>
      <c r="N454" s="5" t="str">
        <f t="shared" si="4"/>
        <v>KPMG</v>
      </c>
      <c r="O454" s="5" t="str">
        <f t="shared" si="5"/>
        <v>6 years 9 months in role and company</v>
      </c>
      <c r="P454" s="5" t="str">
        <f t="shared" si="6"/>
        <v>Detroit</v>
      </c>
      <c r="Q454" s="5" t="str">
        <f t="shared" si="7"/>
        <v>Michigan</v>
      </c>
      <c r="R454" s="5" t="str">
        <f t="shared" si="8"/>
        <v>United States</v>
      </c>
    </row>
    <row r="455">
      <c r="A455" s="8" t="s">
        <v>5793</v>
      </c>
      <c r="B455" s="10" t="s">
        <v>5794</v>
      </c>
      <c r="C455" s="10" t="s">
        <v>5795</v>
      </c>
      <c r="D455" s="10"/>
      <c r="E455" s="10" t="s">
        <v>3649</v>
      </c>
      <c r="F455" s="10" t="s">
        <v>958</v>
      </c>
      <c r="G455" s="11" t="s">
        <v>75</v>
      </c>
      <c r="H455" s="11" t="s">
        <v>76</v>
      </c>
      <c r="I455" s="11" t="s">
        <v>18</v>
      </c>
      <c r="J455" s="9" t="str">
        <f>IFERROR(__xludf.DUMMYFUNCTION("""COMPUTED_VALUE"""),"https://www.google.com/search?newwindow=1&amp;ei=2MT0XrvGGM-vytMP1OyDgAY&amp;q=site%3Alinkedin.com+Jennifer+N.+Campus+Recruiting")</f>
        <v>https://www.google.com/search?newwindow=1&amp;ei=2MT0XrvGGM-vytMP1OyDgAY&amp;q=site%3Alinkedin.com+Jennifer+N.+Campus+Recruiting</v>
      </c>
      <c r="K455" s="5" t="str">
        <f t="shared" si="1"/>
        <v>Jennifer N.</v>
      </c>
      <c r="L455" s="5" t="str">
        <f t="shared" si="2"/>
        <v>Campus Recruiting</v>
      </c>
      <c r="M455" s="5" t="str">
        <f t="shared" si="3"/>
        <v/>
      </c>
      <c r="N455" s="5" t="str">
        <f t="shared" si="4"/>
        <v>EY</v>
      </c>
      <c r="O455" s="5" t="str">
        <f t="shared" si="5"/>
        <v>5 years 11 months in role and company</v>
      </c>
      <c r="P455" s="5" t="str">
        <f t="shared" si="6"/>
        <v>Detroit</v>
      </c>
      <c r="Q455" s="5" t="str">
        <f t="shared" si="7"/>
        <v>Michigan</v>
      </c>
      <c r="R455" s="5" t="str">
        <f t="shared" si="8"/>
        <v>United States</v>
      </c>
    </row>
    <row r="456">
      <c r="A456" s="8" t="s">
        <v>5796</v>
      </c>
      <c r="B456" s="10" t="s">
        <v>5797</v>
      </c>
      <c r="C456" s="10" t="s">
        <v>5798</v>
      </c>
      <c r="D456" s="10"/>
      <c r="E456" s="10" t="s">
        <v>5799</v>
      </c>
      <c r="F456" s="10" t="s">
        <v>574</v>
      </c>
      <c r="G456" s="11" t="s">
        <v>75</v>
      </c>
      <c r="H456" s="13" t="s">
        <v>76</v>
      </c>
      <c r="I456" s="12"/>
      <c r="J456" s="9" t="str">
        <f>IFERROR(__xludf.DUMMYFUNCTION("""COMPUTED_VALUE"""),"https://www.google.com/search?newwindow=1&amp;ei=2MT0XrvGGM-vytMP1OyDgAY&amp;q=site%3Alinkedin.com+Lisa+Francisco+National+Manager,+Campus+Recruiting+&amp;+University+Relations")</f>
        <v>https://www.google.com/search?newwindow=1&amp;ei=2MT0XrvGGM-vytMP1OyDgAY&amp;q=site%3Alinkedin.com+Lisa+Francisco+National+Manager,+Campus+Recruiting+&amp;+University+Relations</v>
      </c>
      <c r="K456" s="5" t="str">
        <f t="shared" si="1"/>
        <v>Lisa Francisco</v>
      </c>
      <c r="L456" s="5" t="str">
        <f t="shared" si="2"/>
        <v>National Manager, Campus Recruiting &amp; University Relations</v>
      </c>
      <c r="M456" s="5" t="str">
        <f t="shared" si="3"/>
        <v/>
      </c>
      <c r="N456" s="5" t="str">
        <f t="shared" si="4"/>
        <v>KPMG US</v>
      </c>
      <c r="O456" s="5" t="str">
        <f t="shared" si="5"/>
        <v>2 years 8 months in role</v>
      </c>
      <c r="P456" s="5" t="str">
        <f t="shared" si="6"/>
        <v>Detroit</v>
      </c>
      <c r="Q456" s="5" t="str">
        <f t="shared" si="7"/>
        <v>Michigan</v>
      </c>
      <c r="R456" s="5" t="str">
        <f t="shared" si="8"/>
        <v>United States</v>
      </c>
    </row>
    <row r="457">
      <c r="A457" s="8" t="s">
        <v>5800</v>
      </c>
      <c r="B457" s="10" t="s">
        <v>1708</v>
      </c>
      <c r="C457" s="10" t="s">
        <v>25</v>
      </c>
      <c r="D457" s="10"/>
      <c r="E457" s="10" t="s">
        <v>4701</v>
      </c>
      <c r="F457" s="10" t="s">
        <v>268</v>
      </c>
      <c r="G457" s="11" t="s">
        <v>75</v>
      </c>
      <c r="H457" s="11" t="s">
        <v>945</v>
      </c>
      <c r="I457" s="11" t="s">
        <v>18</v>
      </c>
      <c r="J457" s="9" t="str">
        <f>IFERROR(__xludf.DUMMYFUNCTION("""COMPUTED_VALUE"""),"https://www.google.com/search?newwindow=1&amp;ei=2MT0XrvGGM-vytMP1OyDgAY&amp;q=site%3Alinkedin.com+Lauren+Cheesewright+Senior+Graduate+Recruiter+-+EU+Operations+&amp;+Logistics")</f>
        <v>https://www.google.com/search?newwindow=1&amp;ei=2MT0XrvGGM-vytMP1OyDgAY&amp;q=site%3Alinkedin.com+Lauren+Cheesewright+Senior+Graduate+Recruiter+-+EU+Operations+&amp;+Logistics</v>
      </c>
      <c r="K457" s="5" t="str">
        <f t="shared" si="1"/>
        <v>Lauren Cheesewright</v>
      </c>
      <c r="L457" s="5" t="str">
        <f t="shared" si="2"/>
        <v>Senior Graduate Recruiter - EU Operations &amp; Logistics</v>
      </c>
      <c r="M457" s="5" t="str">
        <f t="shared" si="3"/>
        <v/>
      </c>
      <c r="N457" s="5" t="str">
        <f t="shared" si="4"/>
        <v>Amazon UK</v>
      </c>
      <c r="O457" s="5" t="str">
        <f t="shared" si="5"/>
        <v>4 years 1 month in role</v>
      </c>
      <c r="P457" s="5" t="str">
        <f t="shared" si="6"/>
        <v>Doncaster</v>
      </c>
      <c r="Q457" s="5" t="str">
        <f t="shared" si="7"/>
        <v>England</v>
      </c>
      <c r="R457" s="5" t="str">
        <f t="shared" si="8"/>
        <v>United Kingdom</v>
      </c>
    </row>
    <row r="458">
      <c r="A458" s="8" t="s">
        <v>5801</v>
      </c>
      <c r="B458" s="10" t="s">
        <v>5802</v>
      </c>
      <c r="C458" s="10" t="s">
        <v>5770</v>
      </c>
      <c r="D458" s="10"/>
      <c r="E458" s="10" t="s">
        <v>4611</v>
      </c>
      <c r="F458" s="10" t="s">
        <v>441</v>
      </c>
      <c r="G458" s="11" t="s">
        <v>75</v>
      </c>
      <c r="H458" s="11" t="s">
        <v>76</v>
      </c>
      <c r="I458" s="11" t="s">
        <v>18</v>
      </c>
      <c r="J458" s="9" t="str">
        <f>IFERROR(__xludf.DUMMYFUNCTION("""COMPUTED_VALUE"""),"https://www.google.com/search?newwindow=1&amp;ei=2MT0XrvGGM-vytMP1OyDgAY&amp;q=site%3Alinkedin.com+Jamie+Murphy+Campus+Recruiting+Coordinator")</f>
        <v>https://www.google.com/search?newwindow=1&amp;ei=2MT0XrvGGM-vytMP1OyDgAY&amp;q=site%3Alinkedin.com+Jamie+Murphy+Campus+Recruiting+Coordinator</v>
      </c>
      <c r="K458" s="5" t="str">
        <f t="shared" si="1"/>
        <v>Jamie Murphy</v>
      </c>
      <c r="L458" s="5" t="str">
        <f t="shared" si="2"/>
        <v>Campus Recruiting Coordinator</v>
      </c>
      <c r="M458" s="5" t="str">
        <f t="shared" si="3"/>
        <v/>
      </c>
      <c r="N458" s="5" t="str">
        <f t="shared" si="4"/>
        <v>Goldman Sachs</v>
      </c>
      <c r="O458" s="5" t="str">
        <f t="shared" si="5"/>
        <v>1 year 1 month in role and company</v>
      </c>
      <c r="P458" s="5" t="str">
        <f t="shared" si="6"/>
        <v>Draper</v>
      </c>
      <c r="Q458" s="5" t="str">
        <f t="shared" si="7"/>
        <v>Utah</v>
      </c>
      <c r="R458" s="5" t="str">
        <f t="shared" si="8"/>
        <v>United States</v>
      </c>
    </row>
    <row r="459">
      <c r="A459" s="8" t="s">
        <v>5803</v>
      </c>
      <c r="B459" s="10" t="s">
        <v>72</v>
      </c>
      <c r="C459" s="10" t="s">
        <v>73</v>
      </c>
      <c r="D459" s="10"/>
      <c r="E459" s="10" t="s">
        <v>14</v>
      </c>
      <c r="F459" s="10" t="s">
        <v>74</v>
      </c>
      <c r="G459" s="11" t="s">
        <v>75</v>
      </c>
      <c r="H459" s="11" t="s">
        <v>76</v>
      </c>
      <c r="I459" s="11" t="s">
        <v>18</v>
      </c>
      <c r="J459" s="9" t="str">
        <f>IFERROR(__xludf.DUMMYFUNCTION("""COMPUTED_VALUE"""),"https://www.google.com/search?newwindow=1&amp;ei=2MT0XrvGGM-vytMP1OyDgAY&amp;q=site%3Alinkedin.com+Julie+Benner+Campus+Recruiting+Manager")</f>
        <v>https://www.google.com/search?newwindow=1&amp;ei=2MT0XrvGGM-vytMP1OyDgAY&amp;q=site%3Alinkedin.com+Julie+Benner+Campus+Recruiting+Manager</v>
      </c>
      <c r="K459" s="5" t="str">
        <f t="shared" si="1"/>
        <v>Julie Benner</v>
      </c>
      <c r="L459" s="5" t="str">
        <f t="shared" si="2"/>
        <v>Campus Recruiting Manager</v>
      </c>
      <c r="M459" s="5" t="str">
        <f t="shared" si="3"/>
        <v/>
      </c>
      <c r="N459" s="5" t="str">
        <f t="shared" si="4"/>
        <v>Ernst &amp; Young</v>
      </c>
      <c r="O459" s="5" t="str">
        <f t="shared" si="5"/>
        <v/>
      </c>
      <c r="P459" s="5" t="str">
        <f t="shared" si="6"/>
        <v>Dublin</v>
      </c>
      <c r="Q459" s="5" t="str">
        <f t="shared" si="7"/>
        <v>Ohio</v>
      </c>
      <c r="R459" s="5" t="str">
        <f t="shared" si="8"/>
        <v>United States</v>
      </c>
    </row>
    <row r="460">
      <c r="A460" s="8" t="s">
        <v>5804</v>
      </c>
      <c r="B460" s="12" t="s">
        <v>2682</v>
      </c>
      <c r="C460" s="10" t="s">
        <v>2683</v>
      </c>
      <c r="D460" s="10"/>
      <c r="E460" s="10" t="s">
        <v>4611</v>
      </c>
      <c r="F460" s="10" t="s">
        <v>2252</v>
      </c>
      <c r="G460" s="11" t="s">
        <v>75</v>
      </c>
      <c r="H460" s="13" t="s">
        <v>76</v>
      </c>
      <c r="I460" s="12"/>
      <c r="J460" s="9" t="str">
        <f>IFERROR(__xludf.DUMMYFUNCTION("""COMPUTED_VALUE"""),"https://www.google.com/search?newwindow=1&amp;ei=2MT0XrvGGM-vytMP1OyDgAY&amp;q=site%3Alinkedin.com+Joseph+Ellis+Associate+Recruiter")</f>
        <v>https://www.google.com/search?newwindow=1&amp;ei=2MT0XrvGGM-vytMP1OyDgAY&amp;q=site%3Alinkedin.com+Joseph+Ellis+Associate+Recruiter</v>
      </c>
      <c r="K460" s="5" t="str">
        <f t="shared" si="1"/>
        <v>Joseph Ellis</v>
      </c>
      <c r="L460" s="5" t="str">
        <f t="shared" si="2"/>
        <v>Associate Recruiter</v>
      </c>
      <c r="M460" s="5" t="str">
        <f t="shared" si="3"/>
        <v/>
      </c>
      <c r="N460" s="5" t="str">
        <f t="shared" si="4"/>
        <v>Daniel Owen Ltd</v>
      </c>
      <c r="O460" s="5" t="str">
        <f t="shared" si="5"/>
        <v>10 months in role and company</v>
      </c>
      <c r="P460" s="5" t="str">
        <f t="shared" si="6"/>
        <v>Dudley</v>
      </c>
      <c r="Q460" s="5" t="str">
        <f t="shared" si="7"/>
        <v>England</v>
      </c>
      <c r="R460" s="5" t="str">
        <f t="shared" si="8"/>
        <v>United Kingdom</v>
      </c>
    </row>
    <row r="461">
      <c r="A461" s="8" t="s">
        <v>5805</v>
      </c>
      <c r="B461" s="10" t="s">
        <v>5806</v>
      </c>
      <c r="C461" s="10" t="s">
        <v>4749</v>
      </c>
      <c r="D461" s="10"/>
      <c r="E461" s="10" t="s">
        <v>4701</v>
      </c>
      <c r="F461" s="10" t="s">
        <v>192</v>
      </c>
      <c r="G461" s="11" t="s">
        <v>5807</v>
      </c>
      <c r="H461" s="11" t="s">
        <v>137</v>
      </c>
      <c r="I461" s="11" t="s">
        <v>18</v>
      </c>
      <c r="J461" s="9" t="str">
        <f>IFERROR(__xludf.DUMMYFUNCTION("""COMPUTED_VALUE"""),"https://www.google.com/search?newwindow=1&amp;ei=2MT0XrvGGM-vytMP1OyDgAY&amp;q=site%3Alinkedin.com+Rebecca+Venner+Campus+Recruiting+Coordinator")</f>
        <v>https://www.google.com/search?newwindow=1&amp;ei=2MT0XrvGGM-vytMP1OyDgAY&amp;q=site%3Alinkedin.com+Rebecca+Venner+Campus+Recruiting+Coordinator</v>
      </c>
      <c r="K461" s="5" t="str">
        <f t="shared" si="1"/>
        <v>Rebecca Venner</v>
      </c>
      <c r="L461" s="5" t="str">
        <f t="shared" si="2"/>
        <v>Campus Recruiting Coordinator</v>
      </c>
      <c r="M461" s="5" t="str">
        <f t="shared" si="3"/>
        <v/>
      </c>
      <c r="N461" s="5" t="str">
        <f t="shared" si="4"/>
        <v>EY</v>
      </c>
      <c r="O461" s="5" t="str">
        <f t="shared" si="5"/>
        <v>9 months in role and company</v>
      </c>
      <c r="P461" s="5" t="str">
        <f t="shared" si="6"/>
        <v>Duluth</v>
      </c>
      <c r="Q461" s="5" t="str">
        <f t="shared" si="7"/>
        <v>Georgia</v>
      </c>
      <c r="R461" s="5" t="str">
        <f t="shared" si="8"/>
        <v>United States</v>
      </c>
    </row>
    <row r="462">
      <c r="A462" s="8" t="s">
        <v>5808</v>
      </c>
      <c r="B462" s="12" t="s">
        <v>5809</v>
      </c>
      <c r="C462" s="10" t="s">
        <v>4934</v>
      </c>
      <c r="D462" s="10"/>
      <c r="E462" s="10" t="s">
        <v>2839</v>
      </c>
      <c r="F462" s="10" t="s">
        <v>574</v>
      </c>
      <c r="G462" s="11" t="s">
        <v>5807</v>
      </c>
      <c r="H462" s="11" t="s">
        <v>137</v>
      </c>
      <c r="I462" s="11" t="s">
        <v>18</v>
      </c>
      <c r="J462" s="9" t="str">
        <f>IFERROR(__xludf.DUMMYFUNCTION("""COMPUTED_VALUE"""),"https://www.google.com/search?newwindow=1&amp;ei=2MT0XrvGGM-vytMP1OyDgAY&amp;q=site%3Alinkedin.com+Daisy+Hoops+Data+Scientist")</f>
        <v>https://www.google.com/search?newwindow=1&amp;ei=2MT0XrvGGM-vytMP1OyDgAY&amp;q=site%3Alinkedin.com+Daisy+Hoops+Data+Scientist</v>
      </c>
      <c r="K462" s="5" t="str">
        <f t="shared" si="1"/>
        <v>Daisy Hoops</v>
      </c>
      <c r="L462" s="5" t="str">
        <f t="shared" si="2"/>
        <v>Data Scientist</v>
      </c>
      <c r="M462" s="5" t="str">
        <f t="shared" si="3"/>
        <v/>
      </c>
      <c r="N462" s="5" t="str">
        <f t="shared" si="4"/>
        <v>Facebook</v>
      </c>
      <c r="O462" s="5" t="str">
        <f t="shared" si="5"/>
        <v>5 months in role and company</v>
      </c>
      <c r="P462" s="5" t="str">
        <f t="shared" si="6"/>
        <v>Duluth</v>
      </c>
      <c r="Q462" s="5" t="str">
        <f t="shared" si="7"/>
        <v>Georgia</v>
      </c>
      <c r="R462" s="5" t="str">
        <f t="shared" si="8"/>
        <v>United States</v>
      </c>
    </row>
    <row r="463">
      <c r="A463" s="8" t="s">
        <v>5810</v>
      </c>
      <c r="B463" s="10" t="s">
        <v>2850</v>
      </c>
      <c r="C463" s="10" t="s">
        <v>5811</v>
      </c>
      <c r="D463" s="10"/>
      <c r="E463" s="10" t="s">
        <v>2839</v>
      </c>
      <c r="F463" s="10" t="s">
        <v>100</v>
      </c>
      <c r="G463" s="11" t="s">
        <v>2852</v>
      </c>
      <c r="H463" s="11" t="s">
        <v>17</v>
      </c>
      <c r="I463" s="11" t="s">
        <v>18</v>
      </c>
      <c r="J463" s="9" t="str">
        <f>IFERROR(__xludf.DUMMYFUNCTION("""COMPUTED_VALUE"""),"https://www.google.com/search?newwindow=1&amp;ei=2MT0XrvGGM-vytMP1OyDgAY&amp;q=site%3Alinkedin.com+Jeff+Stencel+Team+Lead,+University+Recruiting")</f>
        <v>https://www.google.com/search?newwindow=1&amp;ei=2MT0XrvGGM-vytMP1OyDgAY&amp;q=site%3Alinkedin.com+Jeff+Stencel+Team+Lead,+University+Recruiting</v>
      </c>
      <c r="K463" s="5" t="str">
        <f t="shared" si="1"/>
        <v>Jeff Stencel</v>
      </c>
      <c r="L463" s="5" t="str">
        <f t="shared" si="2"/>
        <v>Team Lead, University Recruiting</v>
      </c>
      <c r="M463" s="5" t="str">
        <f t="shared" si="3"/>
        <v/>
      </c>
      <c r="N463" s="5" t="str">
        <f t="shared" si="4"/>
        <v>Gartner</v>
      </c>
      <c r="O463" s="5" t="str">
        <f t="shared" si="5"/>
        <v>2 years 6 months in role</v>
      </c>
      <c r="P463" s="5" t="str">
        <f t="shared" si="6"/>
        <v>Durham</v>
      </c>
      <c r="Q463" s="5" t="str">
        <f t="shared" si="7"/>
        <v>North Carolina</v>
      </c>
      <c r="R463" s="5" t="str">
        <f t="shared" si="8"/>
        <v>United States</v>
      </c>
    </row>
    <row r="464">
      <c r="A464" s="8" t="s">
        <v>5812</v>
      </c>
      <c r="B464" s="12" t="s">
        <v>5813</v>
      </c>
      <c r="C464" s="10" t="s">
        <v>5814</v>
      </c>
      <c r="D464" s="10"/>
      <c r="E464" s="10" t="s">
        <v>5815</v>
      </c>
      <c r="F464" s="10" t="s">
        <v>686</v>
      </c>
      <c r="G464" s="11" t="s">
        <v>5816</v>
      </c>
      <c r="H464" s="11" t="s">
        <v>4599</v>
      </c>
      <c r="I464" s="11" t="s">
        <v>4600</v>
      </c>
      <c r="J464" s="9" t="str">
        <f>IFERROR(__xludf.DUMMYFUNCTION("""COMPUTED_VALUE"""),"https://www.google.com/search?newwindow=1&amp;ei=2MT0XrvGGM-vytMP1OyDgAY&amp;q=site%3Alinkedin.com+Margarita+L+Arana+S+Advisor+-+Recruiter")</f>
        <v>https://www.google.com/search?newwindow=1&amp;ei=2MT0XrvGGM-vytMP1OyDgAY&amp;q=site%3Alinkedin.com+Margarita+L+Arana+S+Advisor+-+Recruiter</v>
      </c>
      <c r="K464" s="5" t="str">
        <f t="shared" si="1"/>
        <v>Margarita L Arana S</v>
      </c>
      <c r="L464" s="5" t="str">
        <f t="shared" si="2"/>
        <v>Advisor - Recruiter</v>
      </c>
      <c r="M464" s="5" t="str">
        <f t="shared" si="3"/>
        <v/>
      </c>
      <c r="N464" s="5" t="str">
        <f t="shared" si="4"/>
        <v>BRIT LANGUAGE CONNECTIONS LIMITED</v>
      </c>
      <c r="O464" s="5" t="str">
        <f t="shared" si="5"/>
        <v>4 years 1 month in role and company</v>
      </c>
      <c r="P464" s="5" t="str">
        <f t="shared" si="6"/>
        <v>Eastdean</v>
      </c>
      <c r="Q464" s="5" t="str">
        <f t="shared" si="7"/>
        <v>England</v>
      </c>
      <c r="R464" s="5" t="str">
        <f t="shared" si="8"/>
        <v>United Kingdom</v>
      </c>
    </row>
    <row r="465">
      <c r="A465" s="8" t="s">
        <v>5812</v>
      </c>
      <c r="B465" s="12" t="s">
        <v>5813</v>
      </c>
      <c r="C465" s="10" t="s">
        <v>5814</v>
      </c>
      <c r="D465" s="10"/>
      <c r="E465" s="10" t="s">
        <v>5815</v>
      </c>
      <c r="F465" s="10" t="s">
        <v>686</v>
      </c>
      <c r="G465" s="11" t="s">
        <v>5816</v>
      </c>
      <c r="H465" s="11" t="s">
        <v>4599</v>
      </c>
      <c r="I465" s="11" t="s">
        <v>4600</v>
      </c>
      <c r="J465" s="9" t="str">
        <f>IFERROR(__xludf.DUMMYFUNCTION("""COMPUTED_VALUE"""),"https://www.google.com/search?newwindow=1&amp;ei=2MT0XrvGGM-vytMP1OyDgAY&amp;q=site%3Alinkedin.com+Toby+Beveridge+Student+Recruitment+Manager+at+Edinburgh+Law+School,+the+University+of+Edinburgh")</f>
        <v>https://www.google.com/search?newwindow=1&amp;ei=2MT0XrvGGM-vytMP1OyDgAY&amp;q=site%3Alinkedin.com+Toby+Beveridge+Student+Recruitment+Manager+at+Edinburgh+Law+School,+the+University+of+Edinburgh</v>
      </c>
      <c r="K465" s="5" t="str">
        <f t="shared" si="1"/>
        <v>Toby Beveridge</v>
      </c>
      <c r="L465" s="5" t="str">
        <f t="shared" si="2"/>
        <v>Student Recruitment Manager at Edinburgh Law School, the University of Edinburgh</v>
      </c>
      <c r="M465" s="5" t="str">
        <f t="shared" si="3"/>
        <v/>
      </c>
      <c r="N465" s="5" t="str">
        <f t="shared" si="4"/>
        <v>Edinburgh Law School</v>
      </c>
      <c r="O465" s="5" t="str">
        <f t="shared" si="5"/>
        <v>2 years 3 months in role and company</v>
      </c>
      <c r="P465" s="5" t="str">
        <f t="shared" si="6"/>
        <v>Edinburgh</v>
      </c>
      <c r="Q465" s="5" t="str">
        <f t="shared" si="7"/>
        <v>Scotland</v>
      </c>
      <c r="R465" s="5" t="str">
        <f t="shared" si="8"/>
        <v>United Kingdom</v>
      </c>
    </row>
    <row r="466">
      <c r="A466" s="8" t="s">
        <v>5817</v>
      </c>
      <c r="B466" s="12" t="s">
        <v>2220</v>
      </c>
      <c r="C466" s="10" t="s">
        <v>2221</v>
      </c>
      <c r="D466" s="10"/>
      <c r="E466" s="10" t="s">
        <v>2208</v>
      </c>
      <c r="F466" s="10" t="s">
        <v>345</v>
      </c>
      <c r="G466" s="11" t="s">
        <v>2222</v>
      </c>
      <c r="H466" s="11" t="s">
        <v>949</v>
      </c>
      <c r="I466" s="11" t="s">
        <v>18</v>
      </c>
      <c r="J466" s="9" t="str">
        <f>IFERROR(__xludf.DUMMYFUNCTION("""COMPUTED_VALUE"""),"https://www.google.com/search?newwindow=1&amp;ei=2MT0XrvGGM-vytMP1OyDgAY&amp;q=site%3Alinkedin.com+Grant+Cullen+Member+of+University+Court")</f>
        <v>https://www.google.com/search?newwindow=1&amp;ei=2MT0XrvGGM-vytMP1OyDgAY&amp;q=site%3Alinkedin.com+Grant+Cullen+Member+of+University+Court</v>
      </c>
      <c r="K466" s="5" t="str">
        <f t="shared" si="1"/>
        <v>Grant Cullen</v>
      </c>
      <c r="L466" s="5" t="str">
        <f t="shared" si="2"/>
        <v>Member of University Court</v>
      </c>
      <c r="M466" s="5" t="str">
        <f t="shared" si="3"/>
        <v/>
      </c>
      <c r="N466" s="5" t="str">
        <f t="shared" si="4"/>
        <v>Edinburgh Napier University</v>
      </c>
      <c r="O466" s="5" t="str">
        <f t="shared" si="5"/>
        <v>2 years 2 months in role</v>
      </c>
      <c r="P466" s="5" t="str">
        <f t="shared" si="6"/>
        <v>Edinburgh</v>
      </c>
      <c r="Q466" s="5" t="str">
        <f t="shared" si="7"/>
        <v>Scotland</v>
      </c>
      <c r="R466" s="5" t="str">
        <f t="shared" si="8"/>
        <v>United Kingdom</v>
      </c>
    </row>
    <row r="467">
      <c r="A467" s="8" t="s">
        <v>5818</v>
      </c>
      <c r="B467" s="10" t="s">
        <v>5819</v>
      </c>
      <c r="C467" s="10" t="s">
        <v>5820</v>
      </c>
      <c r="D467" s="10"/>
      <c r="E467" s="10" t="s">
        <v>5821</v>
      </c>
      <c r="F467" s="10" t="s">
        <v>1123</v>
      </c>
      <c r="G467" s="11" t="s">
        <v>5822</v>
      </c>
      <c r="H467" s="11" t="s">
        <v>4757</v>
      </c>
      <c r="I467" s="11" t="s">
        <v>4607</v>
      </c>
      <c r="J467" s="9" t="str">
        <f>IFERROR(__xludf.DUMMYFUNCTION("""COMPUTED_VALUE"""),"https://www.google.com/search?newwindow=1&amp;ei=2MT0XrvGGM-vytMP1OyDgAY&amp;q=site%3Alinkedin.com+YIRAN+LIU+Campus+Recruiter")</f>
        <v>https://www.google.com/search?newwindow=1&amp;ei=2MT0XrvGGM-vytMP1OyDgAY&amp;q=site%3Alinkedin.com+YIRAN+LIU+Campus+Recruiter</v>
      </c>
      <c r="K467" s="5" t="str">
        <f t="shared" si="1"/>
        <v>YIRAN LIU</v>
      </c>
      <c r="L467" s="5" t="str">
        <f t="shared" si="2"/>
        <v>Campus Recruiter</v>
      </c>
      <c r="M467" s="5" t="str">
        <f t="shared" si="3"/>
        <v/>
      </c>
      <c r="N467" s="5" t="str">
        <f t="shared" si="4"/>
        <v>ByteDance</v>
      </c>
      <c r="O467" s="5" t="str">
        <f t="shared" si="5"/>
        <v>1 year 5 months in role and company</v>
      </c>
      <c r="P467" s="5" t="str">
        <f t="shared" si="6"/>
        <v>Edinburgh</v>
      </c>
      <c r="Q467" s="5" t="str">
        <f t="shared" si="7"/>
        <v>Scotland</v>
      </c>
      <c r="R467" s="5" t="str">
        <f t="shared" si="8"/>
        <v>United Kingdom</v>
      </c>
    </row>
    <row r="468">
      <c r="A468" s="8" t="s">
        <v>5823</v>
      </c>
      <c r="B468" s="12" t="s">
        <v>5824</v>
      </c>
      <c r="C468" s="10" t="s">
        <v>5825</v>
      </c>
      <c r="D468" s="10"/>
      <c r="E468" s="10" t="s">
        <v>5821</v>
      </c>
      <c r="F468" s="10" t="s">
        <v>1123</v>
      </c>
      <c r="G468" s="11" t="s">
        <v>5822</v>
      </c>
      <c r="H468" s="11" t="s">
        <v>4757</v>
      </c>
      <c r="I468" s="11" t="s">
        <v>4607</v>
      </c>
      <c r="J468" s="9" t="str">
        <f>IFERROR(__xludf.DUMMYFUNCTION("""COMPUTED_VALUE"""),"https://www.google.com/search?newwindow=1&amp;ei=2MT0XrvGGM-vytMP1OyDgAY&amp;q=site%3Alinkedin.com+Alex+Thurlow+Recruiter")</f>
        <v>https://www.google.com/search?newwindow=1&amp;ei=2MT0XrvGGM-vytMP1OyDgAY&amp;q=site%3Alinkedin.com+Alex+Thurlow+Recruiter</v>
      </c>
      <c r="K468" s="5" t="str">
        <f t="shared" si="1"/>
        <v>Alex Thurlow</v>
      </c>
      <c r="L468" s="5" t="str">
        <f t="shared" si="2"/>
        <v>Recruiter</v>
      </c>
      <c r="M468" s="5" t="str">
        <f t="shared" si="3"/>
        <v/>
      </c>
      <c r="N468" s="5" t="str">
        <f t="shared" si="4"/>
        <v>Parity Professionals</v>
      </c>
      <c r="O468" s="5" t="str">
        <f t="shared" si="5"/>
        <v>2 years 10 months in role and company</v>
      </c>
      <c r="P468" s="5" t="str">
        <f t="shared" si="6"/>
        <v>Edinburgh</v>
      </c>
      <c r="Q468" s="5" t="str">
        <f t="shared" si="7"/>
        <v>Scotland</v>
      </c>
      <c r="R468" s="5" t="str">
        <f t="shared" si="8"/>
        <v>United Kingdom</v>
      </c>
    </row>
    <row r="469">
      <c r="A469" s="8" t="s">
        <v>5826</v>
      </c>
      <c r="B469" s="12" t="s">
        <v>5827</v>
      </c>
      <c r="C469" s="10" t="s">
        <v>5828</v>
      </c>
      <c r="D469" s="10"/>
      <c r="E469" s="10" t="s">
        <v>5829</v>
      </c>
      <c r="F469" s="10" t="s">
        <v>351</v>
      </c>
      <c r="G469" s="11" t="s">
        <v>5822</v>
      </c>
      <c r="H469" s="11" t="s">
        <v>4757</v>
      </c>
      <c r="I469" s="11" t="s">
        <v>4607</v>
      </c>
      <c r="J469" s="9" t="str">
        <f>IFERROR(__xludf.DUMMYFUNCTION("""COMPUTED_VALUE"""),"https://www.google.com/search?newwindow=1&amp;ei=2MT0XrvGGM-vytMP1OyDgAY&amp;q=site%3Alinkedin.com+Maninder+K.+Recruitment+Consultant")</f>
        <v>https://www.google.com/search?newwindow=1&amp;ei=2MT0XrvGGM-vytMP1OyDgAY&amp;q=site%3Alinkedin.com+Maninder+K.+Recruitment+Consultant</v>
      </c>
      <c r="K469" s="5" t="str">
        <f t="shared" si="1"/>
        <v>Maninder K.</v>
      </c>
      <c r="L469" s="5" t="str">
        <f t="shared" si="2"/>
        <v>Recruitment Consultant</v>
      </c>
      <c r="M469" s="5" t="str">
        <f t="shared" si="3"/>
        <v/>
      </c>
      <c r="N469" s="5" t="str">
        <f t="shared" si="4"/>
        <v>Tech-Hiring Ltd</v>
      </c>
      <c r="O469" s="5" t="str">
        <f t="shared" si="5"/>
        <v>10 years 6 months in role and company</v>
      </c>
      <c r="P469" s="5" t="str">
        <f t="shared" si="6"/>
        <v>Edinburgh</v>
      </c>
      <c r="Q469" s="5" t="str">
        <f t="shared" si="7"/>
        <v>Scotland</v>
      </c>
      <c r="R469" s="5" t="str">
        <f t="shared" si="8"/>
        <v>United Kingdom</v>
      </c>
    </row>
    <row r="470">
      <c r="A470" s="8" t="s">
        <v>5830</v>
      </c>
      <c r="B470" s="12" t="s">
        <v>5831</v>
      </c>
      <c r="C470" s="10" t="s">
        <v>5832</v>
      </c>
      <c r="D470" s="10"/>
      <c r="E470" s="10" t="s">
        <v>5833</v>
      </c>
      <c r="F470" s="10" t="s">
        <v>441</v>
      </c>
      <c r="G470" s="11" t="s">
        <v>5822</v>
      </c>
      <c r="H470" s="11" t="s">
        <v>4757</v>
      </c>
      <c r="I470" s="11" t="s">
        <v>4607</v>
      </c>
      <c r="J470" s="9" t="str">
        <f>IFERROR(__xludf.DUMMYFUNCTION("""COMPUTED_VALUE"""),"https://www.google.com/search?newwindow=1&amp;ei=2MT0XrvGGM-vytMP1OyDgAY&amp;q=site%3Alinkedin.com+Deanne+Smith+Staff+Pharmacist")</f>
        <v>https://www.google.com/search?newwindow=1&amp;ei=2MT0XrvGGM-vytMP1OyDgAY&amp;q=site%3Alinkedin.com+Deanne+Smith+Staff+Pharmacist</v>
      </c>
      <c r="K470" s="5" t="str">
        <f t="shared" si="1"/>
        <v>Deanne Smith</v>
      </c>
      <c r="L470" s="5" t="str">
        <f t="shared" si="2"/>
        <v>Staff Pharmacist</v>
      </c>
      <c r="M470" s="5" t="str">
        <f t="shared" si="3"/>
        <v/>
      </c>
      <c r="N470" s="5" t="str">
        <f t="shared" si="4"/>
        <v>Walmart</v>
      </c>
      <c r="O470" s="5" t="str">
        <f t="shared" si="5"/>
        <v>3 years 5 months in role</v>
      </c>
      <c r="P470" s="5" t="str">
        <f t="shared" si="6"/>
        <v>Edmond</v>
      </c>
      <c r="Q470" s="5" t="str">
        <f t="shared" si="7"/>
        <v>Oklahoma</v>
      </c>
      <c r="R470" s="5" t="str">
        <f t="shared" si="8"/>
        <v>United States</v>
      </c>
    </row>
    <row r="471">
      <c r="A471" s="8" t="s">
        <v>5834</v>
      </c>
      <c r="B471" s="10" t="s">
        <v>5835</v>
      </c>
      <c r="C471" s="10" t="s">
        <v>5836</v>
      </c>
      <c r="D471" s="10"/>
      <c r="E471" s="10" t="s">
        <v>5837</v>
      </c>
      <c r="F471" s="10" t="s">
        <v>79</v>
      </c>
      <c r="G471" s="11" t="s">
        <v>5822</v>
      </c>
      <c r="H471" s="11" t="s">
        <v>4757</v>
      </c>
      <c r="I471" s="11" t="s">
        <v>4607</v>
      </c>
      <c r="J471" s="9" t="str">
        <f>IFERROR(__xludf.DUMMYFUNCTION("""COMPUTED_VALUE"""),"https://www.google.com/search?newwindow=1&amp;ei=2MT0XrvGGM-vytMP1OyDgAY&amp;q=site%3Alinkedin.com+Shane+Boothe+,+MA,+BEd+Student+Recruiter")</f>
        <v>https://www.google.com/search?newwindow=1&amp;ei=2MT0XrvGGM-vytMP1OyDgAY&amp;q=site%3Alinkedin.com+Shane+Boothe+,+MA,+BEd+Student+Recruiter</v>
      </c>
      <c r="K471" s="5" t="str">
        <f t="shared" si="1"/>
        <v>Shane Boothe , MA, BEd</v>
      </c>
      <c r="L471" s="5" t="str">
        <f t="shared" si="2"/>
        <v>Student Recruiter</v>
      </c>
      <c r="M471" s="5" t="str">
        <f t="shared" si="3"/>
        <v/>
      </c>
      <c r="N471" s="5" t="str">
        <f t="shared" si="4"/>
        <v>NorQuest College</v>
      </c>
      <c r="O471" s="5" t="str">
        <f t="shared" si="5"/>
        <v>1 year  in role and company</v>
      </c>
      <c r="P471" s="5" t="str">
        <f t="shared" si="6"/>
        <v>Edmonton</v>
      </c>
      <c r="Q471" s="5" t="str">
        <f t="shared" si="7"/>
        <v>Alberta</v>
      </c>
      <c r="R471" s="5" t="str">
        <f t="shared" si="8"/>
        <v>Canada</v>
      </c>
    </row>
    <row r="472">
      <c r="A472" s="8" t="s">
        <v>5838</v>
      </c>
      <c r="B472" s="10" t="s">
        <v>5839</v>
      </c>
      <c r="C472" s="10" t="s">
        <v>5840</v>
      </c>
      <c r="D472" s="10"/>
      <c r="E472" s="10" t="s">
        <v>5841</v>
      </c>
      <c r="F472" s="10" t="s">
        <v>257</v>
      </c>
      <c r="G472" s="11" t="s">
        <v>5822</v>
      </c>
      <c r="H472" s="11" t="s">
        <v>4757</v>
      </c>
      <c r="I472" s="11" t="s">
        <v>4607</v>
      </c>
      <c r="J472" s="9" t="str">
        <f>IFERROR(__xludf.DUMMYFUNCTION("""COMPUTED_VALUE"""),"https://www.google.com/search?newwindow=1&amp;ei=2MT0XrvGGM-vytMP1OyDgAY&amp;q=site%3Alinkedin.com+Shuwen+Tian+Student+Recruiter")</f>
        <v>https://www.google.com/search?newwindow=1&amp;ei=2MT0XrvGGM-vytMP1OyDgAY&amp;q=site%3Alinkedin.com+Shuwen+Tian+Student+Recruiter</v>
      </c>
      <c r="K472" s="5" t="str">
        <f t="shared" si="1"/>
        <v>Shuwen Tian</v>
      </c>
      <c r="L472" s="5" t="str">
        <f t="shared" si="2"/>
        <v>Student Recruiter</v>
      </c>
      <c r="M472" s="5" t="str">
        <f t="shared" si="3"/>
        <v/>
      </c>
      <c r="N472" s="5" t="str">
        <f t="shared" si="4"/>
        <v>NorQuest College</v>
      </c>
      <c r="O472" s="5" t="str">
        <f t="shared" si="5"/>
        <v>1 year 3 months in role</v>
      </c>
      <c r="P472" s="5" t="str">
        <f t="shared" si="6"/>
        <v>Edmonton</v>
      </c>
      <c r="Q472" s="5" t="str">
        <f t="shared" si="7"/>
        <v>Alberta</v>
      </c>
      <c r="R472" s="5" t="str">
        <f t="shared" si="8"/>
        <v>Canada</v>
      </c>
    </row>
    <row r="473">
      <c r="A473" s="8" t="s">
        <v>5842</v>
      </c>
      <c r="B473" s="10" t="s">
        <v>5843</v>
      </c>
      <c r="C473" s="10" t="s">
        <v>5844</v>
      </c>
      <c r="D473" s="10"/>
      <c r="E473" s="10" t="s">
        <v>5845</v>
      </c>
      <c r="F473" s="10" t="s">
        <v>1148</v>
      </c>
      <c r="G473" s="11" t="s">
        <v>5822</v>
      </c>
      <c r="H473" s="11" t="s">
        <v>4757</v>
      </c>
      <c r="I473" s="11" t="s">
        <v>4607</v>
      </c>
      <c r="J473" s="9" t="str">
        <f>IFERROR(__xludf.DUMMYFUNCTION("""COMPUTED_VALUE"""),"https://www.google.com/search?newwindow=1&amp;ei=2MT0XrvGGM-vytMP1OyDgAY&amp;q=site%3Alinkedin.com+Amanda+Shular+Prospective+Student+Recruiter")</f>
        <v>https://www.google.com/search?newwindow=1&amp;ei=2MT0XrvGGM-vytMP1OyDgAY&amp;q=site%3Alinkedin.com+Amanda+Shular+Prospective+Student+Recruiter</v>
      </c>
      <c r="K473" s="5" t="str">
        <f t="shared" si="1"/>
        <v>Amanda Shular</v>
      </c>
      <c r="L473" s="5" t="str">
        <f t="shared" si="2"/>
        <v>Prospective Student Recruiter</v>
      </c>
      <c r="M473" s="5" t="str">
        <f t="shared" si="3"/>
        <v/>
      </c>
      <c r="N473" s="5" t="str">
        <f t="shared" si="4"/>
        <v>Alberta School of Business, University of Alberta</v>
      </c>
      <c r="O473" s="5" t="str">
        <f t="shared" si="5"/>
        <v>2 years 4 months in role and company</v>
      </c>
      <c r="P473" s="5" t="str">
        <f t="shared" si="6"/>
        <v>Edmonton</v>
      </c>
      <c r="Q473" s="5" t="str">
        <f t="shared" si="7"/>
        <v>Alberta</v>
      </c>
      <c r="R473" s="5" t="str">
        <f t="shared" si="8"/>
        <v>Canada</v>
      </c>
    </row>
    <row r="474">
      <c r="A474" s="8" t="s">
        <v>5846</v>
      </c>
      <c r="B474" s="12" t="s">
        <v>5847</v>
      </c>
      <c r="C474" s="10" t="s">
        <v>4749</v>
      </c>
      <c r="D474" s="10"/>
      <c r="E474" s="10" t="s">
        <v>4701</v>
      </c>
      <c r="F474" s="10" t="s">
        <v>1637</v>
      </c>
      <c r="G474" s="11" t="s">
        <v>5848</v>
      </c>
      <c r="H474" s="11" t="s">
        <v>44</v>
      </c>
      <c r="I474" s="11" t="s">
        <v>18</v>
      </c>
      <c r="J474" s="9" t="str">
        <f>IFERROR(__xludf.DUMMYFUNCTION("""COMPUTED_VALUE"""),"https://www.google.com/search?newwindow=1&amp;ei=2MT0XrvGGM-vytMP1OyDgAY&amp;q=site%3Alinkedin.com+Gillian+L.+Student+Recruiter")</f>
        <v>https://www.google.com/search?newwindow=1&amp;ei=2MT0XrvGGM-vytMP1OyDgAY&amp;q=site%3Alinkedin.com+Gillian+L.+Student+Recruiter</v>
      </c>
      <c r="K474" s="5" t="str">
        <f t="shared" si="1"/>
        <v>Gillian L.</v>
      </c>
      <c r="L474" s="5" t="str">
        <f t="shared" si="2"/>
        <v>Student Recruiter</v>
      </c>
      <c r="M474" s="5" t="str">
        <f t="shared" si="3"/>
        <v/>
      </c>
      <c r="N474" s="5" t="str">
        <f t="shared" si="4"/>
        <v>NorQuest College</v>
      </c>
      <c r="O474" s="5" t="str">
        <f t="shared" si="5"/>
        <v>4 years 3 months in role and company</v>
      </c>
      <c r="P474" s="5" t="str">
        <f t="shared" si="6"/>
        <v>Edmonton</v>
      </c>
      <c r="Q474" s="5" t="str">
        <f t="shared" si="7"/>
        <v>Alberta</v>
      </c>
      <c r="R474" s="5" t="str">
        <f t="shared" si="8"/>
        <v>Canada</v>
      </c>
    </row>
    <row r="475">
      <c r="A475" s="8" t="s">
        <v>5849</v>
      </c>
      <c r="B475" s="12" t="s">
        <v>5850</v>
      </c>
      <c r="C475" s="10" t="s">
        <v>4749</v>
      </c>
      <c r="D475" s="10"/>
      <c r="E475" s="10" t="s">
        <v>492</v>
      </c>
      <c r="F475" s="10" t="s">
        <v>188</v>
      </c>
      <c r="G475" s="11" t="s">
        <v>5851</v>
      </c>
      <c r="H475" s="11" t="s">
        <v>96</v>
      </c>
      <c r="I475" s="11" t="s">
        <v>18</v>
      </c>
      <c r="J475" s="9" t="str">
        <f>IFERROR(__xludf.DUMMYFUNCTION("""COMPUTED_VALUE"""),"https://www.google.com/search?newwindow=1&amp;ei=2MT0XrvGGM-vytMP1OyDgAY&amp;q=site%3Alinkedin.com+Eric+Franke+Student+Recruiter")</f>
        <v>https://www.google.com/search?newwindow=1&amp;ei=2MT0XrvGGM-vytMP1OyDgAY&amp;q=site%3Alinkedin.com+Eric+Franke+Student+Recruiter</v>
      </c>
      <c r="K475" s="5" t="str">
        <f t="shared" si="1"/>
        <v>Eric Franke</v>
      </c>
      <c r="L475" s="5" t="str">
        <f t="shared" si="2"/>
        <v>Student Recruiter</v>
      </c>
      <c r="M475" s="5" t="str">
        <f t="shared" si="3"/>
        <v/>
      </c>
      <c r="N475" s="5" t="str">
        <f t="shared" si="4"/>
        <v>MacEwan University</v>
      </c>
      <c r="O475" s="5" t="str">
        <f t="shared" si="5"/>
        <v>2 years 1 month in role</v>
      </c>
      <c r="P475" s="5" t="str">
        <f t="shared" si="6"/>
        <v>Edmonton</v>
      </c>
      <c r="Q475" s="5" t="str">
        <f t="shared" si="7"/>
        <v>Alberta</v>
      </c>
      <c r="R475" s="5" t="str">
        <f t="shared" si="8"/>
        <v>Canada</v>
      </c>
    </row>
    <row r="476">
      <c r="A476" s="8" t="s">
        <v>5852</v>
      </c>
      <c r="B476" s="10" t="s">
        <v>5853</v>
      </c>
      <c r="C476" s="10" t="s">
        <v>4749</v>
      </c>
      <c r="D476" s="10"/>
      <c r="E476" s="10" t="s">
        <v>4701</v>
      </c>
      <c r="F476" s="10" t="s">
        <v>339</v>
      </c>
      <c r="G476" s="11" t="s">
        <v>80</v>
      </c>
      <c r="H476" s="11" t="s">
        <v>38</v>
      </c>
      <c r="I476" s="11" t="s">
        <v>18</v>
      </c>
      <c r="J476" s="9" t="str">
        <f>IFERROR(__xludf.DUMMYFUNCTION("""COMPUTED_VALUE"""),"https://www.google.com/search?newwindow=1&amp;ei=2MT0XrvGGM-vytMP1OyDgAY&amp;q=site%3Alinkedin.com+Victoria+Rissling+Manager,+International+Student+Recruitment")</f>
        <v>https://www.google.com/search?newwindow=1&amp;ei=2MT0XrvGGM-vytMP1OyDgAY&amp;q=site%3Alinkedin.com+Victoria+Rissling+Manager,+International+Student+Recruitment</v>
      </c>
      <c r="K476" s="5" t="str">
        <f t="shared" si="1"/>
        <v>Victoria Rissling</v>
      </c>
      <c r="L476" s="5" t="str">
        <f t="shared" si="2"/>
        <v>Manager, International Student Recruitment</v>
      </c>
      <c r="M476" s="5" t="str">
        <f t="shared" si="3"/>
        <v/>
      </c>
      <c r="N476" s="5" t="str">
        <f t="shared" si="4"/>
        <v>MacEwan University</v>
      </c>
      <c r="O476" s="5" t="str">
        <f t="shared" si="5"/>
        <v>2 years 1 month in role</v>
      </c>
      <c r="P476" s="5" t="str">
        <f t="shared" si="6"/>
        <v>Edmonton</v>
      </c>
      <c r="Q476" s="5" t="str">
        <f t="shared" si="7"/>
        <v>Alberta</v>
      </c>
      <c r="R476" s="5" t="str">
        <f t="shared" si="8"/>
        <v>Canada</v>
      </c>
    </row>
    <row r="477">
      <c r="A477" s="8" t="s">
        <v>5854</v>
      </c>
      <c r="B477" s="12" t="s">
        <v>5855</v>
      </c>
      <c r="C477" s="10" t="s">
        <v>4749</v>
      </c>
      <c r="D477" s="10"/>
      <c r="E477" s="10" t="s">
        <v>2297</v>
      </c>
      <c r="F477" s="10" t="s">
        <v>144</v>
      </c>
      <c r="G477" s="11" t="s">
        <v>80</v>
      </c>
      <c r="H477" s="11" t="s">
        <v>38</v>
      </c>
      <c r="I477" s="11" t="s">
        <v>18</v>
      </c>
      <c r="J477" s="9" t="str">
        <f>IFERROR(__xludf.DUMMYFUNCTION("""COMPUTED_VALUE"""),"https://www.google.com/search?newwindow=1&amp;ei=2MT0XrvGGM-vytMP1OyDgAY&amp;q=site%3Alinkedin.com+Christian+Ford+Student+Recruiter,+National+(Alberta+and+Saskatchewan)")</f>
        <v>https://www.google.com/search?newwindow=1&amp;ei=2MT0XrvGGM-vytMP1OyDgAY&amp;q=site%3Alinkedin.com+Christian+Ford+Student+Recruiter,+National+(Alberta+and+Saskatchewan)</v>
      </c>
      <c r="K477" s="5" t="str">
        <f t="shared" si="1"/>
        <v>Christian Ford</v>
      </c>
      <c r="L477" s="5" t="str">
        <f t="shared" si="2"/>
        <v>Student Recruiter, National (Alberta and Saskatchewan)</v>
      </c>
      <c r="M477" s="5" t="str">
        <f t="shared" si="3"/>
        <v/>
      </c>
      <c r="N477" s="5" t="str">
        <f t="shared" si="4"/>
        <v>University of Alberta</v>
      </c>
      <c r="O477" s="5" t="str">
        <f t="shared" si="5"/>
        <v>3 months in role and company</v>
      </c>
      <c r="P477" s="5" t="str">
        <f t="shared" si="6"/>
        <v>Edmonton</v>
      </c>
      <c r="Q477" s="5" t="str">
        <f t="shared" si="7"/>
        <v>Alberta</v>
      </c>
      <c r="R477" s="5" t="str">
        <f t="shared" si="8"/>
        <v>Canada</v>
      </c>
    </row>
    <row r="478">
      <c r="A478" s="8" t="s">
        <v>5856</v>
      </c>
      <c r="B478" s="10" t="s">
        <v>5857</v>
      </c>
      <c r="C478" s="10" t="s">
        <v>1896</v>
      </c>
      <c r="D478" s="10"/>
      <c r="E478" s="10" t="s">
        <v>4659</v>
      </c>
      <c r="F478" s="10" t="s">
        <v>217</v>
      </c>
      <c r="G478" s="11" t="s">
        <v>80</v>
      </c>
      <c r="H478" s="11" t="s">
        <v>38</v>
      </c>
      <c r="I478" s="11" t="s">
        <v>18</v>
      </c>
      <c r="J478" s="9" t="str">
        <f>IFERROR(__xludf.DUMMYFUNCTION("""COMPUTED_VALUE"""),"https://www.google.com/search?newwindow=1&amp;ei=2MT0XrvGGM-vytMP1OyDgAY&amp;q=site%3Alinkedin.com+Deepeshni+Goundar+International+Student+Recruiter/Agent+Coordinator")</f>
        <v>https://www.google.com/search?newwindow=1&amp;ei=2MT0XrvGGM-vytMP1OyDgAY&amp;q=site%3Alinkedin.com+Deepeshni+Goundar+International+Student+Recruiter/Agent+Coordinator</v>
      </c>
      <c r="K478" s="5" t="str">
        <f t="shared" si="1"/>
        <v>Deepeshni Goundar</v>
      </c>
      <c r="L478" s="5" t="str">
        <f t="shared" si="2"/>
        <v>International Student Recruiter/Agent Coordinator</v>
      </c>
      <c r="M478" s="5" t="str">
        <f t="shared" si="3"/>
        <v/>
      </c>
      <c r="N478" s="5" t="str">
        <f t="shared" si="4"/>
        <v>NorQuest College</v>
      </c>
      <c r="O478" s="5" t="str">
        <f t="shared" si="5"/>
        <v>1 year 6 months in role</v>
      </c>
      <c r="P478" s="5" t="str">
        <f t="shared" si="6"/>
        <v>Edmonton</v>
      </c>
      <c r="Q478" s="5" t="str">
        <f t="shared" si="7"/>
        <v>Alberta</v>
      </c>
      <c r="R478" s="5" t="str">
        <f t="shared" si="8"/>
        <v>Canada</v>
      </c>
    </row>
    <row r="479">
      <c r="A479" s="8" t="s">
        <v>5858</v>
      </c>
      <c r="B479" s="10" t="s">
        <v>5859</v>
      </c>
      <c r="C479" s="10" t="s">
        <v>4674</v>
      </c>
      <c r="D479" s="10"/>
      <c r="E479" s="10" t="s">
        <v>1233</v>
      </c>
      <c r="F479" s="10" t="s">
        <v>228</v>
      </c>
      <c r="G479" s="11" t="s">
        <v>80</v>
      </c>
      <c r="H479" s="11" t="s">
        <v>38</v>
      </c>
      <c r="I479" s="11" t="s">
        <v>18</v>
      </c>
      <c r="J479" s="9" t="str">
        <f>IFERROR(__xludf.DUMMYFUNCTION("""COMPUTED_VALUE"""),"https://www.google.com/search?newwindow=1&amp;ei=2MT0XrvGGM-vytMP1OyDgAY&amp;q=site%3Alinkedin.com+Cassandra+Duffenais+National+Student+Recruiter")</f>
        <v>https://www.google.com/search?newwindow=1&amp;ei=2MT0XrvGGM-vytMP1OyDgAY&amp;q=site%3Alinkedin.com+Cassandra+Duffenais+National+Student+Recruiter</v>
      </c>
      <c r="K479" s="5" t="str">
        <f t="shared" si="1"/>
        <v>Cassandra Duffenais</v>
      </c>
      <c r="L479" s="5" t="str">
        <f t="shared" si="2"/>
        <v>National Student Recruiter</v>
      </c>
      <c r="M479" s="5" t="str">
        <f t="shared" si="3"/>
        <v/>
      </c>
      <c r="N479" s="5" t="str">
        <f t="shared" si="4"/>
        <v>University of Alberta</v>
      </c>
      <c r="O479" s="5" t="str">
        <f t="shared" si="5"/>
        <v>2 years 3 months in role and company</v>
      </c>
      <c r="P479" s="5" t="str">
        <f t="shared" si="6"/>
        <v>Edmonton</v>
      </c>
      <c r="Q479" s="5" t="str">
        <f t="shared" si="7"/>
        <v>Alberta</v>
      </c>
      <c r="R479" s="5" t="str">
        <f t="shared" si="8"/>
        <v>Canada</v>
      </c>
    </row>
    <row r="480">
      <c r="A480" s="8" t="s">
        <v>5860</v>
      </c>
      <c r="B480" s="12" t="s">
        <v>5861</v>
      </c>
      <c r="C480" s="10" t="s">
        <v>5862</v>
      </c>
      <c r="D480" s="10"/>
      <c r="E480" s="10" t="s">
        <v>1233</v>
      </c>
      <c r="F480" s="10" t="s">
        <v>774</v>
      </c>
      <c r="G480" s="11" t="s">
        <v>80</v>
      </c>
      <c r="H480" s="11" t="s">
        <v>38</v>
      </c>
      <c r="I480" s="11" t="s">
        <v>18</v>
      </c>
      <c r="J480" s="9" t="str">
        <f>IFERROR(__xludf.DUMMYFUNCTION("""COMPUTED_VALUE"""),"https://www.google.com/search?newwindow=1&amp;ei=2MT0XrvGGM-vytMP1OyDgAY&amp;q=site%3Alinkedin.com+Fátima+Lopes+International+Student+Recruiter/+Agent")</f>
        <v>https://www.google.com/search?newwindow=1&amp;ei=2MT0XrvGGM-vytMP1OyDgAY&amp;q=site%3Alinkedin.com+Fátima+Lopes+International+Student+Recruiter/+Agent</v>
      </c>
      <c r="K480" s="5" t="str">
        <f t="shared" si="1"/>
        <v>Fátima Lopes</v>
      </c>
      <c r="L480" s="5" t="str">
        <f t="shared" si="2"/>
        <v>International Student Recruiter/ Agent</v>
      </c>
      <c r="M480" s="5" t="str">
        <f t="shared" si="3"/>
        <v/>
      </c>
      <c r="N480" s="5" t="str">
        <f t="shared" si="4"/>
        <v>Upper Madison College</v>
      </c>
      <c r="O480" s="5" t="str">
        <f t="shared" si="5"/>
        <v>9 years 11 months in role and company</v>
      </c>
      <c r="P480" s="5" t="str">
        <f t="shared" si="6"/>
        <v>Edmonton</v>
      </c>
      <c r="Q480" s="5" t="str">
        <f t="shared" si="7"/>
        <v>Alberta</v>
      </c>
      <c r="R480" s="5" t="str">
        <f t="shared" si="8"/>
        <v>Canada</v>
      </c>
    </row>
    <row r="481">
      <c r="A481" s="8" t="s">
        <v>5863</v>
      </c>
      <c r="B481" s="10" t="s">
        <v>5864</v>
      </c>
      <c r="C481" s="10" t="s">
        <v>1378</v>
      </c>
      <c r="D481" s="10"/>
      <c r="E481" s="10" t="s">
        <v>1233</v>
      </c>
      <c r="F481" s="10" t="s">
        <v>15</v>
      </c>
      <c r="G481" s="11" t="s">
        <v>80</v>
      </c>
      <c r="H481" s="11" t="s">
        <v>38</v>
      </c>
      <c r="I481" s="11" t="s">
        <v>18</v>
      </c>
      <c r="J481" s="9" t="str">
        <f>IFERROR(__xludf.DUMMYFUNCTION("""COMPUTED_VALUE"""),"https://www.google.com/search?newwindow=1&amp;ei=2MT0XrvGGM-vytMP1OyDgAY&amp;q=site%3Alinkedin.com+Trent+Harris+Student+Recruiter,+National+Recruitment")</f>
        <v>https://www.google.com/search?newwindow=1&amp;ei=2MT0XrvGGM-vytMP1OyDgAY&amp;q=site%3Alinkedin.com+Trent+Harris+Student+Recruiter,+National+Recruitment</v>
      </c>
      <c r="K481" s="5" t="str">
        <f t="shared" si="1"/>
        <v>Trent Harris</v>
      </c>
      <c r="L481" s="5" t="str">
        <f t="shared" si="2"/>
        <v>Student Recruiter, National Recruitment</v>
      </c>
      <c r="M481" s="5" t="str">
        <f t="shared" si="3"/>
        <v/>
      </c>
      <c r="N481" s="5" t="str">
        <f t="shared" si="4"/>
        <v>University of Alberta</v>
      </c>
      <c r="O481" s="5" t="str">
        <f t="shared" si="5"/>
        <v>7 months in role</v>
      </c>
      <c r="P481" s="5" t="str">
        <f t="shared" si="6"/>
        <v>Edmonton</v>
      </c>
      <c r="Q481" s="5" t="str">
        <f t="shared" si="7"/>
        <v>Alberta</v>
      </c>
      <c r="R481" s="5" t="str">
        <f t="shared" si="8"/>
        <v>Canada</v>
      </c>
    </row>
    <row r="482">
      <c r="A482" s="8" t="s">
        <v>5865</v>
      </c>
      <c r="B482" s="12" t="s">
        <v>5866</v>
      </c>
      <c r="C482" s="10" t="s">
        <v>5867</v>
      </c>
      <c r="D482" s="10"/>
      <c r="E482" s="10" t="s">
        <v>14</v>
      </c>
      <c r="F482" s="10" t="s">
        <v>149</v>
      </c>
      <c r="G482" s="11" t="s">
        <v>80</v>
      </c>
      <c r="H482" s="11" t="s">
        <v>38</v>
      </c>
      <c r="I482" s="11" t="s">
        <v>18</v>
      </c>
      <c r="J482" s="9" t="str">
        <f>IFERROR(__xludf.DUMMYFUNCTION("""COMPUTED_VALUE"""),"https://www.google.com/search?newwindow=1&amp;ei=2MT0XrvGGM-vytMP1OyDgAY&amp;q=site%3Alinkedin.com+Maud+Madsen+National+Student+Recruiter")</f>
        <v>https://www.google.com/search?newwindow=1&amp;ei=2MT0XrvGGM-vytMP1OyDgAY&amp;q=site%3Alinkedin.com+Maud+Madsen+National+Student+Recruiter</v>
      </c>
      <c r="K482" s="5" t="str">
        <f t="shared" si="1"/>
        <v>Maud Madsen</v>
      </c>
      <c r="L482" s="5" t="str">
        <f t="shared" si="2"/>
        <v>National Student Recruiter</v>
      </c>
      <c r="M482" s="5" t="str">
        <f t="shared" si="3"/>
        <v/>
      </c>
      <c r="N482" s="5" t="str">
        <f t="shared" si="4"/>
        <v>University of Alberta</v>
      </c>
      <c r="O482" s="5" t="str">
        <f t="shared" si="5"/>
        <v/>
      </c>
      <c r="P482" s="5" t="str">
        <f t="shared" si="6"/>
        <v>Edmonton</v>
      </c>
      <c r="Q482" s="5" t="str">
        <f t="shared" si="7"/>
        <v>Alberta</v>
      </c>
      <c r="R482" s="5" t="str">
        <f t="shared" si="8"/>
        <v>Canada</v>
      </c>
    </row>
    <row r="483">
      <c r="A483" s="8" t="s">
        <v>5868</v>
      </c>
      <c r="B483" s="10" t="s">
        <v>1427</v>
      </c>
      <c r="C483" s="10" t="s">
        <v>1378</v>
      </c>
      <c r="D483" s="10"/>
      <c r="E483" s="10" t="s">
        <v>1233</v>
      </c>
      <c r="F483" s="10" t="s">
        <v>3559</v>
      </c>
      <c r="G483" s="11" t="s">
        <v>80</v>
      </c>
      <c r="H483" s="11" t="s">
        <v>38</v>
      </c>
      <c r="I483" s="11" t="s">
        <v>18</v>
      </c>
      <c r="J483" s="9" t="str">
        <f>IFERROR(__xludf.DUMMYFUNCTION("""COMPUTED_VALUE"""),"https://www.google.com/search?newwindow=1&amp;ei=2MT0XrvGGM-vytMP1OyDgAY&amp;q=site%3Alinkedin.com+Molly+Garstad+Student+Recruiter")</f>
        <v>https://www.google.com/search?newwindow=1&amp;ei=2MT0XrvGGM-vytMP1OyDgAY&amp;q=site%3Alinkedin.com+Molly+Garstad+Student+Recruiter</v>
      </c>
      <c r="K483" s="5" t="str">
        <f t="shared" si="1"/>
        <v>Molly Garstad</v>
      </c>
      <c r="L483" s="5" t="str">
        <f t="shared" si="2"/>
        <v>Student Recruiter</v>
      </c>
      <c r="M483" s="5" t="str">
        <f t="shared" si="3"/>
        <v/>
      </c>
      <c r="N483" s="5" t="str">
        <f t="shared" si="4"/>
        <v>NorQuest College</v>
      </c>
      <c r="O483" s="5" t="str">
        <f t="shared" si="5"/>
        <v>6 years 8 months in role</v>
      </c>
      <c r="P483" s="5" t="str">
        <f t="shared" si="6"/>
        <v>Edmonton</v>
      </c>
      <c r="Q483" s="5" t="str">
        <f t="shared" si="7"/>
        <v>Alberta</v>
      </c>
      <c r="R483" s="5" t="str">
        <f t="shared" si="8"/>
        <v>Canada</v>
      </c>
    </row>
    <row r="484">
      <c r="A484" s="8" t="s">
        <v>5869</v>
      </c>
      <c r="B484" s="10" t="s">
        <v>5870</v>
      </c>
      <c r="C484" s="10" t="s">
        <v>4749</v>
      </c>
      <c r="D484" s="10"/>
      <c r="E484" s="10" t="s">
        <v>4701</v>
      </c>
      <c r="F484" s="10" t="s">
        <v>48</v>
      </c>
      <c r="G484" s="11" t="s">
        <v>80</v>
      </c>
      <c r="H484" s="11" t="s">
        <v>38</v>
      </c>
      <c r="I484" s="11" t="s">
        <v>18</v>
      </c>
      <c r="J484" s="9" t="str">
        <f>IFERROR(__xludf.DUMMYFUNCTION("""COMPUTED_VALUE"""),"https://www.google.com/search?newwindow=1&amp;ei=2MT0XrvGGM-vytMP1OyDgAY&amp;q=site%3Alinkedin.com+Adam+Jamal+Human+Resources+Recruiter+(Summer+Student)")</f>
        <v>https://www.google.com/search?newwindow=1&amp;ei=2MT0XrvGGM-vytMP1OyDgAY&amp;q=site%3Alinkedin.com+Adam+Jamal+Human+Resources+Recruiter+(Summer+Student)</v>
      </c>
      <c r="K484" s="5" t="str">
        <f t="shared" si="1"/>
        <v>Adam Jamal</v>
      </c>
      <c r="L484" s="5" t="str">
        <f t="shared" si="2"/>
        <v>Human Resources Recruiter (Summer Student)</v>
      </c>
      <c r="M484" s="5" t="str">
        <f t="shared" si="3"/>
        <v/>
      </c>
      <c r="N484" s="5" t="str">
        <f t="shared" si="4"/>
        <v>Durabuilt Windows &amp; Doors</v>
      </c>
      <c r="O484" s="5" t="str">
        <f t="shared" si="5"/>
        <v>2 years 4 months in role and company</v>
      </c>
      <c r="P484" s="5" t="str">
        <f t="shared" si="6"/>
        <v>Edmonton</v>
      </c>
      <c r="Q484" s="5" t="str">
        <f t="shared" si="7"/>
        <v>Alberta</v>
      </c>
      <c r="R484" s="5" t="str">
        <f t="shared" si="8"/>
        <v>Canada</v>
      </c>
    </row>
    <row r="485">
      <c r="A485" s="8" t="s">
        <v>5871</v>
      </c>
      <c r="B485" s="12" t="s">
        <v>5872</v>
      </c>
      <c r="C485" s="10" t="s">
        <v>5873</v>
      </c>
      <c r="D485" s="10"/>
      <c r="E485" s="10" t="s">
        <v>4701</v>
      </c>
      <c r="F485" s="10" t="s">
        <v>1729</v>
      </c>
      <c r="G485" s="11" t="s">
        <v>80</v>
      </c>
      <c r="H485" s="11" t="s">
        <v>38</v>
      </c>
      <c r="I485" s="11" t="s">
        <v>18</v>
      </c>
      <c r="J485" s="9" t="str">
        <f>IFERROR(__xludf.DUMMYFUNCTION("""COMPUTED_VALUE"""),"https://www.google.com/search?newwindow=1&amp;ei=2MT0XrvGGM-vytMP1OyDgAY&amp;q=site%3Alinkedin.com+Brooke+Davis+Student+Recruiter")</f>
        <v>https://www.google.com/search?newwindow=1&amp;ei=2MT0XrvGGM-vytMP1OyDgAY&amp;q=site%3Alinkedin.com+Brooke+Davis+Student+Recruiter</v>
      </c>
      <c r="K485" s="5" t="str">
        <f t="shared" si="1"/>
        <v>Brooke Davis</v>
      </c>
      <c r="L485" s="5" t="str">
        <f t="shared" si="2"/>
        <v>Student Recruiter</v>
      </c>
      <c r="M485" s="5" t="str">
        <f t="shared" si="3"/>
        <v/>
      </c>
      <c r="N485" s="5" t="str">
        <f t="shared" si="4"/>
        <v>NAIT</v>
      </c>
      <c r="O485" s="5" t="str">
        <f t="shared" si="5"/>
        <v/>
      </c>
      <c r="P485" s="5" t="str">
        <f t="shared" si="6"/>
        <v>Edmonton</v>
      </c>
      <c r="Q485" s="5" t="str">
        <f t="shared" si="7"/>
        <v>Alberta</v>
      </c>
      <c r="R485" s="5" t="str">
        <f t="shared" si="8"/>
        <v>Canada</v>
      </c>
    </row>
    <row r="486">
      <c r="A486" s="8" t="s">
        <v>5874</v>
      </c>
      <c r="B486" s="12" t="s">
        <v>5875</v>
      </c>
      <c r="C486" s="10" t="s">
        <v>5876</v>
      </c>
      <c r="D486" s="10"/>
      <c r="E486" s="10" t="s">
        <v>4701</v>
      </c>
      <c r="F486" s="10" t="s">
        <v>268</v>
      </c>
      <c r="G486" s="11" t="s">
        <v>80</v>
      </c>
      <c r="H486" s="11" t="s">
        <v>38</v>
      </c>
      <c r="I486" s="11" t="s">
        <v>18</v>
      </c>
      <c r="J486" s="9" t="str">
        <f>IFERROR(__xludf.DUMMYFUNCTION("""COMPUTED_VALUE"""),"https://www.google.com/search?newwindow=1&amp;ei=2MT0XrvGGM-vytMP1OyDgAY&amp;q=site%3Alinkedin.com+Cindy+Kennedy+Talent+Coordinator,+Associate+and+Student+Programs")</f>
        <v>https://www.google.com/search?newwindow=1&amp;ei=2MT0XrvGGM-vytMP1OyDgAY&amp;q=site%3Alinkedin.com+Cindy+Kennedy+Talent+Coordinator,+Associate+and+Student+Programs</v>
      </c>
      <c r="K486" s="5" t="str">
        <f t="shared" si="1"/>
        <v>Cindy Kennedy</v>
      </c>
      <c r="L486" s="5" t="str">
        <f t="shared" si="2"/>
        <v>Talent Coordinator, Associate and Student Programs</v>
      </c>
      <c r="M486" s="5" t="str">
        <f t="shared" si="3"/>
        <v/>
      </c>
      <c r="N486" s="5" t="str">
        <f t="shared" si="4"/>
        <v>Dentons Canada LLP</v>
      </c>
      <c r="O486" s="5" t="str">
        <f t="shared" si="5"/>
        <v>2 years 5 months in role</v>
      </c>
      <c r="P486" s="5" t="str">
        <f t="shared" si="6"/>
        <v>Edmonton</v>
      </c>
      <c r="Q486" s="5" t="str">
        <f t="shared" si="7"/>
        <v>Alberta</v>
      </c>
      <c r="R486" s="5" t="str">
        <f t="shared" si="8"/>
        <v>Canada</v>
      </c>
    </row>
    <row r="487">
      <c r="A487" s="8" t="s">
        <v>5877</v>
      </c>
      <c r="B487" s="10" t="s">
        <v>5878</v>
      </c>
      <c r="C487" s="10" t="s">
        <v>5879</v>
      </c>
      <c r="D487" s="10"/>
      <c r="E487" s="10" t="s">
        <v>4611</v>
      </c>
      <c r="F487" s="10" t="s">
        <v>339</v>
      </c>
      <c r="G487" s="11" t="s">
        <v>80</v>
      </c>
      <c r="H487" s="11" t="s">
        <v>38</v>
      </c>
      <c r="I487" s="11" t="s">
        <v>18</v>
      </c>
      <c r="J487" s="9" t="str">
        <f>IFERROR(__xludf.DUMMYFUNCTION("""COMPUTED_VALUE"""),"https://www.google.com/search?newwindow=1&amp;ei=2MT0XrvGGM-vytMP1OyDgAY&amp;q=site%3Alinkedin.com+Kristy+Wuetherick+Senior+Officer,+Student+Programs+and+Services,+Faculty+of+Arts")</f>
        <v>https://www.google.com/search?newwindow=1&amp;ei=2MT0XrvGGM-vytMP1OyDgAY&amp;q=site%3Alinkedin.com+Kristy+Wuetherick+Senior+Officer,+Student+Programs+and+Services,+Faculty+of+Arts</v>
      </c>
      <c r="K487" s="5" t="str">
        <f t="shared" si="1"/>
        <v>Kristy Wuetherick</v>
      </c>
      <c r="L487" s="5" t="str">
        <f t="shared" si="2"/>
        <v>Senior Officer, Student Programs and Services, Faculty of Arts</v>
      </c>
      <c r="M487" s="5" t="str">
        <f t="shared" si="3"/>
        <v/>
      </c>
      <c r="N487" s="5" t="str">
        <f t="shared" si="4"/>
        <v>University of Alberta</v>
      </c>
      <c r="O487" s="5" t="str">
        <f t="shared" si="5"/>
        <v>2 years 9 months in role and company</v>
      </c>
      <c r="P487" s="5" t="str">
        <f t="shared" si="6"/>
        <v>Edmonton</v>
      </c>
      <c r="Q487" s="5" t="str">
        <f t="shared" si="7"/>
        <v>Alberta</v>
      </c>
      <c r="R487" s="5" t="str">
        <f t="shared" si="8"/>
        <v>Canada</v>
      </c>
    </row>
    <row r="488">
      <c r="A488" s="8" t="s">
        <v>5880</v>
      </c>
      <c r="B488" s="12" t="s">
        <v>5881</v>
      </c>
      <c r="C488" s="10" t="s">
        <v>4749</v>
      </c>
      <c r="D488" s="10"/>
      <c r="E488" s="10" t="s">
        <v>4701</v>
      </c>
      <c r="F488" s="10" t="s">
        <v>144</v>
      </c>
      <c r="G488" s="11" t="s">
        <v>80</v>
      </c>
      <c r="H488" s="11" t="s">
        <v>38</v>
      </c>
      <c r="I488" s="11" t="s">
        <v>18</v>
      </c>
      <c r="J488" s="9" t="str">
        <f>IFERROR(__xludf.DUMMYFUNCTION("""COMPUTED_VALUE"""),"https://www.google.com/search?newwindow=1&amp;ei=2MT0XrvGGM-vytMP1OyDgAY&amp;q=site%3Alinkedin.com+Scott+Travis+Director,+Research+and+Programs")</f>
        <v>https://www.google.com/search?newwindow=1&amp;ei=2MT0XrvGGM-vytMP1OyDgAY&amp;q=site%3Alinkedin.com+Scott+Travis+Director,+Research+and+Programs</v>
      </c>
      <c r="K488" s="5" t="str">
        <f t="shared" si="1"/>
        <v>Scott Travis</v>
      </c>
      <c r="L488" s="5" t="str">
        <f t="shared" si="2"/>
        <v>Director, Research and Programs</v>
      </c>
      <c r="M488" s="5" t="str">
        <f t="shared" si="3"/>
        <v/>
      </c>
      <c r="N488" s="5" t="str">
        <f t="shared" si="4"/>
        <v>Alberta Rural Development Network (ARDN)</v>
      </c>
      <c r="O488" s="5" t="str">
        <f t="shared" si="5"/>
        <v>1 year 5 months in role and company</v>
      </c>
      <c r="P488" s="5" t="str">
        <f t="shared" si="6"/>
        <v>Edmonton</v>
      </c>
      <c r="Q488" s="5" t="str">
        <f t="shared" si="7"/>
        <v>Alberta</v>
      </c>
      <c r="R488" s="5" t="str">
        <f t="shared" si="8"/>
        <v>Canada</v>
      </c>
    </row>
    <row r="489">
      <c r="A489" s="8" t="s">
        <v>5882</v>
      </c>
      <c r="B489" s="10" t="s">
        <v>5883</v>
      </c>
      <c r="C489" s="10" t="s">
        <v>5884</v>
      </c>
      <c r="D489" s="10"/>
      <c r="E489" s="10" t="s">
        <v>1233</v>
      </c>
      <c r="F489" s="10" t="s">
        <v>228</v>
      </c>
      <c r="G489" s="11" t="s">
        <v>80</v>
      </c>
      <c r="H489" s="11" t="s">
        <v>38</v>
      </c>
      <c r="I489" s="11" t="s">
        <v>18</v>
      </c>
      <c r="J489" s="9" t="str">
        <f>IFERROR(__xludf.DUMMYFUNCTION("""COMPUTED_VALUE"""),"https://www.google.com/search?newwindow=1&amp;ei=2MT0XrvGGM-vytMP1OyDgAY&amp;q=site%3Alinkedin.com+Yonas+B.+Gebrehiwot+PHD+Student")</f>
        <v>https://www.google.com/search?newwindow=1&amp;ei=2MT0XrvGGM-vytMP1OyDgAY&amp;q=site%3Alinkedin.com+Yonas+B.+Gebrehiwot+PHD+Student</v>
      </c>
      <c r="K489" s="5" t="str">
        <f t="shared" si="1"/>
        <v>Yonas B. Gebrehiwot</v>
      </c>
      <c r="L489" s="5" t="str">
        <f t="shared" si="2"/>
        <v>PHD Student</v>
      </c>
      <c r="M489" s="5" t="str">
        <f t="shared" si="3"/>
        <v/>
      </c>
      <c r="N489" s="5" t="str">
        <f t="shared" si="4"/>
        <v>University of Alberta</v>
      </c>
      <c r="O489" s="5" t="str">
        <f t="shared" si="5"/>
        <v>3 years 2 months in role and company</v>
      </c>
      <c r="P489" s="5" t="str">
        <f t="shared" si="6"/>
        <v>Edmonton</v>
      </c>
      <c r="Q489" s="5" t="str">
        <f t="shared" si="7"/>
        <v>Alberta</v>
      </c>
      <c r="R489" s="5" t="str">
        <f t="shared" si="8"/>
        <v>Canada</v>
      </c>
    </row>
    <row r="490">
      <c r="A490" s="8" t="s">
        <v>5885</v>
      </c>
      <c r="B490" s="10" t="s">
        <v>2920</v>
      </c>
      <c r="C490" s="10" t="s">
        <v>371</v>
      </c>
      <c r="D490" s="10"/>
      <c r="E490" s="10" t="s">
        <v>4659</v>
      </c>
      <c r="F490" s="10" t="s">
        <v>1321</v>
      </c>
      <c r="G490" s="11" t="s">
        <v>80</v>
      </c>
      <c r="H490" s="11" t="s">
        <v>38</v>
      </c>
      <c r="I490" s="11" t="s">
        <v>18</v>
      </c>
      <c r="J490" s="9" t="str">
        <f>IFERROR(__xludf.DUMMYFUNCTION("""COMPUTED_VALUE"""),"https://www.google.com/search?newwindow=1&amp;ei=2MT0XrvGGM-vytMP1OyDgAY&amp;q=site%3Alinkedin.com+Dallyce+Bialowas+Director+of+Programs+and+Student+Services")</f>
        <v>https://www.google.com/search?newwindow=1&amp;ei=2MT0XrvGGM-vytMP1OyDgAY&amp;q=site%3Alinkedin.com+Dallyce+Bialowas+Director+of+Programs+and+Student+Services</v>
      </c>
      <c r="K490" s="5" t="str">
        <f t="shared" si="1"/>
        <v>Dallyce Bialowas</v>
      </c>
      <c r="L490" s="5" t="str">
        <f t="shared" si="2"/>
        <v>Director of Programs and Student Services</v>
      </c>
      <c r="M490" s="5" t="str">
        <f t="shared" si="3"/>
        <v/>
      </c>
      <c r="N490" s="5" t="str">
        <f t="shared" si="4"/>
        <v>Faculty of Pharmacy and Pharmaceutical Sciences at the University of Alberta</v>
      </c>
      <c r="O490" s="5" t="str">
        <f t="shared" si="5"/>
        <v>4 years 6 months in role and company</v>
      </c>
      <c r="P490" s="5" t="str">
        <f t="shared" si="6"/>
        <v>Edmonton</v>
      </c>
      <c r="Q490" s="5" t="str">
        <f t="shared" si="7"/>
        <v>Alberta</v>
      </c>
      <c r="R490" s="5" t="str">
        <f t="shared" si="8"/>
        <v>Canada</v>
      </c>
    </row>
    <row r="491">
      <c r="A491" s="8" t="s">
        <v>5886</v>
      </c>
      <c r="B491" s="12" t="s">
        <v>5887</v>
      </c>
      <c r="C491" s="10" t="s">
        <v>5888</v>
      </c>
      <c r="D491" s="10"/>
      <c r="E491" s="10" t="s">
        <v>5889</v>
      </c>
      <c r="F491" s="10" t="s">
        <v>1289</v>
      </c>
      <c r="G491" s="11" t="s">
        <v>80</v>
      </c>
      <c r="H491" s="11" t="s">
        <v>38</v>
      </c>
      <c r="I491" s="11" t="s">
        <v>18</v>
      </c>
      <c r="J491" s="9" t="str">
        <f>IFERROR(__xludf.DUMMYFUNCTION("""COMPUTED_VALUE"""),"https://www.google.com/search?newwindow=1&amp;ei=2MT0XrvGGM-vytMP1OyDgAY&amp;q=site%3Alinkedin.com+John+Jones+Rec+Tec+I+-+River+Valley+Programs")</f>
        <v>https://www.google.com/search?newwindow=1&amp;ei=2MT0XrvGGM-vytMP1OyDgAY&amp;q=site%3Alinkedin.com+John+Jones+Rec+Tec+I+-+River+Valley+Programs</v>
      </c>
      <c r="K491" s="5" t="str">
        <f t="shared" si="1"/>
        <v>John Jones</v>
      </c>
      <c r="L491" s="5" t="str">
        <f t="shared" si="2"/>
        <v>Rec Tec I - River Valley Programs</v>
      </c>
      <c r="M491" s="5" t="str">
        <f t="shared" si="3"/>
        <v/>
      </c>
      <c r="N491" s="5" t="str">
        <f t="shared" si="4"/>
        <v>City of Edmonton</v>
      </c>
      <c r="O491" s="5" t="str">
        <f t="shared" si="5"/>
        <v>3 years 7 months in role and company</v>
      </c>
      <c r="P491" s="5" t="str">
        <f t="shared" si="6"/>
        <v>Edmonton</v>
      </c>
      <c r="Q491" s="5" t="str">
        <f t="shared" si="7"/>
        <v>Alberta</v>
      </c>
      <c r="R491" s="5" t="str">
        <f t="shared" si="8"/>
        <v>Canada</v>
      </c>
    </row>
    <row r="492">
      <c r="A492" s="8" t="s">
        <v>5890</v>
      </c>
      <c r="B492" s="12" t="s">
        <v>5891</v>
      </c>
      <c r="C492" s="10" t="s">
        <v>5892</v>
      </c>
      <c r="D492" s="10"/>
      <c r="E492" s="10" t="s">
        <v>14</v>
      </c>
      <c r="F492" s="10" t="s">
        <v>387</v>
      </c>
      <c r="G492" s="11" t="s">
        <v>80</v>
      </c>
      <c r="H492" s="11" t="s">
        <v>38</v>
      </c>
      <c r="I492" s="11" t="s">
        <v>18</v>
      </c>
      <c r="J492" s="9" t="str">
        <f>IFERROR(__xludf.DUMMYFUNCTION("""COMPUTED_VALUE"""),"https://www.google.com/search?newwindow=1&amp;ei=2MT0XrvGGM-vytMP1OyDgAY&amp;q=site%3Alinkedin.com+Rebecca+Nagel+Associate+Dean+(Student+Programs),+Faculty+of+Arts")</f>
        <v>https://www.google.com/search?newwindow=1&amp;ei=2MT0XrvGGM-vytMP1OyDgAY&amp;q=site%3Alinkedin.com+Rebecca+Nagel+Associate+Dean+(Student+Programs),+Faculty+of+Arts</v>
      </c>
      <c r="K492" s="5" t="str">
        <f t="shared" si="1"/>
        <v>Rebecca Nagel</v>
      </c>
      <c r="L492" s="5" t="str">
        <f t="shared" si="2"/>
        <v>Associate Dean (Student Programs), Faculty of Arts</v>
      </c>
      <c r="M492" s="5" t="str">
        <f t="shared" si="3"/>
        <v/>
      </c>
      <c r="N492" s="5" t="str">
        <f t="shared" si="4"/>
        <v>University of Alberta</v>
      </c>
      <c r="O492" s="5" t="str">
        <f t="shared" si="5"/>
        <v/>
      </c>
      <c r="P492" s="5" t="str">
        <f t="shared" si="6"/>
        <v>Edmonton</v>
      </c>
      <c r="Q492" s="5" t="str">
        <f t="shared" si="7"/>
        <v>Alberta</v>
      </c>
      <c r="R492" s="5" t="str">
        <f t="shared" si="8"/>
        <v>Canada</v>
      </c>
    </row>
    <row r="493">
      <c r="A493" s="8" t="s">
        <v>5893</v>
      </c>
      <c r="B493" s="12" t="s">
        <v>1280</v>
      </c>
      <c r="C493" s="10" t="s">
        <v>1281</v>
      </c>
      <c r="D493" s="10"/>
      <c r="E493" s="10" t="s">
        <v>1233</v>
      </c>
      <c r="F493" s="10" t="s">
        <v>1282</v>
      </c>
      <c r="G493" s="11" t="s">
        <v>80</v>
      </c>
      <c r="H493" s="11" t="s">
        <v>38</v>
      </c>
      <c r="I493" s="11" t="s">
        <v>18</v>
      </c>
      <c r="J493" s="9" t="str">
        <f>IFERROR(__xludf.DUMMYFUNCTION("""COMPUTED_VALUE"""),"https://www.google.com/search?newwindow=1&amp;ei=2MT0XrvGGM-vytMP1OyDgAY&amp;q=site%3Alinkedin.com+Regina+Afable+Coordinator+of+Intercultural+Student+Programs")</f>
        <v>https://www.google.com/search?newwindow=1&amp;ei=2MT0XrvGGM-vytMP1OyDgAY&amp;q=site%3Alinkedin.com+Regina+Afable+Coordinator+of+Intercultural+Student+Programs</v>
      </c>
      <c r="K493" s="5" t="str">
        <f t="shared" si="1"/>
        <v>Regina Afable</v>
      </c>
      <c r="L493" s="5" t="str">
        <f t="shared" si="2"/>
        <v>Coordinator of Intercultural Student Programs</v>
      </c>
      <c r="M493" s="5" t="str">
        <f t="shared" si="3"/>
        <v/>
      </c>
      <c r="N493" s="5" t="str">
        <f t="shared" si="4"/>
        <v>The King's University</v>
      </c>
      <c r="O493" s="5" t="str">
        <f t="shared" si="5"/>
        <v>4 years 4 months in role and company</v>
      </c>
      <c r="P493" s="5" t="str">
        <f t="shared" si="6"/>
        <v>Edmonton</v>
      </c>
      <c r="Q493" s="5" t="str">
        <f t="shared" si="7"/>
        <v>Alberta</v>
      </c>
      <c r="R493" s="5" t="str">
        <f t="shared" si="8"/>
        <v>Canada</v>
      </c>
    </row>
    <row r="494">
      <c r="A494" s="8" t="s">
        <v>5894</v>
      </c>
      <c r="B494" s="12" t="s">
        <v>5895</v>
      </c>
      <c r="C494" s="10" t="s">
        <v>4677</v>
      </c>
      <c r="D494" s="10"/>
      <c r="E494" s="10" t="s">
        <v>1233</v>
      </c>
      <c r="F494" s="10" t="s">
        <v>694</v>
      </c>
      <c r="G494" s="11" t="s">
        <v>80</v>
      </c>
      <c r="H494" s="11" t="s">
        <v>38</v>
      </c>
      <c r="I494" s="11" t="s">
        <v>18</v>
      </c>
      <c r="J494" s="9" t="str">
        <f>IFERROR(__xludf.DUMMYFUNCTION("""COMPUTED_VALUE"""),"https://www.google.com/search?newwindow=1&amp;ei=2MT0XrvGGM-vytMP1OyDgAY&amp;q=site%3Alinkedin.com+Rosie+Colangelo+Student+programs+assistant")</f>
        <v>https://www.google.com/search?newwindow=1&amp;ei=2MT0XrvGGM-vytMP1OyDgAY&amp;q=site%3Alinkedin.com+Rosie+Colangelo+Student+programs+assistant</v>
      </c>
      <c r="K494" s="5" t="str">
        <f t="shared" si="1"/>
        <v>Rosie Colangelo</v>
      </c>
      <c r="L494" s="5" t="str">
        <f t="shared" si="2"/>
        <v>Student programs assistant</v>
      </c>
      <c r="M494" s="5" t="str">
        <f t="shared" si="3"/>
        <v/>
      </c>
      <c r="N494" s="5" t="str">
        <f t="shared" si="4"/>
        <v>NAIT (Northern Alberta Institute of Technology)</v>
      </c>
      <c r="O494" s="5" t="str">
        <f t="shared" si="5"/>
        <v>3 years 11 months in role and company</v>
      </c>
      <c r="P494" s="5" t="str">
        <f t="shared" si="6"/>
        <v>Edmonton</v>
      </c>
      <c r="Q494" s="5" t="str">
        <f t="shared" si="7"/>
        <v>Alberta</v>
      </c>
      <c r="R494" s="5" t="str">
        <f t="shared" si="8"/>
        <v>Canada</v>
      </c>
    </row>
    <row r="495">
      <c r="A495" s="8" t="s">
        <v>5896</v>
      </c>
      <c r="B495" s="10" t="s">
        <v>5897</v>
      </c>
      <c r="C495" s="10" t="s">
        <v>5898</v>
      </c>
      <c r="D495" s="10"/>
      <c r="E495" s="10" t="s">
        <v>1560</v>
      </c>
      <c r="F495" s="10"/>
      <c r="G495" s="11" t="s">
        <v>80</v>
      </c>
      <c r="H495" s="11" t="s">
        <v>38</v>
      </c>
      <c r="I495" s="11" t="s">
        <v>18</v>
      </c>
      <c r="J495" s="9" t="str">
        <f>IFERROR(__xludf.DUMMYFUNCTION("""COMPUTED_VALUE"""),"https://www.google.com/search?newwindow=1&amp;ei=2MT0XrvGGM-vytMP1OyDgAY&amp;q=site%3Alinkedin.com+Kayla+Hollihan+Coordinator+of+intercultural+Student+Programs")</f>
        <v>https://www.google.com/search?newwindow=1&amp;ei=2MT0XrvGGM-vytMP1OyDgAY&amp;q=site%3Alinkedin.com+Kayla+Hollihan+Coordinator+of+intercultural+Student+Programs</v>
      </c>
      <c r="K495" s="5" t="str">
        <f t="shared" si="1"/>
        <v>Kayla Hollihan</v>
      </c>
      <c r="L495" s="5" t="str">
        <f t="shared" si="2"/>
        <v>Coordinator of intercultural Student Programs</v>
      </c>
      <c r="M495" s="5" t="str">
        <f t="shared" si="3"/>
        <v/>
      </c>
      <c r="N495" s="5" t="str">
        <f t="shared" si="4"/>
        <v>The King's University</v>
      </c>
      <c r="O495" s="5" t="str">
        <f t="shared" si="5"/>
        <v>1 year  in role and company</v>
      </c>
      <c r="P495" s="5" t="str">
        <f t="shared" si="6"/>
        <v>Edmonton</v>
      </c>
      <c r="Q495" s="5" t="str">
        <f t="shared" si="7"/>
        <v>Alberta</v>
      </c>
      <c r="R495" s="5" t="str">
        <f t="shared" si="8"/>
        <v>Canada</v>
      </c>
    </row>
    <row r="496">
      <c r="A496" s="8" t="s">
        <v>5899</v>
      </c>
      <c r="B496" s="10" t="s">
        <v>5900</v>
      </c>
      <c r="C496" s="10" t="s">
        <v>5879</v>
      </c>
      <c r="D496" s="10"/>
      <c r="E496" s="10" t="s">
        <v>4611</v>
      </c>
      <c r="F496" s="10" t="s">
        <v>574</v>
      </c>
      <c r="G496" s="11" t="s">
        <v>80</v>
      </c>
      <c r="H496" s="11" t="s">
        <v>38</v>
      </c>
      <c r="I496" s="11" t="s">
        <v>18</v>
      </c>
      <c r="J496" s="9" t="str">
        <f>IFERROR(__xludf.DUMMYFUNCTION("""COMPUTED_VALUE"""),"https://www.google.com/search?newwindow=1&amp;ei=2MT0XrvGGM-vytMP1OyDgAY&amp;q=site%3Alinkedin.com+Kellie+Henderson+Graduate+and+Early+Careers+Recruitment+Manager")</f>
        <v>https://www.google.com/search?newwindow=1&amp;ei=2MT0XrvGGM-vytMP1OyDgAY&amp;q=site%3Alinkedin.com+Kellie+Henderson+Graduate+and+Early+Careers+Recruitment+Manager</v>
      </c>
      <c r="K496" s="5" t="str">
        <f t="shared" si="1"/>
        <v>Kellie Henderson</v>
      </c>
      <c r="L496" s="5" t="str">
        <f t="shared" si="2"/>
        <v>Graduate and Early Careers Recruitment Manager</v>
      </c>
      <c r="M496" s="5" t="str">
        <f t="shared" si="3"/>
        <v/>
      </c>
      <c r="N496" s="5" t="str">
        <f t="shared" si="4"/>
        <v>Metaswitch Networks</v>
      </c>
      <c r="O496" s="5" t="str">
        <f t="shared" si="5"/>
        <v>2 years 8 months in role</v>
      </c>
      <c r="P496" s="5" t="str">
        <f t="shared" si="6"/>
        <v>Enfield</v>
      </c>
      <c r="Q496" s="5" t="str">
        <f t="shared" si="7"/>
        <v>England</v>
      </c>
      <c r="R496" s="5" t="str">
        <f t="shared" si="8"/>
        <v>United Kingdom</v>
      </c>
    </row>
    <row r="497">
      <c r="A497" s="8" t="s">
        <v>5901</v>
      </c>
      <c r="B497" s="10" t="s">
        <v>5902</v>
      </c>
      <c r="C497" s="10" t="s">
        <v>5903</v>
      </c>
      <c r="D497" s="10"/>
      <c r="E497" s="10" t="s">
        <v>4611</v>
      </c>
      <c r="F497" s="10" t="s">
        <v>822</v>
      </c>
      <c r="G497" s="11" t="s">
        <v>80</v>
      </c>
      <c r="H497" s="11" t="s">
        <v>38</v>
      </c>
      <c r="I497" s="11" t="s">
        <v>18</v>
      </c>
      <c r="J497" s="9" t="str">
        <f>IFERROR(__xludf.DUMMYFUNCTION("""COMPUTED_VALUE"""),"https://www.google.com/search?newwindow=1&amp;ei=2MT0XrvGGM-vytMP1OyDgAY&amp;q=site%3Alinkedin.com+Sophie+McNamara+Early+Careers+&amp;+Graduate+Recruiter")</f>
        <v>https://www.google.com/search?newwindow=1&amp;ei=2MT0XrvGGM-vytMP1OyDgAY&amp;q=site%3Alinkedin.com+Sophie+McNamara+Early+Careers+&amp;+Graduate+Recruiter</v>
      </c>
      <c r="K497" s="5" t="str">
        <f t="shared" si="1"/>
        <v>Sophie McNamara</v>
      </c>
      <c r="L497" s="5" t="str">
        <f t="shared" si="2"/>
        <v>Early Careers &amp; Graduate Recruiter</v>
      </c>
      <c r="M497" s="5" t="str">
        <f t="shared" si="3"/>
        <v/>
      </c>
      <c r="N497" s="5" t="str">
        <f t="shared" si="4"/>
        <v>Metaswitch Networks</v>
      </c>
      <c r="O497" s="5" t="str">
        <f t="shared" si="5"/>
        <v>1 year 9 months in role and company</v>
      </c>
      <c r="P497" s="5" t="str">
        <f t="shared" si="6"/>
        <v>Enfield</v>
      </c>
      <c r="Q497" s="5" t="str">
        <f t="shared" si="7"/>
        <v>England</v>
      </c>
      <c r="R497" s="5" t="str">
        <f t="shared" si="8"/>
        <v>United Kingdom</v>
      </c>
    </row>
    <row r="498">
      <c r="A498" s="8" t="s">
        <v>5904</v>
      </c>
      <c r="B498" s="10" t="s">
        <v>5905</v>
      </c>
      <c r="C498" s="10" t="s">
        <v>5906</v>
      </c>
      <c r="D498" s="10"/>
      <c r="E498" s="10" t="s">
        <v>1233</v>
      </c>
      <c r="F498" s="10" t="s">
        <v>697</v>
      </c>
      <c r="G498" s="11" t="s">
        <v>80</v>
      </c>
      <c r="H498" s="11" t="s">
        <v>38</v>
      </c>
      <c r="I498" s="11" t="s">
        <v>18</v>
      </c>
      <c r="J498" s="9" t="str">
        <f>IFERROR(__xludf.DUMMYFUNCTION("""COMPUTED_VALUE"""),"https://www.google.com/search?newwindow=1&amp;ei=2MT0XrvGGM-vytMP1OyDgAY&amp;q=site%3Alinkedin.com+Gabriella+Ragno+Graduate+Recruiter")</f>
        <v>https://www.google.com/search?newwindow=1&amp;ei=2MT0XrvGGM-vytMP1OyDgAY&amp;q=site%3Alinkedin.com+Gabriella+Ragno+Graduate+Recruiter</v>
      </c>
      <c r="K498" s="5" t="str">
        <f t="shared" si="1"/>
        <v>Gabriella Ragno</v>
      </c>
      <c r="L498" s="5" t="str">
        <f t="shared" si="2"/>
        <v>Graduate Recruiter</v>
      </c>
      <c r="M498" s="5" t="str">
        <f t="shared" si="3"/>
        <v/>
      </c>
      <c r="N498" s="5" t="str">
        <f t="shared" si="4"/>
        <v>Teach First</v>
      </c>
      <c r="O498" s="5" t="str">
        <f t="shared" si="5"/>
        <v>1 year 3 months in role and company</v>
      </c>
      <c r="P498" s="5" t="str">
        <f t="shared" si="6"/>
        <v>England</v>
      </c>
      <c r="Q498" s="5" t="str">
        <f t="shared" si="7"/>
        <v>United Kingdom</v>
      </c>
      <c r="R498" s="5" t="str">
        <f t="shared" si="8"/>
        <v/>
      </c>
    </row>
    <row r="499">
      <c r="A499" s="8" t="s">
        <v>5907</v>
      </c>
      <c r="B499" s="10" t="s">
        <v>5908</v>
      </c>
      <c r="C499" s="10" t="s">
        <v>5909</v>
      </c>
      <c r="D499" s="10"/>
      <c r="E499" s="10" t="s">
        <v>845</v>
      </c>
      <c r="F499" s="10" t="s">
        <v>686</v>
      </c>
      <c r="G499" s="11" t="s">
        <v>80</v>
      </c>
      <c r="H499" s="11" t="s">
        <v>38</v>
      </c>
      <c r="I499" s="11" t="s">
        <v>18</v>
      </c>
      <c r="J499" s="9" t="str">
        <f>IFERROR(__xludf.DUMMYFUNCTION("""COMPUTED_VALUE"""),"https://www.google.com/search?newwindow=1&amp;ei=2MT0XrvGGM-vytMP1OyDgAY&amp;q=site%3Alinkedin.com+Daniela+Goldberger+Campus+Recruiting+Coordinator")</f>
        <v>https://www.google.com/search?newwindow=1&amp;ei=2MT0XrvGGM-vytMP1OyDgAY&amp;q=site%3Alinkedin.com+Daniela+Goldberger+Campus+Recruiting+Coordinator</v>
      </c>
      <c r="K499" s="5" t="str">
        <f t="shared" si="1"/>
        <v>Daniela Goldberger</v>
      </c>
      <c r="L499" s="5" t="str">
        <f t="shared" si="2"/>
        <v>Campus Recruiting Coordinator</v>
      </c>
      <c r="M499" s="5" t="str">
        <f t="shared" si="3"/>
        <v/>
      </c>
      <c r="N499" s="5" t="str">
        <f t="shared" si="4"/>
        <v>Ernst &amp; Young</v>
      </c>
      <c r="O499" s="5" t="str">
        <f t="shared" si="5"/>
        <v>1 year 2 months in role and company</v>
      </c>
      <c r="P499" s="5" t="str">
        <f t="shared" si="6"/>
        <v>Englishtown</v>
      </c>
      <c r="Q499" s="5" t="str">
        <f t="shared" si="7"/>
        <v>New Jersey</v>
      </c>
      <c r="R499" s="5" t="str">
        <f t="shared" si="8"/>
        <v>United States</v>
      </c>
    </row>
    <row r="500">
      <c r="A500" s="8" t="s">
        <v>5910</v>
      </c>
      <c r="B500" s="10" t="s">
        <v>5911</v>
      </c>
      <c r="C500" s="10" t="s">
        <v>5912</v>
      </c>
      <c r="D500" s="10"/>
      <c r="E500" s="10" t="s">
        <v>2297</v>
      </c>
      <c r="F500" s="10" t="s">
        <v>15</v>
      </c>
      <c r="G500" s="11" t="s">
        <v>80</v>
      </c>
      <c r="H500" s="11" t="s">
        <v>38</v>
      </c>
      <c r="I500" s="11" t="s">
        <v>18</v>
      </c>
      <c r="J500" s="9" t="str">
        <f>IFERROR(__xludf.DUMMYFUNCTION("""COMPUTED_VALUE"""),"https://www.google.com/search?newwindow=1&amp;ei=2MT0XrvGGM-vytMP1OyDgAY&amp;q=site%3Alinkedin.com+Jane+Chafer+Director+of+Marketing,+Recruitment+(Students),+Communications+and+Global+at+the+University+of+Exeter")</f>
        <v>https://www.google.com/search?newwindow=1&amp;ei=2MT0XrvGGM-vytMP1OyDgAY&amp;q=site%3Alinkedin.com+Jane+Chafer+Director+of+Marketing,+Recruitment+(Students),+Communications+and+Global+at+the+University+of+Exeter</v>
      </c>
      <c r="K500" s="5" t="str">
        <f t="shared" si="1"/>
        <v>Jane Chafer</v>
      </c>
      <c r="L500" s="5" t="str">
        <f t="shared" si="2"/>
        <v>Director of Marketing, Recruitment (Students), Communications and Global at the University of Exeter</v>
      </c>
      <c r="M500" s="5" t="str">
        <f t="shared" si="3"/>
        <v/>
      </c>
      <c r="N500" s="5" t="str">
        <f t="shared" si="4"/>
        <v>University of Exeter</v>
      </c>
      <c r="O500" s="5" t="str">
        <f t="shared" si="5"/>
        <v>10 months in role and company</v>
      </c>
      <c r="P500" s="5" t="str">
        <f t="shared" si="6"/>
        <v>Exeter</v>
      </c>
      <c r="Q500" s="5" t="str">
        <f t="shared" si="7"/>
        <v>England</v>
      </c>
      <c r="R500" s="5" t="str">
        <f t="shared" si="8"/>
        <v>United Kingdom</v>
      </c>
    </row>
    <row r="501">
      <c r="A501" s="8" t="s">
        <v>5913</v>
      </c>
      <c r="B501" s="10" t="s">
        <v>5914</v>
      </c>
      <c r="C501" s="10" t="s">
        <v>5915</v>
      </c>
      <c r="D501" s="10"/>
      <c r="E501" s="10" t="s">
        <v>4611</v>
      </c>
      <c r="F501" s="10" t="s">
        <v>822</v>
      </c>
      <c r="G501" s="11" t="s">
        <v>80</v>
      </c>
      <c r="H501" s="11" t="s">
        <v>38</v>
      </c>
      <c r="I501" s="11" t="s">
        <v>18</v>
      </c>
      <c r="J501" s="9" t="str">
        <f>IFERROR(__xludf.DUMMYFUNCTION("""COMPUTED_VALUE"""),"https://www.google.com/search?newwindow=1&amp;ei=2MT0XrvGGM-vytMP1OyDgAY&amp;q=site%3Alinkedin.com+Natalie+March+Graduate+Recruiter")</f>
        <v>https://www.google.com/search?newwindow=1&amp;ei=2MT0XrvGGM-vytMP1OyDgAY&amp;q=site%3Alinkedin.com+Natalie+March+Graduate+Recruiter</v>
      </c>
      <c r="K501" s="5" t="str">
        <f t="shared" si="1"/>
        <v>Natalie March</v>
      </c>
      <c r="L501" s="5" t="str">
        <f t="shared" si="2"/>
        <v>Graduate Recruiter</v>
      </c>
      <c r="M501" s="5" t="str">
        <f t="shared" si="3"/>
        <v/>
      </c>
      <c r="N501" s="5" t="str">
        <f t="shared" si="4"/>
        <v>iTutorGroup</v>
      </c>
      <c r="O501" s="5" t="str">
        <f t="shared" si="5"/>
        <v>2 years 4 months in role and company</v>
      </c>
      <c r="P501" s="5" t="str">
        <f t="shared" si="6"/>
        <v>Exeter</v>
      </c>
      <c r="Q501" s="5" t="str">
        <f t="shared" si="7"/>
        <v>England</v>
      </c>
      <c r="R501" s="5" t="str">
        <f t="shared" si="8"/>
        <v>United Kingdom</v>
      </c>
    </row>
    <row r="502">
      <c r="A502" s="8" t="s">
        <v>5916</v>
      </c>
      <c r="B502" s="10" t="s">
        <v>1723</v>
      </c>
      <c r="C502" s="10" t="s">
        <v>1724</v>
      </c>
      <c r="D502" s="10"/>
      <c r="E502" s="10" t="s">
        <v>4701</v>
      </c>
      <c r="F502" s="10" t="s">
        <v>1105</v>
      </c>
      <c r="G502" s="11" t="s">
        <v>80</v>
      </c>
      <c r="H502" s="11" t="s">
        <v>38</v>
      </c>
      <c r="I502" s="11" t="s">
        <v>18</v>
      </c>
      <c r="J502" s="9" t="str">
        <f>IFERROR(__xludf.DUMMYFUNCTION("""COMPUTED_VALUE"""),"https://www.google.com/search?newwindow=1&amp;ei=2MT0XrvGGM-vytMP1OyDgAY&amp;q=site%3Alinkedin.com+Annarose+Christakos+Campus+Recruiting+Coordinator")</f>
        <v>https://www.google.com/search?newwindow=1&amp;ei=2MT0XrvGGM-vytMP1OyDgAY&amp;q=site%3Alinkedin.com+Annarose+Christakos+Campus+Recruiting+Coordinator</v>
      </c>
      <c r="K502" s="5" t="str">
        <f t="shared" si="1"/>
        <v>Annarose Christakos</v>
      </c>
      <c r="L502" s="5" t="str">
        <f t="shared" si="2"/>
        <v>Campus Recruiting Coordinator</v>
      </c>
      <c r="M502" s="5" t="str">
        <f t="shared" si="3"/>
        <v/>
      </c>
      <c r="N502" s="5" t="str">
        <f t="shared" si="4"/>
        <v>EY</v>
      </c>
      <c r="O502" s="5" t="str">
        <f t="shared" si="5"/>
        <v>6 years 1 month in role and company</v>
      </c>
      <c r="P502" s="5" t="str">
        <f t="shared" si="6"/>
        <v>Fairfax County</v>
      </c>
      <c r="Q502" s="5" t="str">
        <f t="shared" si="7"/>
        <v>Virginia</v>
      </c>
      <c r="R502" s="5" t="str">
        <f t="shared" si="8"/>
        <v>United States</v>
      </c>
    </row>
    <row r="503">
      <c r="A503" s="8" t="s">
        <v>5917</v>
      </c>
      <c r="B503" s="12" t="s">
        <v>5918</v>
      </c>
      <c r="C503" s="10" t="s">
        <v>5919</v>
      </c>
      <c r="D503" s="10"/>
      <c r="E503" s="10" t="s">
        <v>4611</v>
      </c>
      <c r="F503" s="10" t="s">
        <v>136</v>
      </c>
      <c r="G503" s="11" t="s">
        <v>80</v>
      </c>
      <c r="H503" s="11" t="s">
        <v>38</v>
      </c>
      <c r="I503" s="11" t="s">
        <v>18</v>
      </c>
      <c r="J503" s="9" t="str">
        <f>IFERROR(__xludf.DUMMYFUNCTION("""COMPUTED_VALUE"""),"https://www.google.com/search?newwindow=1&amp;ei=2MT0XrvGGM-vytMP1OyDgAY&amp;q=site%3Alinkedin.com+Kristin+Chase+Campus+Recruiting+Specialist")</f>
        <v>https://www.google.com/search?newwindow=1&amp;ei=2MT0XrvGGM-vytMP1OyDgAY&amp;q=site%3Alinkedin.com+Kristin+Chase+Campus+Recruiting+Specialist</v>
      </c>
      <c r="K503" s="5" t="str">
        <f t="shared" si="1"/>
        <v>Kristin Chase</v>
      </c>
      <c r="L503" s="5" t="str">
        <f t="shared" si="2"/>
        <v>Campus Recruiting Specialist</v>
      </c>
      <c r="M503" s="5" t="str">
        <f t="shared" si="3"/>
        <v/>
      </c>
      <c r="N503" s="5" t="str">
        <f t="shared" si="4"/>
        <v>Deloitte</v>
      </c>
      <c r="O503" s="5" t="str">
        <f t="shared" si="5"/>
        <v>2 years 2 months in role and company</v>
      </c>
      <c r="P503" s="5" t="str">
        <f t="shared" si="6"/>
        <v>Fairfax Station</v>
      </c>
      <c r="Q503" s="5" t="str">
        <f t="shared" si="7"/>
        <v>Virginia</v>
      </c>
      <c r="R503" s="5" t="str">
        <f t="shared" si="8"/>
        <v>United States</v>
      </c>
    </row>
    <row r="504">
      <c r="A504" s="8" t="s">
        <v>5920</v>
      </c>
      <c r="B504" s="10" t="s">
        <v>1720</v>
      </c>
      <c r="C504" s="10" t="s">
        <v>1721</v>
      </c>
      <c r="D504" s="10"/>
      <c r="E504" s="10" t="s">
        <v>4701</v>
      </c>
      <c r="F504" s="10" t="s">
        <v>121</v>
      </c>
      <c r="G504" s="11" t="s">
        <v>80</v>
      </c>
      <c r="H504" s="11" t="s">
        <v>38</v>
      </c>
      <c r="I504" s="11" t="s">
        <v>18</v>
      </c>
      <c r="J504" s="9" t="str">
        <f>IFERROR(__xludf.DUMMYFUNCTION("""COMPUTED_VALUE"""),"https://www.google.com/search?newwindow=1&amp;ei=2MT0XrvGGM-vytMP1OyDgAY&amp;q=site%3Alinkedin.com+Samyra+Clarke+Campus+Recruiting+Operations+Lead,+Accenture+Federal+Services")</f>
        <v>https://www.google.com/search?newwindow=1&amp;ei=2MT0XrvGGM-vytMP1OyDgAY&amp;q=site%3Alinkedin.com+Samyra+Clarke+Campus+Recruiting+Operations+Lead,+Accenture+Federal+Services</v>
      </c>
      <c r="K504" s="5" t="str">
        <f t="shared" si="1"/>
        <v>Samyra Clarke</v>
      </c>
      <c r="L504" s="5" t="str">
        <f t="shared" si="2"/>
        <v>Campus Recruiting Operations Lead, Accenture Federal Services</v>
      </c>
      <c r="M504" s="5" t="str">
        <f t="shared" si="3"/>
        <v/>
      </c>
      <c r="N504" s="5" t="str">
        <f t="shared" si="4"/>
        <v>Accenture</v>
      </c>
      <c r="O504" s="5" t="str">
        <f t="shared" si="5"/>
        <v>5 years 8 months in role and company</v>
      </c>
      <c r="P504" s="5" t="str">
        <f t="shared" si="6"/>
        <v>Falls Church</v>
      </c>
      <c r="Q504" s="5" t="str">
        <f t="shared" si="7"/>
        <v>Virginia</v>
      </c>
      <c r="R504" s="5" t="str">
        <f t="shared" si="8"/>
        <v>United States</v>
      </c>
    </row>
    <row r="505">
      <c r="A505" s="8" t="s">
        <v>5921</v>
      </c>
      <c r="B505" s="10" t="s">
        <v>5922</v>
      </c>
      <c r="C505" s="10" t="s">
        <v>5923</v>
      </c>
      <c r="D505" s="10"/>
      <c r="E505" s="10" t="s">
        <v>4701</v>
      </c>
      <c r="F505" s="10" t="s">
        <v>570</v>
      </c>
      <c r="G505" s="11" t="s">
        <v>80</v>
      </c>
      <c r="H505" s="11" t="s">
        <v>38</v>
      </c>
      <c r="I505" s="11" t="s">
        <v>18</v>
      </c>
      <c r="J505" s="9" t="str">
        <f>IFERROR(__xludf.DUMMYFUNCTION("""COMPUTED_VALUE"""),"https://www.google.com/search?newwindow=1&amp;ei=2MT0XrvGGM-vytMP1OyDgAY&amp;q=site%3Alinkedin.com+Hayley+McCormack+Student+recruitment+and+Admissions+Co-ordinator+(Penryn+Campus)")</f>
        <v>https://www.google.com/search?newwindow=1&amp;ei=2MT0XrvGGM-vytMP1OyDgAY&amp;q=site%3Alinkedin.com+Hayley+McCormack+Student+recruitment+and+Admissions+Co-ordinator+(Penryn+Campus)</v>
      </c>
      <c r="K505" s="5" t="str">
        <f t="shared" si="1"/>
        <v>Hayley McCormack</v>
      </c>
      <c r="L505" s="5" t="str">
        <f t="shared" si="2"/>
        <v>Student recruitment and Admissions Co-ordinator (Penryn Campus)</v>
      </c>
      <c r="M505" s="5" t="str">
        <f t="shared" si="3"/>
        <v/>
      </c>
      <c r="N505" s="5" t="str">
        <f t="shared" si="4"/>
        <v>University of Exeter</v>
      </c>
      <c r="O505" s="5" t="str">
        <f t="shared" si="5"/>
        <v>2 years 2 months in role</v>
      </c>
      <c r="P505" s="5" t="str">
        <f t="shared" si="6"/>
        <v>Falmouth</v>
      </c>
      <c r="Q505" s="5" t="str">
        <f t="shared" si="7"/>
        <v>England</v>
      </c>
      <c r="R505" s="5" t="str">
        <f t="shared" si="8"/>
        <v>United Kingdom</v>
      </c>
    </row>
    <row r="506">
      <c r="A506" s="8" t="s">
        <v>5924</v>
      </c>
      <c r="B506" s="12" t="s">
        <v>5925</v>
      </c>
      <c r="C506" s="10" t="s">
        <v>5926</v>
      </c>
      <c r="D506" s="10"/>
      <c r="E506" s="10" t="s">
        <v>4611</v>
      </c>
      <c r="F506" s="10" t="s">
        <v>136</v>
      </c>
      <c r="G506" s="11" t="s">
        <v>80</v>
      </c>
      <c r="H506" s="11" t="s">
        <v>38</v>
      </c>
      <c r="I506" s="11" t="s">
        <v>18</v>
      </c>
      <c r="J506" s="9" t="str">
        <f>IFERROR(__xludf.DUMMYFUNCTION("""COMPUTED_VALUE"""),"https://www.google.com/search?newwindow=1&amp;ei=2MT0XrvGGM-vytMP1OyDgAY&amp;q=site%3Alinkedin.com+Dawn+John+Northeast+Campus+Recruiting+Leader")</f>
        <v>https://www.google.com/search?newwindow=1&amp;ei=2MT0XrvGGM-vytMP1OyDgAY&amp;q=site%3Alinkedin.com+Dawn+John+Northeast+Campus+Recruiting+Leader</v>
      </c>
      <c r="K506" s="5" t="str">
        <f t="shared" si="1"/>
        <v>Dawn John</v>
      </c>
      <c r="L506" s="5" t="str">
        <f t="shared" si="2"/>
        <v>Northeast Campus Recruiting Leader</v>
      </c>
      <c r="M506" s="5" t="str">
        <f t="shared" si="3"/>
        <v/>
      </c>
      <c r="N506" s="5" t="str">
        <f t="shared" si="4"/>
        <v>Deloitte &amp; Touche</v>
      </c>
      <c r="O506" s="5" t="str">
        <f t="shared" si="5"/>
        <v>11 years 4 months in role</v>
      </c>
      <c r="P506" s="5" t="str">
        <f t="shared" si="6"/>
        <v>Fanwood</v>
      </c>
      <c r="Q506" s="5" t="str">
        <f t="shared" si="7"/>
        <v>New Jersey</v>
      </c>
      <c r="R506" s="5" t="str">
        <f t="shared" si="8"/>
        <v>United States</v>
      </c>
    </row>
    <row r="507">
      <c r="A507" s="8" t="s">
        <v>5927</v>
      </c>
      <c r="B507" s="10" t="s">
        <v>2475</v>
      </c>
      <c r="C507" s="10" t="s">
        <v>2476</v>
      </c>
      <c r="D507" s="10"/>
      <c r="E507" s="10" t="s">
        <v>5500</v>
      </c>
      <c r="F507" s="10" t="s">
        <v>188</v>
      </c>
      <c r="G507" s="11" t="s">
        <v>80</v>
      </c>
      <c r="H507" s="11" t="s">
        <v>38</v>
      </c>
      <c r="I507" s="11" t="s">
        <v>18</v>
      </c>
      <c r="J507" s="9" t="str">
        <f>IFERROR(__xludf.DUMMYFUNCTION("""COMPUTED_VALUE"""),"https://www.google.com/search?newwindow=1&amp;ei=2MT0XrvGGM-vytMP1OyDgAY&amp;q=site%3Alinkedin.com+Emily+Farrah,+CGSP+University,+D&amp;I+Recruiting+Project+Specialist")</f>
        <v>https://www.google.com/search?newwindow=1&amp;ei=2MT0XrvGGM-vytMP1OyDgAY&amp;q=site%3Alinkedin.com+Emily+Farrah,+CGSP+University,+D&amp;I+Recruiting+Project+Specialist</v>
      </c>
      <c r="K507" s="5" t="str">
        <f t="shared" si="1"/>
        <v>Emily Farrah, CGSP</v>
      </c>
      <c r="L507" s="5" t="str">
        <f t="shared" si="2"/>
        <v>University, D&amp;I Recruiting Project Specialist</v>
      </c>
      <c r="M507" s="5" t="str">
        <f t="shared" si="3"/>
        <v/>
      </c>
      <c r="N507" s="5" t="str">
        <f t="shared" si="4"/>
        <v>Gartner</v>
      </c>
      <c r="O507" s="5" t="str">
        <f t="shared" si="5"/>
        <v>9 months in role</v>
      </c>
      <c r="P507" s="5" t="str">
        <f t="shared" si="6"/>
        <v>Fort Myers</v>
      </c>
      <c r="Q507" s="5" t="str">
        <f t="shared" si="7"/>
        <v>Florida</v>
      </c>
      <c r="R507" s="5" t="str">
        <f t="shared" si="8"/>
        <v>United States</v>
      </c>
    </row>
    <row r="508">
      <c r="A508" s="8" t="s">
        <v>5928</v>
      </c>
      <c r="B508" s="10" t="s">
        <v>5929</v>
      </c>
      <c r="C508" s="10" t="s">
        <v>4674</v>
      </c>
      <c r="D508" s="10"/>
      <c r="E508" s="10" t="s">
        <v>1233</v>
      </c>
      <c r="F508" s="10" t="s">
        <v>1718</v>
      </c>
      <c r="G508" s="11" t="s">
        <v>80</v>
      </c>
      <c r="H508" s="11" t="s">
        <v>38</v>
      </c>
      <c r="I508" s="11" t="s">
        <v>18</v>
      </c>
      <c r="J508" s="9" t="str">
        <f>IFERROR(__xludf.DUMMYFUNCTION("""COMPUTED_VALUE"""),"https://www.google.com/search?newwindow=1&amp;ei=2MT0XrvGGM-vytMP1OyDgAY&amp;q=site%3Alinkedin.com+Caitlin+Seccombe+Manager,+Recruiting")</f>
        <v>https://www.google.com/search?newwindow=1&amp;ei=2MT0XrvGGM-vytMP1OyDgAY&amp;q=site%3Alinkedin.com+Caitlin+Seccombe+Manager,+Recruiting</v>
      </c>
      <c r="K508" s="5" t="str">
        <f t="shared" si="1"/>
        <v>Caitlin Seccombe</v>
      </c>
      <c r="L508" s="5" t="str">
        <f t="shared" si="2"/>
        <v>Manager, Recruiting</v>
      </c>
      <c r="M508" s="5" t="str">
        <f t="shared" si="3"/>
        <v/>
      </c>
      <c r="N508" s="5" t="str">
        <f t="shared" si="4"/>
        <v>Gartner</v>
      </c>
      <c r="O508" s="5" t="str">
        <f t="shared" si="5"/>
        <v>1 year 7 months in role</v>
      </c>
      <c r="P508" s="5" t="str">
        <f t="shared" si="6"/>
        <v>Fort Myers</v>
      </c>
      <c r="Q508" s="5" t="str">
        <f t="shared" si="7"/>
        <v>Florida</v>
      </c>
      <c r="R508" s="5" t="str">
        <f t="shared" si="8"/>
        <v>United States</v>
      </c>
    </row>
    <row r="509">
      <c r="A509" s="8" t="s">
        <v>5930</v>
      </c>
      <c r="B509" s="10" t="s">
        <v>5931</v>
      </c>
      <c r="C509" s="10" t="s">
        <v>4749</v>
      </c>
      <c r="D509" s="10"/>
      <c r="E509" s="10" t="s">
        <v>4701</v>
      </c>
      <c r="F509" s="10" t="s">
        <v>5932</v>
      </c>
      <c r="G509" s="11" t="s">
        <v>80</v>
      </c>
      <c r="H509" s="11" t="s">
        <v>38</v>
      </c>
      <c r="I509" s="11" t="s">
        <v>18</v>
      </c>
      <c r="J509" s="9" t="str">
        <f>IFERROR(__xludf.DUMMYFUNCTION("""COMPUTED_VALUE"""),"https://www.google.com/search?newwindow=1&amp;ei=2MT0XrvGGM-vytMP1OyDgAY&amp;q=site%3Alinkedin.com+CJ+Giles+Senior+Recruiting+-+Global+and+Large+Enterprise+Sales")</f>
        <v>https://www.google.com/search?newwindow=1&amp;ei=2MT0XrvGGM-vytMP1OyDgAY&amp;q=site%3Alinkedin.com+CJ+Giles+Senior+Recruiting+-+Global+and+Large+Enterprise+Sales</v>
      </c>
      <c r="K509" s="5" t="str">
        <f t="shared" si="1"/>
        <v>CJ Giles</v>
      </c>
      <c r="L509" s="5" t="str">
        <f t="shared" si="2"/>
        <v>Senior Recruiting - Global and Large Enterprise Sales</v>
      </c>
      <c r="M509" s="5" t="str">
        <f t="shared" si="3"/>
        <v/>
      </c>
      <c r="N509" s="5" t="str">
        <f t="shared" si="4"/>
        <v>Gartner</v>
      </c>
      <c r="O509" s="5" t="str">
        <f t="shared" si="5"/>
        <v>2 years 7 months in role and company</v>
      </c>
      <c r="P509" s="5" t="str">
        <f t="shared" si="6"/>
        <v>Fort Myers</v>
      </c>
      <c r="Q509" s="5" t="str">
        <f t="shared" si="7"/>
        <v>Florida</v>
      </c>
      <c r="R509" s="5" t="str">
        <f t="shared" si="8"/>
        <v>United States</v>
      </c>
    </row>
    <row r="510">
      <c r="A510" s="8" t="s">
        <v>5933</v>
      </c>
      <c r="B510" s="12" t="s">
        <v>5934</v>
      </c>
      <c r="C510" s="10" t="s">
        <v>5935</v>
      </c>
      <c r="D510" s="10"/>
      <c r="E510" s="10" t="s">
        <v>5936</v>
      </c>
      <c r="F510" s="10" t="s">
        <v>33</v>
      </c>
      <c r="G510" s="11" t="s">
        <v>5937</v>
      </c>
      <c r="H510" s="11" t="s">
        <v>4757</v>
      </c>
      <c r="I510" s="11" t="s">
        <v>4607</v>
      </c>
      <c r="J510" s="9" t="str">
        <f>IFERROR(__xludf.DUMMYFUNCTION("""COMPUTED_VALUE"""),"https://www.google.com/search?newwindow=1&amp;ei=2MT0XrvGGM-vytMP1OyDgAY&amp;q=site%3Alinkedin.com+Amy+Curtin+Human+Capital+Recruiting+Manager")</f>
        <v>https://www.google.com/search?newwindow=1&amp;ei=2MT0XrvGGM-vytMP1OyDgAY&amp;q=site%3Alinkedin.com+Amy+Curtin+Human+Capital+Recruiting+Manager</v>
      </c>
      <c r="K510" s="5" t="str">
        <f t="shared" si="1"/>
        <v>Amy Curtin</v>
      </c>
      <c r="L510" s="5" t="str">
        <f t="shared" si="2"/>
        <v>Human Capital Recruiting Manager</v>
      </c>
      <c r="M510" s="5" t="str">
        <f t="shared" si="3"/>
        <v/>
      </c>
      <c r="N510" s="5" t="str">
        <f t="shared" si="4"/>
        <v>Deloitte</v>
      </c>
      <c r="O510" s="5" t="str">
        <f t="shared" si="5"/>
        <v>3 years 8 months in role</v>
      </c>
      <c r="P510" s="5" t="str">
        <f t="shared" si="6"/>
        <v>Franklin Lakes</v>
      </c>
      <c r="Q510" s="5" t="str">
        <f t="shared" si="7"/>
        <v>New Jersey</v>
      </c>
      <c r="R510" s="5" t="str">
        <f t="shared" si="8"/>
        <v>United States</v>
      </c>
    </row>
    <row r="511">
      <c r="A511" s="8" t="s">
        <v>5938</v>
      </c>
      <c r="B511" s="12" t="s">
        <v>5939</v>
      </c>
      <c r="C511" s="10" t="s">
        <v>5940</v>
      </c>
      <c r="D511" s="10"/>
      <c r="E511" s="10" t="s">
        <v>5941</v>
      </c>
      <c r="F511" s="10" t="s">
        <v>182</v>
      </c>
      <c r="G511" s="11" t="s">
        <v>5942</v>
      </c>
      <c r="H511" s="11" t="s">
        <v>4638</v>
      </c>
      <c r="I511" s="11" t="s">
        <v>4600</v>
      </c>
      <c r="J511" s="9" t="str">
        <f>IFERROR(__xludf.DUMMYFUNCTION("""COMPUTED_VALUE"""),"https://www.google.com/search?newwindow=1&amp;ei=2MT0XrvGGM-vytMP1OyDgAY&amp;q=site%3Alinkedin.com+Taiesha+Olden+Campus+Recruiting+Coordinator,+Diversity+&amp;+Early+Engagement+Events")</f>
        <v>https://www.google.com/search?newwindow=1&amp;ei=2MT0XrvGGM-vytMP1OyDgAY&amp;q=site%3Alinkedin.com+Taiesha+Olden+Campus+Recruiting+Coordinator,+Diversity+&amp;+Early+Engagement+Events</v>
      </c>
      <c r="K511" s="5" t="str">
        <f t="shared" si="1"/>
        <v>Taiesha Olden</v>
      </c>
      <c r="L511" s="5" t="str">
        <f t="shared" si="2"/>
        <v>Campus Recruiting Coordinator, Diversity &amp; Early Engagement Events</v>
      </c>
      <c r="M511" s="5" t="str">
        <f t="shared" si="3"/>
        <v/>
      </c>
      <c r="N511" s="5" t="str">
        <f t="shared" si="4"/>
        <v>Capital One</v>
      </c>
      <c r="O511" s="5" t="str">
        <f t="shared" si="5"/>
        <v>11 months in role</v>
      </c>
      <c r="P511" s="5" t="str">
        <f t="shared" si="6"/>
        <v>Frisco</v>
      </c>
      <c r="Q511" s="5" t="str">
        <f t="shared" si="7"/>
        <v>Texas</v>
      </c>
      <c r="R511" s="5" t="str">
        <f t="shared" si="8"/>
        <v>United States</v>
      </c>
    </row>
    <row r="512">
      <c r="A512" s="8" t="s">
        <v>5943</v>
      </c>
      <c r="B512" s="10" t="s">
        <v>5944</v>
      </c>
      <c r="C512" s="10" t="s">
        <v>2911</v>
      </c>
      <c r="D512" s="10"/>
      <c r="E512" s="10" t="s">
        <v>4659</v>
      </c>
      <c r="F512" s="10" t="s">
        <v>2265</v>
      </c>
      <c r="G512" s="11" t="s">
        <v>609</v>
      </c>
      <c r="H512" s="11" t="s">
        <v>76</v>
      </c>
      <c r="I512" s="11" t="s">
        <v>18</v>
      </c>
      <c r="J512" s="9" t="str">
        <f>IFERROR(__xludf.DUMMYFUNCTION("""COMPUTED_VALUE"""),"https://www.google.com/search?newwindow=1&amp;ei=2MT0XrvGGM-vytMP1OyDgAY&amp;q=site%3Alinkedin.com+Alexandre+Tremblay,+CPA,+CA+Student+Programs+Coordinator")</f>
        <v>https://www.google.com/search?newwindow=1&amp;ei=2MT0XrvGGM-vytMP1OyDgAY&amp;q=site%3Alinkedin.com+Alexandre+Tremblay,+CPA,+CA+Student+Programs+Coordinator</v>
      </c>
      <c r="K512" s="5" t="str">
        <f t="shared" si="1"/>
        <v>Alexandre Tremblay, CPA, CA</v>
      </c>
      <c r="L512" s="5" t="str">
        <f t="shared" si="2"/>
        <v>Student Programs Coordinator</v>
      </c>
      <c r="M512" s="5" t="str">
        <f t="shared" si="3"/>
        <v/>
      </c>
      <c r="N512" s="5" t="str">
        <f t="shared" si="4"/>
        <v>Office of the Auditor General of Canada</v>
      </c>
      <c r="O512" s="5" t="str">
        <f t="shared" si="5"/>
        <v>3 years 3 months in role and company</v>
      </c>
      <c r="P512" s="5" t="str">
        <f t="shared" si="6"/>
        <v>Gatineau</v>
      </c>
      <c r="Q512" s="5" t="str">
        <f t="shared" si="7"/>
        <v>Quebec</v>
      </c>
      <c r="R512" s="5" t="str">
        <f t="shared" si="8"/>
        <v>Canada</v>
      </c>
    </row>
    <row r="513">
      <c r="A513" s="8" t="s">
        <v>5945</v>
      </c>
      <c r="B513" s="12" t="s">
        <v>5946</v>
      </c>
      <c r="C513" s="10" t="s">
        <v>5947</v>
      </c>
      <c r="D513" s="10"/>
      <c r="E513" s="10" t="s">
        <v>5948</v>
      </c>
      <c r="F513" s="10" t="s">
        <v>228</v>
      </c>
      <c r="G513" s="11" t="s">
        <v>5949</v>
      </c>
      <c r="H513" s="11" t="s">
        <v>4599</v>
      </c>
      <c r="I513" s="11" t="s">
        <v>4600</v>
      </c>
      <c r="J513" s="9" t="str">
        <f>IFERROR(__xludf.DUMMYFUNCTION("""COMPUTED_VALUE"""),"https://www.google.com/search?newwindow=1&amp;ei=2MT0XrvGGM-vytMP1OyDgAY&amp;q=site%3Alinkedin.com+Joelle+Plouffe+Student+Programs+Coordinator")</f>
        <v>https://www.google.com/search?newwindow=1&amp;ei=2MT0XrvGGM-vytMP1OyDgAY&amp;q=site%3Alinkedin.com+Joelle+Plouffe+Student+Programs+Coordinator</v>
      </c>
      <c r="K513" s="5" t="str">
        <f t="shared" si="1"/>
        <v>Joelle Plouffe</v>
      </c>
      <c r="L513" s="5" t="str">
        <f t="shared" si="2"/>
        <v>Student Programs Coordinator</v>
      </c>
      <c r="M513" s="5" t="str">
        <f t="shared" si="3"/>
        <v/>
      </c>
      <c r="N513" s="5" t="str">
        <f t="shared" si="4"/>
        <v>Public Works and Government Services Canada</v>
      </c>
      <c r="O513" s="5" t="str">
        <f t="shared" si="5"/>
        <v/>
      </c>
      <c r="P513" s="5" t="str">
        <f t="shared" si="6"/>
        <v>Gatineau</v>
      </c>
      <c r="Q513" s="5" t="str">
        <f t="shared" si="7"/>
        <v>Quebec</v>
      </c>
      <c r="R513" s="5" t="str">
        <f t="shared" si="8"/>
        <v>Canada</v>
      </c>
    </row>
    <row r="514">
      <c r="A514" s="8" t="s">
        <v>5950</v>
      </c>
      <c r="B514" s="12" t="s">
        <v>5951</v>
      </c>
      <c r="C514" s="10" t="s">
        <v>5952</v>
      </c>
      <c r="D514" s="10"/>
      <c r="E514" s="10" t="s">
        <v>5815</v>
      </c>
      <c r="F514" s="10" t="s">
        <v>1950</v>
      </c>
      <c r="G514" s="11" t="s">
        <v>5949</v>
      </c>
      <c r="H514" s="11" t="s">
        <v>4599</v>
      </c>
      <c r="I514" s="11" t="s">
        <v>4600</v>
      </c>
      <c r="J514" s="9" t="str">
        <f>IFERROR(__xludf.DUMMYFUNCTION("""COMPUTED_VALUE"""),"https://www.google.com/search?newwindow=1&amp;ei=2MT0XrvGGM-vytMP1OyDgAY&amp;q=site%3Alinkedin.com+Anoosha+Mahmood+Graduate+Recruiter")</f>
        <v>https://www.google.com/search?newwindow=1&amp;ei=2MT0XrvGGM-vytMP1OyDgAY&amp;q=site%3Alinkedin.com+Anoosha+Mahmood+Graduate+Recruiter</v>
      </c>
      <c r="K514" s="5" t="str">
        <f t="shared" si="1"/>
        <v>Anoosha Mahmood</v>
      </c>
      <c r="L514" s="5" t="str">
        <f t="shared" si="2"/>
        <v>Graduate Recruiter</v>
      </c>
      <c r="M514" s="5" t="str">
        <f t="shared" si="3"/>
        <v/>
      </c>
      <c r="N514" s="5" t="str">
        <f t="shared" si="4"/>
        <v>FDM Group</v>
      </c>
      <c r="O514" s="5" t="str">
        <f t="shared" si="5"/>
        <v>10 months in role and company</v>
      </c>
      <c r="P514" s="5" t="str">
        <f t="shared" si="6"/>
        <v>Glasgow</v>
      </c>
      <c r="Q514" s="5" t="str">
        <f t="shared" si="7"/>
        <v>Scotland</v>
      </c>
      <c r="R514" s="5" t="str">
        <f t="shared" si="8"/>
        <v>United Kingdom</v>
      </c>
    </row>
    <row r="515">
      <c r="A515" s="8" t="s">
        <v>5945</v>
      </c>
      <c r="B515" s="12" t="s">
        <v>5946</v>
      </c>
      <c r="C515" s="10" t="s">
        <v>5947</v>
      </c>
      <c r="D515" s="10"/>
      <c r="E515" s="10" t="s">
        <v>5948</v>
      </c>
      <c r="F515" s="10" t="s">
        <v>228</v>
      </c>
      <c r="G515" s="11" t="s">
        <v>5949</v>
      </c>
      <c r="H515" s="11" t="s">
        <v>4599</v>
      </c>
      <c r="I515" s="11" t="s">
        <v>4600</v>
      </c>
      <c r="J515" s="9" t="str">
        <f>IFERROR(__xludf.DUMMYFUNCTION("""COMPUTED_VALUE"""),"https://www.google.com/search?newwindow=1&amp;ei=2MT0XrvGGM-vytMP1OyDgAY&amp;q=site%3Alinkedin.com+Daryl+Doyle+EMEA+Technology+Campus+Recruiter+-+HR+Corporate")</f>
        <v>https://www.google.com/search?newwindow=1&amp;ei=2MT0XrvGGM-vytMP1OyDgAY&amp;q=site%3Alinkedin.com+Daryl+Doyle+EMEA+Technology+Campus+Recruiter+-+HR+Corporate</v>
      </c>
      <c r="K515" s="5" t="str">
        <f t="shared" si="1"/>
        <v>Daryl Doyle</v>
      </c>
      <c r="L515" s="5" t="str">
        <f t="shared" si="2"/>
        <v>EMEA Technology Campus Recruiter - HR Corporate</v>
      </c>
      <c r="M515" s="5" t="str">
        <f t="shared" si="3"/>
        <v/>
      </c>
      <c r="N515" s="5" t="str">
        <f t="shared" si="4"/>
        <v>J.P. Morgan</v>
      </c>
      <c r="O515" s="5" t="str">
        <f t="shared" si="5"/>
        <v>1 year 3 months in role and company</v>
      </c>
      <c r="P515" s="5" t="str">
        <f t="shared" si="6"/>
        <v>Glasgow</v>
      </c>
      <c r="Q515" s="5" t="str">
        <f t="shared" si="7"/>
        <v>Scotland</v>
      </c>
      <c r="R515" s="5" t="str">
        <f t="shared" si="8"/>
        <v>United Kingdom</v>
      </c>
    </row>
    <row r="516">
      <c r="A516" s="8" t="s">
        <v>5953</v>
      </c>
      <c r="B516" s="12" t="s">
        <v>5954</v>
      </c>
      <c r="C516" s="10" t="s">
        <v>1378</v>
      </c>
      <c r="D516" s="10"/>
      <c r="E516" s="10" t="s">
        <v>1233</v>
      </c>
      <c r="F516" s="10" t="s">
        <v>712</v>
      </c>
      <c r="G516" s="11" t="s">
        <v>85</v>
      </c>
      <c r="H516" s="11" t="s">
        <v>86</v>
      </c>
      <c r="I516" s="11" t="s">
        <v>18</v>
      </c>
      <c r="J516" s="9" t="str">
        <f>IFERROR(__xludf.DUMMYFUNCTION("""COMPUTED_VALUE"""),"https://www.google.com/search?newwindow=1&amp;ei=2MT0XrvGGM-vytMP1OyDgAY&amp;q=site%3Alinkedin.com+Sarah+Donald+Campus+Recruiter-+Engineering")</f>
        <v>https://www.google.com/search?newwindow=1&amp;ei=2MT0XrvGGM-vytMP1OyDgAY&amp;q=site%3Alinkedin.com+Sarah+Donald+Campus+Recruiter-+Engineering</v>
      </c>
      <c r="K516" s="5" t="str">
        <f t="shared" si="1"/>
        <v>Sarah Donald</v>
      </c>
      <c r="L516" s="5" t="str">
        <f t="shared" si="2"/>
        <v>Campus Recruiter- Engineering</v>
      </c>
      <c r="M516" s="5" t="str">
        <f t="shared" si="3"/>
        <v/>
      </c>
      <c r="N516" s="5" t="str">
        <f t="shared" si="4"/>
        <v>Goldman Sachs</v>
      </c>
      <c r="O516" s="5" t="str">
        <f t="shared" si="5"/>
        <v>2 years 5 months in role and company</v>
      </c>
      <c r="P516" s="5" t="str">
        <f t="shared" si="6"/>
        <v>Glasgow</v>
      </c>
      <c r="Q516" s="5" t="str">
        <f t="shared" si="7"/>
        <v>Scotland</v>
      </c>
      <c r="R516" s="5" t="str">
        <f t="shared" si="8"/>
        <v>United Kingdom</v>
      </c>
    </row>
    <row r="517">
      <c r="A517" s="8" t="s">
        <v>5955</v>
      </c>
      <c r="B517" s="10" t="s">
        <v>239</v>
      </c>
      <c r="C517" s="10" t="s">
        <v>240</v>
      </c>
      <c r="D517" s="10"/>
      <c r="E517" s="10" t="s">
        <v>227</v>
      </c>
      <c r="F517" s="10" t="s">
        <v>241</v>
      </c>
      <c r="G517" s="11" t="s">
        <v>85</v>
      </c>
      <c r="H517" s="11" t="s">
        <v>86</v>
      </c>
      <c r="I517" s="11" t="s">
        <v>18</v>
      </c>
      <c r="J517" s="9" t="str">
        <f>IFERROR(__xludf.DUMMYFUNCTION("""COMPUTED_VALUE"""),"https://www.google.com/search?newwindow=1&amp;ei=2MT0XrvGGM-vytMP1OyDgAY&amp;q=site%3Alinkedin.com+Shelley+O'Hare+Campus+Technology+Recruiter+at+Morgan+Stanley+(via+Alexander+Mann+Solutions)")</f>
        <v>https://www.google.com/search?newwindow=1&amp;ei=2MT0XrvGGM-vytMP1OyDgAY&amp;q=site%3Alinkedin.com+Shelley+O'Hare+Campus+Technology+Recruiter+at+Morgan+Stanley+(via+Alexander+Mann+Solutions)</v>
      </c>
      <c r="K517" s="5" t="str">
        <f t="shared" si="1"/>
        <v>Shelley O'Hare</v>
      </c>
      <c r="L517" s="5" t="str">
        <f t="shared" si="2"/>
        <v>Campus Technology Recruiter at Morgan Stanley (via Alexander Mann Solutions)</v>
      </c>
      <c r="M517" s="5" t="str">
        <f t="shared" si="3"/>
        <v/>
      </c>
      <c r="N517" s="5" t="str">
        <f t="shared" si="4"/>
        <v>Morgan Stanley</v>
      </c>
      <c r="O517" s="5" t="str">
        <f t="shared" si="5"/>
        <v>2 years 1 month in role and company</v>
      </c>
      <c r="P517" s="5" t="str">
        <f t="shared" si="6"/>
        <v>Glasgow</v>
      </c>
      <c r="Q517" s="5" t="str">
        <f t="shared" si="7"/>
        <v>Scotland</v>
      </c>
      <c r="R517" s="5" t="str">
        <f t="shared" si="8"/>
        <v>United Kingdom</v>
      </c>
    </row>
    <row r="518">
      <c r="A518" s="8" t="s">
        <v>5956</v>
      </c>
      <c r="B518" s="10" t="s">
        <v>5957</v>
      </c>
      <c r="C518" s="10" t="s">
        <v>4879</v>
      </c>
      <c r="D518" s="10"/>
      <c r="E518" s="10" t="s">
        <v>4659</v>
      </c>
      <c r="F518" s="10" t="s">
        <v>2544</v>
      </c>
      <c r="G518" s="11" t="s">
        <v>85</v>
      </c>
      <c r="H518" s="11" t="s">
        <v>86</v>
      </c>
      <c r="I518" s="11" t="s">
        <v>18</v>
      </c>
      <c r="J518" s="9" t="str">
        <f>IFERROR(__xludf.DUMMYFUNCTION("""COMPUTED_VALUE"""),"https://www.google.com/search?newwindow=1&amp;ei=2MT0XrvGGM-vytMP1OyDgAY&amp;q=site%3Alinkedin.com+Rebecca+Usher+Graduate+Recruiter")</f>
        <v>https://www.google.com/search?newwindow=1&amp;ei=2MT0XrvGGM-vytMP1OyDgAY&amp;q=site%3Alinkedin.com+Rebecca+Usher+Graduate+Recruiter</v>
      </c>
      <c r="K518" s="5" t="str">
        <f t="shared" si="1"/>
        <v>Rebecca Usher</v>
      </c>
      <c r="L518" s="5" t="str">
        <f t="shared" si="2"/>
        <v>Graduate Recruiter</v>
      </c>
      <c r="M518" s="5" t="str">
        <f t="shared" si="3"/>
        <v/>
      </c>
      <c r="N518" s="5" t="str">
        <f t="shared" si="4"/>
        <v>FDM Group</v>
      </c>
      <c r="O518" s="5" t="str">
        <f t="shared" si="5"/>
        <v>1 year  in role and company</v>
      </c>
      <c r="P518" s="5" t="str">
        <f t="shared" si="6"/>
        <v>Glasgow</v>
      </c>
      <c r="Q518" s="5" t="str">
        <f t="shared" si="7"/>
        <v>Scotland</v>
      </c>
      <c r="R518" s="5" t="str">
        <f t="shared" si="8"/>
        <v>United Kingdom</v>
      </c>
    </row>
    <row r="519">
      <c r="A519" s="8" t="s">
        <v>5958</v>
      </c>
      <c r="B519" s="10" t="s">
        <v>3699</v>
      </c>
      <c r="C519" s="10" t="s">
        <v>3700</v>
      </c>
      <c r="D519" s="10"/>
      <c r="E519" s="10" t="s">
        <v>3649</v>
      </c>
      <c r="F519" s="10" t="s">
        <v>832</v>
      </c>
      <c r="G519" s="11" t="s">
        <v>85</v>
      </c>
      <c r="H519" s="11" t="s">
        <v>86</v>
      </c>
      <c r="I519" s="11" t="s">
        <v>18</v>
      </c>
      <c r="J519" s="9" t="str">
        <f>IFERROR(__xludf.DUMMYFUNCTION("""COMPUTED_VALUE"""),"https://www.google.com/search?newwindow=1&amp;ei=2MT0XrvGGM-vytMP1OyDgAY&amp;q=site%3Alinkedin.com+Alan+Robertson+BA,+PG+Dip+CG,+FHEA+Careers+adviser,+coach,+motivator,+mentor;+university/industry+liaison+(careers/recruitment)")</f>
        <v>https://www.google.com/search?newwindow=1&amp;ei=2MT0XrvGGM-vytMP1OyDgAY&amp;q=site%3Alinkedin.com+Alan+Robertson+BA,+PG+Dip+CG,+FHEA+Careers+adviser,+coach,+motivator,+mentor;+university/industry+liaison+(careers/recruitment)</v>
      </c>
      <c r="K519" s="5" t="str">
        <f t="shared" si="1"/>
        <v>Alan Robertson BA, PG Dip CG, FHEA</v>
      </c>
      <c r="L519" s="5" t="str">
        <f t="shared" si="2"/>
        <v>Careers adviser, coach, motivator, mentor; university/industry liaison (careers/recruitment)</v>
      </c>
      <c r="M519" s="5" t="str">
        <f t="shared" si="3"/>
        <v/>
      </c>
      <c r="N519" s="5" t="str">
        <f t="shared" si="4"/>
        <v>Freelance</v>
      </c>
      <c r="O519" s="5" t="str">
        <f t="shared" si="5"/>
        <v>3 years 3 months in role and company</v>
      </c>
      <c r="P519" s="5" t="str">
        <f t="shared" si="6"/>
        <v>Glasgow</v>
      </c>
      <c r="Q519" s="5" t="str">
        <f t="shared" si="7"/>
        <v>Scotland</v>
      </c>
      <c r="R519" s="5" t="str">
        <f t="shared" si="8"/>
        <v>United Kingdom</v>
      </c>
    </row>
    <row r="520">
      <c r="A520" s="8" t="s">
        <v>5959</v>
      </c>
      <c r="B520" s="10" t="s">
        <v>3702</v>
      </c>
      <c r="C520" s="10" t="s">
        <v>3703</v>
      </c>
      <c r="D520" s="10"/>
      <c r="E520" s="10" t="s">
        <v>3649</v>
      </c>
      <c r="F520" s="10" t="s">
        <v>94</v>
      </c>
      <c r="G520" s="11" t="s">
        <v>85</v>
      </c>
      <c r="H520" s="11" t="s">
        <v>86</v>
      </c>
      <c r="I520" s="11" t="s">
        <v>18</v>
      </c>
      <c r="J520" s="9" t="str">
        <f>IFERROR(__xludf.DUMMYFUNCTION("""COMPUTED_VALUE"""),"https://www.google.com/search?newwindow=1&amp;ei=2MT0XrvGGM-vytMP1OyDgAY&amp;q=site%3Alinkedin.com+Fiona+McKerral+Senior+University+Partnerships+Recruiter")</f>
        <v>https://www.google.com/search?newwindow=1&amp;ei=2MT0XrvGGM-vytMP1OyDgAY&amp;q=site%3Alinkedin.com+Fiona+McKerral+Senior+University+Partnerships+Recruiter</v>
      </c>
      <c r="K520" s="5" t="str">
        <f t="shared" si="1"/>
        <v>Fiona McKerral</v>
      </c>
      <c r="L520" s="5" t="str">
        <f t="shared" si="2"/>
        <v>Senior University Partnerships Recruiter</v>
      </c>
      <c r="M520" s="5" t="str">
        <f t="shared" si="3"/>
        <v/>
      </c>
      <c r="N520" s="5" t="str">
        <f t="shared" si="4"/>
        <v>FDM Group</v>
      </c>
      <c r="O520" s="5" t="str">
        <f t="shared" si="5"/>
        <v>2 years 6 months in role</v>
      </c>
      <c r="P520" s="5" t="str">
        <f t="shared" si="6"/>
        <v>Glasgow</v>
      </c>
      <c r="Q520" s="5" t="str">
        <f t="shared" si="7"/>
        <v>Scotland</v>
      </c>
      <c r="R520" s="5" t="str">
        <f t="shared" si="8"/>
        <v>United Kingdom</v>
      </c>
    </row>
    <row r="521">
      <c r="A521" s="8" t="s">
        <v>5960</v>
      </c>
      <c r="B521" s="12" t="s">
        <v>5961</v>
      </c>
      <c r="C521" s="10" t="s">
        <v>4674</v>
      </c>
      <c r="D521" s="10"/>
      <c r="E521" s="10" t="s">
        <v>1233</v>
      </c>
      <c r="F521" s="10" t="s">
        <v>106</v>
      </c>
      <c r="G521" s="11" t="s">
        <v>85</v>
      </c>
      <c r="H521" s="11" t="s">
        <v>86</v>
      </c>
      <c r="I521" s="11" t="s">
        <v>18</v>
      </c>
      <c r="J521" s="9" t="str">
        <f>IFERROR(__xludf.DUMMYFUNCTION("""COMPUTED_VALUE"""),"https://www.google.com/search?newwindow=1&amp;ei=2MT0XrvGGM-vytMP1OyDgAY&amp;q=site%3Alinkedin.com+Alasdair+McKenzie+University+Partnerships+Consultant+&amp;+Graduate+Recruiter")</f>
        <v>https://www.google.com/search?newwindow=1&amp;ei=2MT0XrvGGM-vytMP1OyDgAY&amp;q=site%3Alinkedin.com+Alasdair+McKenzie+University+Partnerships+Consultant+&amp;+Graduate+Recruiter</v>
      </c>
      <c r="K521" s="5" t="str">
        <f t="shared" si="1"/>
        <v>Alasdair McKenzie</v>
      </c>
      <c r="L521" s="5" t="str">
        <f t="shared" si="2"/>
        <v>University Partnerships Consultant &amp; Graduate Recruiter</v>
      </c>
      <c r="M521" s="5" t="str">
        <f t="shared" si="3"/>
        <v/>
      </c>
      <c r="N521" s="5" t="str">
        <f t="shared" si="4"/>
        <v>FDM Group</v>
      </c>
      <c r="O521" s="5" t="str">
        <f t="shared" si="5"/>
        <v>1 year 2 months in role</v>
      </c>
      <c r="P521" s="5" t="str">
        <f t="shared" si="6"/>
        <v>Glasgow</v>
      </c>
      <c r="Q521" s="5" t="str">
        <f t="shared" si="7"/>
        <v>Scotland</v>
      </c>
      <c r="R521" s="5" t="str">
        <f t="shared" si="8"/>
        <v>United Kingdom</v>
      </c>
    </row>
    <row r="522">
      <c r="A522" s="8" t="s">
        <v>5962</v>
      </c>
      <c r="B522" s="10" t="s">
        <v>5963</v>
      </c>
      <c r="C522" s="10" t="s">
        <v>5964</v>
      </c>
      <c r="D522" s="10"/>
      <c r="E522" s="10" t="s">
        <v>3649</v>
      </c>
      <c r="F522" s="10" t="s">
        <v>182</v>
      </c>
      <c r="G522" s="11" t="s">
        <v>85</v>
      </c>
      <c r="H522" s="11" t="s">
        <v>86</v>
      </c>
      <c r="I522" s="11" t="s">
        <v>18</v>
      </c>
      <c r="J522" s="9" t="str">
        <f>IFERROR(__xludf.DUMMYFUNCTION("""COMPUTED_VALUE"""),"https://www.google.com/search?newwindow=1&amp;ei=2MT0XrvGGM-vytMP1OyDgAY&amp;q=site%3Alinkedin.com+Nicola+Thomson+Campus+Recruiter+-+Finance,+Fund+Services+and+Apprenticeships")</f>
        <v>https://www.google.com/search?newwindow=1&amp;ei=2MT0XrvGGM-vytMP1OyDgAY&amp;q=site%3Alinkedin.com+Nicola+Thomson+Campus+Recruiter+-+Finance,+Fund+Services+and+Apprenticeships</v>
      </c>
      <c r="K522" s="5" t="str">
        <f t="shared" si="1"/>
        <v>Nicola Thomson</v>
      </c>
      <c r="L522" s="5" t="str">
        <f t="shared" si="2"/>
        <v>Campus Recruiter - Finance, Fund Services and Apprenticeships</v>
      </c>
      <c r="M522" s="5" t="str">
        <f t="shared" si="3"/>
        <v/>
      </c>
      <c r="N522" s="5" t="str">
        <f t="shared" si="4"/>
        <v>Morgan Stanley</v>
      </c>
      <c r="O522" s="5" t="str">
        <f t="shared" si="5"/>
        <v>1 year 11 months in role</v>
      </c>
      <c r="P522" s="5" t="str">
        <f t="shared" si="6"/>
        <v>Glasgow</v>
      </c>
      <c r="Q522" s="5" t="str">
        <f t="shared" si="7"/>
        <v>Scotland</v>
      </c>
      <c r="R522" s="5" t="str">
        <f t="shared" si="8"/>
        <v>United Kingdom</v>
      </c>
    </row>
    <row r="523">
      <c r="A523" s="8" t="s">
        <v>5965</v>
      </c>
      <c r="B523" s="12" t="s">
        <v>2927</v>
      </c>
      <c r="C523" s="10" t="s">
        <v>2911</v>
      </c>
      <c r="D523" s="10"/>
      <c r="E523" s="10" t="s">
        <v>4659</v>
      </c>
      <c r="F523" s="10" t="s">
        <v>277</v>
      </c>
      <c r="G523" s="11" t="s">
        <v>85</v>
      </c>
      <c r="H523" s="11" t="s">
        <v>86</v>
      </c>
      <c r="I523" s="11" t="s">
        <v>18</v>
      </c>
      <c r="J523" s="9" t="str">
        <f>IFERROR(__xludf.DUMMYFUNCTION("""COMPUTED_VALUE"""),"https://www.google.com/search?newwindow=1&amp;ei=2MT0XrvGGM-vytMP1OyDgAY&amp;q=site%3Alinkedin.com+Andrew+Alexander+Graduate+Recruiter")</f>
        <v>https://www.google.com/search?newwindow=1&amp;ei=2MT0XrvGGM-vytMP1OyDgAY&amp;q=site%3Alinkedin.com+Andrew+Alexander+Graduate+Recruiter</v>
      </c>
      <c r="K523" s="5" t="str">
        <f t="shared" si="1"/>
        <v>Andrew Alexander</v>
      </c>
      <c r="L523" s="5" t="str">
        <f t="shared" si="2"/>
        <v>Graduate Recruiter</v>
      </c>
      <c r="M523" s="5" t="str">
        <f t="shared" si="3"/>
        <v/>
      </c>
      <c r="N523" s="5" t="str">
        <f t="shared" si="4"/>
        <v>FDM Group</v>
      </c>
      <c r="O523" s="5" t="str">
        <f t="shared" si="5"/>
        <v>2 years 7 months in role and company</v>
      </c>
      <c r="P523" s="5" t="str">
        <f t="shared" si="6"/>
        <v>Glasgow</v>
      </c>
      <c r="Q523" s="5" t="str">
        <f t="shared" si="7"/>
        <v>Scotland</v>
      </c>
      <c r="R523" s="5" t="str">
        <f t="shared" si="8"/>
        <v>United Kingdom</v>
      </c>
    </row>
    <row r="524">
      <c r="A524" s="8" t="s">
        <v>5966</v>
      </c>
      <c r="B524" s="10" t="s">
        <v>82</v>
      </c>
      <c r="C524" s="10" t="s">
        <v>5967</v>
      </c>
      <c r="D524" s="10"/>
      <c r="E524" s="10" t="s">
        <v>14</v>
      </c>
      <c r="F524" s="10" t="s">
        <v>60</v>
      </c>
      <c r="G524" s="11" t="s">
        <v>85</v>
      </c>
      <c r="H524" s="11" t="s">
        <v>86</v>
      </c>
      <c r="I524" s="11" t="s">
        <v>18</v>
      </c>
      <c r="J524" s="9" t="str">
        <f>IFERROR(__xludf.DUMMYFUNCTION("""COMPUTED_VALUE"""),"https://www.google.com/search?newwindow=1&amp;ei=2MT0XrvGGM-vytMP1OyDgAY&amp;q=site%3Alinkedin.com+Jenny+Mallon+Researcher+PHD+Student")</f>
        <v>https://www.google.com/search?newwindow=1&amp;ei=2MT0XrvGGM-vytMP1OyDgAY&amp;q=site%3Alinkedin.com+Jenny+Mallon+Researcher+PHD+Student</v>
      </c>
      <c r="K524" s="5" t="str">
        <f t="shared" si="1"/>
        <v>Jenny Mallon</v>
      </c>
      <c r="L524" s="5" t="str">
        <f t="shared" si="2"/>
        <v>Researcher PHD Student</v>
      </c>
      <c r="M524" s="5" t="str">
        <f t="shared" si="3"/>
        <v/>
      </c>
      <c r="N524" s="5" t="str">
        <f t="shared" si="4"/>
        <v>University of Glasgow</v>
      </c>
      <c r="O524" s="5" t="str">
        <f t="shared" si="5"/>
        <v>3 years 1 month in role and company</v>
      </c>
      <c r="P524" s="5" t="str">
        <f t="shared" si="6"/>
        <v>Glasgow</v>
      </c>
      <c r="Q524" s="5" t="str">
        <f t="shared" si="7"/>
        <v>Scotland</v>
      </c>
      <c r="R524" s="5" t="str">
        <f t="shared" si="8"/>
        <v>United Kingdom</v>
      </c>
    </row>
    <row r="525">
      <c r="A525" s="8" t="s">
        <v>5968</v>
      </c>
      <c r="B525" s="10" t="s">
        <v>5969</v>
      </c>
      <c r="C525" s="10" t="s">
        <v>5970</v>
      </c>
      <c r="D525" s="10"/>
      <c r="E525" s="10" t="s">
        <v>3649</v>
      </c>
      <c r="F525" s="10" t="s">
        <v>574</v>
      </c>
      <c r="G525" s="11" t="s">
        <v>85</v>
      </c>
      <c r="H525" s="11" t="s">
        <v>86</v>
      </c>
      <c r="I525" s="11" t="s">
        <v>18</v>
      </c>
      <c r="J525" s="9" t="str">
        <f>IFERROR(__xludf.DUMMYFUNCTION("""COMPUTED_VALUE"""),"https://www.google.com/search?newwindow=1&amp;ei=2MT0XrvGGM-vytMP1OyDgAY&amp;q=site%3Alinkedin.com+Transatlantic+Sports+College+Sports+Recruiter")</f>
        <v>https://www.google.com/search?newwindow=1&amp;ei=2MT0XrvGGM-vytMP1OyDgAY&amp;q=site%3Alinkedin.com+Transatlantic+Sports+College+Sports+Recruiter</v>
      </c>
      <c r="K525" s="5" t="str">
        <f t="shared" si="1"/>
        <v>Transatlantic Sports</v>
      </c>
      <c r="L525" s="5" t="str">
        <f t="shared" si="2"/>
        <v>College Sports Recruiter</v>
      </c>
      <c r="M525" s="5" t="str">
        <f t="shared" si="3"/>
        <v/>
      </c>
      <c r="N525" s="5" t="str">
        <f t="shared" si="4"/>
        <v>Transatlantic Sports</v>
      </c>
      <c r="O525" s="5" t="str">
        <f t="shared" si="5"/>
        <v/>
      </c>
      <c r="P525" s="5" t="str">
        <f t="shared" si="6"/>
        <v>Glasgow</v>
      </c>
      <c r="Q525" s="5" t="str">
        <f t="shared" si="7"/>
        <v>Scotland</v>
      </c>
      <c r="R525" s="5" t="str">
        <f t="shared" si="8"/>
        <v>United Kingdom</v>
      </c>
    </row>
    <row r="526">
      <c r="A526" s="8" t="s">
        <v>5971</v>
      </c>
      <c r="B526" s="12" t="s">
        <v>5972</v>
      </c>
      <c r="C526" s="10" t="s">
        <v>4596</v>
      </c>
      <c r="D526" s="10"/>
      <c r="E526" s="10" t="s">
        <v>5973</v>
      </c>
      <c r="F526" s="10" t="s">
        <v>607</v>
      </c>
      <c r="G526" s="11" t="s">
        <v>5974</v>
      </c>
      <c r="H526" s="11" t="s">
        <v>4638</v>
      </c>
      <c r="I526" s="11" t="s">
        <v>4600</v>
      </c>
      <c r="J526" s="9" t="str">
        <f>IFERROR(__xludf.DUMMYFUNCTION("""COMPUTED_VALUE"""),"https://www.google.com/search?newwindow=1&amp;ei=2MT0XrvGGM-vytMP1OyDgAY&amp;q=site%3Alinkedin.com+Tanisha+Moore+Sr.+Campus+Recruiting+Coordinator")</f>
        <v>https://www.google.com/search?newwindow=1&amp;ei=2MT0XrvGGM-vytMP1OyDgAY&amp;q=site%3Alinkedin.com+Tanisha+Moore+Sr.+Campus+Recruiting+Coordinator</v>
      </c>
      <c r="K526" s="5" t="str">
        <f t="shared" si="1"/>
        <v>Tanisha Moore</v>
      </c>
      <c r="L526" s="5" t="str">
        <f t="shared" si="2"/>
        <v>Sr. Campus Recruiting Coordinator</v>
      </c>
      <c r="M526" s="5" t="str">
        <f t="shared" si="3"/>
        <v/>
      </c>
      <c r="N526" s="5" t="str">
        <f t="shared" si="4"/>
        <v>Deloitte</v>
      </c>
      <c r="O526" s="5" t="str">
        <f t="shared" si="5"/>
        <v>5 years 7 months in role and company</v>
      </c>
      <c r="P526" s="5" t="str">
        <f t="shared" si="6"/>
        <v>Glendale</v>
      </c>
      <c r="Q526" s="5" t="str">
        <f t="shared" si="7"/>
        <v>California</v>
      </c>
      <c r="R526" s="5" t="str">
        <f t="shared" si="8"/>
        <v>United States</v>
      </c>
    </row>
    <row r="527">
      <c r="A527" s="8" t="s">
        <v>5971</v>
      </c>
      <c r="B527" s="12" t="s">
        <v>5972</v>
      </c>
      <c r="C527" s="10" t="s">
        <v>4596</v>
      </c>
      <c r="D527" s="10"/>
      <c r="E527" s="10" t="s">
        <v>5973</v>
      </c>
      <c r="F527" s="10" t="s">
        <v>607</v>
      </c>
      <c r="G527" s="11" t="s">
        <v>5974</v>
      </c>
      <c r="H527" s="11" t="s">
        <v>4638</v>
      </c>
      <c r="I527" s="11" t="s">
        <v>4600</v>
      </c>
      <c r="J527" s="9" t="str">
        <f>IFERROR(__xludf.DUMMYFUNCTION("""COMPUTED_VALUE"""),"https://www.google.com/search?newwindow=1&amp;ei=2MT0XrvGGM-vytMP1OyDgAY&amp;q=site%3Alinkedin.com+Courtney+Randall+Student+Advisor,+Student+Experience+-+Institute+of+Teaching+and+Learning+Innovation")</f>
        <v>https://www.google.com/search?newwindow=1&amp;ei=2MT0XrvGGM-vytMP1OyDgAY&amp;q=site%3Alinkedin.com+Courtney+Randall+Student+Advisor,+Student+Experience+-+Institute+of+Teaching+and+Learning+Innovation</v>
      </c>
      <c r="K527" s="5" t="str">
        <f t="shared" si="1"/>
        <v>Courtney Randall</v>
      </c>
      <c r="L527" s="5" t="str">
        <f t="shared" si="2"/>
        <v>Student Advisor, Student Experience - Institute of Teaching and Learning Innovation</v>
      </c>
      <c r="M527" s="5" t="str">
        <f t="shared" si="3"/>
        <v/>
      </c>
      <c r="N527" s="5" t="str">
        <f t="shared" si="4"/>
        <v>The University of Queensland</v>
      </c>
      <c r="O527" s="5" t="str">
        <f t="shared" si="5"/>
        <v>2 months in role</v>
      </c>
      <c r="P527" s="5" t="str">
        <f t="shared" si="6"/>
        <v>Gold Coast</v>
      </c>
      <c r="Q527" s="5" t="str">
        <f t="shared" si="7"/>
        <v>Queensland</v>
      </c>
      <c r="R527" s="5" t="str">
        <f t="shared" si="8"/>
        <v>Australia</v>
      </c>
    </row>
    <row r="528">
      <c r="A528" s="8" t="s">
        <v>5975</v>
      </c>
      <c r="B528" s="10" t="s">
        <v>5976</v>
      </c>
      <c r="C528" s="10" t="s">
        <v>4674</v>
      </c>
      <c r="D528" s="10"/>
      <c r="E528" s="10" t="s">
        <v>1233</v>
      </c>
      <c r="F528" s="10" t="s">
        <v>228</v>
      </c>
      <c r="G528" s="11" t="s">
        <v>90</v>
      </c>
      <c r="H528" s="11" t="s">
        <v>91</v>
      </c>
      <c r="I528" s="11" t="s">
        <v>18</v>
      </c>
      <c r="J528" s="9" t="str">
        <f>IFERROR(__xludf.DUMMYFUNCTION("""COMPUTED_VALUE"""),"https://www.google.com/search?newwindow=1&amp;ei=2MT0XrvGGM-vytMP1OyDgAY&amp;q=site%3Alinkedin.com+Ron+Hamilton+University+Recruiter")</f>
        <v>https://www.google.com/search?newwindow=1&amp;ei=2MT0XrvGGM-vytMP1OyDgAY&amp;q=site%3Alinkedin.com+Ron+Hamilton+University+Recruiter</v>
      </c>
      <c r="K528" s="5" t="str">
        <f t="shared" si="1"/>
        <v>Ron Hamilton</v>
      </c>
      <c r="L528" s="5" t="str">
        <f t="shared" si="2"/>
        <v>University Recruiter</v>
      </c>
      <c r="M528" s="5" t="str">
        <f t="shared" si="3"/>
        <v/>
      </c>
      <c r="N528" s="5" t="str">
        <f t="shared" si="4"/>
        <v>Government of Canada</v>
      </c>
      <c r="O528" s="5" t="str">
        <f t="shared" si="5"/>
        <v/>
      </c>
      <c r="P528" s="5" t="str">
        <f t="shared" si="6"/>
        <v>Golden Lake</v>
      </c>
      <c r="Q528" s="5" t="str">
        <f t="shared" si="7"/>
        <v>Ontario</v>
      </c>
      <c r="R528" s="5" t="str">
        <f t="shared" si="8"/>
        <v>Canada</v>
      </c>
    </row>
    <row r="529">
      <c r="A529" s="8" t="s">
        <v>5977</v>
      </c>
      <c r="B529" s="10" t="s">
        <v>5978</v>
      </c>
      <c r="C529" s="10" t="s">
        <v>4674</v>
      </c>
      <c r="D529" s="10"/>
      <c r="E529" s="10" t="s">
        <v>1233</v>
      </c>
      <c r="F529" s="10" t="s">
        <v>345</v>
      </c>
      <c r="G529" s="11" t="s">
        <v>90</v>
      </c>
      <c r="H529" s="11" t="s">
        <v>91</v>
      </c>
      <c r="I529" s="11" t="s">
        <v>18</v>
      </c>
      <c r="J529" s="9" t="str">
        <f>IFERROR(__xludf.DUMMYFUNCTION("""COMPUTED_VALUE"""),"https://www.google.com/search?newwindow=1&amp;ei=2MT0XrvGGM-vytMP1OyDgAY&amp;q=site%3Alinkedin.com+Jay+Preston+Office+Managing+Partner")</f>
        <v>https://www.google.com/search?newwindow=1&amp;ei=2MT0XrvGGM-vytMP1OyDgAY&amp;q=site%3Alinkedin.com+Jay+Preston+Office+Managing+Partner</v>
      </c>
      <c r="K529" s="5" t="str">
        <f t="shared" si="1"/>
        <v>Jay Preston</v>
      </c>
      <c r="L529" s="5" t="str">
        <f t="shared" si="2"/>
        <v>Office Managing Partner</v>
      </c>
      <c r="M529" s="5" t="str">
        <f t="shared" si="3"/>
        <v/>
      </c>
      <c r="N529" s="5" t="str">
        <f t="shared" si="4"/>
        <v>EY</v>
      </c>
      <c r="O529" s="5" t="str">
        <f t="shared" si="5"/>
        <v>4 years 4 months in role</v>
      </c>
      <c r="P529" s="5" t="str">
        <f t="shared" si="6"/>
        <v>Grand Rapids</v>
      </c>
      <c r="Q529" s="5" t="str">
        <f t="shared" si="7"/>
        <v>Michigan</v>
      </c>
      <c r="R529" s="5" t="str">
        <f t="shared" si="8"/>
        <v>United States</v>
      </c>
    </row>
    <row r="530">
      <c r="A530" s="8" t="s">
        <v>5979</v>
      </c>
      <c r="B530" s="12" t="s">
        <v>5980</v>
      </c>
      <c r="C530" s="10" t="s">
        <v>4674</v>
      </c>
      <c r="D530" s="10"/>
      <c r="E530" s="10" t="s">
        <v>1233</v>
      </c>
      <c r="F530" s="10" t="s">
        <v>228</v>
      </c>
      <c r="G530" s="11" t="s">
        <v>90</v>
      </c>
      <c r="H530" s="11" t="s">
        <v>91</v>
      </c>
      <c r="I530" s="11" t="s">
        <v>18</v>
      </c>
      <c r="J530" s="9" t="str">
        <f>IFERROR(__xludf.DUMMYFUNCTION("""COMPUTED_VALUE"""),"https://www.google.com/search?newwindow=1&amp;ei=2MT0XrvGGM-vytMP1OyDgAY&amp;q=site%3Alinkedin.com+Melissa+Olson+Recruiting+Associate+Manager")</f>
        <v>https://www.google.com/search?newwindow=1&amp;ei=2MT0XrvGGM-vytMP1OyDgAY&amp;q=site%3Alinkedin.com+Melissa+Olson+Recruiting+Associate+Manager</v>
      </c>
      <c r="K530" s="5" t="str">
        <f t="shared" si="1"/>
        <v>Melissa Olson</v>
      </c>
      <c r="L530" s="5" t="str">
        <f t="shared" si="2"/>
        <v>Recruiting Associate Manager</v>
      </c>
      <c r="M530" s="5" t="str">
        <f t="shared" si="3"/>
        <v/>
      </c>
      <c r="N530" s="5" t="str">
        <f t="shared" si="4"/>
        <v>Accenture</v>
      </c>
      <c r="O530" s="5" t="str">
        <f t="shared" si="5"/>
        <v>1 year 5 months in role</v>
      </c>
      <c r="P530" s="5" t="str">
        <f t="shared" si="6"/>
        <v>Granite Falls</v>
      </c>
      <c r="Q530" s="5" t="str">
        <f t="shared" si="7"/>
        <v>Washington</v>
      </c>
      <c r="R530" s="5" t="str">
        <f t="shared" si="8"/>
        <v>United States</v>
      </c>
    </row>
    <row r="531">
      <c r="A531" s="8" t="s">
        <v>5981</v>
      </c>
      <c r="B531" s="10" t="s">
        <v>1291</v>
      </c>
      <c r="C531" s="10" t="s">
        <v>371</v>
      </c>
      <c r="D531" s="10"/>
      <c r="E531" s="10" t="s">
        <v>1233</v>
      </c>
      <c r="F531" s="10" t="s">
        <v>1292</v>
      </c>
      <c r="G531" s="11" t="s">
        <v>90</v>
      </c>
      <c r="H531" s="11" t="s">
        <v>91</v>
      </c>
      <c r="I531" s="11" t="s">
        <v>18</v>
      </c>
      <c r="J531" s="9" t="str">
        <f>IFERROR(__xludf.DUMMYFUNCTION("""COMPUTED_VALUE"""),"https://www.google.com/search?newwindow=1&amp;ei=2MT0XrvGGM-vytMP1OyDgAY&amp;q=site%3Alinkedin.com+Tori+Irvin+Campus+Recruiting+Specialist")</f>
        <v>https://www.google.com/search?newwindow=1&amp;ei=2MT0XrvGGM-vytMP1OyDgAY&amp;q=site%3Alinkedin.com+Tori+Irvin+Campus+Recruiting+Specialist</v>
      </c>
      <c r="K531" s="5" t="str">
        <f t="shared" si="1"/>
        <v>Tori Irvin</v>
      </c>
      <c r="L531" s="5" t="str">
        <f t="shared" si="2"/>
        <v>Campus Recruiting Specialist</v>
      </c>
      <c r="M531" s="5" t="str">
        <f t="shared" si="3"/>
        <v/>
      </c>
      <c r="N531" s="5" t="str">
        <f t="shared" si="4"/>
        <v>Deloitte</v>
      </c>
      <c r="O531" s="5" t="str">
        <f t="shared" si="5"/>
        <v>2 years 2 months in role</v>
      </c>
      <c r="P531" s="5" t="str">
        <f t="shared" si="6"/>
        <v>Greenville</v>
      </c>
      <c r="Q531" s="5" t="str">
        <f t="shared" si="7"/>
        <v>South Carolina</v>
      </c>
      <c r="R531" s="5" t="str">
        <f t="shared" si="8"/>
        <v>United States</v>
      </c>
    </row>
    <row r="532">
      <c r="A532" s="8" t="s">
        <v>5982</v>
      </c>
      <c r="B532" s="10" t="s">
        <v>2859</v>
      </c>
      <c r="C532" s="10" t="s">
        <v>371</v>
      </c>
      <c r="D532" s="10"/>
      <c r="E532" s="10" t="s">
        <v>2839</v>
      </c>
      <c r="F532" s="10" t="s">
        <v>1623</v>
      </c>
      <c r="G532" s="11" t="s">
        <v>90</v>
      </c>
      <c r="H532" s="11" t="s">
        <v>91</v>
      </c>
      <c r="I532" s="11" t="s">
        <v>18</v>
      </c>
      <c r="J532" s="9" t="str">
        <f>IFERROR(__xludf.DUMMYFUNCTION("""COMPUTED_VALUE"""),"https://www.google.com/search?newwindow=1&amp;ei=2MT0XrvGGM-vytMP1OyDgAY&amp;q=site%3Alinkedin.com+Jemal+Demeke+ABO+Blood+Typer/Student+Recruiter")</f>
        <v>https://www.google.com/search?newwindow=1&amp;ei=2MT0XrvGGM-vytMP1OyDgAY&amp;q=site%3Alinkedin.com+Jemal+Demeke+ABO+Blood+Typer/Student+Recruiter</v>
      </c>
      <c r="K532" s="5" t="str">
        <f t="shared" si="1"/>
        <v>Jemal Demeke</v>
      </c>
      <c r="L532" s="5" t="str">
        <f t="shared" si="2"/>
        <v>ABO Blood Typer/Student Recruiter</v>
      </c>
      <c r="M532" s="5" t="str">
        <f t="shared" si="3"/>
        <v/>
      </c>
      <c r="N532" s="5" t="str">
        <f t="shared" si="4"/>
        <v>Canadian Blood Services</v>
      </c>
      <c r="O532" s="5" t="str">
        <f t="shared" si="5"/>
        <v>3 years 1 month in role and company</v>
      </c>
      <c r="P532" s="5" t="str">
        <f t="shared" si="6"/>
        <v>Guelph</v>
      </c>
      <c r="Q532" s="5" t="str">
        <f t="shared" si="7"/>
        <v>Ontario</v>
      </c>
      <c r="R532" s="5" t="str">
        <f t="shared" si="8"/>
        <v>Canada</v>
      </c>
    </row>
    <row r="533">
      <c r="A533" s="8" t="s">
        <v>5983</v>
      </c>
      <c r="B533" s="10" t="s">
        <v>5984</v>
      </c>
      <c r="C533" s="10" t="s">
        <v>1896</v>
      </c>
      <c r="D533" s="10"/>
      <c r="E533" s="10" t="s">
        <v>4701</v>
      </c>
      <c r="F533" s="10" t="s">
        <v>5985</v>
      </c>
      <c r="G533" s="11" t="s">
        <v>90</v>
      </c>
      <c r="H533" s="11" t="s">
        <v>91</v>
      </c>
      <c r="I533" s="11" t="s">
        <v>18</v>
      </c>
      <c r="J533" s="9" t="str">
        <f>IFERROR(__xludf.DUMMYFUNCTION("""COMPUTED_VALUE"""),"https://www.google.com/search?newwindow=1&amp;ei=2MT0XrvGGM-vytMP1OyDgAY&amp;q=site%3Alinkedin.com+Simone+Ianniello+Customer+Programs+Assistant")</f>
        <v>https://www.google.com/search?newwindow=1&amp;ei=2MT0XrvGGM-vytMP1OyDgAY&amp;q=site%3Alinkedin.com+Simone+Ianniello+Customer+Programs+Assistant</v>
      </c>
      <c r="K533" s="5" t="str">
        <f t="shared" si="1"/>
        <v>Simone Ianniello</v>
      </c>
      <c r="L533" s="5" t="str">
        <f t="shared" si="2"/>
        <v>Customer Programs Assistant</v>
      </c>
      <c r="M533" s="5" t="str">
        <f t="shared" si="3"/>
        <v/>
      </c>
      <c r="N533" s="5" t="str">
        <f t="shared" si="4"/>
        <v>Kenna</v>
      </c>
      <c r="O533" s="5" t="str">
        <f t="shared" si="5"/>
        <v>6 months in role and company</v>
      </c>
      <c r="P533" s="5" t="str">
        <f t="shared" si="6"/>
        <v>Guelph</v>
      </c>
      <c r="Q533" s="5" t="str">
        <f t="shared" si="7"/>
        <v>Ontario</v>
      </c>
      <c r="R533" s="5" t="str">
        <f t="shared" si="8"/>
        <v>Canada</v>
      </c>
    </row>
    <row r="534">
      <c r="A534" s="8" t="s">
        <v>5986</v>
      </c>
      <c r="B534" s="10" t="s">
        <v>2929</v>
      </c>
      <c r="C534" s="10" t="s">
        <v>2930</v>
      </c>
      <c r="D534" s="10"/>
      <c r="E534" s="10" t="s">
        <v>4659</v>
      </c>
      <c r="F534" s="10" t="s">
        <v>1098</v>
      </c>
      <c r="G534" s="11" t="s">
        <v>90</v>
      </c>
      <c r="H534" s="11" t="s">
        <v>91</v>
      </c>
      <c r="I534" s="11" t="s">
        <v>18</v>
      </c>
      <c r="J534" s="9" t="str">
        <f>IFERROR(__xludf.DUMMYFUNCTION("""COMPUTED_VALUE"""),"https://www.google.com/search?newwindow=1&amp;ei=2MT0XrvGGM-vytMP1OyDgAY&amp;q=site%3Alinkedin.com+Sophie+Bayless+Graduate+Recruiter")</f>
        <v>https://www.google.com/search?newwindow=1&amp;ei=2MT0XrvGGM-vytMP1OyDgAY&amp;q=site%3Alinkedin.com+Sophie+Bayless+Graduate+Recruiter</v>
      </c>
      <c r="K534" s="5" t="str">
        <f t="shared" si="1"/>
        <v>Sophie Bayless</v>
      </c>
      <c r="L534" s="5" t="str">
        <f t="shared" si="2"/>
        <v>Graduate Recruiter</v>
      </c>
      <c r="M534" s="5" t="str">
        <f t="shared" si="3"/>
        <v/>
      </c>
      <c r="N534" s="5" t="str">
        <f t="shared" si="4"/>
        <v>Ideal Health Ltd</v>
      </c>
      <c r="O534" s="5" t="str">
        <f t="shared" si="5"/>
        <v>1 year 2 months in role and company</v>
      </c>
      <c r="P534" s="5" t="str">
        <f t="shared" si="6"/>
        <v>Guildford</v>
      </c>
      <c r="Q534" s="5" t="str">
        <f t="shared" si="7"/>
        <v>England</v>
      </c>
      <c r="R534" s="5" t="str">
        <f t="shared" si="8"/>
        <v>United Kingdom</v>
      </c>
    </row>
    <row r="535">
      <c r="A535" s="8" t="s">
        <v>5987</v>
      </c>
      <c r="B535" s="10" t="s">
        <v>5988</v>
      </c>
      <c r="C535" s="10" t="s">
        <v>5989</v>
      </c>
      <c r="D535" s="10"/>
      <c r="E535" s="10" t="s">
        <v>5990</v>
      </c>
      <c r="F535" s="10" t="s">
        <v>2252</v>
      </c>
      <c r="G535" s="11" t="s">
        <v>5991</v>
      </c>
      <c r="H535" s="11" t="s">
        <v>4757</v>
      </c>
      <c r="I535" s="11" t="s">
        <v>4607</v>
      </c>
      <c r="J535" s="9" t="str">
        <f>IFERROR(__xludf.DUMMYFUNCTION("""COMPUTED_VALUE"""),"https://www.google.com/search?newwindow=1&amp;ei=2MT0XrvGGM-vytMP1OyDgAY&amp;q=site%3Alinkedin.com+Adam+Robertson+Assistant+Vice+Provost+(Student+Affairs)+and+University+Registrar")</f>
        <v>https://www.google.com/search?newwindow=1&amp;ei=2MT0XrvGGM-vytMP1OyDgAY&amp;q=site%3Alinkedin.com+Adam+Robertson+Assistant+Vice+Provost+(Student+Affairs)+and+University+Registrar</v>
      </c>
      <c r="K535" s="5" t="str">
        <f t="shared" si="1"/>
        <v>Adam Robertson</v>
      </c>
      <c r="L535" s="5" t="str">
        <f t="shared" si="2"/>
        <v>Assistant Vice Provost (Student Affairs) and University Registrar</v>
      </c>
      <c r="M535" s="5" t="str">
        <f t="shared" si="3"/>
        <v/>
      </c>
      <c r="N535" s="5" t="str">
        <f t="shared" si="4"/>
        <v>Dalhousie University</v>
      </c>
      <c r="O535" s="5" t="str">
        <f t="shared" si="5"/>
        <v>1 year 5 months in role and company</v>
      </c>
      <c r="P535" s="5" t="str">
        <f t="shared" si="6"/>
        <v>Halifax</v>
      </c>
      <c r="Q535" s="5" t="str">
        <f t="shared" si="7"/>
        <v>Nova Scotia</v>
      </c>
      <c r="R535" s="5" t="str">
        <f t="shared" si="8"/>
        <v>Canada</v>
      </c>
    </row>
    <row r="536">
      <c r="A536" s="8" t="s">
        <v>5992</v>
      </c>
      <c r="B536" s="10" t="s">
        <v>5993</v>
      </c>
      <c r="C536" s="10" t="s">
        <v>4749</v>
      </c>
      <c r="D536" s="10"/>
      <c r="E536" s="10" t="s">
        <v>2297</v>
      </c>
      <c r="F536" s="10" t="s">
        <v>188</v>
      </c>
      <c r="G536" s="11" t="s">
        <v>5994</v>
      </c>
      <c r="H536" s="11" t="s">
        <v>781</v>
      </c>
      <c r="I536" s="11" t="s">
        <v>18</v>
      </c>
      <c r="J536" s="9" t="str">
        <f>IFERROR(__xludf.DUMMYFUNCTION("""COMPUTED_VALUE"""),"https://www.google.com/search?newwindow=1&amp;ei=2MT0XrvGGM-vytMP1OyDgAY&amp;q=site%3Alinkedin.com+Ruby+Boutilier+International+Recruiter+York+university")</f>
        <v>https://www.google.com/search?newwindow=1&amp;ei=2MT0XrvGGM-vytMP1OyDgAY&amp;q=site%3Alinkedin.com+Ruby+Boutilier+International+Recruiter+York+university</v>
      </c>
      <c r="K536" s="5" t="str">
        <f t="shared" si="1"/>
        <v>Ruby Boutilier</v>
      </c>
      <c r="L536" s="5" t="str">
        <f t="shared" si="2"/>
        <v>International Recruiter York university</v>
      </c>
      <c r="M536" s="5" t="str">
        <f t="shared" si="3"/>
        <v/>
      </c>
      <c r="N536" s="5" t="str">
        <f t="shared" si="4"/>
        <v>York University</v>
      </c>
      <c r="O536" s="5" t="str">
        <f t="shared" si="5"/>
        <v>1 year 9 months in role and company</v>
      </c>
      <c r="P536" s="5" t="str">
        <f t="shared" si="6"/>
        <v>Halifax</v>
      </c>
      <c r="Q536" s="5" t="str">
        <f t="shared" si="7"/>
        <v>Nova Scotia</v>
      </c>
      <c r="R536" s="5" t="str">
        <f t="shared" si="8"/>
        <v>Canada</v>
      </c>
    </row>
    <row r="537">
      <c r="A537" s="8" t="s">
        <v>5995</v>
      </c>
      <c r="B537" s="10" t="s">
        <v>1589</v>
      </c>
      <c r="C537" s="10" t="s">
        <v>371</v>
      </c>
      <c r="D537" s="10"/>
      <c r="E537" s="10" t="s">
        <v>1560</v>
      </c>
      <c r="F537" s="10"/>
      <c r="G537" s="11" t="s">
        <v>1590</v>
      </c>
      <c r="H537" s="11" t="s">
        <v>76</v>
      </c>
      <c r="I537" s="11" t="s">
        <v>18</v>
      </c>
      <c r="J537" s="9" t="str">
        <f>IFERROR(__xludf.DUMMYFUNCTION("""COMPUTED_VALUE"""),"https://www.google.com/search?newwindow=1&amp;ei=2MT0XrvGGM-vytMP1OyDgAY&amp;q=site%3Alinkedin.com+Nia+MacFarlane+Student+Success+Leader+(Recruiter)")</f>
        <v>https://www.google.com/search?newwindow=1&amp;ei=2MT0XrvGGM-vytMP1OyDgAY&amp;q=site%3Alinkedin.com+Nia+MacFarlane+Student+Success+Leader+(Recruiter)</v>
      </c>
      <c r="K537" s="5" t="str">
        <f t="shared" si="1"/>
        <v>Nia MacFarlane</v>
      </c>
      <c r="L537" s="5" t="str">
        <f t="shared" si="2"/>
        <v>Student Success Leader (Recruiter)</v>
      </c>
      <c r="M537" s="5" t="str">
        <f t="shared" si="3"/>
        <v/>
      </c>
      <c r="N537" s="5" t="str">
        <f t="shared" si="4"/>
        <v>St. Francis Xavier University</v>
      </c>
      <c r="O537" s="5" t="str">
        <f t="shared" si="5"/>
        <v>2 years 5 months in role and company</v>
      </c>
      <c r="P537" s="5" t="str">
        <f t="shared" si="6"/>
        <v>Halifax</v>
      </c>
      <c r="Q537" s="5" t="str">
        <f t="shared" si="7"/>
        <v>Nova Scotia</v>
      </c>
      <c r="R537" s="5" t="str">
        <f t="shared" si="8"/>
        <v>Canada</v>
      </c>
    </row>
    <row r="538">
      <c r="A538" s="8" t="s">
        <v>5996</v>
      </c>
      <c r="B538" s="10" t="s">
        <v>5997</v>
      </c>
      <c r="C538" s="10" t="s">
        <v>5998</v>
      </c>
      <c r="D538" s="10"/>
      <c r="E538" s="10" t="s">
        <v>5999</v>
      </c>
      <c r="F538" s="10" t="s">
        <v>165</v>
      </c>
      <c r="G538" s="11" t="s">
        <v>6000</v>
      </c>
      <c r="H538" s="11" t="s">
        <v>4757</v>
      </c>
      <c r="I538" s="11" t="s">
        <v>4607</v>
      </c>
      <c r="J538" s="9" t="str">
        <f>IFERROR(__xludf.DUMMYFUNCTION("""COMPUTED_VALUE"""),"https://www.google.com/search?newwindow=1&amp;ei=2MT0XrvGGM-vytMP1OyDgAY&amp;q=site%3Alinkedin.com+Melissa+McDonald+Hiring+Recruiter")</f>
        <v>https://www.google.com/search?newwindow=1&amp;ei=2MT0XrvGGM-vytMP1OyDgAY&amp;q=site%3Alinkedin.com+Melissa+McDonald+Hiring+Recruiter</v>
      </c>
      <c r="K538" s="5" t="str">
        <f t="shared" si="1"/>
        <v>Melissa McDonald</v>
      </c>
      <c r="L538" s="5" t="str">
        <f t="shared" si="2"/>
        <v>Hiring Recruiter</v>
      </c>
      <c r="M538" s="5" t="str">
        <f t="shared" si="3"/>
        <v/>
      </c>
      <c r="N538" s="5" t="str">
        <f t="shared" si="4"/>
        <v>Kent Building Supplies</v>
      </c>
      <c r="O538" s="5" t="str">
        <f t="shared" si="5"/>
        <v>1 year 8 months in role and company</v>
      </c>
      <c r="P538" s="5" t="str">
        <f t="shared" si="6"/>
        <v>Halifax</v>
      </c>
      <c r="Q538" s="5" t="str">
        <f t="shared" si="7"/>
        <v>Nova Scotia</v>
      </c>
      <c r="R538" s="5" t="str">
        <f t="shared" si="8"/>
        <v>Canada</v>
      </c>
    </row>
    <row r="539">
      <c r="A539" s="8" t="s">
        <v>6001</v>
      </c>
      <c r="B539" s="12" t="s">
        <v>6002</v>
      </c>
      <c r="C539" s="10" t="s">
        <v>4749</v>
      </c>
      <c r="D539" s="10"/>
      <c r="E539" s="10" t="s">
        <v>4701</v>
      </c>
      <c r="F539" s="10" t="s">
        <v>441</v>
      </c>
      <c r="G539" s="11" t="s">
        <v>4262</v>
      </c>
      <c r="H539" s="11" t="s">
        <v>17</v>
      </c>
      <c r="I539" s="11" t="s">
        <v>18</v>
      </c>
      <c r="J539" s="9" t="str">
        <f>IFERROR(__xludf.DUMMYFUNCTION("""COMPUTED_VALUE"""),"https://www.google.com/search?newwindow=1&amp;ei=2MT0XrvGGM-vytMP1OyDgAY&amp;q=site%3Alinkedin.com+Matthew+Beal+Student+Programs+Coordinator")</f>
        <v>https://www.google.com/search?newwindow=1&amp;ei=2MT0XrvGGM-vytMP1OyDgAY&amp;q=site%3Alinkedin.com+Matthew+Beal+Student+Programs+Coordinator</v>
      </c>
      <c r="K539" s="5" t="str">
        <f t="shared" si="1"/>
        <v>Matthew Beal</v>
      </c>
      <c r="L539" s="5" t="str">
        <f t="shared" si="2"/>
        <v>Student Programs Coordinator</v>
      </c>
      <c r="M539" s="5" t="str">
        <f t="shared" si="3"/>
        <v/>
      </c>
      <c r="N539" s="5" t="str">
        <f t="shared" si="4"/>
        <v>Saint Mary's University</v>
      </c>
      <c r="O539" s="5" t="str">
        <f t="shared" si="5"/>
        <v>1 year  in role and company</v>
      </c>
      <c r="P539" s="5" t="str">
        <f t="shared" si="6"/>
        <v>Halifax</v>
      </c>
      <c r="Q539" s="5" t="str">
        <f t="shared" si="7"/>
        <v>Nova Scotia</v>
      </c>
      <c r="R539" s="5" t="str">
        <f t="shared" si="8"/>
        <v>Canada</v>
      </c>
    </row>
    <row r="540">
      <c r="A540" s="8" t="s">
        <v>6003</v>
      </c>
      <c r="B540" s="10" t="s">
        <v>6004</v>
      </c>
      <c r="C540" s="10" t="s">
        <v>6005</v>
      </c>
      <c r="D540" s="10"/>
      <c r="E540" s="10" t="s">
        <v>1908</v>
      </c>
      <c r="F540" s="10" t="s">
        <v>727</v>
      </c>
      <c r="G540" s="11" t="s">
        <v>4262</v>
      </c>
      <c r="H540" s="11" t="s">
        <v>17</v>
      </c>
      <c r="I540" s="11" t="s">
        <v>18</v>
      </c>
      <c r="J540" s="9" t="str">
        <f>IFERROR(__xludf.DUMMYFUNCTION("""COMPUTED_VALUE"""),"https://www.google.com/search?newwindow=1&amp;ei=2MT0XrvGGM-vytMP1OyDgAY&amp;q=site%3Alinkedin.com+Jennifer+E.+Hann+Director,+Mature+Student+Services+and+University+Prep/Pathways+Programs")</f>
        <v>https://www.google.com/search?newwindow=1&amp;ei=2MT0XrvGGM-vytMP1OyDgAY&amp;q=site%3Alinkedin.com+Jennifer+E.+Hann+Director,+Mature+Student+Services+and+University+Prep/Pathways+Programs</v>
      </c>
      <c r="K540" s="5" t="str">
        <f t="shared" si="1"/>
        <v>Jennifer E. Hann</v>
      </c>
      <c r="L540" s="5" t="str">
        <f t="shared" si="2"/>
        <v>Director, Mature Student Services and University Prep/Pathways Programs</v>
      </c>
      <c r="M540" s="5" t="str">
        <f t="shared" si="3"/>
        <v/>
      </c>
      <c r="N540" s="5" t="str">
        <f t="shared" si="4"/>
        <v>Dalhousie University</v>
      </c>
      <c r="O540" s="5" t="str">
        <f t="shared" si="5"/>
        <v>17 years 7 months in role</v>
      </c>
      <c r="P540" s="5" t="str">
        <f t="shared" si="6"/>
        <v>Halifax</v>
      </c>
      <c r="Q540" s="5" t="str">
        <f t="shared" si="7"/>
        <v>Nova Scotia</v>
      </c>
      <c r="R540" s="5" t="str">
        <f t="shared" si="8"/>
        <v>Canada</v>
      </c>
    </row>
    <row r="541">
      <c r="A541" s="8" t="s">
        <v>6006</v>
      </c>
      <c r="B541" s="10" t="s">
        <v>2139</v>
      </c>
      <c r="C541" s="10" t="s">
        <v>2140</v>
      </c>
      <c r="D541" s="10"/>
      <c r="E541" s="10" t="s">
        <v>2117</v>
      </c>
      <c r="F541" s="10" t="s">
        <v>712</v>
      </c>
      <c r="G541" s="11" t="s">
        <v>2141</v>
      </c>
      <c r="H541" s="11" t="s">
        <v>50</v>
      </c>
      <c r="I541" s="11" t="s">
        <v>18</v>
      </c>
      <c r="J541" s="9" t="str">
        <f>IFERROR(__xludf.DUMMYFUNCTION("""COMPUTED_VALUE"""),"https://www.google.com/search?newwindow=1&amp;ei=2MT0XrvGGM-vytMP1OyDgAY&amp;q=site%3Alinkedin.com+Dawn+Cottreau+Director,+Student+&amp;+Paralegal+Programs")</f>
        <v>https://www.google.com/search?newwindow=1&amp;ei=2MT0XrvGGM-vytMP1OyDgAY&amp;q=site%3Alinkedin.com+Dawn+Cottreau+Director,+Student+&amp;+Paralegal+Programs</v>
      </c>
      <c r="K541" s="5" t="str">
        <f t="shared" si="1"/>
        <v>Dawn Cottreau</v>
      </c>
      <c r="L541" s="5" t="str">
        <f t="shared" si="2"/>
        <v>Director, Student &amp; Paralegal Programs</v>
      </c>
      <c r="M541" s="5" t="str">
        <f t="shared" si="3"/>
        <v/>
      </c>
      <c r="N541" s="5" t="str">
        <f t="shared" si="4"/>
        <v>Stewart McKelvey</v>
      </c>
      <c r="O541" s="5" t="str">
        <f t="shared" si="5"/>
        <v>6 years  in role</v>
      </c>
      <c r="P541" s="5" t="str">
        <f t="shared" si="6"/>
        <v>Halifax</v>
      </c>
      <c r="Q541" s="5" t="str">
        <f t="shared" si="7"/>
        <v>Nova Scotia</v>
      </c>
      <c r="R541" s="5" t="str">
        <f t="shared" si="8"/>
        <v>Canada</v>
      </c>
    </row>
    <row r="542">
      <c r="A542" s="8" t="s">
        <v>6007</v>
      </c>
      <c r="B542" s="12" t="s">
        <v>6008</v>
      </c>
      <c r="C542" s="10" t="s">
        <v>6009</v>
      </c>
      <c r="D542" s="10"/>
      <c r="E542" s="10" t="s">
        <v>6010</v>
      </c>
      <c r="F542" s="10" t="s">
        <v>2035</v>
      </c>
      <c r="G542" s="11" t="s">
        <v>6011</v>
      </c>
      <c r="H542" s="11" t="s">
        <v>4757</v>
      </c>
      <c r="I542" s="11" t="s">
        <v>4607</v>
      </c>
      <c r="J542" s="9" t="str">
        <f>IFERROR(__xludf.DUMMYFUNCTION("""COMPUTED_VALUE"""),"https://www.google.com/search?newwindow=1&amp;ei=2MT0XrvGGM-vytMP1OyDgAY&amp;q=site%3Alinkedin.com+Janet+Zed+Coordinator,+Student+Programs+and+Lawyer+Development")</f>
        <v>https://www.google.com/search?newwindow=1&amp;ei=2MT0XrvGGM-vytMP1OyDgAY&amp;q=site%3Alinkedin.com+Janet+Zed+Coordinator,+Student+Programs+and+Lawyer+Development</v>
      </c>
      <c r="K542" s="5" t="str">
        <f t="shared" si="1"/>
        <v>Janet Zed</v>
      </c>
      <c r="L542" s="5" t="str">
        <f t="shared" si="2"/>
        <v>Coordinator, Student Programs and Lawyer Development</v>
      </c>
      <c r="M542" s="5" t="str">
        <f t="shared" si="3"/>
        <v/>
      </c>
      <c r="N542" s="5" t="str">
        <f t="shared" si="4"/>
        <v>Stewart McKelvey</v>
      </c>
      <c r="O542" s="5" t="str">
        <f t="shared" si="5"/>
        <v>1 year 8 months in role and company</v>
      </c>
      <c r="P542" s="5" t="str">
        <f t="shared" si="6"/>
        <v>Halifax</v>
      </c>
      <c r="Q542" s="5" t="str">
        <f t="shared" si="7"/>
        <v>Nova Scotia</v>
      </c>
      <c r="R542" s="5" t="str">
        <f t="shared" si="8"/>
        <v>Canada</v>
      </c>
    </row>
    <row r="543">
      <c r="A543" s="8" t="s">
        <v>6012</v>
      </c>
      <c r="B543" s="12" t="s">
        <v>6013</v>
      </c>
      <c r="C543" s="10" t="s">
        <v>6014</v>
      </c>
      <c r="D543" s="10"/>
      <c r="E543" s="10" t="s">
        <v>6015</v>
      </c>
      <c r="F543" s="10" t="s">
        <v>182</v>
      </c>
      <c r="G543" s="11" t="s">
        <v>6016</v>
      </c>
      <c r="H543" s="11" t="s">
        <v>4606</v>
      </c>
      <c r="I543" s="11" t="s">
        <v>4607</v>
      </c>
      <c r="J543" s="9" t="str">
        <f>IFERROR(__xludf.DUMMYFUNCTION("""COMPUTED_VALUE"""),"https://www.google.com/search?newwindow=1&amp;ei=2MT0XrvGGM-vytMP1OyDgAY&amp;q=site%3Alinkedin.com+Jackie+Fricke+Campus+Recruiting+Coordinator")</f>
        <v>https://www.google.com/search?newwindow=1&amp;ei=2MT0XrvGGM-vytMP1OyDgAY&amp;q=site%3Alinkedin.com+Jackie+Fricke+Campus+Recruiting+Coordinator</v>
      </c>
      <c r="K543" s="5" t="str">
        <f t="shared" si="1"/>
        <v>Jackie Fricke</v>
      </c>
      <c r="L543" s="5" t="str">
        <f t="shared" si="2"/>
        <v>Campus Recruiting Coordinator</v>
      </c>
      <c r="M543" s="5" t="str">
        <f t="shared" si="3"/>
        <v/>
      </c>
      <c r="N543" s="5" t="str">
        <f t="shared" si="4"/>
        <v>KPMG</v>
      </c>
      <c r="O543" s="5" t="str">
        <f t="shared" si="5"/>
        <v>5 years  in role and company</v>
      </c>
      <c r="P543" s="5" t="str">
        <f t="shared" si="6"/>
        <v>Hamel</v>
      </c>
      <c r="Q543" s="5" t="str">
        <f t="shared" si="7"/>
        <v>Minnesota</v>
      </c>
      <c r="R543" s="5" t="str">
        <f t="shared" si="8"/>
        <v>United States</v>
      </c>
    </row>
    <row r="544">
      <c r="A544" s="8" t="s">
        <v>6017</v>
      </c>
      <c r="B544" s="10" t="s">
        <v>6018</v>
      </c>
      <c r="C544" s="10" t="s">
        <v>6019</v>
      </c>
      <c r="D544" s="10"/>
      <c r="E544" s="10" t="s">
        <v>6020</v>
      </c>
      <c r="F544" s="10" t="s">
        <v>42</v>
      </c>
      <c r="G544" s="11" t="s">
        <v>6016</v>
      </c>
      <c r="H544" s="11" t="s">
        <v>4606</v>
      </c>
      <c r="I544" s="11" t="s">
        <v>4607</v>
      </c>
      <c r="J544" s="9" t="str">
        <f>IFERROR(__xludf.DUMMYFUNCTION("""COMPUTED_VALUE"""),"https://www.google.com/search?newwindow=1&amp;ei=2MT0XrvGGM-vytMP1OyDgAY&amp;q=site%3Alinkedin.com+Sandy+Willett+Student+Recruiter")</f>
        <v>https://www.google.com/search?newwindow=1&amp;ei=2MT0XrvGGM-vytMP1OyDgAY&amp;q=site%3Alinkedin.com+Sandy+Willett+Student+Recruiter</v>
      </c>
      <c r="K544" s="5" t="str">
        <f t="shared" si="1"/>
        <v>Sandy Willett</v>
      </c>
      <c r="L544" s="5" t="str">
        <f t="shared" si="2"/>
        <v>Student Recruiter</v>
      </c>
      <c r="M544" s="5" t="str">
        <f t="shared" si="3"/>
        <v/>
      </c>
      <c r="N544" s="5" t="str">
        <f t="shared" si="4"/>
        <v>Mohawk College</v>
      </c>
      <c r="O544" s="5" t="str">
        <f t="shared" si="5"/>
        <v/>
      </c>
      <c r="P544" s="5" t="str">
        <f t="shared" si="6"/>
        <v>Hamilton</v>
      </c>
      <c r="Q544" s="5" t="str">
        <f t="shared" si="7"/>
        <v>Ontario</v>
      </c>
      <c r="R544" s="5" t="str">
        <f t="shared" si="8"/>
        <v>Canada</v>
      </c>
    </row>
    <row r="545">
      <c r="A545" s="8" t="s">
        <v>6021</v>
      </c>
      <c r="B545" s="10" t="s">
        <v>6022</v>
      </c>
      <c r="C545" s="10" t="s">
        <v>25</v>
      </c>
      <c r="D545" s="10"/>
      <c r="E545" s="10" t="s">
        <v>6023</v>
      </c>
      <c r="F545" s="10" t="s">
        <v>15</v>
      </c>
      <c r="G545" s="11" t="s">
        <v>6016</v>
      </c>
      <c r="H545" s="11" t="s">
        <v>4606</v>
      </c>
      <c r="I545" s="11" t="s">
        <v>4607</v>
      </c>
      <c r="J545" s="9" t="str">
        <f>IFERROR(__xludf.DUMMYFUNCTION("""COMPUTED_VALUE"""),"https://www.google.com/search?newwindow=1&amp;ei=2MT0XrvGGM-vytMP1OyDgAY&amp;q=site%3Alinkedin.com+Brittney+McManus+Coordinator,+Student+Programs")</f>
        <v>https://www.google.com/search?newwindow=1&amp;ei=2MT0XrvGGM-vytMP1OyDgAY&amp;q=site%3Alinkedin.com+Brittney+McManus+Coordinator,+Student+Programs</v>
      </c>
      <c r="K545" s="5" t="str">
        <f t="shared" si="1"/>
        <v>Brittney McManus</v>
      </c>
      <c r="L545" s="5" t="str">
        <f t="shared" si="2"/>
        <v>Coordinator, Student Programs</v>
      </c>
      <c r="M545" s="5" t="str">
        <f t="shared" si="3"/>
        <v/>
      </c>
      <c r="N545" s="5" t="str">
        <f t="shared" si="4"/>
        <v>University of Guelph</v>
      </c>
      <c r="O545" s="5" t="str">
        <f t="shared" si="5"/>
        <v>3 years 3 months in role and company</v>
      </c>
      <c r="P545" s="5" t="str">
        <f t="shared" si="6"/>
        <v>Hamilton</v>
      </c>
      <c r="Q545" s="5" t="str">
        <f t="shared" si="7"/>
        <v>Ontario</v>
      </c>
      <c r="R545" s="5" t="str">
        <f t="shared" si="8"/>
        <v>Canada</v>
      </c>
    </row>
    <row r="546">
      <c r="A546" s="8" t="s">
        <v>6024</v>
      </c>
      <c r="B546" s="10" t="s">
        <v>6025</v>
      </c>
      <c r="C546" s="10" t="s">
        <v>115</v>
      </c>
      <c r="D546" s="10"/>
      <c r="E546" s="10" t="s">
        <v>6026</v>
      </c>
      <c r="F546" s="10" t="s">
        <v>125</v>
      </c>
      <c r="G546" s="11" t="s">
        <v>6016</v>
      </c>
      <c r="H546" s="11" t="s">
        <v>4606</v>
      </c>
      <c r="I546" s="11" t="s">
        <v>4607</v>
      </c>
      <c r="J546" s="9" t="str">
        <f>IFERROR(__xludf.DUMMYFUNCTION("""COMPUTED_VALUE"""),"https://www.google.com/search?newwindow=1&amp;ei=2MT0XrvGGM-vytMP1OyDgAY&amp;q=site%3Alinkedin.com+Anna+Magnotta+Manager,+Experiential+Programs")</f>
        <v>https://www.google.com/search?newwindow=1&amp;ei=2MT0XrvGGM-vytMP1OyDgAY&amp;q=site%3Alinkedin.com+Anna+Magnotta+Manager,+Experiential+Programs</v>
      </c>
      <c r="K546" s="5" t="str">
        <f t="shared" si="1"/>
        <v>Anna Magnotta</v>
      </c>
      <c r="L546" s="5" t="str">
        <f t="shared" si="2"/>
        <v>Manager, Experiential Programs</v>
      </c>
      <c r="M546" s="5" t="str">
        <f t="shared" si="3"/>
        <v/>
      </c>
      <c r="N546" s="5" t="str">
        <f t="shared" si="4"/>
        <v>McMaster University</v>
      </c>
      <c r="O546" s="5" t="str">
        <f t="shared" si="5"/>
        <v>3 years 5 months in role</v>
      </c>
      <c r="P546" s="5" t="str">
        <f t="shared" si="6"/>
        <v>Hamilton</v>
      </c>
      <c r="Q546" s="5" t="str">
        <f t="shared" si="7"/>
        <v>Ontario</v>
      </c>
      <c r="R546" s="5" t="str">
        <f t="shared" si="8"/>
        <v>Canada</v>
      </c>
    </row>
    <row r="547">
      <c r="A547" s="8" t="s">
        <v>6027</v>
      </c>
      <c r="B547" s="10" t="s">
        <v>6028</v>
      </c>
      <c r="C547" s="10" t="s">
        <v>6029</v>
      </c>
      <c r="D547" s="10"/>
      <c r="E547" s="10" t="s">
        <v>6030</v>
      </c>
      <c r="F547" s="10" t="s">
        <v>6031</v>
      </c>
      <c r="G547" s="11" t="s">
        <v>6016</v>
      </c>
      <c r="H547" s="11" t="s">
        <v>4606</v>
      </c>
      <c r="I547" s="11" t="s">
        <v>4607</v>
      </c>
      <c r="J547" s="9" t="str">
        <f>IFERROR(__xludf.DUMMYFUNCTION("""COMPUTED_VALUE"""),"https://www.google.com/search?newwindow=1&amp;ei=2MT0XrvGGM-vytMP1OyDgAY&amp;q=site%3Alinkedin.com+Victoria+Wylie+Support+Officer+-+P.A.S.S.+(Peer+Assisted+Study+Sessions)+&amp;+Student+Success+Programs")</f>
        <v>https://www.google.com/search?newwindow=1&amp;ei=2MT0XrvGGM-vytMP1OyDgAY&amp;q=site%3Alinkedin.com+Victoria+Wylie+Support+Officer+-+P.A.S.S.+(Peer+Assisted+Study+Sessions)+&amp;+Student+Success+Programs</v>
      </c>
      <c r="K547" s="5" t="str">
        <f t="shared" si="1"/>
        <v>Victoria Wylie</v>
      </c>
      <c r="L547" s="5" t="str">
        <f t="shared" si="2"/>
        <v>Support Officer - P.A.S.S. (Peer Assisted Study Sessions) &amp; Student Success Programs</v>
      </c>
      <c r="M547" s="5" t="str">
        <f t="shared" si="3"/>
        <v/>
      </c>
      <c r="N547" s="5" t="str">
        <f t="shared" si="4"/>
        <v>Mohawk College</v>
      </c>
      <c r="O547" s="5" t="str">
        <f t="shared" si="5"/>
        <v>3 years 1 month in role</v>
      </c>
      <c r="P547" s="5" t="str">
        <f t="shared" si="6"/>
        <v>Hamilton</v>
      </c>
      <c r="Q547" s="5" t="str">
        <f t="shared" si="7"/>
        <v>Ontario</v>
      </c>
      <c r="R547" s="5" t="str">
        <f t="shared" si="8"/>
        <v>Canada</v>
      </c>
    </row>
    <row r="548">
      <c r="A548" s="8" t="s">
        <v>6032</v>
      </c>
      <c r="B548" s="10" t="s">
        <v>4455</v>
      </c>
      <c r="C548" s="10" t="s">
        <v>6033</v>
      </c>
      <c r="D548" s="10"/>
      <c r="E548" s="10" t="s">
        <v>4441</v>
      </c>
      <c r="F548" s="10" t="s">
        <v>1950</v>
      </c>
      <c r="G548" s="11" t="s">
        <v>4458</v>
      </c>
      <c r="H548" s="11" t="s">
        <v>2731</v>
      </c>
      <c r="I548" s="11" t="s">
        <v>18</v>
      </c>
      <c r="J548" s="9" t="str">
        <f>IFERROR(__xludf.DUMMYFUNCTION("""COMPUTED_VALUE"""),"https://www.google.com/search?newwindow=1&amp;ei=2MT0XrvGGM-vytMP1OyDgAY&amp;q=site%3Alinkedin.com+Darlene+Edmonds+Regional+Community+Development+Coordinator+for+Student+Nutrition+Programs")</f>
        <v>https://www.google.com/search?newwindow=1&amp;ei=2MT0XrvGGM-vytMP1OyDgAY&amp;q=site%3Alinkedin.com+Darlene+Edmonds+Regional+Community+Development+Coordinator+for+Student+Nutrition+Programs</v>
      </c>
      <c r="K548" s="5" t="str">
        <f t="shared" si="1"/>
        <v>Darlene Edmonds</v>
      </c>
      <c r="L548" s="5" t="str">
        <f t="shared" si="2"/>
        <v>Regional Community Development Coordinator for Student Nutrition Programs</v>
      </c>
      <c r="M548" s="5" t="str">
        <f t="shared" si="3"/>
        <v/>
      </c>
      <c r="N548" s="5" t="str">
        <f t="shared" si="4"/>
        <v>Haldimand Norfolk REACH</v>
      </c>
      <c r="O548" s="5" t="str">
        <f t="shared" si="5"/>
        <v>12 years  in role and company</v>
      </c>
      <c r="P548" s="5" t="str">
        <f t="shared" si="6"/>
        <v>Hamilton</v>
      </c>
      <c r="Q548" s="5" t="str">
        <f t="shared" si="7"/>
        <v>Ontario</v>
      </c>
      <c r="R548" s="5" t="str">
        <f t="shared" si="8"/>
        <v>Canada</v>
      </c>
    </row>
    <row r="549">
      <c r="A549" s="8" t="s">
        <v>6034</v>
      </c>
      <c r="B549" s="12" t="s">
        <v>6035</v>
      </c>
      <c r="C549" s="10" t="s">
        <v>4596</v>
      </c>
      <c r="D549" s="10"/>
      <c r="E549" s="10" t="s">
        <v>5397</v>
      </c>
      <c r="F549" s="10" t="s">
        <v>136</v>
      </c>
      <c r="G549" s="11" t="s">
        <v>6036</v>
      </c>
      <c r="H549" s="11" t="s">
        <v>4644</v>
      </c>
      <c r="I549" s="11" t="s">
        <v>4600</v>
      </c>
      <c r="J549" s="9" t="str">
        <f>IFERROR(__xludf.DUMMYFUNCTION("""COMPUTED_VALUE"""),"https://www.google.com/search?newwindow=1&amp;ei=2MT0XrvGGM-vytMP1OyDgAY&amp;q=site%3Alinkedin.com+Sarah+Ocasio+Vice+President,+Campus+Recruiting")</f>
        <v>https://www.google.com/search?newwindow=1&amp;ei=2MT0XrvGGM-vytMP1OyDgAY&amp;q=site%3Alinkedin.com+Sarah+Ocasio+Vice+President,+Campus+Recruiting</v>
      </c>
      <c r="K549" s="5" t="str">
        <f t="shared" si="1"/>
        <v>Sarah Ocasio</v>
      </c>
      <c r="L549" s="5" t="str">
        <f t="shared" si="2"/>
        <v>Vice President, Campus Recruiting</v>
      </c>
      <c r="M549" s="5" t="str">
        <f t="shared" si="3"/>
        <v/>
      </c>
      <c r="N549" s="5" t="str">
        <f t="shared" si="4"/>
        <v>JPMorgan Chase &amp; Co.</v>
      </c>
      <c r="O549" s="5" t="str">
        <f t="shared" si="5"/>
        <v>2 years 10 months in role</v>
      </c>
      <c r="P549" s="5" t="str">
        <f t="shared" si="6"/>
        <v>Harrington Park</v>
      </c>
      <c r="Q549" s="5" t="str">
        <f t="shared" si="7"/>
        <v>New Jersey</v>
      </c>
      <c r="R549" s="5" t="str">
        <f t="shared" si="8"/>
        <v>United States</v>
      </c>
    </row>
    <row r="550">
      <c r="A550" s="8" t="s">
        <v>6037</v>
      </c>
      <c r="B550" s="10" t="s">
        <v>6038</v>
      </c>
      <c r="C550" s="10" t="s">
        <v>4596</v>
      </c>
      <c r="D550" s="10"/>
      <c r="E550" s="10" t="s">
        <v>5397</v>
      </c>
      <c r="F550" s="10" t="s">
        <v>192</v>
      </c>
      <c r="G550" s="11" t="s">
        <v>6036</v>
      </c>
      <c r="H550" s="11" t="s">
        <v>4644</v>
      </c>
      <c r="I550" s="11" t="s">
        <v>4600</v>
      </c>
      <c r="J550" s="9" t="str">
        <f>IFERROR(__xludf.DUMMYFUNCTION("""COMPUTED_VALUE"""),"https://www.google.com/search?newwindow=1&amp;ei=2MT0XrvGGM-vytMP1OyDgAY&amp;q=site%3Alinkedin.com+Richard+Abel+III+Senior+Campus+Recruiting+Specialist")</f>
        <v>https://www.google.com/search?newwindow=1&amp;ei=2MT0XrvGGM-vytMP1OyDgAY&amp;q=site%3Alinkedin.com+Richard+Abel+III+Senior+Campus+Recruiting+Specialist</v>
      </c>
      <c r="K550" s="5" t="str">
        <f t="shared" si="1"/>
        <v>Richard Abel III</v>
      </c>
      <c r="L550" s="5" t="str">
        <f t="shared" si="2"/>
        <v>Senior Campus Recruiting Specialist</v>
      </c>
      <c r="M550" s="5" t="str">
        <f t="shared" si="3"/>
        <v/>
      </c>
      <c r="N550" s="5" t="str">
        <f t="shared" si="4"/>
        <v>Deloitte</v>
      </c>
      <c r="O550" s="5" t="str">
        <f t="shared" si="5"/>
        <v>3 months in role</v>
      </c>
      <c r="P550" s="5" t="str">
        <f t="shared" si="6"/>
        <v>Harrisburg</v>
      </c>
      <c r="Q550" s="5" t="str">
        <f t="shared" si="7"/>
        <v>Pennsylvania</v>
      </c>
      <c r="R550" s="5" t="str">
        <f t="shared" si="8"/>
        <v>United States</v>
      </c>
    </row>
    <row r="551">
      <c r="A551" s="8" t="s">
        <v>6039</v>
      </c>
      <c r="B551" s="12" t="s">
        <v>6040</v>
      </c>
      <c r="C551" s="10" t="s">
        <v>6041</v>
      </c>
      <c r="D551" s="10"/>
      <c r="E551" s="10" t="s">
        <v>6042</v>
      </c>
      <c r="F551" s="10" t="s">
        <v>36</v>
      </c>
      <c r="G551" s="11" t="s">
        <v>6036</v>
      </c>
      <c r="H551" s="11" t="s">
        <v>4644</v>
      </c>
      <c r="I551" s="11" t="s">
        <v>4600</v>
      </c>
      <c r="J551" s="9" t="str">
        <f>IFERROR(__xludf.DUMMYFUNCTION("""COMPUTED_VALUE"""),"https://www.google.com/search?newwindow=1&amp;ei=2MT0XrvGGM-vytMP1OyDgAY&amp;q=site%3Alinkedin.com+Tom+Young+University+Recruitment+Manager")</f>
        <v>https://www.google.com/search?newwindow=1&amp;ei=2MT0XrvGGM-vytMP1OyDgAY&amp;q=site%3Alinkedin.com+Tom+Young+University+Recruitment+Manager</v>
      </c>
      <c r="K551" s="5" t="str">
        <f t="shared" si="1"/>
        <v>Tom Young</v>
      </c>
      <c r="L551" s="5" t="str">
        <f t="shared" si="2"/>
        <v>University Recruitment Manager</v>
      </c>
      <c r="M551" s="5" t="str">
        <f t="shared" si="3"/>
        <v/>
      </c>
      <c r="N551" s="5" t="str">
        <f t="shared" si="4"/>
        <v>Teach First</v>
      </c>
      <c r="O551" s="5" t="str">
        <f t="shared" si="5"/>
        <v>3 years 4 months in role</v>
      </c>
      <c r="P551" s="5" t="str">
        <f t="shared" si="6"/>
        <v>Harrogate</v>
      </c>
      <c r="Q551" s="5" t="str">
        <f t="shared" si="7"/>
        <v>England</v>
      </c>
      <c r="R551" s="5" t="str">
        <f t="shared" si="8"/>
        <v>United Kingdom</v>
      </c>
    </row>
    <row r="552">
      <c r="A552" s="8" t="s">
        <v>6043</v>
      </c>
      <c r="B552" s="10" t="s">
        <v>6044</v>
      </c>
      <c r="C552" s="10" t="s">
        <v>4596</v>
      </c>
      <c r="D552" s="10"/>
      <c r="E552" s="10" t="s">
        <v>5397</v>
      </c>
      <c r="F552" s="10" t="s">
        <v>376</v>
      </c>
      <c r="G552" s="11" t="s">
        <v>6036</v>
      </c>
      <c r="H552" s="11" t="s">
        <v>4644</v>
      </c>
      <c r="I552" s="11" t="s">
        <v>4600</v>
      </c>
      <c r="J552" s="9" t="str">
        <f>IFERROR(__xludf.DUMMYFUNCTION("""COMPUTED_VALUE"""),"https://www.google.com/search?newwindow=1&amp;ei=2MT0XrvGGM-vytMP1OyDgAY&amp;q=site%3Alinkedin.com+Eileen+Seal+Employability+and+Recruitment+Adviser")</f>
        <v>https://www.google.com/search?newwindow=1&amp;ei=2MT0XrvGGM-vytMP1OyDgAY&amp;q=site%3Alinkedin.com+Eileen+Seal+Employability+and+Recruitment+Adviser</v>
      </c>
      <c r="K552" s="5" t="str">
        <f t="shared" si="1"/>
        <v>Eileen Seal</v>
      </c>
      <c r="L552" s="5" t="str">
        <f t="shared" si="2"/>
        <v>Employability and Recruitment Adviser</v>
      </c>
      <c r="M552" s="5" t="str">
        <f t="shared" si="3"/>
        <v/>
      </c>
      <c r="N552" s="5" t="str">
        <f t="shared" si="4"/>
        <v>Exemplas</v>
      </c>
      <c r="O552" s="5" t="str">
        <f t="shared" si="5"/>
        <v>7 years 2 months in role</v>
      </c>
      <c r="P552" s="5" t="str">
        <f t="shared" si="6"/>
        <v>Hatfield</v>
      </c>
      <c r="Q552" s="5" t="str">
        <f t="shared" si="7"/>
        <v>England</v>
      </c>
      <c r="R552" s="5" t="str">
        <f t="shared" si="8"/>
        <v>United Kingdom</v>
      </c>
    </row>
    <row r="553">
      <c r="A553" s="8" t="s">
        <v>6045</v>
      </c>
      <c r="B553" s="10" t="s">
        <v>6046</v>
      </c>
      <c r="C553" s="10" t="s">
        <v>4596</v>
      </c>
      <c r="D553" s="10"/>
      <c r="E553" s="10" t="s">
        <v>6047</v>
      </c>
      <c r="F553" s="10" t="s">
        <v>84</v>
      </c>
      <c r="G553" s="11" t="s">
        <v>6036</v>
      </c>
      <c r="H553" s="11" t="s">
        <v>4644</v>
      </c>
      <c r="I553" s="11" t="s">
        <v>4600</v>
      </c>
      <c r="J553" s="9" t="str">
        <f>IFERROR(__xludf.DUMMYFUNCTION("""COMPUTED_VALUE"""),"https://www.google.com/search?newwindow=1&amp;ei=2MT0XrvGGM-vytMP1OyDgAY&amp;q=site%3Alinkedin.com+Kim+Mariani,+MBA+Campus+Recruiting+Coordinator")</f>
        <v>https://www.google.com/search?newwindow=1&amp;ei=2MT0XrvGGM-vytMP1OyDgAY&amp;q=site%3Alinkedin.com+Kim+Mariani,+MBA+Campus+Recruiting+Coordinator</v>
      </c>
      <c r="K553" s="5" t="str">
        <f t="shared" si="1"/>
        <v>Kim Mariani, MBA</v>
      </c>
      <c r="L553" s="5" t="str">
        <f t="shared" si="2"/>
        <v>Campus Recruiting Coordinator</v>
      </c>
      <c r="M553" s="5" t="str">
        <f t="shared" si="3"/>
        <v/>
      </c>
      <c r="N553" s="5" t="str">
        <f t="shared" si="4"/>
        <v>Capital One</v>
      </c>
      <c r="O553" s="5" t="str">
        <f t="shared" si="5"/>
        <v>3 months in role</v>
      </c>
      <c r="P553" s="5" t="str">
        <f t="shared" si="6"/>
        <v>Havertown</v>
      </c>
      <c r="Q553" s="5" t="str">
        <f t="shared" si="7"/>
        <v>Pennsylvania</v>
      </c>
      <c r="R553" s="5" t="str">
        <f t="shared" si="8"/>
        <v>United States</v>
      </c>
    </row>
    <row r="554">
      <c r="A554" s="8" t="s">
        <v>6048</v>
      </c>
      <c r="B554" s="12" t="s">
        <v>6049</v>
      </c>
      <c r="C554" s="10" t="s">
        <v>6050</v>
      </c>
      <c r="D554" s="10"/>
      <c r="E554" s="10" t="s">
        <v>6047</v>
      </c>
      <c r="F554" s="10" t="s">
        <v>84</v>
      </c>
      <c r="G554" s="11" t="s">
        <v>6036</v>
      </c>
      <c r="H554" s="11" t="s">
        <v>4644</v>
      </c>
      <c r="I554" s="11" t="s">
        <v>4600</v>
      </c>
      <c r="J554" s="9" t="str">
        <f>IFERROR(__xludf.DUMMYFUNCTION("""COMPUTED_VALUE"""),"https://www.google.com/search?newwindow=1&amp;ei=2MT0XrvGGM-vytMP1OyDgAY&amp;q=site%3Alinkedin.com+Imroz+Shaikh+Master+Student")</f>
        <v>https://www.google.com/search?newwindow=1&amp;ei=2MT0XrvGGM-vytMP1OyDgAY&amp;q=site%3Alinkedin.com+Imroz+Shaikh+Master+Student</v>
      </c>
      <c r="K554" s="5" t="str">
        <f t="shared" si="1"/>
        <v>Imroz Shaikh</v>
      </c>
      <c r="L554" s="5" t="str">
        <f t="shared" si="2"/>
        <v>Master Student</v>
      </c>
      <c r="M554" s="5" t="str">
        <f t="shared" si="3"/>
        <v/>
      </c>
      <c r="N554" s="5" t="str">
        <f t="shared" si="4"/>
        <v>Study Break</v>
      </c>
      <c r="O554" s="5" t="str">
        <f t="shared" si="5"/>
        <v>5 years 5 months in role and company</v>
      </c>
      <c r="P554" s="5" t="str">
        <f t="shared" si="6"/>
        <v>Hemel Hempstead</v>
      </c>
      <c r="Q554" s="5" t="str">
        <f t="shared" si="7"/>
        <v>England</v>
      </c>
      <c r="R554" s="5" t="str">
        <f t="shared" si="8"/>
        <v>United Kingdom</v>
      </c>
    </row>
    <row r="555">
      <c r="A555" s="8" t="s">
        <v>6051</v>
      </c>
      <c r="B555" s="10" t="s">
        <v>6052</v>
      </c>
      <c r="C555" s="10" t="s">
        <v>6053</v>
      </c>
      <c r="D555" s="10"/>
      <c r="E555" s="10" t="s">
        <v>5276</v>
      </c>
      <c r="F555" s="10" t="s">
        <v>233</v>
      </c>
      <c r="G555" s="11" t="s">
        <v>6036</v>
      </c>
      <c r="H555" s="11" t="s">
        <v>4644</v>
      </c>
      <c r="I555" s="11" t="s">
        <v>4600</v>
      </c>
      <c r="J555" s="9" t="str">
        <f>IFERROR(__xludf.DUMMYFUNCTION("""COMPUTED_VALUE"""),"https://www.google.com/search?newwindow=1&amp;ei=2MT0XrvGGM-vytMP1OyDgAY&amp;q=site%3Alinkedin.com+Scott+Henderson+Student+Recruiter")</f>
        <v>https://www.google.com/search?newwindow=1&amp;ei=2MT0XrvGGM-vytMP1OyDgAY&amp;q=site%3Alinkedin.com+Scott+Henderson+Student+Recruiter</v>
      </c>
      <c r="K555" s="5" t="str">
        <f t="shared" si="1"/>
        <v>Scott Henderson</v>
      </c>
      <c r="L555" s="5" t="str">
        <f t="shared" si="2"/>
        <v>Student Recruiter</v>
      </c>
      <c r="M555" s="5" t="str">
        <f t="shared" si="3"/>
        <v/>
      </c>
      <c r="N555" s="5" t="str">
        <f t="shared" si="4"/>
        <v>University of Sunderland</v>
      </c>
      <c r="O555" s="5" t="str">
        <f t="shared" si="5"/>
        <v>5 years 2 months in role and company</v>
      </c>
      <c r="P555" s="5" t="str">
        <f t="shared" si="6"/>
        <v>Hetton-le-Hole</v>
      </c>
      <c r="Q555" s="5" t="str">
        <f t="shared" si="7"/>
        <v>England</v>
      </c>
      <c r="R555" s="5" t="str">
        <f t="shared" si="8"/>
        <v>United Kingdom</v>
      </c>
    </row>
    <row r="556">
      <c r="A556" s="8" t="s">
        <v>6054</v>
      </c>
      <c r="B556" s="12" t="s">
        <v>6055</v>
      </c>
      <c r="C556" s="10" t="s">
        <v>6056</v>
      </c>
      <c r="D556" s="10"/>
      <c r="E556" s="10" t="s">
        <v>5397</v>
      </c>
      <c r="F556" s="10" t="s">
        <v>217</v>
      </c>
      <c r="G556" s="11" t="s">
        <v>6036</v>
      </c>
      <c r="H556" s="11" t="s">
        <v>4644</v>
      </c>
      <c r="I556" s="11" t="s">
        <v>4600</v>
      </c>
      <c r="J556" s="9" t="str">
        <f>IFERROR(__xludf.DUMMYFUNCTION("""COMPUTED_VALUE"""),"https://www.google.com/search?newwindow=1&amp;ei=2MT0XrvGGM-vytMP1OyDgAY&amp;q=site%3Alinkedin.com+Georgia+Finlayson+Student+Peer+Mentoring+Programs+Coordinator")</f>
        <v>https://www.google.com/search?newwindow=1&amp;ei=2MT0XrvGGM-vytMP1OyDgAY&amp;q=site%3Alinkedin.com+Georgia+Finlayson+Student+Peer+Mentoring+Programs+Coordinator</v>
      </c>
      <c r="K556" s="5" t="str">
        <f t="shared" si="1"/>
        <v>Georgia Finlayson</v>
      </c>
      <c r="L556" s="5" t="str">
        <f t="shared" si="2"/>
        <v>Student Peer Mentoring Programs Coordinator</v>
      </c>
      <c r="M556" s="5" t="str">
        <f t="shared" si="3"/>
        <v/>
      </c>
      <c r="N556" s="5" t="str">
        <f t="shared" si="4"/>
        <v>Monash University</v>
      </c>
      <c r="O556" s="5" t="str">
        <f t="shared" si="5"/>
        <v>3 years 1 month in role</v>
      </c>
      <c r="P556" s="5" t="str">
        <f t="shared" si="6"/>
        <v>Highett</v>
      </c>
      <c r="Q556" s="5" t="str">
        <f t="shared" si="7"/>
        <v>Victoria</v>
      </c>
      <c r="R556" s="5" t="str">
        <f t="shared" si="8"/>
        <v>Australia</v>
      </c>
    </row>
    <row r="557">
      <c r="A557" s="8" t="s">
        <v>6057</v>
      </c>
      <c r="B557" s="12" t="s">
        <v>6058</v>
      </c>
      <c r="C557" s="10" t="s">
        <v>6059</v>
      </c>
      <c r="D557" s="10"/>
      <c r="E557" s="10" t="s">
        <v>5276</v>
      </c>
      <c r="F557" s="10" t="s">
        <v>182</v>
      </c>
      <c r="G557" s="11" t="s">
        <v>6036</v>
      </c>
      <c r="H557" s="11" t="s">
        <v>4644</v>
      </c>
      <c r="I557" s="11" t="s">
        <v>4600</v>
      </c>
      <c r="J557" s="9" t="str">
        <f>IFERROR(__xludf.DUMMYFUNCTION("""COMPUTED_VALUE"""),"https://www.google.com/search?newwindow=1&amp;ei=2MT0XrvGGM-vytMP1OyDgAY&amp;q=site%3Alinkedin.com+Mia+Friederich+Campus+Recruiting+Coordinator")</f>
        <v>https://www.google.com/search?newwindow=1&amp;ei=2MT0XrvGGM-vytMP1OyDgAY&amp;q=site%3Alinkedin.com+Mia+Friederich+Campus+Recruiting+Coordinator</v>
      </c>
      <c r="K557" s="5" t="str">
        <f t="shared" si="1"/>
        <v>Mia Friederich</v>
      </c>
      <c r="L557" s="5" t="str">
        <f t="shared" si="2"/>
        <v>Campus Recruiting Coordinator</v>
      </c>
      <c r="M557" s="5" t="str">
        <f t="shared" si="3"/>
        <v/>
      </c>
      <c r="N557" s="5" t="str">
        <f t="shared" si="4"/>
        <v>KPMG US</v>
      </c>
      <c r="O557" s="5" t="str">
        <f t="shared" si="5"/>
        <v>6 years 9 months in role and company</v>
      </c>
      <c r="P557" s="5" t="str">
        <f t="shared" si="6"/>
        <v>Highland</v>
      </c>
      <c r="Q557" s="5" t="str">
        <f t="shared" si="7"/>
        <v>Illinois</v>
      </c>
      <c r="R557" s="5" t="str">
        <f t="shared" si="8"/>
        <v>United States</v>
      </c>
    </row>
    <row r="558">
      <c r="A558" s="8" t="s">
        <v>6060</v>
      </c>
      <c r="B558" s="10" t="s">
        <v>6061</v>
      </c>
      <c r="C558" s="10" t="s">
        <v>6062</v>
      </c>
      <c r="D558" s="10"/>
      <c r="E558" s="10" t="s">
        <v>6063</v>
      </c>
      <c r="F558" s="10" t="s">
        <v>6064</v>
      </c>
      <c r="G558" s="11" t="s">
        <v>6036</v>
      </c>
      <c r="H558" s="11" t="s">
        <v>4644</v>
      </c>
      <c r="I558" s="11" t="s">
        <v>4600</v>
      </c>
      <c r="J558" s="9" t="str">
        <f>IFERROR(__xludf.DUMMYFUNCTION("""COMPUTED_VALUE"""),"https://www.google.com/search?newwindow=1&amp;ei=2MT0XrvGGM-vytMP1OyDgAY&amp;q=site%3Alinkedin.com+Kristina+Scutari+Campus+Recruiting+Manager")</f>
        <v>https://www.google.com/search?newwindow=1&amp;ei=2MT0XrvGGM-vytMP1OyDgAY&amp;q=site%3Alinkedin.com+Kristina+Scutari+Campus+Recruiting+Manager</v>
      </c>
      <c r="K558" s="5" t="str">
        <f t="shared" si="1"/>
        <v>Kristina Scutari</v>
      </c>
      <c r="L558" s="5" t="str">
        <f t="shared" si="2"/>
        <v>Campus Recruiting Manager</v>
      </c>
      <c r="M558" s="5" t="str">
        <f t="shared" si="3"/>
        <v/>
      </c>
      <c r="N558" s="5" t="str">
        <f t="shared" si="4"/>
        <v>PwC</v>
      </c>
      <c r="O558" s="5" t="str">
        <f t="shared" si="5"/>
        <v>8 months in role and company</v>
      </c>
      <c r="P558" s="5" t="str">
        <f t="shared" si="6"/>
        <v>Hoboken</v>
      </c>
      <c r="Q558" s="5" t="str">
        <f t="shared" si="7"/>
        <v>New Jersey</v>
      </c>
      <c r="R558" s="5" t="str">
        <f t="shared" si="8"/>
        <v>United States</v>
      </c>
    </row>
    <row r="559">
      <c r="A559" s="8" t="s">
        <v>6065</v>
      </c>
      <c r="B559" s="10" t="s">
        <v>6066</v>
      </c>
      <c r="C559" s="10" t="s">
        <v>6067</v>
      </c>
      <c r="D559" s="10"/>
      <c r="E559" s="10" t="s">
        <v>5276</v>
      </c>
      <c r="F559" s="10" t="s">
        <v>822</v>
      </c>
      <c r="G559" s="11" t="s">
        <v>6036</v>
      </c>
      <c r="H559" s="11" t="s">
        <v>4644</v>
      </c>
      <c r="I559" s="11" t="s">
        <v>4600</v>
      </c>
      <c r="J559" s="9" t="str">
        <f>IFERROR(__xludf.DUMMYFUNCTION("""COMPUTED_VALUE"""),"https://www.google.com/search?newwindow=1&amp;ei=2MT0XrvGGM-vytMP1OyDgAY&amp;q=site%3Alinkedin.com+Kathleen+Corrigan+Campus+Recruiting+Assistant+Director")</f>
        <v>https://www.google.com/search?newwindow=1&amp;ei=2MT0XrvGGM-vytMP1OyDgAY&amp;q=site%3Alinkedin.com+Kathleen+Corrigan+Campus+Recruiting+Assistant+Director</v>
      </c>
      <c r="K559" s="5" t="str">
        <f t="shared" si="1"/>
        <v>Kathleen Corrigan</v>
      </c>
      <c r="L559" s="5" t="str">
        <f t="shared" si="2"/>
        <v>Campus Recruiting Assistant Director</v>
      </c>
      <c r="M559" s="5" t="str">
        <f t="shared" si="3"/>
        <v/>
      </c>
      <c r="N559" s="5" t="str">
        <f t="shared" si="4"/>
        <v>Ernst &amp; Young</v>
      </c>
      <c r="O559" s="5" t="str">
        <f t="shared" si="5"/>
        <v/>
      </c>
      <c r="P559" s="5" t="str">
        <f t="shared" si="6"/>
        <v>Hoboken</v>
      </c>
      <c r="Q559" s="5" t="str">
        <f t="shared" si="7"/>
        <v>New Jersey</v>
      </c>
      <c r="R559" s="5" t="str">
        <f t="shared" si="8"/>
        <v>United States</v>
      </c>
    </row>
    <row r="560">
      <c r="A560" s="8" t="s">
        <v>6068</v>
      </c>
      <c r="B560" s="10" t="s">
        <v>6069</v>
      </c>
      <c r="C560" s="10" t="s">
        <v>6059</v>
      </c>
      <c r="D560" s="12"/>
      <c r="E560" s="12" t="s">
        <v>5276</v>
      </c>
      <c r="F560" s="10"/>
      <c r="G560" s="11" t="s">
        <v>6036</v>
      </c>
      <c r="H560" s="11" t="s">
        <v>4644</v>
      </c>
      <c r="I560" s="11" t="s">
        <v>4600</v>
      </c>
      <c r="J560" s="9" t="str">
        <f>IFERROR(__xludf.DUMMYFUNCTION("""COMPUTED_VALUE"""),"https://www.google.com/search?newwindow=1&amp;ei=2MT0XrvGGM-vytMP1OyDgAY&amp;q=site%3Alinkedin.com+Morgan+Liss+FSO+Assurance+Campus+Recruiter")</f>
        <v>https://www.google.com/search?newwindow=1&amp;ei=2MT0XrvGGM-vytMP1OyDgAY&amp;q=site%3Alinkedin.com+Morgan+Liss+FSO+Assurance+Campus+Recruiter</v>
      </c>
      <c r="K560" s="5" t="str">
        <f t="shared" si="1"/>
        <v>Morgan Liss</v>
      </c>
      <c r="L560" s="5" t="str">
        <f t="shared" si="2"/>
        <v>FSO Assurance Campus Recruiter</v>
      </c>
      <c r="M560" s="5" t="str">
        <f t="shared" si="3"/>
        <v/>
      </c>
      <c r="N560" s="5" t="str">
        <f t="shared" si="4"/>
        <v>EY</v>
      </c>
      <c r="O560" s="5" t="str">
        <f t="shared" si="5"/>
        <v>2 years 6 months in role</v>
      </c>
      <c r="P560" s="5" t="str">
        <f t="shared" si="6"/>
        <v>Hoboken</v>
      </c>
      <c r="Q560" s="5" t="str">
        <f t="shared" si="7"/>
        <v>New Jersey</v>
      </c>
      <c r="R560" s="5" t="str">
        <f t="shared" si="8"/>
        <v>United States</v>
      </c>
    </row>
    <row r="561">
      <c r="A561" s="8" t="s">
        <v>6070</v>
      </c>
      <c r="B561" s="10" t="s">
        <v>6071</v>
      </c>
      <c r="C561" s="10" t="s">
        <v>4596</v>
      </c>
      <c r="D561" s="10"/>
      <c r="E561" s="10" t="s">
        <v>5397</v>
      </c>
      <c r="F561" s="10" t="s">
        <v>3694</v>
      </c>
      <c r="G561" s="11" t="s">
        <v>6036</v>
      </c>
      <c r="H561" s="11" t="s">
        <v>4644</v>
      </c>
      <c r="I561" s="11" t="s">
        <v>4600</v>
      </c>
      <c r="J561" s="9" t="str">
        <f>IFERROR(__xludf.DUMMYFUNCTION("""COMPUTED_VALUE"""),"https://www.google.com/search?newwindow=1&amp;ei=2MT0XrvGGM-vytMP1OyDgAY&amp;q=site%3Alinkedin.com+Carlos+Pereira,+MPA+Campus+Recruiting")</f>
        <v>https://www.google.com/search?newwindow=1&amp;ei=2MT0XrvGGM-vytMP1OyDgAY&amp;q=site%3Alinkedin.com+Carlos+Pereira,+MPA+Campus+Recruiting</v>
      </c>
      <c r="K561" s="5" t="str">
        <f t="shared" si="1"/>
        <v>Carlos Pereira, MPA</v>
      </c>
      <c r="L561" s="5" t="str">
        <f t="shared" si="2"/>
        <v>Campus Recruiting</v>
      </c>
      <c r="M561" s="5" t="str">
        <f t="shared" si="3"/>
        <v/>
      </c>
      <c r="N561" s="5" t="str">
        <f t="shared" si="4"/>
        <v>JPMorgan Chase &amp; Co.</v>
      </c>
      <c r="O561" s="5" t="str">
        <f t="shared" si="5"/>
        <v>3 years 3 months in role and company</v>
      </c>
      <c r="P561" s="5" t="str">
        <f t="shared" si="6"/>
        <v>Hoboken</v>
      </c>
      <c r="Q561" s="5" t="str">
        <f t="shared" si="7"/>
        <v>New Jersey</v>
      </c>
      <c r="R561" s="5" t="str">
        <f t="shared" si="8"/>
        <v>United States</v>
      </c>
    </row>
    <row r="562">
      <c r="A562" s="8" t="s">
        <v>6072</v>
      </c>
      <c r="B562" s="10" t="s">
        <v>6073</v>
      </c>
      <c r="C562" s="10" t="s">
        <v>6074</v>
      </c>
      <c r="D562" s="10"/>
      <c r="E562" s="10" t="s">
        <v>6075</v>
      </c>
      <c r="F562" s="10" t="s">
        <v>36</v>
      </c>
      <c r="G562" s="11" t="s">
        <v>6036</v>
      </c>
      <c r="H562" s="11" t="s">
        <v>4644</v>
      </c>
      <c r="I562" s="11" t="s">
        <v>4600</v>
      </c>
      <c r="J562" s="9" t="str">
        <f>IFERROR(__xludf.DUMMYFUNCTION("""COMPUTED_VALUE"""),"https://www.google.com/search?newwindow=1&amp;ei=2MT0XrvGGM-vytMP1OyDgAY&amp;q=site%3Alinkedin.com+Katie+Doerer,+MBA+Campus+Recruiting+Manager")</f>
        <v>https://www.google.com/search?newwindow=1&amp;ei=2MT0XrvGGM-vytMP1OyDgAY&amp;q=site%3Alinkedin.com+Katie+Doerer,+MBA+Campus+Recruiting+Manager</v>
      </c>
      <c r="K562" s="5" t="str">
        <f t="shared" si="1"/>
        <v>Katie Doerer, MBA</v>
      </c>
      <c r="L562" s="5" t="str">
        <f t="shared" si="2"/>
        <v>Campus Recruiting Manager</v>
      </c>
      <c r="M562" s="5" t="str">
        <f t="shared" si="3"/>
        <v/>
      </c>
      <c r="N562" s="5" t="str">
        <f t="shared" si="4"/>
        <v>PwC</v>
      </c>
      <c r="O562" s="5" t="str">
        <f t="shared" si="5"/>
        <v>8 years 1 month in role and company</v>
      </c>
      <c r="P562" s="5" t="str">
        <f t="shared" si="6"/>
        <v>Hopkins</v>
      </c>
      <c r="Q562" s="5" t="str">
        <f t="shared" si="7"/>
        <v>Minnesota</v>
      </c>
      <c r="R562" s="5" t="str">
        <f t="shared" si="8"/>
        <v>United States</v>
      </c>
    </row>
    <row r="563">
      <c r="A563" s="8" t="s">
        <v>6076</v>
      </c>
      <c r="B563" s="10" t="s">
        <v>6077</v>
      </c>
      <c r="C563" s="10" t="s">
        <v>4596</v>
      </c>
      <c r="D563" s="10"/>
      <c r="E563" s="10" t="s">
        <v>6078</v>
      </c>
      <c r="F563" s="10"/>
      <c r="G563" s="11" t="s">
        <v>6036</v>
      </c>
      <c r="H563" s="11" t="s">
        <v>4644</v>
      </c>
      <c r="I563" s="11" t="s">
        <v>4600</v>
      </c>
      <c r="J563" s="9" t="str">
        <f>IFERROR(__xludf.DUMMYFUNCTION("""COMPUTED_VALUE"""),"https://www.google.com/search?newwindow=1&amp;ei=2MT0XrvGGM-vytMP1OyDgAY&amp;q=site%3Alinkedin.com+Liliana+Cruz+Campus+Recruiting+Specialist")</f>
        <v>https://www.google.com/search?newwindow=1&amp;ei=2MT0XrvGGM-vytMP1OyDgAY&amp;q=site%3Alinkedin.com+Liliana+Cruz+Campus+Recruiting+Specialist</v>
      </c>
      <c r="K563" s="5" t="str">
        <f t="shared" si="1"/>
        <v>Liliana Cruz</v>
      </c>
      <c r="L563" s="5" t="str">
        <f t="shared" si="2"/>
        <v>Campus Recruiting Specialist</v>
      </c>
      <c r="M563" s="5" t="str">
        <f t="shared" si="3"/>
        <v/>
      </c>
      <c r="N563" s="5" t="str">
        <f t="shared" si="4"/>
        <v>Deloitte</v>
      </c>
      <c r="O563" s="5" t="str">
        <f t="shared" si="5"/>
        <v>5 years 3 months in role and company</v>
      </c>
      <c r="P563" s="5" t="str">
        <f t="shared" si="6"/>
        <v>Houston</v>
      </c>
      <c r="Q563" s="5" t="str">
        <f t="shared" si="7"/>
        <v>Texas</v>
      </c>
      <c r="R563" s="5" t="str">
        <f t="shared" si="8"/>
        <v>United States</v>
      </c>
    </row>
    <row r="564">
      <c r="A564" s="8" t="s">
        <v>6034</v>
      </c>
      <c r="B564" s="12" t="s">
        <v>6035</v>
      </c>
      <c r="C564" s="10" t="s">
        <v>4596</v>
      </c>
      <c r="D564" s="10"/>
      <c r="E564" s="10" t="s">
        <v>5397</v>
      </c>
      <c r="F564" s="10" t="s">
        <v>136</v>
      </c>
      <c r="G564" s="11" t="s">
        <v>6036</v>
      </c>
      <c r="H564" s="11" t="s">
        <v>4644</v>
      </c>
      <c r="I564" s="11" t="s">
        <v>4600</v>
      </c>
      <c r="J564" s="9" t="str">
        <f>IFERROR(__xludf.DUMMYFUNCTION("""COMPUTED_VALUE"""),"https://www.google.com/search?newwindow=1&amp;ei=2MT0XrvGGM-vytMP1OyDgAY&amp;q=site%3Alinkedin.com+Zoie+Castellanos+Campus+Recruiting+Coordinator")</f>
        <v>https://www.google.com/search?newwindow=1&amp;ei=2MT0XrvGGM-vytMP1OyDgAY&amp;q=site%3Alinkedin.com+Zoie+Castellanos+Campus+Recruiting+Coordinator</v>
      </c>
      <c r="K564" s="5" t="str">
        <f t="shared" si="1"/>
        <v>Zoie Castellanos</v>
      </c>
      <c r="L564" s="5" t="str">
        <f t="shared" si="2"/>
        <v>Campus Recruiting Coordinator</v>
      </c>
      <c r="M564" s="5" t="str">
        <f t="shared" si="3"/>
        <v/>
      </c>
      <c r="N564" s="5" t="str">
        <f t="shared" si="4"/>
        <v>Ernst &amp; Young</v>
      </c>
      <c r="O564" s="5" t="str">
        <f t="shared" si="5"/>
        <v>1 year 2 months in role and company</v>
      </c>
      <c r="P564" s="5" t="str">
        <f t="shared" si="6"/>
        <v>Houston</v>
      </c>
      <c r="Q564" s="5" t="str">
        <f t="shared" si="7"/>
        <v>Texas</v>
      </c>
      <c r="R564" s="5" t="str">
        <f t="shared" si="8"/>
        <v>United States</v>
      </c>
    </row>
    <row r="565">
      <c r="A565" s="8" t="s">
        <v>6037</v>
      </c>
      <c r="B565" s="10" t="s">
        <v>6038</v>
      </c>
      <c r="C565" s="10" t="s">
        <v>4596</v>
      </c>
      <c r="D565" s="10"/>
      <c r="E565" s="10" t="s">
        <v>5397</v>
      </c>
      <c r="F565" s="10" t="s">
        <v>192</v>
      </c>
      <c r="G565" s="11" t="s">
        <v>6036</v>
      </c>
      <c r="H565" s="11" t="s">
        <v>4644</v>
      </c>
      <c r="I565" s="11" t="s">
        <v>4600</v>
      </c>
      <c r="J565" s="9" t="str">
        <f>IFERROR(__xludf.DUMMYFUNCTION("""COMPUTED_VALUE"""),"https://www.google.com/search?newwindow=1&amp;ei=2MT0XrvGGM-vytMP1OyDgAY&amp;q=site%3Alinkedin.com+Shelby+Edmoundson+Campus+Recruiting-Senior+Associate")</f>
        <v>https://www.google.com/search?newwindow=1&amp;ei=2MT0XrvGGM-vytMP1OyDgAY&amp;q=site%3Alinkedin.com+Shelby+Edmoundson+Campus+Recruiting-Senior+Associate</v>
      </c>
      <c r="K565" s="5" t="str">
        <f t="shared" si="1"/>
        <v>Shelby Edmoundson</v>
      </c>
      <c r="L565" s="5" t="str">
        <f t="shared" si="2"/>
        <v>Campus Recruiting-Senior Associate</v>
      </c>
      <c r="M565" s="5" t="str">
        <f t="shared" si="3"/>
        <v/>
      </c>
      <c r="N565" s="5" t="str">
        <f t="shared" si="4"/>
        <v>KPMG</v>
      </c>
      <c r="O565" s="5" t="str">
        <f t="shared" si="5"/>
        <v>4 years 1 month in role and company</v>
      </c>
      <c r="P565" s="5" t="str">
        <f t="shared" si="6"/>
        <v>Houston</v>
      </c>
      <c r="Q565" s="5" t="str">
        <f t="shared" si="7"/>
        <v>Texas</v>
      </c>
      <c r="R565" s="5" t="str">
        <f t="shared" si="8"/>
        <v>United States</v>
      </c>
    </row>
    <row r="566">
      <c r="A566" s="8" t="s">
        <v>6039</v>
      </c>
      <c r="B566" s="12" t="s">
        <v>6040</v>
      </c>
      <c r="C566" s="10" t="s">
        <v>6041</v>
      </c>
      <c r="D566" s="10"/>
      <c r="E566" s="10" t="s">
        <v>6042</v>
      </c>
      <c r="F566" s="10" t="s">
        <v>36</v>
      </c>
      <c r="G566" s="11" t="s">
        <v>6036</v>
      </c>
      <c r="H566" s="11" t="s">
        <v>4644</v>
      </c>
      <c r="I566" s="11" t="s">
        <v>4600</v>
      </c>
      <c r="J566" s="9" t="str">
        <f>IFERROR(__xludf.DUMMYFUNCTION("""COMPUTED_VALUE"""),"https://www.google.com/search?newwindow=1&amp;ei=2MT0XrvGGM-vytMP1OyDgAY&amp;q=site%3Alinkedin.com+Kelly+Wray+Senior+Campus+Recruiting+Specialist")</f>
        <v>https://www.google.com/search?newwindow=1&amp;ei=2MT0XrvGGM-vytMP1OyDgAY&amp;q=site%3Alinkedin.com+Kelly+Wray+Senior+Campus+Recruiting+Specialist</v>
      </c>
      <c r="K566" s="5" t="str">
        <f t="shared" si="1"/>
        <v>Kelly Wray</v>
      </c>
      <c r="L566" s="5" t="str">
        <f t="shared" si="2"/>
        <v>Senior Campus Recruiting Specialist</v>
      </c>
      <c r="M566" s="5" t="str">
        <f t="shared" si="3"/>
        <v/>
      </c>
      <c r="N566" s="5" t="str">
        <f t="shared" si="4"/>
        <v>Deloitte</v>
      </c>
      <c r="O566" s="5" t="str">
        <f t="shared" si="5"/>
        <v>1 year 3 months in role</v>
      </c>
      <c r="P566" s="5" t="str">
        <f t="shared" si="6"/>
        <v>Houston</v>
      </c>
      <c r="Q566" s="5" t="str">
        <f t="shared" si="7"/>
        <v>Texas</v>
      </c>
      <c r="R566" s="5" t="str">
        <f t="shared" si="8"/>
        <v>United States</v>
      </c>
    </row>
    <row r="567">
      <c r="A567" s="8" t="s">
        <v>6043</v>
      </c>
      <c r="B567" s="10" t="s">
        <v>6044</v>
      </c>
      <c r="C567" s="10" t="s">
        <v>4596</v>
      </c>
      <c r="D567" s="10"/>
      <c r="E567" s="10" t="s">
        <v>5397</v>
      </c>
      <c r="F567" s="10" t="s">
        <v>376</v>
      </c>
      <c r="G567" s="11" t="s">
        <v>6036</v>
      </c>
      <c r="H567" s="11" t="s">
        <v>4644</v>
      </c>
      <c r="I567" s="11" t="s">
        <v>4600</v>
      </c>
      <c r="J567" s="9" t="str">
        <f>IFERROR(__xludf.DUMMYFUNCTION("""COMPUTED_VALUE"""),"https://www.google.com/search?newwindow=1&amp;ei=2MT0XrvGGM-vytMP1OyDgAY&amp;q=site%3Alinkedin.com+Gabrielle+Leal+Senior+Campus+Recruiting+Specialist")</f>
        <v>https://www.google.com/search?newwindow=1&amp;ei=2MT0XrvGGM-vytMP1OyDgAY&amp;q=site%3Alinkedin.com+Gabrielle+Leal+Senior+Campus+Recruiting+Specialist</v>
      </c>
      <c r="K567" s="5" t="str">
        <f t="shared" si="1"/>
        <v>Gabrielle Leal</v>
      </c>
      <c r="L567" s="5" t="str">
        <f t="shared" si="2"/>
        <v>Senior Campus Recruiting Specialist</v>
      </c>
      <c r="M567" s="5" t="str">
        <f t="shared" si="3"/>
        <v/>
      </c>
      <c r="N567" s="5" t="str">
        <f t="shared" si="4"/>
        <v>Deloitte</v>
      </c>
      <c r="O567" s="5" t="str">
        <f t="shared" si="5"/>
        <v>1 year 3 months in role and company</v>
      </c>
      <c r="P567" s="5" t="str">
        <f t="shared" si="6"/>
        <v>Houston</v>
      </c>
      <c r="Q567" s="5" t="str">
        <f t="shared" si="7"/>
        <v>Texas</v>
      </c>
      <c r="R567" s="5" t="str">
        <f t="shared" si="8"/>
        <v>United States</v>
      </c>
    </row>
    <row r="568">
      <c r="A568" s="8" t="s">
        <v>6045</v>
      </c>
      <c r="B568" s="10" t="s">
        <v>6046</v>
      </c>
      <c r="C568" s="10" t="s">
        <v>4596</v>
      </c>
      <c r="D568" s="10"/>
      <c r="E568" s="10" t="s">
        <v>6047</v>
      </c>
      <c r="F568" s="10" t="s">
        <v>84</v>
      </c>
      <c r="G568" s="11" t="s">
        <v>6036</v>
      </c>
      <c r="H568" s="11" t="s">
        <v>4644</v>
      </c>
      <c r="I568" s="11" t="s">
        <v>4600</v>
      </c>
      <c r="J568" s="9" t="str">
        <f>IFERROR(__xludf.DUMMYFUNCTION("""COMPUTED_VALUE"""),"https://www.google.com/search?newwindow=1&amp;ei=2MT0XrvGGM-vytMP1OyDgAY&amp;q=site%3Alinkedin.com+Claire+Bourgeois+Senior+Campus+Recruiting+Specialist")</f>
        <v>https://www.google.com/search?newwindow=1&amp;ei=2MT0XrvGGM-vytMP1OyDgAY&amp;q=site%3Alinkedin.com+Claire+Bourgeois+Senior+Campus+Recruiting+Specialist</v>
      </c>
      <c r="K568" s="5" t="str">
        <f t="shared" si="1"/>
        <v>Claire Bourgeois</v>
      </c>
      <c r="L568" s="5" t="str">
        <f t="shared" si="2"/>
        <v>Senior Campus Recruiting Specialist</v>
      </c>
      <c r="M568" s="5" t="str">
        <f t="shared" si="3"/>
        <v/>
      </c>
      <c r="N568" s="5" t="str">
        <f t="shared" si="4"/>
        <v>Deloitte</v>
      </c>
      <c r="O568" s="5" t="str">
        <f t="shared" si="5"/>
        <v>5 years 11 months in role and company</v>
      </c>
      <c r="P568" s="5" t="str">
        <f t="shared" si="6"/>
        <v>Houston</v>
      </c>
      <c r="Q568" s="5" t="str">
        <f t="shared" si="7"/>
        <v>Texas</v>
      </c>
      <c r="R568" s="5" t="str">
        <f t="shared" si="8"/>
        <v>United States</v>
      </c>
    </row>
    <row r="569">
      <c r="A569" s="8" t="s">
        <v>6079</v>
      </c>
      <c r="B569" s="10" t="s">
        <v>6080</v>
      </c>
      <c r="C569" s="10" t="s">
        <v>6081</v>
      </c>
      <c r="D569" s="10"/>
      <c r="E569" s="10" t="s">
        <v>6082</v>
      </c>
      <c r="F569" s="10" t="s">
        <v>666</v>
      </c>
      <c r="G569" s="11" t="s">
        <v>6036</v>
      </c>
      <c r="H569" s="11" t="s">
        <v>4644</v>
      </c>
      <c r="I569" s="11" t="s">
        <v>4600</v>
      </c>
      <c r="J569" s="9" t="str">
        <f>IFERROR(__xludf.DUMMYFUNCTION("""COMPUTED_VALUE"""),"https://www.google.com/search?newwindow=1&amp;ei=2MT0XrvGGM-vytMP1OyDgAY&amp;q=site%3Alinkedin.com+Sydney+Ziober+Campus+Recruiting+Coordinator")</f>
        <v>https://www.google.com/search?newwindow=1&amp;ei=2MT0XrvGGM-vytMP1OyDgAY&amp;q=site%3Alinkedin.com+Sydney+Ziober+Campus+Recruiting+Coordinator</v>
      </c>
      <c r="K569" s="5" t="str">
        <f t="shared" si="1"/>
        <v>Sydney Ziober</v>
      </c>
      <c r="L569" s="5" t="str">
        <f t="shared" si="2"/>
        <v>Campus Recruiting Coordinator</v>
      </c>
      <c r="M569" s="5" t="str">
        <f t="shared" si="3"/>
        <v/>
      </c>
      <c r="N569" s="5" t="str">
        <f t="shared" si="4"/>
        <v>EY</v>
      </c>
      <c r="O569" s="5" t="str">
        <f t="shared" si="5"/>
        <v>2 years 2 months in role and company</v>
      </c>
      <c r="P569" s="5" t="str">
        <f t="shared" si="6"/>
        <v>Houston</v>
      </c>
      <c r="Q569" s="5" t="str">
        <f t="shared" si="7"/>
        <v>Texas</v>
      </c>
      <c r="R569" s="5" t="str">
        <f t="shared" si="8"/>
        <v>United States</v>
      </c>
    </row>
    <row r="570">
      <c r="A570" s="8" t="s">
        <v>6048</v>
      </c>
      <c r="B570" s="12" t="s">
        <v>6049</v>
      </c>
      <c r="C570" s="10" t="s">
        <v>6050</v>
      </c>
      <c r="D570" s="10"/>
      <c r="E570" s="10" t="s">
        <v>6047</v>
      </c>
      <c r="F570" s="10" t="s">
        <v>84</v>
      </c>
      <c r="G570" s="11" t="s">
        <v>6036</v>
      </c>
      <c r="H570" s="11" t="s">
        <v>4644</v>
      </c>
      <c r="I570" s="11" t="s">
        <v>4600</v>
      </c>
      <c r="J570" s="9" t="str">
        <f>IFERROR(__xludf.DUMMYFUNCTION("""COMPUTED_VALUE"""),"https://www.google.com/search?newwindow=1&amp;ei=2MT0XrvGGM-vytMP1OyDgAY&amp;q=site%3Alinkedin.com+Nicole+Yogi+Audit+Primary+Recruiter,+Campus+Recruiting")</f>
        <v>https://www.google.com/search?newwindow=1&amp;ei=2MT0XrvGGM-vytMP1OyDgAY&amp;q=site%3Alinkedin.com+Nicole+Yogi+Audit+Primary+Recruiter,+Campus+Recruiting</v>
      </c>
      <c r="K570" s="5" t="str">
        <f t="shared" si="1"/>
        <v>Nicole Yogi</v>
      </c>
      <c r="L570" s="5" t="str">
        <f t="shared" si="2"/>
        <v>Audit Primary Recruiter, Campus Recruiting</v>
      </c>
      <c r="M570" s="5" t="str">
        <f t="shared" si="3"/>
        <v/>
      </c>
      <c r="N570" s="5" t="str">
        <f t="shared" si="4"/>
        <v>KPMG</v>
      </c>
      <c r="O570" s="5" t="str">
        <f t="shared" si="5"/>
        <v>6 years 3 months in role and company</v>
      </c>
      <c r="P570" s="5" t="str">
        <f t="shared" si="6"/>
        <v>Houston</v>
      </c>
      <c r="Q570" s="5" t="str">
        <f t="shared" si="7"/>
        <v>Texas</v>
      </c>
      <c r="R570" s="5" t="str">
        <f t="shared" si="8"/>
        <v>United States</v>
      </c>
    </row>
    <row r="571">
      <c r="A571" s="8" t="s">
        <v>6051</v>
      </c>
      <c r="B571" s="10" t="s">
        <v>6052</v>
      </c>
      <c r="C571" s="10" t="s">
        <v>6053</v>
      </c>
      <c r="D571" s="10"/>
      <c r="E571" s="10" t="s">
        <v>5276</v>
      </c>
      <c r="F571" s="10" t="s">
        <v>233</v>
      </c>
      <c r="G571" s="11" t="s">
        <v>6036</v>
      </c>
      <c r="H571" s="11" t="s">
        <v>4644</v>
      </c>
      <c r="I571" s="11" t="s">
        <v>4600</v>
      </c>
      <c r="J571" s="9" t="str">
        <f>IFERROR(__xludf.DUMMYFUNCTION("""COMPUTED_VALUE"""),"https://www.google.com/search?newwindow=1&amp;ei=2MT0XrvGGM-vytMP1OyDgAY&amp;q=site%3Alinkedin.com+Didi+Itauma+Associate,+Area+Campus+Recruiting+Coordinator")</f>
        <v>https://www.google.com/search?newwindow=1&amp;ei=2MT0XrvGGM-vytMP1OyDgAY&amp;q=site%3Alinkedin.com+Didi+Itauma+Associate,+Area+Campus+Recruiting+Coordinator</v>
      </c>
      <c r="K571" s="5" t="str">
        <f t="shared" si="1"/>
        <v>Didi Itauma</v>
      </c>
      <c r="L571" s="5" t="str">
        <f t="shared" si="2"/>
        <v>Associate, Area Campus Recruiting Coordinator</v>
      </c>
      <c r="M571" s="5" t="str">
        <f t="shared" si="3"/>
        <v/>
      </c>
      <c r="N571" s="5" t="str">
        <f t="shared" si="4"/>
        <v>KPMG US</v>
      </c>
      <c r="O571" s="5" t="str">
        <f t="shared" si="5"/>
        <v>5 years 3 months in role</v>
      </c>
      <c r="P571" s="5" t="str">
        <f t="shared" si="6"/>
        <v>Houston</v>
      </c>
      <c r="Q571" s="5" t="str">
        <f t="shared" si="7"/>
        <v>Texas</v>
      </c>
      <c r="R571" s="5" t="str">
        <f t="shared" si="8"/>
        <v>United States</v>
      </c>
    </row>
    <row r="572">
      <c r="A572" s="8" t="s">
        <v>6054</v>
      </c>
      <c r="B572" s="12" t="s">
        <v>6055</v>
      </c>
      <c r="C572" s="10" t="s">
        <v>6056</v>
      </c>
      <c r="D572" s="10"/>
      <c r="E572" s="10" t="s">
        <v>5397</v>
      </c>
      <c r="F572" s="10" t="s">
        <v>217</v>
      </c>
      <c r="G572" s="11" t="s">
        <v>6036</v>
      </c>
      <c r="H572" s="11" t="s">
        <v>4644</v>
      </c>
      <c r="I572" s="11" t="s">
        <v>4600</v>
      </c>
      <c r="J572" s="9" t="str">
        <f>IFERROR(__xludf.DUMMYFUNCTION("""COMPUTED_VALUE"""),"https://www.google.com/search?newwindow=1&amp;ei=2MT0XrvGGM-vytMP1OyDgAY&amp;q=site%3Alinkedin.com+Danielle+Quintanilla,+MSHRM+Campus+Recruiting+Coordinator,+Software+Engineer+Program")</f>
        <v>https://www.google.com/search?newwindow=1&amp;ei=2MT0XrvGGM-vytMP1OyDgAY&amp;q=site%3Alinkedin.com+Danielle+Quintanilla,+MSHRM+Campus+Recruiting+Coordinator,+Software+Engineer+Program</v>
      </c>
      <c r="K572" s="5" t="str">
        <f t="shared" si="1"/>
        <v>Danielle Quintanilla, MSHRM</v>
      </c>
      <c r="L572" s="5" t="str">
        <f t="shared" si="2"/>
        <v>Campus Recruiting Coordinator, Software Engineer Program</v>
      </c>
      <c r="M572" s="5" t="str">
        <f t="shared" si="3"/>
        <v/>
      </c>
      <c r="N572" s="5" t="str">
        <f t="shared" si="4"/>
        <v>JPMorgan Chase &amp; Co.</v>
      </c>
      <c r="O572" s="5" t="str">
        <f t="shared" si="5"/>
        <v>1 year 8 months in role and company</v>
      </c>
      <c r="P572" s="5" t="str">
        <f t="shared" si="6"/>
        <v>Houston</v>
      </c>
      <c r="Q572" s="5" t="str">
        <f t="shared" si="7"/>
        <v>Texas</v>
      </c>
      <c r="R572" s="5" t="str">
        <f t="shared" si="8"/>
        <v>United States</v>
      </c>
    </row>
    <row r="573">
      <c r="A573" s="8" t="s">
        <v>6057</v>
      </c>
      <c r="B573" s="12" t="s">
        <v>6058</v>
      </c>
      <c r="C573" s="10" t="s">
        <v>6059</v>
      </c>
      <c r="D573" s="10"/>
      <c r="E573" s="10" t="s">
        <v>5276</v>
      </c>
      <c r="F573" s="10" t="s">
        <v>182</v>
      </c>
      <c r="G573" s="11" t="s">
        <v>6036</v>
      </c>
      <c r="H573" s="11" t="s">
        <v>4644</v>
      </c>
      <c r="I573" s="11" t="s">
        <v>4600</v>
      </c>
      <c r="J573" s="9" t="str">
        <f>IFERROR(__xludf.DUMMYFUNCTION("""COMPUTED_VALUE"""),"https://www.google.com/search?newwindow=1&amp;ei=2MT0XrvGGM-vytMP1OyDgAY&amp;q=site%3Alinkedin.com+Daniel+Muro+Senior+Campus+Recruiting+Coordinator")</f>
        <v>https://www.google.com/search?newwindow=1&amp;ei=2MT0XrvGGM-vytMP1OyDgAY&amp;q=site%3Alinkedin.com+Daniel+Muro+Senior+Campus+Recruiting+Coordinator</v>
      </c>
      <c r="K573" s="5" t="str">
        <f t="shared" si="1"/>
        <v>Daniel Muro</v>
      </c>
      <c r="L573" s="5" t="str">
        <f t="shared" si="2"/>
        <v>Senior Campus Recruiting Coordinator</v>
      </c>
      <c r="M573" s="5" t="str">
        <f t="shared" si="3"/>
        <v/>
      </c>
      <c r="N573" s="5" t="str">
        <f t="shared" si="4"/>
        <v>Deloitte</v>
      </c>
      <c r="O573" s="5" t="str">
        <f t="shared" si="5"/>
        <v>1 year 3 months in role</v>
      </c>
      <c r="P573" s="5" t="str">
        <f t="shared" si="6"/>
        <v>Houston</v>
      </c>
      <c r="Q573" s="5" t="str">
        <f t="shared" si="7"/>
        <v>Texas</v>
      </c>
      <c r="R573" s="5" t="str">
        <f t="shared" si="8"/>
        <v>United States</v>
      </c>
    </row>
    <row r="574">
      <c r="A574" s="8" t="s">
        <v>6083</v>
      </c>
      <c r="B574" s="12" t="s">
        <v>6084</v>
      </c>
      <c r="C574" s="10" t="s">
        <v>6085</v>
      </c>
      <c r="D574" s="10"/>
      <c r="E574" s="10" t="s">
        <v>5276</v>
      </c>
      <c r="F574" s="10" t="s">
        <v>213</v>
      </c>
      <c r="G574" s="11" t="s">
        <v>6036</v>
      </c>
      <c r="H574" s="11" t="s">
        <v>4644</v>
      </c>
      <c r="I574" s="11" t="s">
        <v>4600</v>
      </c>
      <c r="J574" s="9" t="str">
        <f>IFERROR(__xludf.DUMMYFUNCTION("""COMPUTED_VALUE"""),"https://www.google.com/search?newwindow=1&amp;ei=2MT0XrvGGM-vytMP1OyDgAY&amp;q=site%3Alinkedin.com+Natalie+Holland,+CPA+Primary+Tax+Recruiter+-+Campus+Recruiting")</f>
        <v>https://www.google.com/search?newwindow=1&amp;ei=2MT0XrvGGM-vytMP1OyDgAY&amp;q=site%3Alinkedin.com+Natalie+Holland,+CPA+Primary+Tax+Recruiter+-+Campus+Recruiting</v>
      </c>
      <c r="K574" s="5" t="str">
        <f t="shared" si="1"/>
        <v>Natalie Holland, CPA</v>
      </c>
      <c r="L574" s="5" t="str">
        <f t="shared" si="2"/>
        <v>Primary Tax Recruiter - Campus Recruiting</v>
      </c>
      <c r="M574" s="5" t="str">
        <f t="shared" si="3"/>
        <v/>
      </c>
      <c r="N574" s="5" t="str">
        <f t="shared" si="4"/>
        <v>KPMG</v>
      </c>
      <c r="O574" s="5" t="str">
        <f t="shared" si="5"/>
        <v>4 years 1 month in role and company</v>
      </c>
      <c r="P574" s="5" t="str">
        <f t="shared" si="6"/>
        <v>Houston</v>
      </c>
      <c r="Q574" s="5" t="str">
        <f t="shared" si="7"/>
        <v>Texas</v>
      </c>
      <c r="R574" s="5" t="str">
        <f t="shared" si="8"/>
        <v>United States</v>
      </c>
    </row>
    <row r="575">
      <c r="A575" s="8" t="s">
        <v>6060</v>
      </c>
      <c r="B575" s="10" t="s">
        <v>6061</v>
      </c>
      <c r="C575" s="10" t="s">
        <v>6062</v>
      </c>
      <c r="D575" s="10"/>
      <c r="E575" s="10" t="s">
        <v>6063</v>
      </c>
      <c r="F575" s="10" t="s">
        <v>6064</v>
      </c>
      <c r="G575" s="11" t="s">
        <v>6036</v>
      </c>
      <c r="H575" s="11" t="s">
        <v>4644</v>
      </c>
      <c r="I575" s="11" t="s">
        <v>4600</v>
      </c>
      <c r="J575" s="9" t="str">
        <f>IFERROR(__xludf.DUMMYFUNCTION("""COMPUTED_VALUE"""),"https://www.google.com/search?newwindow=1&amp;ei=2MT0XrvGGM-vytMP1OyDgAY&amp;q=site%3Alinkedin.com+Taylor+Lyons+Campus+Recruiting+Coordinator")</f>
        <v>https://www.google.com/search?newwindow=1&amp;ei=2MT0XrvGGM-vytMP1OyDgAY&amp;q=site%3Alinkedin.com+Taylor+Lyons+Campus+Recruiting+Coordinator</v>
      </c>
      <c r="K575" s="5" t="str">
        <f t="shared" si="1"/>
        <v>Taylor Lyons</v>
      </c>
      <c r="L575" s="5" t="str">
        <f t="shared" si="2"/>
        <v>Campus Recruiting Coordinator</v>
      </c>
      <c r="M575" s="5" t="str">
        <f t="shared" si="3"/>
        <v/>
      </c>
      <c r="N575" s="5" t="str">
        <f t="shared" si="4"/>
        <v>EY</v>
      </c>
      <c r="O575" s="5" t="str">
        <f t="shared" si="5"/>
        <v>2 years 4 months in role and company</v>
      </c>
      <c r="P575" s="5" t="str">
        <f t="shared" si="6"/>
        <v>Houston</v>
      </c>
      <c r="Q575" s="5" t="str">
        <f t="shared" si="7"/>
        <v>Texas</v>
      </c>
      <c r="R575" s="5" t="str">
        <f t="shared" si="8"/>
        <v>United States</v>
      </c>
    </row>
    <row r="576">
      <c r="A576" s="8" t="s">
        <v>6065</v>
      </c>
      <c r="B576" s="10" t="s">
        <v>6066</v>
      </c>
      <c r="C576" s="10" t="s">
        <v>6067</v>
      </c>
      <c r="D576" s="10"/>
      <c r="E576" s="10" t="s">
        <v>5276</v>
      </c>
      <c r="F576" s="10" t="s">
        <v>822</v>
      </c>
      <c r="G576" s="11" t="s">
        <v>6036</v>
      </c>
      <c r="H576" s="11" t="s">
        <v>4644</v>
      </c>
      <c r="I576" s="11" t="s">
        <v>4600</v>
      </c>
      <c r="J576" s="9" t="str">
        <f>IFERROR(__xludf.DUMMYFUNCTION("""COMPUTED_VALUE"""),"https://www.google.com/search?newwindow=1&amp;ei=2MT0XrvGGM-vytMP1OyDgAY&amp;q=site%3Alinkedin.com+Lauren+Selwyn+Campus+Recruiting+Specialist")</f>
        <v>https://www.google.com/search?newwindow=1&amp;ei=2MT0XrvGGM-vytMP1OyDgAY&amp;q=site%3Alinkedin.com+Lauren+Selwyn+Campus+Recruiting+Specialist</v>
      </c>
      <c r="K576" s="5" t="str">
        <f t="shared" si="1"/>
        <v>Lauren Selwyn</v>
      </c>
      <c r="L576" s="5" t="str">
        <f t="shared" si="2"/>
        <v>Campus Recruiting Specialist</v>
      </c>
      <c r="M576" s="5" t="str">
        <f t="shared" si="3"/>
        <v/>
      </c>
      <c r="N576" s="5" t="str">
        <f t="shared" si="4"/>
        <v>Deloitte</v>
      </c>
      <c r="O576" s="5" t="str">
        <f t="shared" si="5"/>
        <v>4 years 3 months in role and company</v>
      </c>
      <c r="P576" s="5" t="str">
        <f t="shared" si="6"/>
        <v>Houston</v>
      </c>
      <c r="Q576" s="5" t="str">
        <f t="shared" si="7"/>
        <v>Texas</v>
      </c>
      <c r="R576" s="5" t="str">
        <f t="shared" si="8"/>
        <v>United States</v>
      </c>
    </row>
    <row r="577">
      <c r="A577" s="8" t="s">
        <v>6086</v>
      </c>
      <c r="B577" s="10" t="s">
        <v>6087</v>
      </c>
      <c r="C577" s="10" t="s">
        <v>6088</v>
      </c>
      <c r="D577" s="10"/>
      <c r="E577" s="10" t="s">
        <v>6089</v>
      </c>
      <c r="F577" s="10" t="s">
        <v>15</v>
      </c>
      <c r="G577" s="11" t="s">
        <v>6036</v>
      </c>
      <c r="H577" s="11" t="s">
        <v>4644</v>
      </c>
      <c r="I577" s="11" t="s">
        <v>4600</v>
      </c>
      <c r="J577" s="9" t="str">
        <f>IFERROR(__xludf.DUMMYFUNCTION("""COMPUTED_VALUE"""),"https://www.google.com/search?newwindow=1&amp;ei=2MT0XrvGGM-vytMP1OyDgAY&amp;q=site%3Alinkedin.com+Meredith+Feltmann+Senior+Campus+Recruiting+Specialist")</f>
        <v>https://www.google.com/search?newwindow=1&amp;ei=2MT0XrvGGM-vytMP1OyDgAY&amp;q=site%3Alinkedin.com+Meredith+Feltmann+Senior+Campus+Recruiting+Specialist</v>
      </c>
      <c r="K577" s="5" t="str">
        <f t="shared" si="1"/>
        <v>Meredith Feltmann</v>
      </c>
      <c r="L577" s="5" t="str">
        <f t="shared" si="2"/>
        <v>Senior Campus Recruiting Specialist</v>
      </c>
      <c r="M577" s="5" t="str">
        <f t="shared" si="3"/>
        <v/>
      </c>
      <c r="N577" s="5" t="str">
        <f t="shared" si="4"/>
        <v>Deloitte</v>
      </c>
      <c r="O577" s="5" t="str">
        <f t="shared" si="5"/>
        <v>2 years 3 months in role</v>
      </c>
      <c r="P577" s="5" t="str">
        <f t="shared" si="6"/>
        <v>Houston</v>
      </c>
      <c r="Q577" s="5" t="str">
        <f t="shared" si="7"/>
        <v>Texas</v>
      </c>
      <c r="R577" s="5" t="str">
        <f t="shared" si="8"/>
        <v>United States</v>
      </c>
    </row>
    <row r="578">
      <c r="A578" s="8" t="s">
        <v>6090</v>
      </c>
      <c r="B578" s="12" t="s">
        <v>6091</v>
      </c>
      <c r="C578" s="10" t="s">
        <v>6092</v>
      </c>
      <c r="D578" s="10"/>
      <c r="E578" s="10" t="s">
        <v>5276</v>
      </c>
      <c r="F578" s="10" t="s">
        <v>691</v>
      </c>
      <c r="G578" s="11" t="s">
        <v>6036</v>
      </c>
      <c r="H578" s="11" t="s">
        <v>4644</v>
      </c>
      <c r="I578" s="11" t="s">
        <v>4600</v>
      </c>
      <c r="J578" s="9" t="str">
        <f>IFERROR(__xludf.DUMMYFUNCTION("""COMPUTED_VALUE"""),"https://www.google.com/search?newwindow=1&amp;ei=2MT0XrvGGM-vytMP1OyDgAY&amp;q=site%3Alinkedin.com+Eliza+Coleman+Assistant+Director,+Americas+Technology+Consultant,+Campus+Recruiting+Operations")</f>
        <v>https://www.google.com/search?newwindow=1&amp;ei=2MT0XrvGGM-vytMP1OyDgAY&amp;q=site%3Alinkedin.com+Eliza+Coleman+Assistant+Director,+Americas+Technology+Consultant,+Campus+Recruiting+Operations</v>
      </c>
      <c r="K578" s="5" t="str">
        <f t="shared" si="1"/>
        <v>Eliza Coleman</v>
      </c>
      <c r="L578" s="5" t="str">
        <f t="shared" si="2"/>
        <v>Assistant Director, Americas Technology Consultant, Campus Recruiting Operations</v>
      </c>
      <c r="M578" s="5" t="str">
        <f t="shared" si="3"/>
        <v/>
      </c>
      <c r="N578" s="5" t="str">
        <f t="shared" si="4"/>
        <v>EY</v>
      </c>
      <c r="O578" s="5" t="str">
        <f t="shared" si="5"/>
        <v>1 year 3 months in role</v>
      </c>
      <c r="P578" s="5" t="str">
        <f t="shared" si="6"/>
        <v>Houston</v>
      </c>
      <c r="Q578" s="5" t="str">
        <f t="shared" si="7"/>
        <v>Texas</v>
      </c>
      <c r="R578" s="5" t="str">
        <f t="shared" si="8"/>
        <v>United States</v>
      </c>
    </row>
    <row r="579">
      <c r="A579" s="8" t="s">
        <v>6068</v>
      </c>
      <c r="B579" s="10" t="s">
        <v>6069</v>
      </c>
      <c r="C579" s="10" t="s">
        <v>6059</v>
      </c>
      <c r="D579" s="12"/>
      <c r="E579" s="12" t="s">
        <v>5276</v>
      </c>
      <c r="F579" s="10"/>
      <c r="G579" s="11" t="s">
        <v>6036</v>
      </c>
      <c r="H579" s="11" t="s">
        <v>4644</v>
      </c>
      <c r="I579" s="11" t="s">
        <v>4600</v>
      </c>
      <c r="J579" s="9" t="str">
        <f>IFERROR(__xludf.DUMMYFUNCTION("""COMPUTED_VALUE"""),"https://www.google.com/search?newwindow=1&amp;ei=2MT0XrvGGM-vytMP1OyDgAY&amp;q=site%3Alinkedin.com+Jessica+Maurer+Associate+Director+Campus+Recruiting")</f>
        <v>https://www.google.com/search?newwindow=1&amp;ei=2MT0XrvGGM-vytMP1OyDgAY&amp;q=site%3Alinkedin.com+Jessica+Maurer+Associate+Director+Campus+Recruiting</v>
      </c>
      <c r="K579" s="5" t="str">
        <f t="shared" si="1"/>
        <v>Jessica Maurer</v>
      </c>
      <c r="L579" s="5" t="str">
        <f t="shared" si="2"/>
        <v>Associate Director Campus Recruiting</v>
      </c>
      <c r="M579" s="5" t="str">
        <f t="shared" si="3"/>
        <v/>
      </c>
      <c r="N579" s="5" t="str">
        <f t="shared" si="4"/>
        <v>KPMG LLP</v>
      </c>
      <c r="O579" s="5" t="str">
        <f t="shared" si="5"/>
        <v>13 years 1 month in role and company</v>
      </c>
      <c r="P579" s="5" t="str">
        <f t="shared" si="6"/>
        <v>Houston</v>
      </c>
      <c r="Q579" s="5" t="str">
        <f t="shared" si="7"/>
        <v>Texas</v>
      </c>
      <c r="R579" s="5" t="str">
        <f t="shared" si="8"/>
        <v>United States</v>
      </c>
    </row>
    <row r="580">
      <c r="A580" s="8" t="s">
        <v>6093</v>
      </c>
      <c r="B580" s="12" t="s">
        <v>6094</v>
      </c>
      <c r="C580" s="10" t="s">
        <v>4668</v>
      </c>
      <c r="D580" s="10"/>
      <c r="E580" s="10" t="s">
        <v>6095</v>
      </c>
      <c r="F580" s="10" t="s">
        <v>901</v>
      </c>
      <c r="G580" s="11" t="s">
        <v>6036</v>
      </c>
      <c r="H580" s="11" t="s">
        <v>4644</v>
      </c>
      <c r="I580" s="11" t="s">
        <v>4600</v>
      </c>
      <c r="J580" s="9" t="str">
        <f>IFERROR(__xludf.DUMMYFUNCTION("""COMPUTED_VALUE"""),"https://www.google.com/search?newwindow=1&amp;ei=2MT0XrvGGM-vytMP1OyDgAY&amp;q=site%3Alinkedin.com+Ruth+Brooks+Subject+Leader+Management+and+International+Recruitment+Manager++at+University+of+Huddersfield")</f>
        <v>https://www.google.com/search?newwindow=1&amp;ei=2MT0XrvGGM-vytMP1OyDgAY&amp;q=site%3Alinkedin.com+Ruth+Brooks+Subject+Leader+Management+and+International+Recruitment+Manager++at+University+of+Huddersfield</v>
      </c>
      <c r="K580" s="5" t="str">
        <f t="shared" si="1"/>
        <v>Ruth Brooks</v>
      </c>
      <c r="L580" s="5" t="str">
        <f t="shared" si="2"/>
        <v>Subject Leader Management and International Recruitment Manager  at University of Huddersfield</v>
      </c>
      <c r="M580" s="5" t="str">
        <f t="shared" si="3"/>
        <v/>
      </c>
      <c r="N580" s="5" t="str">
        <f t="shared" si="4"/>
        <v>The University of Huddersfield</v>
      </c>
      <c r="O580" s="5" t="str">
        <f t="shared" si="5"/>
        <v>15 years 3 months in role and company</v>
      </c>
      <c r="P580" s="5" t="str">
        <f t="shared" si="6"/>
        <v>Huddersfield</v>
      </c>
      <c r="Q580" s="5" t="str">
        <f t="shared" si="7"/>
        <v>England</v>
      </c>
      <c r="R580" s="5" t="str">
        <f t="shared" si="8"/>
        <v>United Kingdom</v>
      </c>
    </row>
    <row r="581">
      <c r="A581" s="8" t="s">
        <v>6070</v>
      </c>
      <c r="B581" s="10" t="s">
        <v>6071</v>
      </c>
      <c r="C581" s="10" t="s">
        <v>4596</v>
      </c>
      <c r="D581" s="10"/>
      <c r="E581" s="10" t="s">
        <v>5397</v>
      </c>
      <c r="F581" s="10" t="s">
        <v>3694</v>
      </c>
      <c r="G581" s="11" t="s">
        <v>6036</v>
      </c>
      <c r="H581" s="11" t="s">
        <v>4644</v>
      </c>
      <c r="I581" s="11" t="s">
        <v>4600</v>
      </c>
      <c r="J581" s="9" t="str">
        <f>IFERROR(__xludf.DUMMYFUNCTION("""COMPUTED_VALUE"""),"https://www.google.com/search?newwindow=1&amp;ei=2MT0XrvGGM-vytMP1OyDgAY&amp;q=site%3Alinkedin.com+Caroline+Foret+Senior+Recruiting+Coordinator")</f>
        <v>https://www.google.com/search?newwindow=1&amp;ei=2MT0XrvGGM-vytMP1OyDgAY&amp;q=site%3Alinkedin.com+Caroline+Foret+Senior+Recruiting+Coordinator</v>
      </c>
      <c r="K581" s="5" t="str">
        <f t="shared" si="1"/>
        <v>Caroline Foret</v>
      </c>
      <c r="L581" s="5" t="str">
        <f t="shared" si="2"/>
        <v>Senior Recruiting Coordinator</v>
      </c>
      <c r="M581" s="5" t="str">
        <f t="shared" si="3"/>
        <v/>
      </c>
      <c r="N581" s="5" t="str">
        <f t="shared" si="4"/>
        <v>Deloitte</v>
      </c>
      <c r="O581" s="5" t="str">
        <f t="shared" si="5"/>
        <v>4 years 8 months in role</v>
      </c>
      <c r="P581" s="5" t="str">
        <f t="shared" si="6"/>
        <v>Huntsville</v>
      </c>
      <c r="Q581" s="5" t="str">
        <f t="shared" si="7"/>
        <v>Alabama</v>
      </c>
      <c r="R581" s="5" t="str">
        <f t="shared" si="8"/>
        <v>United States</v>
      </c>
    </row>
    <row r="582">
      <c r="A582" s="8" t="s">
        <v>6096</v>
      </c>
      <c r="B582" s="10" t="s">
        <v>6097</v>
      </c>
      <c r="C582" s="10" t="s">
        <v>6098</v>
      </c>
      <c r="D582" s="10"/>
      <c r="E582" s="10" t="s">
        <v>6099</v>
      </c>
      <c r="F582" s="10" t="s">
        <v>648</v>
      </c>
      <c r="G582" s="11" t="s">
        <v>6036</v>
      </c>
      <c r="H582" s="11" t="s">
        <v>4644</v>
      </c>
      <c r="I582" s="11" t="s">
        <v>4600</v>
      </c>
      <c r="J582" s="9" t="str">
        <f>IFERROR(__xludf.DUMMYFUNCTION("""COMPUTED_VALUE"""),"https://www.google.com/search?newwindow=1&amp;ei=2MT0XrvGGM-vytMP1OyDgAY&amp;q=site%3Alinkedin.com+Jay+Grothause+Talent+Acquisition,+Campus+Recruiting+Associate")</f>
        <v>https://www.google.com/search?newwindow=1&amp;ei=2MT0XrvGGM-vytMP1OyDgAY&amp;q=site%3Alinkedin.com+Jay+Grothause+Talent+Acquisition,+Campus+Recruiting+Associate</v>
      </c>
      <c r="K582" s="5" t="str">
        <f t="shared" si="1"/>
        <v>Jay Grothause</v>
      </c>
      <c r="L582" s="5" t="str">
        <f t="shared" si="2"/>
        <v>Talent Acquisition, Campus Recruiting Associate</v>
      </c>
      <c r="M582" s="5" t="str">
        <f t="shared" si="3"/>
        <v/>
      </c>
      <c r="N582" s="5" t="str">
        <f t="shared" si="4"/>
        <v>PwC</v>
      </c>
      <c r="O582" s="5" t="str">
        <f t="shared" si="5"/>
        <v>1 year 1 month in role and company</v>
      </c>
      <c r="P582" s="5" t="str">
        <f t="shared" si="6"/>
        <v>Indianapolis</v>
      </c>
      <c r="Q582" s="5" t="str">
        <f t="shared" si="7"/>
        <v>Indiana</v>
      </c>
      <c r="R582" s="5" t="str">
        <f t="shared" si="8"/>
        <v>United States</v>
      </c>
    </row>
    <row r="583">
      <c r="A583" s="8" t="s">
        <v>6100</v>
      </c>
      <c r="B583" s="10" t="s">
        <v>6101</v>
      </c>
      <c r="C583" s="10" t="s">
        <v>6102</v>
      </c>
      <c r="D583" s="12"/>
      <c r="E583" s="12" t="s">
        <v>5276</v>
      </c>
      <c r="F583" s="10"/>
      <c r="G583" s="11" t="s">
        <v>6036</v>
      </c>
      <c r="H583" s="11" t="s">
        <v>4644</v>
      </c>
      <c r="I583" s="11" t="s">
        <v>4600</v>
      </c>
      <c r="J583" s="9" t="str">
        <f>IFERROR(__xludf.DUMMYFUNCTION("""COMPUTED_VALUE"""),"https://www.google.com/search?newwindow=1&amp;ei=2MT0XrvGGM-vytMP1OyDgAY&amp;q=site%3Alinkedin.com+Mary+Kohr+Campus+Recruiting+Coordinator")</f>
        <v>https://www.google.com/search?newwindow=1&amp;ei=2MT0XrvGGM-vytMP1OyDgAY&amp;q=site%3Alinkedin.com+Mary+Kohr+Campus+Recruiting+Coordinator</v>
      </c>
      <c r="K583" s="5" t="str">
        <f t="shared" si="1"/>
        <v>Mary Kohr</v>
      </c>
      <c r="L583" s="5" t="str">
        <f t="shared" si="2"/>
        <v>Campus Recruiting Coordinator</v>
      </c>
      <c r="M583" s="5" t="str">
        <f t="shared" si="3"/>
        <v/>
      </c>
      <c r="N583" s="5" t="str">
        <f t="shared" si="4"/>
        <v>EY</v>
      </c>
      <c r="O583" s="5" t="str">
        <f t="shared" si="5"/>
        <v>1 year 3 months in role</v>
      </c>
      <c r="P583" s="5" t="str">
        <f t="shared" si="6"/>
        <v>Indianapolis</v>
      </c>
      <c r="Q583" s="5" t="str">
        <f t="shared" si="7"/>
        <v>Indiana</v>
      </c>
      <c r="R583" s="5" t="str">
        <f t="shared" si="8"/>
        <v>United States</v>
      </c>
    </row>
    <row r="584">
      <c r="A584" s="8" t="s">
        <v>6103</v>
      </c>
      <c r="B584" s="10" t="s">
        <v>6104</v>
      </c>
      <c r="C584" s="10" t="s">
        <v>6105</v>
      </c>
      <c r="D584" s="10"/>
      <c r="E584" s="10" t="s">
        <v>6106</v>
      </c>
      <c r="F584" s="10" t="s">
        <v>716</v>
      </c>
      <c r="G584" s="11" t="s">
        <v>6036</v>
      </c>
      <c r="H584" s="11" t="s">
        <v>4644</v>
      </c>
      <c r="I584" s="11" t="s">
        <v>4600</v>
      </c>
      <c r="J584" s="9" t="str">
        <f>IFERROR(__xludf.DUMMYFUNCTION("""COMPUTED_VALUE"""),"https://www.google.com/search?newwindow=1&amp;ei=2MT0XrvGGM-vytMP1OyDgAY&amp;q=site%3Alinkedin.com+Roshni+Naik+Campus+Recruiting+Coordinator")</f>
        <v>https://www.google.com/search?newwindow=1&amp;ei=2MT0XrvGGM-vytMP1OyDgAY&amp;q=site%3Alinkedin.com+Roshni+Naik+Campus+Recruiting+Coordinator</v>
      </c>
      <c r="K584" s="5" t="str">
        <f t="shared" si="1"/>
        <v>Roshni Naik</v>
      </c>
      <c r="L584" s="5" t="str">
        <f t="shared" si="2"/>
        <v>Campus Recruiting Coordinator</v>
      </c>
      <c r="M584" s="5" t="str">
        <f t="shared" si="3"/>
        <v/>
      </c>
      <c r="N584" s="5" t="str">
        <f t="shared" si="4"/>
        <v>EY</v>
      </c>
      <c r="O584" s="5" t="str">
        <f t="shared" si="5"/>
        <v>2 years 8 months in role and company</v>
      </c>
      <c r="P584" s="5" t="str">
        <f t="shared" si="6"/>
        <v>Irvine</v>
      </c>
      <c r="Q584" s="5" t="str">
        <f t="shared" si="7"/>
        <v>California</v>
      </c>
      <c r="R584" s="5" t="str">
        <f t="shared" si="8"/>
        <v>United States</v>
      </c>
    </row>
    <row r="585">
      <c r="A585" s="8" t="s">
        <v>6072</v>
      </c>
      <c r="B585" s="10" t="s">
        <v>6073</v>
      </c>
      <c r="C585" s="10" t="s">
        <v>6074</v>
      </c>
      <c r="D585" s="10"/>
      <c r="E585" s="10" t="s">
        <v>6075</v>
      </c>
      <c r="F585" s="10" t="s">
        <v>36</v>
      </c>
      <c r="G585" s="11" t="s">
        <v>6036</v>
      </c>
      <c r="H585" s="11" t="s">
        <v>4644</v>
      </c>
      <c r="I585" s="11" t="s">
        <v>4600</v>
      </c>
      <c r="J585" s="9" t="str">
        <f>IFERROR(__xludf.DUMMYFUNCTION("""COMPUTED_VALUE"""),"https://www.google.com/search?newwindow=1&amp;ei=2MT0XrvGGM-vytMP1OyDgAY&amp;q=site%3Alinkedin.com+Vicki+Mok+Senior+UK&amp;APAC+Graduate+Recruiter")</f>
        <v>https://www.google.com/search?newwindow=1&amp;ei=2MT0XrvGGM-vytMP1OyDgAY&amp;q=site%3Alinkedin.com+Vicki+Mok+Senior+UK&amp;APAC+Graduate+Recruiter</v>
      </c>
      <c r="K585" s="5" t="str">
        <f t="shared" si="1"/>
        <v>Vicki Mok</v>
      </c>
      <c r="L585" s="5" t="str">
        <f t="shared" si="2"/>
        <v>Senior UK&amp;APAC Graduate Recruiter</v>
      </c>
      <c r="M585" s="5" t="str">
        <f t="shared" si="3"/>
        <v/>
      </c>
      <c r="N585" s="5" t="str">
        <f t="shared" si="4"/>
        <v>FDM Group</v>
      </c>
      <c r="O585" s="5" t="str">
        <f t="shared" si="5"/>
        <v>1 year  in role</v>
      </c>
      <c r="P585" s="5" t="str">
        <f t="shared" si="6"/>
        <v>Isleworth</v>
      </c>
      <c r="Q585" s="5" t="str">
        <f t="shared" si="7"/>
        <v>England</v>
      </c>
      <c r="R585" s="5" t="str">
        <f t="shared" si="8"/>
        <v>United Kingdom</v>
      </c>
    </row>
    <row r="586">
      <c r="A586" s="8" t="s">
        <v>6107</v>
      </c>
      <c r="B586" s="12" t="s">
        <v>6108</v>
      </c>
      <c r="C586" s="10" t="s">
        <v>6109</v>
      </c>
      <c r="D586" s="10"/>
      <c r="E586" s="10" t="s">
        <v>6110</v>
      </c>
      <c r="F586" s="10" t="s">
        <v>4799</v>
      </c>
      <c r="G586" s="11" t="s">
        <v>6036</v>
      </c>
      <c r="H586" s="11" t="s">
        <v>4644</v>
      </c>
      <c r="I586" s="11" t="s">
        <v>4600</v>
      </c>
      <c r="J586" s="9" t="str">
        <f>IFERROR(__xludf.DUMMYFUNCTION("""COMPUTED_VALUE"""),"https://www.google.com/search?newwindow=1&amp;ei=2MT0XrvGGM-vytMP1OyDgAY&amp;q=site%3Alinkedin.com+Verlandy+Michel+MBA+Recruiter")</f>
        <v>https://www.google.com/search?newwindow=1&amp;ei=2MT0XrvGGM-vytMP1OyDgAY&amp;q=site%3Alinkedin.com+Verlandy+Michel+MBA+Recruiter</v>
      </c>
      <c r="K586" s="5" t="str">
        <f t="shared" si="1"/>
        <v>Verlandy Michel</v>
      </c>
      <c r="L586" s="5" t="str">
        <f t="shared" si="2"/>
        <v>MBA Recruiter</v>
      </c>
      <c r="M586" s="5" t="str">
        <f t="shared" si="3"/>
        <v>MBA</v>
      </c>
      <c r="N586" s="5" t="str">
        <f t="shared" si="4"/>
        <v>Microsoft</v>
      </c>
      <c r="O586" s="5" t="str">
        <f t="shared" si="5"/>
        <v>1 year 5 months in role</v>
      </c>
      <c r="P586" s="5" t="str">
        <f t="shared" si="6"/>
        <v>Ithaca</v>
      </c>
      <c r="Q586" s="5" t="str">
        <f t="shared" si="7"/>
        <v>New York</v>
      </c>
      <c r="R586" s="5" t="str">
        <f t="shared" si="8"/>
        <v>United States</v>
      </c>
    </row>
    <row r="587">
      <c r="A587" s="8" t="s">
        <v>6111</v>
      </c>
      <c r="B587" s="10" t="s">
        <v>6112</v>
      </c>
      <c r="C587" s="10" t="s">
        <v>6113</v>
      </c>
      <c r="D587" s="10"/>
      <c r="E587" s="10" t="s">
        <v>6106</v>
      </c>
      <c r="F587" s="10" t="s">
        <v>136</v>
      </c>
      <c r="G587" s="11" t="s">
        <v>6036</v>
      </c>
      <c r="H587" s="11" t="s">
        <v>4644</v>
      </c>
      <c r="I587" s="11" t="s">
        <v>4600</v>
      </c>
      <c r="J587" s="9" t="str">
        <f>IFERROR(__xludf.DUMMYFUNCTION("""COMPUTED_VALUE"""),"https://www.google.com/search?newwindow=1&amp;ei=2MT0XrvGGM-vytMP1OyDgAY&amp;q=site%3Alinkedin.com+Darshana+Rao+Campus+Recruiting+Diversity+Events+Specialist")</f>
        <v>https://www.google.com/search?newwindow=1&amp;ei=2MT0XrvGGM-vytMP1OyDgAY&amp;q=site%3Alinkedin.com+Darshana+Rao+Campus+Recruiting+Diversity+Events+Specialist</v>
      </c>
      <c r="K587" s="5" t="str">
        <f t="shared" si="1"/>
        <v>Darshana Rao</v>
      </c>
      <c r="L587" s="5" t="str">
        <f t="shared" si="2"/>
        <v>Campus Recruiting Diversity Events Specialist</v>
      </c>
      <c r="M587" s="5" t="str">
        <f t="shared" si="3"/>
        <v/>
      </c>
      <c r="N587" s="5" t="str">
        <f t="shared" si="4"/>
        <v>JPMorgan Chase &amp; Co.</v>
      </c>
      <c r="O587" s="5" t="str">
        <f t="shared" si="5"/>
        <v>1 year 8 months in role</v>
      </c>
      <c r="P587" s="5" t="str">
        <f t="shared" si="6"/>
        <v>Jersey City</v>
      </c>
      <c r="Q587" s="5" t="str">
        <f t="shared" si="7"/>
        <v>New Jersey</v>
      </c>
      <c r="R587" s="5" t="str">
        <f t="shared" si="8"/>
        <v>United States</v>
      </c>
    </row>
    <row r="588">
      <c r="A588" s="8" t="s">
        <v>6076</v>
      </c>
      <c r="B588" s="10" t="s">
        <v>6077</v>
      </c>
      <c r="C588" s="10" t="s">
        <v>4596</v>
      </c>
      <c r="D588" s="10"/>
      <c r="E588" s="10" t="s">
        <v>6078</v>
      </c>
      <c r="F588" s="10"/>
      <c r="G588" s="11" t="s">
        <v>6036</v>
      </c>
      <c r="H588" s="11" t="s">
        <v>4644</v>
      </c>
      <c r="I588" s="11" t="s">
        <v>4600</v>
      </c>
      <c r="J588" s="9" t="str">
        <f>IFERROR(__xludf.DUMMYFUNCTION("""COMPUTED_VALUE"""),"https://www.google.com/search?newwindow=1&amp;ei=2MT0XrvGGM-vytMP1OyDgAY&amp;q=site%3Alinkedin.com+Gabi+Scollon+Senior+Student+Recruiter-Advisor")</f>
        <v>https://www.google.com/search?newwindow=1&amp;ei=2MT0XrvGGM-vytMP1OyDgAY&amp;q=site%3Alinkedin.com+Gabi+Scollon+Senior+Student+Recruiter-Advisor</v>
      </c>
      <c r="K588" s="5" t="str">
        <f t="shared" si="1"/>
        <v>Gabi Scollon</v>
      </c>
      <c r="L588" s="5" t="str">
        <f t="shared" si="2"/>
        <v>Senior Student Recruiter-Advisor</v>
      </c>
      <c r="M588" s="5" t="str">
        <f t="shared" si="3"/>
        <v/>
      </c>
      <c r="N588" s="5" t="str">
        <f t="shared" si="4"/>
        <v>Thompson Rivers University</v>
      </c>
      <c r="O588" s="5" t="str">
        <f t="shared" si="5"/>
        <v>4 years 2 months in role and company</v>
      </c>
      <c r="P588" s="5" t="str">
        <f t="shared" si="6"/>
        <v>Kamloops</v>
      </c>
      <c r="Q588" s="5" t="str">
        <f t="shared" si="7"/>
        <v>British Columbia</v>
      </c>
      <c r="R588" s="5" t="str">
        <f t="shared" si="8"/>
        <v>Canada</v>
      </c>
    </row>
    <row r="589">
      <c r="A589" s="8" t="s">
        <v>6114</v>
      </c>
      <c r="B589" s="12" t="s">
        <v>6115</v>
      </c>
      <c r="C589" s="10" t="s">
        <v>6116</v>
      </c>
      <c r="D589" s="10"/>
      <c r="E589" s="10" t="s">
        <v>6117</v>
      </c>
      <c r="F589" s="10" t="s">
        <v>1098</v>
      </c>
      <c r="G589" s="11" t="s">
        <v>6118</v>
      </c>
      <c r="H589" s="11" t="s">
        <v>4757</v>
      </c>
      <c r="I589" s="11" t="s">
        <v>4607</v>
      </c>
      <c r="J589" s="9" t="str">
        <f>IFERROR(__xludf.DUMMYFUNCTION("""COMPUTED_VALUE"""),"https://www.google.com/search?newwindow=1&amp;ei=2MT0XrvGGM-vytMP1OyDgAY&amp;q=site%3Alinkedin.com+Elizabeth+Li+International+Student+Recruiter/Cultural+Advisor")</f>
        <v>https://www.google.com/search?newwindow=1&amp;ei=2MT0XrvGGM-vytMP1OyDgAY&amp;q=site%3Alinkedin.com+Elizabeth+Li+International+Student+Recruiter/Cultural+Advisor</v>
      </c>
      <c r="K589" s="5" t="str">
        <f t="shared" si="1"/>
        <v>Elizabeth Li</v>
      </c>
      <c r="L589" s="5" t="str">
        <f t="shared" si="2"/>
        <v>International Student Recruiter/Cultural Advisor</v>
      </c>
      <c r="M589" s="5" t="str">
        <f t="shared" si="3"/>
        <v/>
      </c>
      <c r="N589" s="5" t="str">
        <f t="shared" si="4"/>
        <v>Selkirk College</v>
      </c>
      <c r="O589" s="5" t="str">
        <f t="shared" si="5"/>
        <v>1 year 3 months in role and company</v>
      </c>
      <c r="P589" s="5" t="str">
        <f t="shared" si="6"/>
        <v>Kamloops</v>
      </c>
      <c r="Q589" s="5" t="str">
        <f t="shared" si="7"/>
        <v>British Columbia</v>
      </c>
      <c r="R589" s="5" t="str">
        <f t="shared" si="8"/>
        <v>Canada</v>
      </c>
    </row>
    <row r="590">
      <c r="A590" s="8" t="s">
        <v>6119</v>
      </c>
      <c r="B590" s="12" t="s">
        <v>6120</v>
      </c>
      <c r="C590" s="10" t="s">
        <v>6121</v>
      </c>
      <c r="D590" s="10"/>
      <c r="E590" s="10" t="s">
        <v>6117</v>
      </c>
      <c r="F590" s="10" t="s">
        <v>29</v>
      </c>
      <c r="G590" s="11" t="s">
        <v>6118</v>
      </c>
      <c r="H590" s="11" t="s">
        <v>4757</v>
      </c>
      <c r="I590" s="11" t="s">
        <v>4607</v>
      </c>
      <c r="J590" s="9" t="str">
        <f>IFERROR(__xludf.DUMMYFUNCTION("""COMPUTED_VALUE"""),"https://www.google.com/search?newwindow=1&amp;ei=2MT0XrvGGM-vytMP1OyDgAY&amp;q=site%3Alinkedin.com+Jessi+Guercio+Student+Recruiter+&amp;+Enrolment+Representitive")</f>
        <v>https://www.google.com/search?newwindow=1&amp;ei=2MT0XrvGGM-vytMP1OyDgAY&amp;q=site%3Alinkedin.com+Jessi+Guercio+Student+Recruiter+&amp;+Enrolment+Representitive</v>
      </c>
      <c r="K590" s="5" t="str">
        <f t="shared" si="1"/>
        <v>Jessi Guercio</v>
      </c>
      <c r="L590" s="5" t="str">
        <f t="shared" si="2"/>
        <v>Student Recruiter &amp; Enrolment Representitive</v>
      </c>
      <c r="M590" s="5" t="str">
        <f t="shared" si="3"/>
        <v/>
      </c>
      <c r="N590" s="5" t="str">
        <f t="shared" si="4"/>
        <v>Thompson Rivers University</v>
      </c>
      <c r="O590" s="5" t="str">
        <f t="shared" si="5"/>
        <v>4 years 6 months in role and company</v>
      </c>
      <c r="P590" s="5" t="str">
        <f t="shared" si="6"/>
        <v>Kamloops</v>
      </c>
      <c r="Q590" s="5" t="str">
        <f t="shared" si="7"/>
        <v>British Columbia</v>
      </c>
      <c r="R590" s="5" t="str">
        <f t="shared" si="8"/>
        <v>Canada</v>
      </c>
    </row>
    <row r="591">
      <c r="A591" s="8" t="s">
        <v>6122</v>
      </c>
      <c r="B591" s="12" t="s">
        <v>6123</v>
      </c>
      <c r="C591" s="10" t="s">
        <v>5054</v>
      </c>
      <c r="D591" s="10"/>
      <c r="E591" s="10" t="s">
        <v>4836</v>
      </c>
      <c r="F591" s="10" t="s">
        <v>79</v>
      </c>
      <c r="G591" s="11" t="s">
        <v>4757</v>
      </c>
      <c r="H591" s="11" t="s">
        <v>4607</v>
      </c>
      <c r="I591" s="12"/>
      <c r="J591" s="9" t="str">
        <f>IFERROR(__xludf.DUMMYFUNCTION("""COMPUTED_VALUE"""),"https://www.google.com/search?newwindow=1&amp;ei=2MT0XrvGGM-vytMP1OyDgAY&amp;q=site%3Alinkedin.com+Ashley+MacLellan+Qelmúcw+Student+Recruiter-Advisor")</f>
        <v>https://www.google.com/search?newwindow=1&amp;ei=2MT0XrvGGM-vytMP1OyDgAY&amp;q=site%3Alinkedin.com+Ashley+MacLellan+Qelmúcw+Student+Recruiter-Advisor</v>
      </c>
      <c r="K591" s="5" t="str">
        <f t="shared" si="1"/>
        <v>Ashley MacLellan</v>
      </c>
      <c r="L591" s="5" t="str">
        <f t="shared" si="2"/>
        <v>Qelmúcw Student Recruiter-Advisor</v>
      </c>
      <c r="M591" s="5" t="str">
        <f t="shared" si="3"/>
        <v/>
      </c>
      <c r="N591" s="5" t="str">
        <f t="shared" si="4"/>
        <v>Thompson Rivers University</v>
      </c>
      <c r="O591" s="5" t="str">
        <f t="shared" si="5"/>
        <v>1 year 1 month in role and company</v>
      </c>
      <c r="P591" s="5" t="str">
        <f t="shared" si="6"/>
        <v>Kamloops</v>
      </c>
      <c r="Q591" s="5" t="str">
        <f t="shared" si="7"/>
        <v>British Columbia</v>
      </c>
      <c r="R591" s="5" t="str">
        <f t="shared" si="8"/>
        <v>Canada</v>
      </c>
    </row>
    <row r="592">
      <c r="A592" s="8" t="s">
        <v>6124</v>
      </c>
      <c r="B592" s="12" t="s">
        <v>6125</v>
      </c>
      <c r="C592" s="10" t="s">
        <v>4749</v>
      </c>
      <c r="D592" s="10"/>
      <c r="E592" s="10" t="s">
        <v>1560</v>
      </c>
      <c r="F592" s="10" t="s">
        <v>144</v>
      </c>
      <c r="G592" s="11" t="s">
        <v>1296</v>
      </c>
      <c r="H592" s="11" t="s">
        <v>96</v>
      </c>
      <c r="I592" s="11" t="s">
        <v>18</v>
      </c>
      <c r="J592" s="9" t="str">
        <f>IFERROR(__xludf.DUMMYFUNCTION("""COMPUTED_VALUE"""),"https://www.google.com/search?newwindow=1&amp;ei=2MT0XrvGGM-vytMP1OyDgAY&amp;q=site%3Alinkedin.com+Kyri+Gorges+Manager,+Campus+Recruiting")</f>
        <v>https://www.google.com/search?newwindow=1&amp;ei=2MT0XrvGGM-vytMP1OyDgAY&amp;q=site%3Alinkedin.com+Kyri+Gorges+Manager,+Campus+Recruiting</v>
      </c>
      <c r="K592" s="5" t="str">
        <f t="shared" si="1"/>
        <v>Kyri Gorges</v>
      </c>
      <c r="L592" s="5" t="str">
        <f t="shared" si="2"/>
        <v>Manager, Campus Recruiting</v>
      </c>
      <c r="M592" s="5" t="str">
        <f t="shared" si="3"/>
        <v/>
      </c>
      <c r="N592" s="5" t="str">
        <f t="shared" si="4"/>
        <v>KPMG LLP</v>
      </c>
      <c r="O592" s="5" t="str">
        <f t="shared" si="5"/>
        <v>12 years 7 months in role</v>
      </c>
      <c r="P592" s="5" t="str">
        <f t="shared" si="6"/>
        <v>Kansas City</v>
      </c>
      <c r="Q592" s="5" t="str">
        <f t="shared" si="7"/>
        <v>Missouri</v>
      </c>
      <c r="R592" s="5" t="str">
        <f t="shared" si="8"/>
        <v>United States</v>
      </c>
    </row>
    <row r="593">
      <c r="A593" s="8" t="s">
        <v>6126</v>
      </c>
      <c r="B593" s="10" t="s">
        <v>6127</v>
      </c>
      <c r="C593" s="10" t="s">
        <v>6128</v>
      </c>
      <c r="D593" s="10"/>
      <c r="E593" s="10" t="s">
        <v>6129</v>
      </c>
      <c r="F593" s="10" t="s">
        <v>165</v>
      </c>
      <c r="G593" s="13" t="s">
        <v>6130</v>
      </c>
      <c r="H593" s="11" t="s">
        <v>4757</v>
      </c>
      <c r="I593" s="11" t="s">
        <v>4607</v>
      </c>
      <c r="J593" s="9" t="str">
        <f>IFERROR(__xludf.DUMMYFUNCTION("""COMPUTED_VALUE"""),"https://www.google.com/search?newwindow=1&amp;ei=2MT0XrvGGM-vytMP1OyDgAY&amp;q=site%3Alinkedin.com+Angie+Adeyemo+Deal+Advisory+Intern")</f>
        <v>https://www.google.com/search?newwindow=1&amp;ei=2MT0XrvGGM-vytMP1OyDgAY&amp;q=site%3Alinkedin.com+Angie+Adeyemo+Deal+Advisory+Intern</v>
      </c>
      <c r="K593" s="5" t="str">
        <f t="shared" si="1"/>
        <v>Angie Adeyemo</v>
      </c>
      <c r="L593" s="5" t="str">
        <f t="shared" si="2"/>
        <v>Deal Advisory Intern</v>
      </c>
      <c r="M593" s="5" t="str">
        <f t="shared" si="3"/>
        <v/>
      </c>
      <c r="N593" s="5" t="str">
        <f t="shared" si="4"/>
        <v>KPMG</v>
      </c>
      <c r="O593" s="5" t="str">
        <f t="shared" si="5"/>
        <v>1 year 6 months in role and company</v>
      </c>
      <c r="P593" s="5" t="str">
        <f t="shared" si="6"/>
        <v>Katy</v>
      </c>
      <c r="Q593" s="5" t="str">
        <f t="shared" si="7"/>
        <v>Texas</v>
      </c>
      <c r="R593" s="5" t="str">
        <f t="shared" si="8"/>
        <v>United States</v>
      </c>
    </row>
    <row r="594">
      <c r="A594" s="8" t="s">
        <v>6131</v>
      </c>
      <c r="B594" s="10" t="s">
        <v>6132</v>
      </c>
      <c r="C594" s="10" t="s">
        <v>5054</v>
      </c>
      <c r="D594" s="10"/>
      <c r="E594" s="10" t="s">
        <v>6133</v>
      </c>
      <c r="F594" s="10" t="s">
        <v>36</v>
      </c>
      <c r="G594" s="13" t="s">
        <v>6130</v>
      </c>
      <c r="H594" s="11" t="s">
        <v>4757</v>
      </c>
      <c r="I594" s="11" t="s">
        <v>4607</v>
      </c>
      <c r="J594" s="9" t="str">
        <f>IFERROR(__xludf.DUMMYFUNCTION("""COMPUTED_VALUE"""),"https://www.google.com/search?newwindow=1&amp;ei=2MT0XrvGGM-vytMP1OyDgAY&amp;q=site%3Alinkedin.com+Kalil+S.+Australian+Education+Counselor/++International+Student+Recruiter+/+Australian+Migration+Advisor")</f>
        <v>https://www.google.com/search?newwindow=1&amp;ei=2MT0XrvGGM-vytMP1OyDgAY&amp;q=site%3Alinkedin.com+Kalil+S.+Australian+Education+Counselor/++International+Student+Recruiter+/+Australian+Migration+Advisor</v>
      </c>
      <c r="K594" s="5" t="str">
        <f t="shared" si="1"/>
        <v>Kalil S.</v>
      </c>
      <c r="L594" s="5" t="str">
        <f t="shared" si="2"/>
        <v>Australian Education Counselor/  International Student Recruiter / Australian Migration Advisor</v>
      </c>
      <c r="M594" s="5" t="str">
        <f t="shared" si="3"/>
        <v/>
      </c>
      <c r="N594" s="5" t="str">
        <f t="shared" si="4"/>
        <v>Hidayah Global Australian Education and Migration Services</v>
      </c>
      <c r="O594" s="5" t="str">
        <f t="shared" si="5"/>
        <v>4 years 4 months in role and company</v>
      </c>
      <c r="P594" s="5" t="str">
        <f t="shared" si="6"/>
        <v>Kealba</v>
      </c>
      <c r="Q594" s="5" t="str">
        <f t="shared" si="7"/>
        <v>Victoria</v>
      </c>
      <c r="R594" s="5" t="str">
        <f t="shared" si="8"/>
        <v>Australia</v>
      </c>
    </row>
    <row r="595">
      <c r="A595" s="8" t="s">
        <v>6134</v>
      </c>
      <c r="B595" s="12" t="s">
        <v>6135</v>
      </c>
      <c r="C595" s="10" t="s">
        <v>4749</v>
      </c>
      <c r="D595" s="10"/>
      <c r="E595" s="10" t="s">
        <v>4701</v>
      </c>
      <c r="F595" s="10" t="s">
        <v>1830</v>
      </c>
      <c r="G595" s="11" t="s">
        <v>3111</v>
      </c>
      <c r="H595" s="11" t="s">
        <v>184</v>
      </c>
      <c r="I595" s="11" t="s">
        <v>18</v>
      </c>
      <c r="J595" s="9" t="str">
        <f>IFERROR(__xludf.DUMMYFUNCTION("""COMPUTED_VALUE"""),"https://www.google.com/search?newwindow=1&amp;ei=2MT0XrvGGM-vytMP1OyDgAY&amp;q=site%3Alinkedin.com+Katrina+Iuvancigh+International+Student+Recruiter+and+Advisor,+Asia+&amp;+Europe")</f>
        <v>https://www.google.com/search?newwindow=1&amp;ei=2MT0XrvGGM-vytMP1OyDgAY&amp;q=site%3Alinkedin.com+Katrina+Iuvancigh+International+Student+Recruiter+and+Advisor,+Asia+&amp;+Europe</v>
      </c>
      <c r="K595" s="5" t="str">
        <f t="shared" si="1"/>
        <v>Katrina Iuvancigh</v>
      </c>
      <c r="L595" s="5" t="str">
        <f t="shared" si="2"/>
        <v>International Student Recruiter and Advisor, Asia &amp; Europe</v>
      </c>
      <c r="M595" s="5" t="str">
        <f t="shared" si="3"/>
        <v/>
      </c>
      <c r="N595" s="5" t="str">
        <f t="shared" si="4"/>
        <v>The University of British Columbia</v>
      </c>
      <c r="O595" s="5" t="str">
        <f t="shared" si="5"/>
        <v>2 years 4 months in role</v>
      </c>
      <c r="P595" s="5" t="str">
        <f t="shared" si="6"/>
        <v>Kelowna</v>
      </c>
      <c r="Q595" s="5" t="str">
        <f t="shared" si="7"/>
        <v>British Columbia</v>
      </c>
      <c r="R595" s="5" t="str">
        <f t="shared" si="8"/>
        <v>Canada</v>
      </c>
    </row>
    <row r="596">
      <c r="A596" s="8" t="s">
        <v>6136</v>
      </c>
      <c r="B596" s="10" t="s">
        <v>6137</v>
      </c>
      <c r="C596" s="10" t="s">
        <v>1378</v>
      </c>
      <c r="D596" s="10"/>
      <c r="E596" s="10" t="s">
        <v>1233</v>
      </c>
      <c r="F596" s="10" t="s">
        <v>48</v>
      </c>
      <c r="G596" s="11" t="s">
        <v>6138</v>
      </c>
      <c r="H596" s="11" t="s">
        <v>184</v>
      </c>
      <c r="I596" s="11" t="s">
        <v>18</v>
      </c>
      <c r="J596" s="9" t="str">
        <f>IFERROR(__xludf.DUMMYFUNCTION("""COMPUTED_VALUE"""),"https://www.google.com/search?newwindow=1&amp;ei=2MT0XrvGGM-vytMP1OyDgAY&amp;q=site%3Alinkedin.com+Marleen+Ozel+Associate+International+Student+Recruiter")</f>
        <v>https://www.google.com/search?newwindow=1&amp;ei=2MT0XrvGGM-vytMP1OyDgAY&amp;q=site%3Alinkedin.com+Marleen+Ozel+Associate+International+Student+Recruiter</v>
      </c>
      <c r="K596" s="5" t="str">
        <f t="shared" si="1"/>
        <v>Marleen Ozel</v>
      </c>
      <c r="L596" s="5" t="str">
        <f t="shared" si="2"/>
        <v>Associate International Student Recruiter</v>
      </c>
      <c r="M596" s="5" t="str">
        <f t="shared" si="3"/>
        <v/>
      </c>
      <c r="N596" s="5" t="str">
        <f t="shared" si="4"/>
        <v>The University of British Columbia</v>
      </c>
      <c r="O596" s="5" t="str">
        <f t="shared" si="5"/>
        <v>2 years 4 months in role and company</v>
      </c>
      <c r="P596" s="5" t="str">
        <f t="shared" si="6"/>
        <v>Kelowna</v>
      </c>
      <c r="Q596" s="5" t="str">
        <f t="shared" si="7"/>
        <v>British Columbia</v>
      </c>
      <c r="R596" s="5" t="str">
        <f t="shared" si="8"/>
        <v>Canada</v>
      </c>
    </row>
    <row r="597">
      <c r="A597" s="8" t="s">
        <v>6139</v>
      </c>
      <c r="B597" s="10" t="s">
        <v>6140</v>
      </c>
      <c r="C597" s="10" t="s">
        <v>6141</v>
      </c>
      <c r="D597" s="10"/>
      <c r="E597" s="10" t="s">
        <v>14</v>
      </c>
      <c r="F597" s="10" t="s">
        <v>1729</v>
      </c>
      <c r="G597" s="11" t="s">
        <v>855</v>
      </c>
      <c r="H597" s="11" t="s">
        <v>184</v>
      </c>
      <c r="I597" s="11" t="s">
        <v>18</v>
      </c>
      <c r="J597" s="9" t="str">
        <f>IFERROR(__xludf.DUMMYFUNCTION("""COMPUTED_VALUE"""),"https://www.google.com/search?newwindow=1&amp;ei=2MT0XrvGGM-vytMP1OyDgAY&amp;q=site%3Alinkedin.com+Dayna+Li+International+Student+Recruiter/Advisor")</f>
        <v>https://www.google.com/search?newwindow=1&amp;ei=2MT0XrvGGM-vytMP1OyDgAY&amp;q=site%3Alinkedin.com+Dayna+Li+International+Student+Recruiter/Advisor</v>
      </c>
      <c r="K597" s="5" t="str">
        <f t="shared" si="1"/>
        <v>Dayna Li</v>
      </c>
      <c r="L597" s="5" t="str">
        <f t="shared" si="2"/>
        <v>International Student Recruiter/Advisor</v>
      </c>
      <c r="M597" s="5" t="str">
        <f t="shared" si="3"/>
        <v/>
      </c>
      <c r="N597" s="5" t="str">
        <f t="shared" si="4"/>
        <v>The University of British Columbia</v>
      </c>
      <c r="O597" s="5" t="str">
        <f t="shared" si="5"/>
        <v>14 years 1 month in role and company</v>
      </c>
      <c r="P597" s="5" t="str">
        <f t="shared" si="6"/>
        <v>Kelowna</v>
      </c>
      <c r="Q597" s="5" t="str">
        <f t="shared" si="7"/>
        <v>British Columbia</v>
      </c>
      <c r="R597" s="5" t="str">
        <f t="shared" si="8"/>
        <v>Canada</v>
      </c>
    </row>
    <row r="598">
      <c r="A598" s="8" t="s">
        <v>6142</v>
      </c>
      <c r="B598" s="12" t="s">
        <v>6143</v>
      </c>
      <c r="C598" s="10" t="s">
        <v>6144</v>
      </c>
      <c r="D598" s="10"/>
      <c r="E598" s="10" t="s">
        <v>6129</v>
      </c>
      <c r="F598" s="10" t="s">
        <v>42</v>
      </c>
      <c r="G598" s="11" t="s">
        <v>6145</v>
      </c>
      <c r="H598" s="11" t="s">
        <v>4757</v>
      </c>
      <c r="I598" s="11" t="s">
        <v>4607</v>
      </c>
      <c r="J598" s="9" t="str">
        <f>IFERROR(__xludf.DUMMYFUNCTION("""COMPUTED_VALUE"""),"https://www.google.com/search?newwindow=1&amp;ei=2MT0XrvGGM-vytMP1OyDgAY&amp;q=site%3Alinkedin.com+Cherry+Wang+International+Recruiter+&amp;+Advisor+-+eRecruitment")</f>
        <v>https://www.google.com/search?newwindow=1&amp;ei=2MT0XrvGGM-vytMP1OyDgAY&amp;q=site%3Alinkedin.com+Cherry+Wang+International+Recruiter+&amp;+Advisor+-+eRecruitment</v>
      </c>
      <c r="K598" s="5" t="str">
        <f t="shared" si="1"/>
        <v>Cherry Wang</v>
      </c>
      <c r="L598" s="5" t="str">
        <f t="shared" si="2"/>
        <v>International Recruiter &amp; Advisor - eRecruitment</v>
      </c>
      <c r="M598" s="5" t="str">
        <f t="shared" si="3"/>
        <v/>
      </c>
      <c r="N598" s="5" t="str">
        <f t="shared" si="4"/>
        <v>The University of British Columbia</v>
      </c>
      <c r="O598" s="5" t="str">
        <f t="shared" si="5"/>
        <v>3 years 4 months in role</v>
      </c>
      <c r="P598" s="5" t="str">
        <f t="shared" si="6"/>
        <v>Kelowna</v>
      </c>
      <c r="Q598" s="5" t="str">
        <f t="shared" si="7"/>
        <v>British Columbia</v>
      </c>
      <c r="R598" s="5" t="str">
        <f t="shared" si="8"/>
        <v>Canada</v>
      </c>
    </row>
    <row r="599">
      <c r="A599" s="8" t="s">
        <v>6146</v>
      </c>
      <c r="B599" s="10" t="s">
        <v>1409</v>
      </c>
      <c r="C599" s="10" t="s">
        <v>1410</v>
      </c>
      <c r="D599" s="10"/>
      <c r="E599" s="10" t="s">
        <v>5605</v>
      </c>
      <c r="F599" s="10" t="s">
        <v>1411</v>
      </c>
      <c r="G599" s="11" t="s">
        <v>1412</v>
      </c>
      <c r="H599" s="11" t="s">
        <v>96</v>
      </c>
      <c r="I599" s="11" t="s">
        <v>18</v>
      </c>
      <c r="J599" s="9" t="str">
        <f>IFERROR(__xludf.DUMMYFUNCTION("""COMPUTED_VALUE"""),"https://www.google.com/search?newwindow=1&amp;ei=2MT0XrvGGM-vytMP1OyDgAY&amp;q=site%3Alinkedin.com+Hilary+Leigh+Student+Recruiter-Advisor")</f>
        <v>https://www.google.com/search?newwindow=1&amp;ei=2MT0XrvGGM-vytMP1OyDgAY&amp;q=site%3Alinkedin.com+Hilary+Leigh+Student+Recruiter-Advisor</v>
      </c>
      <c r="K599" s="5" t="str">
        <f t="shared" si="1"/>
        <v>Hilary Leigh</v>
      </c>
      <c r="L599" s="5" t="str">
        <f t="shared" si="2"/>
        <v>Student Recruiter-Advisor</v>
      </c>
      <c r="M599" s="5" t="str">
        <f t="shared" si="3"/>
        <v/>
      </c>
      <c r="N599" s="5" t="str">
        <f t="shared" si="4"/>
        <v>The University of British Columbia</v>
      </c>
      <c r="O599" s="5" t="str">
        <f t="shared" si="5"/>
        <v/>
      </c>
      <c r="P599" s="5" t="str">
        <f t="shared" si="6"/>
        <v>Kelowna</v>
      </c>
      <c r="Q599" s="5" t="str">
        <f t="shared" si="7"/>
        <v>British Columbia</v>
      </c>
      <c r="R599" s="5" t="str">
        <f t="shared" si="8"/>
        <v>Canada</v>
      </c>
    </row>
    <row r="600">
      <c r="A600" s="8" t="s">
        <v>6147</v>
      </c>
      <c r="B600" s="10" t="s">
        <v>6148</v>
      </c>
      <c r="C600" s="10" t="s">
        <v>6149</v>
      </c>
      <c r="D600" s="10"/>
      <c r="E600" s="10" t="s">
        <v>2117</v>
      </c>
      <c r="F600" s="10" t="s">
        <v>496</v>
      </c>
      <c r="G600" s="11" t="s">
        <v>2145</v>
      </c>
      <c r="H600" s="11" t="s">
        <v>203</v>
      </c>
      <c r="I600" s="11" t="s">
        <v>18</v>
      </c>
      <c r="J600" s="9" t="str">
        <f>IFERROR(__xludf.DUMMYFUNCTION("""COMPUTED_VALUE"""),"https://www.google.com/search?newwindow=1&amp;ei=2MT0XrvGGM-vytMP1OyDgAY&amp;q=site%3Alinkedin.com+Monica+Stewart+Queen's+University+Representative+on+the+Kingston+Immigration+Partnership+Council")</f>
        <v>https://www.google.com/search?newwindow=1&amp;ei=2MT0XrvGGM-vytMP1OyDgAY&amp;q=site%3Alinkedin.com+Monica+Stewart+Queen's+University+Representative+on+the+Kingston+Immigration+Partnership+Council</v>
      </c>
      <c r="K600" s="5" t="str">
        <f t="shared" si="1"/>
        <v>Monica Stewart</v>
      </c>
      <c r="L600" s="5" t="str">
        <f t="shared" si="2"/>
        <v>Queen's University Representative on the Kingston Immigration Partnership Council</v>
      </c>
      <c r="M600" s="5" t="str">
        <f t="shared" si="3"/>
        <v/>
      </c>
      <c r="N600" s="5" t="str">
        <f t="shared" si="4"/>
        <v>Queen's University</v>
      </c>
      <c r="O600" s="5" t="str">
        <f t="shared" si="5"/>
        <v>11 years 2 months in role</v>
      </c>
      <c r="P600" s="5" t="str">
        <f t="shared" si="6"/>
        <v>Kingston</v>
      </c>
      <c r="Q600" s="5" t="str">
        <f t="shared" si="7"/>
        <v>Ontario</v>
      </c>
      <c r="R600" s="5" t="str">
        <f t="shared" si="8"/>
        <v>Canada</v>
      </c>
    </row>
    <row r="601">
      <c r="A601" s="8" t="s">
        <v>6150</v>
      </c>
      <c r="B601" s="12" t="s">
        <v>2149</v>
      </c>
      <c r="C601" s="10" t="s">
        <v>2150</v>
      </c>
      <c r="D601" s="10"/>
      <c r="E601" s="10" t="s">
        <v>2117</v>
      </c>
      <c r="F601" s="10" t="s">
        <v>283</v>
      </c>
      <c r="G601" s="11" t="s">
        <v>2145</v>
      </c>
      <c r="H601" s="11" t="s">
        <v>203</v>
      </c>
      <c r="I601" s="11" t="s">
        <v>18</v>
      </c>
      <c r="J601" s="9" t="str">
        <f>IFERROR(__xludf.DUMMYFUNCTION("""COMPUTED_VALUE"""),"https://www.google.com/search?newwindow=1&amp;ei=2MT0XrvGGM-vytMP1OyDgAY&amp;q=site%3Alinkedin.com+Hanna+Bathurst+Coordinator:+Student+Programs+&amp;+Volunteers")</f>
        <v>https://www.google.com/search?newwindow=1&amp;ei=2MT0XrvGGM-vytMP1OyDgAY&amp;q=site%3Alinkedin.com+Hanna+Bathurst+Coordinator:+Student+Programs+&amp;+Volunteers</v>
      </c>
      <c r="K601" s="5" t="str">
        <f t="shared" si="1"/>
        <v>Hanna Bathurst</v>
      </c>
      <c r="L601" s="5" t="str">
        <f t="shared" si="2"/>
        <v>Coordinator: Student Programs &amp; Volunteers</v>
      </c>
      <c r="M601" s="5" t="str">
        <f t="shared" si="3"/>
        <v/>
      </c>
      <c r="N601" s="5" t="str">
        <f t="shared" si="4"/>
        <v>Queen's University International Centre</v>
      </c>
      <c r="O601" s="5" t="str">
        <f t="shared" si="5"/>
        <v>11 years 6 months in role and company</v>
      </c>
      <c r="P601" s="5" t="str">
        <f t="shared" si="6"/>
        <v>Kingston</v>
      </c>
      <c r="Q601" s="5" t="str">
        <f t="shared" si="7"/>
        <v>Ontario</v>
      </c>
      <c r="R601" s="5" t="str">
        <f t="shared" si="8"/>
        <v>Canada</v>
      </c>
    </row>
    <row r="602">
      <c r="A602" s="8" t="s">
        <v>6151</v>
      </c>
      <c r="B602" s="10" t="s">
        <v>2152</v>
      </c>
      <c r="C602" s="10" t="s">
        <v>2153</v>
      </c>
      <c r="D602" s="10"/>
      <c r="E602" s="10" t="s">
        <v>2117</v>
      </c>
      <c r="F602" s="10" t="s">
        <v>446</v>
      </c>
      <c r="G602" s="11" t="s">
        <v>2145</v>
      </c>
      <c r="H602" s="11" t="s">
        <v>203</v>
      </c>
      <c r="I602" s="11" t="s">
        <v>18</v>
      </c>
      <c r="J602" s="9" t="str">
        <f>IFERROR(__xludf.DUMMYFUNCTION("""COMPUTED_VALUE"""),"https://www.google.com/search?newwindow=1&amp;ei=2MT0XrvGGM-vytMP1OyDgAY&amp;q=site%3Alinkedin.com+Sam+Nicholls+History+Department+Student+Council+Co-President")</f>
        <v>https://www.google.com/search?newwindow=1&amp;ei=2MT0XrvGGM-vytMP1OyDgAY&amp;q=site%3Alinkedin.com+Sam+Nicholls+History+Department+Student+Council+Co-President</v>
      </c>
      <c r="K602" s="5" t="str">
        <f t="shared" si="1"/>
        <v>Sam Nicholls</v>
      </c>
      <c r="L602" s="5" t="str">
        <f t="shared" si="2"/>
        <v>History Department Student Council Co-President</v>
      </c>
      <c r="M602" s="5" t="str">
        <f t="shared" si="3"/>
        <v/>
      </c>
      <c r="N602" s="5" t="str">
        <f t="shared" si="4"/>
        <v>Queen's University</v>
      </c>
      <c r="O602" s="5" t="str">
        <f t="shared" si="5"/>
        <v>7 months in role and company</v>
      </c>
      <c r="P602" s="5" t="str">
        <f t="shared" si="6"/>
        <v>Kingston</v>
      </c>
      <c r="Q602" s="5" t="str">
        <f t="shared" si="7"/>
        <v>Ontario</v>
      </c>
      <c r="R602" s="5" t="str">
        <f t="shared" si="8"/>
        <v>Canada</v>
      </c>
    </row>
    <row r="603">
      <c r="A603" s="8" t="s">
        <v>6152</v>
      </c>
      <c r="B603" s="10" t="s">
        <v>1298</v>
      </c>
      <c r="C603" s="10" t="s">
        <v>1299</v>
      </c>
      <c r="D603" s="10"/>
      <c r="E603" s="10" t="s">
        <v>1233</v>
      </c>
      <c r="F603" s="10" t="s">
        <v>1300</v>
      </c>
      <c r="G603" s="11" t="s">
        <v>1301</v>
      </c>
      <c r="H603" s="11" t="s">
        <v>96</v>
      </c>
      <c r="I603" s="11" t="s">
        <v>18</v>
      </c>
      <c r="J603" s="9" t="str">
        <f>IFERROR(__xludf.DUMMYFUNCTION("""COMPUTED_VALUE"""),"https://www.google.com/search?newwindow=1&amp;ei=2MT0XrvGGM-vytMP1OyDgAY&amp;q=site%3Alinkedin.com+Catherine+Perkins+Senior+Welfare+Officer,+Durham+University")</f>
        <v>https://www.google.com/search?newwindow=1&amp;ei=2MT0XrvGGM-vytMP1OyDgAY&amp;q=site%3Alinkedin.com+Catherine+Perkins+Senior+Welfare+Officer,+Durham+University</v>
      </c>
      <c r="K603" s="5" t="str">
        <f t="shared" si="1"/>
        <v>Catherine Perkins</v>
      </c>
      <c r="L603" s="5" t="str">
        <f t="shared" si="2"/>
        <v>Senior Welfare Officer, Durham University</v>
      </c>
      <c r="M603" s="5" t="str">
        <f t="shared" si="3"/>
        <v/>
      </c>
      <c r="N603" s="5" t="str">
        <f t="shared" si="4"/>
        <v>University of Durham, St John's College</v>
      </c>
      <c r="O603" s="5" t="str">
        <f t="shared" si="5"/>
        <v>8 months in role</v>
      </c>
      <c r="P603" s="5" t="str">
        <f t="shared" si="6"/>
        <v>Kingston upon Thames</v>
      </c>
      <c r="Q603" s="5" t="str">
        <f t="shared" si="7"/>
        <v>England</v>
      </c>
      <c r="R603" s="5" t="str">
        <f t="shared" si="8"/>
        <v>United Kingdom</v>
      </c>
    </row>
    <row r="604">
      <c r="A604" s="8" t="s">
        <v>6153</v>
      </c>
      <c r="B604" s="10" t="s">
        <v>6154</v>
      </c>
      <c r="C604" s="10" t="s">
        <v>5909</v>
      </c>
      <c r="D604" s="10"/>
      <c r="E604" s="10" t="s">
        <v>845</v>
      </c>
      <c r="F604" s="10" t="s">
        <v>579</v>
      </c>
      <c r="G604" s="11" t="s">
        <v>2702</v>
      </c>
      <c r="H604" s="11" t="s">
        <v>38</v>
      </c>
      <c r="I604" s="11" t="s">
        <v>18</v>
      </c>
      <c r="J604" s="9" t="str">
        <f>IFERROR(__xludf.DUMMYFUNCTION("""COMPUTED_VALUE"""),"https://www.google.com/search?newwindow=1&amp;ei=2MT0XrvGGM-vytMP1OyDgAY&amp;q=site%3Alinkedin.com+Yasir+Mahdi+Graduate+Recruiter")</f>
        <v>https://www.google.com/search?newwindow=1&amp;ei=2MT0XrvGGM-vytMP1OyDgAY&amp;q=site%3Alinkedin.com+Yasir+Mahdi+Graduate+Recruiter</v>
      </c>
      <c r="K604" s="5" t="str">
        <f t="shared" si="1"/>
        <v>Yasir Mahdi</v>
      </c>
      <c r="L604" s="5" t="str">
        <f t="shared" si="2"/>
        <v>Graduate Recruiter</v>
      </c>
      <c r="M604" s="5" t="str">
        <f t="shared" si="3"/>
        <v/>
      </c>
      <c r="N604" s="5" t="str">
        <f t="shared" si="4"/>
        <v>Unlocked Graduates</v>
      </c>
      <c r="O604" s="5" t="str">
        <f t="shared" si="5"/>
        <v>3 years 1 month in role and company</v>
      </c>
      <c r="P604" s="5" t="str">
        <f t="shared" si="6"/>
        <v>Kingston upon Thames</v>
      </c>
      <c r="Q604" s="5" t="str">
        <f t="shared" si="7"/>
        <v>England</v>
      </c>
      <c r="R604" s="5" t="str">
        <f t="shared" si="8"/>
        <v>United Kingdom</v>
      </c>
    </row>
    <row r="605">
      <c r="A605" s="8" t="s">
        <v>6155</v>
      </c>
      <c r="B605" s="12" t="s">
        <v>6156</v>
      </c>
      <c r="C605" s="10" t="s">
        <v>4929</v>
      </c>
      <c r="D605" s="10"/>
      <c r="E605" s="10" t="s">
        <v>6157</v>
      </c>
      <c r="F605" s="10" t="s">
        <v>909</v>
      </c>
      <c r="G605" s="11" t="s">
        <v>6158</v>
      </c>
      <c r="H605" s="11" t="s">
        <v>6159</v>
      </c>
      <c r="I605" s="11" t="s">
        <v>4600</v>
      </c>
      <c r="J605" s="9" t="str">
        <f>IFERROR(__xludf.DUMMYFUNCTION("""COMPUTED_VALUE"""),"https://www.google.com/search?newwindow=1&amp;ei=2MT0XrvGGM-vytMP1OyDgAY&amp;q=site%3Alinkedin.com+Leanna+Glen+Mental+Health+Student+Nurse")</f>
        <v>https://www.google.com/search?newwindow=1&amp;ei=2MT0XrvGGM-vytMP1OyDgAY&amp;q=site%3Alinkedin.com+Leanna+Glen+Mental+Health+Student+Nurse</v>
      </c>
      <c r="K605" s="5" t="str">
        <f t="shared" si="1"/>
        <v>Leanna Glen</v>
      </c>
      <c r="L605" s="5" t="str">
        <f t="shared" si="2"/>
        <v>Mental Health Student Nurse</v>
      </c>
      <c r="M605" s="5" t="str">
        <f t="shared" si="3"/>
        <v/>
      </c>
      <c r="N605" s="5" t="str">
        <f t="shared" si="4"/>
        <v>Abertay University</v>
      </c>
      <c r="O605" s="5" t="str">
        <f t="shared" si="5"/>
        <v>1 year 3 months in role and company</v>
      </c>
      <c r="P605" s="5" t="str">
        <f t="shared" si="6"/>
        <v>Kirkcaldy</v>
      </c>
      <c r="Q605" s="5" t="str">
        <f t="shared" si="7"/>
        <v>Scotland</v>
      </c>
      <c r="R605" s="5" t="str">
        <f t="shared" si="8"/>
        <v>United Kingdom</v>
      </c>
    </row>
    <row r="606">
      <c r="A606" s="8" t="s">
        <v>6160</v>
      </c>
      <c r="B606" s="10" t="s">
        <v>6161</v>
      </c>
      <c r="C606" s="10" t="s">
        <v>4929</v>
      </c>
      <c r="D606" s="12"/>
      <c r="E606" s="12" t="s">
        <v>6162</v>
      </c>
      <c r="F606" s="10"/>
      <c r="G606" s="11" t="s">
        <v>6158</v>
      </c>
      <c r="H606" s="11" t="s">
        <v>6159</v>
      </c>
      <c r="I606" s="11" t="s">
        <v>4600</v>
      </c>
      <c r="J606" s="9" t="str">
        <f>IFERROR(__xludf.DUMMYFUNCTION("""COMPUTED_VALUE"""),"https://www.google.com/search?newwindow=1&amp;ei=2MT0XrvGGM-vytMP1OyDgAY&amp;q=site%3Alinkedin.com+Paul+Shevsky+Campus+Recruiter")</f>
        <v>https://www.google.com/search?newwindow=1&amp;ei=2MT0XrvGGM-vytMP1OyDgAY&amp;q=site%3Alinkedin.com+Paul+Shevsky+Campus+Recruiter</v>
      </c>
      <c r="K606" s="5" t="str">
        <f t="shared" si="1"/>
        <v>Paul Shevsky</v>
      </c>
      <c r="L606" s="5" t="str">
        <f t="shared" si="2"/>
        <v>Campus Recruiter</v>
      </c>
      <c r="M606" s="5" t="str">
        <f t="shared" si="3"/>
        <v/>
      </c>
      <c r="N606" s="5" t="str">
        <f t="shared" si="4"/>
        <v>Shopify</v>
      </c>
      <c r="O606" s="5" t="str">
        <f t="shared" si="5"/>
        <v>10 months in role</v>
      </c>
      <c r="P606" s="5" t="str">
        <f t="shared" si="6"/>
        <v>Kitchener</v>
      </c>
      <c r="Q606" s="5" t="str">
        <f t="shared" si="7"/>
        <v>Ontario</v>
      </c>
      <c r="R606" s="5" t="str">
        <f t="shared" si="8"/>
        <v>Canada</v>
      </c>
    </row>
    <row r="607">
      <c r="A607" s="8" t="s">
        <v>6163</v>
      </c>
      <c r="B607" s="12" t="s">
        <v>6164</v>
      </c>
      <c r="C607" s="10" t="s">
        <v>5054</v>
      </c>
      <c r="D607" s="10"/>
      <c r="E607" s="10" t="s">
        <v>4632</v>
      </c>
      <c r="F607" s="10" t="s">
        <v>165</v>
      </c>
      <c r="G607" s="11" t="s">
        <v>6165</v>
      </c>
      <c r="H607" s="11" t="s">
        <v>4606</v>
      </c>
      <c r="I607" s="11" t="s">
        <v>4607</v>
      </c>
      <c r="J607" s="9" t="str">
        <f>IFERROR(__xludf.DUMMYFUNCTION("""COMPUTED_VALUE"""),"https://www.google.com/search?newwindow=1&amp;ei=2MT0XrvGGM-vytMP1OyDgAY&amp;q=site%3Alinkedin.com+Elizabeth+Arcila+International+Student+Recruiter")</f>
        <v>https://www.google.com/search?newwindow=1&amp;ei=2MT0XrvGGM-vytMP1OyDgAY&amp;q=site%3Alinkedin.com+Elizabeth+Arcila+International+Student+Recruiter</v>
      </c>
      <c r="K607" s="5" t="str">
        <f t="shared" si="1"/>
        <v>Elizabeth Arcila</v>
      </c>
      <c r="L607" s="5" t="str">
        <f t="shared" si="2"/>
        <v>International Student Recruiter</v>
      </c>
      <c r="M607" s="5" t="str">
        <f t="shared" si="3"/>
        <v/>
      </c>
      <c r="N607" s="5" t="str">
        <f t="shared" si="4"/>
        <v>Estudia en Canada OSE</v>
      </c>
      <c r="O607" s="5" t="str">
        <f t="shared" si="5"/>
        <v>3 years 9 months in role and company</v>
      </c>
      <c r="P607" s="5" t="str">
        <f t="shared" si="6"/>
        <v>Kitchener</v>
      </c>
      <c r="Q607" s="5" t="str">
        <f t="shared" si="7"/>
        <v>Ontario</v>
      </c>
      <c r="R607" s="5" t="str">
        <f t="shared" si="8"/>
        <v>Canada</v>
      </c>
    </row>
    <row r="608">
      <c r="A608" s="8" t="s">
        <v>6166</v>
      </c>
      <c r="B608" s="10" t="s">
        <v>6167</v>
      </c>
      <c r="C608" s="10" t="s">
        <v>6168</v>
      </c>
      <c r="D608" s="10"/>
      <c r="E608" s="10" t="s">
        <v>4895</v>
      </c>
      <c r="F608" s="10" t="s">
        <v>79</v>
      </c>
      <c r="G608" s="11" t="s">
        <v>6165</v>
      </c>
      <c r="H608" s="11" t="s">
        <v>4606</v>
      </c>
      <c r="I608" s="11" t="s">
        <v>4607</v>
      </c>
      <c r="J608" s="9" t="str">
        <f>IFERROR(__xludf.DUMMYFUNCTION("""COMPUTED_VALUE"""),"https://www.google.com/search?newwindow=1&amp;ei=2MT0XrvGGM-vytMP1OyDgAY&amp;q=site%3Alinkedin.com+Kerri+Kudsia+College+Recruiter")</f>
        <v>https://www.google.com/search?newwindow=1&amp;ei=2MT0XrvGGM-vytMP1OyDgAY&amp;q=site%3Alinkedin.com+Kerri+Kudsia+College+Recruiter</v>
      </c>
      <c r="K608" s="5" t="str">
        <f t="shared" si="1"/>
        <v>Kerri Kudsia</v>
      </c>
      <c r="L608" s="5" t="str">
        <f t="shared" si="2"/>
        <v>College Recruiter</v>
      </c>
      <c r="M608" s="5" t="str">
        <f t="shared" si="3"/>
        <v/>
      </c>
      <c r="N608" s="5" t="str">
        <f t="shared" si="4"/>
        <v>Google</v>
      </c>
      <c r="O608" s="5" t="str">
        <f t="shared" si="5"/>
        <v>7 years 9 months in role and company</v>
      </c>
      <c r="P608" s="5" t="str">
        <f t="shared" si="6"/>
        <v>Kitchener</v>
      </c>
      <c r="Q608" s="5" t="str">
        <f t="shared" si="7"/>
        <v>Ontario</v>
      </c>
      <c r="R608" s="5" t="str">
        <f t="shared" si="8"/>
        <v>Canada</v>
      </c>
    </row>
    <row r="609">
      <c r="A609" s="8" t="s">
        <v>6169</v>
      </c>
      <c r="B609" s="10" t="s">
        <v>6170</v>
      </c>
      <c r="C609" s="10" t="s">
        <v>6171</v>
      </c>
      <c r="D609" s="10"/>
      <c r="E609" s="10" t="s">
        <v>2297</v>
      </c>
      <c r="F609" s="10" t="s">
        <v>694</v>
      </c>
      <c r="G609" s="11" t="s">
        <v>6165</v>
      </c>
      <c r="H609" s="11" t="s">
        <v>4606</v>
      </c>
      <c r="I609" s="11" t="s">
        <v>4607</v>
      </c>
      <c r="J609" s="9" t="str">
        <f>IFERROR(__xludf.DUMMYFUNCTION("""COMPUTED_VALUE"""),"https://www.google.com/search?newwindow=1&amp;ei=2MT0XrvGGM-vytMP1OyDgAY&amp;q=site%3Alinkedin.com+Janina+Robinson+Degree+Programs+Consultant")</f>
        <v>https://www.google.com/search?newwindow=1&amp;ei=2MT0XrvGGM-vytMP1OyDgAY&amp;q=site%3Alinkedin.com+Janina+Robinson+Degree+Programs+Consultant</v>
      </c>
      <c r="K609" s="5" t="str">
        <f t="shared" si="1"/>
        <v>Janina Robinson</v>
      </c>
      <c r="L609" s="5" t="str">
        <f t="shared" si="2"/>
        <v>Degree Programs Consultant</v>
      </c>
      <c r="M609" s="5" t="str">
        <f t="shared" si="3"/>
        <v/>
      </c>
      <c r="N609" s="5" t="str">
        <f t="shared" si="4"/>
        <v>Conestoga College</v>
      </c>
      <c r="O609" s="5" t="str">
        <f t="shared" si="5"/>
        <v>1 year 2 months in role and company</v>
      </c>
      <c r="P609" s="5" t="str">
        <f t="shared" si="6"/>
        <v>Kitchener</v>
      </c>
      <c r="Q609" s="5" t="str">
        <f t="shared" si="7"/>
        <v>Ontario</v>
      </c>
      <c r="R609" s="5" t="str">
        <f t="shared" si="8"/>
        <v>Canada</v>
      </c>
    </row>
    <row r="610">
      <c r="A610" s="8" t="s">
        <v>6172</v>
      </c>
      <c r="B610" s="10" t="s">
        <v>6173</v>
      </c>
      <c r="C610" s="10" t="s">
        <v>6174</v>
      </c>
      <c r="D610" s="10"/>
      <c r="E610" s="10" t="s">
        <v>3389</v>
      </c>
      <c r="F610" s="10" t="s">
        <v>207</v>
      </c>
      <c r="G610" s="11" t="s">
        <v>6165</v>
      </c>
      <c r="H610" s="11" t="s">
        <v>4606</v>
      </c>
      <c r="I610" s="11" t="s">
        <v>4607</v>
      </c>
      <c r="J610" s="9" t="str">
        <f>IFERROR(__xludf.DUMMYFUNCTION("""COMPUTED_VALUE"""),"https://www.google.com/search?newwindow=1&amp;ei=2MT0XrvGGM-vytMP1OyDgAY&amp;q=site%3Alinkedin.com+Eden+Hennessey+Manager,+Student+Centre+for+Equity,+Diversity+and+Inclusion")</f>
        <v>https://www.google.com/search?newwindow=1&amp;ei=2MT0XrvGGM-vytMP1OyDgAY&amp;q=site%3Alinkedin.com+Eden+Hennessey+Manager,+Student+Centre+for+Equity,+Diversity+and+Inclusion</v>
      </c>
      <c r="K610" s="5" t="str">
        <f t="shared" si="1"/>
        <v>Eden Hennessey</v>
      </c>
      <c r="L610" s="5" t="str">
        <f t="shared" si="2"/>
        <v>Manager, Student Centre for Equity, Diversity and Inclusion</v>
      </c>
      <c r="M610" s="5" t="str">
        <f t="shared" si="3"/>
        <v/>
      </c>
      <c r="N610" s="5" t="str">
        <f t="shared" si="4"/>
        <v>Wilfrid Laurier University</v>
      </c>
      <c r="O610" s="5" t="str">
        <f t="shared" si="5"/>
        <v>1 year 2 months in role and company</v>
      </c>
      <c r="P610" s="5" t="str">
        <f t="shared" si="6"/>
        <v>Kitchener</v>
      </c>
      <c r="Q610" s="5" t="str">
        <f t="shared" si="7"/>
        <v>Ontario</v>
      </c>
      <c r="R610" s="5" t="str">
        <f t="shared" si="8"/>
        <v>Canada</v>
      </c>
    </row>
    <row r="611">
      <c r="A611" s="8" t="s">
        <v>6175</v>
      </c>
      <c r="B611" s="10" t="s">
        <v>6176</v>
      </c>
      <c r="C611" s="10" t="s">
        <v>5054</v>
      </c>
      <c r="D611" s="10"/>
      <c r="E611" s="10" t="s">
        <v>4632</v>
      </c>
      <c r="F611" s="10" t="s">
        <v>136</v>
      </c>
      <c r="G611" s="11" t="s">
        <v>6165</v>
      </c>
      <c r="H611" s="11" t="s">
        <v>4606</v>
      </c>
      <c r="I611" s="11" t="s">
        <v>4607</v>
      </c>
      <c r="J611" s="9" t="str">
        <f>IFERROR(__xludf.DUMMYFUNCTION("""COMPUTED_VALUE"""),"https://www.google.com/search?newwindow=1&amp;ei=2MT0XrvGGM-vytMP1OyDgAY&amp;q=site%3Alinkedin.com+Mira+H.+Confernce+Programs+Summer+Student")</f>
        <v>https://www.google.com/search?newwindow=1&amp;ei=2MT0XrvGGM-vytMP1OyDgAY&amp;q=site%3Alinkedin.com+Mira+H.+Confernce+Programs+Summer+Student</v>
      </c>
      <c r="K611" s="5" t="str">
        <f t="shared" si="1"/>
        <v>Mira H.</v>
      </c>
      <c r="L611" s="5" t="str">
        <f t="shared" si="2"/>
        <v>Confernce Programs Summer Student</v>
      </c>
      <c r="M611" s="5" t="str">
        <f t="shared" si="3"/>
        <v/>
      </c>
      <c r="N611" s="5" t="str">
        <f t="shared" si="4"/>
        <v>Perimeter Institute</v>
      </c>
      <c r="O611" s="5" t="str">
        <f t="shared" si="5"/>
        <v>2 years 7 months in role and company</v>
      </c>
      <c r="P611" s="5" t="str">
        <f t="shared" si="6"/>
        <v>Kitchener</v>
      </c>
      <c r="Q611" s="5" t="str">
        <f t="shared" si="7"/>
        <v>Ontario</v>
      </c>
      <c r="R611" s="5" t="str">
        <f t="shared" si="8"/>
        <v>Canada</v>
      </c>
    </row>
    <row r="612">
      <c r="A612" s="8" t="s">
        <v>6177</v>
      </c>
      <c r="B612" s="12" t="s">
        <v>6178</v>
      </c>
      <c r="C612" s="10" t="s">
        <v>6179</v>
      </c>
      <c r="D612" s="10"/>
      <c r="E612" s="10" t="s">
        <v>6180</v>
      </c>
      <c r="F612" s="10" t="s">
        <v>909</v>
      </c>
      <c r="G612" s="11" t="s">
        <v>6165</v>
      </c>
      <c r="H612" s="11" t="s">
        <v>4606</v>
      </c>
      <c r="I612" s="11" t="s">
        <v>4607</v>
      </c>
      <c r="J612" s="9" t="str">
        <f>IFERROR(__xludf.DUMMYFUNCTION("""COMPUTED_VALUE"""),"https://www.google.com/search?newwindow=1&amp;ei=2MT0XrvGGM-vytMP1OyDgAY&amp;q=site%3Alinkedin.com+Spring+Wei-Hsuan+Su+Adult+programs+instructor")</f>
        <v>https://www.google.com/search?newwindow=1&amp;ei=2MT0XrvGGM-vytMP1OyDgAY&amp;q=site%3Alinkedin.com+Spring+Wei-Hsuan+Su+Adult+programs+instructor</v>
      </c>
      <c r="K612" s="5" t="str">
        <f t="shared" si="1"/>
        <v>Spring Wei-Hsuan Su</v>
      </c>
      <c r="L612" s="5" t="str">
        <f t="shared" si="2"/>
        <v>Adult programs instructor</v>
      </c>
      <c r="M612" s="5" t="str">
        <f t="shared" si="3"/>
        <v/>
      </c>
      <c r="N612" s="5" t="str">
        <f t="shared" si="4"/>
        <v>A.R. Kaufman Family YMCA</v>
      </c>
      <c r="O612" s="5" t="str">
        <f t="shared" si="5"/>
        <v>2 years  in role and company</v>
      </c>
      <c r="P612" s="5" t="str">
        <f t="shared" si="6"/>
        <v>Kitchener</v>
      </c>
      <c r="Q612" s="5" t="str">
        <f t="shared" si="7"/>
        <v>Ontario</v>
      </c>
      <c r="R612" s="5" t="str">
        <f t="shared" si="8"/>
        <v>Canada</v>
      </c>
    </row>
    <row r="613">
      <c r="A613" s="8" t="s">
        <v>6181</v>
      </c>
      <c r="B613" s="10" t="s">
        <v>6182</v>
      </c>
      <c r="C613" s="10" t="s">
        <v>6183</v>
      </c>
      <c r="D613" s="10"/>
      <c r="E613" s="10" t="s">
        <v>4632</v>
      </c>
      <c r="F613" s="10" t="s">
        <v>712</v>
      </c>
      <c r="G613" s="11" t="s">
        <v>6165</v>
      </c>
      <c r="H613" s="11" t="s">
        <v>4606</v>
      </c>
      <c r="I613" s="11" t="s">
        <v>4607</v>
      </c>
      <c r="J613" s="9" t="str">
        <f>IFERROR(__xludf.DUMMYFUNCTION("""COMPUTED_VALUE"""),"https://www.google.com/search?newwindow=1&amp;ei=2MT0XrvGGM-vytMP1OyDgAY&amp;q=site%3Alinkedin.com+Dolorez+Dumas-Aris+Campus+Recruiting+Manager")</f>
        <v>https://www.google.com/search?newwindow=1&amp;ei=2MT0XrvGGM-vytMP1OyDgAY&amp;q=site%3Alinkedin.com+Dolorez+Dumas-Aris+Campus+Recruiting+Manager</v>
      </c>
      <c r="K613" s="5" t="str">
        <f t="shared" si="1"/>
        <v>Dolorez Dumas-Aris</v>
      </c>
      <c r="L613" s="5" t="str">
        <f t="shared" si="2"/>
        <v>Campus Recruiting Manager</v>
      </c>
      <c r="M613" s="5" t="str">
        <f t="shared" si="3"/>
        <v/>
      </c>
      <c r="N613" s="5" t="str">
        <f t="shared" si="4"/>
        <v>Deloitte</v>
      </c>
      <c r="O613" s="5" t="str">
        <f t="shared" si="5"/>
        <v/>
      </c>
      <c r="P613" s="5" t="str">
        <f t="shared" si="6"/>
        <v>Lafayette</v>
      </c>
      <c r="Q613" s="5" t="str">
        <f t="shared" si="7"/>
        <v>California</v>
      </c>
      <c r="R613" s="5" t="str">
        <f t="shared" si="8"/>
        <v>United States</v>
      </c>
    </row>
    <row r="614">
      <c r="A614" s="8" t="s">
        <v>6184</v>
      </c>
      <c r="B614" s="12" t="s">
        <v>6185</v>
      </c>
      <c r="C614" s="10" t="s">
        <v>6186</v>
      </c>
      <c r="D614" s="10"/>
      <c r="E614" s="10" t="s">
        <v>4632</v>
      </c>
      <c r="F614" s="10" t="s">
        <v>26</v>
      </c>
      <c r="G614" s="11" t="s">
        <v>6165</v>
      </c>
      <c r="H614" s="11" t="s">
        <v>4606</v>
      </c>
      <c r="I614" s="11" t="s">
        <v>4607</v>
      </c>
      <c r="J614" s="9" t="str">
        <f>IFERROR(__xludf.DUMMYFUNCTION("""COMPUTED_VALUE"""),"https://www.google.com/search?newwindow=1&amp;ei=2MT0XrvGGM-vytMP1OyDgAY&amp;q=site%3Alinkedin.com+Hannah+Monaghan+Recruitment+and+Conversion+Officer,+Lancaster+University+Management+School")</f>
        <v>https://www.google.com/search?newwindow=1&amp;ei=2MT0XrvGGM-vytMP1OyDgAY&amp;q=site%3Alinkedin.com+Hannah+Monaghan+Recruitment+and+Conversion+Officer,+Lancaster+University+Management+School</v>
      </c>
      <c r="K614" s="5" t="str">
        <f t="shared" si="1"/>
        <v>Hannah Monaghan</v>
      </c>
      <c r="L614" s="5" t="str">
        <f t="shared" si="2"/>
        <v>Recruitment and Conversion Officer, Lancaster University Management School</v>
      </c>
      <c r="M614" s="5" t="str">
        <f t="shared" si="3"/>
        <v/>
      </c>
      <c r="N614" s="5" t="str">
        <f t="shared" si="4"/>
        <v>Lancaster University Management School</v>
      </c>
      <c r="O614" s="5" t="str">
        <f t="shared" si="5"/>
        <v>8 months in role and company</v>
      </c>
      <c r="P614" s="5" t="str">
        <f t="shared" si="6"/>
        <v>Lancaster</v>
      </c>
      <c r="Q614" s="5" t="str">
        <f t="shared" si="7"/>
        <v>England</v>
      </c>
      <c r="R614" s="5" t="str">
        <f t="shared" si="8"/>
        <v>United Kingdom</v>
      </c>
    </row>
    <row r="615">
      <c r="A615" s="8" t="s">
        <v>6187</v>
      </c>
      <c r="B615" s="12" t="s">
        <v>6188</v>
      </c>
      <c r="C615" s="10" t="s">
        <v>6189</v>
      </c>
      <c r="D615" s="10"/>
      <c r="E615" s="10" t="s">
        <v>3389</v>
      </c>
      <c r="F615" s="10" t="s">
        <v>774</v>
      </c>
      <c r="G615" s="11" t="s">
        <v>6165</v>
      </c>
      <c r="H615" s="11" t="s">
        <v>4606</v>
      </c>
      <c r="I615" s="11" t="s">
        <v>4607</v>
      </c>
      <c r="J615" s="9" t="str">
        <f>IFERROR(__xludf.DUMMYFUNCTION("""COMPUTED_VALUE"""),"https://www.google.com/search?newwindow=1&amp;ei=2MT0XrvGGM-vytMP1OyDgAY&amp;q=site%3Alinkedin.com+Yu+Wang+International+Student+Programs+Associate")</f>
        <v>https://www.google.com/search?newwindow=1&amp;ei=2MT0XrvGGM-vytMP1OyDgAY&amp;q=site%3Alinkedin.com+Yu+Wang+International+Student+Programs+Associate</v>
      </c>
      <c r="K615" s="5" t="str">
        <f t="shared" si="1"/>
        <v>Yu Wang</v>
      </c>
      <c r="L615" s="5" t="str">
        <f t="shared" si="2"/>
        <v>International Student Programs Associate</v>
      </c>
      <c r="M615" s="5" t="str">
        <f t="shared" si="3"/>
        <v/>
      </c>
      <c r="N615" s="5" t="str">
        <f t="shared" si="4"/>
        <v>Trinity Western University</v>
      </c>
      <c r="O615" s="5" t="str">
        <f t="shared" si="5"/>
        <v>9 years 1 month in role and company</v>
      </c>
      <c r="P615" s="5" t="str">
        <f t="shared" si="6"/>
        <v>Langley</v>
      </c>
      <c r="Q615" s="5" t="str">
        <f t="shared" si="7"/>
        <v>British Columbia</v>
      </c>
      <c r="R615" s="5" t="str">
        <f t="shared" si="8"/>
        <v>Canada</v>
      </c>
    </row>
    <row r="616">
      <c r="A616" s="8" t="s">
        <v>6190</v>
      </c>
      <c r="B616" s="12" t="s">
        <v>6191</v>
      </c>
      <c r="C616" s="10" t="s">
        <v>5054</v>
      </c>
      <c r="D616" s="10"/>
      <c r="E616" s="10" t="s">
        <v>4632</v>
      </c>
      <c r="F616" s="10" t="s">
        <v>446</v>
      </c>
      <c r="G616" s="11" t="s">
        <v>6165</v>
      </c>
      <c r="H616" s="11" t="s">
        <v>4606</v>
      </c>
      <c r="I616" s="11" t="s">
        <v>4607</v>
      </c>
      <c r="J616" s="9" t="str">
        <f>IFERROR(__xludf.DUMMYFUNCTION("""COMPUTED_VALUE"""),"https://www.google.com/search?newwindow=1&amp;ei=2MT0XrvGGM-vytMP1OyDgAY&amp;q=site%3Alinkedin.com+Jennifer+Kaniewski+HR+&amp;+Campus+Recruiting+Manager")</f>
        <v>https://www.google.com/search?newwindow=1&amp;ei=2MT0XrvGGM-vytMP1OyDgAY&amp;q=site%3Alinkedin.com+Jennifer+Kaniewski+HR+&amp;+Campus+Recruiting+Manager</v>
      </c>
      <c r="K616" s="5" t="str">
        <f t="shared" si="1"/>
        <v>Jennifer Kaniewski</v>
      </c>
      <c r="L616" s="5" t="str">
        <f t="shared" si="2"/>
        <v>HR &amp; Campus Recruiting Manager</v>
      </c>
      <c r="M616" s="5" t="str">
        <f t="shared" si="3"/>
        <v/>
      </c>
      <c r="N616" s="5" t="str">
        <f t="shared" si="4"/>
        <v>PricewaterhouseCoopers</v>
      </c>
      <c r="O616" s="5" t="str">
        <f t="shared" si="5"/>
        <v/>
      </c>
      <c r="P616" s="5" t="str">
        <f t="shared" si="6"/>
        <v>Las Vegas</v>
      </c>
      <c r="Q616" s="5" t="str">
        <f t="shared" si="7"/>
        <v>Nevada</v>
      </c>
      <c r="R616" s="5" t="str">
        <f t="shared" si="8"/>
        <v>United States</v>
      </c>
    </row>
    <row r="617">
      <c r="A617" s="8" t="s">
        <v>6192</v>
      </c>
      <c r="B617" s="10" t="s">
        <v>6193</v>
      </c>
      <c r="C617" s="10" t="s">
        <v>6194</v>
      </c>
      <c r="D617" s="10"/>
      <c r="E617" s="10" t="s">
        <v>6195</v>
      </c>
      <c r="F617" s="10" t="s">
        <v>697</v>
      </c>
      <c r="G617" s="11" t="s">
        <v>6165</v>
      </c>
      <c r="H617" s="11" t="s">
        <v>4606</v>
      </c>
      <c r="I617" s="11" t="s">
        <v>4607</v>
      </c>
      <c r="J617" s="9" t="str">
        <f>IFERROR(__xludf.DUMMYFUNCTION("""COMPUTED_VALUE"""),"https://www.google.com/search?newwindow=1&amp;ei=2MT0XrvGGM-vytMP1OyDgAY&amp;q=site%3Alinkedin.com+Melissa+Ventura+Vice+President+Human+Resources+-+Technology+Campus+Recruiting")</f>
        <v>https://www.google.com/search?newwindow=1&amp;ei=2MT0XrvGGM-vytMP1OyDgAY&amp;q=site%3Alinkedin.com+Melissa+Ventura+Vice+President+Human+Resources+-+Technology+Campus+Recruiting</v>
      </c>
      <c r="K617" s="5" t="str">
        <f t="shared" si="1"/>
        <v>Melissa Ventura</v>
      </c>
      <c r="L617" s="5" t="str">
        <f t="shared" si="2"/>
        <v>Vice President Human Resources - Technology Campus Recruiting</v>
      </c>
      <c r="M617" s="5" t="str">
        <f t="shared" si="3"/>
        <v/>
      </c>
      <c r="N617" s="5" t="str">
        <f t="shared" si="4"/>
        <v>Morgan Stanley</v>
      </c>
      <c r="O617" s="5" t="str">
        <f t="shared" si="5"/>
        <v>1 year 10 months in role</v>
      </c>
      <c r="P617" s="5" t="str">
        <f t="shared" si="6"/>
        <v>Laval</v>
      </c>
      <c r="Q617" s="5" t="str">
        <f t="shared" si="7"/>
        <v>Quebec</v>
      </c>
      <c r="R617" s="5" t="str">
        <f t="shared" si="8"/>
        <v>Canada</v>
      </c>
    </row>
    <row r="618">
      <c r="A618" s="8" t="s">
        <v>6196</v>
      </c>
      <c r="B618" s="12" t="s">
        <v>6197</v>
      </c>
      <c r="C618" s="10" t="s">
        <v>6198</v>
      </c>
      <c r="D618" s="12"/>
      <c r="E618" s="12" t="s">
        <v>6197</v>
      </c>
      <c r="F618" s="10"/>
      <c r="G618" s="11" t="s">
        <v>6165</v>
      </c>
      <c r="H618" s="11" t="s">
        <v>4606</v>
      </c>
      <c r="I618" s="11" t="s">
        <v>4607</v>
      </c>
      <c r="J618" s="9" t="str">
        <f>IFERROR(__xludf.DUMMYFUNCTION("""COMPUTED_VALUE"""),"https://www.google.com/search?newwindow=1&amp;ei=2MT0XrvGGM-vytMP1OyDgAY&amp;q=site%3Alinkedin.com+Arthur+Barron+Director+Of+Student+Services")</f>
        <v>https://www.google.com/search?newwindow=1&amp;ei=2MT0XrvGGM-vytMP1OyDgAY&amp;q=site%3Alinkedin.com+Arthur+Barron+Director+Of+Student+Services</v>
      </c>
      <c r="K618" s="5" t="str">
        <f t="shared" si="1"/>
        <v>Arthur Barron</v>
      </c>
      <c r="L618" s="5" t="str">
        <f t="shared" si="2"/>
        <v>Director Of Student Services</v>
      </c>
      <c r="M618" s="5" t="str">
        <f t="shared" si="3"/>
        <v/>
      </c>
      <c r="N618" s="5" t="str">
        <f t="shared" si="4"/>
        <v>St. Clair College</v>
      </c>
      <c r="O618" s="5" t="str">
        <f t="shared" si="5"/>
        <v>2 years 1 month in role</v>
      </c>
      <c r="P618" s="5" t="str">
        <f t="shared" si="6"/>
        <v>Leamington</v>
      </c>
      <c r="Q618" s="5" t="str">
        <f t="shared" si="7"/>
        <v>Ontario</v>
      </c>
      <c r="R618" s="5" t="str">
        <f t="shared" si="8"/>
        <v>Canada</v>
      </c>
    </row>
    <row r="619">
      <c r="A619" s="8" t="s">
        <v>6199</v>
      </c>
      <c r="B619" s="10" t="s">
        <v>6200</v>
      </c>
      <c r="C619" s="10" t="s">
        <v>6201</v>
      </c>
      <c r="D619" s="10"/>
      <c r="E619" s="10" t="s">
        <v>1233</v>
      </c>
      <c r="F619" s="10" t="s">
        <v>1357</v>
      </c>
      <c r="G619" s="11" t="s">
        <v>253</v>
      </c>
      <c r="H619" s="11" t="s">
        <v>44</v>
      </c>
      <c r="I619" s="11" t="s">
        <v>18</v>
      </c>
      <c r="J619" s="9" t="str">
        <f>IFERROR(__xludf.DUMMYFUNCTION("""COMPUTED_VALUE"""),"https://www.google.com/search?newwindow=1&amp;ei=2MT0XrvGGM-vytMP1OyDgAY&amp;q=site%3Alinkedin.com+Lindsey+Price+Campus+Recruiting+Specialist")</f>
        <v>https://www.google.com/search?newwindow=1&amp;ei=2MT0XrvGGM-vytMP1OyDgAY&amp;q=site%3Alinkedin.com+Lindsey+Price+Campus+Recruiting+Specialist</v>
      </c>
      <c r="K619" s="5" t="str">
        <f t="shared" si="1"/>
        <v>Lindsey Price</v>
      </c>
      <c r="L619" s="5" t="str">
        <f t="shared" si="2"/>
        <v>Campus Recruiting Specialist</v>
      </c>
      <c r="M619" s="5" t="str">
        <f t="shared" si="3"/>
        <v/>
      </c>
      <c r="N619" s="5" t="str">
        <f t="shared" si="4"/>
        <v>Deloitte</v>
      </c>
      <c r="O619" s="5" t="str">
        <f t="shared" si="5"/>
        <v>4 years 1 month in role and company</v>
      </c>
      <c r="P619" s="5" t="str">
        <f t="shared" si="6"/>
        <v>Leawood</v>
      </c>
      <c r="Q619" s="5" t="str">
        <f t="shared" si="7"/>
        <v>Kansas</v>
      </c>
      <c r="R619" s="5" t="str">
        <f t="shared" si="8"/>
        <v>United States</v>
      </c>
    </row>
    <row r="620">
      <c r="A620" s="8" t="s">
        <v>6202</v>
      </c>
      <c r="B620" s="12" t="s">
        <v>6203</v>
      </c>
      <c r="C620" s="10" t="s">
        <v>6204</v>
      </c>
      <c r="D620" s="10"/>
      <c r="E620" s="10" t="s">
        <v>4969</v>
      </c>
      <c r="F620" s="10" t="s">
        <v>257</v>
      </c>
      <c r="G620" s="11" t="s">
        <v>6205</v>
      </c>
      <c r="H620" s="11" t="s">
        <v>4971</v>
      </c>
      <c r="I620" s="11" t="s">
        <v>4619</v>
      </c>
      <c r="J620" s="9" t="str">
        <f>IFERROR(__xludf.DUMMYFUNCTION("""COMPUTED_VALUE"""),"https://www.google.com/search?newwindow=1&amp;ei=2MT0XrvGGM-vytMP1OyDgAY&amp;q=site%3Alinkedin.com+Oliver+Churchill+University+Recruitment+Specialist")</f>
        <v>https://www.google.com/search?newwindow=1&amp;ei=2MT0XrvGGM-vytMP1OyDgAY&amp;q=site%3Alinkedin.com+Oliver+Churchill+University+Recruitment+Specialist</v>
      </c>
      <c r="K620" s="5" t="str">
        <f t="shared" si="1"/>
        <v>Oliver Churchill</v>
      </c>
      <c r="L620" s="5" t="str">
        <f t="shared" si="2"/>
        <v>University Recruitment Specialist</v>
      </c>
      <c r="M620" s="5" t="str">
        <f t="shared" si="3"/>
        <v/>
      </c>
      <c r="N620" s="5" t="str">
        <f t="shared" si="4"/>
        <v>Covance</v>
      </c>
      <c r="O620" s="5" t="str">
        <f t="shared" si="5"/>
        <v>1 year 1 month in role and company</v>
      </c>
      <c r="P620" s="5" t="str">
        <f t="shared" si="6"/>
        <v>Leeds</v>
      </c>
      <c r="Q620" s="5" t="str">
        <f t="shared" si="7"/>
        <v>England</v>
      </c>
      <c r="R620" s="5" t="str">
        <f t="shared" si="8"/>
        <v>United Kingdom</v>
      </c>
    </row>
    <row r="621">
      <c r="A621" s="8" t="s">
        <v>6206</v>
      </c>
      <c r="B621" s="10" t="s">
        <v>6207</v>
      </c>
      <c r="C621" s="10" t="s">
        <v>110</v>
      </c>
      <c r="D621" s="12"/>
      <c r="E621" s="12" t="s">
        <v>6208</v>
      </c>
      <c r="F621" s="10"/>
      <c r="G621" s="11" t="s">
        <v>6209</v>
      </c>
      <c r="H621" s="11" t="s">
        <v>4638</v>
      </c>
      <c r="I621" s="11" t="s">
        <v>4600</v>
      </c>
      <c r="J621" s="9" t="str">
        <f>IFERROR(__xludf.DUMMYFUNCTION("""COMPUTED_VALUE"""),"https://www.google.com/search?newwindow=1&amp;ei=2MT0XrvGGM-vytMP1OyDgAY&amp;q=site%3Alinkedin.com+Molly+French+Senior+Graduate+Recruiter")</f>
        <v>https://www.google.com/search?newwindow=1&amp;ei=2MT0XrvGGM-vytMP1OyDgAY&amp;q=site%3Alinkedin.com+Molly+French+Senior+Graduate+Recruiter</v>
      </c>
      <c r="K621" s="5" t="str">
        <f t="shared" si="1"/>
        <v>Molly French</v>
      </c>
      <c r="L621" s="5" t="str">
        <f t="shared" si="2"/>
        <v>Senior Graduate Recruiter</v>
      </c>
      <c r="M621" s="5" t="str">
        <f t="shared" si="3"/>
        <v/>
      </c>
      <c r="N621" s="5" t="str">
        <f t="shared" si="4"/>
        <v>FDM Group</v>
      </c>
      <c r="O621" s="5" t="str">
        <f t="shared" si="5"/>
        <v>2 years 5 months in role</v>
      </c>
      <c r="P621" s="5" t="str">
        <f t="shared" si="6"/>
        <v>Leeds</v>
      </c>
      <c r="Q621" s="5" t="str">
        <f t="shared" si="7"/>
        <v>England</v>
      </c>
      <c r="R621" s="5" t="str">
        <f t="shared" si="8"/>
        <v>United Kingdom</v>
      </c>
    </row>
    <row r="622">
      <c r="A622" s="8" t="s">
        <v>6206</v>
      </c>
      <c r="B622" s="10" t="s">
        <v>6207</v>
      </c>
      <c r="C622" s="10" t="s">
        <v>110</v>
      </c>
      <c r="D622" s="12"/>
      <c r="E622" s="12" t="s">
        <v>6208</v>
      </c>
      <c r="F622" s="10"/>
      <c r="G622" s="11" t="s">
        <v>6209</v>
      </c>
      <c r="H622" s="11" t="s">
        <v>4638</v>
      </c>
      <c r="I622" s="11" t="s">
        <v>4600</v>
      </c>
      <c r="J622" s="9" t="str">
        <f>IFERROR(__xludf.DUMMYFUNCTION("""COMPUTED_VALUE"""),"https://www.google.com/search?newwindow=1&amp;ei=2MT0XrvGGM-vytMP1OyDgAY&amp;q=site%3Alinkedin.com+Sheldan+Bristol-Walton+University+Partnership+&amp;+Recruitment")</f>
        <v>https://www.google.com/search?newwindow=1&amp;ei=2MT0XrvGGM-vytMP1OyDgAY&amp;q=site%3Alinkedin.com+Sheldan+Bristol-Walton+University+Partnership+&amp;+Recruitment</v>
      </c>
      <c r="K622" s="5" t="str">
        <f t="shared" si="1"/>
        <v>Sheldan Bristol-Walton</v>
      </c>
      <c r="L622" s="5" t="str">
        <f t="shared" si="2"/>
        <v>University Partnership &amp; Recruitment</v>
      </c>
      <c r="M622" s="5" t="str">
        <f t="shared" si="3"/>
        <v/>
      </c>
      <c r="N622" s="5" t="str">
        <f t="shared" si="4"/>
        <v>FDM Group</v>
      </c>
      <c r="O622" s="5" t="str">
        <f t="shared" si="5"/>
        <v>1 year 1 month in role and company</v>
      </c>
      <c r="P622" s="5" t="str">
        <f t="shared" si="6"/>
        <v>Leeds</v>
      </c>
      <c r="Q622" s="5" t="str">
        <f t="shared" si="7"/>
        <v>England</v>
      </c>
      <c r="R622" s="5" t="str">
        <f t="shared" si="8"/>
        <v>United Kingdom</v>
      </c>
    </row>
    <row r="623">
      <c r="A623" s="8" t="s">
        <v>6210</v>
      </c>
      <c r="B623" s="10" t="s">
        <v>6211</v>
      </c>
      <c r="C623" s="10" t="s">
        <v>6212</v>
      </c>
      <c r="D623" s="10"/>
      <c r="E623" s="10" t="s">
        <v>4701</v>
      </c>
      <c r="F623" s="10" t="s">
        <v>526</v>
      </c>
      <c r="G623" s="11" t="s">
        <v>658</v>
      </c>
      <c r="H623" s="11" t="s">
        <v>91</v>
      </c>
      <c r="I623" s="11" t="s">
        <v>18</v>
      </c>
      <c r="J623" s="9" t="str">
        <f>IFERROR(__xludf.DUMMYFUNCTION("""COMPUTED_VALUE"""),"https://www.google.com/search?newwindow=1&amp;ei=2MT0XrvGGM-vytMP1OyDgAY&amp;q=site%3Alinkedin.com+Isel+Abdellatif+University+Partnership+and+Recruitment+Consultant")</f>
        <v>https://www.google.com/search?newwindow=1&amp;ei=2MT0XrvGGM-vytMP1OyDgAY&amp;q=site%3Alinkedin.com+Isel+Abdellatif+University+Partnership+and+Recruitment+Consultant</v>
      </c>
      <c r="K623" s="5" t="str">
        <f t="shared" si="1"/>
        <v>Isel Abdellatif</v>
      </c>
      <c r="L623" s="5" t="str">
        <f t="shared" si="2"/>
        <v>University Partnership and Recruitment Consultant</v>
      </c>
      <c r="M623" s="5" t="str">
        <f t="shared" si="3"/>
        <v/>
      </c>
      <c r="N623" s="5" t="str">
        <f t="shared" si="4"/>
        <v>FDM Group</v>
      </c>
      <c r="O623" s="5" t="str">
        <f t="shared" si="5"/>
        <v>1 year 2 months in role and company</v>
      </c>
      <c r="P623" s="5" t="str">
        <f t="shared" si="6"/>
        <v>Leeds</v>
      </c>
      <c r="Q623" s="5" t="str">
        <f t="shared" si="7"/>
        <v>England</v>
      </c>
      <c r="R623" s="5" t="str">
        <f t="shared" si="8"/>
        <v>United Kingdom</v>
      </c>
    </row>
    <row r="624">
      <c r="A624" s="8" t="s">
        <v>6213</v>
      </c>
      <c r="B624" s="10" t="s">
        <v>104</v>
      </c>
      <c r="C624" s="10" t="s">
        <v>105</v>
      </c>
      <c r="D624" s="10"/>
      <c r="E624" s="10" t="s">
        <v>14</v>
      </c>
      <c r="F624" s="10" t="s">
        <v>106</v>
      </c>
      <c r="G624" s="11" t="s">
        <v>107</v>
      </c>
      <c r="H624" s="11" t="s">
        <v>102</v>
      </c>
      <c r="I624" s="11" t="s">
        <v>18</v>
      </c>
      <c r="J624" s="9" t="str">
        <f>IFERROR(__xludf.DUMMYFUNCTION("""COMPUTED_VALUE"""),"https://www.google.com/search?newwindow=1&amp;ei=2MT0XrvGGM-vytMP1OyDgAY&amp;q=site%3Alinkedin.com+Churong+Huang+Campus+Recruiting+Manager")</f>
        <v>https://www.google.com/search?newwindow=1&amp;ei=2MT0XrvGGM-vytMP1OyDgAY&amp;q=site%3Alinkedin.com+Churong+Huang+Campus+Recruiting+Manager</v>
      </c>
      <c r="K624" s="5" t="str">
        <f t="shared" si="1"/>
        <v>Churong Huang</v>
      </c>
      <c r="L624" s="5" t="str">
        <f t="shared" si="2"/>
        <v>Campus Recruiting Manager</v>
      </c>
      <c r="M624" s="5" t="str">
        <f t="shared" si="3"/>
        <v/>
      </c>
      <c r="N624" s="5" t="str">
        <f t="shared" si="4"/>
        <v>OPPO</v>
      </c>
      <c r="O624" s="5" t="str">
        <f t="shared" si="5"/>
        <v>1 year 5 months in role and company</v>
      </c>
      <c r="P624" s="5" t="str">
        <f t="shared" si="6"/>
        <v>Leeds</v>
      </c>
      <c r="Q624" s="5" t="str">
        <f t="shared" si="7"/>
        <v>England</v>
      </c>
      <c r="R624" s="5" t="str">
        <f t="shared" si="8"/>
        <v>United Kingdom</v>
      </c>
    </row>
    <row r="625">
      <c r="A625" s="8" t="s">
        <v>6214</v>
      </c>
      <c r="B625" s="10" t="s">
        <v>6215</v>
      </c>
      <c r="C625" s="10" t="s">
        <v>1378</v>
      </c>
      <c r="D625" s="10"/>
      <c r="E625" s="10" t="s">
        <v>1233</v>
      </c>
      <c r="F625" s="10" t="s">
        <v>42</v>
      </c>
      <c r="G625" s="11" t="s">
        <v>6216</v>
      </c>
      <c r="H625" s="11" t="s">
        <v>756</v>
      </c>
      <c r="I625" s="11" t="s">
        <v>18</v>
      </c>
      <c r="J625" s="9" t="str">
        <f>IFERROR(__xludf.DUMMYFUNCTION("""COMPUTED_VALUE"""),"https://www.google.com/search?newwindow=1&amp;ei=2MT0XrvGGM-vytMP1OyDgAY&amp;q=site%3Alinkedin.com+Lara+Senhen+University+Partnership+Team+Lead")</f>
        <v>https://www.google.com/search?newwindow=1&amp;ei=2MT0XrvGGM-vytMP1OyDgAY&amp;q=site%3Alinkedin.com+Lara+Senhen+University+Partnership+Team+Lead</v>
      </c>
      <c r="K625" s="5" t="str">
        <f t="shared" si="1"/>
        <v>Lara Senhen</v>
      </c>
      <c r="L625" s="5" t="str">
        <f t="shared" si="2"/>
        <v>University Partnership Team Lead</v>
      </c>
      <c r="M625" s="5" t="str">
        <f t="shared" si="3"/>
        <v/>
      </c>
      <c r="N625" s="5" t="str">
        <f t="shared" si="4"/>
        <v>FDM Group</v>
      </c>
      <c r="O625" s="5" t="str">
        <f t="shared" si="5"/>
        <v>11 months in role</v>
      </c>
      <c r="P625" s="5" t="str">
        <f t="shared" si="6"/>
        <v>Leeds</v>
      </c>
      <c r="Q625" s="5" t="str">
        <f t="shared" si="7"/>
        <v>England</v>
      </c>
      <c r="R625" s="5" t="str">
        <f t="shared" si="8"/>
        <v>United Kingdom</v>
      </c>
    </row>
    <row r="626">
      <c r="A626" s="8" t="s">
        <v>6217</v>
      </c>
      <c r="B626" s="10" t="s">
        <v>6218</v>
      </c>
      <c r="C626" s="10" t="s">
        <v>6219</v>
      </c>
      <c r="D626" s="10"/>
      <c r="E626" s="10" t="s">
        <v>5127</v>
      </c>
      <c r="F626" s="10" t="s">
        <v>697</v>
      </c>
      <c r="G626" s="11" t="s">
        <v>6220</v>
      </c>
      <c r="H626" s="11" t="s">
        <v>4638</v>
      </c>
      <c r="I626" s="11" t="s">
        <v>4600</v>
      </c>
      <c r="J626" s="9" t="str">
        <f>IFERROR(__xludf.DUMMYFUNCTION("""COMPUTED_VALUE"""),"https://www.google.com/search?newwindow=1&amp;ei=2MT0XrvGGM-vytMP1OyDgAY&amp;q=site%3Alinkedin.com+Melik+Cinar+Senior+Graduate+Recruiter+and+University+Partnership+Consultant")</f>
        <v>https://www.google.com/search?newwindow=1&amp;ei=2MT0XrvGGM-vytMP1OyDgAY&amp;q=site%3Alinkedin.com+Melik+Cinar+Senior+Graduate+Recruiter+and+University+Partnership+Consultant</v>
      </c>
      <c r="K626" s="5" t="str">
        <f t="shared" si="1"/>
        <v>Melik Cinar</v>
      </c>
      <c r="L626" s="5" t="str">
        <f t="shared" si="2"/>
        <v>Senior Graduate Recruiter and University Partnership Consultant</v>
      </c>
      <c r="M626" s="5" t="str">
        <f t="shared" si="3"/>
        <v/>
      </c>
      <c r="N626" s="5" t="str">
        <f t="shared" si="4"/>
        <v>FDM Group</v>
      </c>
      <c r="O626" s="5" t="str">
        <f t="shared" si="5"/>
        <v>1 year 1 month in role</v>
      </c>
      <c r="P626" s="5" t="str">
        <f t="shared" si="6"/>
        <v>Leeds</v>
      </c>
      <c r="Q626" s="5" t="str">
        <f t="shared" si="7"/>
        <v>England</v>
      </c>
      <c r="R626" s="5" t="str">
        <f t="shared" si="8"/>
        <v>United Kingdom</v>
      </c>
    </row>
    <row r="627">
      <c r="A627" s="8" t="s">
        <v>6221</v>
      </c>
      <c r="B627" s="12" t="s">
        <v>6222</v>
      </c>
      <c r="C627" s="10" t="s">
        <v>6223</v>
      </c>
      <c r="D627" s="10"/>
      <c r="E627" s="10" t="s">
        <v>6224</v>
      </c>
      <c r="F627" s="10" t="s">
        <v>1089</v>
      </c>
      <c r="G627" s="11" t="s">
        <v>6220</v>
      </c>
      <c r="H627" s="11" t="s">
        <v>4638</v>
      </c>
      <c r="I627" s="11" t="s">
        <v>4600</v>
      </c>
      <c r="J627" s="9" t="str">
        <f>IFERROR(__xludf.DUMMYFUNCTION("""COMPUTED_VALUE"""),"https://www.google.com/search?newwindow=1&amp;ei=2MT0XrvGGM-vytMP1OyDgAY&amp;q=site%3Alinkedin.com+Jay+Cooper+Graduate+Recruiter")</f>
        <v>https://www.google.com/search?newwindow=1&amp;ei=2MT0XrvGGM-vytMP1OyDgAY&amp;q=site%3Alinkedin.com+Jay+Cooper+Graduate+Recruiter</v>
      </c>
      <c r="K627" s="5" t="str">
        <f t="shared" si="1"/>
        <v>Jay Cooper</v>
      </c>
      <c r="L627" s="5" t="str">
        <f t="shared" si="2"/>
        <v>Graduate Recruiter</v>
      </c>
      <c r="M627" s="5" t="str">
        <f t="shared" si="3"/>
        <v/>
      </c>
      <c r="N627" s="5" t="str">
        <f t="shared" si="4"/>
        <v>FDM Group</v>
      </c>
      <c r="O627" s="5" t="str">
        <f t="shared" si="5"/>
        <v>9 months in role and company</v>
      </c>
      <c r="P627" s="5" t="str">
        <f t="shared" si="6"/>
        <v>Leeds</v>
      </c>
      <c r="Q627" s="5" t="str">
        <f t="shared" si="7"/>
        <v>England</v>
      </c>
      <c r="R627" s="5" t="str">
        <f t="shared" si="8"/>
        <v>United Kingdom</v>
      </c>
    </row>
    <row r="628">
      <c r="A628" s="8" t="s">
        <v>6217</v>
      </c>
      <c r="B628" s="10" t="s">
        <v>6218</v>
      </c>
      <c r="C628" s="10" t="s">
        <v>6219</v>
      </c>
      <c r="D628" s="10"/>
      <c r="E628" s="10" t="s">
        <v>5127</v>
      </c>
      <c r="F628" s="10" t="s">
        <v>697</v>
      </c>
      <c r="G628" s="11" t="s">
        <v>6220</v>
      </c>
      <c r="H628" s="11" t="s">
        <v>4638</v>
      </c>
      <c r="I628" s="11" t="s">
        <v>4600</v>
      </c>
      <c r="J628" s="9" t="str">
        <f>IFERROR(__xludf.DUMMYFUNCTION("""COMPUTED_VALUE"""),"https://www.google.com/search?newwindow=1&amp;ei=2MT0XrvGGM-vytMP1OyDgAY&amp;q=site%3Alinkedin.com+Sophie+Parsons+Graduate+Recruiter")</f>
        <v>https://www.google.com/search?newwindow=1&amp;ei=2MT0XrvGGM-vytMP1OyDgAY&amp;q=site%3Alinkedin.com+Sophie+Parsons+Graduate+Recruiter</v>
      </c>
      <c r="K628" s="5" t="str">
        <f t="shared" si="1"/>
        <v>Sophie Parsons</v>
      </c>
      <c r="L628" s="5" t="str">
        <f t="shared" si="2"/>
        <v>Graduate Recruiter</v>
      </c>
      <c r="M628" s="5" t="str">
        <f t="shared" si="3"/>
        <v/>
      </c>
      <c r="N628" s="5" t="str">
        <f t="shared" si="4"/>
        <v>FDM Group</v>
      </c>
      <c r="O628" s="5" t="str">
        <f t="shared" si="5"/>
        <v>8 months in role and company</v>
      </c>
      <c r="P628" s="5" t="str">
        <f t="shared" si="6"/>
        <v>Leeds</v>
      </c>
      <c r="Q628" s="5" t="str">
        <f t="shared" si="7"/>
        <v>England</v>
      </c>
      <c r="R628" s="5" t="str">
        <f t="shared" si="8"/>
        <v>United Kingdom</v>
      </c>
    </row>
    <row r="629">
      <c r="A629" s="8" t="s">
        <v>6225</v>
      </c>
      <c r="B629" s="10" t="s">
        <v>6226</v>
      </c>
      <c r="C629" s="10" t="s">
        <v>5054</v>
      </c>
      <c r="D629" s="10"/>
      <c r="E629" s="10" t="s">
        <v>6227</v>
      </c>
      <c r="F629" s="10" t="s">
        <v>144</v>
      </c>
      <c r="G629" s="11" t="s">
        <v>6228</v>
      </c>
      <c r="H629" s="11" t="s">
        <v>4757</v>
      </c>
      <c r="I629" s="11" t="s">
        <v>4607</v>
      </c>
      <c r="J629" s="9" t="str">
        <f>IFERROR(__xludf.DUMMYFUNCTION("""COMPUTED_VALUE"""),"https://www.google.com/search?newwindow=1&amp;ei=2MT0XrvGGM-vytMP1OyDgAY&amp;q=site%3Alinkedin.com+Chris+Watts+Director+of+University+Recruitment")</f>
        <v>https://www.google.com/search?newwindow=1&amp;ei=2MT0XrvGGM-vytMP1OyDgAY&amp;q=site%3Alinkedin.com+Chris+Watts+Director+of+University+Recruitment</v>
      </c>
      <c r="K629" s="5" t="str">
        <f t="shared" si="1"/>
        <v>Chris Watts</v>
      </c>
      <c r="L629" s="5" t="str">
        <f t="shared" si="2"/>
        <v>Director of University Recruitment</v>
      </c>
      <c r="M629" s="5" t="str">
        <f t="shared" si="3"/>
        <v/>
      </c>
      <c r="N629" s="5" t="str">
        <f t="shared" si="4"/>
        <v>Leeds Beckett University</v>
      </c>
      <c r="O629" s="5" t="str">
        <f t="shared" si="5"/>
        <v>3 years 11 months in role and company</v>
      </c>
      <c r="P629" s="5" t="str">
        <f t="shared" si="6"/>
        <v>Leeds</v>
      </c>
      <c r="Q629" s="5" t="str">
        <f t="shared" si="7"/>
        <v>England</v>
      </c>
      <c r="R629" s="5" t="str">
        <f t="shared" si="8"/>
        <v>United Kingdom</v>
      </c>
    </row>
    <row r="630">
      <c r="A630" s="8" t="s">
        <v>6229</v>
      </c>
      <c r="B630" s="12" t="s">
        <v>6230</v>
      </c>
      <c r="C630" s="10" t="s">
        <v>6231</v>
      </c>
      <c r="D630" s="10"/>
      <c r="E630" s="10" t="s">
        <v>6232</v>
      </c>
      <c r="F630" s="10" t="s">
        <v>15</v>
      </c>
      <c r="G630" s="11" t="s">
        <v>6233</v>
      </c>
      <c r="H630" s="11" t="s">
        <v>4665</v>
      </c>
      <c r="I630" s="11" t="s">
        <v>4600</v>
      </c>
      <c r="J630" s="9" t="str">
        <f>IFERROR(__xludf.DUMMYFUNCTION("""COMPUTED_VALUE"""),"https://www.google.com/search?newwindow=1&amp;ei=2MT0XrvGGM-vytMP1OyDgAY&amp;q=site%3Alinkedin.com+Veronica+Zmudzka+University+Recruitment+Executive+Assistant")</f>
        <v>https://www.google.com/search?newwindow=1&amp;ei=2MT0XrvGGM-vytMP1OyDgAY&amp;q=site%3Alinkedin.com+Veronica+Zmudzka+University+Recruitment+Executive+Assistant</v>
      </c>
      <c r="K630" s="5" t="str">
        <f t="shared" si="1"/>
        <v>Veronica Zmudzka</v>
      </c>
      <c r="L630" s="5" t="str">
        <f t="shared" si="2"/>
        <v>University Recruitment Executive Assistant</v>
      </c>
      <c r="M630" s="5" t="str">
        <f t="shared" si="3"/>
        <v/>
      </c>
      <c r="N630" s="5" t="str">
        <f t="shared" si="4"/>
        <v>Leeds Beckett University</v>
      </c>
      <c r="O630" s="5" t="str">
        <f t="shared" si="5"/>
        <v>5 years 11 months in role and company</v>
      </c>
      <c r="P630" s="5" t="str">
        <f t="shared" si="6"/>
        <v>Leeds</v>
      </c>
      <c r="Q630" s="5" t="str">
        <f t="shared" si="7"/>
        <v>England</v>
      </c>
      <c r="R630" s="5" t="str">
        <f t="shared" si="8"/>
        <v>United Kingdom</v>
      </c>
    </row>
    <row r="631">
      <c r="A631" s="8" t="s">
        <v>6234</v>
      </c>
      <c r="B631" s="10" t="s">
        <v>6235</v>
      </c>
      <c r="C631" s="10" t="s">
        <v>6236</v>
      </c>
      <c r="D631" s="10"/>
      <c r="E631" s="10" t="s">
        <v>6237</v>
      </c>
      <c r="F631" s="10" t="s">
        <v>29</v>
      </c>
      <c r="G631" s="11" t="s">
        <v>6233</v>
      </c>
      <c r="H631" s="11" t="s">
        <v>4665</v>
      </c>
      <c r="I631" s="11" t="s">
        <v>4600</v>
      </c>
      <c r="J631" s="9" t="str">
        <f>IFERROR(__xludf.DUMMYFUNCTION("""COMPUTED_VALUE"""),"https://www.google.com/search?newwindow=1&amp;ei=2MT0XrvGGM-vytMP1OyDgAY&amp;q=site%3Alinkedin.com+Ruby+Law+University+Recruiter")</f>
        <v>https://www.google.com/search?newwindow=1&amp;ei=2MT0XrvGGM-vytMP1OyDgAY&amp;q=site%3Alinkedin.com+Ruby+Law+University+Recruiter</v>
      </c>
      <c r="K631" s="5" t="str">
        <f t="shared" si="1"/>
        <v>Ruby Law</v>
      </c>
      <c r="L631" s="5" t="str">
        <f t="shared" si="2"/>
        <v>University Recruiter</v>
      </c>
      <c r="M631" s="5" t="str">
        <f t="shared" si="3"/>
        <v/>
      </c>
      <c r="N631" s="5" t="str">
        <f t="shared" si="4"/>
        <v>Teach First</v>
      </c>
      <c r="O631" s="5" t="str">
        <f t="shared" si="5"/>
        <v>2 years  in role and company</v>
      </c>
      <c r="P631" s="5" t="str">
        <f t="shared" si="6"/>
        <v>Leeds</v>
      </c>
      <c r="Q631" s="5" t="str">
        <f t="shared" si="7"/>
        <v>England</v>
      </c>
      <c r="R631" s="5" t="str">
        <f t="shared" si="8"/>
        <v>United Kingdom</v>
      </c>
    </row>
    <row r="632">
      <c r="A632" s="8" t="s">
        <v>6238</v>
      </c>
      <c r="B632" s="12" t="s">
        <v>6239</v>
      </c>
      <c r="C632" s="10" t="s">
        <v>6240</v>
      </c>
      <c r="D632" s="10"/>
      <c r="E632" s="10" t="s">
        <v>4663</v>
      </c>
      <c r="F632" s="10" t="s">
        <v>694</v>
      </c>
      <c r="G632" s="11" t="s">
        <v>6233</v>
      </c>
      <c r="H632" s="11" t="s">
        <v>4665</v>
      </c>
      <c r="I632" s="11" t="s">
        <v>4600</v>
      </c>
      <c r="J632" s="9" t="str">
        <f>IFERROR(__xludf.DUMMYFUNCTION("""COMPUTED_VALUE"""),"https://www.google.com/search?newwindow=1&amp;ei=2MT0XrvGGM-vytMP1OyDgAY&amp;q=site%3Alinkedin.com+Melik+Cinar+Graduate+Recruiter")</f>
        <v>https://www.google.com/search?newwindow=1&amp;ei=2MT0XrvGGM-vytMP1OyDgAY&amp;q=site%3Alinkedin.com+Melik+Cinar+Graduate+Recruiter</v>
      </c>
      <c r="K632" s="5" t="str">
        <f t="shared" si="1"/>
        <v>Melik Cinar</v>
      </c>
      <c r="L632" s="5" t="str">
        <f t="shared" si="2"/>
        <v>Graduate Recruiter</v>
      </c>
      <c r="M632" s="5" t="str">
        <f t="shared" si="3"/>
        <v/>
      </c>
      <c r="N632" s="5" t="str">
        <f t="shared" si="4"/>
        <v>FDM Group</v>
      </c>
      <c r="O632" s="5" t="str">
        <f t="shared" si="5"/>
        <v/>
      </c>
      <c r="P632" s="5" t="str">
        <f t="shared" si="6"/>
        <v>Leeds</v>
      </c>
      <c r="Q632" s="5" t="str">
        <f t="shared" si="7"/>
        <v>England</v>
      </c>
      <c r="R632" s="5" t="str">
        <f t="shared" si="8"/>
        <v>United Kingdom</v>
      </c>
    </row>
    <row r="633">
      <c r="A633" s="8" t="s">
        <v>6241</v>
      </c>
      <c r="B633" s="12" t="s">
        <v>6242</v>
      </c>
      <c r="C633" s="10" t="s">
        <v>6243</v>
      </c>
      <c r="D633" s="10"/>
      <c r="E633" s="10" t="s">
        <v>6244</v>
      </c>
      <c r="F633" s="10" t="s">
        <v>686</v>
      </c>
      <c r="G633" s="11" t="s">
        <v>6233</v>
      </c>
      <c r="H633" s="11" t="s">
        <v>4665</v>
      </c>
      <c r="I633" s="11" t="s">
        <v>4600</v>
      </c>
      <c r="J633" s="9" t="str">
        <f>IFERROR(__xludf.DUMMYFUNCTION("""COMPUTED_VALUE"""),"https://www.google.com/search?newwindow=1&amp;ei=2MT0XrvGGM-vytMP1OyDgAY&amp;q=site%3Alinkedin.com+Frankie+Harding+Race,+Recruitment+and+Curriculm+Internship.+History+Dept.+Leeds+University")</f>
        <v>https://www.google.com/search?newwindow=1&amp;ei=2MT0XrvGGM-vytMP1OyDgAY&amp;q=site%3Alinkedin.com+Frankie+Harding+Race,+Recruitment+and+Curriculm+Internship.+History+Dept.+Leeds+University</v>
      </c>
      <c r="K633" s="5" t="str">
        <f t="shared" si="1"/>
        <v>Frankie Harding</v>
      </c>
      <c r="L633" s="5" t="str">
        <f t="shared" si="2"/>
        <v>Race, Recruitment and Curriculm Internship. History Dept. Leeds University</v>
      </c>
      <c r="M633" s="5" t="str">
        <f t="shared" si="3"/>
        <v/>
      </c>
      <c r="N633" s="5" t="str">
        <f t="shared" si="4"/>
        <v>University of Leeds</v>
      </c>
      <c r="O633" s="5" t="str">
        <f t="shared" si="5"/>
        <v>3 years 8 months in role and company</v>
      </c>
      <c r="P633" s="5" t="str">
        <f t="shared" si="6"/>
        <v>Leeds</v>
      </c>
      <c r="Q633" s="5" t="str">
        <f t="shared" si="7"/>
        <v>England</v>
      </c>
      <c r="R633" s="5" t="str">
        <f t="shared" si="8"/>
        <v>United Kingdom</v>
      </c>
    </row>
    <row r="634">
      <c r="A634" s="8" t="s">
        <v>6245</v>
      </c>
      <c r="B634" s="10" t="s">
        <v>6246</v>
      </c>
      <c r="C634" s="10" t="s">
        <v>4929</v>
      </c>
      <c r="D634" s="10"/>
      <c r="E634" s="10" t="s">
        <v>6247</v>
      </c>
      <c r="F634" s="10" t="s">
        <v>136</v>
      </c>
      <c r="G634" s="11" t="s">
        <v>6233</v>
      </c>
      <c r="H634" s="11" t="s">
        <v>4665</v>
      </c>
      <c r="I634" s="11" t="s">
        <v>4600</v>
      </c>
      <c r="J634" s="9" t="str">
        <f>IFERROR(__xludf.DUMMYFUNCTION("""COMPUTED_VALUE"""),"https://www.google.com/search?newwindow=1&amp;ei=2MT0XrvGGM-vytMP1OyDgAY&amp;q=site%3Alinkedin.com+Mahendra+Mistry+University/Academic+Partner+&amp;+Student+Recruiter+for+Higher+Education+Institutions+in+India+&amp;+Global")</f>
        <v>https://www.google.com/search?newwindow=1&amp;ei=2MT0XrvGGM-vytMP1OyDgAY&amp;q=site%3Alinkedin.com+Mahendra+Mistry+University/Academic+Partner+&amp;+Student+Recruiter+for+Higher+Education+Institutions+in+India+&amp;+Global</v>
      </c>
      <c r="K634" s="5" t="str">
        <f t="shared" si="1"/>
        <v>Mahendra Mistry</v>
      </c>
      <c r="L634" s="5" t="str">
        <f t="shared" si="2"/>
        <v>University/Academic Partner &amp; Student Recruiter for Higher Education Institutions in India &amp; Global</v>
      </c>
      <c r="M634" s="5" t="str">
        <f t="shared" si="3"/>
        <v/>
      </c>
      <c r="N634" s="5" t="str">
        <f t="shared" si="4"/>
        <v>Business Link India Ltd</v>
      </c>
      <c r="O634" s="5" t="str">
        <f t="shared" si="5"/>
        <v>9 years 10 months in role and company</v>
      </c>
      <c r="P634" s="5" t="str">
        <f t="shared" si="6"/>
        <v>Leicester</v>
      </c>
      <c r="Q634" s="5" t="str">
        <f t="shared" si="7"/>
        <v>England</v>
      </c>
      <c r="R634" s="5" t="str">
        <f t="shared" si="8"/>
        <v>United Kingdom</v>
      </c>
    </row>
    <row r="635">
      <c r="A635" s="8" t="s">
        <v>6248</v>
      </c>
      <c r="B635" s="12" t="s">
        <v>6249</v>
      </c>
      <c r="C635" s="10" t="s">
        <v>6250</v>
      </c>
      <c r="D635" s="10"/>
      <c r="E635" s="10" t="s">
        <v>6232</v>
      </c>
      <c r="F635" s="10" t="s">
        <v>6251</v>
      </c>
      <c r="G635" s="11" t="s">
        <v>6233</v>
      </c>
      <c r="H635" s="11" t="s">
        <v>4665</v>
      </c>
      <c r="I635" s="11" t="s">
        <v>4600</v>
      </c>
      <c r="J635" s="9" t="str">
        <f>IFERROR(__xludf.DUMMYFUNCTION("""COMPUTED_VALUE"""),"https://www.google.com/search?newwindow=1&amp;ei=2MT0XrvGGM-vytMP1OyDgAY&amp;q=site%3Alinkedin.com+Alex+Beeby+Graduate+Recruiter")</f>
        <v>https://www.google.com/search?newwindow=1&amp;ei=2MT0XrvGGM-vytMP1OyDgAY&amp;q=site%3Alinkedin.com+Alex+Beeby+Graduate+Recruiter</v>
      </c>
      <c r="K635" s="5" t="str">
        <f t="shared" si="1"/>
        <v>Alex Beeby</v>
      </c>
      <c r="L635" s="5" t="str">
        <f t="shared" si="2"/>
        <v>Graduate Recruiter</v>
      </c>
      <c r="M635" s="5" t="str">
        <f t="shared" si="3"/>
        <v/>
      </c>
      <c r="N635" s="5" t="str">
        <f t="shared" si="4"/>
        <v>Enterprise Holdings</v>
      </c>
      <c r="O635" s="5" t="str">
        <f t="shared" si="5"/>
        <v/>
      </c>
      <c r="P635" s="5" t="str">
        <f t="shared" si="6"/>
        <v>Leicester</v>
      </c>
      <c r="Q635" s="5" t="str">
        <f t="shared" si="7"/>
        <v>England</v>
      </c>
      <c r="R635" s="5" t="str">
        <f t="shared" si="8"/>
        <v>United Kingdom</v>
      </c>
    </row>
    <row r="636">
      <c r="A636" s="8" t="s">
        <v>6252</v>
      </c>
      <c r="B636" s="10" t="s">
        <v>6253</v>
      </c>
      <c r="C636" s="10" t="s">
        <v>6254</v>
      </c>
      <c r="D636" s="10"/>
      <c r="E636" s="10" t="s">
        <v>6255</v>
      </c>
      <c r="F636" s="10" t="s">
        <v>661</v>
      </c>
      <c r="G636" s="11" t="s">
        <v>6233</v>
      </c>
      <c r="H636" s="11" t="s">
        <v>4665</v>
      </c>
      <c r="I636" s="11" t="s">
        <v>4600</v>
      </c>
      <c r="J636" s="9" t="str">
        <f>IFERROR(__xludf.DUMMYFUNCTION("""COMPUTED_VALUE"""),"https://www.google.com/search?newwindow=1&amp;ei=2MT0XrvGGM-vytMP1OyDgAY&amp;q=site%3Alinkedin.com+Adhiraj+Singh+Gill,+M.Mgt+International+Recruitment+Manager")</f>
        <v>https://www.google.com/search?newwindow=1&amp;ei=2MT0XrvGGM-vytMP1OyDgAY&amp;q=site%3Alinkedin.com+Adhiraj+Singh+Gill,+M.Mgt+International+Recruitment+Manager</v>
      </c>
      <c r="K636" s="5" t="str">
        <f t="shared" si="1"/>
        <v>Adhiraj Singh Gill, M.Mgt</v>
      </c>
      <c r="L636" s="5" t="str">
        <f t="shared" si="2"/>
        <v>International Recruitment Manager</v>
      </c>
      <c r="M636" s="5" t="str">
        <f t="shared" si="3"/>
        <v/>
      </c>
      <c r="N636" s="5" t="str">
        <f t="shared" si="4"/>
        <v>The University of Lethbridge</v>
      </c>
      <c r="O636" s="5" t="str">
        <f t="shared" si="5"/>
        <v>2 months in role and company</v>
      </c>
      <c r="P636" s="5" t="str">
        <f t="shared" si="6"/>
        <v>Lethbridge</v>
      </c>
      <c r="Q636" s="5" t="str">
        <f t="shared" si="7"/>
        <v>Alberta</v>
      </c>
      <c r="R636" s="5" t="str">
        <f t="shared" si="8"/>
        <v>Canada</v>
      </c>
    </row>
    <row r="637">
      <c r="A637" s="8" t="s">
        <v>6229</v>
      </c>
      <c r="B637" s="12" t="s">
        <v>6230</v>
      </c>
      <c r="C637" s="10" t="s">
        <v>6231</v>
      </c>
      <c r="D637" s="10"/>
      <c r="E637" s="10" t="s">
        <v>6232</v>
      </c>
      <c r="F637" s="10" t="s">
        <v>15</v>
      </c>
      <c r="G637" s="11" t="s">
        <v>6233</v>
      </c>
      <c r="H637" s="11" t="s">
        <v>4665</v>
      </c>
      <c r="I637" s="11" t="s">
        <v>4600</v>
      </c>
      <c r="J637" s="9" t="str">
        <f>IFERROR(__xludf.DUMMYFUNCTION("""COMPUTED_VALUE"""),"https://www.google.com/search?newwindow=1&amp;ei=2MT0XrvGGM-vytMP1OyDgAY&amp;q=site%3Alinkedin.com+Charlene+D+Janes+Manager,+International+Student+Services+&amp;+Programs")</f>
        <v>https://www.google.com/search?newwindow=1&amp;ei=2MT0XrvGGM-vytMP1OyDgAY&amp;q=site%3Alinkedin.com+Charlene+D+Janes+Manager,+International+Student+Services+&amp;+Programs</v>
      </c>
      <c r="K637" s="5" t="str">
        <f t="shared" si="1"/>
        <v>Charlene D Janes</v>
      </c>
      <c r="L637" s="5" t="str">
        <f t="shared" si="2"/>
        <v>Manager, International Student Services &amp; Programs</v>
      </c>
      <c r="M637" s="5" t="str">
        <f t="shared" si="3"/>
        <v/>
      </c>
      <c r="N637" s="5" t="str">
        <f t="shared" si="4"/>
        <v>University of Lethbridge</v>
      </c>
      <c r="O637" s="5" t="str">
        <f t="shared" si="5"/>
        <v/>
      </c>
      <c r="P637" s="5" t="str">
        <f t="shared" si="6"/>
        <v>Lethbridge</v>
      </c>
      <c r="Q637" s="5" t="str">
        <f t="shared" si="7"/>
        <v>Alberta</v>
      </c>
      <c r="R637" s="5" t="str">
        <f t="shared" si="8"/>
        <v>Canada</v>
      </c>
    </row>
    <row r="638">
      <c r="A638" s="8" t="s">
        <v>6234</v>
      </c>
      <c r="B638" s="10" t="s">
        <v>6235</v>
      </c>
      <c r="C638" s="10" t="s">
        <v>6236</v>
      </c>
      <c r="D638" s="10"/>
      <c r="E638" s="10" t="s">
        <v>6237</v>
      </c>
      <c r="F638" s="10" t="s">
        <v>29</v>
      </c>
      <c r="G638" s="11" t="s">
        <v>6233</v>
      </c>
      <c r="H638" s="11" t="s">
        <v>4665</v>
      </c>
      <c r="I638" s="11" t="s">
        <v>4600</v>
      </c>
      <c r="J638" s="9" t="str">
        <f>IFERROR(__xludf.DUMMYFUNCTION("""COMPUTED_VALUE"""),"https://www.google.com/search?newwindow=1&amp;ei=2MT0XrvGGM-vytMP1OyDgAY&amp;q=site%3Alinkedin.com+Ailsa+Mackay+Student+Recruitment+Assistant")</f>
        <v>https://www.google.com/search?newwindow=1&amp;ei=2MT0XrvGGM-vytMP1OyDgAY&amp;q=site%3Alinkedin.com+Ailsa+Mackay+Student+Recruitment+Assistant</v>
      </c>
      <c r="K638" s="5" t="str">
        <f t="shared" si="1"/>
        <v>Ailsa Mackay</v>
      </c>
      <c r="L638" s="5" t="str">
        <f t="shared" si="2"/>
        <v>Student Recruitment Assistant</v>
      </c>
      <c r="M638" s="5" t="str">
        <f t="shared" si="3"/>
        <v/>
      </c>
      <c r="N638" s="5" t="str">
        <f t="shared" si="4"/>
        <v>Heriot-Watt University</v>
      </c>
      <c r="O638" s="5" t="str">
        <f t="shared" si="5"/>
        <v>1 year 5 months in role and company</v>
      </c>
      <c r="P638" s="5" t="str">
        <f t="shared" si="6"/>
        <v>Linlithgow</v>
      </c>
      <c r="Q638" s="5" t="str">
        <f t="shared" si="7"/>
        <v>Scotland</v>
      </c>
      <c r="R638" s="5" t="str">
        <f t="shared" si="8"/>
        <v>United Kingdom</v>
      </c>
    </row>
    <row r="639">
      <c r="A639" s="8" t="s">
        <v>6256</v>
      </c>
      <c r="B639" s="10" t="s">
        <v>6257</v>
      </c>
      <c r="C639" s="10" t="s">
        <v>6258</v>
      </c>
      <c r="D639" s="10"/>
      <c r="E639" s="10" t="s">
        <v>6255</v>
      </c>
      <c r="F639" s="10" t="s">
        <v>686</v>
      </c>
      <c r="G639" s="11" t="s">
        <v>6233</v>
      </c>
      <c r="H639" s="11" t="s">
        <v>4665</v>
      </c>
      <c r="I639" s="11" t="s">
        <v>4600</v>
      </c>
      <c r="J639" s="9" t="str">
        <f>IFERROR(__xludf.DUMMYFUNCTION("""COMPUTED_VALUE"""),"https://www.google.com/search?newwindow=1&amp;ei=2MT0XrvGGM-vytMP1OyDgAY&amp;q=site%3Alinkedin.com+Dr+Danny+Ha,+Sr.+Advisor+online+for+Startup,+Risk+Mgt,+DX+strategy,+Information+Security+Execution+Student+of+Mr.+Lee+李偉宏老師,+毛筆行草書,+Chinese+calligraphy")</f>
        <v>https://www.google.com/search?newwindow=1&amp;ei=2MT0XrvGGM-vytMP1OyDgAY&amp;q=site%3Alinkedin.com+Dr+Danny+Ha,+Sr.+Advisor+online+for+Startup,+Risk+Mgt,+DX+strategy,+Information+Security+Execution+Student+of+Mr.+Lee+李偉宏老師,+毛筆行草書,+Chinese+calligraphy</v>
      </c>
      <c r="K639" s="5" t="str">
        <f t="shared" si="1"/>
        <v>Dr Danny Ha, Sr. Advisor online for Startup, Risk Mgt, DX strategy, Information Security Execution</v>
      </c>
      <c r="L639" s="5" t="str">
        <f t="shared" si="2"/>
        <v>Student of Mr. Lee 李偉宏老師, 毛筆行草書, Chinese calligraphy</v>
      </c>
      <c r="M639" s="5" t="str">
        <f t="shared" si="3"/>
        <v/>
      </c>
      <c r="N639" s="5" t="str">
        <f t="shared" si="4"/>
        <v>李偉宏老師</v>
      </c>
      <c r="O639" s="5" t="str">
        <f t="shared" si="5"/>
        <v>6 years 8 months in role and company</v>
      </c>
      <c r="P639" s="5" t="str">
        <f t="shared" si="6"/>
        <v>Linton-on-Ouse</v>
      </c>
      <c r="Q639" s="5" t="str">
        <f t="shared" si="7"/>
        <v>England</v>
      </c>
      <c r="R639" s="5" t="str">
        <f t="shared" si="8"/>
        <v>United Kingdom</v>
      </c>
    </row>
    <row r="640">
      <c r="A640" s="8" t="s">
        <v>6238</v>
      </c>
      <c r="B640" s="12" t="s">
        <v>6239</v>
      </c>
      <c r="C640" s="10" t="s">
        <v>6240</v>
      </c>
      <c r="D640" s="10"/>
      <c r="E640" s="10" t="s">
        <v>4663</v>
      </c>
      <c r="F640" s="10" t="s">
        <v>694</v>
      </c>
      <c r="G640" s="11" t="s">
        <v>6233</v>
      </c>
      <c r="H640" s="11" t="s">
        <v>4665</v>
      </c>
      <c r="I640" s="11" t="s">
        <v>4600</v>
      </c>
      <c r="J640" s="9" t="str">
        <f>IFERROR(__xludf.DUMMYFUNCTION("""COMPUTED_VALUE"""),"https://www.google.com/search?newwindow=1&amp;ei=2MT0XrvGGM-vytMP1OyDgAY&amp;q=site%3Alinkedin.com+Declan+Fairey+Student+Recruitment+Data+Analysis+Trainee+at+Edge+Hill+University")</f>
        <v>https://www.google.com/search?newwindow=1&amp;ei=2MT0XrvGGM-vytMP1OyDgAY&amp;q=site%3Alinkedin.com+Declan+Fairey+Student+Recruitment+Data+Analysis+Trainee+at+Edge+Hill+University</v>
      </c>
      <c r="K640" s="5" t="str">
        <f t="shared" si="1"/>
        <v>Declan Fairey</v>
      </c>
      <c r="L640" s="5" t="str">
        <f t="shared" si="2"/>
        <v>Student Recruitment Data Analysis Trainee at Edge Hill University</v>
      </c>
      <c r="M640" s="5" t="str">
        <f t="shared" si="3"/>
        <v/>
      </c>
      <c r="N640" s="5" t="str">
        <f t="shared" si="4"/>
        <v>Edge Hill University</v>
      </c>
      <c r="O640" s="5" t="str">
        <f t="shared" si="5"/>
        <v>1 year  in role</v>
      </c>
      <c r="P640" s="5" t="str">
        <f t="shared" si="6"/>
        <v>Liverpool</v>
      </c>
      <c r="Q640" s="5" t="str">
        <f t="shared" si="7"/>
        <v>England</v>
      </c>
      <c r="R640" s="5" t="str">
        <f t="shared" si="8"/>
        <v>United Kingdom</v>
      </c>
    </row>
    <row r="641">
      <c r="A641" s="8" t="s">
        <v>6241</v>
      </c>
      <c r="B641" s="12" t="s">
        <v>6242</v>
      </c>
      <c r="C641" s="10" t="s">
        <v>6243</v>
      </c>
      <c r="D641" s="10"/>
      <c r="E641" s="10" t="s">
        <v>6244</v>
      </c>
      <c r="F641" s="10" t="s">
        <v>686</v>
      </c>
      <c r="G641" s="11" t="s">
        <v>6233</v>
      </c>
      <c r="H641" s="11" t="s">
        <v>4665</v>
      </c>
      <c r="I641" s="11" t="s">
        <v>4600</v>
      </c>
      <c r="J641" s="9" t="str">
        <f>IFERROR(__xludf.DUMMYFUNCTION("""COMPUTED_VALUE"""),"https://www.google.com/search?newwindow=1&amp;ei=2MT0XrvGGM-vytMP1OyDgAY&amp;q=site%3Alinkedin.com+Chloe+Milton+Graduate+Recruiter")</f>
        <v>https://www.google.com/search?newwindow=1&amp;ei=2MT0XrvGGM-vytMP1OyDgAY&amp;q=site%3Alinkedin.com+Chloe+Milton+Graduate+Recruiter</v>
      </c>
      <c r="K641" s="5" t="str">
        <f t="shared" si="1"/>
        <v>Chloe Milton</v>
      </c>
      <c r="L641" s="5" t="str">
        <f t="shared" si="2"/>
        <v>Graduate Recruiter</v>
      </c>
      <c r="M641" s="5" t="str">
        <f t="shared" si="3"/>
        <v/>
      </c>
      <c r="N641" s="5" t="str">
        <f t="shared" si="4"/>
        <v>QA Consulting</v>
      </c>
      <c r="O641" s="5" t="str">
        <f t="shared" si="5"/>
        <v>4 years 5 months in role and company</v>
      </c>
      <c r="P641" s="5" t="str">
        <f t="shared" si="6"/>
        <v>Liverpool</v>
      </c>
      <c r="Q641" s="5" t="str">
        <f t="shared" si="7"/>
        <v>England</v>
      </c>
      <c r="R641" s="5" t="str">
        <f t="shared" si="8"/>
        <v>United Kingdom</v>
      </c>
    </row>
    <row r="642">
      <c r="A642" s="8" t="s">
        <v>6259</v>
      </c>
      <c r="B642" s="10" t="s">
        <v>6260</v>
      </c>
      <c r="C642" s="10" t="s">
        <v>4749</v>
      </c>
      <c r="D642" s="10"/>
      <c r="E642" s="10" t="s">
        <v>2839</v>
      </c>
      <c r="F642" s="10" t="s">
        <v>1692</v>
      </c>
      <c r="G642" s="11" t="s">
        <v>6261</v>
      </c>
      <c r="H642" s="11" t="s">
        <v>954</v>
      </c>
      <c r="I642" s="11" t="s">
        <v>18</v>
      </c>
      <c r="J642" s="9" t="str">
        <f>IFERROR(__xludf.DUMMYFUNCTION("""COMPUTED_VALUE"""),"https://www.google.com/search?newwindow=1&amp;ei=2MT0XrvGGM-vytMP1OyDgAY&amp;q=site%3Alinkedin.com+Lucy+Reed+Student")</f>
        <v>https://www.google.com/search?newwindow=1&amp;ei=2MT0XrvGGM-vytMP1OyDgAY&amp;q=site%3Alinkedin.com+Lucy+Reed+Student</v>
      </c>
      <c r="K642" s="5" t="str">
        <f t="shared" si="1"/>
        <v>Lucy Reed</v>
      </c>
      <c r="L642" s="5" t="str">
        <f t="shared" si="2"/>
        <v>Student</v>
      </c>
      <c r="M642" s="5" t="str">
        <f t="shared" si="3"/>
        <v/>
      </c>
      <c r="N642" s="5" t="str">
        <f t="shared" si="4"/>
        <v>Wirral Metropolitan College - Wirral Met College</v>
      </c>
      <c r="O642" s="5" t="str">
        <f t="shared" si="5"/>
        <v>3 years 10 months in role and company</v>
      </c>
      <c r="P642" s="5" t="str">
        <f t="shared" si="6"/>
        <v>Liverpool</v>
      </c>
      <c r="Q642" s="5" t="str">
        <f t="shared" si="7"/>
        <v>England</v>
      </c>
      <c r="R642" s="5" t="str">
        <f t="shared" si="8"/>
        <v>United Kingdom</v>
      </c>
    </row>
    <row r="643">
      <c r="A643" s="8" t="s">
        <v>6262</v>
      </c>
      <c r="B643" s="10" t="s">
        <v>6263</v>
      </c>
      <c r="C643" s="10" t="s">
        <v>4596</v>
      </c>
      <c r="D643" s="12"/>
      <c r="E643" s="12" t="s">
        <v>6264</v>
      </c>
      <c r="F643" s="10"/>
      <c r="G643" s="11" t="s">
        <v>6265</v>
      </c>
      <c r="H643" s="11" t="s">
        <v>4638</v>
      </c>
      <c r="I643" s="11" t="s">
        <v>4600</v>
      </c>
      <c r="J643" s="9" t="str">
        <f>IFERROR(__xludf.DUMMYFUNCTION("""COMPUTED_VALUE"""),"https://www.google.com/search?newwindow=1&amp;ei=2MT0XrvGGM-vytMP1OyDgAY&amp;q=site%3Alinkedin.com+Betsy+Exley+Student+Recruiter+PSI")</f>
        <v>https://www.google.com/search?newwindow=1&amp;ei=2MT0XrvGGM-vytMP1OyDgAY&amp;q=site%3Alinkedin.com+Betsy+Exley+Student+Recruiter+PSI</v>
      </c>
      <c r="K643" s="5" t="str">
        <f t="shared" si="1"/>
        <v>Betsy Exley</v>
      </c>
      <c r="L643" s="5" t="str">
        <f t="shared" si="2"/>
        <v>Student Recruiter PSI</v>
      </c>
      <c r="M643" s="5" t="str">
        <f t="shared" si="3"/>
        <v/>
      </c>
      <c r="N643" s="5" t="str">
        <f t="shared" si="4"/>
        <v>Chartered Professional Accountants of Ontario (CPA Ontario)</v>
      </c>
      <c r="O643" s="5" t="str">
        <f t="shared" si="5"/>
        <v>1 year 6 months in role and company</v>
      </c>
      <c r="P643" s="5" t="str">
        <f t="shared" si="6"/>
        <v>London</v>
      </c>
      <c r="Q643" s="5" t="str">
        <f t="shared" si="7"/>
        <v>Ontario</v>
      </c>
      <c r="R643" s="5" t="str">
        <f t="shared" si="8"/>
        <v>Canada</v>
      </c>
    </row>
    <row r="644">
      <c r="A644" s="8" t="s">
        <v>6266</v>
      </c>
      <c r="B644" s="12" t="s">
        <v>6267</v>
      </c>
      <c r="C644" s="10" t="s">
        <v>6268</v>
      </c>
      <c r="D644" s="10"/>
      <c r="E644" s="10" t="s">
        <v>5409</v>
      </c>
      <c r="F644" s="10" t="s">
        <v>909</v>
      </c>
      <c r="G644" s="11" t="s">
        <v>6265</v>
      </c>
      <c r="H644" s="11" t="s">
        <v>4638</v>
      </c>
      <c r="I644" s="11" t="s">
        <v>4600</v>
      </c>
      <c r="J644" s="9" t="str">
        <f>IFERROR(__xludf.DUMMYFUNCTION("""COMPUTED_VALUE"""),"https://www.google.com/search?newwindow=1&amp;ei=2MT0XrvGGM-vytMP1OyDgAY&amp;q=site%3Alinkedin.com+Cara+Pedersen,+CHRP+Associate+University+Recruitment+Specialist")</f>
        <v>https://www.google.com/search?newwindow=1&amp;ei=2MT0XrvGGM-vytMP1OyDgAY&amp;q=site%3Alinkedin.com+Cara+Pedersen,+CHRP+Associate+University+Recruitment+Specialist</v>
      </c>
      <c r="K644" s="5" t="str">
        <f t="shared" si="1"/>
        <v>Cara Pedersen, CHRP</v>
      </c>
      <c r="L644" s="5" t="str">
        <f t="shared" si="2"/>
        <v>Associate University Recruitment Specialist</v>
      </c>
      <c r="M644" s="5" t="str">
        <f t="shared" si="3"/>
        <v/>
      </c>
      <c r="N644" s="5" t="str">
        <f t="shared" si="4"/>
        <v>Cargill</v>
      </c>
      <c r="O644" s="5" t="str">
        <f t="shared" si="5"/>
        <v>1 year 8 months in role</v>
      </c>
      <c r="P644" s="5" t="str">
        <f t="shared" si="6"/>
        <v>London</v>
      </c>
      <c r="Q644" s="5" t="str">
        <f t="shared" si="7"/>
        <v>Ontario</v>
      </c>
      <c r="R644" s="5" t="str">
        <f t="shared" si="8"/>
        <v>Canada</v>
      </c>
    </row>
    <row r="645">
      <c r="A645" s="8" t="s">
        <v>6269</v>
      </c>
      <c r="B645" s="10" t="s">
        <v>6270</v>
      </c>
      <c r="C645" s="10" t="s">
        <v>6271</v>
      </c>
      <c r="D645" s="10"/>
      <c r="E645" s="10" t="s">
        <v>5479</v>
      </c>
      <c r="F645" s="10" t="s">
        <v>1950</v>
      </c>
      <c r="G645" s="11" t="s">
        <v>6265</v>
      </c>
      <c r="H645" s="11" t="s">
        <v>4638</v>
      </c>
      <c r="I645" s="11" t="s">
        <v>4600</v>
      </c>
      <c r="J645" s="9" t="str">
        <f>IFERROR(__xludf.DUMMYFUNCTION("""COMPUTED_VALUE"""),"https://www.google.com/search?newwindow=1&amp;ei=2MT0XrvGGM-vytMP1OyDgAY&amp;q=site%3Alinkedin.com+Jared+M.+Campus+Recruiter")</f>
        <v>https://www.google.com/search?newwindow=1&amp;ei=2MT0XrvGGM-vytMP1OyDgAY&amp;q=site%3Alinkedin.com+Jared+M.+Campus+Recruiter</v>
      </c>
      <c r="K645" s="5" t="str">
        <f t="shared" si="1"/>
        <v>Jared M.</v>
      </c>
      <c r="L645" s="5" t="str">
        <f t="shared" si="2"/>
        <v>Campus Recruiter</v>
      </c>
      <c r="M645" s="5" t="str">
        <f t="shared" si="3"/>
        <v/>
      </c>
      <c r="N645" s="5" t="str">
        <f t="shared" si="4"/>
        <v>MNP</v>
      </c>
      <c r="O645" s="5" t="str">
        <f t="shared" si="5"/>
        <v>1 year 7 months in role and company</v>
      </c>
      <c r="P645" s="5" t="str">
        <f t="shared" si="6"/>
        <v>London</v>
      </c>
      <c r="Q645" s="5" t="str">
        <f t="shared" si="7"/>
        <v>Ontario</v>
      </c>
      <c r="R645" s="5" t="str">
        <f t="shared" si="8"/>
        <v>Canada</v>
      </c>
    </row>
    <row r="646">
      <c r="A646" s="8" t="s">
        <v>6272</v>
      </c>
      <c r="B646" s="10" t="s">
        <v>6273</v>
      </c>
      <c r="C646" s="10" t="s">
        <v>6274</v>
      </c>
      <c r="D646" s="10"/>
      <c r="E646" s="10" t="s">
        <v>6264</v>
      </c>
      <c r="F646" s="10" t="s">
        <v>2265</v>
      </c>
      <c r="G646" s="11" t="s">
        <v>6265</v>
      </c>
      <c r="H646" s="11" t="s">
        <v>4638</v>
      </c>
      <c r="I646" s="11" t="s">
        <v>4600</v>
      </c>
      <c r="J646" s="9" t="str">
        <f>IFERROR(__xludf.DUMMYFUNCTION("""COMPUTED_VALUE"""),"https://www.google.com/search?newwindow=1&amp;ei=2MT0XrvGGM-vytMP1OyDgAY&amp;q=site%3Alinkedin.com+Taylor+Yungblut+Campus+Recruiting+Coordinator")</f>
        <v>https://www.google.com/search?newwindow=1&amp;ei=2MT0XrvGGM-vytMP1OyDgAY&amp;q=site%3Alinkedin.com+Taylor+Yungblut+Campus+Recruiting+Coordinator</v>
      </c>
      <c r="K646" s="5" t="str">
        <f t="shared" si="1"/>
        <v>Taylor Yungblut</v>
      </c>
      <c r="L646" s="5" t="str">
        <f t="shared" si="2"/>
        <v>Campus Recruiting Coordinator</v>
      </c>
      <c r="M646" s="5" t="str">
        <f t="shared" si="3"/>
        <v/>
      </c>
      <c r="N646" s="5" t="str">
        <f t="shared" si="4"/>
        <v>Sun Life Financial</v>
      </c>
      <c r="O646" s="5" t="str">
        <f t="shared" si="5"/>
        <v>1 year 5 months in role and company</v>
      </c>
      <c r="P646" s="5" t="str">
        <f t="shared" si="6"/>
        <v>London</v>
      </c>
      <c r="Q646" s="5" t="str">
        <f t="shared" si="7"/>
        <v>Ontario</v>
      </c>
      <c r="R646" s="5" t="str">
        <f t="shared" si="8"/>
        <v>Canada</v>
      </c>
    </row>
    <row r="647">
      <c r="A647" s="8" t="s">
        <v>6275</v>
      </c>
      <c r="B647" s="12" t="s">
        <v>6276</v>
      </c>
      <c r="C647" s="10" t="s">
        <v>6277</v>
      </c>
      <c r="D647" s="10"/>
      <c r="E647" s="10" t="s">
        <v>6278</v>
      </c>
      <c r="F647" s="10" t="s">
        <v>6279</v>
      </c>
      <c r="G647" s="11" t="s">
        <v>6265</v>
      </c>
      <c r="H647" s="11" t="s">
        <v>4638</v>
      </c>
      <c r="I647" s="11" t="s">
        <v>4600</v>
      </c>
      <c r="J647" s="9" t="str">
        <f>IFERROR(__xludf.DUMMYFUNCTION("""COMPUTED_VALUE"""),"https://www.google.com/search?newwindow=1&amp;ei=2MT0XrvGGM-vytMP1OyDgAY&amp;q=site%3Alinkedin.com+Tatjana+Davidson+Campus+Recruiter+(EMEA)+&amp;+EMEA+Generational+/+UK+Multicultural+ERG+Champion")</f>
        <v>https://www.google.com/search?newwindow=1&amp;ei=2MT0XrvGGM-vytMP1OyDgAY&amp;q=site%3Alinkedin.com+Tatjana+Davidson+Campus+Recruiter+(EMEA)+&amp;+EMEA+Generational+/+UK+Multicultural+ERG+Champion</v>
      </c>
      <c r="K647" s="5" t="str">
        <f t="shared" si="1"/>
        <v>Tatjana Davidson</v>
      </c>
      <c r="L647" s="5" t="str">
        <f t="shared" si="2"/>
        <v>Campus Recruiter (EMEA) &amp; EMEA Generational / UK Multicultural ERG Champion</v>
      </c>
      <c r="M647" s="5" t="str">
        <f t="shared" si="3"/>
        <v/>
      </c>
      <c r="N647" s="5" t="str">
        <f t="shared" si="4"/>
        <v>Moody's Corporation</v>
      </c>
      <c r="O647" s="5" t="str">
        <f t="shared" si="5"/>
        <v>1 year  in role and company</v>
      </c>
      <c r="P647" s="5" t="str">
        <f t="shared" si="6"/>
        <v>London</v>
      </c>
      <c r="Q647" s="5" t="str">
        <f t="shared" si="7"/>
        <v>England</v>
      </c>
      <c r="R647" s="5" t="str">
        <f t="shared" si="8"/>
        <v>United Kingdom</v>
      </c>
    </row>
    <row r="648">
      <c r="A648" s="8" t="s">
        <v>6262</v>
      </c>
      <c r="B648" s="10" t="s">
        <v>6263</v>
      </c>
      <c r="C648" s="10" t="s">
        <v>4596</v>
      </c>
      <c r="D648" s="12"/>
      <c r="E648" s="12" t="s">
        <v>6264</v>
      </c>
      <c r="F648" s="10"/>
      <c r="G648" s="11" t="s">
        <v>6265</v>
      </c>
      <c r="H648" s="11" t="s">
        <v>4638</v>
      </c>
      <c r="I648" s="11" t="s">
        <v>4600</v>
      </c>
      <c r="J648" s="9" t="str">
        <f>IFERROR(__xludf.DUMMYFUNCTION("""COMPUTED_VALUE"""),"https://www.google.com/search?newwindow=1&amp;ei=2MT0XrvGGM-vytMP1OyDgAY&amp;q=site%3Alinkedin.com+Eugenia+Pascual+Gil+Tech+University+Graduate+Recruiter+(via+Randstad)")</f>
        <v>https://www.google.com/search?newwindow=1&amp;ei=2MT0XrvGGM-vytMP1OyDgAY&amp;q=site%3Alinkedin.com+Eugenia+Pascual+Gil+Tech+University+Graduate+Recruiter+(via+Randstad)</v>
      </c>
      <c r="K648" s="5" t="str">
        <f t="shared" si="1"/>
        <v>Eugenia Pascual Gil</v>
      </c>
      <c r="L648" s="5" t="str">
        <f t="shared" si="2"/>
        <v>Tech University Graduate Recruiter (via Randstad)</v>
      </c>
      <c r="M648" s="5" t="str">
        <f t="shared" si="3"/>
        <v/>
      </c>
      <c r="N648" s="5" t="str">
        <f t="shared" si="4"/>
        <v>Google</v>
      </c>
      <c r="O648" s="5" t="str">
        <f t="shared" si="5"/>
        <v>10 months in role and company</v>
      </c>
      <c r="P648" s="5" t="str">
        <f t="shared" si="6"/>
        <v>London</v>
      </c>
      <c r="Q648" s="5" t="str">
        <f t="shared" si="7"/>
        <v>England</v>
      </c>
      <c r="R648" s="5" t="str">
        <f t="shared" si="8"/>
        <v>United Kingdom</v>
      </c>
    </row>
    <row r="649">
      <c r="A649" s="8" t="s">
        <v>6280</v>
      </c>
      <c r="B649" s="10" t="s">
        <v>2704</v>
      </c>
      <c r="C649" s="10" t="s">
        <v>2705</v>
      </c>
      <c r="D649" s="10"/>
      <c r="E649" s="10" t="s">
        <v>4611</v>
      </c>
      <c r="F649" s="10" t="s">
        <v>832</v>
      </c>
      <c r="G649" s="11" t="s">
        <v>2706</v>
      </c>
      <c r="H649" s="11" t="s">
        <v>96</v>
      </c>
      <c r="I649" s="11" t="s">
        <v>18</v>
      </c>
      <c r="J649" s="9" t="str">
        <f>IFERROR(__xludf.DUMMYFUNCTION("""COMPUTED_VALUE"""),"https://www.google.com/search?newwindow=1&amp;ei=2MT0XrvGGM-vytMP1OyDgAY&amp;q=site%3Alinkedin.com+Justin+Fay+Graduate+Recruiter")</f>
        <v>https://www.google.com/search?newwindow=1&amp;ei=2MT0XrvGGM-vytMP1OyDgAY&amp;q=site%3Alinkedin.com+Justin+Fay+Graduate+Recruiter</v>
      </c>
      <c r="K649" s="5" t="str">
        <f t="shared" si="1"/>
        <v>Justin Fay</v>
      </c>
      <c r="L649" s="5" t="str">
        <f t="shared" si="2"/>
        <v>Graduate Recruiter</v>
      </c>
      <c r="M649" s="5" t="str">
        <f t="shared" si="3"/>
        <v/>
      </c>
      <c r="N649" s="5" t="str">
        <f t="shared" si="4"/>
        <v>DLA Piper</v>
      </c>
      <c r="O649" s="5" t="str">
        <f t="shared" si="5"/>
        <v>4 months in role and company</v>
      </c>
      <c r="P649" s="5" t="str">
        <f t="shared" si="6"/>
        <v>London</v>
      </c>
      <c r="Q649" s="5" t="str">
        <f t="shared" si="7"/>
        <v>England</v>
      </c>
      <c r="R649" s="5" t="str">
        <f t="shared" si="8"/>
        <v>United Kingdom</v>
      </c>
    </row>
    <row r="650">
      <c r="A650" s="8" t="s">
        <v>6281</v>
      </c>
      <c r="B650" s="10" t="s">
        <v>6282</v>
      </c>
      <c r="C650" s="10" t="s">
        <v>4674</v>
      </c>
      <c r="D650" s="10"/>
      <c r="E650" s="10" t="s">
        <v>1233</v>
      </c>
      <c r="F650" s="10" t="s">
        <v>228</v>
      </c>
      <c r="G650" s="11" t="s">
        <v>6283</v>
      </c>
      <c r="H650" s="11" t="s">
        <v>154</v>
      </c>
      <c r="I650" s="11" t="s">
        <v>18</v>
      </c>
      <c r="J650" s="9" t="str">
        <f>IFERROR(__xludf.DUMMYFUNCTION("""COMPUTED_VALUE"""),"https://www.google.com/search?newwindow=1&amp;ei=2MT0XrvGGM-vytMP1OyDgAY&amp;q=site%3Alinkedin.com+Heidi+Plant+Freelance+graduate+recruiter")</f>
        <v>https://www.google.com/search?newwindow=1&amp;ei=2MT0XrvGGM-vytMP1OyDgAY&amp;q=site%3Alinkedin.com+Heidi+Plant+Freelance+graduate+recruiter</v>
      </c>
      <c r="K650" s="5" t="str">
        <f t="shared" si="1"/>
        <v>Heidi Plant</v>
      </c>
      <c r="L650" s="5" t="str">
        <f t="shared" si="2"/>
        <v>Freelance graduate recruiter</v>
      </c>
      <c r="M650" s="5" t="str">
        <f t="shared" si="3"/>
        <v/>
      </c>
      <c r="N650" s="5" t="str">
        <f t="shared" si="4"/>
        <v>Various Companies</v>
      </c>
      <c r="O650" s="5" t="str">
        <f t="shared" si="5"/>
        <v>2 years 2 months in role and company</v>
      </c>
      <c r="P650" s="5" t="str">
        <f t="shared" si="6"/>
        <v>London</v>
      </c>
      <c r="Q650" s="5" t="str">
        <f t="shared" si="7"/>
        <v>England</v>
      </c>
      <c r="R650" s="5" t="str">
        <f t="shared" si="8"/>
        <v>United Kingdom</v>
      </c>
    </row>
    <row r="651">
      <c r="A651" s="8" t="s">
        <v>6284</v>
      </c>
      <c r="B651" s="10" t="s">
        <v>6285</v>
      </c>
      <c r="C651" s="10" t="s">
        <v>6286</v>
      </c>
      <c r="D651" s="10"/>
      <c r="E651" s="10" t="s">
        <v>4836</v>
      </c>
      <c r="F651" s="10" t="s">
        <v>175</v>
      </c>
      <c r="G651" s="11" t="s">
        <v>6287</v>
      </c>
      <c r="H651" s="11" t="s">
        <v>4757</v>
      </c>
      <c r="I651" s="11" t="s">
        <v>4607</v>
      </c>
      <c r="J651" s="9" t="str">
        <f>IFERROR(__xludf.DUMMYFUNCTION("""COMPUTED_VALUE"""),"https://www.google.com/search?newwindow=1&amp;ei=2MT0XrvGGM-vytMP1OyDgAY&amp;q=site%3Alinkedin.com+Sara+Williams+Graduate+Recruiter")</f>
        <v>https://www.google.com/search?newwindow=1&amp;ei=2MT0XrvGGM-vytMP1OyDgAY&amp;q=site%3Alinkedin.com+Sara+Williams+Graduate+Recruiter</v>
      </c>
      <c r="K651" s="5" t="str">
        <f t="shared" si="1"/>
        <v>Sara Williams</v>
      </c>
      <c r="L651" s="5" t="str">
        <f t="shared" si="2"/>
        <v>Graduate Recruiter</v>
      </c>
      <c r="M651" s="5" t="str">
        <f t="shared" si="3"/>
        <v/>
      </c>
      <c r="N651" s="5" t="str">
        <f t="shared" si="4"/>
        <v>Infosys</v>
      </c>
      <c r="O651" s="5" t="str">
        <f t="shared" si="5"/>
        <v>1 year 5 months in role and company</v>
      </c>
      <c r="P651" s="5" t="str">
        <f t="shared" si="6"/>
        <v>London</v>
      </c>
      <c r="Q651" s="5" t="str">
        <f t="shared" si="7"/>
        <v>England</v>
      </c>
      <c r="R651" s="5" t="str">
        <f t="shared" si="8"/>
        <v>United Kingdom</v>
      </c>
    </row>
    <row r="652">
      <c r="A652" s="8" t="s">
        <v>6288</v>
      </c>
      <c r="B652" s="10" t="s">
        <v>6289</v>
      </c>
      <c r="C652" s="10" t="s">
        <v>6290</v>
      </c>
      <c r="D652" s="10"/>
      <c r="E652" s="10" t="s">
        <v>6291</v>
      </c>
      <c r="F652" s="10" t="s">
        <v>2213</v>
      </c>
      <c r="G652" s="11" t="s">
        <v>6292</v>
      </c>
      <c r="H652" s="11" t="s">
        <v>4757</v>
      </c>
      <c r="I652" s="11" t="s">
        <v>4607</v>
      </c>
      <c r="J652" s="9" t="str">
        <f>IFERROR(__xludf.DUMMYFUNCTION("""COMPUTED_VALUE"""),"https://www.google.com/search?newwindow=1&amp;ei=2MT0XrvGGM-vytMP1OyDgAY&amp;q=site%3Alinkedin.com+Alex+Lucy+Candidate+Services+Recruiter,+Student+Programs")</f>
        <v>https://www.google.com/search?newwindow=1&amp;ei=2MT0XrvGGM-vytMP1OyDgAY&amp;q=site%3Alinkedin.com+Alex+Lucy+Candidate+Services+Recruiter,+Student+Programs</v>
      </c>
      <c r="K652" s="5" t="str">
        <f t="shared" si="1"/>
        <v>Alex Lucy</v>
      </c>
      <c r="L652" s="5" t="str">
        <f t="shared" si="2"/>
        <v>Candidate Services Recruiter, Student Programs</v>
      </c>
      <c r="M652" s="5" t="str">
        <f t="shared" si="3"/>
        <v/>
      </c>
      <c r="N652" s="5" t="str">
        <f t="shared" si="4"/>
        <v>Amazon</v>
      </c>
      <c r="O652" s="5" t="str">
        <f t="shared" si="5"/>
        <v>2 months in role</v>
      </c>
      <c r="P652" s="5" t="str">
        <f t="shared" si="6"/>
        <v>London</v>
      </c>
      <c r="Q652" s="5" t="str">
        <f t="shared" si="7"/>
        <v>England</v>
      </c>
      <c r="R652" s="5" t="str">
        <f t="shared" si="8"/>
        <v>United Kingdom</v>
      </c>
    </row>
    <row r="653">
      <c r="A653" s="8" t="s">
        <v>6293</v>
      </c>
      <c r="B653" s="12" t="s">
        <v>6294</v>
      </c>
      <c r="C653" s="10" t="s">
        <v>4749</v>
      </c>
      <c r="D653" s="10"/>
      <c r="E653" s="10" t="s">
        <v>845</v>
      </c>
      <c r="F653" s="10" t="s">
        <v>228</v>
      </c>
      <c r="G653" s="11" t="s">
        <v>6295</v>
      </c>
      <c r="H653" s="11" t="s">
        <v>154</v>
      </c>
      <c r="I653" s="11" t="s">
        <v>18</v>
      </c>
      <c r="J653" s="9" t="str">
        <f>IFERROR(__xludf.DUMMYFUNCTION("""COMPUTED_VALUE"""),"https://www.google.com/search?newwindow=1&amp;ei=2MT0XrvGGM-vytMP1OyDgAY&amp;q=site%3Alinkedin.com+Amy+Bird+EMEA+Recruiter+(University+Recruiting)")</f>
        <v>https://www.google.com/search?newwindow=1&amp;ei=2MT0XrvGGM-vytMP1OyDgAY&amp;q=site%3Alinkedin.com+Amy+Bird+EMEA+Recruiter+(University+Recruiting)</v>
      </c>
      <c r="K653" s="5" t="str">
        <f t="shared" si="1"/>
        <v>Amy Bird</v>
      </c>
      <c r="L653" s="5" t="str">
        <f t="shared" si="2"/>
        <v>EMEA Recruiter (University Recruiting)</v>
      </c>
      <c r="M653" s="5" t="str">
        <f t="shared" si="3"/>
        <v/>
      </c>
      <c r="N653" s="5" t="str">
        <f t="shared" si="4"/>
        <v>CrowdStrike</v>
      </c>
      <c r="O653" s="5" t="str">
        <f t="shared" si="5"/>
        <v>9 months in role and company</v>
      </c>
      <c r="P653" s="5" t="str">
        <f t="shared" si="6"/>
        <v>London</v>
      </c>
      <c r="Q653" s="5" t="str">
        <f t="shared" si="7"/>
        <v>England</v>
      </c>
      <c r="R653" s="5" t="str">
        <f t="shared" si="8"/>
        <v>United Kingdom</v>
      </c>
    </row>
    <row r="654">
      <c r="A654" s="8" t="s">
        <v>6296</v>
      </c>
      <c r="B654" s="10" t="s">
        <v>6297</v>
      </c>
      <c r="C654" s="10" t="s">
        <v>6298</v>
      </c>
      <c r="D654" s="10"/>
      <c r="E654" s="10" t="s">
        <v>6299</v>
      </c>
      <c r="F654" s="10" t="s">
        <v>111</v>
      </c>
      <c r="G654" s="11" t="s">
        <v>6300</v>
      </c>
      <c r="H654" s="11" t="s">
        <v>4757</v>
      </c>
      <c r="I654" s="11" t="s">
        <v>4607</v>
      </c>
      <c r="J654" s="9" t="str">
        <f>IFERROR(__xludf.DUMMYFUNCTION("""COMPUTED_VALUE"""),"https://www.google.com/search?newwindow=1&amp;ei=2MT0XrvGGM-vytMP1OyDgAY&amp;q=site%3Alinkedin.com+Hannah+Jones+Early+Careers+Recruiter")</f>
        <v>https://www.google.com/search?newwindow=1&amp;ei=2MT0XrvGGM-vytMP1OyDgAY&amp;q=site%3Alinkedin.com+Hannah+Jones+Early+Careers+Recruiter</v>
      </c>
      <c r="K654" s="5" t="str">
        <f t="shared" si="1"/>
        <v>Hannah Jones</v>
      </c>
      <c r="L654" s="5" t="str">
        <f t="shared" si="2"/>
        <v>Early Careers Recruiter</v>
      </c>
      <c r="M654" s="5" t="str">
        <f t="shared" si="3"/>
        <v/>
      </c>
      <c r="N654" s="5" t="str">
        <f t="shared" si="4"/>
        <v>Investec</v>
      </c>
      <c r="O654" s="5" t="str">
        <f t="shared" si="5"/>
        <v>2 months in role</v>
      </c>
      <c r="P654" s="5" t="str">
        <f t="shared" si="6"/>
        <v>London</v>
      </c>
      <c r="Q654" s="5" t="str">
        <f t="shared" si="7"/>
        <v>England</v>
      </c>
      <c r="R654" s="5" t="str">
        <f t="shared" si="8"/>
        <v>United Kingdom</v>
      </c>
    </row>
    <row r="655">
      <c r="A655" s="8" t="s">
        <v>6301</v>
      </c>
      <c r="B655" s="12" t="s">
        <v>6302</v>
      </c>
      <c r="C655" s="10" t="s">
        <v>4596</v>
      </c>
      <c r="D655" s="10"/>
      <c r="E655" s="10" t="s">
        <v>6303</v>
      </c>
      <c r="F655" s="10" t="s">
        <v>1809</v>
      </c>
      <c r="G655" s="11" t="s">
        <v>6304</v>
      </c>
      <c r="H655" s="11" t="s">
        <v>4757</v>
      </c>
      <c r="I655" s="11" t="s">
        <v>4607</v>
      </c>
      <c r="J655" s="9" t="str">
        <f>IFERROR(__xludf.DUMMYFUNCTION("""COMPUTED_VALUE"""),"https://www.google.com/search?newwindow=1&amp;ei=2MT0XrvGGM-vytMP1OyDgAY&amp;q=site%3Alinkedin.com+Corinne+Dugdale+Graduate+Recruiter")</f>
        <v>https://www.google.com/search?newwindow=1&amp;ei=2MT0XrvGGM-vytMP1OyDgAY&amp;q=site%3Alinkedin.com+Corinne+Dugdale+Graduate+Recruiter</v>
      </c>
      <c r="K655" s="5" t="str">
        <f t="shared" si="1"/>
        <v>Corinne Dugdale</v>
      </c>
      <c r="L655" s="5" t="str">
        <f t="shared" si="2"/>
        <v>Graduate Recruiter</v>
      </c>
      <c r="M655" s="5" t="str">
        <f t="shared" si="3"/>
        <v/>
      </c>
      <c r="N655" s="5" t="str">
        <f t="shared" si="4"/>
        <v>Barclays</v>
      </c>
      <c r="O655" s="5" t="str">
        <f t="shared" si="5"/>
        <v>9 months in role and company</v>
      </c>
      <c r="P655" s="5" t="str">
        <f t="shared" si="6"/>
        <v>London</v>
      </c>
      <c r="Q655" s="5" t="str">
        <f t="shared" si="7"/>
        <v>England</v>
      </c>
      <c r="R655" s="5" t="str">
        <f t="shared" si="8"/>
        <v>United Kingdom</v>
      </c>
    </row>
    <row r="656">
      <c r="A656" s="8" t="s">
        <v>6305</v>
      </c>
      <c r="B656" s="12" t="s">
        <v>6306</v>
      </c>
      <c r="C656" s="10" t="s">
        <v>6307</v>
      </c>
      <c r="D656" s="10"/>
      <c r="E656" s="10" t="s">
        <v>6308</v>
      </c>
      <c r="F656" s="10" t="s">
        <v>2265</v>
      </c>
      <c r="G656" s="11" t="s">
        <v>6309</v>
      </c>
      <c r="H656" s="11" t="s">
        <v>5736</v>
      </c>
      <c r="I656" s="11" t="s">
        <v>4619</v>
      </c>
      <c r="J656" s="9" t="str">
        <f>IFERROR(__xludf.DUMMYFUNCTION("""COMPUTED_VALUE"""),"https://www.google.com/search?newwindow=1&amp;ei=2MT0XrvGGM-vytMP1OyDgAY&amp;q=site%3Alinkedin.com+Lucy+Adams,+Graduate+Recruiter+Graduate+Recruiter")</f>
        <v>https://www.google.com/search?newwindow=1&amp;ei=2MT0XrvGGM-vytMP1OyDgAY&amp;q=site%3Alinkedin.com+Lucy+Adams,+Graduate+Recruiter+Graduate+Recruiter</v>
      </c>
      <c r="K656" s="5" t="str">
        <f t="shared" si="1"/>
        <v>Lucy Adams, Graduate Recruiter</v>
      </c>
      <c r="L656" s="5" t="str">
        <f t="shared" si="2"/>
        <v>Graduate Recruiter</v>
      </c>
      <c r="M656" s="5" t="str">
        <f t="shared" si="3"/>
        <v/>
      </c>
      <c r="N656" s="5" t="str">
        <f t="shared" si="4"/>
        <v>Campus Recruitment Practice</v>
      </c>
      <c r="O656" s="5" t="str">
        <f t="shared" si="5"/>
        <v>5 years 1 month in role and company</v>
      </c>
      <c r="P656" s="5" t="str">
        <f t="shared" si="6"/>
        <v>London</v>
      </c>
      <c r="Q656" s="5" t="str">
        <f t="shared" si="7"/>
        <v>England</v>
      </c>
      <c r="R656" s="5" t="str">
        <f t="shared" si="8"/>
        <v>United Kingdom</v>
      </c>
    </row>
    <row r="657">
      <c r="A657" s="8" t="s">
        <v>6310</v>
      </c>
      <c r="B657" s="10" t="s">
        <v>6311</v>
      </c>
      <c r="C657" s="10" t="s">
        <v>4749</v>
      </c>
      <c r="D657" s="10"/>
      <c r="E657" s="10" t="s">
        <v>4659</v>
      </c>
      <c r="F657" s="10" t="s">
        <v>1623</v>
      </c>
      <c r="G657" s="11" t="s">
        <v>6312</v>
      </c>
      <c r="H657" s="11" t="s">
        <v>65</v>
      </c>
      <c r="I657" s="11" t="s">
        <v>18</v>
      </c>
      <c r="J657" s="9" t="str">
        <f>IFERROR(__xludf.DUMMYFUNCTION("""COMPUTED_VALUE"""),"https://www.google.com/search?newwindow=1&amp;ei=2MT0XrvGGM-vytMP1OyDgAY&amp;q=site%3Alinkedin.com+Hannah+Bassett+EMEA+Student+Programs,+Tech+Recruiting+Lead")</f>
        <v>https://www.google.com/search?newwindow=1&amp;ei=2MT0XrvGGM-vytMP1OyDgAY&amp;q=site%3Alinkedin.com+Hannah+Bassett+EMEA+Student+Programs,+Tech+Recruiting+Lead</v>
      </c>
      <c r="K657" s="5" t="str">
        <f t="shared" si="1"/>
        <v>Hannah Bassett</v>
      </c>
      <c r="L657" s="5" t="str">
        <f t="shared" si="2"/>
        <v>EMEA Student Programs, Tech Recruiting Lead</v>
      </c>
      <c r="M657" s="5" t="str">
        <f t="shared" si="3"/>
        <v/>
      </c>
      <c r="N657" s="5" t="str">
        <f t="shared" si="4"/>
        <v>Amazon Web Services (AWS)</v>
      </c>
      <c r="O657" s="5" t="str">
        <f t="shared" si="5"/>
        <v>1 month in role and company</v>
      </c>
      <c r="P657" s="5" t="str">
        <f t="shared" si="6"/>
        <v>London</v>
      </c>
      <c r="Q657" s="5" t="str">
        <f t="shared" si="7"/>
        <v>England</v>
      </c>
      <c r="R657" s="5" t="str">
        <f t="shared" si="8"/>
        <v>United Kingdom</v>
      </c>
    </row>
    <row r="658">
      <c r="A658" s="8" t="s">
        <v>6313</v>
      </c>
      <c r="B658" s="10" t="s">
        <v>3705</v>
      </c>
      <c r="C658" s="10" t="s">
        <v>371</v>
      </c>
      <c r="D658" s="10"/>
      <c r="E658" s="10" t="s">
        <v>3649</v>
      </c>
      <c r="F658" s="10" t="s">
        <v>222</v>
      </c>
      <c r="G658" s="11" t="s">
        <v>1187</v>
      </c>
      <c r="H658" s="11" t="s">
        <v>96</v>
      </c>
      <c r="I658" s="11" t="s">
        <v>18</v>
      </c>
      <c r="J658" s="9" t="str">
        <f>IFERROR(__xludf.DUMMYFUNCTION("""COMPUTED_VALUE"""),"https://www.google.com/search?newwindow=1&amp;ei=2MT0XrvGGM-vytMP1OyDgAY&amp;q=site%3Alinkedin.com+Daniel+Vieira+International+Student+Recruiter")</f>
        <v>https://www.google.com/search?newwindow=1&amp;ei=2MT0XrvGGM-vytMP1OyDgAY&amp;q=site%3Alinkedin.com+Daniel+Vieira+International+Student+Recruiter</v>
      </c>
      <c r="K658" s="5" t="str">
        <f t="shared" si="1"/>
        <v>Daniel Vieira</v>
      </c>
      <c r="L658" s="5" t="str">
        <f t="shared" si="2"/>
        <v>International Student Recruiter</v>
      </c>
      <c r="M658" s="5" t="str">
        <f t="shared" si="3"/>
        <v/>
      </c>
      <c r="N658" s="5" t="str">
        <f t="shared" si="4"/>
        <v>Global University Systems</v>
      </c>
      <c r="O658" s="5" t="str">
        <f t="shared" si="5"/>
        <v>1 year 2 months in role and company</v>
      </c>
      <c r="P658" s="5" t="str">
        <f t="shared" si="6"/>
        <v>London</v>
      </c>
      <c r="Q658" s="5" t="str">
        <f t="shared" si="7"/>
        <v>England</v>
      </c>
      <c r="R658" s="5" t="str">
        <f t="shared" si="8"/>
        <v>United Kingdom</v>
      </c>
    </row>
    <row r="659">
      <c r="A659" s="8" t="s">
        <v>6314</v>
      </c>
      <c r="B659" s="12" t="s">
        <v>6315</v>
      </c>
      <c r="C659" s="10" t="s">
        <v>6316</v>
      </c>
      <c r="D659" s="10"/>
      <c r="E659" s="10" t="s">
        <v>1560</v>
      </c>
      <c r="F659" s="10"/>
      <c r="G659" s="11" t="s">
        <v>1187</v>
      </c>
      <c r="H659" s="11" t="s">
        <v>96</v>
      </c>
      <c r="I659" s="11" t="s">
        <v>18</v>
      </c>
      <c r="J659" s="9" t="str">
        <f>IFERROR(__xludf.DUMMYFUNCTION("""COMPUTED_VALUE"""),"https://www.google.com/search?newwindow=1&amp;ei=2MT0XrvGGM-vytMP1OyDgAY&amp;q=site%3Alinkedin.com+Tolu+Ogunlaiye+Senior+Graduate+Recruiter+and+University+Partnerships+Consultant")</f>
        <v>https://www.google.com/search?newwindow=1&amp;ei=2MT0XrvGGM-vytMP1OyDgAY&amp;q=site%3Alinkedin.com+Tolu+Ogunlaiye+Senior+Graduate+Recruiter+and+University+Partnerships+Consultant</v>
      </c>
      <c r="K659" s="5" t="str">
        <f t="shared" si="1"/>
        <v>Tolu Ogunlaiye</v>
      </c>
      <c r="L659" s="5" t="str">
        <f t="shared" si="2"/>
        <v>Senior Graduate Recruiter and University Partnerships Consultant</v>
      </c>
      <c r="M659" s="5" t="str">
        <f t="shared" si="3"/>
        <v/>
      </c>
      <c r="N659" s="5" t="str">
        <f t="shared" si="4"/>
        <v>FDM Group</v>
      </c>
      <c r="O659" s="5" t="str">
        <f t="shared" si="5"/>
        <v>1 year  in role</v>
      </c>
      <c r="P659" s="5" t="str">
        <f t="shared" si="6"/>
        <v>London</v>
      </c>
      <c r="Q659" s="5" t="str">
        <f t="shared" si="7"/>
        <v>England</v>
      </c>
      <c r="R659" s="5" t="str">
        <f t="shared" si="8"/>
        <v>United Kingdom</v>
      </c>
    </row>
    <row r="660">
      <c r="A660" s="8" t="s">
        <v>6317</v>
      </c>
      <c r="B660" s="10" t="s">
        <v>1738</v>
      </c>
      <c r="C660" s="10" t="s">
        <v>1739</v>
      </c>
      <c r="D660" s="10"/>
      <c r="E660" s="10" t="s">
        <v>4701</v>
      </c>
      <c r="F660" s="10" t="s">
        <v>712</v>
      </c>
      <c r="G660" s="11" t="s">
        <v>1187</v>
      </c>
      <c r="H660" s="11" t="s">
        <v>96</v>
      </c>
      <c r="I660" s="11" t="s">
        <v>18</v>
      </c>
      <c r="J660" s="9" t="str">
        <f>IFERROR(__xludf.DUMMYFUNCTION("""COMPUTED_VALUE"""),"https://www.google.com/search?newwindow=1&amp;ei=2MT0XrvGGM-vytMP1OyDgAY&amp;q=site%3Alinkedin.com+Ivy+Kayima+University+Recruiter/Sourcer-+EMEA(Perm)")</f>
        <v>https://www.google.com/search?newwindow=1&amp;ei=2MT0XrvGGM-vytMP1OyDgAY&amp;q=site%3Alinkedin.com+Ivy+Kayima+University+Recruiter/Sourcer-+EMEA(Perm)</v>
      </c>
      <c r="K660" s="5" t="str">
        <f t="shared" si="1"/>
        <v>Ivy Kayima</v>
      </c>
      <c r="L660" s="5" t="str">
        <f t="shared" si="2"/>
        <v>University Recruiter/Sourcer- EMEA(Perm)</v>
      </c>
      <c r="M660" s="5" t="str">
        <f t="shared" si="3"/>
        <v/>
      </c>
      <c r="N660" s="5" t="str">
        <f t="shared" si="4"/>
        <v>Nutanix</v>
      </c>
      <c r="O660" s="5" t="str">
        <f t="shared" si="5"/>
        <v>1 year 1 month in role and company</v>
      </c>
      <c r="P660" s="5" t="str">
        <f t="shared" si="6"/>
        <v>London</v>
      </c>
      <c r="Q660" s="5" t="str">
        <f t="shared" si="7"/>
        <v>England</v>
      </c>
      <c r="R660" s="5" t="str">
        <f t="shared" si="8"/>
        <v>United Kingdom</v>
      </c>
    </row>
    <row r="661">
      <c r="A661" s="8" t="s">
        <v>6318</v>
      </c>
      <c r="B661" s="12" t="s">
        <v>6319</v>
      </c>
      <c r="C661" s="10" t="s">
        <v>1896</v>
      </c>
      <c r="D661" s="10"/>
      <c r="E661" s="10" t="s">
        <v>4611</v>
      </c>
      <c r="F661" s="10" t="s">
        <v>909</v>
      </c>
      <c r="G661" s="11" t="s">
        <v>1187</v>
      </c>
      <c r="H661" s="11" t="s">
        <v>96</v>
      </c>
      <c r="I661" s="11" t="s">
        <v>18</v>
      </c>
      <c r="J661" s="9" t="str">
        <f>IFERROR(__xludf.DUMMYFUNCTION("""COMPUTED_VALUE"""),"https://www.google.com/search?newwindow=1&amp;ei=2MT0XrvGGM-vytMP1OyDgAY&amp;q=site%3Alinkedin.com+Aurélie+HERRERO+EMEA+Campus+Recruiter+and+Programme+Manager")</f>
        <v>https://www.google.com/search?newwindow=1&amp;ei=2MT0XrvGGM-vytMP1OyDgAY&amp;q=site%3Alinkedin.com+Aurélie+HERRERO+EMEA+Campus+Recruiter+and+Programme+Manager</v>
      </c>
      <c r="K661" s="5" t="str">
        <f t="shared" si="1"/>
        <v>Aurélie HERRERO</v>
      </c>
      <c r="L661" s="5" t="str">
        <f t="shared" si="2"/>
        <v>EMEA Campus Recruiter and Programme Manager</v>
      </c>
      <c r="M661" s="5" t="str">
        <f t="shared" si="3"/>
        <v/>
      </c>
      <c r="N661" s="5" t="str">
        <f t="shared" si="4"/>
        <v>Bloomberg LP</v>
      </c>
      <c r="O661" s="5" t="str">
        <f t="shared" si="5"/>
        <v>6 months in role</v>
      </c>
      <c r="P661" s="5" t="str">
        <f t="shared" si="6"/>
        <v>London</v>
      </c>
      <c r="Q661" s="5" t="str">
        <f t="shared" si="7"/>
        <v>England</v>
      </c>
      <c r="R661" s="5" t="str">
        <f t="shared" si="8"/>
        <v>United Kingdom</v>
      </c>
    </row>
    <row r="662">
      <c r="A662" s="8" t="s">
        <v>6320</v>
      </c>
      <c r="B662" s="10" t="s">
        <v>3707</v>
      </c>
      <c r="C662" s="10" t="s">
        <v>371</v>
      </c>
      <c r="D662" s="10"/>
      <c r="E662" s="10" t="s">
        <v>3649</v>
      </c>
      <c r="F662" s="10" t="s">
        <v>2120</v>
      </c>
      <c r="G662" s="11" t="s">
        <v>3708</v>
      </c>
      <c r="H662" s="11" t="s">
        <v>954</v>
      </c>
      <c r="I662" s="11" t="s">
        <v>18</v>
      </c>
      <c r="J662" s="9" t="str">
        <f>IFERROR(__xludf.DUMMYFUNCTION("""COMPUTED_VALUE"""),"https://www.google.com/search?newwindow=1&amp;ei=2MT0XrvGGM-vytMP1OyDgAY&amp;q=site%3Alinkedin.com+Vanessa+Lengfellner+Campus+Recruiter")</f>
        <v>https://www.google.com/search?newwindow=1&amp;ei=2MT0XrvGGM-vytMP1OyDgAY&amp;q=site%3Alinkedin.com+Vanessa+Lengfellner+Campus+Recruiter</v>
      </c>
      <c r="K662" s="5" t="str">
        <f t="shared" si="1"/>
        <v>Vanessa Lengfellner</v>
      </c>
      <c r="L662" s="5" t="str">
        <f t="shared" si="2"/>
        <v>Campus Recruiter</v>
      </c>
      <c r="M662" s="5" t="str">
        <f t="shared" si="3"/>
        <v/>
      </c>
      <c r="N662" s="5" t="str">
        <f t="shared" si="4"/>
        <v>Amazon</v>
      </c>
      <c r="O662" s="5" t="str">
        <f t="shared" si="5"/>
        <v>1 year 5 months in role and company</v>
      </c>
      <c r="P662" s="5" t="str">
        <f t="shared" si="6"/>
        <v>London</v>
      </c>
      <c r="Q662" s="5" t="str">
        <f t="shared" si="7"/>
        <v>England</v>
      </c>
      <c r="R662" s="5" t="str">
        <f t="shared" si="8"/>
        <v>United Kingdom</v>
      </c>
    </row>
    <row r="663">
      <c r="A663" s="8" t="s">
        <v>6321</v>
      </c>
      <c r="B663" s="10" t="s">
        <v>6322</v>
      </c>
      <c r="C663" s="10" t="s">
        <v>1378</v>
      </c>
      <c r="D663" s="10"/>
      <c r="E663" s="10" t="s">
        <v>1233</v>
      </c>
      <c r="F663" s="10" t="s">
        <v>1718</v>
      </c>
      <c r="G663" s="11" t="s">
        <v>112</v>
      </c>
      <c r="H663" s="11" t="s">
        <v>38</v>
      </c>
      <c r="I663" s="11" t="s">
        <v>18</v>
      </c>
      <c r="J663" s="9" t="str">
        <f>IFERROR(__xludf.DUMMYFUNCTION("""COMPUTED_VALUE"""),"https://www.google.com/search?newwindow=1&amp;ei=2MT0XrvGGM-vytMP1OyDgAY&amp;q=site%3Alinkedin.com+Jennifer+Wishart+Graduate+Recruiter")</f>
        <v>https://www.google.com/search?newwindow=1&amp;ei=2MT0XrvGGM-vytMP1OyDgAY&amp;q=site%3Alinkedin.com+Jennifer+Wishart+Graduate+Recruiter</v>
      </c>
      <c r="K663" s="5" t="str">
        <f t="shared" si="1"/>
        <v>Jennifer Wishart</v>
      </c>
      <c r="L663" s="5" t="str">
        <f t="shared" si="2"/>
        <v>Graduate Recruiter</v>
      </c>
      <c r="M663" s="5" t="str">
        <f t="shared" si="3"/>
        <v/>
      </c>
      <c r="N663" s="5" t="str">
        <f t="shared" si="4"/>
        <v>Nomura</v>
      </c>
      <c r="O663" s="5" t="str">
        <f t="shared" si="5"/>
        <v>5 months in role and company</v>
      </c>
      <c r="P663" s="5" t="str">
        <f t="shared" si="6"/>
        <v>London</v>
      </c>
      <c r="Q663" s="5" t="str">
        <f t="shared" si="7"/>
        <v>England</v>
      </c>
      <c r="R663" s="5" t="str">
        <f t="shared" si="8"/>
        <v>United Kingdom</v>
      </c>
    </row>
    <row r="664">
      <c r="A664" s="8" t="s">
        <v>6323</v>
      </c>
      <c r="B664" s="12" t="s">
        <v>6324</v>
      </c>
      <c r="C664" s="10" t="s">
        <v>4749</v>
      </c>
      <c r="D664" s="10"/>
      <c r="E664" s="10" t="s">
        <v>1560</v>
      </c>
      <c r="F664" s="10" t="s">
        <v>144</v>
      </c>
      <c r="G664" s="11" t="s">
        <v>112</v>
      </c>
      <c r="H664" s="11" t="s">
        <v>38</v>
      </c>
      <c r="I664" s="11" t="s">
        <v>18</v>
      </c>
      <c r="J664" s="9" t="str">
        <f>IFERROR(__xludf.DUMMYFUNCTION("""COMPUTED_VALUE"""),"https://www.google.com/search?newwindow=1&amp;ei=2MT0XrvGGM-vytMP1OyDgAY&amp;q=site%3Alinkedin.com+Dora+Mucsi+Technical+Recruiter,+Student+Programs+for+Software+Engineering+(EMEA)")</f>
        <v>https://www.google.com/search?newwindow=1&amp;ei=2MT0XrvGGM-vytMP1OyDgAY&amp;q=site%3Alinkedin.com+Dora+Mucsi+Technical+Recruiter,+Student+Programs+for+Software+Engineering+(EMEA)</v>
      </c>
      <c r="K664" s="5" t="str">
        <f t="shared" si="1"/>
        <v>Dora Mucsi</v>
      </c>
      <c r="L664" s="5" t="str">
        <f t="shared" si="2"/>
        <v>Technical Recruiter, Student Programs for Software Engineering (EMEA)</v>
      </c>
      <c r="M664" s="5" t="str">
        <f t="shared" si="3"/>
        <v/>
      </c>
      <c r="N664" s="5" t="str">
        <f t="shared" si="4"/>
        <v>Amazon</v>
      </c>
      <c r="O664" s="5" t="str">
        <f t="shared" si="5"/>
        <v>3 years 6 months in role</v>
      </c>
      <c r="P664" s="5" t="str">
        <f t="shared" si="6"/>
        <v>London</v>
      </c>
      <c r="Q664" s="5" t="str">
        <f t="shared" si="7"/>
        <v>England</v>
      </c>
      <c r="R664" s="5" t="str">
        <f t="shared" si="8"/>
        <v>United Kingdom</v>
      </c>
    </row>
    <row r="665">
      <c r="A665" s="8" t="s">
        <v>6325</v>
      </c>
      <c r="B665" s="12" t="s">
        <v>6326</v>
      </c>
      <c r="C665" s="10" t="s">
        <v>6327</v>
      </c>
      <c r="D665" s="10"/>
      <c r="E665" s="10" t="s">
        <v>2839</v>
      </c>
      <c r="F665" s="10" t="s">
        <v>2035</v>
      </c>
      <c r="G665" s="11" t="s">
        <v>112</v>
      </c>
      <c r="H665" s="11" t="s">
        <v>38</v>
      </c>
      <c r="I665" s="11" t="s">
        <v>18</v>
      </c>
      <c r="J665" s="9" t="str">
        <f>IFERROR(__xludf.DUMMYFUNCTION("""COMPUTED_VALUE"""),"https://www.google.com/search?newwindow=1&amp;ei=2MT0XrvGGM-vytMP1OyDgAY&amp;q=site%3Alinkedin.com+Pamela+Hutton+Campus+Recruiter")</f>
        <v>https://www.google.com/search?newwindow=1&amp;ei=2MT0XrvGGM-vytMP1OyDgAY&amp;q=site%3Alinkedin.com+Pamela+Hutton+Campus+Recruiter</v>
      </c>
      <c r="K665" s="5" t="str">
        <f t="shared" si="1"/>
        <v>Pamela Hutton</v>
      </c>
      <c r="L665" s="5" t="str">
        <f t="shared" si="2"/>
        <v>Campus Recruiter</v>
      </c>
      <c r="M665" s="5" t="str">
        <f t="shared" si="3"/>
        <v/>
      </c>
      <c r="N665" s="5" t="str">
        <f t="shared" si="4"/>
        <v>American Express</v>
      </c>
      <c r="O665" s="5" t="str">
        <f t="shared" si="5"/>
        <v>2 months in role</v>
      </c>
      <c r="P665" s="5" t="str">
        <f t="shared" si="6"/>
        <v>London</v>
      </c>
      <c r="Q665" s="5" t="str">
        <f t="shared" si="7"/>
        <v>England</v>
      </c>
      <c r="R665" s="5" t="str">
        <f t="shared" si="8"/>
        <v>United Kingdom</v>
      </c>
    </row>
    <row r="666">
      <c r="A666" s="8" t="s">
        <v>6328</v>
      </c>
      <c r="B666" s="10" t="s">
        <v>6329</v>
      </c>
      <c r="C666" s="10" t="s">
        <v>4674</v>
      </c>
      <c r="D666" s="10"/>
      <c r="E666" s="10" t="s">
        <v>1233</v>
      </c>
      <c r="F666" s="10" t="s">
        <v>192</v>
      </c>
      <c r="G666" s="11" t="s">
        <v>112</v>
      </c>
      <c r="H666" s="11" t="s">
        <v>38</v>
      </c>
      <c r="I666" s="11" t="s">
        <v>18</v>
      </c>
      <c r="J666" s="9" t="str">
        <f>IFERROR(__xludf.DUMMYFUNCTION("""COMPUTED_VALUE"""),"https://www.google.com/search?newwindow=1&amp;ei=2MT0XrvGGM-vytMP1OyDgAY&amp;q=site%3Alinkedin.com+Paul+Davies+Graduate+/+PhD+Recruiter+in+Finance")</f>
        <v>https://www.google.com/search?newwindow=1&amp;ei=2MT0XrvGGM-vytMP1OyDgAY&amp;q=site%3Alinkedin.com+Paul+Davies+Graduate+/+PhD+Recruiter+in+Finance</v>
      </c>
      <c r="K666" s="5" t="str">
        <f t="shared" si="1"/>
        <v>Paul Davies</v>
      </c>
      <c r="L666" s="5" t="str">
        <f t="shared" si="2"/>
        <v>Graduate / PhD Recruiter in Finance</v>
      </c>
      <c r="M666" s="5" t="str">
        <f t="shared" si="3"/>
        <v/>
      </c>
      <c r="N666" s="5" t="str">
        <f t="shared" si="4"/>
        <v>The Campus Recruitment Practice</v>
      </c>
      <c r="O666" s="5" t="str">
        <f t="shared" si="5"/>
        <v>11 years 9 months in role and company</v>
      </c>
      <c r="P666" s="5" t="str">
        <f t="shared" si="6"/>
        <v>London</v>
      </c>
      <c r="Q666" s="5" t="str">
        <f t="shared" si="7"/>
        <v>England</v>
      </c>
      <c r="R666" s="5" t="str">
        <f t="shared" si="8"/>
        <v>United Kingdom</v>
      </c>
    </row>
    <row r="667">
      <c r="A667" s="8" t="s">
        <v>6330</v>
      </c>
      <c r="B667" s="10" t="s">
        <v>6331</v>
      </c>
      <c r="C667" s="10" t="s">
        <v>4674</v>
      </c>
      <c r="D667" s="10"/>
      <c r="E667" s="10" t="s">
        <v>1233</v>
      </c>
      <c r="F667" s="10" t="s">
        <v>79</v>
      </c>
      <c r="G667" s="11" t="s">
        <v>112</v>
      </c>
      <c r="H667" s="11" t="s">
        <v>38</v>
      </c>
      <c r="I667" s="11" t="s">
        <v>18</v>
      </c>
      <c r="J667" s="9" t="str">
        <f>IFERROR(__xludf.DUMMYFUNCTION("""COMPUTED_VALUE"""),"https://www.google.com/search?newwindow=1&amp;ei=2MT0XrvGGM-vytMP1OyDgAY&amp;q=site%3Alinkedin.com+Audrey+Kerloc'h+☁+EMEA+Campus+Recruiter")</f>
        <v>https://www.google.com/search?newwindow=1&amp;ei=2MT0XrvGGM-vytMP1OyDgAY&amp;q=site%3Alinkedin.com+Audrey+Kerloc'h+☁+EMEA+Campus+Recruiter</v>
      </c>
      <c r="K667" s="5" t="str">
        <f t="shared" si="1"/>
        <v>Audrey Kerloc'h ☁</v>
      </c>
      <c r="L667" s="5" t="str">
        <f t="shared" si="2"/>
        <v>EMEA Campus Recruiter</v>
      </c>
      <c r="M667" s="5" t="str">
        <f t="shared" si="3"/>
        <v/>
      </c>
      <c r="N667" s="5" t="str">
        <f t="shared" si="4"/>
        <v>FIS</v>
      </c>
      <c r="O667" s="5" t="str">
        <f t="shared" si="5"/>
        <v>2 years 3 months in role</v>
      </c>
      <c r="P667" s="5" t="str">
        <f t="shared" si="6"/>
        <v>London</v>
      </c>
      <c r="Q667" s="5" t="str">
        <f t="shared" si="7"/>
        <v>England</v>
      </c>
      <c r="R667" s="5" t="str">
        <f t="shared" si="8"/>
        <v>United Kingdom</v>
      </c>
    </row>
    <row r="668">
      <c r="A668" s="8" t="s">
        <v>6332</v>
      </c>
      <c r="B668" s="12" t="s">
        <v>6333</v>
      </c>
      <c r="C668" s="10" t="s">
        <v>4674</v>
      </c>
      <c r="D668" s="10"/>
      <c r="E668" s="10" t="s">
        <v>1233</v>
      </c>
      <c r="F668" s="10" t="s">
        <v>5985</v>
      </c>
      <c r="G668" s="11" t="s">
        <v>112</v>
      </c>
      <c r="H668" s="11" t="s">
        <v>38</v>
      </c>
      <c r="I668" s="11" t="s">
        <v>18</v>
      </c>
      <c r="J668" s="9" t="str">
        <f>IFERROR(__xludf.DUMMYFUNCTION("""COMPUTED_VALUE"""),"https://www.google.com/search?newwindow=1&amp;ei=2MT0XrvGGM-vytMP1OyDgAY&amp;q=site%3Alinkedin.com+James+J.+Senior+Graduate+and+Early+Career+Recruiter")</f>
        <v>https://www.google.com/search?newwindow=1&amp;ei=2MT0XrvGGM-vytMP1OyDgAY&amp;q=site%3Alinkedin.com+James+J.+Senior+Graduate+and+Early+Career+Recruiter</v>
      </c>
      <c r="K668" s="5" t="str">
        <f t="shared" si="1"/>
        <v>James J.</v>
      </c>
      <c r="L668" s="5" t="str">
        <f t="shared" si="2"/>
        <v>Senior Graduate and Early Career Recruiter</v>
      </c>
      <c r="M668" s="5" t="str">
        <f t="shared" si="3"/>
        <v/>
      </c>
      <c r="N668" s="5" t="str">
        <f t="shared" si="4"/>
        <v>Cognizant</v>
      </c>
      <c r="O668" s="5" t="str">
        <f t="shared" si="5"/>
        <v>3 years 11 months in role and company</v>
      </c>
      <c r="P668" s="5" t="str">
        <f t="shared" si="6"/>
        <v>London</v>
      </c>
      <c r="Q668" s="5" t="str">
        <f t="shared" si="7"/>
        <v>England</v>
      </c>
      <c r="R668" s="5" t="str">
        <f t="shared" si="8"/>
        <v>United Kingdom</v>
      </c>
    </row>
    <row r="669">
      <c r="A669" s="8" t="s">
        <v>6334</v>
      </c>
      <c r="B669" s="10" t="s">
        <v>6335</v>
      </c>
      <c r="C669" s="10" t="s">
        <v>4749</v>
      </c>
      <c r="D669" s="10"/>
      <c r="E669" s="10" t="s">
        <v>4701</v>
      </c>
      <c r="F669" s="10" t="s">
        <v>48</v>
      </c>
      <c r="G669" s="11" t="s">
        <v>112</v>
      </c>
      <c r="H669" s="11" t="s">
        <v>38</v>
      </c>
      <c r="I669" s="11" t="s">
        <v>18</v>
      </c>
      <c r="J669" s="9" t="str">
        <f>IFERROR(__xludf.DUMMYFUNCTION("""COMPUTED_VALUE"""),"https://www.google.com/search?newwindow=1&amp;ei=2MT0XrvGGM-vytMP1OyDgAY&amp;q=site%3Alinkedin.com+Stefani+Zaharieva+Campus+Recruiter+EMEA")</f>
        <v>https://www.google.com/search?newwindow=1&amp;ei=2MT0XrvGGM-vytMP1OyDgAY&amp;q=site%3Alinkedin.com+Stefani+Zaharieva+Campus+Recruiter+EMEA</v>
      </c>
      <c r="K669" s="5" t="str">
        <f t="shared" si="1"/>
        <v>Stefani Zaharieva</v>
      </c>
      <c r="L669" s="5" t="str">
        <f t="shared" si="2"/>
        <v>Campus Recruiter EMEA</v>
      </c>
      <c r="M669" s="5" t="str">
        <f t="shared" si="3"/>
        <v/>
      </c>
      <c r="N669" s="5" t="str">
        <f t="shared" si="4"/>
        <v>BlackRock</v>
      </c>
      <c r="O669" s="5" t="str">
        <f t="shared" si="5"/>
        <v>2 months in role and company</v>
      </c>
      <c r="P669" s="5" t="str">
        <f t="shared" si="6"/>
        <v>London</v>
      </c>
      <c r="Q669" s="5" t="str">
        <f t="shared" si="7"/>
        <v>England</v>
      </c>
      <c r="R669" s="5" t="str">
        <f t="shared" si="8"/>
        <v>United Kingdom</v>
      </c>
    </row>
    <row r="670">
      <c r="A670" s="8" t="s">
        <v>6336</v>
      </c>
      <c r="B670" s="10" t="s">
        <v>2861</v>
      </c>
      <c r="C670" s="10" t="s">
        <v>2862</v>
      </c>
      <c r="D670" s="10"/>
      <c r="E670" s="10" t="s">
        <v>2839</v>
      </c>
      <c r="F670" s="10" t="s">
        <v>488</v>
      </c>
      <c r="G670" s="11" t="s">
        <v>112</v>
      </c>
      <c r="H670" s="11" t="s">
        <v>38</v>
      </c>
      <c r="I670" s="11" t="s">
        <v>18</v>
      </c>
      <c r="J670" s="9" t="str">
        <f>IFERROR(__xludf.DUMMYFUNCTION("""COMPUTED_VALUE"""),"https://www.google.com/search?newwindow=1&amp;ei=2MT0XrvGGM-vytMP1OyDgAY&amp;q=site%3Alinkedin.com+Beatrice+Lupi+Campus+Recruiter+-+EMEA+Operations")</f>
        <v>https://www.google.com/search?newwindow=1&amp;ei=2MT0XrvGGM-vytMP1OyDgAY&amp;q=site%3Alinkedin.com+Beatrice+Lupi+Campus+Recruiter+-+EMEA+Operations</v>
      </c>
      <c r="K670" s="5" t="str">
        <f t="shared" si="1"/>
        <v>Beatrice Lupi</v>
      </c>
      <c r="L670" s="5" t="str">
        <f t="shared" si="2"/>
        <v>Campus Recruiter - EMEA Operations</v>
      </c>
      <c r="M670" s="5" t="str">
        <f t="shared" si="3"/>
        <v/>
      </c>
      <c r="N670" s="5" t="str">
        <f t="shared" si="4"/>
        <v>Amazon</v>
      </c>
      <c r="O670" s="5" t="str">
        <f t="shared" si="5"/>
        <v>9 months in role and company</v>
      </c>
      <c r="P670" s="5" t="str">
        <f t="shared" si="6"/>
        <v>London</v>
      </c>
      <c r="Q670" s="5" t="str">
        <f t="shared" si="7"/>
        <v>England</v>
      </c>
      <c r="R670" s="5" t="str">
        <f t="shared" si="8"/>
        <v>United Kingdom</v>
      </c>
    </row>
    <row r="671">
      <c r="A671" s="8" t="s">
        <v>6337</v>
      </c>
      <c r="B671" s="10" t="s">
        <v>6338</v>
      </c>
      <c r="C671" s="10" t="s">
        <v>6339</v>
      </c>
      <c r="D671" s="10"/>
      <c r="E671" s="10" t="s">
        <v>4659</v>
      </c>
      <c r="F671" s="10" t="s">
        <v>53</v>
      </c>
      <c r="G671" s="11" t="s">
        <v>112</v>
      </c>
      <c r="H671" s="11" t="s">
        <v>38</v>
      </c>
      <c r="I671" s="11" t="s">
        <v>18</v>
      </c>
      <c r="J671" s="9" t="str">
        <f>IFERROR(__xludf.DUMMYFUNCTION("""COMPUTED_VALUE"""),"https://www.google.com/search?newwindow=1&amp;ei=2MT0XrvGGM-vytMP1OyDgAY&amp;q=site%3Alinkedin.com+Sarah+Scadding+(Assoc+CIPD)+Early+Careers+Recruiter+-+Campus+&amp;+Diversity")</f>
        <v>https://www.google.com/search?newwindow=1&amp;ei=2MT0XrvGGM-vytMP1OyDgAY&amp;q=site%3Alinkedin.com+Sarah+Scadding+(Assoc+CIPD)+Early+Careers+Recruiter+-+Campus+&amp;+Diversity</v>
      </c>
      <c r="K671" s="5" t="str">
        <f t="shared" si="1"/>
        <v>Sarah Scadding (Assoc CIPD)</v>
      </c>
      <c r="L671" s="5" t="str">
        <f t="shared" si="2"/>
        <v>Early Careers Recruiter - Campus &amp; Diversity</v>
      </c>
      <c r="M671" s="5" t="str">
        <f t="shared" si="3"/>
        <v/>
      </c>
      <c r="N671" s="5" t="str">
        <f t="shared" si="4"/>
        <v>Deutsche Bank</v>
      </c>
      <c r="O671" s="5" t="str">
        <f t="shared" si="5"/>
        <v>2 months in role and company</v>
      </c>
      <c r="P671" s="5" t="str">
        <f t="shared" si="6"/>
        <v>London</v>
      </c>
      <c r="Q671" s="5" t="str">
        <f t="shared" si="7"/>
        <v>England</v>
      </c>
      <c r="R671" s="5" t="str">
        <f t="shared" si="8"/>
        <v>United Kingdom</v>
      </c>
    </row>
    <row r="672">
      <c r="A672" s="8" t="s">
        <v>6340</v>
      </c>
      <c r="B672" s="12" t="s">
        <v>6341</v>
      </c>
      <c r="C672" s="10" t="s">
        <v>6342</v>
      </c>
      <c r="D672" s="10"/>
      <c r="E672" s="10" t="s">
        <v>4611</v>
      </c>
      <c r="F672" s="10" t="s">
        <v>686</v>
      </c>
      <c r="G672" s="11" t="s">
        <v>112</v>
      </c>
      <c r="H672" s="11" t="s">
        <v>38</v>
      </c>
      <c r="I672" s="11" t="s">
        <v>18</v>
      </c>
      <c r="J672" s="9" t="str">
        <f>IFERROR(__xludf.DUMMYFUNCTION("""COMPUTED_VALUE"""),"https://www.google.com/search?newwindow=1&amp;ei=2MT0XrvGGM-vytMP1OyDgAY&amp;q=site%3Alinkedin.com+Rumana+Hassan+EMEA+Engineering+Campus+Recruiter")</f>
        <v>https://www.google.com/search?newwindow=1&amp;ei=2MT0XrvGGM-vytMP1OyDgAY&amp;q=site%3Alinkedin.com+Rumana+Hassan+EMEA+Engineering+Campus+Recruiter</v>
      </c>
      <c r="K672" s="5" t="str">
        <f t="shared" si="1"/>
        <v>Rumana Hassan</v>
      </c>
      <c r="L672" s="5" t="str">
        <f t="shared" si="2"/>
        <v>EMEA Engineering Campus Recruiter</v>
      </c>
      <c r="M672" s="5" t="str">
        <f t="shared" si="3"/>
        <v/>
      </c>
      <c r="N672" s="5" t="str">
        <f t="shared" si="4"/>
        <v>Bloomberg LP</v>
      </c>
      <c r="O672" s="5" t="str">
        <f t="shared" si="5"/>
        <v>4 months in role and company</v>
      </c>
      <c r="P672" s="5" t="str">
        <f t="shared" si="6"/>
        <v>London</v>
      </c>
      <c r="Q672" s="5" t="str">
        <f t="shared" si="7"/>
        <v>England</v>
      </c>
      <c r="R672" s="5" t="str">
        <f t="shared" si="8"/>
        <v>United Kingdom</v>
      </c>
    </row>
    <row r="673">
      <c r="A673" s="8" t="s">
        <v>6343</v>
      </c>
      <c r="B673" s="10" t="s">
        <v>6344</v>
      </c>
      <c r="C673" s="10" t="s">
        <v>4677</v>
      </c>
      <c r="D673" s="10"/>
      <c r="E673" s="10" t="s">
        <v>1233</v>
      </c>
      <c r="F673" s="10" t="s">
        <v>192</v>
      </c>
      <c r="G673" s="11" t="s">
        <v>112</v>
      </c>
      <c r="H673" s="11" t="s">
        <v>38</v>
      </c>
      <c r="I673" s="11" t="s">
        <v>18</v>
      </c>
      <c r="J673" s="9" t="str">
        <f>IFERROR(__xludf.DUMMYFUNCTION("""COMPUTED_VALUE"""),"https://www.google.com/search?newwindow=1&amp;ei=2MT0XrvGGM-vytMP1OyDgAY&amp;q=site%3Alinkedin.com+Eilish+McGovern+Campus+Recruitment+Coordinator+-+EMEA+Student+Programs")</f>
        <v>https://www.google.com/search?newwindow=1&amp;ei=2MT0XrvGGM-vytMP1OyDgAY&amp;q=site%3Alinkedin.com+Eilish+McGovern+Campus+Recruitment+Coordinator+-+EMEA+Student+Programs</v>
      </c>
      <c r="K673" s="5" t="str">
        <f t="shared" si="1"/>
        <v>Eilish McGovern</v>
      </c>
      <c r="L673" s="5" t="str">
        <f t="shared" si="2"/>
        <v>Campus Recruitment Coordinator - EMEA Student Programs</v>
      </c>
      <c r="M673" s="5" t="str">
        <f t="shared" si="3"/>
        <v/>
      </c>
      <c r="N673" s="5" t="str">
        <f t="shared" si="4"/>
        <v>Amazon</v>
      </c>
      <c r="O673" s="5" t="str">
        <f t="shared" si="5"/>
        <v>3 months in role and company</v>
      </c>
      <c r="P673" s="5" t="str">
        <f t="shared" si="6"/>
        <v>London</v>
      </c>
      <c r="Q673" s="5" t="str">
        <f t="shared" si="7"/>
        <v>England</v>
      </c>
      <c r="R673" s="5" t="str">
        <f t="shared" si="8"/>
        <v>United Kingdom</v>
      </c>
    </row>
    <row r="674">
      <c r="A674" s="8" t="s">
        <v>6345</v>
      </c>
      <c r="B674" s="12" t="s">
        <v>2864</v>
      </c>
      <c r="C674" s="10" t="s">
        <v>2865</v>
      </c>
      <c r="D674" s="10"/>
      <c r="E674" s="10" t="s">
        <v>2839</v>
      </c>
      <c r="F674" s="10" t="s">
        <v>2035</v>
      </c>
      <c r="G674" s="11" t="s">
        <v>112</v>
      </c>
      <c r="H674" s="11" t="s">
        <v>38</v>
      </c>
      <c r="I674" s="11" t="s">
        <v>18</v>
      </c>
      <c r="J674" s="9" t="str">
        <f>IFERROR(__xludf.DUMMYFUNCTION("""COMPUTED_VALUE"""),"https://www.google.com/search?newwindow=1&amp;ei=2MT0XrvGGM-vytMP1OyDgAY&amp;q=site%3Alinkedin.com+Kelvin+Jones+(Abdul+Kareem)+Director+of+International,+Recruitment+(Representing+University+of+Law)")</f>
        <v>https://www.google.com/search?newwindow=1&amp;ei=2MT0XrvGGM-vytMP1OyDgAY&amp;q=site%3Alinkedin.com+Kelvin+Jones+(Abdul+Kareem)+Director+of+International,+Recruitment+(Representing+University+of+Law)</v>
      </c>
      <c r="K674" s="5" t="str">
        <f t="shared" si="1"/>
        <v>Kelvin Jones (Abdul Kareem)</v>
      </c>
      <c r="L674" s="5" t="str">
        <f t="shared" si="2"/>
        <v>Director of International, Recruitment (Representing University of Law)</v>
      </c>
      <c r="M674" s="5" t="str">
        <f t="shared" si="3"/>
        <v/>
      </c>
      <c r="N674" s="5" t="str">
        <f t="shared" si="4"/>
        <v>Global University Systems</v>
      </c>
      <c r="O674" s="5" t="str">
        <f t="shared" si="5"/>
        <v>3 years 1 month in role and company</v>
      </c>
      <c r="P674" s="5" t="str">
        <f t="shared" si="6"/>
        <v>London</v>
      </c>
      <c r="Q674" s="5" t="str">
        <f t="shared" si="7"/>
        <v>England</v>
      </c>
      <c r="R674" s="5" t="str">
        <f t="shared" si="8"/>
        <v>United Kingdom</v>
      </c>
    </row>
    <row r="675">
      <c r="A675" s="8" t="s">
        <v>6346</v>
      </c>
      <c r="B675" s="10" t="s">
        <v>6347</v>
      </c>
      <c r="C675" s="10" t="s">
        <v>4749</v>
      </c>
      <c r="D675" s="10"/>
      <c r="E675" s="10" t="s">
        <v>4701</v>
      </c>
      <c r="F675" s="10" t="s">
        <v>36</v>
      </c>
      <c r="G675" s="11" t="s">
        <v>112</v>
      </c>
      <c r="H675" s="11" t="s">
        <v>38</v>
      </c>
      <c r="I675" s="11" t="s">
        <v>18</v>
      </c>
      <c r="J675" s="9" t="str">
        <f>IFERROR(__xludf.DUMMYFUNCTION("""COMPUTED_VALUE"""),"https://www.google.com/search?newwindow=1&amp;ei=2MT0XrvGGM-vytMP1OyDgAY&amp;q=site%3Alinkedin.com+Greg+Duffy+Senior+Campus+Recruiter+-+Capital+Markets+and+Wealth+Management")</f>
        <v>https://www.google.com/search?newwindow=1&amp;ei=2MT0XrvGGM-vytMP1OyDgAY&amp;q=site%3Alinkedin.com+Greg+Duffy+Senior+Campus+Recruiter+-+Capital+Markets+and+Wealth+Management</v>
      </c>
      <c r="K675" s="5" t="str">
        <f t="shared" si="1"/>
        <v>Greg Duffy</v>
      </c>
      <c r="L675" s="5" t="str">
        <f t="shared" si="2"/>
        <v>Senior Campus Recruiter - Capital Markets and Wealth Management</v>
      </c>
      <c r="M675" s="5" t="str">
        <f t="shared" si="3"/>
        <v/>
      </c>
      <c r="N675" s="5" t="str">
        <f t="shared" si="4"/>
        <v>RBC Capital Markets</v>
      </c>
      <c r="O675" s="5" t="str">
        <f t="shared" si="5"/>
        <v>2 years 7 months in role</v>
      </c>
      <c r="P675" s="5" t="str">
        <f t="shared" si="6"/>
        <v>London</v>
      </c>
      <c r="Q675" s="5" t="str">
        <f t="shared" si="7"/>
        <v>England</v>
      </c>
      <c r="R675" s="5" t="str">
        <f t="shared" si="8"/>
        <v>United Kingdom</v>
      </c>
    </row>
    <row r="676">
      <c r="A676" s="8" t="s">
        <v>6348</v>
      </c>
      <c r="B676" s="10" t="s">
        <v>6349</v>
      </c>
      <c r="C676" s="10" t="s">
        <v>1378</v>
      </c>
      <c r="D676" s="10"/>
      <c r="E676" s="10" t="s">
        <v>1233</v>
      </c>
      <c r="F676" s="10" t="s">
        <v>376</v>
      </c>
      <c r="G676" s="11" t="s">
        <v>112</v>
      </c>
      <c r="H676" s="11" t="s">
        <v>38</v>
      </c>
      <c r="I676" s="11" t="s">
        <v>18</v>
      </c>
      <c r="J676" s="9" t="str">
        <f>IFERROR(__xludf.DUMMYFUNCTION("""COMPUTED_VALUE"""),"https://www.google.com/search?newwindow=1&amp;ei=2MT0XrvGGM-vytMP1OyDgAY&amp;q=site%3Alinkedin.com+Bianca+Sabatini+Candidate+Service+Recruiter,+Student+Programs")</f>
        <v>https://www.google.com/search?newwindow=1&amp;ei=2MT0XrvGGM-vytMP1OyDgAY&amp;q=site%3Alinkedin.com+Bianca+Sabatini+Candidate+Service+Recruiter,+Student+Programs</v>
      </c>
      <c r="K676" s="5" t="str">
        <f t="shared" si="1"/>
        <v>Bianca Sabatini</v>
      </c>
      <c r="L676" s="5" t="str">
        <f t="shared" si="2"/>
        <v>Candidate Service Recruiter, Student Programs</v>
      </c>
      <c r="M676" s="5" t="str">
        <f t="shared" si="3"/>
        <v/>
      </c>
      <c r="N676" s="5" t="str">
        <f t="shared" si="4"/>
        <v>Amazon</v>
      </c>
      <c r="O676" s="5" t="str">
        <f t="shared" si="5"/>
        <v>2 months in role</v>
      </c>
      <c r="P676" s="5" t="str">
        <f t="shared" si="6"/>
        <v>London</v>
      </c>
      <c r="Q676" s="5" t="str">
        <f t="shared" si="7"/>
        <v>England</v>
      </c>
      <c r="R676" s="5" t="str">
        <f t="shared" si="8"/>
        <v>United Kingdom</v>
      </c>
    </row>
    <row r="677">
      <c r="A677" s="8" t="s">
        <v>6350</v>
      </c>
      <c r="B677" s="12" t="s">
        <v>6351</v>
      </c>
      <c r="C677" s="10" t="s">
        <v>4674</v>
      </c>
      <c r="D677" s="10"/>
      <c r="E677" s="10" t="s">
        <v>1233</v>
      </c>
      <c r="F677" s="10" t="s">
        <v>345</v>
      </c>
      <c r="G677" s="11" t="s">
        <v>112</v>
      </c>
      <c r="H677" s="11" t="s">
        <v>38</v>
      </c>
      <c r="I677" s="11" t="s">
        <v>18</v>
      </c>
      <c r="J677" s="9" t="str">
        <f>IFERROR(__xludf.DUMMYFUNCTION("""COMPUTED_VALUE"""),"https://www.google.com/search?newwindow=1&amp;ei=2MT0XrvGGM-vytMP1OyDgAY&amp;q=site%3Alinkedin.com+Neil+Shaw+Senior+Graduate+Recruiter,+Europe")</f>
        <v>https://www.google.com/search?newwindow=1&amp;ei=2MT0XrvGGM-vytMP1OyDgAY&amp;q=site%3Alinkedin.com+Neil+Shaw+Senior+Graduate+Recruiter,+Europe</v>
      </c>
      <c r="K677" s="5" t="str">
        <f t="shared" si="1"/>
        <v>Neil Shaw</v>
      </c>
      <c r="L677" s="5" t="str">
        <f t="shared" si="2"/>
        <v>Senior Graduate Recruiter, Europe</v>
      </c>
      <c r="M677" s="5" t="str">
        <f t="shared" si="3"/>
        <v/>
      </c>
      <c r="N677" s="5" t="str">
        <f t="shared" si="4"/>
        <v>AECOM</v>
      </c>
      <c r="O677" s="5" t="str">
        <f t="shared" si="5"/>
        <v>9 years 6 months in role and company</v>
      </c>
      <c r="P677" s="5" t="str">
        <f t="shared" si="6"/>
        <v>London</v>
      </c>
      <c r="Q677" s="5" t="str">
        <f t="shared" si="7"/>
        <v>England</v>
      </c>
      <c r="R677" s="5" t="str">
        <f t="shared" si="8"/>
        <v>United Kingdom</v>
      </c>
    </row>
    <row r="678">
      <c r="A678" s="8" t="s">
        <v>6352</v>
      </c>
      <c r="B678" s="10" t="s">
        <v>6353</v>
      </c>
      <c r="C678" s="10" t="s">
        <v>6354</v>
      </c>
      <c r="D678" s="10"/>
      <c r="E678" s="10" t="s">
        <v>4701</v>
      </c>
      <c r="F678" s="10" t="s">
        <v>192</v>
      </c>
      <c r="G678" s="11" t="s">
        <v>112</v>
      </c>
      <c r="H678" s="11" t="s">
        <v>38</v>
      </c>
      <c r="I678" s="11" t="s">
        <v>18</v>
      </c>
      <c r="J678" s="9" t="str">
        <f>IFERROR(__xludf.DUMMYFUNCTION("""COMPUTED_VALUE"""),"https://www.google.com/search?newwindow=1&amp;ei=2MT0XrvGGM-vytMP1OyDgAY&amp;q=site%3Alinkedin.com+Luke+Rogers+University+Recruiter")</f>
        <v>https://www.google.com/search?newwindow=1&amp;ei=2MT0XrvGGM-vytMP1OyDgAY&amp;q=site%3Alinkedin.com+Luke+Rogers+University+Recruiter</v>
      </c>
      <c r="K678" s="5" t="str">
        <f t="shared" si="1"/>
        <v>Luke Rogers</v>
      </c>
      <c r="L678" s="5" t="str">
        <f t="shared" si="2"/>
        <v>University Recruiter</v>
      </c>
      <c r="M678" s="5" t="str">
        <f t="shared" si="3"/>
        <v/>
      </c>
      <c r="N678" s="5" t="str">
        <f t="shared" si="4"/>
        <v>Gartner</v>
      </c>
      <c r="O678" s="5" t="str">
        <f t="shared" si="5"/>
        <v>5 months in role and company</v>
      </c>
      <c r="P678" s="5" t="str">
        <f t="shared" si="6"/>
        <v>London</v>
      </c>
      <c r="Q678" s="5" t="str">
        <f t="shared" si="7"/>
        <v>England</v>
      </c>
      <c r="R678" s="5" t="str">
        <f t="shared" si="8"/>
        <v>United Kingdom</v>
      </c>
    </row>
    <row r="679">
      <c r="A679" s="8" t="s">
        <v>6355</v>
      </c>
      <c r="B679" s="10" t="s">
        <v>6356</v>
      </c>
      <c r="C679" s="10" t="s">
        <v>6357</v>
      </c>
      <c r="D679" s="10"/>
      <c r="E679" s="10" t="s">
        <v>5889</v>
      </c>
      <c r="F679" s="10" t="s">
        <v>4165</v>
      </c>
      <c r="G679" s="11" t="s">
        <v>112</v>
      </c>
      <c r="H679" s="11" t="s">
        <v>38</v>
      </c>
      <c r="I679" s="11" t="s">
        <v>18</v>
      </c>
      <c r="J679" s="9" t="str">
        <f>IFERROR(__xludf.DUMMYFUNCTION("""COMPUTED_VALUE"""),"https://www.google.com/search?newwindow=1&amp;ei=2MT0XrvGGM-vytMP1OyDgAY&amp;q=site%3Alinkedin.com+Amy+W.+Senior+Campus+Recruiter")</f>
        <v>https://www.google.com/search?newwindow=1&amp;ei=2MT0XrvGGM-vytMP1OyDgAY&amp;q=site%3Alinkedin.com+Amy+W.+Senior+Campus+Recruiter</v>
      </c>
      <c r="K679" s="5" t="str">
        <f t="shared" si="1"/>
        <v>Amy W.</v>
      </c>
      <c r="L679" s="5" t="str">
        <f t="shared" si="2"/>
        <v>Senior Campus Recruiter</v>
      </c>
      <c r="M679" s="5" t="str">
        <f t="shared" si="3"/>
        <v/>
      </c>
      <c r="N679" s="5" t="str">
        <f t="shared" si="4"/>
        <v>Morgan Stanley</v>
      </c>
      <c r="O679" s="5" t="str">
        <f t="shared" si="5"/>
        <v>10 months in role</v>
      </c>
      <c r="P679" s="5" t="str">
        <f t="shared" si="6"/>
        <v>London</v>
      </c>
      <c r="Q679" s="5" t="str">
        <f t="shared" si="7"/>
        <v>England</v>
      </c>
      <c r="R679" s="5" t="str">
        <f t="shared" si="8"/>
        <v>United Kingdom</v>
      </c>
    </row>
    <row r="680">
      <c r="A680" s="8" t="s">
        <v>6358</v>
      </c>
      <c r="B680" s="10" t="s">
        <v>6359</v>
      </c>
      <c r="C680" s="10" t="s">
        <v>6360</v>
      </c>
      <c r="D680" s="10"/>
      <c r="E680" s="10" t="s">
        <v>6361</v>
      </c>
      <c r="F680" s="10" t="s">
        <v>6362</v>
      </c>
      <c r="G680" s="11" t="s">
        <v>6363</v>
      </c>
      <c r="H680" s="11" t="s">
        <v>4757</v>
      </c>
      <c r="I680" s="11" t="s">
        <v>4607</v>
      </c>
      <c r="J680" s="9" t="str">
        <f>IFERROR(__xludf.DUMMYFUNCTION("""COMPUTED_VALUE"""),"https://www.google.com/search?newwindow=1&amp;ei=2MT0XrvGGM-vytMP1OyDgAY&amp;q=site%3Alinkedin.com+Rebecca+Cragoe+Campus+Recruiter")</f>
        <v>https://www.google.com/search?newwindow=1&amp;ei=2MT0XrvGGM-vytMP1OyDgAY&amp;q=site%3Alinkedin.com+Rebecca+Cragoe+Campus+Recruiter</v>
      </c>
      <c r="K680" s="5" t="str">
        <f t="shared" si="1"/>
        <v>Rebecca Cragoe</v>
      </c>
      <c r="L680" s="5" t="str">
        <f t="shared" si="2"/>
        <v>Campus Recruiter</v>
      </c>
      <c r="M680" s="5" t="str">
        <f t="shared" si="3"/>
        <v/>
      </c>
      <c r="N680" s="5" t="str">
        <f t="shared" si="4"/>
        <v>RBC</v>
      </c>
      <c r="O680" s="5" t="str">
        <f t="shared" si="5"/>
        <v>1 year  in role</v>
      </c>
      <c r="P680" s="5" t="str">
        <f t="shared" si="6"/>
        <v>London</v>
      </c>
      <c r="Q680" s="5" t="str">
        <f t="shared" si="7"/>
        <v>England</v>
      </c>
      <c r="R680" s="5" t="str">
        <f t="shared" si="8"/>
        <v>United Kingdom</v>
      </c>
    </row>
    <row r="681">
      <c r="A681" s="8" t="s">
        <v>6364</v>
      </c>
      <c r="B681" s="10" t="s">
        <v>6365</v>
      </c>
      <c r="C681" s="10" t="s">
        <v>6366</v>
      </c>
      <c r="D681" s="10"/>
      <c r="E681" s="10" t="s">
        <v>1233</v>
      </c>
      <c r="F681" s="10" t="s">
        <v>1642</v>
      </c>
      <c r="G681" s="11" t="s">
        <v>6367</v>
      </c>
      <c r="H681" s="11" t="s">
        <v>763</v>
      </c>
      <c r="I681" s="11" t="s">
        <v>18</v>
      </c>
      <c r="J681" s="9" t="str">
        <f>IFERROR(__xludf.DUMMYFUNCTION("""COMPUTED_VALUE"""),"https://www.google.com/search?newwindow=1&amp;ei=2MT0XrvGGM-vytMP1OyDgAY&amp;q=site%3Alinkedin.com+Grace+Acquah+Regional+Lead,+EMEA+Student+Programs+Campus+Attraction+and+Engagement")</f>
        <v>https://www.google.com/search?newwindow=1&amp;ei=2MT0XrvGGM-vytMP1OyDgAY&amp;q=site%3Alinkedin.com+Grace+Acquah+Regional+Lead,+EMEA+Student+Programs+Campus+Attraction+and+Engagement</v>
      </c>
      <c r="K681" s="5" t="str">
        <f t="shared" si="1"/>
        <v>Grace Acquah</v>
      </c>
      <c r="L681" s="5" t="str">
        <f t="shared" si="2"/>
        <v>Regional Lead, EMEA Student Programs Campus Attraction and Engagement</v>
      </c>
      <c r="M681" s="5" t="str">
        <f t="shared" si="3"/>
        <v/>
      </c>
      <c r="N681" s="5" t="str">
        <f t="shared" si="4"/>
        <v>Amazon</v>
      </c>
      <c r="O681" s="5" t="str">
        <f t="shared" si="5"/>
        <v>1 year 1 month in role</v>
      </c>
      <c r="P681" s="5" t="str">
        <f t="shared" si="6"/>
        <v>London</v>
      </c>
      <c r="Q681" s="5" t="str">
        <f t="shared" si="7"/>
        <v>England</v>
      </c>
      <c r="R681" s="5" t="str">
        <f t="shared" si="8"/>
        <v>United Kingdom</v>
      </c>
    </row>
    <row r="682">
      <c r="A682" s="8" t="s">
        <v>6368</v>
      </c>
      <c r="B682" s="10" t="s">
        <v>6369</v>
      </c>
      <c r="C682" s="10" t="s">
        <v>6370</v>
      </c>
      <c r="D682" s="10"/>
      <c r="E682" s="10" t="s">
        <v>3649</v>
      </c>
      <c r="F682" s="10" t="s">
        <v>188</v>
      </c>
      <c r="G682" s="11" t="s">
        <v>1527</v>
      </c>
      <c r="H682" s="11" t="s">
        <v>945</v>
      </c>
      <c r="I682" s="11" t="s">
        <v>18</v>
      </c>
      <c r="J682" s="9" t="str">
        <f>IFERROR(__xludf.DUMMYFUNCTION("""COMPUTED_VALUE"""),"https://www.google.com/search?newwindow=1&amp;ei=2MT0XrvGGM-vytMP1OyDgAY&amp;q=site%3Alinkedin.com+Vandressa+Picht+EMEA+Campus+Recruiter")</f>
        <v>https://www.google.com/search?newwindow=1&amp;ei=2MT0XrvGGM-vytMP1OyDgAY&amp;q=site%3Alinkedin.com+Vandressa+Picht+EMEA+Campus+Recruiter</v>
      </c>
      <c r="K682" s="5" t="str">
        <f t="shared" si="1"/>
        <v>Vandressa Picht</v>
      </c>
      <c r="L682" s="5" t="str">
        <f t="shared" si="2"/>
        <v>EMEA Campus Recruiter</v>
      </c>
      <c r="M682" s="5" t="str">
        <f t="shared" si="3"/>
        <v/>
      </c>
      <c r="N682" s="5" t="str">
        <f t="shared" si="4"/>
        <v>Bloomberg LP</v>
      </c>
      <c r="O682" s="5" t="str">
        <f t="shared" si="5"/>
        <v>2 months in role</v>
      </c>
      <c r="P682" s="5" t="str">
        <f t="shared" si="6"/>
        <v>London</v>
      </c>
      <c r="Q682" s="5" t="str">
        <f t="shared" si="7"/>
        <v>England</v>
      </c>
      <c r="R682" s="5" t="str">
        <f t="shared" si="8"/>
        <v>United Kingdom</v>
      </c>
    </row>
    <row r="683">
      <c r="A683" s="8" t="s">
        <v>6371</v>
      </c>
      <c r="B683" s="10" t="s">
        <v>6372</v>
      </c>
      <c r="C683" s="10" t="s">
        <v>4749</v>
      </c>
      <c r="D683" s="10"/>
      <c r="E683" s="10" t="s">
        <v>4701</v>
      </c>
      <c r="F683" s="10" t="s">
        <v>192</v>
      </c>
      <c r="G683" s="11" t="s">
        <v>1527</v>
      </c>
      <c r="H683" s="11" t="s">
        <v>945</v>
      </c>
      <c r="I683" s="11" t="s">
        <v>18</v>
      </c>
      <c r="J683" s="9" t="str">
        <f>IFERROR(__xludf.DUMMYFUNCTION("""COMPUTED_VALUE"""),"https://www.google.com/search?newwindow=1&amp;ei=2MT0XrvGGM-vytMP1OyDgAY&amp;q=site%3Alinkedin.com+Holly+Thompson+Recruiter+-+UK+Campus")</f>
        <v>https://www.google.com/search?newwindow=1&amp;ei=2MT0XrvGGM-vytMP1OyDgAY&amp;q=site%3Alinkedin.com+Holly+Thompson+Recruiter+-+UK+Campus</v>
      </c>
      <c r="K683" s="5" t="str">
        <f t="shared" si="1"/>
        <v>Holly Thompson</v>
      </c>
      <c r="L683" s="5" t="str">
        <f t="shared" si="2"/>
        <v>Recruiter - UK Campus</v>
      </c>
      <c r="M683" s="5" t="str">
        <f t="shared" si="3"/>
        <v/>
      </c>
      <c r="N683" s="5" t="str">
        <f t="shared" si="4"/>
        <v>McKinsey &amp; Company</v>
      </c>
      <c r="O683" s="5" t="str">
        <f t="shared" si="5"/>
        <v>2 years 3 months in role and company</v>
      </c>
      <c r="P683" s="5" t="str">
        <f t="shared" si="6"/>
        <v>London</v>
      </c>
      <c r="Q683" s="5" t="str">
        <f t="shared" si="7"/>
        <v>England</v>
      </c>
      <c r="R683" s="5" t="str">
        <f t="shared" si="8"/>
        <v>United Kingdom</v>
      </c>
    </row>
    <row r="684">
      <c r="A684" s="8" t="s">
        <v>6373</v>
      </c>
      <c r="B684" s="10" t="s">
        <v>6374</v>
      </c>
      <c r="C684" s="10" t="s">
        <v>4749</v>
      </c>
      <c r="D684" s="10"/>
      <c r="E684" s="10" t="s">
        <v>4701</v>
      </c>
      <c r="F684" s="10" t="s">
        <v>68</v>
      </c>
      <c r="G684" s="11" t="s">
        <v>4137</v>
      </c>
      <c r="H684" s="11" t="s">
        <v>44</v>
      </c>
      <c r="I684" s="11" t="s">
        <v>18</v>
      </c>
      <c r="J684" s="9" t="str">
        <f>IFERROR(__xludf.DUMMYFUNCTION("""COMPUTED_VALUE"""),"https://www.google.com/search?newwindow=1&amp;ei=2MT0XrvGGM-vytMP1OyDgAY&amp;q=site%3Alinkedin.com+Victoria+Didilica+Campus+Recruiting+|+Talent+Acquisition")</f>
        <v>https://www.google.com/search?newwindow=1&amp;ei=2MT0XrvGGM-vytMP1OyDgAY&amp;q=site%3Alinkedin.com+Victoria+Didilica+Campus+Recruiting+|+Talent+Acquisition</v>
      </c>
      <c r="K684" s="5" t="str">
        <f t="shared" si="1"/>
        <v>Victoria Didilica</v>
      </c>
      <c r="L684" s="5" t="str">
        <f t="shared" si="2"/>
        <v>Campus Recruiting | Talent Acquisition</v>
      </c>
      <c r="M684" s="5" t="str">
        <f t="shared" si="3"/>
        <v/>
      </c>
      <c r="N684" s="5" t="str">
        <f t="shared" si="4"/>
        <v>BlackRock</v>
      </c>
      <c r="O684" s="5" t="str">
        <f t="shared" si="5"/>
        <v>5 years 6 months in role and company</v>
      </c>
      <c r="P684" s="5" t="str">
        <f t="shared" si="6"/>
        <v>London</v>
      </c>
      <c r="Q684" s="5" t="str">
        <f t="shared" si="7"/>
        <v>England</v>
      </c>
      <c r="R684" s="5" t="str">
        <f t="shared" si="8"/>
        <v>United Kingdom</v>
      </c>
    </row>
    <row r="685">
      <c r="A685" s="8" t="s">
        <v>6375</v>
      </c>
      <c r="B685" s="10" t="s">
        <v>6376</v>
      </c>
      <c r="C685" s="10" t="s">
        <v>6377</v>
      </c>
      <c r="D685" s="10"/>
      <c r="E685" s="10" t="s">
        <v>4632</v>
      </c>
      <c r="F685" s="10" t="s">
        <v>1123</v>
      </c>
      <c r="G685" s="11" t="s">
        <v>6378</v>
      </c>
      <c r="H685" s="11" t="s">
        <v>4757</v>
      </c>
      <c r="I685" s="11" t="s">
        <v>4607</v>
      </c>
      <c r="J685" s="9" t="str">
        <f>IFERROR(__xludf.DUMMYFUNCTION("""COMPUTED_VALUE"""),"https://www.google.com/search?newwindow=1&amp;ei=2MT0XrvGGM-vytMP1OyDgAY&amp;q=site%3Alinkedin.com+Thomas+Carter+Graduate+Recruiter")</f>
        <v>https://www.google.com/search?newwindow=1&amp;ei=2MT0XrvGGM-vytMP1OyDgAY&amp;q=site%3Alinkedin.com+Thomas+Carter+Graduate+Recruiter</v>
      </c>
      <c r="K685" s="5" t="str">
        <f t="shared" si="1"/>
        <v>Thomas Carter</v>
      </c>
      <c r="L685" s="5" t="str">
        <f t="shared" si="2"/>
        <v>Graduate Recruiter</v>
      </c>
      <c r="M685" s="5" t="str">
        <f t="shared" si="3"/>
        <v/>
      </c>
      <c r="N685" s="5" t="str">
        <f t="shared" si="4"/>
        <v>Merkle EMEA</v>
      </c>
      <c r="O685" s="5" t="str">
        <f t="shared" si="5"/>
        <v>1 year 8 months in role and company</v>
      </c>
      <c r="P685" s="5" t="str">
        <f t="shared" si="6"/>
        <v>London</v>
      </c>
      <c r="Q685" s="5" t="str">
        <f t="shared" si="7"/>
        <v>England</v>
      </c>
      <c r="R685" s="5" t="str">
        <f t="shared" si="8"/>
        <v>United Kingdom</v>
      </c>
    </row>
    <row r="686">
      <c r="A686" s="8" t="s">
        <v>6379</v>
      </c>
      <c r="B686" s="10" t="s">
        <v>6380</v>
      </c>
      <c r="C686" s="10" t="s">
        <v>4581</v>
      </c>
      <c r="D686" s="14" t="s">
        <v>4</v>
      </c>
      <c r="E686" s="10" t="s">
        <v>3208</v>
      </c>
      <c r="F686" s="10" t="s">
        <v>106</v>
      </c>
      <c r="G686" s="11" t="s">
        <v>6381</v>
      </c>
      <c r="H686" s="11" t="s">
        <v>137</v>
      </c>
      <c r="I686" s="11" t="s">
        <v>18</v>
      </c>
      <c r="J686" s="9" t="str">
        <f>IFERROR(__xludf.DUMMYFUNCTION("""COMPUTED_VALUE"""),"https://www.google.com/search?newwindow=1&amp;ei=2MT0XrvGGM-vytMP1OyDgAY&amp;q=site%3Alinkedin.com+Elizabeth+Ogunwusi+Student+Programs+Recruitment+Coordinator")</f>
        <v>https://www.google.com/search?newwindow=1&amp;ei=2MT0XrvGGM-vytMP1OyDgAY&amp;q=site%3Alinkedin.com+Elizabeth+Ogunwusi+Student+Programs+Recruitment+Coordinator</v>
      </c>
      <c r="K686" s="5" t="str">
        <f t="shared" si="1"/>
        <v>Elizabeth Ogunwusi</v>
      </c>
      <c r="L686" s="5" t="str">
        <f t="shared" si="2"/>
        <v>Student Programs Recruitment Coordinator</v>
      </c>
      <c r="M686" s="5" t="str">
        <f t="shared" si="3"/>
        <v/>
      </c>
      <c r="N686" s="5" t="str">
        <f t="shared" si="4"/>
        <v>Amazon</v>
      </c>
      <c r="O686" s="5" t="str">
        <f t="shared" si="5"/>
        <v>7 months in role and company</v>
      </c>
      <c r="P686" s="5" t="str">
        <f t="shared" si="6"/>
        <v>London</v>
      </c>
      <c r="Q686" s="5" t="str">
        <f t="shared" si="7"/>
        <v>England</v>
      </c>
      <c r="R686" s="5" t="str">
        <f t="shared" si="8"/>
        <v>United Kingdom</v>
      </c>
    </row>
    <row r="687">
      <c r="A687" s="8" t="s">
        <v>6382</v>
      </c>
      <c r="B687" s="10" t="s">
        <v>6383</v>
      </c>
      <c r="C687" s="10" t="s">
        <v>6384</v>
      </c>
      <c r="D687" s="10"/>
      <c r="E687" s="10" t="s">
        <v>4611</v>
      </c>
      <c r="F687" s="10" t="s">
        <v>74</v>
      </c>
      <c r="G687" s="11" t="s">
        <v>2387</v>
      </c>
      <c r="H687" s="11" t="s">
        <v>96</v>
      </c>
      <c r="I687" s="11" t="s">
        <v>18</v>
      </c>
      <c r="J687" s="9" t="str">
        <f>IFERROR(__xludf.DUMMYFUNCTION("""COMPUTED_VALUE"""),"https://www.google.com/search?newwindow=1&amp;ei=2MT0XrvGGM-vytMP1OyDgAY&amp;q=site%3Alinkedin.com+Valentina+Jambrušić+Graduate+Recruiter+-+IT/Operations")</f>
        <v>https://www.google.com/search?newwindow=1&amp;ei=2MT0XrvGGM-vytMP1OyDgAY&amp;q=site%3Alinkedin.com+Valentina+Jambrušić+Graduate+Recruiter+-+IT/Operations</v>
      </c>
      <c r="K687" s="5" t="str">
        <f t="shared" si="1"/>
        <v>Valentina Jambrušić</v>
      </c>
      <c r="L687" s="5" t="str">
        <f t="shared" si="2"/>
        <v>Graduate Recruiter - IT/Operations</v>
      </c>
      <c r="M687" s="5" t="str">
        <f t="shared" si="3"/>
        <v/>
      </c>
      <c r="N687" s="5" t="str">
        <f t="shared" si="4"/>
        <v>HSBC</v>
      </c>
      <c r="O687" s="5" t="str">
        <f t="shared" si="5"/>
        <v>3 months in role and company</v>
      </c>
      <c r="P687" s="5" t="str">
        <f t="shared" si="6"/>
        <v>London</v>
      </c>
      <c r="Q687" s="5" t="str">
        <f t="shared" si="7"/>
        <v>England</v>
      </c>
      <c r="R687" s="5" t="str">
        <f t="shared" si="8"/>
        <v>United Kingdom</v>
      </c>
    </row>
    <row r="688">
      <c r="A688" s="8" t="s">
        <v>6385</v>
      </c>
      <c r="B688" s="10" t="s">
        <v>6386</v>
      </c>
      <c r="C688" s="10" t="s">
        <v>6387</v>
      </c>
      <c r="D688" s="10"/>
      <c r="E688" s="10" t="s">
        <v>5320</v>
      </c>
      <c r="F688" s="10" t="s">
        <v>734</v>
      </c>
      <c r="G688" s="11" t="s">
        <v>6388</v>
      </c>
      <c r="H688" s="11" t="s">
        <v>4599</v>
      </c>
      <c r="I688" s="11" t="s">
        <v>4600</v>
      </c>
      <c r="J688" s="9" t="str">
        <f>IFERROR(__xludf.DUMMYFUNCTION("""COMPUTED_VALUE"""),"https://www.google.com/search?newwindow=1&amp;ei=2MT0XrvGGM-vytMP1OyDgAY&amp;q=site%3Alinkedin.com+Parshotam+S.+University+Recruiter+-+Global+Business+Sales+&amp;+Global+Technology+Sales,++EMEA")</f>
        <v>https://www.google.com/search?newwindow=1&amp;ei=2MT0XrvGGM-vytMP1OyDgAY&amp;q=site%3Alinkedin.com+Parshotam+S.+University+Recruiter+-+Global+Business+Sales+&amp;+Global+Technology+Sales,++EMEA</v>
      </c>
      <c r="K688" s="5" t="str">
        <f t="shared" si="1"/>
        <v>Parshotam S.</v>
      </c>
      <c r="L688" s="5" t="str">
        <f t="shared" si="2"/>
        <v>University Recruiter - Global Business Sales &amp; Global Technology Sales,  EMEA</v>
      </c>
      <c r="M688" s="5" t="str">
        <f t="shared" si="3"/>
        <v/>
      </c>
      <c r="N688" s="5" t="str">
        <f t="shared" si="4"/>
        <v>Gartner</v>
      </c>
      <c r="O688" s="5" t="str">
        <f t="shared" si="5"/>
        <v>1 year 2 months in role and company</v>
      </c>
      <c r="P688" s="5" t="str">
        <f t="shared" si="6"/>
        <v>London</v>
      </c>
      <c r="Q688" s="5" t="str">
        <f t="shared" si="7"/>
        <v>England</v>
      </c>
      <c r="R688" s="5" t="str">
        <f t="shared" si="8"/>
        <v>United Kingdom</v>
      </c>
    </row>
    <row r="689">
      <c r="A689" s="8" t="s">
        <v>6389</v>
      </c>
      <c r="B689" s="10" t="s">
        <v>6390</v>
      </c>
      <c r="C689" s="10" t="s">
        <v>6391</v>
      </c>
      <c r="D689" s="10"/>
      <c r="E689" s="10" t="s">
        <v>5069</v>
      </c>
      <c r="F689" s="10" t="s">
        <v>79</v>
      </c>
      <c r="G689" s="11" t="s">
        <v>6388</v>
      </c>
      <c r="H689" s="11" t="s">
        <v>4599</v>
      </c>
      <c r="I689" s="11" t="s">
        <v>4600</v>
      </c>
      <c r="J689" s="9" t="str">
        <f>IFERROR(__xludf.DUMMYFUNCTION("""COMPUTED_VALUE"""),"https://www.google.com/search?newwindow=1&amp;ei=2MT0XrvGGM-vytMP1OyDgAY&amp;q=site%3Alinkedin.com+Phillip+Thomas+Recruiting+Coordinator+Manager,+Student+Programs")</f>
        <v>https://www.google.com/search?newwindow=1&amp;ei=2MT0XrvGGM-vytMP1OyDgAY&amp;q=site%3Alinkedin.com+Phillip+Thomas+Recruiting+Coordinator+Manager,+Student+Programs</v>
      </c>
      <c r="K689" s="5" t="str">
        <f t="shared" si="1"/>
        <v>Phillip Thomas</v>
      </c>
      <c r="L689" s="5" t="str">
        <f t="shared" si="2"/>
        <v>Recruiting Coordinator Manager, Student Programs</v>
      </c>
      <c r="M689" s="5" t="str">
        <f t="shared" si="3"/>
        <v/>
      </c>
      <c r="N689" s="5" t="str">
        <f t="shared" si="4"/>
        <v>Amazon</v>
      </c>
      <c r="O689" s="5" t="str">
        <f t="shared" si="5"/>
        <v>2 months in role and company</v>
      </c>
      <c r="P689" s="5" t="str">
        <f t="shared" si="6"/>
        <v>London</v>
      </c>
      <c r="Q689" s="5" t="str">
        <f t="shared" si="7"/>
        <v>England</v>
      </c>
      <c r="R689" s="5" t="str">
        <f t="shared" si="8"/>
        <v>United Kingdom</v>
      </c>
    </row>
    <row r="690">
      <c r="A690" s="8" t="s">
        <v>6392</v>
      </c>
      <c r="B690" s="10" t="s">
        <v>6393</v>
      </c>
      <c r="C690" s="10" t="s">
        <v>6394</v>
      </c>
      <c r="D690" s="10"/>
      <c r="E690" s="10" t="s">
        <v>5320</v>
      </c>
      <c r="F690" s="10" t="s">
        <v>901</v>
      </c>
      <c r="G690" s="11" t="s">
        <v>6388</v>
      </c>
      <c r="H690" s="11" t="s">
        <v>4599</v>
      </c>
      <c r="I690" s="11" t="s">
        <v>4600</v>
      </c>
      <c r="J690" s="9" t="str">
        <f>IFERROR(__xludf.DUMMYFUNCTION("""COMPUTED_VALUE"""),"https://www.google.com/search?newwindow=1&amp;ei=2MT0XrvGGM-vytMP1OyDgAY&amp;q=site%3Alinkedin.com+Olivia+Aylett+Recruiter+-+UK+Campus+Team")</f>
        <v>https://www.google.com/search?newwindow=1&amp;ei=2MT0XrvGGM-vytMP1OyDgAY&amp;q=site%3Alinkedin.com+Olivia+Aylett+Recruiter+-+UK+Campus+Team</v>
      </c>
      <c r="K690" s="5" t="str">
        <f t="shared" si="1"/>
        <v>Olivia Aylett</v>
      </c>
      <c r="L690" s="5" t="str">
        <f t="shared" si="2"/>
        <v>Recruiter - UK Campus Team</v>
      </c>
      <c r="M690" s="5" t="str">
        <f t="shared" si="3"/>
        <v/>
      </c>
      <c r="N690" s="5" t="str">
        <f t="shared" si="4"/>
        <v>McKinsey &amp; Company</v>
      </c>
      <c r="O690" s="5" t="str">
        <f t="shared" si="5"/>
        <v>11 months in role</v>
      </c>
      <c r="P690" s="5" t="str">
        <f t="shared" si="6"/>
        <v>London</v>
      </c>
      <c r="Q690" s="5" t="str">
        <f t="shared" si="7"/>
        <v>England</v>
      </c>
      <c r="R690" s="5" t="str">
        <f t="shared" si="8"/>
        <v>United Kingdom</v>
      </c>
    </row>
    <row r="691">
      <c r="A691" s="8" t="s">
        <v>6395</v>
      </c>
      <c r="B691" s="12" t="s">
        <v>6396</v>
      </c>
      <c r="C691" s="10" t="s">
        <v>6397</v>
      </c>
      <c r="D691" s="10"/>
      <c r="E691" s="10" t="s">
        <v>5320</v>
      </c>
      <c r="F691" s="10" t="s">
        <v>188</v>
      </c>
      <c r="G691" s="11" t="s">
        <v>6388</v>
      </c>
      <c r="H691" s="11" t="s">
        <v>4599</v>
      </c>
      <c r="I691" s="11" t="s">
        <v>4600</v>
      </c>
      <c r="J691" s="9" t="str">
        <f>IFERROR(__xludf.DUMMYFUNCTION("""COMPUTED_VALUE"""),"https://www.google.com/search?newwindow=1&amp;ei=2MT0XrvGGM-vytMP1OyDgAY&amp;q=site%3Alinkedin.com+Charlotte+Sangster+University+Recruitment+Manager")</f>
        <v>https://www.google.com/search?newwindow=1&amp;ei=2MT0XrvGGM-vytMP1OyDgAY&amp;q=site%3Alinkedin.com+Charlotte+Sangster+University+Recruitment+Manager</v>
      </c>
      <c r="K691" s="5" t="str">
        <f t="shared" si="1"/>
        <v>Charlotte Sangster</v>
      </c>
      <c r="L691" s="5" t="str">
        <f t="shared" si="2"/>
        <v>University Recruitment Manager</v>
      </c>
      <c r="M691" s="5" t="str">
        <f t="shared" si="3"/>
        <v/>
      </c>
      <c r="N691" s="5" t="str">
        <f t="shared" si="4"/>
        <v>Teach First</v>
      </c>
      <c r="O691" s="5" t="str">
        <f t="shared" si="5"/>
        <v>2 years 4 months in role</v>
      </c>
      <c r="P691" s="5" t="str">
        <f t="shared" si="6"/>
        <v>London</v>
      </c>
      <c r="Q691" s="5" t="str">
        <f t="shared" si="7"/>
        <v>England</v>
      </c>
      <c r="R691" s="5" t="str">
        <f t="shared" si="8"/>
        <v>United Kingdom</v>
      </c>
    </row>
    <row r="692">
      <c r="A692" s="8" t="s">
        <v>6385</v>
      </c>
      <c r="B692" s="10" t="s">
        <v>6386</v>
      </c>
      <c r="C692" s="10" t="s">
        <v>6387</v>
      </c>
      <c r="D692" s="10"/>
      <c r="E692" s="10" t="s">
        <v>5320</v>
      </c>
      <c r="F692" s="10" t="s">
        <v>734</v>
      </c>
      <c r="G692" s="11" t="s">
        <v>6388</v>
      </c>
      <c r="H692" s="11" t="s">
        <v>4599</v>
      </c>
      <c r="I692" s="11" t="s">
        <v>4600</v>
      </c>
      <c r="J692" s="9" t="str">
        <f>IFERROR(__xludf.DUMMYFUNCTION("""COMPUTED_VALUE"""),"https://www.google.com/search?newwindow=1&amp;ei=2MT0XrvGGM-vytMP1OyDgAY&amp;q=site%3Alinkedin.com+Sophie+Wallis+EMEA+Campus+Recruiter+&amp;+Programme+Manager")</f>
        <v>https://www.google.com/search?newwindow=1&amp;ei=2MT0XrvGGM-vytMP1OyDgAY&amp;q=site%3Alinkedin.com+Sophie+Wallis+EMEA+Campus+Recruiter+&amp;+Programme+Manager</v>
      </c>
      <c r="K692" s="5" t="str">
        <f t="shared" si="1"/>
        <v>Sophie Wallis</v>
      </c>
      <c r="L692" s="5" t="str">
        <f t="shared" si="2"/>
        <v>EMEA Campus Recruiter &amp; Programme Manager</v>
      </c>
      <c r="M692" s="5" t="str">
        <f t="shared" si="3"/>
        <v/>
      </c>
      <c r="N692" s="5" t="str">
        <f t="shared" si="4"/>
        <v>Bloomberg LP</v>
      </c>
      <c r="O692" s="5" t="str">
        <f t="shared" si="5"/>
        <v>5 months in role and company</v>
      </c>
      <c r="P692" s="5" t="str">
        <f t="shared" si="6"/>
        <v>London</v>
      </c>
      <c r="Q692" s="5" t="str">
        <f t="shared" si="7"/>
        <v>England</v>
      </c>
      <c r="R692" s="5" t="str">
        <f t="shared" si="8"/>
        <v>United Kingdom</v>
      </c>
    </row>
    <row r="693">
      <c r="A693" s="8" t="s">
        <v>6389</v>
      </c>
      <c r="B693" s="10" t="s">
        <v>6390</v>
      </c>
      <c r="C693" s="10" t="s">
        <v>6391</v>
      </c>
      <c r="D693" s="10"/>
      <c r="E693" s="10" t="s">
        <v>5069</v>
      </c>
      <c r="F693" s="10" t="s">
        <v>79</v>
      </c>
      <c r="G693" s="11" t="s">
        <v>6388</v>
      </c>
      <c r="H693" s="11" t="s">
        <v>4599</v>
      </c>
      <c r="I693" s="11" t="s">
        <v>4600</v>
      </c>
      <c r="J693" s="9" t="str">
        <f>IFERROR(__xludf.DUMMYFUNCTION("""COMPUTED_VALUE"""),"https://www.google.com/search?newwindow=1&amp;ei=2MT0XrvGGM-vytMP1OyDgAY&amp;q=site%3Alinkedin.com+Sabrina+Lagana'+Recruiting+Partner+EMEA,+Student+Programs")</f>
        <v>https://www.google.com/search?newwindow=1&amp;ei=2MT0XrvGGM-vytMP1OyDgAY&amp;q=site%3Alinkedin.com+Sabrina+Lagana'+Recruiting+Partner+EMEA,+Student+Programs</v>
      </c>
      <c r="K693" s="5" t="str">
        <f t="shared" si="1"/>
        <v>Sabrina Lagana'</v>
      </c>
      <c r="L693" s="5" t="str">
        <f t="shared" si="2"/>
        <v>Recruiting Partner EMEA, Student Programs</v>
      </c>
      <c r="M693" s="5" t="str">
        <f t="shared" si="3"/>
        <v/>
      </c>
      <c r="N693" s="5" t="str">
        <f t="shared" si="4"/>
        <v>Amazon</v>
      </c>
      <c r="O693" s="5" t="str">
        <f t="shared" si="5"/>
        <v>2 years  in role and company</v>
      </c>
      <c r="P693" s="5" t="str">
        <f t="shared" si="6"/>
        <v>London</v>
      </c>
      <c r="Q693" s="5" t="str">
        <f t="shared" si="7"/>
        <v>England</v>
      </c>
      <c r="R693" s="5" t="str">
        <f t="shared" si="8"/>
        <v>United Kingdom</v>
      </c>
    </row>
    <row r="694">
      <c r="A694" s="8" t="s">
        <v>6392</v>
      </c>
      <c r="B694" s="10" t="s">
        <v>6393</v>
      </c>
      <c r="C694" s="10" t="s">
        <v>6394</v>
      </c>
      <c r="D694" s="10"/>
      <c r="E694" s="10" t="s">
        <v>5320</v>
      </c>
      <c r="F694" s="10" t="s">
        <v>901</v>
      </c>
      <c r="G694" s="11" t="s">
        <v>6388</v>
      </c>
      <c r="H694" s="11" t="s">
        <v>4599</v>
      </c>
      <c r="I694" s="11" t="s">
        <v>4600</v>
      </c>
      <c r="J694" s="9" t="str">
        <f>IFERROR(__xludf.DUMMYFUNCTION("""COMPUTED_VALUE"""),"https://www.google.com/search?newwindow=1&amp;ei=2MT0XrvGGM-vytMP1OyDgAY&amp;q=site%3Alinkedin.com+Kerry+Mamongo+Assoc.CIPD+EMEA+Graduate+Recruiter")</f>
        <v>https://www.google.com/search?newwindow=1&amp;ei=2MT0XrvGGM-vytMP1OyDgAY&amp;q=site%3Alinkedin.com+Kerry+Mamongo+Assoc.CIPD+EMEA+Graduate+Recruiter</v>
      </c>
      <c r="K694" s="5" t="str">
        <f t="shared" si="1"/>
        <v>Kerry Mamongo Assoc.CIPD</v>
      </c>
      <c r="L694" s="5" t="str">
        <f t="shared" si="2"/>
        <v>EMEA Graduate Recruiter</v>
      </c>
      <c r="M694" s="5" t="str">
        <f t="shared" si="3"/>
        <v/>
      </c>
      <c r="N694" s="5" t="str">
        <f t="shared" si="4"/>
        <v>Berenberg</v>
      </c>
      <c r="O694" s="5" t="str">
        <f t="shared" si="5"/>
        <v>1 year 1 month in role and company</v>
      </c>
      <c r="P694" s="5" t="str">
        <f t="shared" si="6"/>
        <v>London</v>
      </c>
      <c r="Q694" s="5" t="str">
        <f t="shared" si="7"/>
        <v>England</v>
      </c>
      <c r="R694" s="5" t="str">
        <f t="shared" si="8"/>
        <v>United Kingdom</v>
      </c>
    </row>
    <row r="695">
      <c r="A695" s="8" t="s">
        <v>6395</v>
      </c>
      <c r="B695" s="12" t="s">
        <v>6396</v>
      </c>
      <c r="C695" s="10" t="s">
        <v>6397</v>
      </c>
      <c r="D695" s="10"/>
      <c r="E695" s="10" t="s">
        <v>5320</v>
      </c>
      <c r="F695" s="10" t="s">
        <v>188</v>
      </c>
      <c r="G695" s="11" t="s">
        <v>6388</v>
      </c>
      <c r="H695" s="11" t="s">
        <v>4599</v>
      </c>
      <c r="I695" s="11" t="s">
        <v>4600</v>
      </c>
      <c r="J695" s="9" t="str">
        <f>IFERROR(__xludf.DUMMYFUNCTION("""COMPUTED_VALUE"""),"https://www.google.com/search?newwindow=1&amp;ei=2MT0XrvGGM-vytMP1OyDgAY&amp;q=site%3Alinkedin.com+Claire+Eason+Senior+University+Recruiter")</f>
        <v>https://www.google.com/search?newwindow=1&amp;ei=2MT0XrvGGM-vytMP1OyDgAY&amp;q=site%3Alinkedin.com+Claire+Eason+Senior+University+Recruiter</v>
      </c>
      <c r="K695" s="5" t="str">
        <f t="shared" si="1"/>
        <v>Claire Eason</v>
      </c>
      <c r="L695" s="5" t="str">
        <f t="shared" si="2"/>
        <v>Senior University Recruiter</v>
      </c>
      <c r="M695" s="5" t="str">
        <f t="shared" si="3"/>
        <v/>
      </c>
      <c r="N695" s="5" t="str">
        <f t="shared" si="4"/>
        <v>Boston Consulting Group (BCG)</v>
      </c>
      <c r="O695" s="5" t="str">
        <f t="shared" si="5"/>
        <v>1 year  in role</v>
      </c>
      <c r="P695" s="5" t="str">
        <f t="shared" si="6"/>
        <v>London</v>
      </c>
      <c r="Q695" s="5" t="str">
        <f t="shared" si="7"/>
        <v>England</v>
      </c>
      <c r="R695" s="5" t="str">
        <f t="shared" si="8"/>
        <v>United Kingdom</v>
      </c>
    </row>
    <row r="696">
      <c r="A696" s="8" t="s">
        <v>6398</v>
      </c>
      <c r="B696" s="10" t="s">
        <v>2900</v>
      </c>
      <c r="C696" s="10" t="s">
        <v>2155</v>
      </c>
      <c r="D696" s="10"/>
      <c r="E696" s="10" t="s">
        <v>5889</v>
      </c>
      <c r="F696" s="10" t="s">
        <v>2901</v>
      </c>
      <c r="G696" s="13" t="s">
        <v>2100</v>
      </c>
      <c r="H696" s="13" t="s">
        <v>264</v>
      </c>
      <c r="I696" s="11" t="s">
        <v>18</v>
      </c>
      <c r="J696" s="9" t="str">
        <f>IFERROR(__xludf.DUMMYFUNCTION("""COMPUTED_VALUE"""),"https://www.google.com/search?newwindow=1&amp;ei=2MT0XrvGGM-vytMP1OyDgAY&amp;q=site%3Alinkedin.com+Amanda+Griffith+EMEA+Campus+Recruiter+-+Corporate+Finance,+Corporate+Bank++&amp;+Campus+Engagement+(Contract)")</f>
        <v>https://www.google.com/search?newwindow=1&amp;ei=2MT0XrvGGM-vytMP1OyDgAY&amp;q=site%3Alinkedin.com+Amanda+Griffith+EMEA+Campus+Recruiter+-+Corporate+Finance,+Corporate+Bank++&amp;+Campus+Engagement+(Contract)</v>
      </c>
      <c r="K696" s="5" t="str">
        <f t="shared" si="1"/>
        <v>Amanda Griffith</v>
      </c>
      <c r="L696" s="5" t="str">
        <f t="shared" si="2"/>
        <v>EMEA Campus Recruiter - Corporate Finance, Corporate Bank  &amp; Campus Engagement (Contract)</v>
      </c>
      <c r="M696" s="5" t="str">
        <f t="shared" si="3"/>
        <v/>
      </c>
      <c r="N696" s="5" t="str">
        <f t="shared" si="4"/>
        <v>Deutsche Bank</v>
      </c>
      <c r="O696" s="5" t="str">
        <f t="shared" si="5"/>
        <v>10 months in role and company</v>
      </c>
      <c r="P696" s="5" t="str">
        <f t="shared" si="6"/>
        <v>London</v>
      </c>
      <c r="Q696" s="5" t="str">
        <f t="shared" si="7"/>
        <v>England</v>
      </c>
      <c r="R696" s="5" t="str">
        <f t="shared" si="8"/>
        <v>United Kingdom</v>
      </c>
    </row>
    <row r="697">
      <c r="A697" s="8" t="s">
        <v>6399</v>
      </c>
      <c r="B697" s="12" t="s">
        <v>6400</v>
      </c>
      <c r="C697" s="10" t="s">
        <v>6401</v>
      </c>
      <c r="D697" s="10"/>
      <c r="E697" s="10" t="s">
        <v>2839</v>
      </c>
      <c r="F697" s="10" t="s">
        <v>574</v>
      </c>
      <c r="G697" s="11" t="s">
        <v>2248</v>
      </c>
      <c r="H697" s="11" t="s">
        <v>38</v>
      </c>
      <c r="I697" s="11" t="s">
        <v>18</v>
      </c>
      <c r="J697" s="9" t="str">
        <f>IFERROR(__xludf.DUMMYFUNCTION("""COMPUTED_VALUE"""),"https://www.google.com/search?newwindow=1&amp;ei=2MT0XrvGGM-vytMP1OyDgAY&amp;q=site%3Alinkedin.com+Kam+Vien+Recruiter,+Campus+&amp;+Lateral")</f>
        <v>https://www.google.com/search?newwindow=1&amp;ei=2MT0XrvGGM-vytMP1OyDgAY&amp;q=site%3Alinkedin.com+Kam+Vien+Recruiter,+Campus+&amp;+Lateral</v>
      </c>
      <c r="K697" s="5" t="str">
        <f t="shared" si="1"/>
        <v>Kam Vien</v>
      </c>
      <c r="L697" s="5" t="str">
        <f t="shared" si="2"/>
        <v>Recruiter, Campus &amp; Lateral</v>
      </c>
      <c r="M697" s="5" t="str">
        <f t="shared" si="3"/>
        <v/>
      </c>
      <c r="N697" s="5" t="str">
        <f t="shared" si="4"/>
        <v>PIMCO</v>
      </c>
      <c r="O697" s="5" t="str">
        <f t="shared" si="5"/>
        <v>10 months in role</v>
      </c>
      <c r="P697" s="5" t="str">
        <f t="shared" si="6"/>
        <v>London</v>
      </c>
      <c r="Q697" s="5" t="str">
        <f t="shared" si="7"/>
        <v>England</v>
      </c>
      <c r="R697" s="5" t="str">
        <f t="shared" si="8"/>
        <v>United Kingdom</v>
      </c>
    </row>
    <row r="698">
      <c r="A698" s="8" t="s">
        <v>6402</v>
      </c>
      <c r="B698" s="10" t="s">
        <v>6403</v>
      </c>
      <c r="C698" s="10" t="s">
        <v>6404</v>
      </c>
      <c r="D698" s="10"/>
      <c r="E698" s="10" t="s">
        <v>6405</v>
      </c>
      <c r="F698" s="10" t="s">
        <v>716</v>
      </c>
      <c r="G698" s="11" t="s">
        <v>6406</v>
      </c>
      <c r="H698" s="11" t="s">
        <v>5736</v>
      </c>
      <c r="I698" s="11" t="s">
        <v>4619</v>
      </c>
      <c r="J698" s="9" t="str">
        <f>IFERROR(__xludf.DUMMYFUNCTION("""COMPUTED_VALUE"""),"https://www.google.com/search?newwindow=1&amp;ei=2MT0XrvGGM-vytMP1OyDgAY&amp;q=site%3Alinkedin.com+Jo+Terryn+Recruiter,+EMEA+|+Student+Programs")</f>
        <v>https://www.google.com/search?newwindow=1&amp;ei=2MT0XrvGGM-vytMP1OyDgAY&amp;q=site%3Alinkedin.com+Jo+Terryn+Recruiter,+EMEA+|+Student+Programs</v>
      </c>
      <c r="K698" s="5" t="str">
        <f t="shared" si="1"/>
        <v>Jo Terryn</v>
      </c>
      <c r="L698" s="5" t="str">
        <f t="shared" si="2"/>
        <v>Recruiter, EMEA | Student Programs</v>
      </c>
      <c r="M698" s="5" t="str">
        <f t="shared" si="3"/>
        <v/>
      </c>
      <c r="N698" s="5" t="str">
        <f t="shared" si="4"/>
        <v>Amazon</v>
      </c>
      <c r="O698" s="5" t="str">
        <f t="shared" si="5"/>
        <v>7 months in role</v>
      </c>
      <c r="P698" s="5" t="str">
        <f t="shared" si="6"/>
        <v>London</v>
      </c>
      <c r="Q698" s="5" t="str">
        <f t="shared" si="7"/>
        <v>England</v>
      </c>
      <c r="R698" s="5" t="str">
        <f t="shared" si="8"/>
        <v>United Kingdom</v>
      </c>
    </row>
    <row r="699">
      <c r="A699" s="8" t="s">
        <v>6407</v>
      </c>
      <c r="B699" s="12" t="s">
        <v>6408</v>
      </c>
      <c r="C699" s="10" t="s">
        <v>6409</v>
      </c>
      <c r="D699" s="10"/>
      <c r="E699" s="10" t="s">
        <v>5090</v>
      </c>
      <c r="F699" s="10" t="s">
        <v>94</v>
      </c>
      <c r="G699" s="11" t="s">
        <v>6410</v>
      </c>
      <c r="H699" s="11" t="s">
        <v>4599</v>
      </c>
      <c r="I699" s="11" t="s">
        <v>4600</v>
      </c>
      <c r="J699" s="9" t="str">
        <f>IFERROR(__xludf.DUMMYFUNCTION("""COMPUTED_VALUE"""),"https://www.google.com/search?newwindow=1&amp;ei=2MT0XrvGGM-vytMP1OyDgAY&amp;q=site%3Alinkedin.com+Yasmeen+Khalaf+Senior+Graduate+Recruiter")</f>
        <v>https://www.google.com/search?newwindow=1&amp;ei=2MT0XrvGGM-vytMP1OyDgAY&amp;q=site%3Alinkedin.com+Yasmeen+Khalaf+Senior+Graduate+Recruiter</v>
      </c>
      <c r="K699" s="5" t="str">
        <f t="shared" si="1"/>
        <v>Yasmeen Khalaf</v>
      </c>
      <c r="L699" s="5" t="str">
        <f t="shared" si="2"/>
        <v>Senior Graduate Recruiter</v>
      </c>
      <c r="M699" s="5" t="str">
        <f t="shared" si="3"/>
        <v/>
      </c>
      <c r="N699" s="5" t="str">
        <f t="shared" si="4"/>
        <v>Accenture</v>
      </c>
      <c r="O699" s="5" t="str">
        <f t="shared" si="5"/>
        <v>1 year 1 month in role and company</v>
      </c>
      <c r="P699" s="5" t="str">
        <f t="shared" si="6"/>
        <v>London</v>
      </c>
      <c r="Q699" s="5" t="str">
        <f t="shared" si="7"/>
        <v>England</v>
      </c>
      <c r="R699" s="5" t="str">
        <f t="shared" si="8"/>
        <v>United Kingdom</v>
      </c>
    </row>
    <row r="700">
      <c r="A700" s="8" t="s">
        <v>6411</v>
      </c>
      <c r="B700" s="10" t="s">
        <v>6412</v>
      </c>
      <c r="C700" s="10" t="s">
        <v>6413</v>
      </c>
      <c r="D700" s="10"/>
      <c r="E700" s="10" t="s">
        <v>5090</v>
      </c>
      <c r="F700" s="10" t="s">
        <v>36</v>
      </c>
      <c r="G700" s="11" t="s">
        <v>6410</v>
      </c>
      <c r="H700" s="11" t="s">
        <v>4599</v>
      </c>
      <c r="I700" s="11" t="s">
        <v>4600</v>
      </c>
      <c r="J700" s="9" t="str">
        <f>IFERROR(__xludf.DUMMYFUNCTION("""COMPUTED_VALUE"""),"https://www.google.com/search?newwindow=1&amp;ei=2MT0XrvGGM-vytMP1OyDgAY&amp;q=site%3Alinkedin.com+Abigail+Bush+University+Recruiter")</f>
        <v>https://www.google.com/search?newwindow=1&amp;ei=2MT0XrvGGM-vytMP1OyDgAY&amp;q=site%3Alinkedin.com+Abigail+Bush+University+Recruiter</v>
      </c>
      <c r="K700" s="5" t="str">
        <f t="shared" si="1"/>
        <v>Abigail Bush</v>
      </c>
      <c r="L700" s="5" t="str">
        <f t="shared" si="2"/>
        <v>University Recruiter</v>
      </c>
      <c r="M700" s="5" t="str">
        <f t="shared" si="3"/>
        <v/>
      </c>
      <c r="N700" s="5" t="str">
        <f t="shared" si="4"/>
        <v>Teach First</v>
      </c>
      <c r="O700" s="5" t="str">
        <f t="shared" si="5"/>
        <v>1 year 3 months in role and company</v>
      </c>
      <c r="P700" s="5" t="str">
        <f t="shared" si="6"/>
        <v>London</v>
      </c>
      <c r="Q700" s="5" t="str">
        <f t="shared" si="7"/>
        <v>England</v>
      </c>
      <c r="R700" s="5" t="str">
        <f t="shared" si="8"/>
        <v>United Kingdom</v>
      </c>
    </row>
    <row r="701">
      <c r="A701" s="8" t="s">
        <v>6414</v>
      </c>
      <c r="B701" s="10" t="s">
        <v>6415</v>
      </c>
      <c r="C701" s="10" t="s">
        <v>6416</v>
      </c>
      <c r="D701" s="10"/>
      <c r="E701" s="10" t="s">
        <v>5090</v>
      </c>
      <c r="F701" s="10" t="s">
        <v>4545</v>
      </c>
      <c r="G701" s="11" t="s">
        <v>6410</v>
      </c>
      <c r="H701" s="11" t="s">
        <v>4599</v>
      </c>
      <c r="I701" s="11" t="s">
        <v>4600</v>
      </c>
      <c r="J701" s="9" t="str">
        <f>IFERROR(__xludf.DUMMYFUNCTION("""COMPUTED_VALUE"""),"https://www.google.com/search?newwindow=1&amp;ei=2MT0XrvGGM-vytMP1OyDgAY&amp;q=site%3Alinkedin.com+Natallia+Guimarais+University+Recruiter+-+EMEA")</f>
        <v>https://www.google.com/search?newwindow=1&amp;ei=2MT0XrvGGM-vytMP1OyDgAY&amp;q=site%3Alinkedin.com+Natallia+Guimarais+University+Recruiter+-+EMEA</v>
      </c>
      <c r="K701" s="5" t="str">
        <f t="shared" si="1"/>
        <v>Natallia Guimarais</v>
      </c>
      <c r="L701" s="5" t="str">
        <f t="shared" si="2"/>
        <v>University Recruiter - EMEA</v>
      </c>
      <c r="M701" s="5" t="str">
        <f t="shared" si="3"/>
        <v/>
      </c>
      <c r="N701" s="5" t="str">
        <f t="shared" si="4"/>
        <v>eBay</v>
      </c>
      <c r="O701" s="5" t="str">
        <f t="shared" si="5"/>
        <v>1 year 5 months in role and company</v>
      </c>
      <c r="P701" s="5" t="str">
        <f t="shared" si="6"/>
        <v>London</v>
      </c>
      <c r="Q701" s="5" t="str">
        <f t="shared" si="7"/>
        <v>England</v>
      </c>
      <c r="R701" s="5" t="str">
        <f t="shared" si="8"/>
        <v>United Kingdom</v>
      </c>
    </row>
    <row r="702">
      <c r="A702" s="8" t="s">
        <v>6417</v>
      </c>
      <c r="B702" s="10" t="s">
        <v>6418</v>
      </c>
      <c r="C702" s="10" t="s">
        <v>6419</v>
      </c>
      <c r="D702" s="10"/>
      <c r="E702" s="10" t="s">
        <v>5090</v>
      </c>
      <c r="F702" s="10" t="s">
        <v>175</v>
      </c>
      <c r="G702" s="11" t="s">
        <v>6410</v>
      </c>
      <c r="H702" s="11" t="s">
        <v>4599</v>
      </c>
      <c r="I702" s="11" t="s">
        <v>4600</v>
      </c>
      <c r="J702" s="9" t="str">
        <f>IFERROR(__xludf.DUMMYFUNCTION("""COMPUTED_VALUE"""),"https://www.google.com/search?newwindow=1&amp;ei=2MT0XrvGGM-vytMP1OyDgAY&amp;q=site%3Alinkedin.com+Edward+Chatfield+Graduate+Recruitment+and+University+Partnerships+Consultant")</f>
        <v>https://www.google.com/search?newwindow=1&amp;ei=2MT0XrvGGM-vytMP1OyDgAY&amp;q=site%3Alinkedin.com+Edward+Chatfield+Graduate+Recruitment+and+University+Partnerships+Consultant</v>
      </c>
      <c r="K702" s="5" t="str">
        <f t="shared" si="1"/>
        <v>Edward Chatfield</v>
      </c>
      <c r="L702" s="5" t="str">
        <f t="shared" si="2"/>
        <v>Graduate Recruitment and University Partnerships Consultant</v>
      </c>
      <c r="M702" s="5" t="str">
        <f t="shared" si="3"/>
        <v/>
      </c>
      <c r="N702" s="5" t="str">
        <f t="shared" si="4"/>
        <v>FDM Group</v>
      </c>
      <c r="O702" s="5" t="str">
        <f t="shared" si="5"/>
        <v>1 year 2 months in role and company</v>
      </c>
      <c r="P702" s="5" t="str">
        <f t="shared" si="6"/>
        <v>London</v>
      </c>
      <c r="Q702" s="5" t="str">
        <f t="shared" si="7"/>
        <v>England</v>
      </c>
      <c r="R702" s="5" t="str">
        <f t="shared" si="8"/>
        <v>United Kingdom</v>
      </c>
    </row>
    <row r="703">
      <c r="A703" s="8" t="s">
        <v>6420</v>
      </c>
      <c r="B703" s="10" t="s">
        <v>6421</v>
      </c>
      <c r="C703" s="10" t="s">
        <v>5072</v>
      </c>
      <c r="D703" s="12"/>
      <c r="E703" s="12" t="s">
        <v>5090</v>
      </c>
      <c r="F703" s="10"/>
      <c r="G703" s="11" t="s">
        <v>6410</v>
      </c>
      <c r="H703" s="11" t="s">
        <v>4599</v>
      </c>
      <c r="I703" s="11" t="s">
        <v>4600</v>
      </c>
      <c r="J703" s="9" t="str">
        <f>IFERROR(__xludf.DUMMYFUNCTION("""COMPUTED_VALUE"""),"https://www.google.com/search?newwindow=1&amp;ei=2MT0XrvGGM-vytMP1OyDgAY&amp;q=site%3Alinkedin.com+Jessica+Wessely+MBA+Investment+Banking+Campus+Recruiter")</f>
        <v>https://www.google.com/search?newwindow=1&amp;ei=2MT0XrvGGM-vytMP1OyDgAY&amp;q=site%3Alinkedin.com+Jessica+Wessely+MBA+Investment+Banking+Campus+Recruiter</v>
      </c>
      <c r="K703" s="5" t="str">
        <f t="shared" si="1"/>
        <v>Jessica Wessely</v>
      </c>
      <c r="L703" s="5" t="str">
        <f t="shared" si="2"/>
        <v>MBA Investment Banking Campus Recruiter</v>
      </c>
      <c r="M703" s="5" t="str">
        <f t="shared" si="3"/>
        <v>MBA</v>
      </c>
      <c r="N703" s="5" t="str">
        <f t="shared" si="4"/>
        <v>J.P. Morgan</v>
      </c>
      <c r="O703" s="5" t="str">
        <f t="shared" si="5"/>
        <v>4 years 6 months in role</v>
      </c>
      <c r="P703" s="5" t="str">
        <f t="shared" si="6"/>
        <v>London</v>
      </c>
      <c r="Q703" s="5" t="str">
        <f t="shared" si="7"/>
        <v>England</v>
      </c>
      <c r="R703" s="5" t="str">
        <f t="shared" si="8"/>
        <v>United Kingdom</v>
      </c>
    </row>
    <row r="704">
      <c r="A704" s="8" t="s">
        <v>6407</v>
      </c>
      <c r="B704" s="12" t="s">
        <v>6408</v>
      </c>
      <c r="C704" s="10" t="s">
        <v>6409</v>
      </c>
      <c r="D704" s="10"/>
      <c r="E704" s="10" t="s">
        <v>5090</v>
      </c>
      <c r="F704" s="10" t="s">
        <v>94</v>
      </c>
      <c r="G704" s="11" t="s">
        <v>6410</v>
      </c>
      <c r="H704" s="11" t="s">
        <v>4599</v>
      </c>
      <c r="I704" s="11" t="s">
        <v>4600</v>
      </c>
      <c r="J704" s="9" t="str">
        <f>IFERROR(__xludf.DUMMYFUNCTION("""COMPUTED_VALUE"""),"https://www.google.com/search?newwindow=1&amp;ei=2MT0XrvGGM-vytMP1OyDgAY&amp;q=site%3Alinkedin.com+Oliver+Evans+Digital+&amp;+Platform+Services+Recruiter+-+EMEA+Campus+Recruitment")</f>
        <v>https://www.google.com/search?newwindow=1&amp;ei=2MT0XrvGGM-vytMP1OyDgAY&amp;q=site%3Alinkedin.com+Oliver+Evans+Digital+&amp;+Platform+Services+Recruiter+-+EMEA+Campus+Recruitment</v>
      </c>
      <c r="K704" s="5" t="str">
        <f t="shared" si="1"/>
        <v>Oliver Evans</v>
      </c>
      <c r="L704" s="5" t="str">
        <f t="shared" si="2"/>
        <v>Digital &amp; Platform Services Recruiter - EMEA Campus Recruitment</v>
      </c>
      <c r="M704" s="5" t="str">
        <f t="shared" si="3"/>
        <v/>
      </c>
      <c r="N704" s="5" t="str">
        <f t="shared" si="4"/>
        <v>J.P. Morgan</v>
      </c>
      <c r="O704" s="5" t="str">
        <f t="shared" si="5"/>
        <v>6 months in role</v>
      </c>
      <c r="P704" s="5" t="str">
        <f t="shared" si="6"/>
        <v>London</v>
      </c>
      <c r="Q704" s="5" t="str">
        <f t="shared" si="7"/>
        <v>England</v>
      </c>
      <c r="R704" s="5" t="str">
        <f t="shared" si="8"/>
        <v>United Kingdom</v>
      </c>
    </row>
    <row r="705">
      <c r="A705" s="8" t="s">
        <v>6411</v>
      </c>
      <c r="B705" s="10" t="s">
        <v>6412</v>
      </c>
      <c r="C705" s="10" t="s">
        <v>6413</v>
      </c>
      <c r="D705" s="10"/>
      <c r="E705" s="10" t="s">
        <v>5090</v>
      </c>
      <c r="F705" s="10" t="s">
        <v>36</v>
      </c>
      <c r="G705" s="11" t="s">
        <v>6410</v>
      </c>
      <c r="H705" s="11" t="s">
        <v>4599</v>
      </c>
      <c r="I705" s="11" t="s">
        <v>4600</v>
      </c>
      <c r="J705" s="9" t="str">
        <f>IFERROR(__xludf.DUMMYFUNCTION("""COMPUTED_VALUE"""),"https://www.google.com/search?newwindow=1&amp;ei=2MT0XrvGGM-vytMP1OyDgAY&amp;q=site%3Alinkedin.com+Ashley+Dartnell+Head+of+International+Campus+Recruiting")</f>
        <v>https://www.google.com/search?newwindow=1&amp;ei=2MT0XrvGGM-vytMP1OyDgAY&amp;q=site%3Alinkedin.com+Ashley+Dartnell+Head+of+International+Campus+Recruiting</v>
      </c>
      <c r="K705" s="5" t="str">
        <f t="shared" si="1"/>
        <v>Ashley Dartnell</v>
      </c>
      <c r="L705" s="5" t="str">
        <f t="shared" si="2"/>
        <v>Head of International Campus Recruiting</v>
      </c>
      <c r="M705" s="5" t="str">
        <f t="shared" si="3"/>
        <v/>
      </c>
      <c r="N705" s="5" t="str">
        <f t="shared" si="4"/>
        <v>The Boston Consulting Group (BCG)</v>
      </c>
      <c r="O705" s="5" t="str">
        <f t="shared" si="5"/>
        <v>2 years 11 months in role and company</v>
      </c>
      <c r="P705" s="5" t="str">
        <f t="shared" si="6"/>
        <v>London</v>
      </c>
      <c r="Q705" s="5" t="str">
        <f t="shared" si="7"/>
        <v>England</v>
      </c>
      <c r="R705" s="5" t="str">
        <f t="shared" si="8"/>
        <v>United Kingdom</v>
      </c>
    </row>
    <row r="706">
      <c r="A706" s="8" t="s">
        <v>6414</v>
      </c>
      <c r="B706" s="10" t="s">
        <v>6415</v>
      </c>
      <c r="C706" s="10" t="s">
        <v>6416</v>
      </c>
      <c r="D706" s="10"/>
      <c r="E706" s="10" t="s">
        <v>5090</v>
      </c>
      <c r="F706" s="10" t="s">
        <v>4545</v>
      </c>
      <c r="G706" s="11" t="s">
        <v>6410</v>
      </c>
      <c r="H706" s="11" t="s">
        <v>4599</v>
      </c>
      <c r="I706" s="11" t="s">
        <v>4600</v>
      </c>
      <c r="J706" s="9" t="str">
        <f>IFERROR(__xludf.DUMMYFUNCTION("""COMPUTED_VALUE"""),"https://www.google.com/search?newwindow=1&amp;ei=2MT0XrvGGM-vytMP1OyDgAY&amp;q=site%3Alinkedin.com+Pippa+W.+Senior+Recruiter+-+Futureforce+University+Recruiting")</f>
        <v>https://www.google.com/search?newwindow=1&amp;ei=2MT0XrvGGM-vytMP1OyDgAY&amp;q=site%3Alinkedin.com+Pippa+W.+Senior+Recruiter+-+Futureforce+University+Recruiting</v>
      </c>
      <c r="K706" s="5" t="str">
        <f t="shared" si="1"/>
        <v>Pippa W.</v>
      </c>
      <c r="L706" s="5" t="str">
        <f t="shared" si="2"/>
        <v>Senior Recruiter - Futureforce University Recruiting</v>
      </c>
      <c r="M706" s="5" t="str">
        <f t="shared" si="3"/>
        <v/>
      </c>
      <c r="N706" s="5" t="str">
        <f t="shared" si="4"/>
        <v>Salesforce</v>
      </c>
      <c r="O706" s="5" t="str">
        <f t="shared" si="5"/>
        <v>3 years 10 months in role and company</v>
      </c>
      <c r="P706" s="5" t="str">
        <f t="shared" si="6"/>
        <v>London</v>
      </c>
      <c r="Q706" s="5" t="str">
        <f t="shared" si="7"/>
        <v>England</v>
      </c>
      <c r="R706" s="5" t="str">
        <f t="shared" si="8"/>
        <v>United Kingdom</v>
      </c>
    </row>
    <row r="707">
      <c r="A707" s="8" t="s">
        <v>6417</v>
      </c>
      <c r="B707" s="10" t="s">
        <v>6418</v>
      </c>
      <c r="C707" s="10" t="s">
        <v>6419</v>
      </c>
      <c r="D707" s="10"/>
      <c r="E707" s="10" t="s">
        <v>5090</v>
      </c>
      <c r="F707" s="10" t="s">
        <v>175</v>
      </c>
      <c r="G707" s="11" t="s">
        <v>6410</v>
      </c>
      <c r="H707" s="11" t="s">
        <v>4599</v>
      </c>
      <c r="I707" s="11" t="s">
        <v>4600</v>
      </c>
      <c r="J707" s="9" t="str">
        <f>IFERROR(__xludf.DUMMYFUNCTION("""COMPUTED_VALUE"""),"https://www.google.com/search?newwindow=1&amp;ei=2MT0XrvGGM-vytMP1OyDgAY&amp;q=site%3Alinkedin.com+Chris+Kenny+Head+of+Sales+&amp;+Recruitment+Services,+University+Partnerships")</f>
        <v>https://www.google.com/search?newwindow=1&amp;ei=2MT0XrvGGM-vytMP1OyDgAY&amp;q=site%3Alinkedin.com+Chris+Kenny+Head+of+Sales+&amp;+Recruitment+Services,+University+Partnerships</v>
      </c>
      <c r="K707" s="5" t="str">
        <f t="shared" si="1"/>
        <v>Chris Kenny</v>
      </c>
      <c r="L707" s="5" t="str">
        <f t="shared" si="2"/>
        <v>Head of Sales &amp; Recruitment Services, University Partnerships</v>
      </c>
      <c r="M707" s="5" t="str">
        <f t="shared" si="3"/>
        <v/>
      </c>
      <c r="N707" s="5" t="str">
        <f t="shared" si="4"/>
        <v>Pearson</v>
      </c>
      <c r="O707" s="5" t="str">
        <f t="shared" si="5"/>
        <v>2 years 2 months in role and company</v>
      </c>
      <c r="P707" s="5" t="str">
        <f t="shared" si="6"/>
        <v>London</v>
      </c>
      <c r="Q707" s="5" t="str">
        <f t="shared" si="7"/>
        <v>England</v>
      </c>
      <c r="R707" s="5" t="str">
        <f t="shared" si="8"/>
        <v>United Kingdom</v>
      </c>
    </row>
    <row r="708">
      <c r="A708" s="8" t="s">
        <v>6420</v>
      </c>
      <c r="B708" s="10" t="s">
        <v>6421</v>
      </c>
      <c r="C708" s="10" t="s">
        <v>5072</v>
      </c>
      <c r="D708" s="12"/>
      <c r="E708" s="12" t="s">
        <v>5090</v>
      </c>
      <c r="F708" s="10"/>
      <c r="G708" s="11" t="s">
        <v>6410</v>
      </c>
      <c r="H708" s="11" t="s">
        <v>4599</v>
      </c>
      <c r="I708" s="11" t="s">
        <v>4600</v>
      </c>
      <c r="J708" s="9" t="str">
        <f>IFERROR(__xludf.DUMMYFUNCTION("""COMPUTED_VALUE"""),"https://www.google.com/search?newwindow=1&amp;ei=2MT0XrvGGM-vytMP1OyDgAY&amp;q=site%3Alinkedin.com+Paul+Kerridge+Senior+Graduate+Recruiter")</f>
        <v>https://www.google.com/search?newwindow=1&amp;ei=2MT0XrvGGM-vytMP1OyDgAY&amp;q=site%3Alinkedin.com+Paul+Kerridge+Senior+Graduate+Recruiter</v>
      </c>
      <c r="K708" s="5" t="str">
        <f t="shared" si="1"/>
        <v>Paul Kerridge</v>
      </c>
      <c r="L708" s="5" t="str">
        <f t="shared" si="2"/>
        <v>Senior Graduate Recruiter</v>
      </c>
      <c r="M708" s="5" t="str">
        <f t="shared" si="3"/>
        <v/>
      </c>
      <c r="N708" s="5" t="str">
        <f t="shared" si="4"/>
        <v>Capco</v>
      </c>
      <c r="O708" s="5" t="str">
        <f t="shared" si="5"/>
        <v>1 month in role and company</v>
      </c>
      <c r="P708" s="5" t="str">
        <f t="shared" si="6"/>
        <v>London</v>
      </c>
      <c r="Q708" s="5" t="str">
        <f t="shared" si="7"/>
        <v>England</v>
      </c>
      <c r="R708" s="5" t="str">
        <f t="shared" si="8"/>
        <v>United Kingdom</v>
      </c>
    </row>
    <row r="709">
      <c r="A709" s="8" t="s">
        <v>6422</v>
      </c>
      <c r="B709" s="12" t="s">
        <v>6423</v>
      </c>
      <c r="C709" s="10" t="s">
        <v>6424</v>
      </c>
      <c r="D709" s="10"/>
      <c r="E709" s="10" t="s">
        <v>5464</v>
      </c>
      <c r="F709" s="10" t="s">
        <v>6425</v>
      </c>
      <c r="G709" s="11" t="s">
        <v>2798</v>
      </c>
      <c r="H709" s="11" t="s">
        <v>4638</v>
      </c>
      <c r="I709" s="11" t="s">
        <v>4600</v>
      </c>
      <c r="J709" s="9" t="str">
        <f>IFERROR(__xludf.DUMMYFUNCTION("""COMPUTED_VALUE"""),"https://www.google.com/search?newwindow=1&amp;ei=2MT0XrvGGM-vytMP1OyDgAY&amp;q=site%3Alinkedin.com+Nonye+Ndekwu,+Chartered+MCIPD+Lead+Graduate+Recruiter,+EMEA+Engineering")</f>
        <v>https://www.google.com/search?newwindow=1&amp;ei=2MT0XrvGGM-vytMP1OyDgAY&amp;q=site%3Alinkedin.com+Nonye+Ndekwu,+Chartered+MCIPD+Lead+Graduate+Recruiter,+EMEA+Engineering</v>
      </c>
      <c r="K709" s="5" t="str">
        <f t="shared" si="1"/>
        <v>Nonye Ndekwu, Chartered MCIPD</v>
      </c>
      <c r="L709" s="5" t="str">
        <f t="shared" si="2"/>
        <v>Lead Graduate Recruiter, EMEA Engineering</v>
      </c>
      <c r="M709" s="5" t="str">
        <f t="shared" si="3"/>
        <v/>
      </c>
      <c r="N709" s="5" t="str">
        <f t="shared" si="4"/>
        <v>Goldman Sachs</v>
      </c>
      <c r="O709" s="5" t="str">
        <f t="shared" si="5"/>
        <v>6 months in role</v>
      </c>
      <c r="P709" s="5" t="str">
        <f t="shared" si="6"/>
        <v>London</v>
      </c>
      <c r="Q709" s="5" t="str">
        <f t="shared" si="7"/>
        <v>England</v>
      </c>
      <c r="R709" s="5" t="str">
        <f t="shared" si="8"/>
        <v>United Kingdom</v>
      </c>
    </row>
    <row r="710">
      <c r="A710" s="8" t="s">
        <v>6426</v>
      </c>
      <c r="B710" s="12" t="s">
        <v>6427</v>
      </c>
      <c r="C710" s="10" t="s">
        <v>6428</v>
      </c>
      <c r="D710" s="10"/>
      <c r="E710" s="10" t="s">
        <v>6429</v>
      </c>
      <c r="F710" s="10" t="s">
        <v>6430</v>
      </c>
      <c r="G710" s="11" t="s">
        <v>2798</v>
      </c>
      <c r="H710" s="11" t="s">
        <v>4638</v>
      </c>
      <c r="I710" s="11" t="s">
        <v>4600</v>
      </c>
      <c r="J710" s="9" t="str">
        <f>IFERROR(__xludf.DUMMYFUNCTION("""COMPUTED_VALUE"""),"https://www.google.com/search?newwindow=1&amp;ei=2MT0XrvGGM-vytMP1OyDgAY&amp;q=site%3Alinkedin.com+Jess+Lilley+Senior+Campus+Recruiter+(University+&amp;+MBA)")</f>
        <v>https://www.google.com/search?newwindow=1&amp;ei=2MT0XrvGGM-vytMP1OyDgAY&amp;q=site%3Alinkedin.com+Jess+Lilley+Senior+Campus+Recruiter+(University+&amp;+MBA)</v>
      </c>
      <c r="K710" s="5" t="str">
        <f t="shared" si="1"/>
        <v>Jess Lilley</v>
      </c>
      <c r="L710" s="5" t="str">
        <f t="shared" si="2"/>
        <v>Senior Campus Recruiter (University &amp; MBA)</v>
      </c>
      <c r="M710" s="5" t="str">
        <f t="shared" si="3"/>
        <v/>
      </c>
      <c r="N710" s="5" t="str">
        <f t="shared" si="4"/>
        <v>King</v>
      </c>
      <c r="O710" s="5" t="str">
        <f t="shared" si="5"/>
        <v>2 years 5 months in role and company</v>
      </c>
      <c r="P710" s="5" t="str">
        <f t="shared" si="6"/>
        <v>London</v>
      </c>
      <c r="Q710" s="5" t="str">
        <f t="shared" si="7"/>
        <v>England</v>
      </c>
      <c r="R710" s="5" t="str">
        <f t="shared" si="8"/>
        <v>United Kingdom</v>
      </c>
    </row>
    <row r="711">
      <c r="A711" s="8" t="s">
        <v>6431</v>
      </c>
      <c r="B711" s="10" t="s">
        <v>6432</v>
      </c>
      <c r="C711" s="10" t="s">
        <v>6433</v>
      </c>
      <c r="D711" s="10"/>
      <c r="E711" s="10" t="s">
        <v>5464</v>
      </c>
      <c r="F711" s="10" t="s">
        <v>399</v>
      </c>
      <c r="G711" s="11" t="s">
        <v>2798</v>
      </c>
      <c r="H711" s="11" t="s">
        <v>4638</v>
      </c>
      <c r="I711" s="11" t="s">
        <v>4600</v>
      </c>
      <c r="J711" s="9" t="str">
        <f>IFERROR(__xludf.DUMMYFUNCTION("""COMPUTED_VALUE"""),"https://www.google.com/search?newwindow=1&amp;ei=2MT0XrvGGM-vytMP1OyDgAY&amp;q=site%3Alinkedin.com+Donna+Cummings+Senior+Graduate+Recruiter+-+Technology+&amp;+Cyber+Security")</f>
        <v>https://www.google.com/search?newwindow=1&amp;ei=2MT0XrvGGM-vytMP1OyDgAY&amp;q=site%3Alinkedin.com+Donna+Cummings+Senior+Graduate+Recruiter+-+Technology+&amp;+Cyber+Security</v>
      </c>
      <c r="K711" s="5" t="str">
        <f t="shared" si="1"/>
        <v>Donna Cummings</v>
      </c>
      <c r="L711" s="5" t="str">
        <f t="shared" si="2"/>
        <v>Senior Graduate Recruiter - Technology &amp; Cyber Security</v>
      </c>
      <c r="M711" s="5" t="str">
        <f t="shared" si="3"/>
        <v/>
      </c>
      <c r="N711" s="5" t="str">
        <f t="shared" si="4"/>
        <v>Accenture</v>
      </c>
      <c r="O711" s="5" t="str">
        <f t="shared" si="5"/>
        <v>2 years 2 months in role and company</v>
      </c>
      <c r="P711" s="5" t="str">
        <f t="shared" si="6"/>
        <v>London</v>
      </c>
      <c r="Q711" s="5" t="str">
        <f t="shared" si="7"/>
        <v>England</v>
      </c>
      <c r="R711" s="5" t="str">
        <f t="shared" si="8"/>
        <v>United Kingdom</v>
      </c>
    </row>
    <row r="712">
      <c r="A712" s="8" t="s">
        <v>6422</v>
      </c>
      <c r="B712" s="12" t="s">
        <v>6423</v>
      </c>
      <c r="C712" s="10" t="s">
        <v>6424</v>
      </c>
      <c r="D712" s="10"/>
      <c r="E712" s="10" t="s">
        <v>5464</v>
      </c>
      <c r="F712" s="10" t="s">
        <v>6425</v>
      </c>
      <c r="G712" s="11" t="s">
        <v>2798</v>
      </c>
      <c r="H712" s="11" t="s">
        <v>4638</v>
      </c>
      <c r="I712" s="11" t="s">
        <v>4600</v>
      </c>
      <c r="J712" s="9" t="str">
        <f>IFERROR(__xludf.DUMMYFUNCTION("""COMPUTED_VALUE"""),"https://www.google.com/search?newwindow=1&amp;ei=2MT0XrvGGM-vytMP1OyDgAY&amp;q=site%3Alinkedin.com+Amy+Blake+Graduate+Recruiter")</f>
        <v>https://www.google.com/search?newwindow=1&amp;ei=2MT0XrvGGM-vytMP1OyDgAY&amp;q=site%3Alinkedin.com+Amy+Blake+Graduate+Recruiter</v>
      </c>
      <c r="K712" s="5" t="str">
        <f t="shared" si="1"/>
        <v>Amy Blake</v>
      </c>
      <c r="L712" s="5" t="str">
        <f t="shared" si="2"/>
        <v>Graduate Recruiter</v>
      </c>
      <c r="M712" s="5" t="str">
        <f t="shared" si="3"/>
        <v/>
      </c>
      <c r="N712" s="5" t="str">
        <f t="shared" si="4"/>
        <v>Morgan Stanley</v>
      </c>
      <c r="O712" s="5" t="str">
        <f t="shared" si="5"/>
        <v>1 year 5 months in role</v>
      </c>
      <c r="P712" s="5" t="str">
        <f t="shared" si="6"/>
        <v>London</v>
      </c>
      <c r="Q712" s="5" t="str">
        <f t="shared" si="7"/>
        <v>England</v>
      </c>
      <c r="R712" s="5" t="str">
        <f t="shared" si="8"/>
        <v>United Kingdom</v>
      </c>
    </row>
    <row r="713">
      <c r="A713" s="8" t="s">
        <v>6434</v>
      </c>
      <c r="B713" s="10" t="s">
        <v>6435</v>
      </c>
      <c r="C713" s="10" t="s">
        <v>6436</v>
      </c>
      <c r="D713" s="10"/>
      <c r="E713" s="10" t="s">
        <v>6437</v>
      </c>
      <c r="F713" s="10" t="s">
        <v>455</v>
      </c>
      <c r="G713" s="11" t="s">
        <v>6438</v>
      </c>
      <c r="H713" s="11" t="s">
        <v>4757</v>
      </c>
      <c r="I713" s="11" t="s">
        <v>4607</v>
      </c>
      <c r="J713" s="9" t="str">
        <f>IFERROR(__xludf.DUMMYFUNCTION("""COMPUTED_VALUE"""),"https://www.google.com/search?newwindow=1&amp;ei=2MT0XrvGGM-vytMP1OyDgAY&amp;q=site%3Alinkedin.com+Bethany+Copping+Graduate+Tech+Recruiter")</f>
        <v>https://www.google.com/search?newwindow=1&amp;ei=2MT0XrvGGM-vytMP1OyDgAY&amp;q=site%3Alinkedin.com+Bethany+Copping+Graduate+Tech+Recruiter</v>
      </c>
      <c r="K713" s="5" t="str">
        <f t="shared" si="1"/>
        <v>Bethany Copping</v>
      </c>
      <c r="L713" s="5" t="str">
        <f t="shared" si="2"/>
        <v>Graduate Tech Recruiter</v>
      </c>
      <c r="M713" s="5" t="str">
        <f t="shared" si="3"/>
        <v/>
      </c>
      <c r="N713" s="5" t="str">
        <f t="shared" si="4"/>
        <v>Bloomberg LP</v>
      </c>
      <c r="O713" s="5" t="str">
        <f t="shared" si="5"/>
        <v>2 years 8 months in role</v>
      </c>
      <c r="P713" s="5" t="str">
        <f t="shared" si="6"/>
        <v>London</v>
      </c>
      <c r="Q713" s="5" t="str">
        <f t="shared" si="7"/>
        <v>England</v>
      </c>
      <c r="R713" s="5" t="str">
        <f t="shared" si="8"/>
        <v>United Kingdom</v>
      </c>
    </row>
    <row r="714">
      <c r="A714" s="8" t="s">
        <v>6439</v>
      </c>
      <c r="B714" s="10" t="s">
        <v>6440</v>
      </c>
      <c r="C714" s="10" t="s">
        <v>5054</v>
      </c>
      <c r="D714" s="10"/>
      <c r="E714" s="10" t="s">
        <v>6441</v>
      </c>
      <c r="F714" s="10" t="s">
        <v>697</v>
      </c>
      <c r="G714" s="11" t="s">
        <v>6438</v>
      </c>
      <c r="H714" s="11" t="s">
        <v>4757</v>
      </c>
      <c r="I714" s="11" t="s">
        <v>4607</v>
      </c>
      <c r="J714" s="9" t="str">
        <f>IFERROR(__xludf.DUMMYFUNCTION("""COMPUTED_VALUE"""),"https://www.google.com/search?newwindow=1&amp;ei=2MT0XrvGGM-vytMP1OyDgAY&amp;q=site%3Alinkedin.com+Joanne+O'Brien+Graduate+Recruiter")</f>
        <v>https://www.google.com/search?newwindow=1&amp;ei=2MT0XrvGGM-vytMP1OyDgAY&amp;q=site%3Alinkedin.com+Joanne+O'Brien+Graduate+Recruiter</v>
      </c>
      <c r="K714" s="5" t="str">
        <f t="shared" si="1"/>
        <v>Joanne O'Brien</v>
      </c>
      <c r="L714" s="5" t="str">
        <f t="shared" si="2"/>
        <v>Graduate Recruiter</v>
      </c>
      <c r="M714" s="5" t="str">
        <f t="shared" si="3"/>
        <v/>
      </c>
      <c r="N714" s="5" t="str">
        <f t="shared" si="4"/>
        <v>ThoughtWorks</v>
      </c>
      <c r="O714" s="5" t="str">
        <f t="shared" si="5"/>
        <v>1 year 7 months in role</v>
      </c>
      <c r="P714" s="5" t="str">
        <f t="shared" si="6"/>
        <v>London</v>
      </c>
      <c r="Q714" s="5" t="str">
        <f t="shared" si="7"/>
        <v>England</v>
      </c>
      <c r="R714" s="5" t="str">
        <f t="shared" si="8"/>
        <v>United Kingdom</v>
      </c>
    </row>
    <row r="715">
      <c r="A715" s="8" t="s">
        <v>6442</v>
      </c>
      <c r="B715" s="10" t="s">
        <v>6443</v>
      </c>
      <c r="C715" s="10" t="s">
        <v>6444</v>
      </c>
      <c r="D715" s="10"/>
      <c r="E715" s="10" t="s">
        <v>6445</v>
      </c>
      <c r="F715" s="10" t="s">
        <v>79</v>
      </c>
      <c r="G715" s="11" t="s">
        <v>6446</v>
      </c>
      <c r="H715" s="11" t="s">
        <v>4606</v>
      </c>
      <c r="I715" s="11" t="s">
        <v>4607</v>
      </c>
      <c r="J715" s="9" t="str">
        <f>IFERROR(__xludf.DUMMYFUNCTION("""COMPUTED_VALUE"""),"https://www.google.com/search?newwindow=1&amp;ei=2MT0XrvGGM-vytMP1OyDgAY&amp;q=site%3Alinkedin.com+Craig+Thompson+Senior+Graduate+Recruiter+-+Global+Banking+&amp;+Markets")</f>
        <v>https://www.google.com/search?newwindow=1&amp;ei=2MT0XrvGGM-vytMP1OyDgAY&amp;q=site%3Alinkedin.com+Craig+Thompson+Senior+Graduate+Recruiter+-+Global+Banking+&amp;+Markets</v>
      </c>
      <c r="K715" s="5" t="str">
        <f t="shared" si="1"/>
        <v>Craig Thompson</v>
      </c>
      <c r="L715" s="5" t="str">
        <f t="shared" si="2"/>
        <v>Senior Graduate Recruiter - Global Banking &amp; Markets</v>
      </c>
      <c r="M715" s="5" t="str">
        <f t="shared" si="3"/>
        <v/>
      </c>
      <c r="N715" s="5" t="str">
        <f t="shared" si="4"/>
        <v>HSBC</v>
      </c>
      <c r="O715" s="5" t="str">
        <f t="shared" si="5"/>
        <v>1 year 6 months in role and company</v>
      </c>
      <c r="P715" s="5" t="str">
        <f t="shared" si="6"/>
        <v>London</v>
      </c>
      <c r="Q715" s="5" t="str">
        <f t="shared" si="7"/>
        <v>England</v>
      </c>
      <c r="R715" s="5" t="str">
        <f t="shared" si="8"/>
        <v>United Kingdom</v>
      </c>
    </row>
    <row r="716">
      <c r="A716" s="8" t="s">
        <v>6447</v>
      </c>
      <c r="B716" s="10" t="s">
        <v>6448</v>
      </c>
      <c r="C716" s="10" t="s">
        <v>25</v>
      </c>
      <c r="D716" s="10"/>
      <c r="E716" s="10" t="s">
        <v>6449</v>
      </c>
      <c r="F716" s="10" t="s">
        <v>512</v>
      </c>
      <c r="G716" s="11" t="s">
        <v>6450</v>
      </c>
      <c r="H716" s="11" t="s">
        <v>4638</v>
      </c>
      <c r="I716" s="11" t="s">
        <v>4600</v>
      </c>
      <c r="J716" s="9" t="str">
        <f>IFERROR(__xludf.DUMMYFUNCTION("""COMPUTED_VALUE"""),"https://www.google.com/search?newwindow=1&amp;ei=2MT0XrvGGM-vytMP1OyDgAY&amp;q=site%3Alinkedin.com+Shauna+Louise+Biggins+Banking+EMEA+Campus+Recruiter+-+Associate+Vice+President")</f>
        <v>https://www.google.com/search?newwindow=1&amp;ei=2MT0XrvGGM-vytMP1OyDgAY&amp;q=site%3Alinkedin.com+Shauna+Louise+Biggins+Banking+EMEA+Campus+Recruiter+-+Associate+Vice+President</v>
      </c>
      <c r="K716" s="5" t="str">
        <f t="shared" si="1"/>
        <v>Shauna Louise Biggins</v>
      </c>
      <c r="L716" s="5" t="str">
        <f t="shared" si="2"/>
        <v>Banking EMEA Campus Recruiter - Associate Vice President</v>
      </c>
      <c r="M716" s="5" t="str">
        <f t="shared" si="3"/>
        <v/>
      </c>
      <c r="N716" s="5" t="str">
        <f t="shared" si="4"/>
        <v>Barclays</v>
      </c>
      <c r="O716" s="5" t="str">
        <f t="shared" si="5"/>
        <v>2 years 10 months in role</v>
      </c>
      <c r="P716" s="5" t="str">
        <f t="shared" si="6"/>
        <v>London</v>
      </c>
      <c r="Q716" s="5" t="str">
        <f t="shared" si="7"/>
        <v>England</v>
      </c>
      <c r="R716" s="5" t="str">
        <f t="shared" si="8"/>
        <v>United Kingdom</v>
      </c>
    </row>
    <row r="717">
      <c r="A717" s="8" t="s">
        <v>6451</v>
      </c>
      <c r="B717" s="12" t="s">
        <v>6452</v>
      </c>
      <c r="C717" s="10" t="s">
        <v>5068</v>
      </c>
      <c r="D717" s="10"/>
      <c r="E717" s="10" t="s">
        <v>6453</v>
      </c>
      <c r="F717" s="10" t="s">
        <v>241</v>
      </c>
      <c r="G717" s="11" t="s">
        <v>6450</v>
      </c>
      <c r="H717" s="11" t="s">
        <v>4638</v>
      </c>
      <c r="I717" s="11" t="s">
        <v>4600</v>
      </c>
      <c r="J717" s="9" t="str">
        <f>IFERROR(__xludf.DUMMYFUNCTION("""COMPUTED_VALUE"""),"https://www.google.com/search?newwindow=1&amp;ei=2MT0XrvGGM-vytMP1OyDgAY&amp;q=site%3Alinkedin.com+Kane+Willmott-Kalokoh+Graduate+Recruiter")</f>
        <v>https://www.google.com/search?newwindow=1&amp;ei=2MT0XrvGGM-vytMP1OyDgAY&amp;q=site%3Alinkedin.com+Kane+Willmott-Kalokoh+Graduate+Recruiter</v>
      </c>
      <c r="K717" s="5" t="str">
        <f t="shared" si="1"/>
        <v>Kane Willmott-Kalokoh</v>
      </c>
      <c r="L717" s="5" t="str">
        <f t="shared" si="2"/>
        <v>Graduate Recruiter</v>
      </c>
      <c r="M717" s="5" t="str">
        <f t="shared" si="3"/>
        <v/>
      </c>
      <c r="N717" s="5" t="str">
        <f t="shared" si="4"/>
        <v>FDM Group</v>
      </c>
      <c r="O717" s="5" t="str">
        <f t="shared" si="5"/>
        <v>1 year  in role and company</v>
      </c>
      <c r="P717" s="5" t="str">
        <f t="shared" si="6"/>
        <v>London</v>
      </c>
      <c r="Q717" s="5" t="str">
        <f t="shared" si="7"/>
        <v>England</v>
      </c>
      <c r="R717" s="5" t="str">
        <f t="shared" si="8"/>
        <v>United Kingdom</v>
      </c>
    </row>
    <row r="718">
      <c r="A718" s="8" t="s">
        <v>6454</v>
      </c>
      <c r="B718" s="10" t="s">
        <v>6455</v>
      </c>
      <c r="C718" s="10" t="s">
        <v>480</v>
      </c>
      <c r="D718" s="10"/>
      <c r="E718" s="10" t="s">
        <v>2349</v>
      </c>
      <c r="F718" s="10" t="s">
        <v>2276</v>
      </c>
      <c r="G718" s="11" t="s">
        <v>6450</v>
      </c>
      <c r="H718" s="11" t="s">
        <v>4638</v>
      </c>
      <c r="I718" s="11" t="s">
        <v>4600</v>
      </c>
      <c r="J718" s="9" t="str">
        <f>IFERROR(__xludf.DUMMYFUNCTION("""COMPUTED_VALUE"""),"https://www.google.com/search?newwindow=1&amp;ei=2MT0XrvGGM-vytMP1OyDgAY&amp;q=site%3Alinkedin.com+Pilar+T.+Pérez-Griffo+Jaén+EMEA+-+Graduate+Recruiter+-+BCMA")</f>
        <v>https://www.google.com/search?newwindow=1&amp;ei=2MT0XrvGGM-vytMP1OyDgAY&amp;q=site%3Alinkedin.com+Pilar+T.+Pérez-Griffo+Jaén+EMEA+-+Graduate+Recruiter+-+BCMA</v>
      </c>
      <c r="K718" s="5" t="str">
        <f t="shared" si="1"/>
        <v>Pilar T. Pérez-Griffo Jaén</v>
      </c>
      <c r="L718" s="5" t="str">
        <f t="shared" si="2"/>
        <v>EMEA - Graduate Recruiter - BCMA</v>
      </c>
      <c r="M718" s="5" t="str">
        <f t="shared" si="3"/>
        <v/>
      </c>
      <c r="N718" s="5" t="str">
        <f t="shared" si="4"/>
        <v>Citi</v>
      </c>
      <c r="O718" s="5" t="str">
        <f t="shared" si="5"/>
        <v>1 year 11 months in role and company</v>
      </c>
      <c r="P718" s="5" t="str">
        <f t="shared" si="6"/>
        <v>London</v>
      </c>
      <c r="Q718" s="5" t="str">
        <f t="shared" si="7"/>
        <v>England</v>
      </c>
      <c r="R718" s="5" t="str">
        <f t="shared" si="8"/>
        <v>United Kingdom</v>
      </c>
    </row>
    <row r="719">
      <c r="A719" s="8" t="s">
        <v>6447</v>
      </c>
      <c r="B719" s="10" t="s">
        <v>6448</v>
      </c>
      <c r="C719" s="10" t="s">
        <v>25</v>
      </c>
      <c r="D719" s="10"/>
      <c r="E719" s="10" t="s">
        <v>6449</v>
      </c>
      <c r="F719" s="10" t="s">
        <v>512</v>
      </c>
      <c r="G719" s="11" t="s">
        <v>6450</v>
      </c>
      <c r="H719" s="11" t="s">
        <v>4638</v>
      </c>
      <c r="I719" s="11" t="s">
        <v>4600</v>
      </c>
      <c r="J719" s="9" t="str">
        <f>IFERROR(__xludf.DUMMYFUNCTION("""COMPUTED_VALUE"""),"https://www.google.com/search?newwindow=1&amp;ei=2MT0XrvGGM-vytMP1OyDgAY&amp;q=site%3Alinkedin.com+Ioana+Tanase+Recruitment+Account+Manager+for+EMEA+University+Engineering")</f>
        <v>https://www.google.com/search?newwindow=1&amp;ei=2MT0XrvGGM-vytMP1OyDgAY&amp;q=site%3Alinkedin.com+Ioana+Tanase+Recruitment+Account+Manager+for+EMEA+University+Engineering</v>
      </c>
      <c r="K719" s="5" t="str">
        <f t="shared" si="1"/>
        <v>Ioana Tanase</v>
      </c>
      <c r="L719" s="5" t="str">
        <f t="shared" si="2"/>
        <v>Recruitment Account Manager for EMEA University Engineering</v>
      </c>
      <c r="M719" s="5" t="str">
        <f t="shared" si="3"/>
        <v/>
      </c>
      <c r="N719" s="5" t="str">
        <f t="shared" si="4"/>
        <v>Microsoft</v>
      </c>
      <c r="O719" s="5" t="str">
        <f t="shared" si="5"/>
        <v>7 months in role</v>
      </c>
      <c r="P719" s="5" t="str">
        <f t="shared" si="6"/>
        <v>London</v>
      </c>
      <c r="Q719" s="5" t="str">
        <f t="shared" si="7"/>
        <v>England</v>
      </c>
      <c r="R719" s="5" t="str">
        <f t="shared" si="8"/>
        <v>United Kingdom</v>
      </c>
    </row>
    <row r="720">
      <c r="A720" s="8" t="s">
        <v>6456</v>
      </c>
      <c r="B720" s="12" t="s">
        <v>6457</v>
      </c>
      <c r="C720" s="10" t="s">
        <v>6458</v>
      </c>
      <c r="D720" s="10"/>
      <c r="E720" s="10" t="s">
        <v>6459</v>
      </c>
      <c r="F720" s="10" t="s">
        <v>144</v>
      </c>
      <c r="G720" s="11" t="s">
        <v>6450</v>
      </c>
      <c r="H720" s="11" t="s">
        <v>4638</v>
      </c>
      <c r="I720" s="11" t="s">
        <v>4600</v>
      </c>
      <c r="J720" s="9" t="str">
        <f>IFERROR(__xludf.DUMMYFUNCTION("""COMPUTED_VALUE"""),"https://www.google.com/search?newwindow=1&amp;ei=2MT0XrvGGM-vytMP1OyDgAY&amp;q=site%3Alinkedin.com+Paul+Sutherland+VP,+Global+Lead+-+AIML+&amp;+Quant+Analytics+Campus+Recruiting")</f>
        <v>https://www.google.com/search?newwindow=1&amp;ei=2MT0XrvGGM-vytMP1OyDgAY&amp;q=site%3Alinkedin.com+Paul+Sutherland+VP,+Global+Lead+-+AIML+&amp;+Quant+Analytics+Campus+Recruiting</v>
      </c>
      <c r="K720" s="5" t="str">
        <f t="shared" si="1"/>
        <v>Paul Sutherland</v>
      </c>
      <c r="L720" s="5" t="str">
        <f t="shared" si="2"/>
        <v>VP, Global Lead - AIML &amp; Quant Analytics Campus Recruiting</v>
      </c>
      <c r="M720" s="5" t="str">
        <f t="shared" si="3"/>
        <v/>
      </c>
      <c r="N720" s="5" t="str">
        <f t="shared" si="4"/>
        <v>JPMorgan Chase &amp; Co.</v>
      </c>
      <c r="O720" s="5" t="str">
        <f t="shared" si="5"/>
        <v>6 months in role</v>
      </c>
      <c r="P720" s="5" t="str">
        <f t="shared" si="6"/>
        <v>London</v>
      </c>
      <c r="Q720" s="5" t="str">
        <f t="shared" si="7"/>
        <v>England</v>
      </c>
      <c r="R720" s="5" t="str">
        <f t="shared" si="8"/>
        <v>United Kingdom</v>
      </c>
    </row>
    <row r="721">
      <c r="A721" s="8" t="s">
        <v>6451</v>
      </c>
      <c r="B721" s="12" t="s">
        <v>6452</v>
      </c>
      <c r="C721" s="10" t="s">
        <v>5068</v>
      </c>
      <c r="D721" s="10"/>
      <c r="E721" s="10" t="s">
        <v>6453</v>
      </c>
      <c r="F721" s="10" t="s">
        <v>241</v>
      </c>
      <c r="G721" s="11" t="s">
        <v>6450</v>
      </c>
      <c r="H721" s="11" t="s">
        <v>4638</v>
      </c>
      <c r="I721" s="11" t="s">
        <v>4600</v>
      </c>
      <c r="J721" s="9" t="str">
        <f>IFERROR(__xludf.DUMMYFUNCTION("""COMPUTED_VALUE"""),"https://www.google.com/search?newwindow=1&amp;ei=2MT0XrvGGM-vytMP1OyDgAY&amp;q=site%3Alinkedin.com+Lucy+Burrows+Assoc+CIPD+Graduate+Recruiter")</f>
        <v>https://www.google.com/search?newwindow=1&amp;ei=2MT0XrvGGM-vytMP1OyDgAY&amp;q=site%3Alinkedin.com+Lucy+Burrows+Assoc+CIPD+Graduate+Recruiter</v>
      </c>
      <c r="K721" s="5" t="str">
        <f t="shared" si="1"/>
        <v>Lucy Burrows Assoc CIPD</v>
      </c>
      <c r="L721" s="5" t="str">
        <f t="shared" si="2"/>
        <v>Graduate Recruiter</v>
      </c>
      <c r="M721" s="5" t="str">
        <f t="shared" si="3"/>
        <v/>
      </c>
      <c r="N721" s="5" t="str">
        <f t="shared" si="4"/>
        <v>DLA Piper</v>
      </c>
      <c r="O721" s="5" t="str">
        <f t="shared" si="5"/>
        <v>1 year 2 months in role and company</v>
      </c>
      <c r="P721" s="5" t="str">
        <f t="shared" si="6"/>
        <v>London</v>
      </c>
      <c r="Q721" s="5" t="str">
        <f t="shared" si="7"/>
        <v>England</v>
      </c>
      <c r="R721" s="5" t="str">
        <f t="shared" si="8"/>
        <v>United Kingdom</v>
      </c>
    </row>
    <row r="722">
      <c r="A722" s="8" t="s">
        <v>6460</v>
      </c>
      <c r="B722" s="12" t="s">
        <v>6461</v>
      </c>
      <c r="C722" s="10" t="s">
        <v>6462</v>
      </c>
      <c r="D722" s="10"/>
      <c r="E722" s="10" t="s">
        <v>5512</v>
      </c>
      <c r="F722" s="10" t="s">
        <v>144</v>
      </c>
      <c r="G722" s="11" t="s">
        <v>6450</v>
      </c>
      <c r="H722" s="11" t="s">
        <v>4638</v>
      </c>
      <c r="I722" s="11" t="s">
        <v>4600</v>
      </c>
      <c r="J722" s="9" t="str">
        <f>IFERROR(__xludf.DUMMYFUNCTION("""COMPUTED_VALUE"""),"https://www.google.com/search?newwindow=1&amp;ei=2MT0XrvGGM-vytMP1OyDgAY&amp;q=site%3Alinkedin.com+Daria+Dobrzyniecka+EMEA+Campus+Recruiter+and+Programme+Manager")</f>
        <v>https://www.google.com/search?newwindow=1&amp;ei=2MT0XrvGGM-vytMP1OyDgAY&amp;q=site%3Alinkedin.com+Daria+Dobrzyniecka+EMEA+Campus+Recruiter+and+Programme+Manager</v>
      </c>
      <c r="K722" s="5" t="str">
        <f t="shared" si="1"/>
        <v>Daria Dobrzyniecka</v>
      </c>
      <c r="L722" s="5" t="str">
        <f t="shared" si="2"/>
        <v>EMEA Campus Recruiter and Programme Manager</v>
      </c>
      <c r="M722" s="5" t="str">
        <f t="shared" si="3"/>
        <v/>
      </c>
      <c r="N722" s="5" t="str">
        <f t="shared" si="4"/>
        <v>Bloomberg LP</v>
      </c>
      <c r="O722" s="5" t="str">
        <f t="shared" si="5"/>
        <v>7 months in role and company</v>
      </c>
      <c r="P722" s="5" t="str">
        <f t="shared" si="6"/>
        <v>London</v>
      </c>
      <c r="Q722" s="5" t="str">
        <f t="shared" si="7"/>
        <v>England</v>
      </c>
      <c r="R722" s="5" t="str">
        <f t="shared" si="8"/>
        <v>United Kingdom</v>
      </c>
    </row>
    <row r="723">
      <c r="A723" s="8" t="s">
        <v>6454</v>
      </c>
      <c r="B723" s="10" t="s">
        <v>6455</v>
      </c>
      <c r="C723" s="10" t="s">
        <v>480</v>
      </c>
      <c r="D723" s="10"/>
      <c r="E723" s="10" t="s">
        <v>2349</v>
      </c>
      <c r="F723" s="10" t="s">
        <v>2276</v>
      </c>
      <c r="G723" s="11" t="s">
        <v>6450</v>
      </c>
      <c r="H723" s="11" t="s">
        <v>4638</v>
      </c>
      <c r="I723" s="11" t="s">
        <v>4600</v>
      </c>
      <c r="J723" s="9" t="str">
        <f>IFERROR(__xludf.DUMMYFUNCTION("""COMPUTED_VALUE"""),"https://www.google.com/search?newwindow=1&amp;ei=2MT0XrvGGM-vytMP1OyDgAY&amp;q=site%3Alinkedin.com+Laura+Houghton+Project+Coordinator+-+Student+Programs")</f>
        <v>https://www.google.com/search?newwindow=1&amp;ei=2MT0XrvGGM-vytMP1OyDgAY&amp;q=site%3Alinkedin.com+Laura+Houghton+Project+Coordinator+-+Student+Programs</v>
      </c>
      <c r="K723" s="5" t="str">
        <f t="shared" si="1"/>
        <v>Laura Houghton</v>
      </c>
      <c r="L723" s="5" t="str">
        <f t="shared" si="2"/>
        <v>Project Coordinator - Student Programs</v>
      </c>
      <c r="M723" s="5" t="str">
        <f t="shared" si="3"/>
        <v/>
      </c>
      <c r="N723" s="5" t="str">
        <f t="shared" si="4"/>
        <v>Amazon</v>
      </c>
      <c r="O723" s="5" t="str">
        <f t="shared" si="5"/>
        <v>5 months in role and company</v>
      </c>
      <c r="P723" s="5" t="str">
        <f t="shared" si="6"/>
        <v>London</v>
      </c>
      <c r="Q723" s="5" t="str">
        <f t="shared" si="7"/>
        <v>England</v>
      </c>
      <c r="R723" s="5" t="str">
        <f t="shared" si="8"/>
        <v>United Kingdom</v>
      </c>
    </row>
    <row r="724">
      <c r="A724" s="8" t="s">
        <v>6463</v>
      </c>
      <c r="B724" s="10" t="s">
        <v>6464</v>
      </c>
      <c r="C724" s="10" t="s">
        <v>6465</v>
      </c>
      <c r="D724" s="10"/>
      <c r="E724" s="10" t="s">
        <v>6466</v>
      </c>
      <c r="F724" s="10" t="s">
        <v>446</v>
      </c>
      <c r="G724" s="11" t="s">
        <v>6450</v>
      </c>
      <c r="H724" s="11" t="s">
        <v>4638</v>
      </c>
      <c r="I724" s="11" t="s">
        <v>4600</v>
      </c>
      <c r="J724" s="9" t="str">
        <f>IFERROR(__xludf.DUMMYFUNCTION("""COMPUTED_VALUE"""),"https://www.google.com/search?newwindow=1&amp;ei=2MT0XrvGGM-vytMP1OyDgAY&amp;q=site%3Alinkedin.com+Rebecca+Durante+Team+Leader+-+Engineering+Campus+Recruiting")</f>
        <v>https://www.google.com/search?newwindow=1&amp;ei=2MT0XrvGGM-vytMP1OyDgAY&amp;q=site%3Alinkedin.com+Rebecca+Durante+Team+Leader+-+Engineering+Campus+Recruiting</v>
      </c>
      <c r="K724" s="5" t="str">
        <f t="shared" si="1"/>
        <v>Rebecca Durante</v>
      </c>
      <c r="L724" s="5" t="str">
        <f t="shared" si="2"/>
        <v>Team Leader - Engineering Campus Recruiting</v>
      </c>
      <c r="M724" s="5" t="str">
        <f t="shared" si="3"/>
        <v/>
      </c>
      <c r="N724" s="5" t="str">
        <f t="shared" si="4"/>
        <v>Bloomberg LP</v>
      </c>
      <c r="O724" s="5" t="str">
        <f t="shared" si="5"/>
        <v>2 years 1 month in role and company</v>
      </c>
      <c r="P724" s="5" t="str">
        <f t="shared" si="6"/>
        <v>London</v>
      </c>
      <c r="Q724" s="5" t="str">
        <f t="shared" si="7"/>
        <v>England</v>
      </c>
      <c r="R724" s="5" t="str">
        <f t="shared" si="8"/>
        <v>United Kingdom</v>
      </c>
    </row>
    <row r="725">
      <c r="A725" s="8" t="s">
        <v>6467</v>
      </c>
      <c r="B725" s="12" t="s">
        <v>6468</v>
      </c>
      <c r="C725" s="10" t="s">
        <v>6469</v>
      </c>
      <c r="D725" s="10"/>
      <c r="E725" s="10" t="s">
        <v>6470</v>
      </c>
      <c r="F725" s="10" t="s">
        <v>421</v>
      </c>
      <c r="G725" s="11" t="s">
        <v>6450</v>
      </c>
      <c r="H725" s="11" t="s">
        <v>4638</v>
      </c>
      <c r="I725" s="11" t="s">
        <v>4600</v>
      </c>
      <c r="J725" s="9" t="str">
        <f>IFERROR(__xludf.DUMMYFUNCTION("""COMPUTED_VALUE"""),"https://www.google.com/search?newwindow=1&amp;ei=2MT0XrvGGM-vytMP1OyDgAY&amp;q=site%3Alinkedin.com+Anna+Curtis+(Assoc+CIPD)+Europe+Lead+Campus+Recruiter")</f>
        <v>https://www.google.com/search?newwindow=1&amp;ei=2MT0XrvGGM-vytMP1OyDgAY&amp;q=site%3Alinkedin.com+Anna+Curtis+(Assoc+CIPD)+Europe+Lead+Campus+Recruiter</v>
      </c>
      <c r="K725" s="5" t="str">
        <f t="shared" si="1"/>
        <v>Anna Curtis (Assoc CIPD)</v>
      </c>
      <c r="L725" s="5" t="str">
        <f t="shared" si="2"/>
        <v>Europe Lead Campus Recruiter</v>
      </c>
      <c r="M725" s="5" t="str">
        <f t="shared" si="3"/>
        <v/>
      </c>
      <c r="N725" s="5" t="str">
        <f t="shared" si="4"/>
        <v>Citadel</v>
      </c>
      <c r="O725" s="5" t="str">
        <f t="shared" si="5"/>
        <v>1 year 7 months in role and company</v>
      </c>
      <c r="P725" s="5" t="str">
        <f t="shared" si="6"/>
        <v>London</v>
      </c>
      <c r="Q725" s="5" t="str">
        <f t="shared" si="7"/>
        <v>England</v>
      </c>
      <c r="R725" s="5" t="str">
        <f t="shared" si="8"/>
        <v>United Kingdom</v>
      </c>
    </row>
    <row r="726">
      <c r="A726" s="8" t="s">
        <v>6471</v>
      </c>
      <c r="B726" s="12" t="s">
        <v>1314</v>
      </c>
      <c r="C726" s="10" t="s">
        <v>371</v>
      </c>
      <c r="D726" s="10"/>
      <c r="E726" s="10" t="s">
        <v>1233</v>
      </c>
      <c r="F726" s="10"/>
      <c r="G726" s="11" t="s">
        <v>975</v>
      </c>
      <c r="H726" s="11" t="s">
        <v>44</v>
      </c>
      <c r="I726" s="11" t="s">
        <v>18</v>
      </c>
      <c r="J726" s="9" t="str">
        <f>IFERROR(__xludf.DUMMYFUNCTION("""COMPUTED_VALUE"""),"https://www.google.com/search?newwindow=1&amp;ei=2MT0XrvGGM-vytMP1OyDgAY&amp;q=site%3Alinkedin.com+Zee+Chimkupete+Student+Recruiter+and+Outreach+Officer")</f>
        <v>https://www.google.com/search?newwindow=1&amp;ei=2MT0XrvGGM-vytMP1OyDgAY&amp;q=site%3Alinkedin.com+Zee+Chimkupete+Student+Recruiter+and+Outreach+Officer</v>
      </c>
      <c r="K726" s="5" t="str">
        <f t="shared" si="1"/>
        <v>Zee Chimkupete</v>
      </c>
      <c r="L726" s="5" t="str">
        <f t="shared" si="2"/>
        <v>Student Recruiter and Outreach Officer</v>
      </c>
      <c r="M726" s="5" t="str">
        <f t="shared" si="3"/>
        <v/>
      </c>
      <c r="N726" s="5" t="str">
        <f t="shared" si="4"/>
        <v>Pearson College London</v>
      </c>
      <c r="O726" s="5" t="str">
        <f t="shared" si="5"/>
        <v>1 year 2 months in role and company</v>
      </c>
      <c r="P726" s="5" t="str">
        <f t="shared" si="6"/>
        <v>London</v>
      </c>
      <c r="Q726" s="5" t="str">
        <f t="shared" si="7"/>
        <v>England</v>
      </c>
      <c r="R726" s="5" t="str">
        <f t="shared" si="8"/>
        <v>United Kingdom</v>
      </c>
    </row>
    <row r="727">
      <c r="A727" s="8" t="s">
        <v>6472</v>
      </c>
      <c r="B727" s="12" t="s">
        <v>6473</v>
      </c>
      <c r="C727" s="10" t="s">
        <v>6474</v>
      </c>
      <c r="D727" s="10"/>
      <c r="E727" s="10" t="s">
        <v>6475</v>
      </c>
      <c r="F727" s="10" t="s">
        <v>222</v>
      </c>
      <c r="G727" s="11" t="s">
        <v>6476</v>
      </c>
      <c r="H727" s="11" t="s">
        <v>4757</v>
      </c>
      <c r="I727" s="11" t="s">
        <v>4607</v>
      </c>
      <c r="J727" s="9" t="str">
        <f>IFERROR(__xludf.DUMMYFUNCTION("""COMPUTED_VALUE"""),"https://www.google.com/search?newwindow=1&amp;ei=2MT0XrvGGM-vytMP1OyDgAY&amp;q=site%3Alinkedin.com+Crystal+Grant+Senior+MBA+Recruiter,+Student+Programs")</f>
        <v>https://www.google.com/search?newwindow=1&amp;ei=2MT0XrvGGM-vytMP1OyDgAY&amp;q=site%3Alinkedin.com+Crystal+Grant+Senior+MBA+Recruiter,+Student+Programs</v>
      </c>
      <c r="K727" s="5" t="str">
        <f t="shared" si="1"/>
        <v>Crystal Grant</v>
      </c>
      <c r="L727" s="5" t="str">
        <f t="shared" si="2"/>
        <v>Senior MBA Recruiter, Student Programs</v>
      </c>
      <c r="M727" s="5" t="str">
        <f t="shared" si="3"/>
        <v>MBA</v>
      </c>
      <c r="N727" s="5" t="str">
        <f t="shared" si="4"/>
        <v>Amazon</v>
      </c>
      <c r="O727" s="5" t="str">
        <f t="shared" si="5"/>
        <v>8 months in role and company</v>
      </c>
      <c r="P727" s="5" t="str">
        <f t="shared" si="6"/>
        <v>London</v>
      </c>
      <c r="Q727" s="5" t="str">
        <f t="shared" si="7"/>
        <v>England</v>
      </c>
      <c r="R727" s="5" t="str">
        <f t="shared" si="8"/>
        <v>United Kingdom</v>
      </c>
    </row>
    <row r="728">
      <c r="A728" s="8" t="s">
        <v>6477</v>
      </c>
      <c r="B728" s="10" t="s">
        <v>6478</v>
      </c>
      <c r="C728" s="10" t="s">
        <v>6479</v>
      </c>
      <c r="D728" s="10"/>
      <c r="E728" s="10" t="s">
        <v>6480</v>
      </c>
      <c r="F728" s="10" t="s">
        <v>1034</v>
      </c>
      <c r="G728" s="11" t="s">
        <v>6481</v>
      </c>
      <c r="H728" s="11" t="s">
        <v>4599</v>
      </c>
      <c r="I728" s="11" t="s">
        <v>4600</v>
      </c>
      <c r="J728" s="9" t="str">
        <f>IFERROR(__xludf.DUMMYFUNCTION("""COMPUTED_VALUE"""),"https://www.google.com/search?newwindow=1&amp;ei=2MT0XrvGGM-vytMP1OyDgAY&amp;q=site%3Alinkedin.com+Aisling+Lavagna+International+Campus+Senior+Recruiter")</f>
        <v>https://www.google.com/search?newwindow=1&amp;ei=2MT0XrvGGM-vytMP1OyDgAY&amp;q=site%3Alinkedin.com+Aisling+Lavagna+International+Campus+Senior+Recruiter</v>
      </c>
      <c r="K728" s="5" t="str">
        <f t="shared" si="1"/>
        <v>Aisling Lavagna</v>
      </c>
      <c r="L728" s="5" t="str">
        <f t="shared" si="2"/>
        <v>International Campus Senior Recruiter</v>
      </c>
      <c r="M728" s="5" t="str">
        <f t="shared" si="3"/>
        <v/>
      </c>
      <c r="N728" s="5" t="str">
        <f t="shared" si="4"/>
        <v>Boston Consulting Group (BCG)</v>
      </c>
      <c r="O728" s="5" t="str">
        <f t="shared" si="5"/>
        <v>11 months in role</v>
      </c>
      <c r="P728" s="5" t="str">
        <f t="shared" si="6"/>
        <v>London</v>
      </c>
      <c r="Q728" s="5" t="str">
        <f t="shared" si="7"/>
        <v>England</v>
      </c>
      <c r="R728" s="5" t="str">
        <f t="shared" si="8"/>
        <v>United Kingdom</v>
      </c>
    </row>
    <row r="729">
      <c r="A729" s="8" t="s">
        <v>6482</v>
      </c>
      <c r="B729" s="12" t="s">
        <v>3657</v>
      </c>
      <c r="C729" s="10" t="s">
        <v>3658</v>
      </c>
      <c r="D729" s="12"/>
      <c r="E729" s="12" t="s">
        <v>4935</v>
      </c>
      <c r="F729" s="10"/>
      <c r="G729" s="11" t="s">
        <v>1079</v>
      </c>
      <c r="H729" s="11" t="s">
        <v>259</v>
      </c>
      <c r="I729" s="11" t="s">
        <v>18</v>
      </c>
      <c r="J729" s="9" t="str">
        <f>IFERROR(__xludf.DUMMYFUNCTION("""COMPUTED_VALUE"""),"https://www.google.com/search?newwindow=1&amp;ei=2MT0XrvGGM-vytMP1OyDgAY&amp;q=site%3Alinkedin.com+Claire+Williams+Technical+University+Recruiter+EMEA+-+Software+Engineers")</f>
        <v>https://www.google.com/search?newwindow=1&amp;ei=2MT0XrvGGM-vytMP1OyDgAY&amp;q=site%3Alinkedin.com+Claire+Williams+Technical+University+Recruiter+EMEA+-+Software+Engineers</v>
      </c>
      <c r="K729" s="5" t="str">
        <f t="shared" si="1"/>
        <v>Claire Williams</v>
      </c>
      <c r="L729" s="5" t="str">
        <f t="shared" si="2"/>
        <v>Technical University Recruiter EMEA - Software Engineers</v>
      </c>
      <c r="M729" s="5" t="str">
        <f t="shared" si="3"/>
        <v/>
      </c>
      <c r="N729" s="5" t="str">
        <f t="shared" si="4"/>
        <v>Facebook</v>
      </c>
      <c r="O729" s="5" t="str">
        <f t="shared" si="5"/>
        <v>2 years 4 months in role and company</v>
      </c>
      <c r="P729" s="5" t="str">
        <f t="shared" si="6"/>
        <v>London</v>
      </c>
      <c r="Q729" s="5" t="str">
        <f t="shared" si="7"/>
        <v>England</v>
      </c>
      <c r="R729" s="5" t="str">
        <f t="shared" si="8"/>
        <v>United Kingdom</v>
      </c>
    </row>
    <row r="730">
      <c r="A730" s="8" t="s">
        <v>6483</v>
      </c>
      <c r="B730" s="12" t="s">
        <v>6484</v>
      </c>
      <c r="C730" s="10" t="s">
        <v>6485</v>
      </c>
      <c r="D730" s="10"/>
      <c r="E730" s="10" t="s">
        <v>3389</v>
      </c>
      <c r="F730" s="10" t="s">
        <v>121</v>
      </c>
      <c r="G730" s="11" t="s">
        <v>6486</v>
      </c>
      <c r="H730" s="11" t="s">
        <v>6159</v>
      </c>
      <c r="I730" s="11" t="s">
        <v>4600</v>
      </c>
      <c r="J730" s="9" t="str">
        <f>IFERROR(__xludf.DUMMYFUNCTION("""COMPUTED_VALUE"""),"https://www.google.com/search?newwindow=1&amp;ei=2MT0XrvGGM-vytMP1OyDgAY&amp;q=site%3Alinkedin.com+Lucy+Williams+Campus+Recruiter")</f>
        <v>https://www.google.com/search?newwindow=1&amp;ei=2MT0XrvGGM-vytMP1OyDgAY&amp;q=site%3Alinkedin.com+Lucy+Williams+Campus+Recruiter</v>
      </c>
      <c r="K730" s="5" t="str">
        <f t="shared" si="1"/>
        <v>Lucy Williams</v>
      </c>
      <c r="L730" s="5" t="str">
        <f t="shared" si="2"/>
        <v>Campus Recruiter</v>
      </c>
      <c r="M730" s="5" t="str">
        <f t="shared" si="3"/>
        <v/>
      </c>
      <c r="N730" s="5" t="str">
        <f t="shared" si="4"/>
        <v>Philips</v>
      </c>
      <c r="O730" s="5" t="str">
        <f t="shared" si="5"/>
        <v>3 years 8 months in role and company</v>
      </c>
      <c r="P730" s="5" t="str">
        <f t="shared" si="6"/>
        <v>London</v>
      </c>
      <c r="Q730" s="5" t="str">
        <f t="shared" si="7"/>
        <v>England</v>
      </c>
      <c r="R730" s="5" t="str">
        <f t="shared" si="8"/>
        <v>United Kingdom</v>
      </c>
    </row>
    <row r="731">
      <c r="A731" s="8" t="s">
        <v>6483</v>
      </c>
      <c r="B731" s="12" t="s">
        <v>6484</v>
      </c>
      <c r="C731" s="10" t="s">
        <v>6485</v>
      </c>
      <c r="D731" s="10"/>
      <c r="E731" s="10" t="s">
        <v>3389</v>
      </c>
      <c r="F731" s="10" t="s">
        <v>121</v>
      </c>
      <c r="G731" s="11" t="s">
        <v>6486</v>
      </c>
      <c r="H731" s="11" t="s">
        <v>6159</v>
      </c>
      <c r="I731" s="11" t="s">
        <v>4600</v>
      </c>
      <c r="J731" s="9" t="str">
        <f>IFERROR(__xludf.DUMMYFUNCTION("""COMPUTED_VALUE"""),"https://www.google.com/search?newwindow=1&amp;ei=2MT0XrvGGM-vytMP1OyDgAY&amp;q=site%3Alinkedin.com+Sital+Patel+IBCMA+EMEA+Campus+Recruiter")</f>
        <v>https://www.google.com/search?newwindow=1&amp;ei=2MT0XrvGGM-vytMP1OyDgAY&amp;q=site%3Alinkedin.com+Sital+Patel+IBCMA+EMEA+Campus+Recruiter</v>
      </c>
      <c r="K731" s="5" t="str">
        <f t="shared" si="1"/>
        <v>Sital Patel</v>
      </c>
      <c r="L731" s="5" t="str">
        <f t="shared" si="2"/>
        <v>IBCMA EMEA Campus Recruiter</v>
      </c>
      <c r="M731" s="5" t="str">
        <f t="shared" si="3"/>
        <v/>
      </c>
      <c r="N731" s="5" t="str">
        <f t="shared" si="4"/>
        <v>Credit Suisse</v>
      </c>
      <c r="O731" s="5" t="str">
        <f t="shared" si="5"/>
        <v>1 year 11 months in role and company</v>
      </c>
      <c r="P731" s="5" t="str">
        <f t="shared" si="6"/>
        <v>London</v>
      </c>
      <c r="Q731" s="5" t="str">
        <f t="shared" si="7"/>
        <v>England</v>
      </c>
      <c r="R731" s="5" t="str">
        <f t="shared" si="8"/>
        <v>United Kingdom</v>
      </c>
    </row>
    <row r="732">
      <c r="A732" s="8" t="s">
        <v>6487</v>
      </c>
      <c r="B732" s="10" t="s">
        <v>6488</v>
      </c>
      <c r="C732" s="10" t="s">
        <v>6489</v>
      </c>
      <c r="D732" s="10"/>
      <c r="E732" s="10" t="s">
        <v>6490</v>
      </c>
      <c r="F732" s="10" t="s">
        <v>84</v>
      </c>
      <c r="G732" s="11" t="s">
        <v>6491</v>
      </c>
      <c r="H732" s="11" t="s">
        <v>4638</v>
      </c>
      <c r="I732" s="11" t="s">
        <v>4600</v>
      </c>
      <c r="J732" s="9" t="str">
        <f>IFERROR(__xludf.DUMMYFUNCTION("""COMPUTED_VALUE"""),"https://www.google.com/search?newwindow=1&amp;ei=2MT0XrvGGM-vytMP1OyDgAY&amp;q=site%3Alinkedin.com+Katie+Evans+Graduate+Recruiter+at+Lendlease")</f>
        <v>https://www.google.com/search?newwindow=1&amp;ei=2MT0XrvGGM-vytMP1OyDgAY&amp;q=site%3Alinkedin.com+Katie+Evans+Graduate+Recruiter+at+Lendlease</v>
      </c>
      <c r="K732" s="5" t="str">
        <f t="shared" si="1"/>
        <v>Katie Evans</v>
      </c>
      <c r="L732" s="5" t="str">
        <f t="shared" si="2"/>
        <v>Graduate Recruiter at Lendlease</v>
      </c>
      <c r="M732" s="5" t="str">
        <f t="shared" si="3"/>
        <v/>
      </c>
      <c r="N732" s="5" t="str">
        <f t="shared" si="4"/>
        <v>IBM</v>
      </c>
      <c r="O732" s="5" t="str">
        <f t="shared" si="5"/>
        <v>1 year 2 months in role</v>
      </c>
      <c r="P732" s="5" t="str">
        <f t="shared" si="6"/>
        <v>London</v>
      </c>
      <c r="Q732" s="5" t="str">
        <f t="shared" si="7"/>
        <v>England</v>
      </c>
      <c r="R732" s="5" t="str">
        <f t="shared" si="8"/>
        <v>United Kingdom</v>
      </c>
    </row>
    <row r="733">
      <c r="A733" s="8" t="s">
        <v>6492</v>
      </c>
      <c r="B733" s="10" t="s">
        <v>6493</v>
      </c>
      <c r="C733" s="10" t="s">
        <v>1378</v>
      </c>
      <c r="D733" s="10"/>
      <c r="E733" s="10" t="s">
        <v>1233</v>
      </c>
      <c r="F733" s="10" t="s">
        <v>2035</v>
      </c>
      <c r="G733" s="11" t="s">
        <v>6494</v>
      </c>
      <c r="H733" s="11" t="s">
        <v>962</v>
      </c>
      <c r="I733" s="11" t="s">
        <v>18</v>
      </c>
      <c r="J733" s="9" t="str">
        <f>IFERROR(__xludf.DUMMYFUNCTION("""COMPUTED_VALUE"""),"https://www.google.com/search?newwindow=1&amp;ei=2MT0XrvGGM-vytMP1OyDgAY&amp;q=site%3Alinkedin.com+Emma+Evans+Senior+FutureForce+University+Recruiter,+EMEA")</f>
        <v>https://www.google.com/search?newwindow=1&amp;ei=2MT0XrvGGM-vytMP1OyDgAY&amp;q=site%3Alinkedin.com+Emma+Evans+Senior+FutureForce+University+Recruiter,+EMEA</v>
      </c>
      <c r="K733" s="5" t="str">
        <f t="shared" si="1"/>
        <v>Emma Evans</v>
      </c>
      <c r="L733" s="5" t="str">
        <f t="shared" si="2"/>
        <v>Senior FutureForce University Recruiter, EMEA</v>
      </c>
      <c r="M733" s="5" t="str">
        <f t="shared" si="3"/>
        <v/>
      </c>
      <c r="N733" s="5" t="str">
        <f t="shared" si="4"/>
        <v>Salesforce</v>
      </c>
      <c r="O733" s="5" t="str">
        <f t="shared" si="5"/>
        <v>3 years 3 months in role and company</v>
      </c>
      <c r="P733" s="5" t="str">
        <f t="shared" si="6"/>
        <v>London</v>
      </c>
      <c r="Q733" s="5" t="str">
        <f t="shared" si="7"/>
        <v>England</v>
      </c>
      <c r="R733" s="5" t="str">
        <f t="shared" si="8"/>
        <v>United Kingdom</v>
      </c>
    </row>
    <row r="734">
      <c r="A734" s="8" t="s">
        <v>6495</v>
      </c>
      <c r="B734" s="12" t="s">
        <v>6496</v>
      </c>
      <c r="C734" s="10" t="s">
        <v>6497</v>
      </c>
      <c r="D734" s="10"/>
      <c r="E734" s="10" t="s">
        <v>6498</v>
      </c>
      <c r="F734" s="10" t="s">
        <v>188</v>
      </c>
      <c r="G734" s="11" t="s">
        <v>6499</v>
      </c>
      <c r="H734" s="11" t="s">
        <v>4757</v>
      </c>
      <c r="I734" s="11" t="s">
        <v>4607</v>
      </c>
      <c r="J734" s="9" t="str">
        <f>IFERROR(__xludf.DUMMYFUNCTION("""COMPUTED_VALUE"""),"https://www.google.com/search?newwindow=1&amp;ei=2MT0XrvGGM-vytMP1OyDgAY&amp;q=site%3Alinkedin.com+James+O'Farrell+Graduate+Placement+-+Information+Tecghnology+Recruiter")</f>
        <v>https://www.google.com/search?newwindow=1&amp;ei=2MT0XrvGGM-vytMP1OyDgAY&amp;q=site%3Alinkedin.com+James+O'Farrell+Graduate+Placement+-+Information+Tecghnology+Recruiter</v>
      </c>
      <c r="K734" s="5" t="str">
        <f t="shared" si="1"/>
        <v>James O'Farrell</v>
      </c>
      <c r="L734" s="5" t="str">
        <f t="shared" si="2"/>
        <v>Graduate Placement - Information Tecghnology Recruiter</v>
      </c>
      <c r="M734" s="5" t="str">
        <f t="shared" si="3"/>
        <v/>
      </c>
      <c r="N734" s="5" t="str">
        <f t="shared" si="4"/>
        <v>Scope AT Recruitment</v>
      </c>
      <c r="O734" s="5" t="str">
        <f t="shared" si="5"/>
        <v>2 years 5 months in role and company</v>
      </c>
      <c r="P734" s="5" t="str">
        <f t="shared" si="6"/>
        <v>London</v>
      </c>
      <c r="Q734" s="5" t="str">
        <f t="shared" si="7"/>
        <v>England</v>
      </c>
      <c r="R734" s="5" t="str">
        <f t="shared" si="8"/>
        <v>United Kingdom</v>
      </c>
    </row>
    <row r="735">
      <c r="A735" s="8" t="s">
        <v>6500</v>
      </c>
      <c r="B735" s="10" t="s">
        <v>6501</v>
      </c>
      <c r="C735" s="10" t="s">
        <v>6502</v>
      </c>
      <c r="D735" s="10"/>
      <c r="E735" s="10" t="s">
        <v>4632</v>
      </c>
      <c r="F735" s="10" t="s">
        <v>666</v>
      </c>
      <c r="G735" s="11" t="s">
        <v>6499</v>
      </c>
      <c r="H735" s="11" t="s">
        <v>4757</v>
      </c>
      <c r="I735" s="11" t="s">
        <v>4607</v>
      </c>
      <c r="J735" s="9" t="str">
        <f>IFERROR(__xludf.DUMMYFUNCTION("""COMPUTED_VALUE"""),"https://www.google.com/search?newwindow=1&amp;ei=2MT0XrvGGM-vytMP1OyDgAY&amp;q=site%3Alinkedin.com+Sophie+Willmott+Early+Careers+Recruitment+Advisor")</f>
        <v>https://www.google.com/search?newwindow=1&amp;ei=2MT0XrvGGM-vytMP1OyDgAY&amp;q=site%3Alinkedin.com+Sophie+Willmott+Early+Careers+Recruitment+Advisor</v>
      </c>
      <c r="K735" s="5" t="str">
        <f t="shared" si="1"/>
        <v>Sophie Willmott</v>
      </c>
      <c r="L735" s="5" t="str">
        <f t="shared" si="2"/>
        <v>Early Careers Recruitment Advisor</v>
      </c>
      <c r="M735" s="5" t="str">
        <f t="shared" si="3"/>
        <v/>
      </c>
      <c r="N735" s="5" t="str">
        <f t="shared" si="4"/>
        <v>Mott MacDonald</v>
      </c>
      <c r="O735" s="5" t="str">
        <f t="shared" si="5"/>
        <v>2 years 10 months in role</v>
      </c>
      <c r="P735" s="5" t="str">
        <f t="shared" si="6"/>
        <v>London</v>
      </c>
      <c r="Q735" s="5" t="str">
        <f t="shared" si="7"/>
        <v>England</v>
      </c>
      <c r="R735" s="5" t="str">
        <f t="shared" si="8"/>
        <v>United Kingdom</v>
      </c>
    </row>
    <row r="736">
      <c r="A736" s="8" t="s">
        <v>6503</v>
      </c>
      <c r="B736" s="12" t="s">
        <v>6504</v>
      </c>
      <c r="C736" s="10" t="s">
        <v>6505</v>
      </c>
      <c r="D736" s="10"/>
      <c r="E736" s="10" t="s">
        <v>4632</v>
      </c>
      <c r="F736" s="10" t="s">
        <v>188</v>
      </c>
      <c r="G736" s="11" t="s">
        <v>6499</v>
      </c>
      <c r="H736" s="11" t="s">
        <v>4757</v>
      </c>
      <c r="I736" s="11" t="s">
        <v>4607</v>
      </c>
      <c r="J736" s="9" t="str">
        <f>IFERROR(__xludf.DUMMYFUNCTION("""COMPUTED_VALUE"""),"https://www.google.com/search?newwindow=1&amp;ei=2MT0XrvGGM-vytMP1OyDgAY&amp;q=site%3Alinkedin.com+Fabiana+Tepedino+RISIA+(Registered+International+Student+Immigration+Advisor)")</f>
        <v>https://www.google.com/search?newwindow=1&amp;ei=2MT0XrvGGM-vytMP1OyDgAY&amp;q=site%3Alinkedin.com+Fabiana+Tepedino+RISIA+(Registered+International+Student+Immigration+Advisor)</v>
      </c>
      <c r="K736" s="5" t="str">
        <f t="shared" si="1"/>
        <v>Fabiana Tepedino</v>
      </c>
      <c r="L736" s="5" t="str">
        <f t="shared" si="2"/>
        <v>RISIA (Registered International Student Immigration Advisor)</v>
      </c>
      <c r="M736" s="5" t="str">
        <f t="shared" si="3"/>
        <v/>
      </c>
      <c r="N736" s="5" t="str">
        <f t="shared" si="4"/>
        <v>Western University</v>
      </c>
      <c r="O736" s="5" t="str">
        <f t="shared" si="5"/>
        <v>4 years 2 months in role and company</v>
      </c>
      <c r="P736" s="5" t="str">
        <f t="shared" si="6"/>
        <v>London</v>
      </c>
      <c r="Q736" s="5" t="str">
        <f t="shared" si="7"/>
        <v>Ontario</v>
      </c>
      <c r="R736" s="5" t="str">
        <f t="shared" si="8"/>
        <v>Canada</v>
      </c>
    </row>
    <row r="737">
      <c r="A737" s="8" t="s">
        <v>6506</v>
      </c>
      <c r="B737" s="10" t="s">
        <v>6507</v>
      </c>
      <c r="C737" s="10" t="s">
        <v>6508</v>
      </c>
      <c r="D737" s="10"/>
      <c r="E737" s="10" t="s">
        <v>4632</v>
      </c>
      <c r="F737" s="10" t="s">
        <v>144</v>
      </c>
      <c r="G737" s="11" t="s">
        <v>6499</v>
      </c>
      <c r="H737" s="11" t="s">
        <v>4757</v>
      </c>
      <c r="I737" s="11" t="s">
        <v>4607</v>
      </c>
      <c r="J737" s="9" t="str">
        <f>IFERROR(__xludf.DUMMYFUNCTION("""COMPUTED_VALUE"""),"https://www.google.com/search?newwindow=1&amp;ei=2MT0XrvGGM-vytMP1OyDgAY&amp;q=site%3Alinkedin.com+George+Duff+University+Recruitment+Coordinator")</f>
        <v>https://www.google.com/search?newwindow=1&amp;ei=2MT0XrvGGM-vytMP1OyDgAY&amp;q=site%3Alinkedin.com+George+Duff+University+Recruitment+Coordinator</v>
      </c>
      <c r="K737" s="5" t="str">
        <f t="shared" si="1"/>
        <v>George Duff</v>
      </c>
      <c r="L737" s="5" t="str">
        <f t="shared" si="2"/>
        <v>University Recruitment Coordinator</v>
      </c>
      <c r="M737" s="5" t="str">
        <f t="shared" si="3"/>
        <v/>
      </c>
      <c r="N737" s="5" t="str">
        <f t="shared" si="4"/>
        <v>Facebook</v>
      </c>
      <c r="O737" s="5" t="str">
        <f t="shared" si="5"/>
        <v>2 years 10 months in role and company</v>
      </c>
      <c r="P737" s="5" t="str">
        <f t="shared" si="6"/>
        <v>London</v>
      </c>
      <c r="Q737" s="5" t="str">
        <f t="shared" si="7"/>
        <v>England</v>
      </c>
      <c r="R737" s="5" t="str">
        <f t="shared" si="8"/>
        <v>United Kingdom</v>
      </c>
    </row>
    <row r="738">
      <c r="A738" s="8" t="s">
        <v>6509</v>
      </c>
      <c r="B738" s="12" t="s">
        <v>6510</v>
      </c>
      <c r="C738" s="10" t="s">
        <v>371</v>
      </c>
      <c r="D738" s="10"/>
      <c r="E738" s="10" t="s">
        <v>6511</v>
      </c>
      <c r="F738" s="10" t="s">
        <v>15</v>
      </c>
      <c r="G738" s="11" t="s">
        <v>6499</v>
      </c>
      <c r="H738" s="11" t="s">
        <v>4757</v>
      </c>
      <c r="I738" s="11" t="s">
        <v>4607</v>
      </c>
      <c r="J738" s="9" t="str">
        <f>IFERROR(__xludf.DUMMYFUNCTION("""COMPUTED_VALUE"""),"https://www.google.com/search?newwindow=1&amp;ei=2MT0XrvGGM-vytMP1OyDgAY&amp;q=site%3Alinkedin.com+Brett+Hemmerling+Assistant+Vice+President-Campus+Recruiter+and+Program+Manager+(Europe,+Middle+East+and+Africa)")</f>
        <v>https://www.google.com/search?newwindow=1&amp;ei=2MT0XrvGGM-vytMP1OyDgAY&amp;q=site%3Alinkedin.com+Brett+Hemmerling+Assistant+Vice+President-Campus+Recruiter+and+Program+Manager+(Europe,+Middle+East+and+Africa)</v>
      </c>
      <c r="K738" s="5" t="str">
        <f t="shared" si="1"/>
        <v>Brett Hemmerling</v>
      </c>
      <c r="L738" s="5" t="str">
        <f t="shared" si="2"/>
        <v>Assistant Vice President-Campus Recruiter and Program Manager (Europe, Middle East and Africa)</v>
      </c>
      <c r="M738" s="5" t="str">
        <f t="shared" si="3"/>
        <v/>
      </c>
      <c r="N738" s="5" t="str">
        <f t="shared" si="4"/>
        <v>Moody's Corporation</v>
      </c>
      <c r="O738" s="5" t="str">
        <f t="shared" si="5"/>
        <v>2 years 2 months in role</v>
      </c>
      <c r="P738" s="5" t="str">
        <f t="shared" si="6"/>
        <v>London</v>
      </c>
      <c r="Q738" s="5" t="str">
        <f t="shared" si="7"/>
        <v>England</v>
      </c>
      <c r="R738" s="5" t="str">
        <f t="shared" si="8"/>
        <v>United Kingdom</v>
      </c>
    </row>
    <row r="739">
      <c r="A739" s="8" t="s">
        <v>6512</v>
      </c>
      <c r="B739" s="10" t="s">
        <v>6513</v>
      </c>
      <c r="C739" s="10" t="s">
        <v>6514</v>
      </c>
      <c r="D739" s="10"/>
      <c r="E739" s="10" t="s">
        <v>4632</v>
      </c>
      <c r="F739" s="10" t="s">
        <v>579</v>
      </c>
      <c r="G739" s="11" t="s">
        <v>6499</v>
      </c>
      <c r="H739" s="11" t="s">
        <v>4757</v>
      </c>
      <c r="I739" s="11" t="s">
        <v>4607</v>
      </c>
      <c r="J739" s="9" t="str">
        <f>IFERROR(__xludf.DUMMYFUNCTION("""COMPUTED_VALUE"""),"https://www.google.com/search?newwindow=1&amp;ei=2MT0XrvGGM-vytMP1OyDgAY&amp;q=site%3Alinkedin.com+Kelly+Smith+Graduate+Student")</f>
        <v>https://www.google.com/search?newwindow=1&amp;ei=2MT0XrvGGM-vytMP1OyDgAY&amp;q=site%3Alinkedin.com+Kelly+Smith+Graduate+Student</v>
      </c>
      <c r="K739" s="5" t="str">
        <f t="shared" si="1"/>
        <v>Kelly Smith</v>
      </c>
      <c r="L739" s="5" t="str">
        <f t="shared" si="2"/>
        <v>Graduate Student</v>
      </c>
      <c r="M739" s="5" t="str">
        <f t="shared" si="3"/>
        <v/>
      </c>
      <c r="N739" s="5" t="str">
        <f t="shared" si="4"/>
        <v>The London School of Economics and Political Science (LSE)</v>
      </c>
      <c r="O739" s="5" t="str">
        <f t="shared" si="5"/>
        <v>2 months in role and company</v>
      </c>
      <c r="P739" s="5" t="str">
        <f t="shared" si="6"/>
        <v>London</v>
      </c>
      <c r="Q739" s="5" t="str">
        <f t="shared" si="7"/>
        <v>England</v>
      </c>
      <c r="R739" s="5" t="str">
        <f t="shared" si="8"/>
        <v>United Kingdom</v>
      </c>
    </row>
    <row r="740">
      <c r="A740" s="8" t="s">
        <v>6515</v>
      </c>
      <c r="B740" s="10" t="s">
        <v>6516</v>
      </c>
      <c r="C740" s="10" t="s">
        <v>6517</v>
      </c>
      <c r="D740" s="10"/>
      <c r="E740" s="10" t="s">
        <v>4632</v>
      </c>
      <c r="F740" s="10" t="s">
        <v>277</v>
      </c>
      <c r="G740" s="11" t="s">
        <v>6499</v>
      </c>
      <c r="H740" s="11" t="s">
        <v>4757</v>
      </c>
      <c r="I740" s="11" t="s">
        <v>4607</v>
      </c>
      <c r="J740" s="9" t="str">
        <f>IFERROR(__xludf.DUMMYFUNCTION("""COMPUTED_VALUE"""),"https://www.google.com/search?newwindow=1&amp;ei=2MT0XrvGGM-vytMP1OyDgAY&amp;q=site%3Alinkedin.com+Emily+Haseldine+Lead+Recruiter+-+UK+Campus")</f>
        <v>https://www.google.com/search?newwindow=1&amp;ei=2MT0XrvGGM-vytMP1OyDgAY&amp;q=site%3Alinkedin.com+Emily+Haseldine+Lead+Recruiter+-+UK+Campus</v>
      </c>
      <c r="K740" s="5" t="str">
        <f t="shared" si="1"/>
        <v>Emily Haseldine</v>
      </c>
      <c r="L740" s="5" t="str">
        <f t="shared" si="2"/>
        <v>Lead Recruiter - UK Campus</v>
      </c>
      <c r="M740" s="5" t="str">
        <f t="shared" si="3"/>
        <v/>
      </c>
      <c r="N740" s="5" t="str">
        <f t="shared" si="4"/>
        <v>McKinsey &amp; Company</v>
      </c>
      <c r="O740" s="5" t="str">
        <f t="shared" si="5"/>
        <v>1 year 4 months in role</v>
      </c>
      <c r="P740" s="5" t="str">
        <f t="shared" si="6"/>
        <v>London</v>
      </c>
      <c r="Q740" s="5" t="str">
        <f t="shared" si="7"/>
        <v>England</v>
      </c>
      <c r="R740" s="5" t="str">
        <f t="shared" si="8"/>
        <v>United Kingdom</v>
      </c>
    </row>
    <row r="741">
      <c r="A741" s="8" t="s">
        <v>6518</v>
      </c>
      <c r="B741" s="10" t="s">
        <v>6519</v>
      </c>
      <c r="C741" s="10" t="s">
        <v>5054</v>
      </c>
      <c r="D741" s="10"/>
      <c r="E741" s="10" t="s">
        <v>4632</v>
      </c>
      <c r="F741" s="10" t="s">
        <v>441</v>
      </c>
      <c r="G741" s="11" t="s">
        <v>6499</v>
      </c>
      <c r="H741" s="11" t="s">
        <v>4757</v>
      </c>
      <c r="I741" s="11" t="s">
        <v>4607</v>
      </c>
      <c r="J741" s="9" t="str">
        <f>IFERROR(__xludf.DUMMYFUNCTION("""COMPUTED_VALUE"""),"https://www.google.com/search?newwindow=1&amp;ei=2MT0XrvGGM-vytMP1OyDgAY&amp;q=site%3Alinkedin.com+Katerina+Birova+Non-Technical+Intern,+Global+Partner+Programs+&amp;+Operations")</f>
        <v>https://www.google.com/search?newwindow=1&amp;ei=2MT0XrvGGM-vytMP1OyDgAY&amp;q=site%3Alinkedin.com+Katerina+Birova+Non-Technical+Intern,+Global+Partner+Programs+&amp;+Operations</v>
      </c>
      <c r="K741" s="5" t="str">
        <f t="shared" si="1"/>
        <v>Katerina Birova</v>
      </c>
      <c r="L741" s="5" t="str">
        <f t="shared" si="2"/>
        <v>Non-Technical Intern, Global Partner Programs &amp; Operations</v>
      </c>
      <c r="M741" s="5" t="str">
        <f t="shared" si="3"/>
        <v/>
      </c>
      <c r="N741" s="5" t="str">
        <f t="shared" si="4"/>
        <v>Progress</v>
      </c>
      <c r="O741" s="5" t="str">
        <f t="shared" si="5"/>
        <v>3 months in role and company</v>
      </c>
      <c r="P741" s="5" t="str">
        <f t="shared" si="6"/>
        <v>London</v>
      </c>
      <c r="Q741" s="5" t="str">
        <f t="shared" si="7"/>
        <v>England</v>
      </c>
      <c r="R741" s="5" t="str">
        <f t="shared" si="8"/>
        <v>United Kingdom</v>
      </c>
    </row>
    <row r="742">
      <c r="A742" s="8" t="s">
        <v>6520</v>
      </c>
      <c r="B742" s="10" t="s">
        <v>6521</v>
      </c>
      <c r="C742" s="10" t="s">
        <v>5054</v>
      </c>
      <c r="D742" s="10"/>
      <c r="E742" s="10" t="s">
        <v>4632</v>
      </c>
      <c r="F742" s="10" t="s">
        <v>222</v>
      </c>
      <c r="G742" s="11" t="s">
        <v>6499</v>
      </c>
      <c r="H742" s="11" t="s">
        <v>4757</v>
      </c>
      <c r="I742" s="11" t="s">
        <v>4607</v>
      </c>
      <c r="J742" s="9" t="str">
        <f>IFERROR(__xludf.DUMMYFUNCTION("""COMPUTED_VALUE"""),"https://www.google.com/search?newwindow=1&amp;ei=2MT0XrvGGM-vytMP1OyDgAY&amp;q=site%3Alinkedin.com+Lisa+McNeil-Duncan+Campus+Recruiter")</f>
        <v>https://www.google.com/search?newwindow=1&amp;ei=2MT0XrvGGM-vytMP1OyDgAY&amp;q=site%3Alinkedin.com+Lisa+McNeil-Duncan+Campus+Recruiter</v>
      </c>
      <c r="K742" s="5" t="str">
        <f t="shared" si="1"/>
        <v>Lisa McNeil-Duncan</v>
      </c>
      <c r="L742" s="5" t="str">
        <f t="shared" si="2"/>
        <v>Campus Recruiter</v>
      </c>
      <c r="M742" s="5" t="str">
        <f t="shared" si="3"/>
        <v/>
      </c>
      <c r="N742" s="5" t="str">
        <f t="shared" si="4"/>
        <v>Credit Suisse</v>
      </c>
      <c r="O742" s="5" t="str">
        <f t="shared" si="5"/>
        <v>1 year 10 months in role</v>
      </c>
      <c r="P742" s="5" t="str">
        <f t="shared" si="6"/>
        <v>London</v>
      </c>
      <c r="Q742" s="5" t="str">
        <f t="shared" si="7"/>
        <v>England</v>
      </c>
      <c r="R742" s="5" t="str">
        <f t="shared" si="8"/>
        <v>United Kingdom</v>
      </c>
    </row>
    <row r="743">
      <c r="A743" s="8" t="s">
        <v>6522</v>
      </c>
      <c r="B743" s="10" t="s">
        <v>6523</v>
      </c>
      <c r="C743" s="10" t="s">
        <v>6524</v>
      </c>
      <c r="D743" s="10"/>
      <c r="E743" s="10" t="s">
        <v>6525</v>
      </c>
      <c r="F743" s="10" t="s">
        <v>4799</v>
      </c>
      <c r="G743" s="11" t="s">
        <v>6499</v>
      </c>
      <c r="H743" s="11" t="s">
        <v>4757</v>
      </c>
      <c r="I743" s="11" t="s">
        <v>4607</v>
      </c>
      <c r="J743" s="9" t="str">
        <f>IFERROR(__xludf.DUMMYFUNCTION("""COMPUTED_VALUE"""),"https://www.google.com/search?newwindow=1&amp;ei=2MT0XrvGGM-vytMP1OyDgAY&amp;q=site%3Alinkedin.com+Nita+Karavadra+Senior+Program+Manager,+EMEA+Student+Programs")</f>
        <v>https://www.google.com/search?newwindow=1&amp;ei=2MT0XrvGGM-vytMP1OyDgAY&amp;q=site%3Alinkedin.com+Nita+Karavadra+Senior+Program+Manager,+EMEA+Student+Programs</v>
      </c>
      <c r="K743" s="5" t="str">
        <f t="shared" si="1"/>
        <v>Nita Karavadra</v>
      </c>
      <c r="L743" s="5" t="str">
        <f t="shared" si="2"/>
        <v>Senior Program Manager, EMEA Student Programs</v>
      </c>
      <c r="M743" s="5" t="str">
        <f t="shared" si="3"/>
        <v/>
      </c>
      <c r="N743" s="5" t="str">
        <f t="shared" si="4"/>
        <v>Amazon</v>
      </c>
      <c r="O743" s="5" t="str">
        <f t="shared" si="5"/>
        <v>1 year 2 months in role</v>
      </c>
      <c r="P743" s="5" t="str">
        <f t="shared" si="6"/>
        <v>London</v>
      </c>
      <c r="Q743" s="5" t="str">
        <f t="shared" si="7"/>
        <v>England</v>
      </c>
      <c r="R743" s="5" t="str">
        <f t="shared" si="8"/>
        <v>United Kingdom</v>
      </c>
    </row>
    <row r="744">
      <c r="A744" s="8" t="s">
        <v>6526</v>
      </c>
      <c r="B744" s="12" t="s">
        <v>6527</v>
      </c>
      <c r="C744" s="10" t="s">
        <v>6528</v>
      </c>
      <c r="D744" s="10"/>
      <c r="E744" s="10" t="s">
        <v>6525</v>
      </c>
      <c r="F744" s="10" t="s">
        <v>5985</v>
      </c>
      <c r="G744" s="11" t="s">
        <v>6499</v>
      </c>
      <c r="H744" s="11" t="s">
        <v>4757</v>
      </c>
      <c r="I744" s="11" t="s">
        <v>4607</v>
      </c>
      <c r="J744" s="9" t="str">
        <f>IFERROR(__xludf.DUMMYFUNCTION("""COMPUTED_VALUE"""),"https://www.google.com/search?newwindow=1&amp;ei=2MT0XrvGGM-vytMP1OyDgAY&amp;q=site%3Alinkedin.com+Julia+Dadswell+Associate+Graduate+Recruiter")</f>
        <v>https://www.google.com/search?newwindow=1&amp;ei=2MT0XrvGGM-vytMP1OyDgAY&amp;q=site%3Alinkedin.com+Julia+Dadswell+Associate+Graduate+Recruiter</v>
      </c>
      <c r="K744" s="5" t="str">
        <f t="shared" si="1"/>
        <v>Julia Dadswell</v>
      </c>
      <c r="L744" s="5" t="str">
        <f t="shared" si="2"/>
        <v>Associate Graduate Recruiter</v>
      </c>
      <c r="M744" s="5" t="str">
        <f t="shared" si="3"/>
        <v/>
      </c>
      <c r="N744" s="5" t="str">
        <f t="shared" si="4"/>
        <v>Nomura</v>
      </c>
      <c r="O744" s="5" t="str">
        <f t="shared" si="5"/>
        <v>1 year 2 months in role and company</v>
      </c>
      <c r="P744" s="5" t="str">
        <f t="shared" si="6"/>
        <v>London</v>
      </c>
      <c r="Q744" s="5" t="str">
        <f t="shared" si="7"/>
        <v>England</v>
      </c>
      <c r="R744" s="5" t="str">
        <f t="shared" si="8"/>
        <v>United Kingdom</v>
      </c>
    </row>
    <row r="745">
      <c r="A745" s="8" t="s">
        <v>6529</v>
      </c>
      <c r="B745" s="10" t="s">
        <v>6530</v>
      </c>
      <c r="C745" s="10" t="s">
        <v>110</v>
      </c>
      <c r="D745" s="10"/>
      <c r="E745" s="10" t="s">
        <v>4836</v>
      </c>
      <c r="F745" s="10" t="s">
        <v>421</v>
      </c>
      <c r="G745" s="11" t="s">
        <v>6499</v>
      </c>
      <c r="H745" s="11" t="s">
        <v>4757</v>
      </c>
      <c r="I745" s="11" t="s">
        <v>4607</v>
      </c>
      <c r="J745" s="9" t="str">
        <f>IFERROR(__xludf.DUMMYFUNCTION("""COMPUTED_VALUE"""),"https://www.google.com/search?newwindow=1&amp;ei=2MT0XrvGGM-vytMP1OyDgAY&amp;q=site%3Alinkedin.com+Kuldip+Bhathal+Graduate+Recruiter")</f>
        <v>https://www.google.com/search?newwindow=1&amp;ei=2MT0XrvGGM-vytMP1OyDgAY&amp;q=site%3Alinkedin.com+Kuldip+Bhathal+Graduate+Recruiter</v>
      </c>
      <c r="K745" s="5" t="str">
        <f t="shared" si="1"/>
        <v>Kuldip Bhathal</v>
      </c>
      <c r="L745" s="5" t="str">
        <f t="shared" si="2"/>
        <v>Graduate Recruiter</v>
      </c>
      <c r="M745" s="5" t="str">
        <f t="shared" si="3"/>
        <v/>
      </c>
      <c r="N745" s="5" t="str">
        <f t="shared" si="4"/>
        <v>Facebook</v>
      </c>
      <c r="O745" s="5" t="str">
        <f t="shared" si="5"/>
        <v>3 years  in role and company</v>
      </c>
      <c r="P745" s="5" t="str">
        <f t="shared" si="6"/>
        <v>London</v>
      </c>
      <c r="Q745" s="5" t="str">
        <f t="shared" si="7"/>
        <v>England</v>
      </c>
      <c r="R745" s="5" t="str">
        <f t="shared" si="8"/>
        <v>United Kingdom</v>
      </c>
    </row>
    <row r="746">
      <c r="A746" s="8" t="s">
        <v>6531</v>
      </c>
      <c r="B746" s="10" t="s">
        <v>6516</v>
      </c>
      <c r="C746" s="10" t="s">
        <v>5054</v>
      </c>
      <c r="D746" s="10"/>
      <c r="E746" s="10" t="s">
        <v>4632</v>
      </c>
      <c r="F746" s="10"/>
      <c r="G746" s="11" t="s">
        <v>6499</v>
      </c>
      <c r="H746" s="11" t="s">
        <v>4757</v>
      </c>
      <c r="I746" s="11" t="s">
        <v>4607</v>
      </c>
      <c r="J746" s="9" t="str">
        <f>IFERROR(__xludf.DUMMYFUNCTION("""COMPUTED_VALUE"""),"https://www.google.com/search?newwindow=1&amp;ei=2MT0XrvGGM-vytMP1OyDgAY&amp;q=site%3Alinkedin.com+Chen+Murugiah+Assistant+Vice+President+-+Lead+Campus+Recruiter")</f>
        <v>https://www.google.com/search?newwindow=1&amp;ei=2MT0XrvGGM-vytMP1OyDgAY&amp;q=site%3Alinkedin.com+Chen+Murugiah+Assistant+Vice+President+-+Lead+Campus+Recruiter</v>
      </c>
      <c r="K746" s="5" t="str">
        <f t="shared" si="1"/>
        <v>Chen Murugiah</v>
      </c>
      <c r="L746" s="5" t="str">
        <f t="shared" si="2"/>
        <v>Assistant Vice President - Lead Campus Recruiter</v>
      </c>
      <c r="M746" s="5" t="str">
        <f t="shared" si="3"/>
        <v/>
      </c>
      <c r="N746" s="5" t="str">
        <f t="shared" si="4"/>
        <v>Citi</v>
      </c>
      <c r="O746" s="5" t="str">
        <f t="shared" si="5"/>
        <v>1 year 5 months in role and company</v>
      </c>
      <c r="P746" s="5" t="str">
        <f t="shared" si="6"/>
        <v>London</v>
      </c>
      <c r="Q746" s="5" t="str">
        <f t="shared" si="7"/>
        <v>England</v>
      </c>
      <c r="R746" s="5" t="str">
        <f t="shared" si="8"/>
        <v>United Kingdom</v>
      </c>
    </row>
    <row r="747">
      <c r="A747" s="8" t="s">
        <v>6532</v>
      </c>
      <c r="B747" s="12" t="s">
        <v>6533</v>
      </c>
      <c r="C747" s="10" t="s">
        <v>6534</v>
      </c>
      <c r="D747" s="10"/>
      <c r="E747" s="10" t="s">
        <v>6535</v>
      </c>
      <c r="F747" s="10" t="s">
        <v>131</v>
      </c>
      <c r="G747" s="11" t="s">
        <v>6499</v>
      </c>
      <c r="H747" s="11" t="s">
        <v>4757</v>
      </c>
      <c r="I747" s="11" t="s">
        <v>4607</v>
      </c>
      <c r="J747" s="9" t="str">
        <f>IFERROR(__xludf.DUMMYFUNCTION("""COMPUTED_VALUE"""),"https://www.google.com/search?newwindow=1&amp;ei=2MT0XrvGGM-vytMP1OyDgAY&amp;q=site%3Alinkedin.com+Veerali+Patel+Recruiter")</f>
        <v>https://www.google.com/search?newwindow=1&amp;ei=2MT0XrvGGM-vytMP1OyDgAY&amp;q=site%3Alinkedin.com+Veerali+Patel+Recruiter</v>
      </c>
      <c r="K747" s="5" t="str">
        <f t="shared" si="1"/>
        <v>Veerali Patel</v>
      </c>
      <c r="L747" s="5" t="str">
        <f t="shared" si="2"/>
        <v>Recruiter</v>
      </c>
      <c r="M747" s="5" t="str">
        <f t="shared" si="3"/>
        <v/>
      </c>
      <c r="N747" s="5" t="str">
        <f t="shared" si="4"/>
        <v>LEARNOVATE ECOMMERCE</v>
      </c>
      <c r="O747" s="5" t="str">
        <f t="shared" si="5"/>
        <v>2 months in role and company</v>
      </c>
      <c r="P747" s="5" t="str">
        <f t="shared" si="6"/>
        <v>London</v>
      </c>
      <c r="Q747" s="5" t="str">
        <f t="shared" si="7"/>
        <v>England</v>
      </c>
      <c r="R747" s="5" t="str">
        <f t="shared" si="8"/>
        <v>United Kingdom</v>
      </c>
    </row>
    <row r="748">
      <c r="A748" s="8" t="s">
        <v>6536</v>
      </c>
      <c r="B748" s="12" t="s">
        <v>6537</v>
      </c>
      <c r="C748" s="10" t="s">
        <v>6538</v>
      </c>
      <c r="D748" s="10"/>
      <c r="E748" s="10" t="s">
        <v>6539</v>
      </c>
      <c r="F748" s="10" t="s">
        <v>4905</v>
      </c>
      <c r="G748" s="11" t="s">
        <v>6540</v>
      </c>
      <c r="H748" s="11" t="s">
        <v>4757</v>
      </c>
      <c r="I748" s="11" t="s">
        <v>4607</v>
      </c>
      <c r="J748" s="9" t="str">
        <f>IFERROR(__xludf.DUMMYFUNCTION("""COMPUTED_VALUE"""),"https://www.google.com/search?newwindow=1&amp;ei=2MT0XrvGGM-vytMP1OyDgAY&amp;q=site%3Alinkedin.com+Abby+Bryson+University+Recruiter")</f>
        <v>https://www.google.com/search?newwindow=1&amp;ei=2MT0XrvGGM-vytMP1OyDgAY&amp;q=site%3Alinkedin.com+Abby+Bryson+University+Recruiter</v>
      </c>
      <c r="K748" s="5" t="str">
        <f t="shared" si="1"/>
        <v>Abby Bryson</v>
      </c>
      <c r="L748" s="5" t="str">
        <f t="shared" si="2"/>
        <v>University Recruiter</v>
      </c>
      <c r="M748" s="5" t="str">
        <f t="shared" si="3"/>
        <v/>
      </c>
      <c r="N748" s="5" t="str">
        <f t="shared" si="4"/>
        <v>Gartner</v>
      </c>
      <c r="O748" s="5" t="str">
        <f t="shared" si="5"/>
        <v>1 year 5 months in role and company</v>
      </c>
      <c r="P748" s="5" t="str">
        <f t="shared" si="6"/>
        <v>London</v>
      </c>
      <c r="Q748" s="5" t="str">
        <f t="shared" si="7"/>
        <v>England</v>
      </c>
      <c r="R748" s="5" t="str">
        <f t="shared" si="8"/>
        <v>United Kingdom</v>
      </c>
    </row>
    <row r="749">
      <c r="A749" s="8" t="s">
        <v>6541</v>
      </c>
      <c r="B749" s="10" t="s">
        <v>6542</v>
      </c>
      <c r="C749" s="10" t="s">
        <v>5054</v>
      </c>
      <c r="D749" s="12"/>
      <c r="E749" s="12" t="s">
        <v>6543</v>
      </c>
      <c r="F749" s="10"/>
      <c r="G749" s="11" t="s">
        <v>6540</v>
      </c>
      <c r="H749" s="11" t="s">
        <v>4757</v>
      </c>
      <c r="I749" s="11" t="s">
        <v>4607</v>
      </c>
      <c r="J749" s="9" t="str">
        <f>IFERROR(__xludf.DUMMYFUNCTION("""COMPUTED_VALUE"""),"https://www.google.com/search?newwindow=1&amp;ei=2MT0XrvGGM-vytMP1OyDgAY&amp;q=site%3Alinkedin.com+Catherine+Ives+Campus+Recruiter")</f>
        <v>https://www.google.com/search?newwindow=1&amp;ei=2MT0XrvGGM-vytMP1OyDgAY&amp;q=site%3Alinkedin.com+Catherine+Ives+Campus+Recruiter</v>
      </c>
      <c r="K749" s="5" t="str">
        <f t="shared" si="1"/>
        <v>Catherine Ives</v>
      </c>
      <c r="L749" s="5" t="str">
        <f t="shared" si="2"/>
        <v>Campus Recruiter</v>
      </c>
      <c r="M749" s="5" t="str">
        <f t="shared" si="3"/>
        <v/>
      </c>
      <c r="N749" s="5" t="str">
        <f t="shared" si="4"/>
        <v>Morgan Stanley</v>
      </c>
      <c r="O749" s="5" t="str">
        <f t="shared" si="5"/>
        <v>10 months in role</v>
      </c>
      <c r="P749" s="5" t="str">
        <f t="shared" si="6"/>
        <v>London</v>
      </c>
      <c r="Q749" s="5" t="str">
        <f t="shared" si="7"/>
        <v>England</v>
      </c>
      <c r="R749" s="5" t="str">
        <f t="shared" si="8"/>
        <v>United Kingdom</v>
      </c>
    </row>
    <row r="750">
      <c r="A750" s="8" t="s">
        <v>6544</v>
      </c>
      <c r="B750" s="10" t="s">
        <v>6545</v>
      </c>
      <c r="C750" s="10" t="s">
        <v>6546</v>
      </c>
      <c r="D750" s="10"/>
      <c r="E750" s="10" t="s">
        <v>6547</v>
      </c>
      <c r="F750" s="10" t="s">
        <v>237</v>
      </c>
      <c r="G750" s="11" t="s">
        <v>6548</v>
      </c>
      <c r="H750" s="11" t="s">
        <v>4644</v>
      </c>
      <c r="I750" s="11" t="s">
        <v>4600</v>
      </c>
      <c r="J750" s="9" t="str">
        <f>IFERROR(__xludf.DUMMYFUNCTION("""COMPUTED_VALUE"""),"https://www.google.com/search?newwindow=1&amp;ei=2MT0XrvGGM-vytMP1OyDgAY&amp;q=site%3Alinkedin.com+Saira+Mohammed+EMEA+University+Recruiter")</f>
        <v>https://www.google.com/search?newwindow=1&amp;ei=2MT0XrvGGM-vytMP1OyDgAY&amp;q=site%3Alinkedin.com+Saira+Mohammed+EMEA+University+Recruiter</v>
      </c>
      <c r="K750" s="5" t="str">
        <f t="shared" si="1"/>
        <v>Saira Mohammed</v>
      </c>
      <c r="L750" s="5" t="str">
        <f t="shared" si="2"/>
        <v>EMEA University Recruiter</v>
      </c>
      <c r="M750" s="5" t="str">
        <f t="shared" si="3"/>
        <v/>
      </c>
      <c r="N750" s="5" t="str">
        <f t="shared" si="4"/>
        <v>Twitter</v>
      </c>
      <c r="O750" s="5" t="str">
        <f t="shared" si="5"/>
        <v>2 years 3 months in role and company</v>
      </c>
      <c r="P750" s="5" t="str">
        <f t="shared" si="6"/>
        <v>London</v>
      </c>
      <c r="Q750" s="5" t="str">
        <f t="shared" si="7"/>
        <v>England</v>
      </c>
      <c r="R750" s="5" t="str">
        <f t="shared" si="8"/>
        <v>United Kingdom</v>
      </c>
    </row>
    <row r="751">
      <c r="A751" s="8" t="s">
        <v>6544</v>
      </c>
      <c r="B751" s="10" t="s">
        <v>6545</v>
      </c>
      <c r="C751" s="10" t="s">
        <v>6546</v>
      </c>
      <c r="D751" s="10"/>
      <c r="E751" s="10" t="s">
        <v>6547</v>
      </c>
      <c r="F751" s="10" t="s">
        <v>237</v>
      </c>
      <c r="G751" s="11" t="s">
        <v>6548</v>
      </c>
      <c r="H751" s="11" t="s">
        <v>4644</v>
      </c>
      <c r="I751" s="11" t="s">
        <v>4600</v>
      </c>
      <c r="J751" s="9" t="str">
        <f>IFERROR(__xludf.DUMMYFUNCTION("""COMPUTED_VALUE"""),"https://www.google.com/search?newwindow=1&amp;ei=2MT0XrvGGM-vytMP1OyDgAY&amp;q=site%3Alinkedin.com+Charlotte+Unwin+Campus+Recruiter")</f>
        <v>https://www.google.com/search?newwindow=1&amp;ei=2MT0XrvGGM-vytMP1OyDgAY&amp;q=site%3Alinkedin.com+Charlotte+Unwin+Campus+Recruiter</v>
      </c>
      <c r="K751" s="5" t="str">
        <f t="shared" si="1"/>
        <v>Charlotte Unwin</v>
      </c>
      <c r="L751" s="5" t="str">
        <f t="shared" si="2"/>
        <v>Campus Recruiter</v>
      </c>
      <c r="M751" s="5" t="str">
        <f t="shared" si="3"/>
        <v/>
      </c>
      <c r="N751" s="5" t="str">
        <f t="shared" si="4"/>
        <v>Morgan Stanley</v>
      </c>
      <c r="O751" s="5" t="str">
        <f t="shared" si="5"/>
        <v>11 months in role and company</v>
      </c>
      <c r="P751" s="5" t="str">
        <f t="shared" si="6"/>
        <v>London</v>
      </c>
      <c r="Q751" s="5" t="str">
        <f t="shared" si="7"/>
        <v>England</v>
      </c>
      <c r="R751" s="5" t="str">
        <f t="shared" si="8"/>
        <v>United Kingdom</v>
      </c>
    </row>
    <row r="752">
      <c r="A752" s="8" t="s">
        <v>6549</v>
      </c>
      <c r="B752" s="12" t="s">
        <v>6550</v>
      </c>
      <c r="C752" s="10" t="s">
        <v>6551</v>
      </c>
      <c r="D752" s="12"/>
      <c r="E752" s="12" t="s">
        <v>6552</v>
      </c>
      <c r="F752" s="10"/>
      <c r="G752" s="11" t="s">
        <v>6548</v>
      </c>
      <c r="H752" s="11" t="s">
        <v>4644</v>
      </c>
      <c r="I752" s="11" t="s">
        <v>4600</v>
      </c>
      <c r="J752" s="9" t="str">
        <f>IFERROR(__xludf.DUMMYFUNCTION("""COMPUTED_VALUE"""),"https://www.google.com/search?newwindow=1&amp;ei=2MT0XrvGGM-vytMP1OyDgAY&amp;q=site%3Alinkedin.com+Anna+Lathia+Senior+Program+Manager,+DEI+EMEA,+Student+Programs")</f>
        <v>https://www.google.com/search?newwindow=1&amp;ei=2MT0XrvGGM-vytMP1OyDgAY&amp;q=site%3Alinkedin.com+Anna+Lathia+Senior+Program+Manager,+DEI+EMEA,+Student+Programs</v>
      </c>
      <c r="K752" s="5" t="str">
        <f t="shared" si="1"/>
        <v>Anna Lathia</v>
      </c>
      <c r="L752" s="5" t="str">
        <f t="shared" si="2"/>
        <v>Senior Program Manager, DEI EMEA, Student Programs</v>
      </c>
      <c r="M752" s="5" t="str">
        <f t="shared" si="3"/>
        <v/>
      </c>
      <c r="N752" s="5" t="str">
        <f t="shared" si="4"/>
        <v>Amazon</v>
      </c>
      <c r="O752" s="5" t="str">
        <f t="shared" si="5"/>
        <v>6 months in role</v>
      </c>
      <c r="P752" s="5" t="str">
        <f t="shared" si="6"/>
        <v>London</v>
      </c>
      <c r="Q752" s="5" t="str">
        <f t="shared" si="7"/>
        <v>England</v>
      </c>
      <c r="R752" s="5" t="str">
        <f t="shared" si="8"/>
        <v>United Kingdom</v>
      </c>
    </row>
    <row r="753">
      <c r="A753" s="8" t="s">
        <v>6553</v>
      </c>
      <c r="B753" s="10" t="s">
        <v>6554</v>
      </c>
      <c r="C753" s="10" t="s">
        <v>6555</v>
      </c>
      <c r="D753" s="10"/>
      <c r="E753" s="10" t="s">
        <v>6556</v>
      </c>
      <c r="F753" s="10" t="s">
        <v>15</v>
      </c>
      <c r="G753" s="11" t="s">
        <v>6557</v>
      </c>
      <c r="H753" s="11" t="s">
        <v>4606</v>
      </c>
      <c r="I753" s="11" t="s">
        <v>4607</v>
      </c>
      <c r="J753" s="9" t="str">
        <f>IFERROR(__xludf.DUMMYFUNCTION("""COMPUTED_VALUE"""),"https://www.google.com/search?newwindow=1&amp;ei=2MT0XrvGGM-vytMP1OyDgAY&amp;q=site%3Alinkedin.com+Emma+Watts+Senior+Campus+Recruiter+with+AMS")</f>
        <v>https://www.google.com/search?newwindow=1&amp;ei=2MT0XrvGGM-vytMP1OyDgAY&amp;q=site%3Alinkedin.com+Emma+Watts+Senior+Campus+Recruiter+with+AMS</v>
      </c>
      <c r="K753" s="5" t="str">
        <f t="shared" si="1"/>
        <v>Emma Watts</v>
      </c>
      <c r="L753" s="5" t="str">
        <f t="shared" si="2"/>
        <v>Senior Campus Recruiter with AMS</v>
      </c>
      <c r="M753" s="5" t="str">
        <f t="shared" si="3"/>
        <v/>
      </c>
      <c r="N753" s="5" t="str">
        <f t="shared" si="4"/>
        <v>Morgan Stanley</v>
      </c>
      <c r="O753" s="5" t="str">
        <f t="shared" si="5"/>
        <v>8 months in role and company</v>
      </c>
      <c r="P753" s="5" t="str">
        <f t="shared" si="6"/>
        <v>London</v>
      </c>
      <c r="Q753" s="5" t="str">
        <f t="shared" si="7"/>
        <v>England</v>
      </c>
      <c r="R753" s="5" t="str">
        <f t="shared" si="8"/>
        <v>United Kingdom</v>
      </c>
    </row>
    <row r="754">
      <c r="A754" s="8" t="s">
        <v>6558</v>
      </c>
      <c r="B754" s="12" t="s">
        <v>6559</v>
      </c>
      <c r="C754" s="10" t="s">
        <v>6560</v>
      </c>
      <c r="D754" s="10"/>
      <c r="E754" s="10" t="s">
        <v>6561</v>
      </c>
      <c r="F754" s="10" t="s">
        <v>5443</v>
      </c>
      <c r="G754" s="11" t="s">
        <v>6562</v>
      </c>
      <c r="H754" s="11" t="s">
        <v>4757</v>
      </c>
      <c r="I754" s="11" t="s">
        <v>4607</v>
      </c>
      <c r="J754" s="9" t="str">
        <f>IFERROR(__xludf.DUMMYFUNCTION("""COMPUTED_VALUE"""),"https://www.google.com/search?newwindow=1&amp;ei=2MT0XrvGGM-vytMP1OyDgAY&amp;q=site%3Alinkedin.com+UK+Academia+Student+Recruiter")</f>
        <v>https://www.google.com/search?newwindow=1&amp;ei=2MT0XrvGGM-vytMP1OyDgAY&amp;q=site%3Alinkedin.com+UK+Academia+Student+Recruiter</v>
      </c>
      <c r="K754" s="5" t="str">
        <f t="shared" si="1"/>
        <v>UK Academia</v>
      </c>
      <c r="L754" s="5" t="str">
        <f t="shared" si="2"/>
        <v>Student Recruiter</v>
      </c>
      <c r="M754" s="5" t="str">
        <f t="shared" si="3"/>
        <v/>
      </c>
      <c r="N754" s="5" t="str">
        <f t="shared" si="4"/>
        <v>UKAcademia Limited</v>
      </c>
      <c r="O754" s="5" t="str">
        <f t="shared" si="5"/>
        <v>9 years 10 months in role and company</v>
      </c>
      <c r="P754" s="5" t="str">
        <f t="shared" si="6"/>
        <v>London</v>
      </c>
      <c r="Q754" s="5" t="str">
        <f t="shared" si="7"/>
        <v>England</v>
      </c>
      <c r="R754" s="5" t="str">
        <f t="shared" si="8"/>
        <v>United Kingdom</v>
      </c>
    </row>
    <row r="755">
      <c r="A755" s="8" t="s">
        <v>6563</v>
      </c>
      <c r="B755" s="10" t="s">
        <v>6564</v>
      </c>
      <c r="C755" s="10" t="s">
        <v>6565</v>
      </c>
      <c r="D755" s="10"/>
      <c r="E755" s="10" t="s">
        <v>6566</v>
      </c>
      <c r="F755" s="10" t="s">
        <v>1123</v>
      </c>
      <c r="G755" s="11" t="s">
        <v>3122</v>
      </c>
      <c r="H755" s="11" t="s">
        <v>4757</v>
      </c>
      <c r="I755" s="11" t="s">
        <v>4607</v>
      </c>
      <c r="J755" s="9" t="str">
        <f>IFERROR(__xludf.DUMMYFUNCTION("""COMPUTED_VALUE"""),"https://www.google.com/search?newwindow=1&amp;ei=2MT0XrvGGM-vytMP1OyDgAY&amp;q=site%3Alinkedin.com+Freddie+Podmore+Senior+Recruiter+&amp;+Campus+Trainer")</f>
        <v>https://www.google.com/search?newwindow=1&amp;ei=2MT0XrvGGM-vytMP1OyDgAY&amp;q=site%3Alinkedin.com+Freddie+Podmore+Senior+Recruiter+&amp;+Campus+Trainer</v>
      </c>
      <c r="K755" s="5" t="str">
        <f t="shared" si="1"/>
        <v>Freddie Podmore</v>
      </c>
      <c r="L755" s="5" t="str">
        <f t="shared" si="2"/>
        <v>Senior Recruiter &amp; Campus Trainer</v>
      </c>
      <c r="M755" s="5" t="str">
        <f t="shared" si="3"/>
        <v/>
      </c>
      <c r="N755" s="5" t="str">
        <f t="shared" si="4"/>
        <v>JOE &amp; THE JUICE</v>
      </c>
      <c r="O755" s="5" t="str">
        <f t="shared" si="5"/>
        <v>1 year 5 months in role</v>
      </c>
      <c r="P755" s="5" t="str">
        <f t="shared" si="6"/>
        <v>London</v>
      </c>
      <c r="Q755" s="5" t="str">
        <f t="shared" si="7"/>
        <v>England</v>
      </c>
      <c r="R755" s="5" t="str">
        <f t="shared" si="8"/>
        <v>United Kingdom</v>
      </c>
    </row>
    <row r="756">
      <c r="A756" s="8" t="s">
        <v>6567</v>
      </c>
      <c r="B756" s="10" t="s">
        <v>6568</v>
      </c>
      <c r="C756" s="10" t="s">
        <v>5054</v>
      </c>
      <c r="D756" s="10"/>
      <c r="E756" s="10" t="s">
        <v>6569</v>
      </c>
      <c r="F756" s="10" t="s">
        <v>1538</v>
      </c>
      <c r="G756" s="11" t="s">
        <v>3122</v>
      </c>
      <c r="H756" s="11" t="s">
        <v>4757</v>
      </c>
      <c r="I756" s="11" t="s">
        <v>4607</v>
      </c>
      <c r="J756" s="9" t="str">
        <f>IFERROR(__xludf.DUMMYFUNCTION("""COMPUTED_VALUE"""),"https://www.google.com/search?newwindow=1&amp;ei=2MT0XrvGGM-vytMP1OyDgAY&amp;q=site%3Alinkedin.com+Jessica+Noon+Tech+University+Graduate+Recruiter,+EMEA")</f>
        <v>https://www.google.com/search?newwindow=1&amp;ei=2MT0XrvGGM-vytMP1OyDgAY&amp;q=site%3Alinkedin.com+Jessica+Noon+Tech+University+Graduate+Recruiter,+EMEA</v>
      </c>
      <c r="K756" s="5" t="str">
        <f t="shared" si="1"/>
        <v>Jessica Noon</v>
      </c>
      <c r="L756" s="5" t="str">
        <f t="shared" si="2"/>
        <v>Tech University Graduate Recruiter, EMEA</v>
      </c>
      <c r="M756" s="5" t="str">
        <f t="shared" si="3"/>
        <v/>
      </c>
      <c r="N756" s="5" t="str">
        <f t="shared" si="4"/>
        <v>Google</v>
      </c>
      <c r="O756" s="5" t="str">
        <f t="shared" si="5"/>
        <v>2 years 6 months in role</v>
      </c>
      <c r="P756" s="5" t="str">
        <f t="shared" si="6"/>
        <v>London</v>
      </c>
      <c r="Q756" s="5" t="str">
        <f t="shared" si="7"/>
        <v>England</v>
      </c>
      <c r="R756" s="5" t="str">
        <f t="shared" si="8"/>
        <v>United Kingdom</v>
      </c>
    </row>
    <row r="757">
      <c r="A757" s="8" t="s">
        <v>6570</v>
      </c>
      <c r="B757" s="10" t="s">
        <v>6571</v>
      </c>
      <c r="C757" s="10" t="s">
        <v>5270</v>
      </c>
      <c r="D757" s="10"/>
      <c r="E757" s="10" t="s">
        <v>6572</v>
      </c>
      <c r="F757" s="10" t="s">
        <v>331</v>
      </c>
      <c r="G757" s="11" t="s">
        <v>3122</v>
      </c>
      <c r="H757" s="11" t="s">
        <v>4757</v>
      </c>
      <c r="I757" s="11" t="s">
        <v>4607</v>
      </c>
      <c r="J757" s="9" t="str">
        <f>IFERROR(__xludf.DUMMYFUNCTION("""COMPUTED_VALUE"""),"https://www.google.com/search?newwindow=1&amp;ei=2MT0XrvGGM-vytMP1OyDgAY&amp;q=site%3Alinkedin.com+Richard+Gillett+Head+of+Recruitment+(Arden+University)")</f>
        <v>https://www.google.com/search?newwindow=1&amp;ei=2MT0XrvGGM-vytMP1OyDgAY&amp;q=site%3Alinkedin.com+Richard+Gillett+Head+of+Recruitment+(Arden+University)</v>
      </c>
      <c r="K757" s="5" t="str">
        <f t="shared" si="1"/>
        <v>Richard Gillett</v>
      </c>
      <c r="L757" s="5" t="str">
        <f t="shared" si="2"/>
        <v>Head of Recruitment (Arden University)</v>
      </c>
      <c r="M757" s="5" t="str">
        <f t="shared" si="3"/>
        <v/>
      </c>
      <c r="N757" s="5" t="str">
        <f t="shared" si="4"/>
        <v>Global University Systems</v>
      </c>
      <c r="O757" s="5" t="str">
        <f t="shared" si="5"/>
        <v>6 months in role</v>
      </c>
      <c r="P757" s="5" t="str">
        <f t="shared" si="6"/>
        <v>London</v>
      </c>
      <c r="Q757" s="5" t="str">
        <f t="shared" si="7"/>
        <v>England</v>
      </c>
      <c r="R757" s="5" t="str">
        <f t="shared" si="8"/>
        <v>United Kingdom</v>
      </c>
    </row>
    <row r="758">
      <c r="A758" s="8" t="s">
        <v>6573</v>
      </c>
      <c r="B758" s="10" t="s">
        <v>6574</v>
      </c>
      <c r="C758" s="10" t="s">
        <v>6575</v>
      </c>
      <c r="D758" s="10"/>
      <c r="E758" s="10" t="s">
        <v>6576</v>
      </c>
      <c r="F758" s="10" t="s">
        <v>574</v>
      </c>
      <c r="G758" s="11" t="s">
        <v>6577</v>
      </c>
      <c r="H758" s="11" t="s">
        <v>4638</v>
      </c>
      <c r="I758" s="11" t="s">
        <v>4600</v>
      </c>
      <c r="J758" s="9" t="str">
        <f>IFERROR(__xludf.DUMMYFUNCTION("""COMPUTED_VALUE"""),"https://www.google.com/search?newwindow=1&amp;ei=2MT0XrvGGM-vytMP1OyDgAY&amp;q=site%3Alinkedin.com+Francesca+White+Graduate+Recruiter")</f>
        <v>https://www.google.com/search?newwindow=1&amp;ei=2MT0XrvGGM-vytMP1OyDgAY&amp;q=site%3Alinkedin.com+Francesca+White+Graduate+Recruiter</v>
      </c>
      <c r="K758" s="5" t="str">
        <f t="shared" si="1"/>
        <v>Francesca White</v>
      </c>
      <c r="L758" s="5" t="str">
        <f t="shared" si="2"/>
        <v>Graduate Recruiter</v>
      </c>
      <c r="M758" s="5" t="str">
        <f t="shared" si="3"/>
        <v/>
      </c>
      <c r="N758" s="5" t="str">
        <f t="shared" si="4"/>
        <v>Deutsche Bank</v>
      </c>
      <c r="O758" s="5" t="str">
        <f t="shared" si="5"/>
        <v>3 years 4 months in role and company</v>
      </c>
      <c r="P758" s="5" t="str">
        <f t="shared" si="6"/>
        <v>London</v>
      </c>
      <c r="Q758" s="5" t="str">
        <f t="shared" si="7"/>
        <v>England</v>
      </c>
      <c r="R758" s="5" t="str">
        <f t="shared" si="8"/>
        <v>United Kingdom</v>
      </c>
    </row>
    <row r="759">
      <c r="A759" s="8" t="s">
        <v>6578</v>
      </c>
      <c r="B759" s="12" t="s">
        <v>6579</v>
      </c>
      <c r="C759" s="10" t="s">
        <v>6580</v>
      </c>
      <c r="D759" s="10"/>
      <c r="E759" s="10" t="s">
        <v>940</v>
      </c>
      <c r="F759" s="10" t="s">
        <v>74</v>
      </c>
      <c r="G759" s="11" t="s">
        <v>6577</v>
      </c>
      <c r="H759" s="11" t="s">
        <v>4638</v>
      </c>
      <c r="I759" s="11" t="s">
        <v>4600</v>
      </c>
      <c r="J759" s="9" t="str">
        <f>IFERROR(__xludf.DUMMYFUNCTION("""COMPUTED_VALUE"""),"https://www.google.com/search?newwindow=1&amp;ei=2MT0XrvGGM-vytMP1OyDgAY&amp;q=site%3Alinkedin.com+Diana+Ly+International+Campus+Recruiting+Manager")</f>
        <v>https://www.google.com/search?newwindow=1&amp;ei=2MT0XrvGGM-vytMP1OyDgAY&amp;q=site%3Alinkedin.com+Diana+Ly+International+Campus+Recruiting+Manager</v>
      </c>
      <c r="K759" s="5" t="str">
        <f t="shared" si="1"/>
        <v>Diana Ly</v>
      </c>
      <c r="L759" s="5" t="str">
        <f t="shared" si="2"/>
        <v>International Campus Recruiting Manager</v>
      </c>
      <c r="M759" s="5" t="str">
        <f t="shared" si="3"/>
        <v/>
      </c>
      <c r="N759" s="5" t="str">
        <f t="shared" si="4"/>
        <v>Boston Consulting Group (BCG)</v>
      </c>
      <c r="O759" s="5" t="str">
        <f t="shared" si="5"/>
        <v>2 years 4 months in role and company</v>
      </c>
      <c r="P759" s="5" t="str">
        <f t="shared" si="6"/>
        <v>London</v>
      </c>
      <c r="Q759" s="5" t="str">
        <f t="shared" si="7"/>
        <v>England</v>
      </c>
      <c r="R759" s="5" t="str">
        <f t="shared" si="8"/>
        <v>United Kingdom</v>
      </c>
    </row>
    <row r="760">
      <c r="A760" s="8" t="s">
        <v>6581</v>
      </c>
      <c r="B760" s="10" t="s">
        <v>6582</v>
      </c>
      <c r="C760" s="10" t="s">
        <v>25</v>
      </c>
      <c r="D760" s="10"/>
      <c r="E760" s="10" t="s">
        <v>6583</v>
      </c>
      <c r="F760" s="10" t="s">
        <v>100</v>
      </c>
      <c r="G760" s="11" t="s">
        <v>6577</v>
      </c>
      <c r="H760" s="11" t="s">
        <v>4638</v>
      </c>
      <c r="I760" s="11" t="s">
        <v>4600</v>
      </c>
      <c r="J760" s="9" t="str">
        <f>IFERROR(__xludf.DUMMYFUNCTION("""COMPUTED_VALUE"""),"https://www.google.com/search?newwindow=1&amp;ei=2MT0XrvGGM-vytMP1OyDgAY&amp;q=site%3Alinkedin.com+Emily+Horton+University+Recruiter")</f>
        <v>https://www.google.com/search?newwindow=1&amp;ei=2MT0XrvGGM-vytMP1OyDgAY&amp;q=site%3Alinkedin.com+Emily+Horton+University+Recruiter</v>
      </c>
      <c r="K760" s="5" t="str">
        <f t="shared" si="1"/>
        <v>Emily Horton</v>
      </c>
      <c r="L760" s="5" t="str">
        <f t="shared" si="2"/>
        <v>University Recruiter</v>
      </c>
      <c r="M760" s="5" t="str">
        <f t="shared" si="3"/>
        <v/>
      </c>
      <c r="N760" s="5" t="str">
        <f t="shared" si="4"/>
        <v>Facebook</v>
      </c>
      <c r="O760" s="5" t="str">
        <f t="shared" si="5"/>
        <v>3 years 1 month in role and company</v>
      </c>
      <c r="P760" s="5" t="str">
        <f t="shared" si="6"/>
        <v>London</v>
      </c>
      <c r="Q760" s="5" t="str">
        <f t="shared" si="7"/>
        <v>England</v>
      </c>
      <c r="R760" s="5" t="str">
        <f t="shared" si="8"/>
        <v>United Kingdom</v>
      </c>
    </row>
    <row r="761">
      <c r="A761" s="8" t="s">
        <v>6584</v>
      </c>
      <c r="B761" s="10" t="s">
        <v>6585</v>
      </c>
      <c r="C761" s="10" t="s">
        <v>4749</v>
      </c>
      <c r="D761" s="10"/>
      <c r="E761" s="10" t="s">
        <v>4760</v>
      </c>
      <c r="F761" s="10" t="s">
        <v>15</v>
      </c>
      <c r="G761" s="11" t="s">
        <v>6577</v>
      </c>
      <c r="H761" s="11" t="s">
        <v>4638</v>
      </c>
      <c r="I761" s="11" t="s">
        <v>4600</v>
      </c>
      <c r="J761" s="9" t="str">
        <f>IFERROR(__xludf.DUMMYFUNCTION("""COMPUTED_VALUE"""),"https://www.google.com/search?newwindow=1&amp;ei=2MT0XrvGGM-vytMP1OyDgAY&amp;q=site%3Alinkedin.com+Katie+Gray+Graduate+Recruiter")</f>
        <v>https://www.google.com/search?newwindow=1&amp;ei=2MT0XrvGGM-vytMP1OyDgAY&amp;q=site%3Alinkedin.com+Katie+Gray+Graduate+Recruiter</v>
      </c>
      <c r="K761" s="5" t="str">
        <f t="shared" si="1"/>
        <v>Katie Gray</v>
      </c>
      <c r="L761" s="5" t="str">
        <f t="shared" si="2"/>
        <v>Graduate Recruiter</v>
      </c>
      <c r="M761" s="5" t="str">
        <f t="shared" si="3"/>
        <v/>
      </c>
      <c r="N761" s="5" t="str">
        <f t="shared" si="4"/>
        <v>Newton Europe</v>
      </c>
      <c r="O761" s="5" t="str">
        <f t="shared" si="5"/>
        <v>1 year 11 months in role and company</v>
      </c>
      <c r="P761" s="5" t="str">
        <f t="shared" si="6"/>
        <v>London</v>
      </c>
      <c r="Q761" s="5" t="str">
        <f t="shared" si="7"/>
        <v>England</v>
      </c>
      <c r="R761" s="5" t="str">
        <f t="shared" si="8"/>
        <v>United Kingdom</v>
      </c>
    </row>
    <row r="762">
      <c r="A762" s="8" t="s">
        <v>6586</v>
      </c>
      <c r="B762" s="12" t="s">
        <v>6587</v>
      </c>
      <c r="C762" s="10" t="s">
        <v>6588</v>
      </c>
      <c r="D762" s="10"/>
      <c r="E762" s="10" t="s">
        <v>6589</v>
      </c>
      <c r="F762" s="10" t="s">
        <v>136</v>
      </c>
      <c r="G762" s="11" t="s">
        <v>6577</v>
      </c>
      <c r="H762" s="11" t="s">
        <v>4757</v>
      </c>
      <c r="I762" s="11" t="s">
        <v>4607</v>
      </c>
      <c r="J762" s="9" t="str">
        <f>IFERROR(__xludf.DUMMYFUNCTION("""COMPUTED_VALUE"""),"https://www.google.com/search?newwindow=1&amp;ei=2MT0XrvGGM-vytMP1OyDgAY&amp;q=site%3Alinkedin.com+Jignesh+Vaghadia+(Assoc+CIPD)+Graduate+Recruiter+–+Markets+(Sales,+Trading,+Structuring+and+Research)")</f>
        <v>https://www.google.com/search?newwindow=1&amp;ei=2MT0XrvGGM-vytMP1OyDgAY&amp;q=site%3Alinkedin.com+Jignesh+Vaghadia+(Assoc+CIPD)+Graduate+Recruiter+–+Markets+(Sales,+Trading,+Structuring+and+Research)</v>
      </c>
      <c r="K762" s="5" t="str">
        <f t="shared" si="1"/>
        <v>Jignesh Vaghadia (Assoc CIPD)</v>
      </c>
      <c r="L762" s="5" t="str">
        <f t="shared" si="2"/>
        <v>Graduate Recruiter – Markets (Sales, Trading, Structuring and Research)</v>
      </c>
      <c r="M762" s="5" t="str">
        <f t="shared" si="3"/>
        <v/>
      </c>
      <c r="N762" s="5" t="str">
        <f t="shared" si="4"/>
        <v>Deutsche Bank</v>
      </c>
      <c r="O762" s="5" t="str">
        <f t="shared" si="5"/>
        <v>1 year 8 months in role</v>
      </c>
      <c r="P762" s="5" t="str">
        <f t="shared" si="6"/>
        <v>London</v>
      </c>
      <c r="Q762" s="5" t="str">
        <f t="shared" si="7"/>
        <v>England</v>
      </c>
      <c r="R762" s="5" t="str">
        <f t="shared" si="8"/>
        <v>United Kingdom</v>
      </c>
    </row>
    <row r="763">
      <c r="A763" s="8" t="s">
        <v>6590</v>
      </c>
      <c r="B763" s="10" t="s">
        <v>6591</v>
      </c>
      <c r="C763" s="10" t="s">
        <v>6592</v>
      </c>
      <c r="D763" s="10"/>
      <c r="E763" s="10" t="s">
        <v>2349</v>
      </c>
      <c r="F763" s="10" t="s">
        <v>165</v>
      </c>
      <c r="G763" s="11" t="s">
        <v>6577</v>
      </c>
      <c r="H763" s="13" t="s">
        <v>4757</v>
      </c>
      <c r="I763" s="11" t="s">
        <v>4607</v>
      </c>
      <c r="J763" s="9" t="str">
        <f>IFERROR(__xludf.DUMMYFUNCTION("""COMPUTED_VALUE"""),"https://www.google.com/search?newwindow=1&amp;ei=2MT0XrvGGM-vytMP1OyDgAY&amp;q=site%3Alinkedin.com+Nat+V.+Campus+Recruiter")</f>
        <v>https://www.google.com/search?newwindow=1&amp;ei=2MT0XrvGGM-vytMP1OyDgAY&amp;q=site%3Alinkedin.com+Nat+V.+Campus+Recruiter</v>
      </c>
      <c r="K763" s="5" t="str">
        <f t="shared" si="1"/>
        <v>Nat V.</v>
      </c>
      <c r="L763" s="5" t="str">
        <f t="shared" si="2"/>
        <v>Campus Recruiter</v>
      </c>
      <c r="M763" s="5" t="str">
        <f t="shared" si="3"/>
        <v/>
      </c>
      <c r="N763" s="5" t="str">
        <f t="shared" si="4"/>
        <v>J.P. Morgan</v>
      </c>
      <c r="O763" s="5" t="str">
        <f t="shared" si="5"/>
        <v>2 years 9 months in role and company</v>
      </c>
      <c r="P763" s="5" t="str">
        <f t="shared" si="6"/>
        <v>London</v>
      </c>
      <c r="Q763" s="5" t="str">
        <f t="shared" si="7"/>
        <v>England</v>
      </c>
      <c r="R763" s="5" t="str">
        <f t="shared" si="8"/>
        <v>United Kingdom</v>
      </c>
    </row>
    <row r="764">
      <c r="A764" s="8" t="s">
        <v>6593</v>
      </c>
      <c r="B764" s="10" t="s">
        <v>6594</v>
      </c>
      <c r="C764" s="10" t="s">
        <v>5054</v>
      </c>
      <c r="D764" s="10"/>
      <c r="E764" s="10" t="s">
        <v>6595</v>
      </c>
      <c r="F764" s="10" t="s">
        <v>351</v>
      </c>
      <c r="G764" s="11" t="s">
        <v>6577</v>
      </c>
      <c r="H764" s="13" t="s">
        <v>4757</v>
      </c>
      <c r="I764" s="11" t="s">
        <v>4607</v>
      </c>
      <c r="J764" s="9" t="str">
        <f>IFERROR(__xludf.DUMMYFUNCTION("""COMPUTED_VALUE"""),"https://www.google.com/search?newwindow=1&amp;ei=2MT0XrvGGM-vytMP1OyDgAY&amp;q=site%3Alinkedin.com+Suhana+Anwar+Graduate+Recruiter+-+AVP")</f>
        <v>https://www.google.com/search?newwindow=1&amp;ei=2MT0XrvGGM-vytMP1OyDgAY&amp;q=site%3Alinkedin.com+Suhana+Anwar+Graduate+Recruiter+-+AVP</v>
      </c>
      <c r="K764" s="5" t="str">
        <f t="shared" si="1"/>
        <v>Suhana Anwar</v>
      </c>
      <c r="L764" s="5" t="str">
        <f t="shared" si="2"/>
        <v>Graduate Recruiter - AVP</v>
      </c>
      <c r="M764" s="5" t="str">
        <f t="shared" si="3"/>
        <v/>
      </c>
      <c r="N764" s="5" t="str">
        <f t="shared" si="4"/>
        <v>Barclays</v>
      </c>
      <c r="O764" s="5" t="str">
        <f t="shared" si="5"/>
        <v>1 year 7 months in role and company</v>
      </c>
      <c r="P764" s="5" t="str">
        <f t="shared" si="6"/>
        <v>London</v>
      </c>
      <c r="Q764" s="5" t="str">
        <f t="shared" si="7"/>
        <v>England</v>
      </c>
      <c r="R764" s="5" t="str">
        <f t="shared" si="8"/>
        <v>United Kingdom</v>
      </c>
    </row>
    <row r="765">
      <c r="A765" s="8" t="s">
        <v>6596</v>
      </c>
      <c r="B765" s="10" t="s">
        <v>6597</v>
      </c>
      <c r="C765" s="10" t="s">
        <v>6598</v>
      </c>
      <c r="D765" s="10"/>
      <c r="E765" s="10" t="s">
        <v>6599</v>
      </c>
      <c r="F765" s="10" t="s">
        <v>48</v>
      </c>
      <c r="G765" s="11" t="s">
        <v>6577</v>
      </c>
      <c r="H765" s="11" t="s">
        <v>4757</v>
      </c>
      <c r="I765" s="11" t="s">
        <v>4607</v>
      </c>
      <c r="J765" s="9" t="str">
        <f>IFERROR(__xludf.DUMMYFUNCTION("""COMPUTED_VALUE"""),"https://www.google.com/search?newwindow=1&amp;ei=2MT0XrvGGM-vytMP1OyDgAY&amp;q=site%3Alinkedin.com+Harriet+Willis+Undergraduate+Programmes+Recruiter")</f>
        <v>https://www.google.com/search?newwindow=1&amp;ei=2MT0XrvGGM-vytMP1OyDgAY&amp;q=site%3Alinkedin.com+Harriet+Willis+Undergraduate+Programmes+Recruiter</v>
      </c>
      <c r="K765" s="5" t="str">
        <f t="shared" si="1"/>
        <v>Harriet Willis</v>
      </c>
      <c r="L765" s="5" t="str">
        <f t="shared" si="2"/>
        <v>Undergraduate Programmes Recruiter</v>
      </c>
      <c r="M765" s="5" t="str">
        <f t="shared" si="3"/>
        <v/>
      </c>
      <c r="N765" s="5" t="str">
        <f t="shared" si="4"/>
        <v>Teach First</v>
      </c>
      <c r="O765" s="5" t="str">
        <f t="shared" si="5"/>
        <v>2 years 10 months in role and company</v>
      </c>
      <c r="P765" s="5" t="str">
        <f t="shared" si="6"/>
        <v>London</v>
      </c>
      <c r="Q765" s="5" t="str">
        <f t="shared" si="7"/>
        <v>England</v>
      </c>
      <c r="R765" s="5" t="str">
        <f t="shared" si="8"/>
        <v>United Kingdom</v>
      </c>
    </row>
    <row r="766">
      <c r="A766" s="8" t="s">
        <v>6600</v>
      </c>
      <c r="B766" s="10" t="s">
        <v>6601</v>
      </c>
      <c r="C766" s="10" t="s">
        <v>5054</v>
      </c>
      <c r="D766" s="10"/>
      <c r="E766" s="10" t="s">
        <v>2551</v>
      </c>
      <c r="F766" s="10" t="s">
        <v>15</v>
      </c>
      <c r="G766" s="11" t="s">
        <v>6577</v>
      </c>
      <c r="H766" s="11" t="s">
        <v>4757</v>
      </c>
      <c r="I766" s="11" t="s">
        <v>4607</v>
      </c>
      <c r="J766" s="9" t="str">
        <f>IFERROR(__xludf.DUMMYFUNCTION("""COMPUTED_VALUE"""),"https://www.google.com/search?newwindow=1&amp;ei=2MT0XrvGGM-vytMP1OyDgAY&amp;q=site%3Alinkedin.com+fedoua+jalmous+International+Recruitment+Officer+at+University+of+Greenwich")</f>
        <v>https://www.google.com/search?newwindow=1&amp;ei=2MT0XrvGGM-vytMP1OyDgAY&amp;q=site%3Alinkedin.com+fedoua+jalmous+International+Recruitment+Officer+at+University+of+Greenwich</v>
      </c>
      <c r="K766" s="5" t="str">
        <f t="shared" si="1"/>
        <v>fedoua jalmous</v>
      </c>
      <c r="L766" s="5" t="str">
        <f t="shared" si="2"/>
        <v>International Recruitment Officer at University of Greenwich</v>
      </c>
      <c r="M766" s="5" t="str">
        <f t="shared" si="3"/>
        <v/>
      </c>
      <c r="N766" s="5" t="str">
        <f t="shared" si="4"/>
        <v>University of Greenwich</v>
      </c>
      <c r="O766" s="5" t="str">
        <f t="shared" si="5"/>
        <v>1 year 11 months in role and company</v>
      </c>
      <c r="P766" s="5" t="str">
        <f t="shared" si="6"/>
        <v>London</v>
      </c>
      <c r="Q766" s="5" t="str">
        <f t="shared" si="7"/>
        <v>England</v>
      </c>
      <c r="R766" s="5" t="str">
        <f t="shared" si="8"/>
        <v>United Kingdom</v>
      </c>
    </row>
    <row r="767">
      <c r="A767" s="8" t="s">
        <v>6602</v>
      </c>
      <c r="B767" s="10" t="s">
        <v>6603</v>
      </c>
      <c r="C767" s="10" t="s">
        <v>6604</v>
      </c>
      <c r="D767" s="10"/>
      <c r="E767" s="10" t="s">
        <v>227</v>
      </c>
      <c r="F767" s="10" t="s">
        <v>257</v>
      </c>
      <c r="G767" s="11" t="s">
        <v>6577</v>
      </c>
      <c r="H767" s="11" t="s">
        <v>4757</v>
      </c>
      <c r="I767" s="11" t="s">
        <v>4607</v>
      </c>
      <c r="J767" s="9" t="str">
        <f>IFERROR(__xludf.DUMMYFUNCTION("""COMPUTED_VALUE"""),"https://www.google.com/search?newwindow=1&amp;ei=2MT0XrvGGM-vytMP1OyDgAY&amp;q=site%3Alinkedin.com+Andrea+Legato+Coordinator,+Student+Services+and+Undergraduate+Programs")</f>
        <v>https://www.google.com/search?newwindow=1&amp;ei=2MT0XrvGGM-vytMP1OyDgAY&amp;q=site%3Alinkedin.com+Andrea+Legato+Coordinator,+Student+Services+and+Undergraduate+Programs</v>
      </c>
      <c r="K767" s="5" t="str">
        <f t="shared" si="1"/>
        <v>Andrea Legato</v>
      </c>
      <c r="L767" s="5" t="str">
        <f t="shared" si="2"/>
        <v>Coordinator, Student Services and Undergraduate Programs</v>
      </c>
      <c r="M767" s="5" t="str">
        <f t="shared" si="3"/>
        <v/>
      </c>
      <c r="N767" s="5" t="str">
        <f t="shared" si="4"/>
        <v>School of Health Studies, Western University</v>
      </c>
      <c r="O767" s="5" t="str">
        <f t="shared" si="5"/>
        <v>1 year 7 months in role and company</v>
      </c>
      <c r="P767" s="5" t="str">
        <f t="shared" si="6"/>
        <v>London</v>
      </c>
      <c r="Q767" s="5" t="str">
        <f t="shared" si="7"/>
        <v>Ontario</v>
      </c>
      <c r="R767" s="5" t="str">
        <f t="shared" si="8"/>
        <v>Canada</v>
      </c>
    </row>
    <row r="768">
      <c r="A768" s="8" t="s">
        <v>6605</v>
      </c>
      <c r="B768" s="10" t="s">
        <v>6606</v>
      </c>
      <c r="C768" s="10" t="s">
        <v>6607</v>
      </c>
      <c r="D768" s="10"/>
      <c r="E768" s="10" t="s">
        <v>6608</v>
      </c>
      <c r="F768" s="10" t="s">
        <v>441</v>
      </c>
      <c r="G768" s="11" t="s">
        <v>6577</v>
      </c>
      <c r="H768" s="11" t="s">
        <v>4757</v>
      </c>
      <c r="I768" s="11" t="s">
        <v>4607</v>
      </c>
      <c r="J768" s="9" t="str">
        <f>IFERROR(__xludf.DUMMYFUNCTION("""COMPUTED_VALUE"""),"https://www.google.com/search?newwindow=1&amp;ei=2MT0XrvGGM-vytMP1OyDgAY&amp;q=site%3Alinkedin.com+Shireen+Loonat+University+Partnership+Recruitment+Manager")</f>
        <v>https://www.google.com/search?newwindow=1&amp;ei=2MT0XrvGGM-vytMP1OyDgAY&amp;q=site%3Alinkedin.com+Shireen+Loonat+University+Partnership+Recruitment+Manager</v>
      </c>
      <c r="K768" s="5" t="str">
        <f t="shared" si="1"/>
        <v>Shireen Loonat</v>
      </c>
      <c r="L768" s="5" t="str">
        <f t="shared" si="2"/>
        <v>University Partnership Recruitment Manager</v>
      </c>
      <c r="M768" s="5" t="str">
        <f t="shared" si="3"/>
        <v/>
      </c>
      <c r="N768" s="5" t="str">
        <f t="shared" si="4"/>
        <v>Pearson</v>
      </c>
      <c r="O768" s="5" t="str">
        <f t="shared" si="5"/>
        <v>3 years 8 months in role</v>
      </c>
      <c r="P768" s="5" t="str">
        <f t="shared" si="6"/>
        <v>London</v>
      </c>
      <c r="Q768" s="5" t="str">
        <f t="shared" si="7"/>
        <v>England</v>
      </c>
      <c r="R768" s="5" t="str">
        <f t="shared" si="8"/>
        <v>United Kingdom</v>
      </c>
    </row>
    <row r="769">
      <c r="A769" s="8" t="s">
        <v>6609</v>
      </c>
      <c r="B769" s="10" t="s">
        <v>6610</v>
      </c>
      <c r="C769" s="10" t="s">
        <v>6611</v>
      </c>
      <c r="D769" s="10"/>
      <c r="E769" s="10" t="s">
        <v>6612</v>
      </c>
      <c r="F769" s="10" t="s">
        <v>257</v>
      </c>
      <c r="G769" s="11" t="s">
        <v>6577</v>
      </c>
      <c r="H769" s="11" t="s">
        <v>4757</v>
      </c>
      <c r="I769" s="11" t="s">
        <v>4607</v>
      </c>
      <c r="J769" s="9" t="str">
        <f>IFERROR(__xludf.DUMMYFUNCTION("""COMPUTED_VALUE"""),"https://www.google.com/search?newwindow=1&amp;ei=2MT0XrvGGM-vytMP1OyDgAY&amp;q=site%3Alinkedin.com+Danielius+Asipavičius+Clearing+and+Recruitment+Ambassador")</f>
        <v>https://www.google.com/search?newwindow=1&amp;ei=2MT0XrvGGM-vytMP1OyDgAY&amp;q=site%3Alinkedin.com+Danielius+Asipavičius+Clearing+and+Recruitment+Ambassador</v>
      </c>
      <c r="K769" s="5" t="str">
        <f t="shared" si="1"/>
        <v>Danielius Asipavičius</v>
      </c>
      <c r="L769" s="5" t="str">
        <f t="shared" si="2"/>
        <v>Clearing and Recruitment Ambassador</v>
      </c>
      <c r="M769" s="5" t="str">
        <f t="shared" si="3"/>
        <v/>
      </c>
      <c r="N769" s="5" t="str">
        <f t="shared" si="4"/>
        <v>University of Greenwich</v>
      </c>
      <c r="O769" s="5" t="str">
        <f t="shared" si="5"/>
        <v>4 months in role</v>
      </c>
      <c r="P769" s="5" t="str">
        <f t="shared" si="6"/>
        <v>London</v>
      </c>
      <c r="Q769" s="5" t="str">
        <f t="shared" si="7"/>
        <v>England</v>
      </c>
      <c r="R769" s="5" t="str">
        <f t="shared" si="8"/>
        <v>United Kingdom</v>
      </c>
    </row>
    <row r="770">
      <c r="A770" s="8" t="s">
        <v>6613</v>
      </c>
      <c r="B770" s="12" t="s">
        <v>6614</v>
      </c>
      <c r="C770" s="10" t="s">
        <v>5054</v>
      </c>
      <c r="D770" s="10"/>
      <c r="E770" s="10" t="s">
        <v>6615</v>
      </c>
      <c r="F770" s="10" t="s">
        <v>441</v>
      </c>
      <c r="G770" s="11" t="s">
        <v>6577</v>
      </c>
      <c r="H770" s="11" t="s">
        <v>4757</v>
      </c>
      <c r="I770" s="11" t="s">
        <v>4607</v>
      </c>
      <c r="J770" s="9" t="str">
        <f>IFERROR(__xludf.DUMMYFUNCTION("""COMPUTED_VALUE"""),"https://www.google.com/search?newwindow=1&amp;ei=2MT0XrvGGM-vytMP1OyDgAY&amp;q=site%3Alinkedin.com+Charlie+Setoodeh+Student+Development+Specialist+/+Program+Manager+|+University+Programs+Team")</f>
        <v>https://www.google.com/search?newwindow=1&amp;ei=2MT0XrvGGM-vytMP1OyDgAY&amp;q=site%3Alinkedin.com+Charlie+Setoodeh+Student+Development+Specialist+/+Program+Manager+|+University+Programs+Team</v>
      </c>
      <c r="K770" s="5" t="str">
        <f t="shared" si="1"/>
        <v>Charlie Setoodeh</v>
      </c>
      <c r="L770" s="5" t="str">
        <f t="shared" si="2"/>
        <v>Student Development Specialist / Program Manager | University Programs Team</v>
      </c>
      <c r="M770" s="5" t="str">
        <f t="shared" si="3"/>
        <v/>
      </c>
      <c r="N770" s="5" t="str">
        <f t="shared" si="4"/>
        <v>Google</v>
      </c>
      <c r="O770" s="5" t="str">
        <f t="shared" si="5"/>
        <v>6 years  in role</v>
      </c>
      <c r="P770" s="5" t="str">
        <f t="shared" si="6"/>
        <v>London</v>
      </c>
      <c r="Q770" s="5" t="str">
        <f t="shared" si="7"/>
        <v>England</v>
      </c>
      <c r="R770" s="5" t="str">
        <f t="shared" si="8"/>
        <v>United Kingdom</v>
      </c>
    </row>
    <row r="771">
      <c r="A771" s="8" t="s">
        <v>6616</v>
      </c>
      <c r="B771" s="12" t="s">
        <v>6617</v>
      </c>
      <c r="C771" s="10" t="s">
        <v>5054</v>
      </c>
      <c r="D771" s="10"/>
      <c r="E771" s="10" t="s">
        <v>6618</v>
      </c>
      <c r="F771" s="10" t="s">
        <v>1846</v>
      </c>
      <c r="G771" s="11" t="s">
        <v>6577</v>
      </c>
      <c r="H771" s="11" t="s">
        <v>4757</v>
      </c>
      <c r="I771" s="11" t="s">
        <v>4607</v>
      </c>
      <c r="J771" s="9" t="str">
        <f>IFERROR(__xludf.DUMMYFUNCTION("""COMPUTED_VALUE"""),"https://www.google.com/search?newwindow=1&amp;ei=2MT0XrvGGM-vytMP1OyDgAY&amp;q=site%3Alinkedin.com+Krystal+Gabriel+Senior+Graduate+Recruiter")</f>
        <v>https://www.google.com/search?newwindow=1&amp;ei=2MT0XrvGGM-vytMP1OyDgAY&amp;q=site%3Alinkedin.com+Krystal+Gabriel+Senior+Graduate+Recruiter</v>
      </c>
      <c r="K771" s="5" t="str">
        <f t="shared" si="1"/>
        <v>Krystal Gabriel</v>
      </c>
      <c r="L771" s="5" t="str">
        <f t="shared" si="2"/>
        <v>Senior Graduate Recruiter</v>
      </c>
      <c r="M771" s="5" t="str">
        <f t="shared" si="3"/>
        <v/>
      </c>
      <c r="N771" s="5" t="str">
        <f t="shared" si="4"/>
        <v>FDM Group</v>
      </c>
      <c r="O771" s="5" t="str">
        <f t="shared" si="5"/>
        <v>1 year  in role</v>
      </c>
      <c r="P771" s="5" t="str">
        <f t="shared" si="6"/>
        <v>London</v>
      </c>
      <c r="Q771" s="5" t="str">
        <f t="shared" si="7"/>
        <v>England</v>
      </c>
      <c r="R771" s="5" t="str">
        <f t="shared" si="8"/>
        <v>United Kingdom</v>
      </c>
    </row>
    <row r="772">
      <c r="A772" s="8" t="s">
        <v>6619</v>
      </c>
      <c r="B772" s="12" t="s">
        <v>6620</v>
      </c>
      <c r="C772" s="10" t="s">
        <v>6621</v>
      </c>
      <c r="D772" s="10"/>
      <c r="E772" s="10" t="s">
        <v>6622</v>
      </c>
      <c r="F772" s="10" t="s">
        <v>322</v>
      </c>
      <c r="G772" s="11" t="s">
        <v>6577</v>
      </c>
      <c r="H772" s="11" t="s">
        <v>4757</v>
      </c>
      <c r="I772" s="11" t="s">
        <v>4607</v>
      </c>
      <c r="J772" s="9" t="str">
        <f>IFERROR(__xludf.DUMMYFUNCTION("""COMPUTED_VALUE"""),"https://www.google.com/search?newwindow=1&amp;ei=2MT0XrvGGM-vytMP1OyDgAY&amp;q=site%3Alinkedin.com+Ciara+Mitchell+(Lyons)+Graduate+Recruiter")</f>
        <v>https://www.google.com/search?newwindow=1&amp;ei=2MT0XrvGGM-vytMP1OyDgAY&amp;q=site%3Alinkedin.com+Ciara+Mitchell+(Lyons)+Graduate+Recruiter</v>
      </c>
      <c r="K772" s="5" t="str">
        <f t="shared" si="1"/>
        <v>Ciara Mitchell (Lyons)</v>
      </c>
      <c r="L772" s="5" t="str">
        <f t="shared" si="2"/>
        <v>Graduate Recruiter</v>
      </c>
      <c r="M772" s="5" t="str">
        <f t="shared" si="3"/>
        <v/>
      </c>
      <c r="N772" s="5" t="str">
        <f t="shared" si="4"/>
        <v>Financial Conduct Authority</v>
      </c>
      <c r="O772" s="5" t="str">
        <f t="shared" si="5"/>
        <v>7 years 5 months in role and company</v>
      </c>
      <c r="P772" s="5" t="str">
        <f t="shared" si="6"/>
        <v>London</v>
      </c>
      <c r="Q772" s="5" t="str">
        <f t="shared" si="7"/>
        <v>England</v>
      </c>
      <c r="R772" s="5" t="str">
        <f t="shared" si="8"/>
        <v>United Kingdom</v>
      </c>
    </row>
    <row r="773">
      <c r="A773" s="8" t="s">
        <v>6623</v>
      </c>
      <c r="B773" s="10" t="s">
        <v>6624</v>
      </c>
      <c r="C773" s="10" t="s">
        <v>5068</v>
      </c>
      <c r="D773" s="10"/>
      <c r="E773" s="10" t="s">
        <v>6625</v>
      </c>
      <c r="F773" s="10" t="s">
        <v>144</v>
      </c>
      <c r="G773" s="11" t="s">
        <v>6577</v>
      </c>
      <c r="H773" s="11" t="s">
        <v>4757</v>
      </c>
      <c r="I773" s="11" t="s">
        <v>4607</v>
      </c>
      <c r="J773" s="9" t="str">
        <f>IFERROR(__xludf.DUMMYFUNCTION("""COMPUTED_VALUE"""),"https://www.google.com/search?newwindow=1&amp;ei=2MT0XrvGGM-vytMP1OyDgAY&amp;q=site%3Alinkedin.com+Andrea+Giuseppe+Foti+International+Marketing+and+Recruitment+Officer+at+City,+University+of+London")</f>
        <v>https://www.google.com/search?newwindow=1&amp;ei=2MT0XrvGGM-vytMP1OyDgAY&amp;q=site%3Alinkedin.com+Andrea+Giuseppe+Foti+International+Marketing+and+Recruitment+Officer+at+City,+University+of+London</v>
      </c>
      <c r="K773" s="5" t="str">
        <f t="shared" si="1"/>
        <v>Andrea Giuseppe Foti</v>
      </c>
      <c r="L773" s="5" t="str">
        <f t="shared" si="2"/>
        <v>International Marketing and Recruitment Officer at City, University of London</v>
      </c>
      <c r="M773" s="5" t="str">
        <f t="shared" si="3"/>
        <v/>
      </c>
      <c r="N773" s="5" t="str">
        <f t="shared" si="4"/>
        <v>City, University of London</v>
      </c>
      <c r="O773" s="5" t="str">
        <f t="shared" si="5"/>
        <v>5 years 7 months in role and company</v>
      </c>
      <c r="P773" s="5" t="str">
        <f t="shared" si="6"/>
        <v>London</v>
      </c>
      <c r="Q773" s="5" t="str">
        <f t="shared" si="7"/>
        <v>England</v>
      </c>
      <c r="R773" s="5" t="str">
        <f t="shared" si="8"/>
        <v>United Kingdom</v>
      </c>
    </row>
    <row r="774">
      <c r="A774" s="8" t="s">
        <v>6626</v>
      </c>
      <c r="B774" s="10" t="s">
        <v>6627</v>
      </c>
      <c r="C774" s="10" t="s">
        <v>6628</v>
      </c>
      <c r="D774" s="10"/>
      <c r="E774" s="10" t="s">
        <v>4632</v>
      </c>
      <c r="F774" s="10" t="s">
        <v>1123</v>
      </c>
      <c r="G774" s="11" t="s">
        <v>6577</v>
      </c>
      <c r="H774" s="11" t="s">
        <v>4757</v>
      </c>
      <c r="I774" s="11" t="s">
        <v>4607</v>
      </c>
      <c r="J774" s="9" t="str">
        <f>IFERROR(__xludf.DUMMYFUNCTION("""COMPUTED_VALUE"""),"https://www.google.com/search?newwindow=1&amp;ei=2MT0XrvGGM-vytMP1OyDgAY&amp;q=site%3Alinkedin.com+Charlotte+Davies+Vice+President+-+Securities+EMEA+Graduate+Recruiter")</f>
        <v>https://www.google.com/search?newwindow=1&amp;ei=2MT0XrvGGM-vytMP1OyDgAY&amp;q=site%3Alinkedin.com+Charlotte+Davies+Vice+President+-+Securities+EMEA+Graduate+Recruiter</v>
      </c>
      <c r="K774" s="5" t="str">
        <f t="shared" si="1"/>
        <v>Charlotte Davies</v>
      </c>
      <c r="L774" s="5" t="str">
        <f t="shared" si="2"/>
        <v>Vice President - Securities EMEA Graduate Recruiter</v>
      </c>
      <c r="M774" s="5" t="str">
        <f t="shared" si="3"/>
        <v/>
      </c>
      <c r="N774" s="5" t="str">
        <f t="shared" si="4"/>
        <v>Goldman Sachs</v>
      </c>
      <c r="O774" s="5" t="str">
        <f t="shared" si="5"/>
        <v>2 years 7 months in role and company</v>
      </c>
      <c r="P774" s="5" t="str">
        <f t="shared" si="6"/>
        <v>London</v>
      </c>
      <c r="Q774" s="5" t="str">
        <f t="shared" si="7"/>
        <v>England</v>
      </c>
      <c r="R774" s="5" t="str">
        <f t="shared" si="8"/>
        <v>United Kingdom</v>
      </c>
    </row>
    <row r="775">
      <c r="A775" s="8" t="s">
        <v>6629</v>
      </c>
      <c r="B775" s="10" t="s">
        <v>6630</v>
      </c>
      <c r="C775" s="10" t="s">
        <v>6631</v>
      </c>
      <c r="D775" s="10"/>
      <c r="E775" s="10" t="s">
        <v>6632</v>
      </c>
      <c r="F775" s="10" t="s">
        <v>188</v>
      </c>
      <c r="G775" s="11" t="s">
        <v>6577</v>
      </c>
      <c r="H775" s="11" t="s">
        <v>4757</v>
      </c>
      <c r="I775" s="11" t="s">
        <v>4607</v>
      </c>
      <c r="J775" s="9" t="str">
        <f>IFERROR(__xludf.DUMMYFUNCTION("""COMPUTED_VALUE"""),"https://www.google.com/search?newwindow=1&amp;ei=2MT0XrvGGM-vytMP1OyDgAY&amp;q=site%3Alinkedin.com+Heather+Roberts+Assistant+Vice+President+Campus+Recruiter,+Corporate+Banking,+Private+Bank,+Cards+&amp;+Payments")</f>
        <v>https://www.google.com/search?newwindow=1&amp;ei=2MT0XrvGGM-vytMP1OyDgAY&amp;q=site%3Alinkedin.com+Heather+Roberts+Assistant+Vice+President+Campus+Recruiter,+Corporate+Banking,+Private+Bank,+Cards+&amp;+Payments</v>
      </c>
      <c r="K775" s="5" t="str">
        <f t="shared" si="1"/>
        <v>Heather Roberts</v>
      </c>
      <c r="L775" s="5" t="str">
        <f t="shared" si="2"/>
        <v>Assistant Vice President Campus Recruiter, Corporate Banking, Private Bank, Cards &amp; Payments</v>
      </c>
      <c r="M775" s="5" t="str">
        <f t="shared" si="3"/>
        <v/>
      </c>
      <c r="N775" s="5" t="str">
        <f t="shared" si="4"/>
        <v>Barclays</v>
      </c>
      <c r="O775" s="5" t="str">
        <f t="shared" si="5"/>
        <v>10 months in role</v>
      </c>
      <c r="P775" s="5" t="str">
        <f t="shared" si="6"/>
        <v>London</v>
      </c>
      <c r="Q775" s="5" t="str">
        <f t="shared" si="7"/>
        <v>England</v>
      </c>
      <c r="R775" s="5" t="str">
        <f t="shared" si="8"/>
        <v>United Kingdom</v>
      </c>
    </row>
    <row r="776">
      <c r="A776" s="8" t="s">
        <v>6633</v>
      </c>
      <c r="B776" s="10" t="s">
        <v>6634</v>
      </c>
      <c r="C776" s="10" t="s">
        <v>6635</v>
      </c>
      <c r="D776" s="10"/>
      <c r="E776" s="10" t="s">
        <v>702</v>
      </c>
      <c r="F776" s="10" t="s">
        <v>387</v>
      </c>
      <c r="G776" s="11" t="s">
        <v>6577</v>
      </c>
      <c r="H776" s="11" t="s">
        <v>4757</v>
      </c>
      <c r="I776" s="11" t="s">
        <v>4607</v>
      </c>
      <c r="J776" s="9" t="str">
        <f>IFERROR(__xludf.DUMMYFUNCTION("""COMPUTED_VALUE"""),"https://www.google.com/search?newwindow=1&amp;ei=2MT0XrvGGM-vytMP1OyDgAY&amp;q=site%3Alinkedin.com+Bukola+Enirayetan+Junior+Graduate+Recruiter")</f>
        <v>https://www.google.com/search?newwindow=1&amp;ei=2MT0XrvGGM-vytMP1OyDgAY&amp;q=site%3Alinkedin.com+Bukola+Enirayetan+Junior+Graduate+Recruiter</v>
      </c>
      <c r="K776" s="5" t="str">
        <f t="shared" si="1"/>
        <v>Bukola Enirayetan</v>
      </c>
      <c r="L776" s="5" t="str">
        <f t="shared" si="2"/>
        <v>Junior Graduate Recruiter</v>
      </c>
      <c r="M776" s="5" t="str">
        <f t="shared" si="3"/>
        <v/>
      </c>
      <c r="N776" s="5" t="str">
        <f t="shared" si="4"/>
        <v>Deutsche Bank</v>
      </c>
      <c r="O776" s="5" t="str">
        <f t="shared" si="5"/>
        <v>1 year 11 months in role and company</v>
      </c>
      <c r="P776" s="5" t="str">
        <f t="shared" si="6"/>
        <v>London</v>
      </c>
      <c r="Q776" s="5" t="str">
        <f t="shared" si="7"/>
        <v>England</v>
      </c>
      <c r="R776" s="5" t="str">
        <f t="shared" si="8"/>
        <v>United Kingdom</v>
      </c>
    </row>
    <row r="777">
      <c r="A777" s="8" t="s">
        <v>6636</v>
      </c>
      <c r="B777" s="10" t="s">
        <v>6637</v>
      </c>
      <c r="C777" s="10" t="s">
        <v>25</v>
      </c>
      <c r="D777" s="10"/>
      <c r="E777" s="10" t="s">
        <v>227</v>
      </c>
      <c r="F777" s="10" t="s">
        <v>15</v>
      </c>
      <c r="G777" s="11" t="s">
        <v>6577</v>
      </c>
      <c r="H777" s="13" t="s">
        <v>4757</v>
      </c>
      <c r="I777" s="11" t="s">
        <v>4607</v>
      </c>
      <c r="J777" s="9" t="str">
        <f>IFERROR(__xludf.DUMMYFUNCTION("""COMPUTED_VALUE"""),"https://www.google.com/search?newwindow=1&amp;ei=2MT0XrvGGM-vytMP1OyDgAY&amp;q=site%3Alinkedin.com+Joanna+Morrison+Vice+President,+Global+Technology+&amp;+Operations+Campus+Recruiter")</f>
        <v>https://www.google.com/search?newwindow=1&amp;ei=2MT0XrvGGM-vytMP1OyDgAY&amp;q=site%3Alinkedin.com+Joanna+Morrison+Vice+President,+Global+Technology+&amp;+Operations+Campus+Recruiter</v>
      </c>
      <c r="K777" s="5" t="str">
        <f t="shared" si="1"/>
        <v>Joanna Morrison</v>
      </c>
      <c r="L777" s="5" t="str">
        <f t="shared" si="2"/>
        <v>Vice President, Global Technology &amp; Operations Campus Recruiter</v>
      </c>
      <c r="M777" s="5" t="str">
        <f t="shared" si="3"/>
        <v/>
      </c>
      <c r="N777" s="5" t="str">
        <f t="shared" si="4"/>
        <v>Bank of America</v>
      </c>
      <c r="O777" s="5" t="str">
        <f t="shared" si="5"/>
        <v>10 months in role and company</v>
      </c>
      <c r="P777" s="5" t="str">
        <f t="shared" si="6"/>
        <v>London</v>
      </c>
      <c r="Q777" s="5" t="str">
        <f t="shared" si="7"/>
        <v>England</v>
      </c>
      <c r="R777" s="5" t="str">
        <f t="shared" si="8"/>
        <v>United Kingdom</v>
      </c>
    </row>
    <row r="778">
      <c r="A778" s="8" t="s">
        <v>6638</v>
      </c>
      <c r="B778" s="12" t="s">
        <v>6639</v>
      </c>
      <c r="C778" s="10" t="s">
        <v>5054</v>
      </c>
      <c r="D778" s="10"/>
      <c r="E778" s="10" t="s">
        <v>6640</v>
      </c>
      <c r="F778" s="10" t="s">
        <v>727</v>
      </c>
      <c r="G778" s="11" t="s">
        <v>6577</v>
      </c>
      <c r="H778" s="11" t="s">
        <v>4757</v>
      </c>
      <c r="I778" s="11" t="s">
        <v>4607</v>
      </c>
      <c r="J778" s="9" t="str">
        <f>IFERROR(__xludf.DUMMYFUNCTION("""COMPUTED_VALUE"""),"https://www.google.com/search?newwindow=1&amp;ei=2MT0XrvGGM-vytMP1OyDgAY&amp;q=site%3Alinkedin.com+Madeleine+Hatton+University+Welcome+Officer")</f>
        <v>https://www.google.com/search?newwindow=1&amp;ei=2MT0XrvGGM-vytMP1OyDgAY&amp;q=site%3Alinkedin.com+Madeleine+Hatton+University+Welcome+Officer</v>
      </c>
      <c r="K778" s="5" t="str">
        <f t="shared" si="1"/>
        <v>Madeleine Hatton</v>
      </c>
      <c r="L778" s="5" t="str">
        <f t="shared" si="2"/>
        <v>University Welcome Officer</v>
      </c>
      <c r="M778" s="5" t="str">
        <f t="shared" si="3"/>
        <v/>
      </c>
      <c r="N778" s="5" t="str">
        <f t="shared" si="4"/>
        <v>University of Greenwich</v>
      </c>
      <c r="O778" s="5" t="str">
        <f t="shared" si="5"/>
        <v>5 months in role</v>
      </c>
      <c r="P778" s="5" t="str">
        <f t="shared" si="6"/>
        <v>London</v>
      </c>
      <c r="Q778" s="5" t="str">
        <f t="shared" si="7"/>
        <v>England</v>
      </c>
      <c r="R778" s="5" t="str">
        <f t="shared" si="8"/>
        <v>United Kingdom</v>
      </c>
    </row>
    <row r="779">
      <c r="A779" s="8" t="s">
        <v>6641</v>
      </c>
      <c r="B779" s="10" t="s">
        <v>6642</v>
      </c>
      <c r="C779" s="10" t="s">
        <v>6643</v>
      </c>
      <c r="D779" s="10"/>
      <c r="E779" s="10" t="s">
        <v>227</v>
      </c>
      <c r="F779" s="10" t="s">
        <v>409</v>
      </c>
      <c r="G779" s="11" t="s">
        <v>6577</v>
      </c>
      <c r="H779" s="11" t="s">
        <v>4757</v>
      </c>
      <c r="I779" s="11" t="s">
        <v>4607</v>
      </c>
      <c r="J779" s="9" t="str">
        <f>IFERROR(__xludf.DUMMYFUNCTION("""COMPUTED_VALUE"""),"https://www.google.com/search?newwindow=1&amp;ei=2MT0XrvGGM-vytMP1OyDgAY&amp;q=site%3Alinkedin.com+Marnie+Wright+Campus+Recruiter")</f>
        <v>https://www.google.com/search?newwindow=1&amp;ei=2MT0XrvGGM-vytMP1OyDgAY&amp;q=site%3Alinkedin.com+Marnie+Wright+Campus+Recruiter</v>
      </c>
      <c r="K779" s="5" t="str">
        <f t="shared" si="1"/>
        <v>Marnie Wright</v>
      </c>
      <c r="L779" s="5" t="str">
        <f t="shared" si="2"/>
        <v>Campus Recruiter</v>
      </c>
      <c r="M779" s="5" t="str">
        <f t="shared" si="3"/>
        <v/>
      </c>
      <c r="N779" s="5" t="str">
        <f t="shared" si="4"/>
        <v>J.P. Morgan</v>
      </c>
      <c r="O779" s="5" t="str">
        <f t="shared" si="5"/>
        <v>2 years 10 months in role and company</v>
      </c>
      <c r="P779" s="5" t="str">
        <f t="shared" si="6"/>
        <v>London</v>
      </c>
      <c r="Q779" s="5" t="str">
        <f t="shared" si="7"/>
        <v>England</v>
      </c>
      <c r="R779" s="5" t="str">
        <f t="shared" si="8"/>
        <v>United Kingdom</v>
      </c>
    </row>
    <row r="780">
      <c r="A780" s="8" t="s">
        <v>6644</v>
      </c>
      <c r="B780" s="10" t="s">
        <v>6645</v>
      </c>
      <c r="C780" s="10" t="s">
        <v>25</v>
      </c>
      <c r="D780" s="10"/>
      <c r="E780" s="10" t="s">
        <v>386</v>
      </c>
      <c r="F780" s="10" t="s">
        <v>257</v>
      </c>
      <c r="G780" s="11" t="s">
        <v>6577</v>
      </c>
      <c r="H780" s="11" t="s">
        <v>4757</v>
      </c>
      <c r="I780" s="11" t="s">
        <v>4607</v>
      </c>
      <c r="J780" s="9" t="str">
        <f>IFERROR(__xludf.DUMMYFUNCTION("""COMPUTED_VALUE"""),"https://www.google.com/search?newwindow=1&amp;ei=2MT0XrvGGM-vytMP1OyDgAY&amp;q=site%3Alinkedin.com+Phill+Haig+University+Recruitment+Business+Partner+-+Sales+&amp;+CX+(Global)")</f>
        <v>https://www.google.com/search?newwindow=1&amp;ei=2MT0XrvGGM-vytMP1OyDgAY&amp;q=site%3Alinkedin.com+Phill+Haig+University+Recruitment+Business+Partner+-+Sales+&amp;+CX+(Global)</v>
      </c>
      <c r="K780" s="5" t="str">
        <f t="shared" si="1"/>
        <v>Phill Haig</v>
      </c>
      <c r="L780" s="5" t="str">
        <f t="shared" si="2"/>
        <v>University Recruitment Business Partner - Sales &amp; CX (Global)</v>
      </c>
      <c r="M780" s="5" t="str">
        <f t="shared" si="3"/>
        <v/>
      </c>
      <c r="N780" s="5" t="str">
        <f t="shared" si="4"/>
        <v>Cisco</v>
      </c>
      <c r="O780" s="5" t="str">
        <f t="shared" si="5"/>
        <v>3 years 6 months in role</v>
      </c>
      <c r="P780" s="5" t="str">
        <f t="shared" si="6"/>
        <v>London</v>
      </c>
      <c r="Q780" s="5" t="str">
        <f t="shared" si="7"/>
        <v>England</v>
      </c>
      <c r="R780" s="5" t="str">
        <f t="shared" si="8"/>
        <v>United Kingdom</v>
      </c>
    </row>
    <row r="781">
      <c r="A781" s="8" t="s">
        <v>6646</v>
      </c>
      <c r="B781" s="10" t="s">
        <v>6647</v>
      </c>
      <c r="C781" s="10" t="s">
        <v>6648</v>
      </c>
      <c r="D781" s="10"/>
      <c r="E781" s="10" t="s">
        <v>6649</v>
      </c>
      <c r="F781" s="10" t="s">
        <v>4670</v>
      </c>
      <c r="G781" s="11" t="s">
        <v>6577</v>
      </c>
      <c r="H781" s="11" t="s">
        <v>4757</v>
      </c>
      <c r="I781" s="11" t="s">
        <v>4607</v>
      </c>
      <c r="J781" s="9" t="str">
        <f>IFERROR(__xludf.DUMMYFUNCTION("""COMPUTED_VALUE"""),"https://www.google.com/search?newwindow=1&amp;ei=2MT0XrvGGM-vytMP1OyDgAY&amp;q=site%3Alinkedin.com+Fionn+Brennan+International+Pathways+Recruitment+Manager,+Queen+Mary+University+of+London")</f>
        <v>https://www.google.com/search?newwindow=1&amp;ei=2MT0XrvGGM-vytMP1OyDgAY&amp;q=site%3Alinkedin.com+Fionn+Brennan+International+Pathways+Recruitment+Manager,+Queen+Mary+University+of+London</v>
      </c>
      <c r="K781" s="5" t="str">
        <f t="shared" si="1"/>
        <v>Fionn Brennan</v>
      </c>
      <c r="L781" s="5" t="str">
        <f t="shared" si="2"/>
        <v>International Pathways Recruitment Manager, Queen Mary University of London</v>
      </c>
      <c r="M781" s="5" t="str">
        <f t="shared" si="3"/>
        <v/>
      </c>
      <c r="N781" s="5" t="str">
        <f t="shared" si="4"/>
        <v>Queen Mary University of London</v>
      </c>
      <c r="O781" s="5" t="str">
        <f t="shared" si="5"/>
        <v>1 year 1 month in role and company</v>
      </c>
      <c r="P781" s="5" t="str">
        <f t="shared" si="6"/>
        <v>London</v>
      </c>
      <c r="Q781" s="5" t="str">
        <f t="shared" si="7"/>
        <v>England</v>
      </c>
      <c r="R781" s="5" t="str">
        <f t="shared" si="8"/>
        <v>United Kingdom</v>
      </c>
    </row>
    <row r="782">
      <c r="A782" s="8" t="s">
        <v>6650</v>
      </c>
      <c r="B782" s="12" t="s">
        <v>6651</v>
      </c>
      <c r="C782" s="10" t="s">
        <v>6652</v>
      </c>
      <c r="D782" s="10"/>
      <c r="E782" s="10" t="s">
        <v>6653</v>
      </c>
      <c r="F782" s="10" t="s">
        <v>345</v>
      </c>
      <c r="G782" s="11" t="s">
        <v>6577</v>
      </c>
      <c r="H782" s="11" t="s">
        <v>4757</v>
      </c>
      <c r="I782" s="11" t="s">
        <v>4607</v>
      </c>
      <c r="J782" s="9" t="str">
        <f>IFERROR(__xludf.DUMMYFUNCTION("""COMPUTED_VALUE"""),"https://www.google.com/search?newwindow=1&amp;ei=2MT0XrvGGM-vytMP1OyDgAY&amp;q=site%3Alinkedin.com+Abbie+Streek+Graduate+Recruiter")</f>
        <v>https://www.google.com/search?newwindow=1&amp;ei=2MT0XrvGGM-vytMP1OyDgAY&amp;q=site%3Alinkedin.com+Abbie+Streek+Graduate+Recruiter</v>
      </c>
      <c r="K782" s="5" t="str">
        <f t="shared" si="1"/>
        <v>Abbie Streek</v>
      </c>
      <c r="L782" s="5" t="str">
        <f t="shared" si="2"/>
        <v>Graduate Recruiter</v>
      </c>
      <c r="M782" s="5" t="str">
        <f t="shared" si="3"/>
        <v/>
      </c>
      <c r="N782" s="5" t="str">
        <f t="shared" si="4"/>
        <v>Marsh &amp; McLennan Companies</v>
      </c>
      <c r="O782" s="5" t="str">
        <f t="shared" si="5"/>
        <v>1 year 1 month in role and company</v>
      </c>
      <c r="P782" s="5" t="str">
        <f t="shared" si="6"/>
        <v>London</v>
      </c>
      <c r="Q782" s="5" t="str">
        <f t="shared" si="7"/>
        <v>England</v>
      </c>
      <c r="R782" s="5" t="str">
        <f t="shared" si="8"/>
        <v>United Kingdom</v>
      </c>
    </row>
    <row r="783">
      <c r="A783" s="8" t="s">
        <v>6654</v>
      </c>
      <c r="B783" s="10" t="s">
        <v>6655</v>
      </c>
      <c r="C783" s="10" t="s">
        <v>6656</v>
      </c>
      <c r="D783" s="10"/>
      <c r="E783" s="10" t="s">
        <v>1151</v>
      </c>
      <c r="F783" s="10" t="s">
        <v>4799</v>
      </c>
      <c r="G783" s="11" t="s">
        <v>6577</v>
      </c>
      <c r="H783" s="11" t="s">
        <v>4757</v>
      </c>
      <c r="I783" s="11" t="s">
        <v>4607</v>
      </c>
      <c r="J783" s="9" t="str">
        <f>IFERROR(__xludf.DUMMYFUNCTION("""COMPUTED_VALUE"""),"https://www.google.com/search?newwindow=1&amp;ei=2MT0XrvGGM-vytMP1OyDgAY&amp;q=site%3Alinkedin.com+Jo+Hole+UK+Non-Tech+Recruiter,+Student+Programs")</f>
        <v>https://www.google.com/search?newwindow=1&amp;ei=2MT0XrvGGM-vytMP1OyDgAY&amp;q=site%3Alinkedin.com+Jo+Hole+UK+Non-Tech+Recruiter,+Student+Programs</v>
      </c>
      <c r="K783" s="5" t="str">
        <f t="shared" si="1"/>
        <v>Jo Hole</v>
      </c>
      <c r="L783" s="5" t="str">
        <f t="shared" si="2"/>
        <v>UK Non-Tech Recruiter, Student Programs</v>
      </c>
      <c r="M783" s="5" t="str">
        <f t="shared" si="3"/>
        <v/>
      </c>
      <c r="N783" s="5" t="str">
        <f t="shared" si="4"/>
        <v>Amazon</v>
      </c>
      <c r="O783" s="5" t="str">
        <f t="shared" si="5"/>
        <v>1 year 10 months in role</v>
      </c>
      <c r="P783" s="5" t="str">
        <f t="shared" si="6"/>
        <v>London</v>
      </c>
      <c r="Q783" s="5" t="str">
        <f t="shared" si="7"/>
        <v>England</v>
      </c>
      <c r="R783" s="5" t="str">
        <f t="shared" si="8"/>
        <v>United Kingdom</v>
      </c>
    </row>
    <row r="784">
      <c r="A784" s="8" t="s">
        <v>6657</v>
      </c>
      <c r="B784" s="10" t="s">
        <v>6658</v>
      </c>
      <c r="C784" s="10" t="s">
        <v>6659</v>
      </c>
      <c r="D784" s="10"/>
      <c r="E784" s="10" t="s">
        <v>682</v>
      </c>
      <c r="F784" s="10" t="s">
        <v>237</v>
      </c>
      <c r="G784" s="11" t="s">
        <v>6577</v>
      </c>
      <c r="H784" s="11" t="s">
        <v>4757</v>
      </c>
      <c r="I784" s="11" t="s">
        <v>4607</v>
      </c>
      <c r="J784" s="9" t="str">
        <f>IFERROR(__xludf.DUMMYFUNCTION("""COMPUTED_VALUE"""),"https://www.google.com/search?newwindow=1&amp;ei=2MT0XrvGGM-vytMP1OyDgAY&amp;q=site%3Alinkedin.com+Meg+U'Ren+Coordinator,+Student+Engagement+Programs")</f>
        <v>https://www.google.com/search?newwindow=1&amp;ei=2MT0XrvGGM-vytMP1OyDgAY&amp;q=site%3Alinkedin.com+Meg+U'Ren+Coordinator,+Student+Engagement+Programs</v>
      </c>
      <c r="K784" s="5" t="str">
        <f t="shared" si="1"/>
        <v>Meg U'Ren</v>
      </c>
      <c r="L784" s="5" t="str">
        <f t="shared" si="2"/>
        <v>Coordinator, Student Engagement Programs</v>
      </c>
      <c r="M784" s="5" t="str">
        <f t="shared" si="3"/>
        <v/>
      </c>
      <c r="N784" s="5" t="str">
        <f t="shared" si="4"/>
        <v>Western University</v>
      </c>
      <c r="O784" s="5" t="str">
        <f t="shared" si="5"/>
        <v>2 years 9 months in role</v>
      </c>
      <c r="P784" s="5" t="str">
        <f t="shared" si="6"/>
        <v>London</v>
      </c>
      <c r="Q784" s="5" t="str">
        <f t="shared" si="7"/>
        <v>Ontario</v>
      </c>
      <c r="R784" s="5" t="str">
        <f t="shared" si="8"/>
        <v>Canada</v>
      </c>
    </row>
    <row r="785">
      <c r="A785" s="8" t="s">
        <v>6660</v>
      </c>
      <c r="B785" s="10" t="s">
        <v>6661</v>
      </c>
      <c r="C785" s="10" t="s">
        <v>6662</v>
      </c>
      <c r="D785" s="10"/>
      <c r="E785" s="10" t="s">
        <v>227</v>
      </c>
      <c r="F785" s="10" t="s">
        <v>441</v>
      </c>
      <c r="G785" s="11" t="s">
        <v>6577</v>
      </c>
      <c r="H785" s="11" t="s">
        <v>4757</v>
      </c>
      <c r="I785" s="11" t="s">
        <v>4607</v>
      </c>
      <c r="J785" s="9" t="str">
        <f>IFERROR(__xludf.DUMMYFUNCTION("""COMPUTED_VALUE"""),"https://www.google.com/search?newwindow=1&amp;ei=2MT0XrvGGM-vytMP1OyDgAY&amp;q=site%3Alinkedin.com+Lorna+Culpin+University+Recruitment+Manager")</f>
        <v>https://www.google.com/search?newwindow=1&amp;ei=2MT0XrvGGM-vytMP1OyDgAY&amp;q=site%3Alinkedin.com+Lorna+Culpin+University+Recruitment+Manager</v>
      </c>
      <c r="K785" s="5" t="str">
        <f t="shared" si="1"/>
        <v>Lorna Culpin</v>
      </c>
      <c r="L785" s="5" t="str">
        <f t="shared" si="2"/>
        <v>University Recruitment Manager</v>
      </c>
      <c r="M785" s="5" t="str">
        <f t="shared" si="3"/>
        <v/>
      </c>
      <c r="N785" s="5" t="str">
        <f t="shared" si="4"/>
        <v>Teach First</v>
      </c>
      <c r="O785" s="5" t="str">
        <f t="shared" si="5"/>
        <v>3 years 4 months in role and company</v>
      </c>
      <c r="P785" s="5" t="str">
        <f t="shared" si="6"/>
        <v>London</v>
      </c>
      <c r="Q785" s="5" t="str">
        <f t="shared" si="7"/>
        <v>England</v>
      </c>
      <c r="R785" s="5" t="str">
        <f t="shared" si="8"/>
        <v>United Kingdom</v>
      </c>
    </row>
    <row r="786">
      <c r="A786" s="8" t="s">
        <v>6663</v>
      </c>
      <c r="B786" s="10" t="s">
        <v>6664</v>
      </c>
      <c r="C786" s="10" t="s">
        <v>6665</v>
      </c>
      <c r="D786" s="10"/>
      <c r="E786" s="10" t="s">
        <v>1447</v>
      </c>
      <c r="F786" s="10" t="s">
        <v>237</v>
      </c>
      <c r="G786" s="11" t="s">
        <v>6577</v>
      </c>
      <c r="H786" s="11" t="s">
        <v>4757</v>
      </c>
      <c r="I786" s="11" t="s">
        <v>4607</v>
      </c>
      <c r="J786" s="9" t="str">
        <f>IFERROR(__xludf.DUMMYFUNCTION("""COMPUTED_VALUE"""),"https://www.google.com/search?newwindow=1&amp;ei=2MT0XrvGGM-vytMP1OyDgAY&amp;q=site%3Alinkedin.com+Eleni+Miltiadous+Junior+Recruiter")</f>
        <v>https://www.google.com/search?newwindow=1&amp;ei=2MT0XrvGGM-vytMP1OyDgAY&amp;q=site%3Alinkedin.com+Eleni+Miltiadous+Junior+Recruiter</v>
      </c>
      <c r="K786" s="5" t="str">
        <f t="shared" si="1"/>
        <v>Eleni Miltiadous</v>
      </c>
      <c r="L786" s="5" t="str">
        <f t="shared" si="2"/>
        <v>Junior Recruiter</v>
      </c>
      <c r="M786" s="5" t="str">
        <f t="shared" si="3"/>
        <v/>
      </c>
      <c r="N786" s="5" t="str">
        <f t="shared" si="4"/>
        <v>Nomura</v>
      </c>
      <c r="O786" s="5" t="str">
        <f t="shared" si="5"/>
        <v>10 months in role and company</v>
      </c>
      <c r="P786" s="5" t="str">
        <f t="shared" si="6"/>
        <v>London</v>
      </c>
      <c r="Q786" s="5" t="str">
        <f t="shared" si="7"/>
        <v>England</v>
      </c>
      <c r="R786" s="5" t="str">
        <f t="shared" si="8"/>
        <v>United Kingdom</v>
      </c>
    </row>
    <row r="787">
      <c r="A787" s="8" t="s">
        <v>6666</v>
      </c>
      <c r="B787" s="10" t="s">
        <v>6667</v>
      </c>
      <c r="C787" s="10" t="s">
        <v>6668</v>
      </c>
      <c r="D787" s="10"/>
      <c r="E787" s="10" t="s">
        <v>702</v>
      </c>
      <c r="F787" s="10" t="s">
        <v>351</v>
      </c>
      <c r="G787" s="11" t="s">
        <v>6577</v>
      </c>
      <c r="H787" s="11" t="s">
        <v>4757</v>
      </c>
      <c r="I787" s="11" t="s">
        <v>4607</v>
      </c>
      <c r="J787" s="9" t="str">
        <f>IFERROR(__xludf.DUMMYFUNCTION("""COMPUTED_VALUE"""),"https://www.google.com/search?newwindow=1&amp;ei=2MT0XrvGGM-vytMP1OyDgAY&amp;q=site%3Alinkedin.com+Heena+Chaudry+Graduate+&amp;+Apprentice+Recruiter+(Contract+Role)")</f>
        <v>https://www.google.com/search?newwindow=1&amp;ei=2MT0XrvGGM-vytMP1OyDgAY&amp;q=site%3Alinkedin.com+Heena+Chaudry+Graduate+&amp;+Apprentice+Recruiter+(Contract+Role)</v>
      </c>
      <c r="K787" s="5" t="str">
        <f t="shared" si="1"/>
        <v>Heena Chaudry</v>
      </c>
      <c r="L787" s="5" t="str">
        <f t="shared" si="2"/>
        <v>Graduate &amp; Apprentice Recruiter (Contract Role)</v>
      </c>
      <c r="M787" s="5" t="str">
        <f t="shared" si="3"/>
        <v/>
      </c>
      <c r="N787" s="5" t="str">
        <f t="shared" si="4"/>
        <v>Transport for London</v>
      </c>
      <c r="O787" s="5" t="str">
        <f t="shared" si="5"/>
        <v>2 years 4 months in role and company</v>
      </c>
      <c r="P787" s="5" t="str">
        <f t="shared" si="6"/>
        <v>London</v>
      </c>
      <c r="Q787" s="5" t="str">
        <f t="shared" si="7"/>
        <v>England</v>
      </c>
      <c r="R787" s="5" t="str">
        <f t="shared" si="8"/>
        <v>United Kingdom</v>
      </c>
    </row>
    <row r="788">
      <c r="A788" s="8" t="s">
        <v>6669</v>
      </c>
      <c r="B788" s="12" t="s">
        <v>6670</v>
      </c>
      <c r="C788" s="10" t="s">
        <v>6671</v>
      </c>
      <c r="D788" s="10"/>
      <c r="E788" s="10" t="s">
        <v>227</v>
      </c>
      <c r="F788" s="10" t="s">
        <v>233</v>
      </c>
      <c r="G788" s="11" t="s">
        <v>6577</v>
      </c>
      <c r="H788" s="11" t="s">
        <v>4757</v>
      </c>
      <c r="I788" s="11" t="s">
        <v>4607</v>
      </c>
      <c r="J788" s="9" t="str">
        <f>IFERROR(__xludf.DUMMYFUNCTION("""COMPUTED_VALUE"""),"https://www.google.com/search?newwindow=1&amp;ei=2MT0XrvGGM-vytMP1OyDgAY&amp;q=site%3Alinkedin.com+Kate+Lewis+University+Recruiter")</f>
        <v>https://www.google.com/search?newwindow=1&amp;ei=2MT0XrvGGM-vytMP1OyDgAY&amp;q=site%3Alinkedin.com+Kate+Lewis+University+Recruiter</v>
      </c>
      <c r="K788" s="5" t="str">
        <f t="shared" si="1"/>
        <v>Kate Lewis</v>
      </c>
      <c r="L788" s="5" t="str">
        <f t="shared" si="2"/>
        <v>University Recruiter</v>
      </c>
      <c r="M788" s="5" t="str">
        <f t="shared" si="3"/>
        <v/>
      </c>
      <c r="N788" s="5" t="str">
        <f t="shared" si="4"/>
        <v>Facebook</v>
      </c>
      <c r="O788" s="5" t="str">
        <f t="shared" si="5"/>
        <v>3 years 1 month in role</v>
      </c>
      <c r="P788" s="5" t="str">
        <f t="shared" si="6"/>
        <v>London</v>
      </c>
      <c r="Q788" s="5" t="str">
        <f t="shared" si="7"/>
        <v>England</v>
      </c>
      <c r="R788" s="5" t="str">
        <f t="shared" si="8"/>
        <v>United Kingdom</v>
      </c>
    </row>
    <row r="789">
      <c r="A789" s="8" t="s">
        <v>6672</v>
      </c>
      <c r="B789" s="10" t="s">
        <v>6673</v>
      </c>
      <c r="C789" s="10" t="s">
        <v>6674</v>
      </c>
      <c r="D789" s="10"/>
      <c r="E789" s="10" t="s">
        <v>6625</v>
      </c>
      <c r="F789" s="10" t="s">
        <v>697</v>
      </c>
      <c r="G789" s="11" t="s">
        <v>6577</v>
      </c>
      <c r="H789" s="11" t="s">
        <v>4757</v>
      </c>
      <c r="I789" s="11" t="s">
        <v>4607</v>
      </c>
      <c r="J789" s="9" t="str">
        <f>IFERROR(__xludf.DUMMYFUNCTION("""COMPUTED_VALUE"""),"https://www.google.com/search?newwindow=1&amp;ei=2MT0XrvGGM-vytMP1OyDgAY&amp;q=site%3Alinkedin.com+Caroline+Waack+EMEA+University+Recruiter")</f>
        <v>https://www.google.com/search?newwindow=1&amp;ei=2MT0XrvGGM-vytMP1OyDgAY&amp;q=site%3Alinkedin.com+Caroline+Waack+EMEA+University+Recruiter</v>
      </c>
      <c r="K789" s="5" t="str">
        <f t="shared" si="1"/>
        <v>Caroline Waack</v>
      </c>
      <c r="L789" s="5" t="str">
        <f t="shared" si="2"/>
        <v>EMEA University Recruiter</v>
      </c>
      <c r="M789" s="5" t="str">
        <f t="shared" si="3"/>
        <v/>
      </c>
      <c r="N789" s="5" t="str">
        <f t="shared" si="4"/>
        <v>Salesforce</v>
      </c>
      <c r="O789" s="5" t="str">
        <f t="shared" si="5"/>
        <v>5 years 4 months in role and company</v>
      </c>
      <c r="P789" s="5" t="str">
        <f t="shared" si="6"/>
        <v>London</v>
      </c>
      <c r="Q789" s="5" t="str">
        <f t="shared" si="7"/>
        <v>England</v>
      </c>
      <c r="R789" s="5" t="str">
        <f t="shared" si="8"/>
        <v>United Kingdom</v>
      </c>
    </row>
    <row r="790">
      <c r="A790" s="8" t="s">
        <v>6675</v>
      </c>
      <c r="B790" s="10" t="s">
        <v>6676</v>
      </c>
      <c r="C790" s="10" t="s">
        <v>6677</v>
      </c>
      <c r="D790" s="10"/>
      <c r="E790" s="10" t="s">
        <v>6678</v>
      </c>
      <c r="F790" s="10" t="s">
        <v>890</v>
      </c>
      <c r="G790" s="11" t="s">
        <v>6577</v>
      </c>
      <c r="H790" s="11" t="s">
        <v>4757</v>
      </c>
      <c r="I790" s="11" t="s">
        <v>4607</v>
      </c>
      <c r="J790" s="9" t="str">
        <f>IFERROR(__xludf.DUMMYFUNCTION("""COMPUTED_VALUE"""),"https://www.google.com/search?newwindow=1&amp;ei=2MT0XrvGGM-vytMP1OyDgAY&amp;q=site%3Alinkedin.com+Jasmina+Bharwani+EMEA+Campus+Recruiter+-+Global+Markets")</f>
        <v>https://www.google.com/search?newwindow=1&amp;ei=2MT0XrvGGM-vytMP1OyDgAY&amp;q=site%3Alinkedin.com+Jasmina+Bharwani+EMEA+Campus+Recruiter+-+Global+Markets</v>
      </c>
      <c r="K790" s="5" t="str">
        <f t="shared" si="1"/>
        <v>Jasmina Bharwani</v>
      </c>
      <c r="L790" s="5" t="str">
        <f t="shared" si="2"/>
        <v>EMEA Campus Recruiter - Global Markets</v>
      </c>
      <c r="M790" s="5" t="str">
        <f t="shared" si="3"/>
        <v/>
      </c>
      <c r="N790" s="5" t="str">
        <f t="shared" si="4"/>
        <v>Barclays Investment Bank</v>
      </c>
      <c r="O790" s="5" t="str">
        <f t="shared" si="5"/>
        <v>8 years 1 month in role</v>
      </c>
      <c r="P790" s="5" t="str">
        <f t="shared" si="6"/>
        <v>London</v>
      </c>
      <c r="Q790" s="5" t="str">
        <f t="shared" si="7"/>
        <v>England</v>
      </c>
      <c r="R790" s="5" t="str">
        <f t="shared" si="8"/>
        <v>United Kingdom</v>
      </c>
    </row>
    <row r="791">
      <c r="A791" s="8" t="s">
        <v>6679</v>
      </c>
      <c r="B791" s="10" t="s">
        <v>6680</v>
      </c>
      <c r="C791" s="10" t="s">
        <v>6681</v>
      </c>
      <c r="D791" s="10"/>
      <c r="E791" s="10" t="s">
        <v>227</v>
      </c>
      <c r="F791" s="10" t="s">
        <v>257</v>
      </c>
      <c r="G791" s="11" t="s">
        <v>6577</v>
      </c>
      <c r="H791" s="11" t="s">
        <v>4757</v>
      </c>
      <c r="I791" s="11" t="s">
        <v>4607</v>
      </c>
      <c r="J791" s="9" t="str">
        <f>IFERROR(__xludf.DUMMYFUNCTION("""COMPUTED_VALUE"""),"https://www.google.com/search?newwindow=1&amp;ei=2MT0XrvGGM-vytMP1OyDgAY&amp;q=site%3Alinkedin.com+Carl+Shepherd+Head+of+Recruitment+(University+of+Law+Direct+Student+Recruitment)")</f>
        <v>https://www.google.com/search?newwindow=1&amp;ei=2MT0XrvGGM-vytMP1OyDgAY&amp;q=site%3Alinkedin.com+Carl+Shepherd+Head+of+Recruitment+(University+of+Law+Direct+Student+Recruitment)</v>
      </c>
      <c r="K791" s="5" t="str">
        <f t="shared" si="1"/>
        <v>Carl Shepherd</v>
      </c>
      <c r="L791" s="5" t="str">
        <f t="shared" si="2"/>
        <v>Head of Recruitment (University of Law Direct Student Recruitment)</v>
      </c>
      <c r="M791" s="5" t="str">
        <f t="shared" si="3"/>
        <v/>
      </c>
      <c r="N791" s="5" t="str">
        <f t="shared" si="4"/>
        <v>Global University Systems</v>
      </c>
      <c r="O791" s="5" t="str">
        <f t="shared" si="5"/>
        <v>4 years 8 months in role</v>
      </c>
      <c r="P791" s="5" t="str">
        <f t="shared" si="6"/>
        <v>London</v>
      </c>
      <c r="Q791" s="5" t="str">
        <f t="shared" si="7"/>
        <v>England</v>
      </c>
      <c r="R791" s="5" t="str">
        <f t="shared" si="8"/>
        <v>United Kingdom</v>
      </c>
    </row>
    <row r="792">
      <c r="A792" s="8" t="s">
        <v>6682</v>
      </c>
      <c r="B792" s="10" t="s">
        <v>6683</v>
      </c>
      <c r="C792" s="10" t="s">
        <v>6684</v>
      </c>
      <c r="D792" s="10"/>
      <c r="E792" s="10" t="s">
        <v>6685</v>
      </c>
      <c r="F792" s="10" t="s">
        <v>2987</v>
      </c>
      <c r="G792" s="11" t="s">
        <v>6577</v>
      </c>
      <c r="H792" s="11" t="s">
        <v>4757</v>
      </c>
      <c r="I792" s="11" t="s">
        <v>4607</v>
      </c>
      <c r="J792" s="9" t="str">
        <f>IFERROR(__xludf.DUMMYFUNCTION("""COMPUTED_VALUE"""),"https://www.google.com/search?newwindow=1&amp;ei=2MT0XrvGGM-vytMP1OyDgAY&amp;q=site%3Alinkedin.com+Denise+Jackson+Project+Manager,+University+Relations+&amp;+Recruitment+Communications+(6-month+contract)")</f>
        <v>https://www.google.com/search?newwindow=1&amp;ei=2MT0XrvGGM-vytMP1OyDgAY&amp;q=site%3Alinkedin.com+Denise+Jackson+Project+Manager,+University+Relations+&amp;+Recruitment+Communications+(6-month+contract)</v>
      </c>
      <c r="K792" s="5" t="str">
        <f t="shared" si="1"/>
        <v>Denise Jackson</v>
      </c>
      <c r="L792" s="5" t="str">
        <f t="shared" si="2"/>
        <v>Project Manager, University Relations &amp; Recruitment Communications (6-month contract)</v>
      </c>
      <c r="M792" s="5" t="str">
        <f t="shared" si="3"/>
        <v/>
      </c>
      <c r="N792" s="5" t="str">
        <f t="shared" si="4"/>
        <v>Schlumberger</v>
      </c>
      <c r="O792" s="5" t="str">
        <f t="shared" si="5"/>
        <v>1 year 5 months in role and company</v>
      </c>
      <c r="P792" s="5" t="str">
        <f t="shared" si="6"/>
        <v>London</v>
      </c>
      <c r="Q792" s="5" t="str">
        <f t="shared" si="7"/>
        <v>England</v>
      </c>
      <c r="R792" s="5" t="str">
        <f t="shared" si="8"/>
        <v>United Kingdom</v>
      </c>
    </row>
    <row r="793">
      <c r="A793" s="8" t="s">
        <v>6686</v>
      </c>
      <c r="B793" s="10" t="s">
        <v>6687</v>
      </c>
      <c r="C793" s="10" t="s">
        <v>110</v>
      </c>
      <c r="D793" s="10"/>
      <c r="E793" s="10" t="s">
        <v>2117</v>
      </c>
      <c r="F793" s="10" t="s">
        <v>727</v>
      </c>
      <c r="G793" s="11" t="s">
        <v>6577</v>
      </c>
      <c r="H793" s="13" t="s">
        <v>4757</v>
      </c>
      <c r="I793" s="11" t="s">
        <v>4607</v>
      </c>
      <c r="J793" s="9" t="str">
        <f>IFERROR(__xludf.DUMMYFUNCTION("""COMPUTED_VALUE"""),"https://www.google.com/search?newwindow=1&amp;ei=2MT0XrvGGM-vytMP1OyDgAY&amp;q=site%3Alinkedin.com+Sally+Clayton+Senior+Consultant+-+Graduate+Recruitment")</f>
        <v>https://www.google.com/search?newwindow=1&amp;ei=2MT0XrvGGM-vytMP1OyDgAY&amp;q=site%3Alinkedin.com+Sally+Clayton+Senior+Consultant+-+Graduate+Recruitment</v>
      </c>
      <c r="K793" s="5" t="str">
        <f t="shared" si="1"/>
        <v>Sally Clayton</v>
      </c>
      <c r="L793" s="5" t="str">
        <f t="shared" si="2"/>
        <v>Senior Consultant - Graduate Recruitment</v>
      </c>
      <c r="M793" s="5" t="str">
        <f t="shared" si="3"/>
        <v/>
      </c>
      <c r="N793" s="5" t="str">
        <f t="shared" si="4"/>
        <v>Fyte</v>
      </c>
      <c r="O793" s="5" t="str">
        <f t="shared" si="5"/>
        <v>1 year 10 months in role and company</v>
      </c>
      <c r="P793" s="5" t="str">
        <f t="shared" si="6"/>
        <v>London</v>
      </c>
      <c r="Q793" s="5" t="str">
        <f t="shared" si="7"/>
        <v>England</v>
      </c>
      <c r="R793" s="5" t="str">
        <f t="shared" si="8"/>
        <v>United Kingdom</v>
      </c>
    </row>
    <row r="794">
      <c r="A794" s="8" t="s">
        <v>6688</v>
      </c>
      <c r="B794" s="10" t="s">
        <v>6689</v>
      </c>
      <c r="C794" s="10" t="s">
        <v>32</v>
      </c>
      <c r="D794" s="10"/>
      <c r="E794" s="10" t="s">
        <v>3389</v>
      </c>
      <c r="F794" s="10" t="s">
        <v>512</v>
      </c>
      <c r="G794" s="11" t="s">
        <v>6577</v>
      </c>
      <c r="H794" s="11" t="s">
        <v>4757</v>
      </c>
      <c r="I794" s="11" t="s">
        <v>4607</v>
      </c>
      <c r="J794" s="9" t="str">
        <f>IFERROR(__xludf.DUMMYFUNCTION("""COMPUTED_VALUE"""),"https://www.google.com/search?newwindow=1&amp;ei=2MT0XrvGGM-vytMP1OyDgAY&amp;q=site%3Alinkedin.com+Syed+Nabi+​+Assistant+Director+for+Overseas+Recruitment+-+​+Webster+University-Thailand+Campuses​")</f>
        <v>https://www.google.com/search?newwindow=1&amp;ei=2MT0XrvGGM-vytMP1OyDgAY&amp;q=site%3Alinkedin.com+Syed+Nabi+​+Assistant+Director+for+Overseas+Recruitment+-+​+Webster+University-Thailand+Campuses​</v>
      </c>
      <c r="K794" s="5" t="str">
        <f t="shared" si="1"/>
        <v>Syed Nabi</v>
      </c>
      <c r="L794" s="5" t="str">
        <f t="shared" si="2"/>
        <v>​ Assistant Director for Overseas Recruitment - ​ Webster University-Thailand Campuses​</v>
      </c>
      <c r="M794" s="5" t="str">
        <f t="shared" si="3"/>
        <v/>
      </c>
      <c r="N794" s="5" t="str">
        <f t="shared" si="4"/>
        <v>Webster University</v>
      </c>
      <c r="O794" s="5" t="str">
        <f t="shared" si="5"/>
        <v>4 years 4 months in role and company</v>
      </c>
      <c r="P794" s="5" t="str">
        <f t="shared" si="6"/>
        <v>London</v>
      </c>
      <c r="Q794" s="5" t="str">
        <f t="shared" si="7"/>
        <v>England</v>
      </c>
      <c r="R794" s="5" t="str">
        <f t="shared" si="8"/>
        <v>United Kingdom</v>
      </c>
    </row>
    <row r="795">
      <c r="A795" s="8" t="s">
        <v>6690</v>
      </c>
      <c r="B795" s="12" t="s">
        <v>6691</v>
      </c>
      <c r="C795" s="10" t="s">
        <v>25</v>
      </c>
      <c r="D795" s="10"/>
      <c r="E795" s="10" t="s">
        <v>6692</v>
      </c>
      <c r="F795" s="10" t="s">
        <v>1123</v>
      </c>
      <c r="G795" s="11" t="s">
        <v>6577</v>
      </c>
      <c r="H795" s="11" t="s">
        <v>4757</v>
      </c>
      <c r="I795" s="11" t="s">
        <v>4607</v>
      </c>
      <c r="J795" s="9" t="str">
        <f>IFERROR(__xludf.DUMMYFUNCTION("""COMPUTED_VALUE"""),"https://www.google.com/search?newwindow=1&amp;ei=2MT0XrvGGM-vytMP1OyDgAY&amp;q=site%3Alinkedin.com+Julia+Yakloveva+Graduate+Recruiter")</f>
        <v>https://www.google.com/search?newwindow=1&amp;ei=2MT0XrvGGM-vytMP1OyDgAY&amp;q=site%3Alinkedin.com+Julia+Yakloveva+Graduate+Recruiter</v>
      </c>
      <c r="K795" s="5" t="str">
        <f t="shared" si="1"/>
        <v>Julia Yakloveva</v>
      </c>
      <c r="L795" s="5" t="str">
        <f t="shared" si="2"/>
        <v>Graduate Recruiter</v>
      </c>
      <c r="M795" s="5" t="str">
        <f t="shared" si="3"/>
        <v/>
      </c>
      <c r="N795" s="5" t="str">
        <f t="shared" si="4"/>
        <v>Timberseed</v>
      </c>
      <c r="O795" s="5" t="str">
        <f t="shared" si="5"/>
        <v>1 year 7 months in role and company</v>
      </c>
      <c r="P795" s="5" t="str">
        <f t="shared" si="6"/>
        <v>London</v>
      </c>
      <c r="Q795" s="5" t="str">
        <f t="shared" si="7"/>
        <v>England</v>
      </c>
      <c r="R795" s="5" t="str">
        <f t="shared" si="8"/>
        <v>United Kingdom</v>
      </c>
    </row>
    <row r="796">
      <c r="A796" s="8" t="s">
        <v>6693</v>
      </c>
      <c r="B796" s="10" t="s">
        <v>6694</v>
      </c>
      <c r="C796" s="10" t="s">
        <v>6695</v>
      </c>
      <c r="D796" s="10"/>
      <c r="E796" s="10" t="s">
        <v>227</v>
      </c>
      <c r="F796" s="10" t="s">
        <v>277</v>
      </c>
      <c r="G796" s="11" t="s">
        <v>6577</v>
      </c>
      <c r="H796" s="11" t="s">
        <v>4757</v>
      </c>
      <c r="I796" s="11" t="s">
        <v>4607</v>
      </c>
      <c r="J796" s="9" t="str">
        <f>IFERROR(__xludf.DUMMYFUNCTION("""COMPUTED_VALUE"""),"https://www.google.com/search?newwindow=1&amp;ei=2MT0XrvGGM-vytMP1OyDgAY&amp;q=site%3Alinkedin.com+Joanne+Pullen+Internship+and+Graduate+Coordinator")</f>
        <v>https://www.google.com/search?newwindow=1&amp;ei=2MT0XrvGGM-vytMP1OyDgAY&amp;q=site%3Alinkedin.com+Joanne+Pullen+Internship+and+Graduate+Coordinator</v>
      </c>
      <c r="K796" s="5" t="str">
        <f t="shared" si="1"/>
        <v>Joanne Pullen</v>
      </c>
      <c r="L796" s="5" t="str">
        <f t="shared" si="2"/>
        <v>Internship and Graduate Coordinator</v>
      </c>
      <c r="M796" s="5" t="str">
        <f t="shared" si="3"/>
        <v/>
      </c>
      <c r="N796" s="5" t="str">
        <f t="shared" si="4"/>
        <v>H&amp;M</v>
      </c>
      <c r="O796" s="5" t="str">
        <f t="shared" si="5"/>
        <v>4 years 4 months in role</v>
      </c>
      <c r="P796" s="5" t="str">
        <f t="shared" si="6"/>
        <v>London</v>
      </c>
      <c r="Q796" s="5" t="str">
        <f t="shared" si="7"/>
        <v>England</v>
      </c>
      <c r="R796" s="5" t="str">
        <f t="shared" si="8"/>
        <v>United Kingdom</v>
      </c>
    </row>
    <row r="797">
      <c r="A797" s="8" t="s">
        <v>6696</v>
      </c>
      <c r="B797" s="10" t="s">
        <v>6697</v>
      </c>
      <c r="C797" s="10" t="s">
        <v>6652</v>
      </c>
      <c r="D797" s="10"/>
      <c r="E797" s="10" t="s">
        <v>702</v>
      </c>
      <c r="F797" s="10" t="s">
        <v>257</v>
      </c>
      <c r="G797" s="11" t="s">
        <v>6577</v>
      </c>
      <c r="H797" s="11" t="s">
        <v>4757</v>
      </c>
      <c r="I797" s="11" t="s">
        <v>4607</v>
      </c>
      <c r="J797" s="9" t="str">
        <f>IFERROR(__xludf.DUMMYFUNCTION("""COMPUTED_VALUE"""),"https://www.google.com/search?newwindow=1&amp;ei=2MT0XrvGGM-vytMP1OyDgAY&amp;q=site%3Alinkedin.com+Gillian+Thompson+EMEA+Student+Development+Lead,+Talent+Outreach+and+Programs")</f>
        <v>https://www.google.com/search?newwindow=1&amp;ei=2MT0XrvGGM-vytMP1OyDgAY&amp;q=site%3Alinkedin.com+Gillian+Thompson+EMEA+Student+Development+Lead,+Talent+Outreach+and+Programs</v>
      </c>
      <c r="K797" s="5" t="str">
        <f t="shared" si="1"/>
        <v>Gillian Thompson</v>
      </c>
      <c r="L797" s="5" t="str">
        <f t="shared" si="2"/>
        <v>EMEA Student Development Lead, Talent Outreach and Programs</v>
      </c>
      <c r="M797" s="5" t="str">
        <f t="shared" si="3"/>
        <v/>
      </c>
      <c r="N797" s="5" t="str">
        <f t="shared" si="4"/>
        <v>Google</v>
      </c>
      <c r="O797" s="5" t="str">
        <f t="shared" si="5"/>
        <v>1 year 10 months in role</v>
      </c>
      <c r="P797" s="5" t="str">
        <f t="shared" si="6"/>
        <v>London</v>
      </c>
      <c r="Q797" s="5" t="str">
        <f t="shared" si="7"/>
        <v>England</v>
      </c>
      <c r="R797" s="5" t="str">
        <f t="shared" si="8"/>
        <v>United Kingdom</v>
      </c>
    </row>
    <row r="798">
      <c r="A798" s="8" t="s">
        <v>6698</v>
      </c>
      <c r="B798" s="12" t="s">
        <v>6699</v>
      </c>
      <c r="C798" s="10" t="s">
        <v>6700</v>
      </c>
      <c r="D798" s="10"/>
      <c r="E798" s="10" t="s">
        <v>3177</v>
      </c>
      <c r="F798" s="10" t="s">
        <v>182</v>
      </c>
      <c r="G798" s="11" t="s">
        <v>6577</v>
      </c>
      <c r="H798" s="11" t="s">
        <v>4757</v>
      </c>
      <c r="I798" s="11" t="s">
        <v>4607</v>
      </c>
      <c r="J798" s="9" t="str">
        <f>IFERROR(__xludf.DUMMYFUNCTION("""COMPUTED_VALUE"""),"https://www.google.com/search?newwindow=1&amp;ei=2MT0XrvGGM-vytMP1OyDgAY&amp;q=site%3Alinkedin.com+Saoirse+Brewer+Campus+Recruiter+&amp;+Programme+Manager")</f>
        <v>https://www.google.com/search?newwindow=1&amp;ei=2MT0XrvGGM-vytMP1OyDgAY&amp;q=site%3Alinkedin.com+Saoirse+Brewer+Campus+Recruiter+&amp;+Programme+Manager</v>
      </c>
      <c r="K798" s="5" t="str">
        <f t="shared" si="1"/>
        <v>Saoirse Brewer</v>
      </c>
      <c r="L798" s="5" t="str">
        <f t="shared" si="2"/>
        <v>Campus Recruiter &amp; Programme Manager</v>
      </c>
      <c r="M798" s="5" t="str">
        <f t="shared" si="3"/>
        <v/>
      </c>
      <c r="N798" s="5" t="str">
        <f t="shared" si="4"/>
        <v>J.P. Morgan</v>
      </c>
      <c r="O798" s="5" t="str">
        <f t="shared" si="5"/>
        <v>2 years 10 months in role and company</v>
      </c>
      <c r="P798" s="5" t="str">
        <f t="shared" si="6"/>
        <v>London</v>
      </c>
      <c r="Q798" s="5" t="str">
        <f t="shared" si="7"/>
        <v>England</v>
      </c>
      <c r="R798" s="5" t="str">
        <f t="shared" si="8"/>
        <v>United Kingdom</v>
      </c>
    </row>
    <row r="799">
      <c r="A799" s="8" t="s">
        <v>6701</v>
      </c>
      <c r="B799" s="10" t="s">
        <v>6702</v>
      </c>
      <c r="C799" s="10" t="s">
        <v>6703</v>
      </c>
      <c r="D799" s="10"/>
      <c r="E799" s="10" t="s">
        <v>682</v>
      </c>
      <c r="F799" s="10" t="s">
        <v>33</v>
      </c>
      <c r="G799" s="11" t="s">
        <v>6577</v>
      </c>
      <c r="H799" s="11" t="s">
        <v>4757</v>
      </c>
      <c r="I799" s="11" t="s">
        <v>4607</v>
      </c>
      <c r="J799" s="9" t="str">
        <f>IFERROR(__xludf.DUMMYFUNCTION("""COMPUTED_VALUE"""),"https://www.google.com/search?newwindow=1&amp;ei=2MT0XrvGGM-vytMP1OyDgAY&amp;q=site%3Alinkedin.com+Harriet+Phillips+University+Recruiter")</f>
        <v>https://www.google.com/search?newwindow=1&amp;ei=2MT0XrvGGM-vytMP1OyDgAY&amp;q=site%3Alinkedin.com+Harriet+Phillips+University+Recruiter</v>
      </c>
      <c r="K799" s="5" t="str">
        <f t="shared" si="1"/>
        <v>Harriet Phillips</v>
      </c>
      <c r="L799" s="5" t="str">
        <f t="shared" si="2"/>
        <v>University Recruiter</v>
      </c>
      <c r="M799" s="5" t="str">
        <f t="shared" si="3"/>
        <v/>
      </c>
      <c r="N799" s="5" t="str">
        <f t="shared" si="4"/>
        <v>Facebook</v>
      </c>
      <c r="O799" s="5" t="str">
        <f t="shared" si="5"/>
        <v>3 years  in role and company</v>
      </c>
      <c r="P799" s="5" t="str">
        <f t="shared" si="6"/>
        <v>London</v>
      </c>
      <c r="Q799" s="5" t="str">
        <f t="shared" si="7"/>
        <v>England</v>
      </c>
      <c r="R799" s="5" t="str">
        <f t="shared" si="8"/>
        <v>United Kingdom</v>
      </c>
    </row>
    <row r="800">
      <c r="A800" s="8" t="s">
        <v>6704</v>
      </c>
      <c r="B800" s="10" t="s">
        <v>6705</v>
      </c>
      <c r="C800" s="10" t="s">
        <v>5054</v>
      </c>
      <c r="D800" s="10"/>
      <c r="E800" s="10" t="s">
        <v>6706</v>
      </c>
      <c r="F800" s="10" t="s">
        <v>686</v>
      </c>
      <c r="G800" s="11" t="s">
        <v>6577</v>
      </c>
      <c r="H800" s="11" t="s">
        <v>4757</v>
      </c>
      <c r="I800" s="11" t="s">
        <v>4607</v>
      </c>
      <c r="J800" s="9" t="str">
        <f>IFERROR(__xludf.DUMMYFUNCTION("""COMPUTED_VALUE"""),"https://www.google.com/search?newwindow=1&amp;ei=2MT0XrvGGM-vytMP1OyDgAY&amp;q=site%3Alinkedin.com+Catherine+Robinson+University+Recruiter")</f>
        <v>https://www.google.com/search?newwindow=1&amp;ei=2MT0XrvGGM-vytMP1OyDgAY&amp;q=site%3Alinkedin.com+Catherine+Robinson+University+Recruiter</v>
      </c>
      <c r="K800" s="5" t="str">
        <f t="shared" si="1"/>
        <v>Catherine Robinson</v>
      </c>
      <c r="L800" s="5" t="str">
        <f t="shared" si="2"/>
        <v>University Recruiter</v>
      </c>
      <c r="M800" s="5" t="str">
        <f t="shared" si="3"/>
        <v/>
      </c>
      <c r="N800" s="5" t="str">
        <f t="shared" si="4"/>
        <v>The Boston Consulting Group</v>
      </c>
      <c r="O800" s="5" t="str">
        <f t="shared" si="5"/>
        <v>5 years 2 months in role and company</v>
      </c>
      <c r="P800" s="5" t="str">
        <f t="shared" si="6"/>
        <v>London</v>
      </c>
      <c r="Q800" s="5" t="str">
        <f t="shared" si="7"/>
        <v>England</v>
      </c>
      <c r="R800" s="5" t="str">
        <f t="shared" si="8"/>
        <v>United Kingdom</v>
      </c>
    </row>
    <row r="801">
      <c r="A801" s="8" t="s">
        <v>6707</v>
      </c>
      <c r="B801" s="12" t="s">
        <v>6708</v>
      </c>
      <c r="C801" s="10" t="s">
        <v>6709</v>
      </c>
      <c r="D801" s="10"/>
      <c r="E801" s="10" t="s">
        <v>227</v>
      </c>
      <c r="F801" s="10" t="s">
        <v>399</v>
      </c>
      <c r="G801" s="11" t="s">
        <v>6577</v>
      </c>
      <c r="H801" s="11" t="s">
        <v>4757</v>
      </c>
      <c r="I801" s="11" t="s">
        <v>4607</v>
      </c>
      <c r="J801" s="9" t="str">
        <f>IFERROR(__xludf.DUMMYFUNCTION("""COMPUTED_VALUE"""),"https://www.google.com/search?newwindow=1&amp;ei=2MT0XrvGGM-vytMP1OyDgAY&amp;q=site%3Alinkedin.com+Mark+Nicholson+Graduate+Recruiter")</f>
        <v>https://www.google.com/search?newwindow=1&amp;ei=2MT0XrvGGM-vytMP1OyDgAY&amp;q=site%3Alinkedin.com+Mark+Nicholson+Graduate+Recruiter</v>
      </c>
      <c r="K801" s="5" t="str">
        <f t="shared" si="1"/>
        <v>Mark Nicholson</v>
      </c>
      <c r="L801" s="5" t="str">
        <f t="shared" si="2"/>
        <v>Graduate Recruiter</v>
      </c>
      <c r="M801" s="5" t="str">
        <f t="shared" si="3"/>
        <v/>
      </c>
      <c r="N801" s="5" t="str">
        <f t="shared" si="4"/>
        <v>BNP Paribas</v>
      </c>
      <c r="O801" s="5" t="str">
        <f t="shared" si="5"/>
        <v>10 years  in role</v>
      </c>
      <c r="P801" s="5" t="str">
        <f t="shared" si="6"/>
        <v>London</v>
      </c>
      <c r="Q801" s="5" t="str">
        <f t="shared" si="7"/>
        <v>England</v>
      </c>
      <c r="R801" s="5" t="str">
        <f t="shared" si="8"/>
        <v>United Kingdom</v>
      </c>
    </row>
    <row r="802">
      <c r="A802" s="8" t="s">
        <v>6710</v>
      </c>
      <c r="B802" s="12" t="s">
        <v>6711</v>
      </c>
      <c r="C802" s="10" t="s">
        <v>6712</v>
      </c>
      <c r="D802" s="10"/>
      <c r="E802" s="10" t="s">
        <v>4953</v>
      </c>
      <c r="F802" s="10" t="s">
        <v>233</v>
      </c>
      <c r="G802" s="11" t="s">
        <v>6577</v>
      </c>
      <c r="H802" s="11" t="s">
        <v>4757</v>
      </c>
      <c r="I802" s="11" t="s">
        <v>4607</v>
      </c>
      <c r="J802" s="9" t="str">
        <f>IFERROR(__xludf.DUMMYFUNCTION("""COMPUTED_VALUE"""),"https://www.google.com/search?newwindow=1&amp;ei=2MT0XrvGGM-vytMP1OyDgAY&amp;q=site%3Alinkedin.com+Tom+Cole+Graduate+Recruitment+Officer+-+University+of+Oxford")</f>
        <v>https://www.google.com/search?newwindow=1&amp;ei=2MT0XrvGGM-vytMP1OyDgAY&amp;q=site%3Alinkedin.com+Tom+Cole+Graduate+Recruitment+Officer+-+University+of+Oxford</v>
      </c>
      <c r="K802" s="5" t="str">
        <f t="shared" si="1"/>
        <v>Tom Cole</v>
      </c>
      <c r="L802" s="5" t="str">
        <f t="shared" si="2"/>
        <v>Graduate Recruitment Officer - University of Oxford</v>
      </c>
      <c r="M802" s="5" t="str">
        <f t="shared" si="3"/>
        <v/>
      </c>
      <c r="N802" s="5" t="str">
        <f t="shared" si="4"/>
        <v>Teach First</v>
      </c>
      <c r="O802" s="5" t="str">
        <f t="shared" si="5"/>
        <v>6 years 3 months in role</v>
      </c>
      <c r="P802" s="5" t="str">
        <f t="shared" si="6"/>
        <v>London</v>
      </c>
      <c r="Q802" s="5" t="str">
        <f t="shared" si="7"/>
        <v>England</v>
      </c>
      <c r="R802" s="5" t="str">
        <f t="shared" si="8"/>
        <v>United Kingdom</v>
      </c>
    </row>
    <row r="803">
      <c r="A803" s="8" t="s">
        <v>6713</v>
      </c>
      <c r="B803" s="10" t="s">
        <v>6714</v>
      </c>
      <c r="C803" s="10" t="s">
        <v>6715</v>
      </c>
      <c r="D803" s="10"/>
      <c r="E803" s="10" t="s">
        <v>2117</v>
      </c>
      <c r="F803" s="10" t="s">
        <v>144</v>
      </c>
      <c r="G803" s="11" t="s">
        <v>6577</v>
      </c>
      <c r="H803" s="13" t="s">
        <v>4757</v>
      </c>
      <c r="I803" s="11" t="s">
        <v>4607</v>
      </c>
      <c r="J803" s="9" t="str">
        <f>IFERROR(__xludf.DUMMYFUNCTION("""COMPUTED_VALUE"""),"https://www.google.com/search?newwindow=1&amp;ei=2MT0XrvGGM-vytMP1OyDgAY&amp;q=site%3Alinkedin.com+Matthew+Jones+Senior+Recruiter")</f>
        <v>https://www.google.com/search?newwindow=1&amp;ei=2MT0XrvGGM-vytMP1OyDgAY&amp;q=site%3Alinkedin.com+Matthew+Jones+Senior+Recruiter</v>
      </c>
      <c r="K803" s="5" t="str">
        <f t="shared" si="1"/>
        <v>Matthew Jones</v>
      </c>
      <c r="L803" s="5" t="str">
        <f t="shared" si="2"/>
        <v>Senior Recruiter</v>
      </c>
      <c r="M803" s="5" t="str">
        <f t="shared" si="3"/>
        <v/>
      </c>
      <c r="N803" s="5" t="str">
        <f t="shared" si="4"/>
        <v>BlockworkIT</v>
      </c>
      <c r="O803" s="5" t="str">
        <f t="shared" si="5"/>
        <v>1 year 6 months in role and company</v>
      </c>
      <c r="P803" s="5" t="str">
        <f t="shared" si="6"/>
        <v>London</v>
      </c>
      <c r="Q803" s="5" t="str">
        <f t="shared" si="7"/>
        <v>England</v>
      </c>
      <c r="R803" s="5" t="str">
        <f t="shared" si="8"/>
        <v>United Kingdom</v>
      </c>
    </row>
    <row r="804">
      <c r="A804" s="8" t="s">
        <v>6716</v>
      </c>
      <c r="B804" s="10" t="s">
        <v>6717</v>
      </c>
      <c r="C804" s="10" t="s">
        <v>6718</v>
      </c>
      <c r="D804" s="10"/>
      <c r="E804" s="10" t="s">
        <v>227</v>
      </c>
      <c r="F804" s="10" t="s">
        <v>237</v>
      </c>
      <c r="G804" s="11" t="s">
        <v>6577</v>
      </c>
      <c r="H804" s="11" t="s">
        <v>4757</v>
      </c>
      <c r="I804" s="11" t="s">
        <v>4607</v>
      </c>
      <c r="J804" s="9" t="str">
        <f>IFERROR(__xludf.DUMMYFUNCTION("""COMPUTED_VALUE"""),"https://www.google.com/search?newwindow=1&amp;ei=2MT0XrvGGM-vytMP1OyDgAY&amp;q=site%3Alinkedin.com+Alison+Lane+Graduate+Recruiter")</f>
        <v>https://www.google.com/search?newwindow=1&amp;ei=2MT0XrvGGM-vytMP1OyDgAY&amp;q=site%3Alinkedin.com+Alison+Lane+Graduate+Recruiter</v>
      </c>
      <c r="K804" s="5" t="str">
        <f t="shared" si="1"/>
        <v>Alison Lane</v>
      </c>
      <c r="L804" s="5" t="str">
        <f t="shared" si="2"/>
        <v>Graduate Recruiter</v>
      </c>
      <c r="M804" s="5" t="str">
        <f t="shared" si="3"/>
        <v/>
      </c>
      <c r="N804" s="5" t="str">
        <f t="shared" si="4"/>
        <v>HSBC</v>
      </c>
      <c r="O804" s="5" t="str">
        <f t="shared" si="5"/>
        <v/>
      </c>
      <c r="P804" s="5" t="str">
        <f t="shared" si="6"/>
        <v>London</v>
      </c>
      <c r="Q804" s="5" t="str">
        <f t="shared" si="7"/>
        <v>England</v>
      </c>
      <c r="R804" s="5" t="str">
        <f t="shared" si="8"/>
        <v>United Kingdom</v>
      </c>
    </row>
    <row r="805">
      <c r="A805" s="8" t="s">
        <v>6719</v>
      </c>
      <c r="B805" s="10" t="s">
        <v>6720</v>
      </c>
      <c r="C805" s="10" t="s">
        <v>6721</v>
      </c>
      <c r="D805" s="10"/>
      <c r="E805" s="10" t="s">
        <v>3177</v>
      </c>
      <c r="F805" s="10" t="s">
        <v>579</v>
      </c>
      <c r="G805" s="11" t="s">
        <v>6577</v>
      </c>
      <c r="H805" s="11" t="s">
        <v>4757</v>
      </c>
      <c r="I805" s="11" t="s">
        <v>4607</v>
      </c>
      <c r="J805" s="9" t="str">
        <f>IFERROR(__xludf.DUMMYFUNCTION("""COMPUTED_VALUE"""),"https://www.google.com/search?newwindow=1&amp;ei=2MT0XrvGGM-vytMP1OyDgAY&amp;q=site%3Alinkedin.com+Kirsten+Steen+Graduate+Technology+Recruiter")</f>
        <v>https://www.google.com/search?newwindow=1&amp;ei=2MT0XrvGGM-vytMP1OyDgAY&amp;q=site%3Alinkedin.com+Kirsten+Steen+Graduate+Technology+Recruiter</v>
      </c>
      <c r="K805" s="5" t="str">
        <f t="shared" si="1"/>
        <v>Kirsten Steen</v>
      </c>
      <c r="L805" s="5" t="str">
        <f t="shared" si="2"/>
        <v>Graduate Technology Recruiter</v>
      </c>
      <c r="M805" s="5" t="str">
        <f t="shared" si="3"/>
        <v/>
      </c>
      <c r="N805" s="5" t="str">
        <f t="shared" si="4"/>
        <v>Burns Sheehan</v>
      </c>
      <c r="O805" s="5" t="str">
        <f t="shared" si="5"/>
        <v>8 months in role and company</v>
      </c>
      <c r="P805" s="5" t="str">
        <f t="shared" si="6"/>
        <v>London</v>
      </c>
      <c r="Q805" s="5" t="str">
        <f t="shared" si="7"/>
        <v>England</v>
      </c>
      <c r="R805" s="5" t="str">
        <f t="shared" si="8"/>
        <v>United Kingdom</v>
      </c>
    </row>
    <row r="806">
      <c r="A806" s="8" t="s">
        <v>6722</v>
      </c>
      <c r="B806" s="12" t="s">
        <v>6723</v>
      </c>
      <c r="C806" s="10" t="s">
        <v>6286</v>
      </c>
      <c r="D806" s="10"/>
      <c r="E806" s="10" t="s">
        <v>4836</v>
      </c>
      <c r="F806" s="10" t="s">
        <v>94</v>
      </c>
      <c r="G806" s="11" t="s">
        <v>6577</v>
      </c>
      <c r="H806" s="11" t="s">
        <v>4757</v>
      </c>
      <c r="I806" s="11" t="s">
        <v>4607</v>
      </c>
      <c r="J806" s="9" t="str">
        <f>IFERROR(__xludf.DUMMYFUNCTION("""COMPUTED_VALUE"""),"https://www.google.com/search?newwindow=1&amp;ei=2MT0XrvGGM-vytMP1OyDgAY&amp;q=site%3Alinkedin.com+Selina+Li+EMEA+Graduate+Recruiter")</f>
        <v>https://www.google.com/search?newwindow=1&amp;ei=2MT0XrvGGM-vytMP1OyDgAY&amp;q=site%3Alinkedin.com+Selina+Li+EMEA+Graduate+Recruiter</v>
      </c>
      <c r="K806" s="5" t="str">
        <f t="shared" si="1"/>
        <v>Selina Li</v>
      </c>
      <c r="L806" s="5" t="str">
        <f t="shared" si="2"/>
        <v>EMEA Graduate Recruiter</v>
      </c>
      <c r="M806" s="5" t="str">
        <f t="shared" si="3"/>
        <v/>
      </c>
      <c r="N806" s="5" t="str">
        <f t="shared" si="4"/>
        <v>Goldman Sachs</v>
      </c>
      <c r="O806" s="5" t="str">
        <f t="shared" si="5"/>
        <v>6 years 1 month in role and company</v>
      </c>
      <c r="P806" s="5" t="str">
        <f t="shared" si="6"/>
        <v>London</v>
      </c>
      <c r="Q806" s="5" t="str">
        <f t="shared" si="7"/>
        <v>England</v>
      </c>
      <c r="R806" s="5" t="str">
        <f t="shared" si="8"/>
        <v>United Kingdom</v>
      </c>
    </row>
    <row r="807">
      <c r="A807" s="8" t="s">
        <v>6724</v>
      </c>
      <c r="B807" s="10" t="s">
        <v>6725</v>
      </c>
      <c r="C807" s="10" t="s">
        <v>6726</v>
      </c>
      <c r="D807" s="10"/>
      <c r="E807" s="10" t="s">
        <v>702</v>
      </c>
      <c r="F807" s="10" t="s">
        <v>727</v>
      </c>
      <c r="G807" s="11" t="s">
        <v>6577</v>
      </c>
      <c r="H807" s="11" t="s">
        <v>4757</v>
      </c>
      <c r="I807" s="11" t="s">
        <v>4607</v>
      </c>
      <c r="J807" s="9" t="str">
        <f>IFERROR(__xludf.DUMMYFUNCTION("""COMPUTED_VALUE"""),"https://www.google.com/search?newwindow=1&amp;ei=2MT0XrvGGM-vytMP1OyDgAY&amp;q=site%3Alinkedin.com+Lucy+Rubin+(CIPD)+Engineering+Recruitment+Lead")</f>
        <v>https://www.google.com/search?newwindow=1&amp;ei=2MT0XrvGGM-vytMP1OyDgAY&amp;q=site%3Alinkedin.com+Lucy+Rubin+(CIPD)+Engineering+Recruitment+Lead</v>
      </c>
      <c r="K807" s="5" t="str">
        <f t="shared" si="1"/>
        <v>Lucy Rubin (CIPD)</v>
      </c>
      <c r="L807" s="5" t="str">
        <f t="shared" si="2"/>
        <v>Engineering Recruitment Lead</v>
      </c>
      <c r="M807" s="5" t="str">
        <f t="shared" si="3"/>
        <v/>
      </c>
      <c r="N807" s="5" t="str">
        <f t="shared" si="4"/>
        <v>Bloomberg LP</v>
      </c>
      <c r="O807" s="5" t="str">
        <f t="shared" si="5"/>
        <v>3 years 1 month in role</v>
      </c>
      <c r="P807" s="5" t="str">
        <f t="shared" si="6"/>
        <v>London</v>
      </c>
      <c r="Q807" s="5" t="str">
        <f t="shared" si="7"/>
        <v>England</v>
      </c>
      <c r="R807" s="5" t="str">
        <f t="shared" si="8"/>
        <v>United Kingdom</v>
      </c>
    </row>
    <row r="808">
      <c r="A808" s="8" t="s">
        <v>6727</v>
      </c>
      <c r="B808" s="10" t="s">
        <v>6728</v>
      </c>
      <c r="C808" s="10" t="s">
        <v>6729</v>
      </c>
      <c r="D808" s="10"/>
      <c r="E808" s="10" t="s">
        <v>227</v>
      </c>
      <c r="F808" s="10" t="s">
        <v>421</v>
      </c>
      <c r="G808" s="11" t="s">
        <v>6577</v>
      </c>
      <c r="H808" s="11" t="s">
        <v>4757</v>
      </c>
      <c r="I808" s="11" t="s">
        <v>4607</v>
      </c>
      <c r="J808" s="9" t="str">
        <f>IFERROR(__xludf.DUMMYFUNCTION("""COMPUTED_VALUE"""),"https://www.google.com/search?newwindow=1&amp;ei=2MT0XrvGGM-vytMP1OyDgAY&amp;q=site%3Alinkedin.com+Claire+Smith(LION)claire.smith@ochrehouse.com+Recruiting+Business+Partner")</f>
        <v>https://www.google.com/search?newwindow=1&amp;ei=2MT0XrvGGM-vytMP1OyDgAY&amp;q=site%3Alinkedin.com+Claire+Smith(LION)claire.smith@ochrehouse.com+Recruiting+Business+Partner</v>
      </c>
      <c r="K808" s="5" t="str">
        <f t="shared" si="1"/>
        <v>Claire Smith(LION)claire.smith@ochrehouse.com</v>
      </c>
      <c r="L808" s="5" t="str">
        <f t="shared" si="2"/>
        <v>Recruiting Business Partner</v>
      </c>
      <c r="M808" s="5" t="str">
        <f t="shared" si="3"/>
        <v/>
      </c>
      <c r="N808" s="5" t="str">
        <f t="shared" si="4"/>
        <v>Cielo Talent</v>
      </c>
      <c r="O808" s="5" t="str">
        <f t="shared" si="5"/>
        <v>6 years 6 months in role</v>
      </c>
      <c r="P808" s="5" t="str">
        <f t="shared" si="6"/>
        <v>London</v>
      </c>
      <c r="Q808" s="5" t="str">
        <f t="shared" si="7"/>
        <v>England</v>
      </c>
      <c r="R808" s="5" t="str">
        <f t="shared" si="8"/>
        <v>United Kingdom</v>
      </c>
    </row>
    <row r="809">
      <c r="A809" s="8" t="s">
        <v>6730</v>
      </c>
      <c r="B809" s="12" t="s">
        <v>6731</v>
      </c>
      <c r="C809" s="10" t="s">
        <v>6732</v>
      </c>
      <c r="D809" s="10"/>
      <c r="E809" s="10" t="s">
        <v>6733</v>
      </c>
      <c r="F809" s="10" t="s">
        <v>188</v>
      </c>
      <c r="G809" s="11" t="s">
        <v>6577</v>
      </c>
      <c r="H809" s="11" t="s">
        <v>4757</v>
      </c>
      <c r="I809" s="11" t="s">
        <v>4607</v>
      </c>
      <c r="J809" s="9" t="str">
        <f>IFERROR(__xludf.DUMMYFUNCTION("""COMPUTED_VALUE"""),"https://www.google.com/search?newwindow=1&amp;ei=2MT0XrvGGM-vytMP1OyDgAY&amp;q=site%3Alinkedin.com+Carmen+Wan+Full+Cycle+University+Recruiter,+Software+Engineering,+EMEA")</f>
        <v>https://www.google.com/search?newwindow=1&amp;ei=2MT0XrvGGM-vytMP1OyDgAY&amp;q=site%3Alinkedin.com+Carmen+Wan+Full+Cycle+University+Recruiter,+Software+Engineering,+EMEA</v>
      </c>
      <c r="K809" s="5" t="str">
        <f t="shared" si="1"/>
        <v>Carmen Wan</v>
      </c>
      <c r="L809" s="5" t="str">
        <f t="shared" si="2"/>
        <v>Full Cycle University Recruiter, Software Engineering, EMEA</v>
      </c>
      <c r="M809" s="5" t="str">
        <f t="shared" si="3"/>
        <v/>
      </c>
      <c r="N809" s="5" t="str">
        <f t="shared" si="4"/>
        <v>Facebook</v>
      </c>
      <c r="O809" s="5" t="str">
        <f t="shared" si="5"/>
        <v>2 years 11 months in role and company</v>
      </c>
      <c r="P809" s="5" t="str">
        <f t="shared" si="6"/>
        <v>London</v>
      </c>
      <c r="Q809" s="5" t="str">
        <f t="shared" si="7"/>
        <v>England</v>
      </c>
      <c r="R809" s="5" t="str">
        <f t="shared" si="8"/>
        <v>United Kingdom</v>
      </c>
    </row>
    <row r="810">
      <c r="A810" s="8" t="s">
        <v>6734</v>
      </c>
      <c r="B810" s="10" t="s">
        <v>6735</v>
      </c>
      <c r="C810" s="10" t="s">
        <v>766</v>
      </c>
      <c r="D810" s="10"/>
      <c r="E810" s="10" t="s">
        <v>6736</v>
      </c>
      <c r="F810" s="10" t="s">
        <v>1123</v>
      </c>
      <c r="G810" s="11" t="s">
        <v>6577</v>
      </c>
      <c r="H810" s="11" t="s">
        <v>4757</v>
      </c>
      <c r="I810" s="11" t="s">
        <v>4607</v>
      </c>
      <c r="J810" s="9" t="str">
        <f>IFERROR(__xludf.DUMMYFUNCTION("""COMPUTED_VALUE"""),"https://www.google.com/search?newwindow=1&amp;ei=2MT0XrvGGM-vytMP1OyDgAY&amp;q=site%3Alinkedin.com+Alexandra+Mitchell+Graduate+Recruiter")</f>
        <v>https://www.google.com/search?newwindow=1&amp;ei=2MT0XrvGGM-vytMP1OyDgAY&amp;q=site%3Alinkedin.com+Alexandra+Mitchell+Graduate+Recruiter</v>
      </c>
      <c r="K810" s="5" t="str">
        <f t="shared" si="1"/>
        <v>Alexandra Mitchell</v>
      </c>
      <c r="L810" s="5" t="str">
        <f t="shared" si="2"/>
        <v>Graduate Recruiter</v>
      </c>
      <c r="M810" s="5" t="str">
        <f t="shared" si="3"/>
        <v/>
      </c>
      <c r="N810" s="5" t="str">
        <f t="shared" si="4"/>
        <v>Latham &amp; Watkins</v>
      </c>
      <c r="O810" s="5" t="str">
        <f t="shared" si="5"/>
        <v>12 years 4 months in role and company</v>
      </c>
      <c r="P810" s="5" t="str">
        <f t="shared" si="6"/>
        <v>London</v>
      </c>
      <c r="Q810" s="5" t="str">
        <f t="shared" si="7"/>
        <v>England</v>
      </c>
      <c r="R810" s="5" t="str">
        <f t="shared" si="8"/>
        <v>United Kingdom</v>
      </c>
    </row>
    <row r="811">
      <c r="A811" s="8" t="s">
        <v>6737</v>
      </c>
      <c r="B811" s="10" t="s">
        <v>6738</v>
      </c>
      <c r="C811" s="10" t="s">
        <v>6739</v>
      </c>
      <c r="D811" s="10"/>
      <c r="E811" s="10" t="s">
        <v>1447</v>
      </c>
      <c r="F811" s="10" t="s">
        <v>165</v>
      </c>
      <c r="G811" s="11" t="s">
        <v>6577</v>
      </c>
      <c r="H811" s="11" t="s">
        <v>4757</v>
      </c>
      <c r="I811" s="11" t="s">
        <v>4607</v>
      </c>
      <c r="J811" s="9" t="str">
        <f>IFERROR(__xludf.DUMMYFUNCTION("""COMPUTED_VALUE"""),"https://www.google.com/search?newwindow=1&amp;ei=2MT0XrvGGM-vytMP1OyDgAY&amp;q=site%3Alinkedin.com+nicole+gunn+Graduate+Recruiter")</f>
        <v>https://www.google.com/search?newwindow=1&amp;ei=2MT0XrvGGM-vytMP1OyDgAY&amp;q=site%3Alinkedin.com+nicole+gunn+Graduate+Recruiter</v>
      </c>
      <c r="K811" s="5" t="str">
        <f t="shared" si="1"/>
        <v>nicole gunn</v>
      </c>
      <c r="L811" s="5" t="str">
        <f t="shared" si="2"/>
        <v>Graduate Recruiter</v>
      </c>
      <c r="M811" s="5" t="str">
        <f t="shared" si="3"/>
        <v/>
      </c>
      <c r="N811" s="5" t="str">
        <f t="shared" si="4"/>
        <v>Contracts IT</v>
      </c>
      <c r="O811" s="5" t="str">
        <f t="shared" si="5"/>
        <v>3 years 10 months in role and company</v>
      </c>
      <c r="P811" s="5" t="str">
        <f t="shared" si="6"/>
        <v>London</v>
      </c>
      <c r="Q811" s="5" t="str">
        <f t="shared" si="7"/>
        <v>England</v>
      </c>
      <c r="R811" s="5" t="str">
        <f t="shared" si="8"/>
        <v>United Kingdom</v>
      </c>
    </row>
    <row r="812">
      <c r="A812" s="8" t="s">
        <v>6740</v>
      </c>
      <c r="B812" s="10" t="s">
        <v>6741</v>
      </c>
      <c r="C812" s="10" t="s">
        <v>6742</v>
      </c>
      <c r="D812" s="10"/>
      <c r="E812" s="10" t="s">
        <v>6743</v>
      </c>
      <c r="F812" s="10" t="s">
        <v>512</v>
      </c>
      <c r="G812" s="11" t="s">
        <v>6577</v>
      </c>
      <c r="H812" s="11" t="s">
        <v>4757</v>
      </c>
      <c r="I812" s="11" t="s">
        <v>4607</v>
      </c>
      <c r="J812" s="9" t="str">
        <f>IFERROR(__xludf.DUMMYFUNCTION("""COMPUTED_VALUE"""),"https://www.google.com/search?newwindow=1&amp;ei=2MT0XrvGGM-vytMP1OyDgAY&amp;q=site%3Alinkedin.com+Hayley+Pinnell+Campus+Recruiter")</f>
        <v>https://www.google.com/search?newwindow=1&amp;ei=2MT0XrvGGM-vytMP1OyDgAY&amp;q=site%3Alinkedin.com+Hayley+Pinnell+Campus+Recruiter</v>
      </c>
      <c r="K812" s="5" t="str">
        <f t="shared" si="1"/>
        <v>Hayley Pinnell</v>
      </c>
      <c r="L812" s="5" t="str">
        <f t="shared" si="2"/>
        <v>Campus Recruiter</v>
      </c>
      <c r="M812" s="5" t="str">
        <f t="shared" si="3"/>
        <v/>
      </c>
      <c r="N812" s="5" t="str">
        <f t="shared" si="4"/>
        <v>Goldman Sachs</v>
      </c>
      <c r="O812" s="5" t="str">
        <f t="shared" si="5"/>
        <v/>
      </c>
      <c r="P812" s="5" t="str">
        <f t="shared" si="6"/>
        <v>London</v>
      </c>
      <c r="Q812" s="5" t="str">
        <f t="shared" si="7"/>
        <v>England</v>
      </c>
      <c r="R812" s="5" t="str">
        <f t="shared" si="8"/>
        <v>United Kingdom</v>
      </c>
    </row>
    <row r="813">
      <c r="A813" s="8" t="s">
        <v>6744</v>
      </c>
      <c r="B813" s="10" t="s">
        <v>6745</v>
      </c>
      <c r="C813" s="10" t="s">
        <v>6746</v>
      </c>
      <c r="D813" s="10"/>
      <c r="E813" s="10" t="s">
        <v>227</v>
      </c>
      <c r="F813" s="10" t="s">
        <v>822</v>
      </c>
      <c r="G813" s="11" t="s">
        <v>6577</v>
      </c>
      <c r="H813" s="11" t="s">
        <v>4757</v>
      </c>
      <c r="I813" s="11" t="s">
        <v>4607</v>
      </c>
      <c r="J813" s="9" t="str">
        <f>IFERROR(__xludf.DUMMYFUNCTION("""COMPUTED_VALUE"""),"https://www.google.com/search?newwindow=1&amp;ei=2MT0XrvGGM-vytMP1OyDgAY&amp;q=site%3Alinkedin.com+Jane+Howard+University+Recruitment+Account+Manager")</f>
        <v>https://www.google.com/search?newwindow=1&amp;ei=2MT0XrvGGM-vytMP1OyDgAY&amp;q=site%3Alinkedin.com+Jane+Howard+University+Recruitment+Account+Manager</v>
      </c>
      <c r="K813" s="5" t="str">
        <f t="shared" si="1"/>
        <v>Jane Howard</v>
      </c>
      <c r="L813" s="5" t="str">
        <f t="shared" si="2"/>
        <v>University Recruitment Account Manager</v>
      </c>
      <c r="M813" s="5" t="str">
        <f t="shared" si="3"/>
        <v/>
      </c>
      <c r="N813" s="5" t="str">
        <f t="shared" si="4"/>
        <v>GSK</v>
      </c>
      <c r="O813" s="5" t="str">
        <f t="shared" si="5"/>
        <v>14 years 10 months in company</v>
      </c>
      <c r="P813" s="5" t="str">
        <f t="shared" si="6"/>
        <v>London</v>
      </c>
      <c r="Q813" s="5" t="str">
        <f t="shared" si="7"/>
        <v>England</v>
      </c>
      <c r="R813" s="5" t="str">
        <f t="shared" si="8"/>
        <v>United Kingdom</v>
      </c>
    </row>
    <row r="814">
      <c r="A814" s="8" t="s">
        <v>6573</v>
      </c>
      <c r="B814" s="10" t="s">
        <v>6574</v>
      </c>
      <c r="C814" s="10" t="s">
        <v>6575</v>
      </c>
      <c r="D814" s="10"/>
      <c r="E814" s="10" t="s">
        <v>6576</v>
      </c>
      <c r="F814" s="10" t="s">
        <v>574</v>
      </c>
      <c r="G814" s="11" t="s">
        <v>6577</v>
      </c>
      <c r="H814" s="11" t="s">
        <v>4638</v>
      </c>
      <c r="I814" s="11" t="s">
        <v>4600</v>
      </c>
      <c r="J814" s="9" t="str">
        <f>IFERROR(__xludf.DUMMYFUNCTION("""COMPUTED_VALUE"""),"https://www.google.com/search?newwindow=1&amp;ei=2MT0XrvGGM-vytMP1OyDgAY&amp;q=site%3Alinkedin.com+Louise+Giron+Graduate+&amp;+Analyst+Recruiter")</f>
        <v>https://www.google.com/search?newwindow=1&amp;ei=2MT0XrvGGM-vytMP1OyDgAY&amp;q=site%3Alinkedin.com+Louise+Giron+Graduate+&amp;+Analyst+Recruiter</v>
      </c>
      <c r="K814" s="5" t="str">
        <f t="shared" si="1"/>
        <v>Louise Giron</v>
      </c>
      <c r="L814" s="5" t="str">
        <f t="shared" si="2"/>
        <v>Graduate &amp; Analyst Recruiter</v>
      </c>
      <c r="M814" s="5" t="str">
        <f t="shared" si="3"/>
        <v/>
      </c>
      <c r="N814" s="5" t="str">
        <f t="shared" si="4"/>
        <v>Morgan Stanley</v>
      </c>
      <c r="O814" s="5" t="str">
        <f t="shared" si="5"/>
        <v>14 years  in role and company</v>
      </c>
      <c r="P814" s="5" t="str">
        <f t="shared" si="6"/>
        <v>London</v>
      </c>
      <c r="Q814" s="5" t="str">
        <f t="shared" si="7"/>
        <v>England</v>
      </c>
      <c r="R814" s="5" t="str">
        <f t="shared" si="8"/>
        <v>United Kingdom</v>
      </c>
    </row>
    <row r="815">
      <c r="A815" s="8" t="s">
        <v>6747</v>
      </c>
      <c r="B815" s="10" t="s">
        <v>6748</v>
      </c>
      <c r="C815" s="10" t="s">
        <v>6502</v>
      </c>
      <c r="D815" s="10"/>
      <c r="E815" s="10" t="s">
        <v>14</v>
      </c>
      <c r="F815" s="10" t="s">
        <v>188</v>
      </c>
      <c r="G815" s="11" t="s">
        <v>6577</v>
      </c>
      <c r="H815" s="11" t="s">
        <v>4757</v>
      </c>
      <c r="I815" s="11" t="s">
        <v>4607</v>
      </c>
      <c r="J815" s="9" t="str">
        <f>IFERROR(__xludf.DUMMYFUNCTION("""COMPUTED_VALUE"""),"https://www.google.com/search?newwindow=1&amp;ei=2MT0XrvGGM-vytMP1OyDgAY&amp;q=site%3Alinkedin.com+George+Sargent+Recruitment+Consultant+-+Germany")</f>
        <v>https://www.google.com/search?newwindow=1&amp;ei=2MT0XrvGGM-vytMP1OyDgAY&amp;q=site%3Alinkedin.com+George+Sargent+Recruitment+Consultant+-+Germany</v>
      </c>
      <c r="K815" s="5" t="str">
        <f t="shared" si="1"/>
        <v>George Sargent</v>
      </c>
      <c r="L815" s="5" t="str">
        <f t="shared" si="2"/>
        <v>Recruitment Consultant - Germany</v>
      </c>
      <c r="M815" s="5" t="str">
        <f t="shared" si="3"/>
        <v/>
      </c>
      <c r="N815" s="5" t="str">
        <f t="shared" si="4"/>
        <v>Vivid Resourcing Ltd</v>
      </c>
      <c r="O815" s="5" t="str">
        <f t="shared" si="5"/>
        <v>3 years 9 months in role and company</v>
      </c>
      <c r="P815" s="5" t="str">
        <f t="shared" si="6"/>
        <v>London</v>
      </c>
      <c r="Q815" s="5" t="str">
        <f t="shared" si="7"/>
        <v>England</v>
      </c>
      <c r="R815" s="5" t="str">
        <f t="shared" si="8"/>
        <v>United Kingdom</v>
      </c>
    </row>
    <row r="816">
      <c r="A816" s="8" t="s">
        <v>6749</v>
      </c>
      <c r="B816" s="10" t="s">
        <v>6750</v>
      </c>
      <c r="C816" s="10" t="s">
        <v>110</v>
      </c>
      <c r="D816" s="10"/>
      <c r="E816" s="10" t="s">
        <v>4836</v>
      </c>
      <c r="F816" s="10" t="s">
        <v>79</v>
      </c>
      <c r="G816" s="11" t="s">
        <v>6577</v>
      </c>
      <c r="H816" s="11" t="s">
        <v>4757</v>
      </c>
      <c r="I816" s="11" t="s">
        <v>4607</v>
      </c>
      <c r="J816" s="9" t="str">
        <f>IFERROR(__xludf.DUMMYFUNCTION("""COMPUTED_VALUE"""),"https://www.google.com/search?newwindow=1&amp;ei=2MT0XrvGGM-vytMP1OyDgAY&amp;q=site%3Alinkedin.com+Claire+Paxton+Graduate+Recruiter")</f>
        <v>https://www.google.com/search?newwindow=1&amp;ei=2MT0XrvGGM-vytMP1OyDgAY&amp;q=site%3Alinkedin.com+Claire+Paxton+Graduate+Recruiter</v>
      </c>
      <c r="K816" s="5" t="str">
        <f t="shared" si="1"/>
        <v>Claire Paxton</v>
      </c>
      <c r="L816" s="5" t="str">
        <f t="shared" si="2"/>
        <v>Graduate Recruiter</v>
      </c>
      <c r="M816" s="5" t="str">
        <f t="shared" si="3"/>
        <v/>
      </c>
      <c r="N816" s="5" t="str">
        <f t="shared" si="4"/>
        <v>Atos Origin</v>
      </c>
      <c r="O816" s="5" t="str">
        <f t="shared" si="5"/>
        <v/>
      </c>
      <c r="P816" s="5" t="str">
        <f t="shared" si="6"/>
        <v>London</v>
      </c>
      <c r="Q816" s="5" t="str">
        <f t="shared" si="7"/>
        <v>England</v>
      </c>
      <c r="R816" s="5" t="str">
        <f t="shared" si="8"/>
        <v>United Kingdom</v>
      </c>
    </row>
    <row r="817">
      <c r="A817" s="8" t="s">
        <v>6751</v>
      </c>
      <c r="B817" s="12" t="s">
        <v>6752</v>
      </c>
      <c r="C817" s="10" t="s">
        <v>6753</v>
      </c>
      <c r="D817" s="10"/>
      <c r="E817" s="10" t="s">
        <v>1511</v>
      </c>
      <c r="F817" s="10" t="s">
        <v>15</v>
      </c>
      <c r="G817" s="11" t="s">
        <v>6577</v>
      </c>
      <c r="H817" s="11" t="s">
        <v>4757</v>
      </c>
      <c r="I817" s="11" t="s">
        <v>4607</v>
      </c>
      <c r="J817" s="9" t="str">
        <f>IFERROR(__xludf.DUMMYFUNCTION("""COMPUTED_VALUE"""),"https://www.google.com/search?newwindow=1&amp;ei=2MT0XrvGGM-vytMP1OyDgAY&amp;q=site%3Alinkedin.com+Victoria+Webster+University+Recruitment+Co-ordinator")</f>
        <v>https://www.google.com/search?newwindow=1&amp;ei=2MT0XrvGGM-vytMP1OyDgAY&amp;q=site%3Alinkedin.com+Victoria+Webster+University+Recruitment+Co-ordinator</v>
      </c>
      <c r="K817" s="5" t="str">
        <f t="shared" si="1"/>
        <v>Victoria Webster</v>
      </c>
      <c r="L817" s="5" t="str">
        <f t="shared" si="2"/>
        <v>University Recruitment Co-ordinator</v>
      </c>
      <c r="M817" s="5" t="str">
        <f t="shared" si="3"/>
        <v/>
      </c>
      <c r="N817" s="5" t="str">
        <f t="shared" si="4"/>
        <v>GlaxoSmithKline</v>
      </c>
      <c r="O817" s="5" t="str">
        <f t="shared" si="5"/>
        <v>9 years 4 months in role and company</v>
      </c>
      <c r="P817" s="5" t="str">
        <f t="shared" si="6"/>
        <v>London</v>
      </c>
      <c r="Q817" s="5" t="str">
        <f t="shared" si="7"/>
        <v>England</v>
      </c>
      <c r="R817" s="5" t="str">
        <f t="shared" si="8"/>
        <v>United Kingdom</v>
      </c>
    </row>
    <row r="818">
      <c r="A818" s="8" t="s">
        <v>6754</v>
      </c>
      <c r="B818" s="12" t="s">
        <v>6755</v>
      </c>
      <c r="C818" s="10" t="s">
        <v>6756</v>
      </c>
      <c r="D818" s="10"/>
      <c r="E818" s="10" t="s">
        <v>4632</v>
      </c>
      <c r="F818" s="10" t="s">
        <v>144</v>
      </c>
      <c r="G818" s="11" t="s">
        <v>6577</v>
      </c>
      <c r="H818" s="11" t="s">
        <v>4757</v>
      </c>
      <c r="I818" s="11" t="s">
        <v>4607</v>
      </c>
      <c r="J818" s="9" t="str">
        <f>IFERROR(__xludf.DUMMYFUNCTION("""COMPUTED_VALUE"""),"https://www.google.com/search?newwindow=1&amp;ei=2MT0XrvGGM-vytMP1OyDgAY&amp;q=site%3Alinkedin.com+Claire+A.+Marshall+Undergraduate+Projects+and+Programmes")</f>
        <v>https://www.google.com/search?newwindow=1&amp;ei=2MT0XrvGGM-vytMP1OyDgAY&amp;q=site%3Alinkedin.com+Claire+A.+Marshall+Undergraduate+Projects+and+Programmes</v>
      </c>
      <c r="K818" s="5" t="str">
        <f t="shared" si="1"/>
        <v>Claire A. Marshall</v>
      </c>
      <c r="L818" s="5" t="str">
        <f t="shared" si="2"/>
        <v>Undergraduate Projects and Programmes</v>
      </c>
      <c r="M818" s="5" t="str">
        <f t="shared" si="3"/>
        <v/>
      </c>
      <c r="N818" s="5" t="str">
        <f t="shared" si="4"/>
        <v>Teach First</v>
      </c>
      <c r="O818" s="5" t="str">
        <f t="shared" si="5"/>
        <v>7 years 5 months in role</v>
      </c>
      <c r="P818" s="5" t="str">
        <f t="shared" si="6"/>
        <v>London</v>
      </c>
      <c r="Q818" s="5" t="str">
        <f t="shared" si="7"/>
        <v>England</v>
      </c>
      <c r="R818" s="5" t="str">
        <f t="shared" si="8"/>
        <v>United Kingdom</v>
      </c>
    </row>
    <row r="819">
      <c r="A819" s="8" t="s">
        <v>6757</v>
      </c>
      <c r="B819" s="12" t="s">
        <v>6758</v>
      </c>
      <c r="C819" s="10" t="s">
        <v>6759</v>
      </c>
      <c r="D819" s="14" t="s">
        <v>4</v>
      </c>
      <c r="E819" s="10" t="s">
        <v>4895</v>
      </c>
      <c r="F819" s="10" t="s">
        <v>1531</v>
      </c>
      <c r="G819" s="11" t="s">
        <v>6577</v>
      </c>
      <c r="H819" s="11" t="s">
        <v>4757</v>
      </c>
      <c r="I819" s="11" t="s">
        <v>4607</v>
      </c>
      <c r="J819" s="9" t="str">
        <f>IFERROR(__xludf.DUMMYFUNCTION("""COMPUTED_VALUE"""),"https://www.google.com/search?newwindow=1&amp;ei=2MT0XrvGGM-vytMP1OyDgAY&amp;q=site%3Alinkedin.com+Priti+Patel+Graduate+Recruiter")</f>
        <v>https://www.google.com/search?newwindow=1&amp;ei=2MT0XrvGGM-vytMP1OyDgAY&amp;q=site%3Alinkedin.com+Priti+Patel+Graduate+Recruiter</v>
      </c>
      <c r="K819" s="5" t="str">
        <f t="shared" si="1"/>
        <v>Priti Patel</v>
      </c>
      <c r="L819" s="5" t="str">
        <f t="shared" si="2"/>
        <v>Graduate Recruiter</v>
      </c>
      <c r="M819" s="5" t="str">
        <f t="shared" si="3"/>
        <v/>
      </c>
      <c r="N819" s="5" t="str">
        <f t="shared" si="4"/>
        <v>Capgemini</v>
      </c>
      <c r="O819" s="5" t="str">
        <f t="shared" si="5"/>
        <v/>
      </c>
      <c r="P819" s="5" t="str">
        <f t="shared" si="6"/>
        <v>London</v>
      </c>
      <c r="Q819" s="5" t="str">
        <f t="shared" si="7"/>
        <v>England</v>
      </c>
      <c r="R819" s="5" t="str">
        <f t="shared" si="8"/>
        <v>United Kingdom</v>
      </c>
    </row>
    <row r="820">
      <c r="A820" s="8" t="s">
        <v>6760</v>
      </c>
      <c r="B820" s="10" t="s">
        <v>6761</v>
      </c>
      <c r="C820" s="10" t="s">
        <v>6762</v>
      </c>
      <c r="D820" s="10"/>
      <c r="E820" s="10" t="s">
        <v>4895</v>
      </c>
      <c r="F820" s="10" t="s">
        <v>387</v>
      </c>
      <c r="G820" s="11" t="s">
        <v>6577</v>
      </c>
      <c r="H820" s="11" t="s">
        <v>4757</v>
      </c>
      <c r="I820" s="11" t="s">
        <v>4607</v>
      </c>
      <c r="J820" s="9" t="str">
        <f>IFERROR(__xludf.DUMMYFUNCTION("""COMPUTED_VALUE"""),"https://www.google.com/search?newwindow=1&amp;ei=2MT0XrvGGM-vytMP1OyDgAY&amp;q=site%3Alinkedin.com+Neeta+Patel+Graduate+Recruiter")</f>
        <v>https://www.google.com/search?newwindow=1&amp;ei=2MT0XrvGGM-vytMP1OyDgAY&amp;q=site%3Alinkedin.com+Neeta+Patel+Graduate+Recruiter</v>
      </c>
      <c r="K820" s="5" t="str">
        <f t="shared" si="1"/>
        <v>Neeta Patel</v>
      </c>
      <c r="L820" s="5" t="str">
        <f t="shared" si="2"/>
        <v>Graduate Recruiter</v>
      </c>
      <c r="M820" s="5" t="str">
        <f t="shared" si="3"/>
        <v/>
      </c>
      <c r="N820" s="5" t="str">
        <f t="shared" si="4"/>
        <v>Deustche Bank</v>
      </c>
      <c r="O820" s="5" t="str">
        <f t="shared" si="5"/>
        <v/>
      </c>
      <c r="P820" s="5" t="str">
        <f t="shared" si="6"/>
        <v>London</v>
      </c>
      <c r="Q820" s="5" t="str">
        <f t="shared" si="7"/>
        <v>England</v>
      </c>
      <c r="R820" s="5" t="str">
        <f t="shared" si="8"/>
        <v>United Kingdom</v>
      </c>
    </row>
    <row r="821">
      <c r="A821" s="8" t="s">
        <v>6763</v>
      </c>
      <c r="B821" s="10" t="s">
        <v>6764</v>
      </c>
      <c r="C821" s="10" t="s">
        <v>6765</v>
      </c>
      <c r="D821" s="10"/>
      <c r="E821" s="10" t="s">
        <v>6766</v>
      </c>
      <c r="F821" s="10" t="s">
        <v>500</v>
      </c>
      <c r="G821" s="11" t="s">
        <v>6577</v>
      </c>
      <c r="H821" s="11" t="s">
        <v>4757</v>
      </c>
      <c r="I821" s="11" t="s">
        <v>4607</v>
      </c>
      <c r="J821" s="9" t="str">
        <f>IFERROR(__xludf.DUMMYFUNCTION("""COMPUTED_VALUE"""),"https://www.google.com/search?newwindow=1&amp;ei=2MT0XrvGGM-vytMP1OyDgAY&amp;q=site%3Alinkedin.com+Saoirse+Brewer+Campus+Recruiter")</f>
        <v>https://www.google.com/search?newwindow=1&amp;ei=2MT0XrvGGM-vytMP1OyDgAY&amp;q=site%3Alinkedin.com+Saoirse+Brewer+Campus+Recruiter</v>
      </c>
      <c r="K821" s="5" t="str">
        <f t="shared" si="1"/>
        <v>Saoirse Brewer</v>
      </c>
      <c r="L821" s="5" t="str">
        <f t="shared" si="2"/>
        <v>Campus Recruiter</v>
      </c>
      <c r="M821" s="5" t="str">
        <f t="shared" si="3"/>
        <v/>
      </c>
      <c r="N821" s="5" t="str">
        <f t="shared" si="4"/>
        <v>J.P. Morgan</v>
      </c>
      <c r="O821" s="5" t="str">
        <f t="shared" si="5"/>
        <v>2 years 10 months in role and company</v>
      </c>
      <c r="P821" s="5" t="str">
        <f t="shared" si="6"/>
        <v>London</v>
      </c>
      <c r="Q821" s="5" t="str">
        <f t="shared" si="7"/>
        <v>England</v>
      </c>
      <c r="R821" s="5" t="str">
        <f t="shared" si="8"/>
        <v>United Kingdom</v>
      </c>
    </row>
    <row r="822">
      <c r="A822" s="8" t="s">
        <v>6767</v>
      </c>
      <c r="B822" s="10" t="s">
        <v>6768</v>
      </c>
      <c r="C822" s="10" t="s">
        <v>6769</v>
      </c>
      <c r="D822" s="10"/>
      <c r="E822" s="10" t="s">
        <v>3874</v>
      </c>
      <c r="F822" s="10" t="s">
        <v>331</v>
      </c>
      <c r="G822" s="11" t="s">
        <v>6577</v>
      </c>
      <c r="H822" s="11" t="s">
        <v>4757</v>
      </c>
      <c r="I822" s="11" t="s">
        <v>4607</v>
      </c>
      <c r="J822" s="9" t="str">
        <f>IFERROR(__xludf.DUMMYFUNCTION("""COMPUTED_VALUE"""),"https://www.google.com/search?newwindow=1&amp;ei=2MT0XrvGGM-vytMP1OyDgAY&amp;q=site%3Alinkedin.com+Nikki+Andrews+Graduate+Recruiter")</f>
        <v>https://www.google.com/search?newwindow=1&amp;ei=2MT0XrvGGM-vytMP1OyDgAY&amp;q=site%3Alinkedin.com+Nikki+Andrews+Graduate+Recruiter</v>
      </c>
      <c r="K822" s="5" t="str">
        <f t="shared" si="1"/>
        <v>Nikki Andrews</v>
      </c>
      <c r="L822" s="5" t="str">
        <f t="shared" si="2"/>
        <v>Graduate Recruiter</v>
      </c>
      <c r="M822" s="5" t="str">
        <f t="shared" si="3"/>
        <v/>
      </c>
      <c r="N822" s="5" t="str">
        <f t="shared" si="4"/>
        <v>Resource Solutions</v>
      </c>
      <c r="O822" s="5" t="str">
        <f t="shared" si="5"/>
        <v>14 years 6 months in role and company</v>
      </c>
      <c r="P822" s="5" t="str">
        <f t="shared" si="6"/>
        <v>London</v>
      </c>
      <c r="Q822" s="5" t="str">
        <f t="shared" si="7"/>
        <v>England</v>
      </c>
      <c r="R822" s="5" t="str">
        <f t="shared" si="8"/>
        <v>United Kingdom</v>
      </c>
    </row>
    <row r="823">
      <c r="A823" s="8" t="s">
        <v>6770</v>
      </c>
      <c r="B823" s="10" t="s">
        <v>6771</v>
      </c>
      <c r="C823" s="10" t="s">
        <v>6772</v>
      </c>
      <c r="D823" s="10"/>
      <c r="E823" s="10" t="s">
        <v>6773</v>
      </c>
      <c r="F823" s="10" t="s">
        <v>48</v>
      </c>
      <c r="G823" s="11" t="s">
        <v>6577</v>
      </c>
      <c r="H823" s="11" t="s">
        <v>4757</v>
      </c>
      <c r="I823" s="11" t="s">
        <v>4607</v>
      </c>
      <c r="J823" s="9" t="str">
        <f>IFERROR(__xludf.DUMMYFUNCTION("""COMPUTED_VALUE"""),"https://www.google.com/search?newwindow=1&amp;ei=2MT0XrvGGM-vytMP1OyDgAY&amp;q=site%3Alinkedin.com+Rachel+Bloem+Campus+Recruiter")</f>
        <v>https://www.google.com/search?newwindow=1&amp;ei=2MT0XrvGGM-vytMP1OyDgAY&amp;q=site%3Alinkedin.com+Rachel+Bloem+Campus+Recruiter</v>
      </c>
      <c r="K823" s="5" t="str">
        <f t="shared" si="1"/>
        <v>Rachel Bloem</v>
      </c>
      <c r="L823" s="5" t="str">
        <f t="shared" si="2"/>
        <v>Campus Recruiter</v>
      </c>
      <c r="M823" s="5" t="str">
        <f t="shared" si="3"/>
        <v/>
      </c>
      <c r="N823" s="5" t="str">
        <f t="shared" si="4"/>
        <v>Maandag®</v>
      </c>
      <c r="O823" s="5" t="str">
        <f t="shared" si="5"/>
        <v>2 years 5 months in role and company</v>
      </c>
      <c r="P823" s="5" t="str">
        <f t="shared" si="6"/>
        <v>London</v>
      </c>
      <c r="Q823" s="5" t="str">
        <f t="shared" si="7"/>
        <v>England</v>
      </c>
      <c r="R823" s="5" t="str">
        <f t="shared" si="8"/>
        <v>United Kingdom</v>
      </c>
    </row>
    <row r="824">
      <c r="A824" s="8" t="s">
        <v>6774</v>
      </c>
      <c r="B824" s="10" t="s">
        <v>6775</v>
      </c>
      <c r="C824" s="10" t="s">
        <v>6502</v>
      </c>
      <c r="D824" s="10"/>
      <c r="E824" s="10" t="s">
        <v>6776</v>
      </c>
      <c r="F824" s="10" t="s">
        <v>322</v>
      </c>
      <c r="G824" s="11" t="s">
        <v>6577</v>
      </c>
      <c r="H824" s="11" t="s">
        <v>4757</v>
      </c>
      <c r="I824" s="11" t="s">
        <v>4607</v>
      </c>
      <c r="J824" s="9" t="str">
        <f>IFERROR(__xludf.DUMMYFUNCTION("""COMPUTED_VALUE"""),"https://www.google.com/search?newwindow=1&amp;ei=2MT0XrvGGM-vytMP1OyDgAY&amp;q=site%3Alinkedin.com+Michelle+Chenneour+Graduate+Recruiter")</f>
        <v>https://www.google.com/search?newwindow=1&amp;ei=2MT0XrvGGM-vytMP1OyDgAY&amp;q=site%3Alinkedin.com+Michelle+Chenneour+Graduate+Recruiter</v>
      </c>
      <c r="K824" s="5" t="str">
        <f t="shared" si="1"/>
        <v>Michelle Chenneour</v>
      </c>
      <c r="L824" s="5" t="str">
        <f t="shared" si="2"/>
        <v>Graduate Recruiter</v>
      </c>
      <c r="M824" s="5" t="str">
        <f t="shared" si="3"/>
        <v/>
      </c>
      <c r="N824" s="5" t="str">
        <f t="shared" si="4"/>
        <v>EDS</v>
      </c>
      <c r="O824" s="5" t="str">
        <f t="shared" si="5"/>
        <v/>
      </c>
      <c r="P824" s="5" t="str">
        <f t="shared" si="6"/>
        <v>London</v>
      </c>
      <c r="Q824" s="5" t="str">
        <f t="shared" si="7"/>
        <v>England</v>
      </c>
      <c r="R824" s="5" t="str">
        <f t="shared" si="8"/>
        <v>United Kingdom</v>
      </c>
    </row>
    <row r="825">
      <c r="A825" s="8" t="s">
        <v>6777</v>
      </c>
      <c r="B825" s="10" t="s">
        <v>6778</v>
      </c>
      <c r="C825" s="10" t="s">
        <v>6779</v>
      </c>
      <c r="D825" s="10"/>
      <c r="E825" s="10" t="s">
        <v>2297</v>
      </c>
      <c r="F825" s="10" t="s">
        <v>387</v>
      </c>
      <c r="G825" s="11" t="s">
        <v>6577</v>
      </c>
      <c r="H825" s="13" t="s">
        <v>4757</v>
      </c>
      <c r="I825" s="11" t="s">
        <v>4607</v>
      </c>
      <c r="J825" s="9" t="str">
        <f>IFERROR(__xludf.DUMMYFUNCTION("""COMPUTED_VALUE"""),"https://www.google.com/search?newwindow=1&amp;ei=2MT0XrvGGM-vytMP1OyDgAY&amp;q=site%3Alinkedin.com+Maria+Da+Costa+Graduate+Recruiter")</f>
        <v>https://www.google.com/search?newwindow=1&amp;ei=2MT0XrvGGM-vytMP1OyDgAY&amp;q=site%3Alinkedin.com+Maria+Da+Costa+Graduate+Recruiter</v>
      </c>
      <c r="K825" s="5" t="str">
        <f t="shared" si="1"/>
        <v>Maria Da Costa</v>
      </c>
      <c r="L825" s="5" t="str">
        <f t="shared" si="2"/>
        <v>Graduate Recruiter</v>
      </c>
      <c r="M825" s="5" t="str">
        <f t="shared" si="3"/>
        <v/>
      </c>
      <c r="N825" s="5" t="str">
        <f t="shared" si="4"/>
        <v>Cerner Corporation</v>
      </c>
      <c r="O825" s="5" t="str">
        <f t="shared" si="5"/>
        <v/>
      </c>
      <c r="P825" s="5" t="str">
        <f t="shared" si="6"/>
        <v>London</v>
      </c>
      <c r="Q825" s="5" t="str">
        <f t="shared" si="7"/>
        <v>England</v>
      </c>
      <c r="R825" s="5" t="str">
        <f t="shared" si="8"/>
        <v>United Kingdom</v>
      </c>
    </row>
    <row r="826">
      <c r="A826" s="8" t="s">
        <v>6780</v>
      </c>
      <c r="B826" s="10" t="s">
        <v>6781</v>
      </c>
      <c r="C826" s="10" t="s">
        <v>6782</v>
      </c>
      <c r="D826" s="10"/>
      <c r="E826" s="10" t="s">
        <v>6783</v>
      </c>
      <c r="F826" s="10" t="s">
        <v>694</v>
      </c>
      <c r="G826" s="11" t="s">
        <v>6577</v>
      </c>
      <c r="H826" s="11" t="s">
        <v>4757</v>
      </c>
      <c r="I826" s="11" t="s">
        <v>4607</v>
      </c>
      <c r="J826" s="9" t="str">
        <f>IFERROR(__xludf.DUMMYFUNCTION("""COMPUTED_VALUE"""),"https://www.google.com/search?newwindow=1&amp;ei=2MT0XrvGGM-vytMP1OyDgAY&amp;q=site%3Alinkedin.com+Margot+Johnston+Graduate+Recruitment+Officer+-+Oxford+University")</f>
        <v>https://www.google.com/search?newwindow=1&amp;ei=2MT0XrvGGM-vytMP1OyDgAY&amp;q=site%3Alinkedin.com+Margot+Johnston+Graduate+Recruitment+Officer+-+Oxford+University</v>
      </c>
      <c r="K826" s="5" t="str">
        <f t="shared" si="1"/>
        <v>Margot Johnston</v>
      </c>
      <c r="L826" s="5" t="str">
        <f t="shared" si="2"/>
        <v>Graduate Recruitment Officer - Oxford University</v>
      </c>
      <c r="M826" s="5" t="str">
        <f t="shared" si="3"/>
        <v/>
      </c>
      <c r="N826" s="5" t="str">
        <f t="shared" si="4"/>
        <v>Teach First</v>
      </c>
      <c r="O826" s="5" t="str">
        <f t="shared" si="5"/>
        <v/>
      </c>
      <c r="P826" s="5" t="str">
        <f t="shared" si="6"/>
        <v>London</v>
      </c>
      <c r="Q826" s="5" t="str">
        <f t="shared" si="7"/>
        <v>England</v>
      </c>
      <c r="R826" s="5" t="str">
        <f t="shared" si="8"/>
        <v>United Kingdom</v>
      </c>
    </row>
    <row r="827">
      <c r="A827" s="8" t="s">
        <v>6784</v>
      </c>
      <c r="B827" s="10" t="s">
        <v>6785</v>
      </c>
      <c r="C827" s="10" t="s">
        <v>6786</v>
      </c>
      <c r="D827" s="10"/>
      <c r="E827" s="10" t="s">
        <v>14</v>
      </c>
      <c r="F827" s="10" t="s">
        <v>48</v>
      </c>
      <c r="G827" s="11" t="s">
        <v>6577</v>
      </c>
      <c r="H827" s="11" t="s">
        <v>4757</v>
      </c>
      <c r="I827" s="11" t="s">
        <v>4607</v>
      </c>
      <c r="J827" s="9" t="str">
        <f>IFERROR(__xludf.DUMMYFUNCTION("""COMPUTED_VALUE"""),"https://www.google.com/search?newwindow=1&amp;ei=2MT0XrvGGM-vytMP1OyDgAY&amp;q=site%3Alinkedin.com+Lisa-Jane+Ryan+Graduate+Recruiter")</f>
        <v>https://www.google.com/search?newwindow=1&amp;ei=2MT0XrvGGM-vytMP1OyDgAY&amp;q=site%3Alinkedin.com+Lisa-Jane+Ryan+Graduate+Recruiter</v>
      </c>
      <c r="K827" s="5" t="str">
        <f t="shared" si="1"/>
        <v>Lisa-Jane Ryan</v>
      </c>
      <c r="L827" s="5" t="str">
        <f t="shared" si="2"/>
        <v>Graduate Recruiter</v>
      </c>
      <c r="M827" s="5" t="str">
        <f t="shared" si="3"/>
        <v/>
      </c>
      <c r="N827" s="5" t="str">
        <f t="shared" si="4"/>
        <v>Lehman Brothers</v>
      </c>
      <c r="O827" s="5" t="str">
        <f t="shared" si="5"/>
        <v/>
      </c>
      <c r="P827" s="5" t="str">
        <f t="shared" si="6"/>
        <v>London</v>
      </c>
      <c r="Q827" s="5" t="str">
        <f t="shared" si="7"/>
        <v>England</v>
      </c>
      <c r="R827" s="5" t="str">
        <f t="shared" si="8"/>
        <v>United Kingdom</v>
      </c>
    </row>
    <row r="828">
      <c r="A828" s="8" t="s">
        <v>6787</v>
      </c>
      <c r="B828" s="10" t="s">
        <v>4018</v>
      </c>
      <c r="C828" s="10" t="s">
        <v>5054</v>
      </c>
      <c r="D828" s="10"/>
      <c r="E828" s="10" t="s">
        <v>3389</v>
      </c>
      <c r="F828" s="10" t="s">
        <v>106</v>
      </c>
      <c r="G828" s="11" t="s">
        <v>6577</v>
      </c>
      <c r="H828" s="13" t="s">
        <v>4757</v>
      </c>
      <c r="I828" s="11" t="s">
        <v>4607</v>
      </c>
      <c r="J828" s="9" t="str">
        <f>IFERROR(__xludf.DUMMYFUNCTION("""COMPUTED_VALUE"""),"https://www.google.com/search?newwindow=1&amp;ei=2MT0XrvGGM-vytMP1OyDgAY&amp;q=site%3Alinkedin.com+natasha+salt+Recruiter")</f>
        <v>https://www.google.com/search?newwindow=1&amp;ei=2MT0XrvGGM-vytMP1OyDgAY&amp;q=site%3Alinkedin.com+natasha+salt+Recruiter</v>
      </c>
      <c r="K828" s="5" t="str">
        <f t="shared" si="1"/>
        <v>natasha salt</v>
      </c>
      <c r="L828" s="5" t="str">
        <f t="shared" si="2"/>
        <v>Recruiter</v>
      </c>
      <c r="M828" s="5" t="str">
        <f t="shared" si="3"/>
        <v/>
      </c>
      <c r="N828" s="5" t="str">
        <f t="shared" si="4"/>
        <v>RigManpower</v>
      </c>
      <c r="O828" s="5" t="str">
        <f t="shared" si="5"/>
        <v>3 years 7 months in role and company</v>
      </c>
      <c r="P828" s="5" t="str">
        <f t="shared" si="6"/>
        <v>London</v>
      </c>
      <c r="Q828" s="5" t="str">
        <f t="shared" si="7"/>
        <v>England</v>
      </c>
      <c r="R828" s="5" t="str">
        <f t="shared" si="8"/>
        <v>United Kingdom</v>
      </c>
    </row>
    <row r="829">
      <c r="A829" s="8" t="s">
        <v>6788</v>
      </c>
      <c r="B829" s="10" t="s">
        <v>6789</v>
      </c>
      <c r="C829" s="10" t="s">
        <v>6790</v>
      </c>
      <c r="D829" s="10"/>
      <c r="E829" s="10" t="s">
        <v>702</v>
      </c>
      <c r="F829" s="10" t="s">
        <v>1098</v>
      </c>
      <c r="G829" s="11" t="s">
        <v>6577</v>
      </c>
      <c r="H829" s="11" t="s">
        <v>4757</v>
      </c>
      <c r="I829" s="11" t="s">
        <v>4607</v>
      </c>
      <c r="J829" s="9" t="str">
        <f>IFERROR(__xludf.DUMMYFUNCTION("""COMPUTED_VALUE"""),"https://www.google.com/search?newwindow=1&amp;ei=2MT0XrvGGM-vytMP1OyDgAY&amp;q=site%3Alinkedin.com+Tanzim+Akhtar+Graduate+Recruiter")</f>
        <v>https://www.google.com/search?newwindow=1&amp;ei=2MT0XrvGGM-vytMP1OyDgAY&amp;q=site%3Alinkedin.com+Tanzim+Akhtar+Graduate+Recruiter</v>
      </c>
      <c r="K829" s="5" t="str">
        <f t="shared" si="1"/>
        <v>Tanzim Akhtar</v>
      </c>
      <c r="L829" s="5" t="str">
        <f t="shared" si="2"/>
        <v>Graduate Recruiter</v>
      </c>
      <c r="M829" s="5" t="str">
        <f t="shared" si="3"/>
        <v/>
      </c>
      <c r="N829" s="5" t="str">
        <f t="shared" si="4"/>
        <v>Michael Page</v>
      </c>
      <c r="O829" s="5" t="str">
        <f t="shared" si="5"/>
        <v/>
      </c>
      <c r="P829" s="5" t="str">
        <f t="shared" si="6"/>
        <v>London</v>
      </c>
      <c r="Q829" s="5" t="str">
        <f t="shared" si="7"/>
        <v>England</v>
      </c>
      <c r="R829" s="5" t="str">
        <f t="shared" si="8"/>
        <v>United Kingdom</v>
      </c>
    </row>
    <row r="830">
      <c r="A830" s="8" t="s">
        <v>6791</v>
      </c>
      <c r="B830" s="10" t="s">
        <v>6792</v>
      </c>
      <c r="C830" s="10" t="s">
        <v>5054</v>
      </c>
      <c r="D830" s="10"/>
      <c r="E830" s="10" t="s">
        <v>6793</v>
      </c>
      <c r="F830" s="10" t="s">
        <v>283</v>
      </c>
      <c r="G830" s="11" t="s">
        <v>6577</v>
      </c>
      <c r="H830" s="11" t="s">
        <v>4757</v>
      </c>
      <c r="I830" s="11" t="s">
        <v>4607</v>
      </c>
      <c r="J830" s="9" t="str">
        <f>IFERROR(__xludf.DUMMYFUNCTION("""COMPUTED_VALUE"""),"https://www.google.com/search?newwindow=1&amp;ei=2MT0XrvGGM-vytMP1OyDgAY&amp;q=site%3Alinkedin.com+Worldwide+Student+Services+Ltd+Student+Recruiter")</f>
        <v>https://www.google.com/search?newwindow=1&amp;ei=2MT0XrvGGM-vytMP1OyDgAY&amp;q=site%3Alinkedin.com+Worldwide+Student+Services+Ltd+Student+Recruiter</v>
      </c>
      <c r="K830" s="5" t="str">
        <f t="shared" si="1"/>
        <v>Worldwide Student Services Ltd</v>
      </c>
      <c r="L830" s="5" t="str">
        <f t="shared" si="2"/>
        <v>Student Recruiter</v>
      </c>
      <c r="M830" s="5" t="str">
        <f t="shared" si="3"/>
        <v/>
      </c>
      <c r="N830" s="5" t="str">
        <f t="shared" si="4"/>
        <v>Worldwide Student Services</v>
      </c>
      <c r="O830" s="5" t="str">
        <f t="shared" si="5"/>
        <v>7 years 1 month in role and company</v>
      </c>
      <c r="P830" s="5" t="str">
        <f t="shared" si="6"/>
        <v>London</v>
      </c>
      <c r="Q830" s="5" t="str">
        <f t="shared" si="7"/>
        <v>England</v>
      </c>
      <c r="R830" s="5" t="str">
        <f t="shared" si="8"/>
        <v>United Kingdom</v>
      </c>
    </row>
    <row r="831">
      <c r="A831" s="8" t="s">
        <v>6794</v>
      </c>
      <c r="B831" s="12" t="s">
        <v>6795</v>
      </c>
      <c r="C831" s="10" t="s">
        <v>6796</v>
      </c>
      <c r="D831" s="10"/>
      <c r="E831" s="10" t="s">
        <v>4953</v>
      </c>
      <c r="F831" s="10" t="s">
        <v>574</v>
      </c>
      <c r="G831" s="11" t="s">
        <v>6577</v>
      </c>
      <c r="H831" s="11" t="s">
        <v>4757</v>
      </c>
      <c r="I831" s="11" t="s">
        <v>4607</v>
      </c>
      <c r="J831" s="9" t="str">
        <f>IFERROR(__xludf.DUMMYFUNCTION("""COMPUTED_VALUE"""),"https://www.google.com/search?newwindow=1&amp;ei=2MT0XrvGGM-vytMP1OyDgAY&amp;q=site%3Alinkedin.com+Jo+Brady+")</f>
        <v>https://www.google.com/search?newwindow=1&amp;ei=2MT0XrvGGM-vytMP1OyDgAY&amp;q=site%3Alinkedin.com+Jo+Brady+</v>
      </c>
      <c r="K831" s="5" t="str">
        <f t="shared" si="1"/>
        <v>Jo Brady</v>
      </c>
      <c r="L831" s="5" t="str">
        <f t="shared" si="2"/>
        <v/>
      </c>
      <c r="M831" s="5" t="str">
        <f t="shared" si="3"/>
        <v/>
      </c>
      <c r="N831" s="5" t="str">
        <f t="shared" si="4"/>
        <v/>
      </c>
      <c r="O831" s="5" t="str">
        <f t="shared" si="5"/>
        <v/>
      </c>
      <c r="P831" s="5" t="str">
        <f t="shared" si="6"/>
        <v>London</v>
      </c>
      <c r="Q831" s="5" t="str">
        <f t="shared" si="7"/>
        <v>England</v>
      </c>
      <c r="R831" s="5" t="str">
        <f t="shared" si="8"/>
        <v>United Kingdom</v>
      </c>
    </row>
    <row r="832">
      <c r="A832" s="8" t="s">
        <v>6797</v>
      </c>
      <c r="B832" s="12" t="s">
        <v>6798</v>
      </c>
      <c r="C832" s="10" t="s">
        <v>6799</v>
      </c>
      <c r="D832" s="10"/>
      <c r="E832" s="10" t="s">
        <v>6615</v>
      </c>
      <c r="F832" s="10" t="s">
        <v>832</v>
      </c>
      <c r="G832" s="11" t="s">
        <v>6577</v>
      </c>
      <c r="H832" s="11" t="s">
        <v>4757</v>
      </c>
      <c r="I832" s="11" t="s">
        <v>4607</v>
      </c>
      <c r="J832" s="9" t="str">
        <f>IFERROR(__xludf.DUMMYFUNCTION("""COMPUTED_VALUE"""),"https://www.google.com/search?newwindow=1&amp;ei=2MT0XrvGGM-vytMP1OyDgAY&amp;q=site%3Alinkedin.com+Jocelyn+Ross+Graduate+Recruiter")</f>
        <v>https://www.google.com/search?newwindow=1&amp;ei=2MT0XrvGGM-vytMP1OyDgAY&amp;q=site%3Alinkedin.com+Jocelyn+Ross+Graduate+Recruiter</v>
      </c>
      <c r="K832" s="5" t="str">
        <f t="shared" si="1"/>
        <v>Jocelyn Ross</v>
      </c>
      <c r="L832" s="5" t="str">
        <f t="shared" si="2"/>
        <v>Graduate Recruiter</v>
      </c>
      <c r="M832" s="5" t="str">
        <f t="shared" si="3"/>
        <v/>
      </c>
      <c r="N832" s="5" t="str">
        <f t="shared" si="4"/>
        <v>Lyon Recruits</v>
      </c>
      <c r="O832" s="5" t="str">
        <f t="shared" si="5"/>
        <v/>
      </c>
      <c r="P832" s="5" t="str">
        <f t="shared" si="6"/>
        <v>London</v>
      </c>
      <c r="Q832" s="5" t="str">
        <f t="shared" si="7"/>
        <v>England</v>
      </c>
      <c r="R832" s="5" t="str">
        <f t="shared" si="8"/>
        <v>United Kingdom</v>
      </c>
    </row>
    <row r="833">
      <c r="A833" s="8" t="s">
        <v>6800</v>
      </c>
      <c r="B833" s="12" t="s">
        <v>6801</v>
      </c>
      <c r="C833" s="10" t="s">
        <v>5054</v>
      </c>
      <c r="D833" s="10"/>
      <c r="E833" s="10" t="s">
        <v>4632</v>
      </c>
      <c r="F833" s="10" t="s">
        <v>136</v>
      </c>
      <c r="G833" s="11" t="s">
        <v>6577</v>
      </c>
      <c r="H833" s="11" t="s">
        <v>4757</v>
      </c>
      <c r="I833" s="11" t="s">
        <v>4607</v>
      </c>
      <c r="J833" s="9" t="str">
        <f>IFERROR(__xludf.DUMMYFUNCTION("""COMPUTED_VALUE"""),"https://www.google.com/search?newwindow=1&amp;ei=2MT0XrvGGM-vytMP1OyDgAY&amp;q=site%3Alinkedin.com+Shabaz+Ahmad+Student+Recruiter")</f>
        <v>https://www.google.com/search?newwindow=1&amp;ei=2MT0XrvGGM-vytMP1OyDgAY&amp;q=site%3Alinkedin.com+Shabaz+Ahmad+Student+Recruiter</v>
      </c>
      <c r="K833" s="5" t="str">
        <f t="shared" si="1"/>
        <v>Shabaz Ahmad</v>
      </c>
      <c r="L833" s="5" t="str">
        <f t="shared" si="2"/>
        <v>Student Recruiter</v>
      </c>
      <c r="M833" s="5" t="str">
        <f t="shared" si="3"/>
        <v/>
      </c>
      <c r="N833" s="5" t="str">
        <f t="shared" si="4"/>
        <v>Global Connect</v>
      </c>
      <c r="O833" s="5" t="str">
        <f t="shared" si="5"/>
        <v/>
      </c>
      <c r="P833" s="5" t="str">
        <f t="shared" si="6"/>
        <v>London</v>
      </c>
      <c r="Q833" s="5" t="str">
        <f t="shared" si="7"/>
        <v>England</v>
      </c>
      <c r="R833" s="5" t="str">
        <f t="shared" si="8"/>
        <v>United Kingdom</v>
      </c>
    </row>
    <row r="834">
      <c r="A834" s="8" t="s">
        <v>6802</v>
      </c>
      <c r="B834" s="12" t="s">
        <v>6803</v>
      </c>
      <c r="C834" s="10" t="s">
        <v>6804</v>
      </c>
      <c r="D834" s="10"/>
      <c r="E834" s="10" t="s">
        <v>1064</v>
      </c>
      <c r="F834" s="10" t="s">
        <v>3110</v>
      </c>
      <c r="G834" s="11" t="s">
        <v>6577</v>
      </c>
      <c r="H834" s="11" t="s">
        <v>4757</v>
      </c>
      <c r="I834" s="11" t="s">
        <v>4607</v>
      </c>
      <c r="J834" s="9" t="str">
        <f>IFERROR(__xludf.DUMMYFUNCTION("""COMPUTED_VALUE"""),"https://www.google.com/search?newwindow=1&amp;ei=2MT0XrvGGM-vytMP1OyDgAY&amp;q=site%3Alinkedin.com+Zaineb+Javed+Student+Recruiter")</f>
        <v>https://www.google.com/search?newwindow=1&amp;ei=2MT0XrvGGM-vytMP1OyDgAY&amp;q=site%3Alinkedin.com+Zaineb+Javed+Student+Recruiter</v>
      </c>
      <c r="K834" s="5" t="str">
        <f t="shared" si="1"/>
        <v>Zaineb Javed</v>
      </c>
      <c r="L834" s="5" t="str">
        <f t="shared" si="2"/>
        <v>Student Recruiter</v>
      </c>
      <c r="M834" s="5" t="str">
        <f t="shared" si="3"/>
        <v/>
      </c>
      <c r="N834" s="5" t="str">
        <f t="shared" si="4"/>
        <v>Learning 2 Learn</v>
      </c>
      <c r="O834" s="5" t="str">
        <f t="shared" si="5"/>
        <v/>
      </c>
      <c r="P834" s="5" t="str">
        <f t="shared" si="6"/>
        <v>London</v>
      </c>
      <c r="Q834" s="5" t="str">
        <f t="shared" si="7"/>
        <v>England</v>
      </c>
      <c r="R834" s="5" t="str">
        <f t="shared" si="8"/>
        <v>United Kingdom</v>
      </c>
    </row>
    <row r="835">
      <c r="A835" s="8" t="s">
        <v>6805</v>
      </c>
      <c r="B835" s="10" t="s">
        <v>6806</v>
      </c>
      <c r="C835" s="10" t="s">
        <v>6807</v>
      </c>
      <c r="D835" s="10"/>
      <c r="E835" s="10" t="s">
        <v>3208</v>
      </c>
      <c r="F835" s="10" t="s">
        <v>822</v>
      </c>
      <c r="G835" s="11" t="s">
        <v>6577</v>
      </c>
      <c r="H835" s="11" t="s">
        <v>4757</v>
      </c>
      <c r="I835" s="11" t="s">
        <v>4607</v>
      </c>
      <c r="J835" s="9" t="str">
        <f>IFERROR(__xludf.DUMMYFUNCTION("""COMPUTED_VALUE"""),"https://www.google.com/search?newwindow=1&amp;ei=2MT0XrvGGM-vytMP1OyDgAY&amp;q=site%3Alinkedin.com+Zulfu+Aslanli+student+recruiter")</f>
        <v>https://www.google.com/search?newwindow=1&amp;ei=2MT0XrvGGM-vytMP1OyDgAY&amp;q=site%3Alinkedin.com+Zulfu+Aslanli+student+recruiter</v>
      </c>
      <c r="K835" s="5" t="str">
        <f t="shared" si="1"/>
        <v>Zulfu Aslanli</v>
      </c>
      <c r="L835" s="5" t="str">
        <f t="shared" si="2"/>
        <v>student recruiter</v>
      </c>
      <c r="M835" s="5" t="str">
        <f t="shared" si="3"/>
        <v/>
      </c>
      <c r="N835" s="5" t="str">
        <f t="shared" si="4"/>
        <v>Hult International Business School</v>
      </c>
      <c r="O835" s="5" t="str">
        <f t="shared" si="5"/>
        <v/>
      </c>
      <c r="P835" s="5" t="str">
        <f t="shared" si="6"/>
        <v>London</v>
      </c>
      <c r="Q835" s="5" t="str">
        <f t="shared" si="7"/>
        <v>England</v>
      </c>
      <c r="R835" s="5" t="str">
        <f t="shared" si="8"/>
        <v>United Kingdom</v>
      </c>
    </row>
    <row r="836">
      <c r="A836" s="8" t="s">
        <v>6808</v>
      </c>
      <c r="B836" s="12" t="s">
        <v>6809</v>
      </c>
      <c r="C836" s="10" t="s">
        <v>6810</v>
      </c>
      <c r="D836" s="10"/>
      <c r="E836" s="10" t="s">
        <v>4611</v>
      </c>
      <c r="F836" s="10" t="s">
        <v>387</v>
      </c>
      <c r="G836" s="11" t="s">
        <v>6577</v>
      </c>
      <c r="H836" s="11" t="s">
        <v>4757</v>
      </c>
      <c r="I836" s="11" t="s">
        <v>4607</v>
      </c>
      <c r="J836" s="9" t="str">
        <f>IFERROR(__xludf.DUMMYFUNCTION("""COMPUTED_VALUE"""),"https://www.google.com/search?newwindow=1&amp;ei=2MT0XrvGGM-vytMP1OyDgAY&amp;q=site%3Alinkedin.com+Adz+Saleh+student+recruiter")</f>
        <v>https://www.google.com/search?newwindow=1&amp;ei=2MT0XrvGGM-vytMP1OyDgAY&amp;q=site%3Alinkedin.com+Adz+Saleh+student+recruiter</v>
      </c>
      <c r="K836" s="5" t="str">
        <f t="shared" si="1"/>
        <v>Adz Saleh</v>
      </c>
      <c r="L836" s="5" t="str">
        <f t="shared" si="2"/>
        <v>student recruiter</v>
      </c>
      <c r="M836" s="5" t="str">
        <f t="shared" si="3"/>
        <v/>
      </c>
      <c r="N836" s="5" t="str">
        <f t="shared" si="4"/>
        <v>east london school of english</v>
      </c>
      <c r="O836" s="5" t="str">
        <f t="shared" si="5"/>
        <v/>
      </c>
      <c r="P836" s="5" t="str">
        <f t="shared" si="6"/>
        <v>London</v>
      </c>
      <c r="Q836" s="5" t="str">
        <f t="shared" si="7"/>
        <v>England</v>
      </c>
      <c r="R836" s="5" t="str">
        <f t="shared" si="8"/>
        <v>United Kingdom</v>
      </c>
    </row>
    <row r="837">
      <c r="A837" s="8" t="s">
        <v>6811</v>
      </c>
      <c r="B837" s="12" t="s">
        <v>6812</v>
      </c>
      <c r="C837" s="10" t="s">
        <v>5054</v>
      </c>
      <c r="D837" s="10"/>
      <c r="E837" s="10" t="s">
        <v>6595</v>
      </c>
      <c r="F837" s="10" t="s">
        <v>144</v>
      </c>
      <c r="G837" s="11" t="s">
        <v>6577</v>
      </c>
      <c r="H837" s="11" t="s">
        <v>4757</v>
      </c>
      <c r="I837" s="11" t="s">
        <v>4607</v>
      </c>
      <c r="J837" s="9" t="str">
        <f>IFERROR(__xludf.DUMMYFUNCTION("""COMPUTED_VALUE"""),"https://www.google.com/search?newwindow=1&amp;ei=2MT0XrvGGM-vytMP1OyDgAY&amp;q=site%3Alinkedin.com+Denise+Y.+Graduate+Recruiter")</f>
        <v>https://www.google.com/search?newwindow=1&amp;ei=2MT0XrvGGM-vytMP1OyDgAY&amp;q=site%3Alinkedin.com+Denise+Y.+Graduate+Recruiter</v>
      </c>
      <c r="K837" s="5" t="str">
        <f t="shared" si="1"/>
        <v>Denise Y.</v>
      </c>
      <c r="L837" s="5" t="str">
        <f t="shared" si="2"/>
        <v>Graduate Recruiter</v>
      </c>
      <c r="M837" s="5" t="str">
        <f t="shared" si="3"/>
        <v/>
      </c>
      <c r="N837" s="5" t="str">
        <f t="shared" si="4"/>
        <v>Freelance</v>
      </c>
      <c r="O837" s="5" t="str">
        <f t="shared" si="5"/>
        <v/>
      </c>
      <c r="P837" s="5" t="str">
        <f t="shared" si="6"/>
        <v>London</v>
      </c>
      <c r="Q837" s="5" t="str">
        <f t="shared" si="7"/>
        <v>England</v>
      </c>
      <c r="R837" s="5" t="str">
        <f t="shared" si="8"/>
        <v>United Kingdom</v>
      </c>
    </row>
    <row r="838">
      <c r="A838" s="8" t="s">
        <v>6813</v>
      </c>
      <c r="B838" s="10" t="s">
        <v>6814</v>
      </c>
      <c r="C838" s="10" t="s">
        <v>6635</v>
      </c>
      <c r="D838" s="10"/>
      <c r="E838" s="10" t="s">
        <v>702</v>
      </c>
      <c r="F838" s="10" t="s">
        <v>399</v>
      </c>
      <c r="G838" s="11" t="s">
        <v>6577</v>
      </c>
      <c r="H838" s="11" t="s">
        <v>4757</v>
      </c>
      <c r="I838" s="11" t="s">
        <v>4607</v>
      </c>
      <c r="J838" s="9" t="str">
        <f>IFERROR(__xludf.DUMMYFUNCTION("""COMPUTED_VALUE"""),"https://www.google.com/search?newwindow=1&amp;ei=2MT0XrvGGM-vytMP1OyDgAY&amp;q=site%3Alinkedin.com+Emily+Newton+Campus+Recruiting+Associate")</f>
        <v>https://www.google.com/search?newwindow=1&amp;ei=2MT0XrvGGM-vytMP1OyDgAY&amp;q=site%3Alinkedin.com+Emily+Newton+Campus+Recruiting+Associate</v>
      </c>
      <c r="K838" s="5" t="str">
        <f t="shared" si="1"/>
        <v>Emily Newton</v>
      </c>
      <c r="L838" s="5" t="str">
        <f t="shared" si="2"/>
        <v>Campus Recruiting Associate</v>
      </c>
      <c r="M838" s="5" t="str">
        <f t="shared" si="3"/>
        <v/>
      </c>
      <c r="N838" s="5" t="str">
        <f t="shared" si="4"/>
        <v>PwC</v>
      </c>
      <c r="O838" s="5" t="str">
        <f t="shared" si="5"/>
        <v>2 years 3 months in role and company</v>
      </c>
      <c r="P838" s="5" t="str">
        <f t="shared" si="6"/>
        <v>Los Angeles</v>
      </c>
      <c r="Q838" s="5" t="str">
        <f t="shared" si="7"/>
        <v>California</v>
      </c>
      <c r="R838" s="5" t="str">
        <f t="shared" si="8"/>
        <v>United States</v>
      </c>
    </row>
    <row r="839">
      <c r="A839" s="8" t="s">
        <v>6815</v>
      </c>
      <c r="B839" s="12" t="s">
        <v>6816</v>
      </c>
      <c r="C839" s="10" t="s">
        <v>6817</v>
      </c>
      <c r="D839" s="10"/>
      <c r="E839" s="10" t="s">
        <v>227</v>
      </c>
      <c r="F839" s="10" t="s">
        <v>727</v>
      </c>
      <c r="G839" s="11" t="s">
        <v>6577</v>
      </c>
      <c r="H839" s="11" t="s">
        <v>4757</v>
      </c>
      <c r="I839" s="11" t="s">
        <v>4607</v>
      </c>
      <c r="J839" s="9" t="str">
        <f>IFERROR(__xludf.DUMMYFUNCTION("""COMPUTED_VALUE"""),"https://www.google.com/search?newwindow=1&amp;ei=2MT0XrvGGM-vytMP1OyDgAY&amp;q=site%3Alinkedin.com+Divya+Shenoy+Campus+Recruiting+Manager")</f>
        <v>https://www.google.com/search?newwindow=1&amp;ei=2MT0XrvGGM-vytMP1OyDgAY&amp;q=site%3Alinkedin.com+Divya+Shenoy+Campus+Recruiting+Manager</v>
      </c>
      <c r="K839" s="5" t="str">
        <f t="shared" si="1"/>
        <v>Divya Shenoy</v>
      </c>
      <c r="L839" s="5" t="str">
        <f t="shared" si="2"/>
        <v>Campus Recruiting Manager</v>
      </c>
      <c r="M839" s="5" t="str">
        <f t="shared" si="3"/>
        <v/>
      </c>
      <c r="N839" s="5" t="str">
        <f t="shared" si="4"/>
        <v>Deloitte</v>
      </c>
      <c r="O839" s="5" t="str">
        <f t="shared" si="5"/>
        <v>1 year 2 months in role</v>
      </c>
      <c r="P839" s="5" t="str">
        <f t="shared" si="6"/>
        <v>Los Angeles</v>
      </c>
      <c r="Q839" s="5" t="str">
        <f t="shared" si="7"/>
        <v>California</v>
      </c>
      <c r="R839" s="5" t="str">
        <f t="shared" si="8"/>
        <v>United States</v>
      </c>
    </row>
    <row r="840">
      <c r="A840" s="8" t="s">
        <v>6818</v>
      </c>
      <c r="B840" s="10" t="s">
        <v>6819</v>
      </c>
      <c r="C840" s="10" t="s">
        <v>6820</v>
      </c>
      <c r="D840" s="10"/>
      <c r="E840" s="10" t="s">
        <v>702</v>
      </c>
      <c r="F840" s="10" t="s">
        <v>207</v>
      </c>
      <c r="G840" s="11" t="s">
        <v>6577</v>
      </c>
      <c r="H840" s="11" t="s">
        <v>4757</v>
      </c>
      <c r="I840" s="11" t="s">
        <v>4607</v>
      </c>
      <c r="J840" s="9" t="str">
        <f>IFERROR(__xludf.DUMMYFUNCTION("""COMPUTED_VALUE"""),"https://www.google.com/search?newwindow=1&amp;ei=2MT0XrvGGM-vytMP1OyDgAY&amp;q=site%3Alinkedin.com+Yasamin+Yeganeh+Campus+Recruiting+Specialist")</f>
        <v>https://www.google.com/search?newwindow=1&amp;ei=2MT0XrvGGM-vytMP1OyDgAY&amp;q=site%3Alinkedin.com+Yasamin+Yeganeh+Campus+Recruiting+Specialist</v>
      </c>
      <c r="K840" s="5" t="str">
        <f t="shared" si="1"/>
        <v>Yasamin Yeganeh</v>
      </c>
      <c r="L840" s="5" t="str">
        <f t="shared" si="2"/>
        <v>Campus Recruiting Specialist</v>
      </c>
      <c r="M840" s="5" t="str">
        <f t="shared" si="3"/>
        <v/>
      </c>
      <c r="N840" s="5" t="str">
        <f t="shared" si="4"/>
        <v>Deloitte</v>
      </c>
      <c r="O840" s="5" t="str">
        <f t="shared" si="5"/>
        <v>1 year 3 months in role and company</v>
      </c>
      <c r="P840" s="5" t="str">
        <f t="shared" si="6"/>
        <v>Los Angeles</v>
      </c>
      <c r="Q840" s="5" t="str">
        <f t="shared" si="7"/>
        <v>California</v>
      </c>
      <c r="R840" s="5" t="str">
        <f t="shared" si="8"/>
        <v>United States</v>
      </c>
    </row>
    <row r="841">
      <c r="A841" s="8" t="s">
        <v>6821</v>
      </c>
      <c r="B841" s="12" t="s">
        <v>6822</v>
      </c>
      <c r="C841" s="10" t="s">
        <v>6823</v>
      </c>
      <c r="D841" s="10"/>
      <c r="E841" s="10" t="s">
        <v>1043</v>
      </c>
      <c r="F841" s="10" t="s">
        <v>100</v>
      </c>
      <c r="G841" s="11" t="s">
        <v>6577</v>
      </c>
      <c r="H841" s="11" t="s">
        <v>4757</v>
      </c>
      <c r="I841" s="11" t="s">
        <v>4607</v>
      </c>
      <c r="J841" s="9" t="str">
        <f>IFERROR(__xludf.DUMMYFUNCTION("""COMPUTED_VALUE"""),"https://www.google.com/search?newwindow=1&amp;ei=2MT0XrvGGM-vytMP1OyDgAY&amp;q=site%3Alinkedin.com+Rosie+Boyland+Senior+Campus+Recruiting+Specialist")</f>
        <v>https://www.google.com/search?newwindow=1&amp;ei=2MT0XrvGGM-vytMP1OyDgAY&amp;q=site%3Alinkedin.com+Rosie+Boyland+Senior+Campus+Recruiting+Specialist</v>
      </c>
      <c r="K841" s="5" t="str">
        <f t="shared" si="1"/>
        <v>Rosie Boyland</v>
      </c>
      <c r="L841" s="5" t="str">
        <f t="shared" si="2"/>
        <v>Senior Campus Recruiting Specialist</v>
      </c>
      <c r="M841" s="5" t="str">
        <f t="shared" si="3"/>
        <v/>
      </c>
      <c r="N841" s="5" t="str">
        <f t="shared" si="4"/>
        <v>Deloitte</v>
      </c>
      <c r="O841" s="5" t="str">
        <f t="shared" si="5"/>
        <v>3 months in role</v>
      </c>
      <c r="P841" s="5" t="str">
        <f t="shared" si="6"/>
        <v>Los Angeles</v>
      </c>
      <c r="Q841" s="5" t="str">
        <f t="shared" si="7"/>
        <v>California</v>
      </c>
      <c r="R841" s="5" t="str">
        <f t="shared" si="8"/>
        <v>United States</v>
      </c>
    </row>
    <row r="842">
      <c r="A842" s="8" t="s">
        <v>6824</v>
      </c>
      <c r="B842" s="12" t="s">
        <v>6825</v>
      </c>
      <c r="C842" s="10" t="s">
        <v>6826</v>
      </c>
      <c r="D842" s="10"/>
      <c r="E842" s="10" t="s">
        <v>6827</v>
      </c>
      <c r="F842" s="10" t="s">
        <v>144</v>
      </c>
      <c r="G842" s="11" t="s">
        <v>6577</v>
      </c>
      <c r="H842" s="11" t="s">
        <v>4757</v>
      </c>
      <c r="I842" s="11" t="s">
        <v>4607</v>
      </c>
      <c r="J842" s="9" t="str">
        <f>IFERROR(__xludf.DUMMYFUNCTION("""COMPUTED_VALUE"""),"https://www.google.com/search?newwindow=1&amp;ei=2MT0XrvGGM-vytMP1OyDgAY&amp;q=site%3Alinkedin.com+Maddie+Mohr+Senior+Campus+Recruiting+Associate,+Talent+Attraction+and+Acquisition")</f>
        <v>https://www.google.com/search?newwindow=1&amp;ei=2MT0XrvGGM-vytMP1OyDgAY&amp;q=site%3Alinkedin.com+Maddie+Mohr+Senior+Campus+Recruiting+Associate,+Talent+Attraction+and+Acquisition</v>
      </c>
      <c r="K842" s="5" t="str">
        <f t="shared" si="1"/>
        <v>Maddie Mohr</v>
      </c>
      <c r="L842" s="5" t="str">
        <f t="shared" si="2"/>
        <v>Senior Campus Recruiting Associate, Talent Attraction and Acquisition</v>
      </c>
      <c r="M842" s="5" t="str">
        <f t="shared" si="3"/>
        <v/>
      </c>
      <c r="N842" s="5" t="str">
        <f t="shared" si="4"/>
        <v>EY</v>
      </c>
      <c r="O842" s="5" t="str">
        <f t="shared" si="5"/>
        <v>1 year 7 months in role and company</v>
      </c>
      <c r="P842" s="5" t="str">
        <f t="shared" si="6"/>
        <v>Los Angeles</v>
      </c>
      <c r="Q842" s="5" t="str">
        <f t="shared" si="7"/>
        <v>California</v>
      </c>
      <c r="R842" s="5" t="str">
        <f t="shared" si="8"/>
        <v>United States</v>
      </c>
    </row>
    <row r="843">
      <c r="A843" s="8" t="s">
        <v>6828</v>
      </c>
      <c r="B843" s="10" t="s">
        <v>6829</v>
      </c>
      <c r="C843" s="10" t="s">
        <v>6830</v>
      </c>
      <c r="D843" s="14" t="s">
        <v>4</v>
      </c>
      <c r="E843" s="10" t="s">
        <v>227</v>
      </c>
      <c r="F843" s="10" t="s">
        <v>222</v>
      </c>
      <c r="G843" s="11" t="s">
        <v>6577</v>
      </c>
      <c r="H843" s="11" t="s">
        <v>4757</v>
      </c>
      <c r="I843" s="11" t="s">
        <v>4607</v>
      </c>
      <c r="J843" s="9" t="str">
        <f>IFERROR(__xludf.DUMMYFUNCTION("""COMPUTED_VALUE"""),"https://www.google.com/search?newwindow=1&amp;ei=2MT0XrvGGM-vytMP1OyDgAY&amp;q=site%3Alinkedin.com+Yesenia+Turcios+Campus+Recruiting+Coordinator+-+Financial+Services+Organization")</f>
        <v>https://www.google.com/search?newwindow=1&amp;ei=2MT0XrvGGM-vytMP1OyDgAY&amp;q=site%3Alinkedin.com+Yesenia+Turcios+Campus+Recruiting+Coordinator+-+Financial+Services+Organization</v>
      </c>
      <c r="K843" s="5" t="str">
        <f t="shared" si="1"/>
        <v>Yesenia Turcios</v>
      </c>
      <c r="L843" s="5" t="str">
        <f t="shared" si="2"/>
        <v>Campus Recruiting Coordinator - Financial Services Organization</v>
      </c>
      <c r="M843" s="5" t="str">
        <f t="shared" si="3"/>
        <v/>
      </c>
      <c r="N843" s="5" t="str">
        <f t="shared" si="4"/>
        <v>EY</v>
      </c>
      <c r="O843" s="5" t="str">
        <f t="shared" si="5"/>
        <v>1 year 8 months in role</v>
      </c>
      <c r="P843" s="5" t="str">
        <f t="shared" si="6"/>
        <v>Los Angeles</v>
      </c>
      <c r="Q843" s="5" t="str">
        <f t="shared" si="7"/>
        <v>California</v>
      </c>
      <c r="R843" s="5" t="str">
        <f t="shared" si="8"/>
        <v>United States</v>
      </c>
    </row>
    <row r="844">
      <c r="A844" s="8" t="s">
        <v>6831</v>
      </c>
      <c r="B844" s="10" t="s">
        <v>6832</v>
      </c>
      <c r="C844" s="10" t="s">
        <v>6833</v>
      </c>
      <c r="D844" s="10"/>
      <c r="E844" s="10" t="s">
        <v>6736</v>
      </c>
      <c r="F844" s="10" t="s">
        <v>579</v>
      </c>
      <c r="G844" s="11" t="s">
        <v>6577</v>
      </c>
      <c r="H844" s="11" t="s">
        <v>4757</v>
      </c>
      <c r="I844" s="11" t="s">
        <v>4607</v>
      </c>
      <c r="J844" s="9" t="str">
        <f>IFERROR(__xludf.DUMMYFUNCTION("""COMPUTED_VALUE"""),"https://www.google.com/search?newwindow=1&amp;ei=2MT0XrvGGM-vytMP1OyDgAY&amp;q=site%3Alinkedin.com+Jennifer+Cohen,+PHR+Campus+Recruiting+Manager")</f>
        <v>https://www.google.com/search?newwindow=1&amp;ei=2MT0XrvGGM-vytMP1OyDgAY&amp;q=site%3Alinkedin.com+Jennifer+Cohen,+PHR+Campus+Recruiting+Manager</v>
      </c>
      <c r="K844" s="5" t="str">
        <f t="shared" si="1"/>
        <v>Jennifer Cohen, PHR</v>
      </c>
      <c r="L844" s="5" t="str">
        <f t="shared" si="2"/>
        <v>Campus Recruiting Manager</v>
      </c>
      <c r="M844" s="5" t="str">
        <f t="shared" si="3"/>
        <v/>
      </c>
      <c r="N844" s="5" t="str">
        <f t="shared" si="4"/>
        <v>Deloitte</v>
      </c>
      <c r="O844" s="5" t="str">
        <f t="shared" si="5"/>
        <v>5 years 8 months in role</v>
      </c>
      <c r="P844" s="5" t="str">
        <f t="shared" si="6"/>
        <v>Los Angeles</v>
      </c>
      <c r="Q844" s="5" t="str">
        <f t="shared" si="7"/>
        <v>California</v>
      </c>
      <c r="R844" s="5" t="str">
        <f t="shared" si="8"/>
        <v>United States</v>
      </c>
    </row>
    <row r="845">
      <c r="A845" s="8" t="s">
        <v>6834</v>
      </c>
      <c r="B845" s="10" t="s">
        <v>6835</v>
      </c>
      <c r="C845" s="10" t="s">
        <v>6836</v>
      </c>
      <c r="D845" s="10"/>
      <c r="E845" s="10" t="s">
        <v>1908</v>
      </c>
      <c r="F845" s="10" t="s">
        <v>36</v>
      </c>
      <c r="G845" s="11" t="s">
        <v>6577</v>
      </c>
      <c r="H845" s="13" t="s">
        <v>4757</v>
      </c>
      <c r="I845" s="11" t="s">
        <v>4607</v>
      </c>
      <c r="J845" s="9" t="str">
        <f>IFERROR(__xludf.DUMMYFUNCTION("""COMPUTED_VALUE"""),"https://www.google.com/search?newwindow=1&amp;ei=2MT0XrvGGM-vytMP1OyDgAY&amp;q=site%3Alinkedin.com+Brittany+Cicmanec+Campus+Recruiting+Coordinator+-+Audit,+Tax,+and+Advisory")</f>
        <v>https://www.google.com/search?newwindow=1&amp;ei=2MT0XrvGGM-vytMP1OyDgAY&amp;q=site%3Alinkedin.com+Brittany+Cicmanec+Campus+Recruiting+Coordinator+-+Audit,+Tax,+and+Advisory</v>
      </c>
      <c r="K845" s="5" t="str">
        <f t="shared" si="1"/>
        <v>Brittany Cicmanec</v>
      </c>
      <c r="L845" s="5" t="str">
        <f t="shared" si="2"/>
        <v>Campus Recruiting Coordinator - Audit, Tax, and Advisory</v>
      </c>
      <c r="M845" s="5" t="str">
        <f t="shared" si="3"/>
        <v/>
      </c>
      <c r="N845" s="5" t="str">
        <f t="shared" si="4"/>
        <v>Deloitte</v>
      </c>
      <c r="O845" s="5" t="str">
        <f t="shared" si="5"/>
        <v>2 months in role</v>
      </c>
      <c r="P845" s="5" t="str">
        <f t="shared" si="6"/>
        <v>Los Angeles</v>
      </c>
      <c r="Q845" s="5" t="str">
        <f t="shared" si="7"/>
        <v>California</v>
      </c>
      <c r="R845" s="5" t="str">
        <f t="shared" si="8"/>
        <v>United States</v>
      </c>
    </row>
    <row r="846">
      <c r="A846" s="8" t="s">
        <v>6837</v>
      </c>
      <c r="B846" s="10" t="s">
        <v>6838</v>
      </c>
      <c r="C846" s="10" t="s">
        <v>25</v>
      </c>
      <c r="D846" s="10"/>
      <c r="E846" s="10" t="s">
        <v>3595</v>
      </c>
      <c r="F846" s="10" t="s">
        <v>131</v>
      </c>
      <c r="G846" s="11" t="s">
        <v>6577</v>
      </c>
      <c r="H846" s="11" t="s">
        <v>4757</v>
      </c>
      <c r="I846" s="11" t="s">
        <v>4607</v>
      </c>
      <c r="J846" s="9" t="str">
        <f>IFERROR(__xludf.DUMMYFUNCTION("""COMPUTED_VALUE"""),"https://www.google.com/search?newwindow=1&amp;ei=2MT0XrvGGM-vytMP1OyDgAY&amp;q=site%3Alinkedin.com+Keilyn+Robinson,+MSW+Campus+Recruiting+Coordinator")</f>
        <v>https://www.google.com/search?newwindow=1&amp;ei=2MT0XrvGGM-vytMP1OyDgAY&amp;q=site%3Alinkedin.com+Keilyn+Robinson,+MSW+Campus+Recruiting+Coordinator</v>
      </c>
      <c r="K846" s="5" t="str">
        <f t="shared" si="1"/>
        <v>Keilyn Robinson, MSW</v>
      </c>
      <c r="L846" s="5" t="str">
        <f t="shared" si="2"/>
        <v>Campus Recruiting Coordinator</v>
      </c>
      <c r="M846" s="5" t="str">
        <f t="shared" si="3"/>
        <v/>
      </c>
      <c r="N846" s="5" t="str">
        <f t="shared" si="4"/>
        <v>EY</v>
      </c>
      <c r="O846" s="5" t="str">
        <f t="shared" si="5"/>
        <v>1 year 1 month in role and company</v>
      </c>
      <c r="P846" s="5" t="str">
        <f t="shared" si="6"/>
        <v>Los Angeles</v>
      </c>
      <c r="Q846" s="5" t="str">
        <f t="shared" si="7"/>
        <v>California</v>
      </c>
      <c r="R846" s="5" t="str">
        <f t="shared" si="8"/>
        <v>United States</v>
      </c>
    </row>
    <row r="847">
      <c r="A847" s="8" t="s">
        <v>6839</v>
      </c>
      <c r="B847" s="10" t="s">
        <v>6840</v>
      </c>
      <c r="C847" s="10" t="s">
        <v>6841</v>
      </c>
      <c r="D847" s="10"/>
      <c r="E847" s="10" t="s">
        <v>1186</v>
      </c>
      <c r="F847" s="10" t="s">
        <v>3110</v>
      </c>
      <c r="G847" s="11" t="s">
        <v>6577</v>
      </c>
      <c r="H847" s="11" t="s">
        <v>4757</v>
      </c>
      <c r="I847" s="11" t="s">
        <v>4607</v>
      </c>
      <c r="J847" s="9" t="str">
        <f>IFERROR(__xludf.DUMMYFUNCTION("""COMPUTED_VALUE"""),"https://www.google.com/search?newwindow=1&amp;ei=2MT0XrvGGM-vytMP1OyDgAY&amp;q=site%3Alinkedin.com+Jessica+Vittas+(she,+her,+hers)+Campus+Development+Manager:+Campus+Recruiting")</f>
        <v>https://www.google.com/search?newwindow=1&amp;ei=2MT0XrvGGM-vytMP1OyDgAY&amp;q=site%3Alinkedin.com+Jessica+Vittas+(she,+her,+hers)+Campus+Development+Manager:+Campus+Recruiting</v>
      </c>
      <c r="K847" s="5" t="str">
        <f t="shared" si="1"/>
        <v>Jessica Vittas (she, her, hers)</v>
      </c>
      <c r="L847" s="5" t="str">
        <f t="shared" si="2"/>
        <v>Campus Development Manager: Campus Recruiting</v>
      </c>
      <c r="M847" s="5" t="str">
        <f t="shared" si="3"/>
        <v/>
      </c>
      <c r="N847" s="5" t="str">
        <f t="shared" si="4"/>
        <v>KPMG US</v>
      </c>
      <c r="O847" s="5" t="str">
        <f t="shared" si="5"/>
        <v>1 year 3 months in role and company</v>
      </c>
      <c r="P847" s="5" t="str">
        <f t="shared" si="6"/>
        <v>Los Angeles</v>
      </c>
      <c r="Q847" s="5" t="str">
        <f t="shared" si="7"/>
        <v>California</v>
      </c>
      <c r="R847" s="5" t="str">
        <f t="shared" si="8"/>
        <v>United States</v>
      </c>
    </row>
    <row r="848">
      <c r="A848" s="8" t="s">
        <v>6842</v>
      </c>
      <c r="B848" s="10" t="s">
        <v>6843</v>
      </c>
      <c r="C848" s="10" t="s">
        <v>6844</v>
      </c>
      <c r="D848" s="10"/>
      <c r="E848" s="10" t="s">
        <v>2520</v>
      </c>
      <c r="F848" s="10" t="s">
        <v>26</v>
      </c>
      <c r="G848" s="11" t="s">
        <v>6577</v>
      </c>
      <c r="H848" s="11" t="s">
        <v>4757</v>
      </c>
      <c r="I848" s="11" t="s">
        <v>4607</v>
      </c>
      <c r="J848" s="9" t="str">
        <f>IFERROR(__xludf.DUMMYFUNCTION("""COMPUTED_VALUE"""),"https://www.google.com/search?newwindow=1&amp;ei=2MT0XrvGGM-vytMP1OyDgAY&amp;q=site%3Alinkedin.com+Sarah+Hoyos+Campus+Recruiting+Specialist")</f>
        <v>https://www.google.com/search?newwindow=1&amp;ei=2MT0XrvGGM-vytMP1OyDgAY&amp;q=site%3Alinkedin.com+Sarah+Hoyos+Campus+Recruiting+Specialist</v>
      </c>
      <c r="K848" s="5" t="str">
        <f t="shared" si="1"/>
        <v>Sarah Hoyos</v>
      </c>
      <c r="L848" s="5" t="str">
        <f t="shared" si="2"/>
        <v>Campus Recruiting Specialist</v>
      </c>
      <c r="M848" s="5" t="str">
        <f t="shared" si="3"/>
        <v/>
      </c>
      <c r="N848" s="5" t="str">
        <f t="shared" si="4"/>
        <v>Deloitte</v>
      </c>
      <c r="O848" s="5" t="str">
        <f t="shared" si="5"/>
        <v>8 months in role</v>
      </c>
      <c r="P848" s="5" t="str">
        <f t="shared" si="6"/>
        <v>Los Angeles</v>
      </c>
      <c r="Q848" s="5" t="str">
        <f t="shared" si="7"/>
        <v>California</v>
      </c>
      <c r="R848" s="5" t="str">
        <f t="shared" si="8"/>
        <v>United States</v>
      </c>
    </row>
    <row r="849">
      <c r="A849" s="8" t="s">
        <v>6845</v>
      </c>
      <c r="B849" s="10" t="s">
        <v>6846</v>
      </c>
      <c r="C849" s="10" t="s">
        <v>6847</v>
      </c>
      <c r="D849" s="10"/>
      <c r="E849" s="10" t="s">
        <v>3874</v>
      </c>
      <c r="F849" s="10" t="s">
        <v>909</v>
      </c>
      <c r="G849" s="11" t="s">
        <v>6577</v>
      </c>
      <c r="H849" s="11" t="s">
        <v>4757</v>
      </c>
      <c r="I849" s="11" t="s">
        <v>4607</v>
      </c>
      <c r="J849" s="9" t="str">
        <f>IFERROR(__xludf.DUMMYFUNCTION("""COMPUTED_VALUE"""),"https://www.google.com/search?newwindow=1&amp;ei=2MT0XrvGGM-vytMP1OyDgAY&amp;q=site%3Alinkedin.com+Angela+Vasquez-Delgado+West+Region+Tax+Campus+Recruiting+Lead")</f>
        <v>https://www.google.com/search?newwindow=1&amp;ei=2MT0XrvGGM-vytMP1OyDgAY&amp;q=site%3Alinkedin.com+Angela+Vasquez-Delgado+West+Region+Tax+Campus+Recruiting+Lead</v>
      </c>
      <c r="K849" s="5" t="str">
        <f t="shared" si="1"/>
        <v>Angela Vasquez-Delgado</v>
      </c>
      <c r="L849" s="5" t="str">
        <f t="shared" si="2"/>
        <v>West Region Tax Campus Recruiting Lead</v>
      </c>
      <c r="M849" s="5" t="str">
        <f t="shared" si="3"/>
        <v/>
      </c>
      <c r="N849" s="5" t="str">
        <f t="shared" si="4"/>
        <v>PwC</v>
      </c>
      <c r="O849" s="5" t="str">
        <f t="shared" si="5"/>
        <v>2 years 10 months in role</v>
      </c>
      <c r="P849" s="5" t="str">
        <f t="shared" si="6"/>
        <v>Los Angeles</v>
      </c>
      <c r="Q849" s="5" t="str">
        <f t="shared" si="7"/>
        <v>California</v>
      </c>
      <c r="R849" s="5" t="str">
        <f t="shared" si="8"/>
        <v>United States</v>
      </c>
    </row>
    <row r="850">
      <c r="A850" s="8" t="s">
        <v>6848</v>
      </c>
      <c r="B850" s="10" t="s">
        <v>6849</v>
      </c>
      <c r="C850" s="10" t="s">
        <v>6850</v>
      </c>
      <c r="D850" s="10"/>
      <c r="E850" s="10" t="s">
        <v>6851</v>
      </c>
      <c r="F850" s="10" t="s">
        <v>694</v>
      </c>
      <c r="G850" s="11" t="s">
        <v>6577</v>
      </c>
      <c r="H850" s="11" t="s">
        <v>4757</v>
      </c>
      <c r="I850" s="11" t="s">
        <v>4607</v>
      </c>
      <c r="J850" s="9" t="str">
        <f>IFERROR(__xludf.DUMMYFUNCTION("""COMPUTED_VALUE"""),"https://www.google.com/search?newwindow=1&amp;ei=2MT0XrvGGM-vytMP1OyDgAY&amp;q=site%3Alinkedin.com+Amanda+Garcia+Southwest+Tax+Campus+Recruiting+Manager")</f>
        <v>https://www.google.com/search?newwindow=1&amp;ei=2MT0XrvGGM-vytMP1OyDgAY&amp;q=site%3Alinkedin.com+Amanda+Garcia+Southwest+Tax+Campus+Recruiting+Manager</v>
      </c>
      <c r="K850" s="5" t="str">
        <f t="shared" si="1"/>
        <v>Amanda Garcia</v>
      </c>
      <c r="L850" s="5" t="str">
        <f t="shared" si="2"/>
        <v>Southwest Tax Campus Recruiting Manager</v>
      </c>
      <c r="M850" s="5" t="str">
        <f t="shared" si="3"/>
        <v/>
      </c>
      <c r="N850" s="5" t="str">
        <f t="shared" si="4"/>
        <v>PwC</v>
      </c>
      <c r="O850" s="5" t="str">
        <f t="shared" si="5"/>
        <v>3 years 7 months in role and company</v>
      </c>
      <c r="P850" s="5" t="str">
        <f t="shared" si="6"/>
        <v>Los Angeles</v>
      </c>
      <c r="Q850" s="5" t="str">
        <f t="shared" si="7"/>
        <v>California</v>
      </c>
      <c r="R850" s="5" t="str">
        <f t="shared" si="8"/>
        <v>United States</v>
      </c>
    </row>
    <row r="851">
      <c r="A851" s="8" t="s">
        <v>6852</v>
      </c>
      <c r="B851" s="12" t="s">
        <v>6853</v>
      </c>
      <c r="C851" s="10" t="s">
        <v>6854</v>
      </c>
      <c r="D851" s="10"/>
      <c r="E851" s="10" t="s">
        <v>6855</v>
      </c>
      <c r="F851" s="10" t="s">
        <v>832</v>
      </c>
      <c r="G851" s="11" t="s">
        <v>6577</v>
      </c>
      <c r="H851" s="13" t="s">
        <v>4757</v>
      </c>
      <c r="I851" s="11" t="s">
        <v>4607</v>
      </c>
      <c r="J851" s="9" t="str">
        <f>IFERROR(__xludf.DUMMYFUNCTION("""COMPUTED_VALUE"""),"https://www.google.com/search?newwindow=1&amp;ei=2MT0XrvGGM-vytMP1OyDgAY&amp;q=site%3Alinkedin.com+Francesca+Jones+Campus+Recruiting+Leader+-+Financial+Services+Organization")</f>
        <v>https://www.google.com/search?newwindow=1&amp;ei=2MT0XrvGGM-vytMP1OyDgAY&amp;q=site%3Alinkedin.com+Francesca+Jones+Campus+Recruiting+Leader+-+Financial+Services+Organization</v>
      </c>
      <c r="K851" s="5" t="str">
        <f t="shared" si="1"/>
        <v>Francesca Jones</v>
      </c>
      <c r="L851" s="5" t="str">
        <f t="shared" si="2"/>
        <v>Campus Recruiting Leader - Financial Services Organization</v>
      </c>
      <c r="M851" s="5" t="str">
        <f t="shared" si="3"/>
        <v/>
      </c>
      <c r="N851" s="5" t="str">
        <f t="shared" si="4"/>
        <v>EY</v>
      </c>
      <c r="O851" s="5" t="str">
        <f t="shared" si="5"/>
        <v>1 year 4 months in role</v>
      </c>
      <c r="P851" s="5" t="str">
        <f t="shared" si="6"/>
        <v>Los Angeles</v>
      </c>
      <c r="Q851" s="5" t="str">
        <f t="shared" si="7"/>
        <v>California</v>
      </c>
      <c r="R851" s="5" t="str">
        <f t="shared" si="8"/>
        <v>United States</v>
      </c>
    </row>
    <row r="852">
      <c r="A852" s="8" t="s">
        <v>6856</v>
      </c>
      <c r="B852" s="12" t="s">
        <v>6857</v>
      </c>
      <c r="C852" s="10" t="s">
        <v>6858</v>
      </c>
      <c r="D852" s="10"/>
      <c r="E852" s="10" t="s">
        <v>6859</v>
      </c>
      <c r="F852" s="10" t="s">
        <v>734</v>
      </c>
      <c r="G852" s="11" t="s">
        <v>6577</v>
      </c>
      <c r="H852" s="11" t="s">
        <v>4638</v>
      </c>
      <c r="I852" s="11" t="s">
        <v>4600</v>
      </c>
      <c r="J852" s="9" t="str">
        <f>IFERROR(__xludf.DUMMYFUNCTION("""COMPUTED_VALUE"""),"https://www.google.com/search?newwindow=1&amp;ei=2MT0XrvGGM-vytMP1OyDgAY&amp;q=site%3Alinkedin.com+Laura+Tapia+Campus+Recruiting+Specialist")</f>
        <v>https://www.google.com/search?newwindow=1&amp;ei=2MT0XrvGGM-vytMP1OyDgAY&amp;q=site%3Alinkedin.com+Laura+Tapia+Campus+Recruiting+Specialist</v>
      </c>
      <c r="K852" s="5" t="str">
        <f t="shared" si="1"/>
        <v>Laura Tapia</v>
      </c>
      <c r="L852" s="5" t="str">
        <f t="shared" si="2"/>
        <v>Campus Recruiting Specialist</v>
      </c>
      <c r="M852" s="5" t="str">
        <f t="shared" si="3"/>
        <v/>
      </c>
      <c r="N852" s="5" t="str">
        <f t="shared" si="4"/>
        <v>Deloitte</v>
      </c>
      <c r="O852" s="5" t="str">
        <f t="shared" si="5"/>
        <v>1 year 2 months in role</v>
      </c>
      <c r="P852" s="5" t="str">
        <f t="shared" si="6"/>
        <v>Los Angeles</v>
      </c>
      <c r="Q852" s="5" t="str">
        <f t="shared" si="7"/>
        <v>California</v>
      </c>
      <c r="R852" s="5" t="str">
        <f t="shared" si="8"/>
        <v>United States</v>
      </c>
    </row>
    <row r="853">
      <c r="A853" s="8" t="s">
        <v>6860</v>
      </c>
      <c r="B853" s="10" t="s">
        <v>6861</v>
      </c>
      <c r="C853" s="10" t="s">
        <v>6862</v>
      </c>
      <c r="D853" s="10"/>
      <c r="E853" s="10" t="s">
        <v>1908</v>
      </c>
      <c r="F853" s="10" t="s">
        <v>125</v>
      </c>
      <c r="G853" s="11" t="s">
        <v>6577</v>
      </c>
      <c r="H853" s="11" t="s">
        <v>4757</v>
      </c>
      <c r="I853" s="11" t="s">
        <v>4607</v>
      </c>
      <c r="J853" s="9" t="str">
        <f>IFERROR(__xludf.DUMMYFUNCTION("""COMPUTED_VALUE"""),"https://www.google.com/search?newwindow=1&amp;ei=2MT0XrvGGM-vytMP1OyDgAY&amp;q=site%3Alinkedin.com+Jackie+Devitt+Assistant+Director+-+Campus+Recruiting")</f>
        <v>https://www.google.com/search?newwindow=1&amp;ei=2MT0XrvGGM-vytMP1OyDgAY&amp;q=site%3Alinkedin.com+Jackie+Devitt+Assistant+Director+-+Campus+Recruiting</v>
      </c>
      <c r="K853" s="5" t="str">
        <f t="shared" si="1"/>
        <v>Jackie Devitt</v>
      </c>
      <c r="L853" s="5" t="str">
        <f t="shared" si="2"/>
        <v>Assistant Director - Campus Recruiting</v>
      </c>
      <c r="M853" s="5" t="str">
        <f t="shared" si="3"/>
        <v/>
      </c>
      <c r="N853" s="5" t="str">
        <f t="shared" si="4"/>
        <v>EY</v>
      </c>
      <c r="O853" s="5" t="str">
        <f t="shared" si="5"/>
        <v>7 years 3 months in role and company</v>
      </c>
      <c r="P853" s="5" t="str">
        <f t="shared" si="6"/>
        <v>Los Angeles</v>
      </c>
      <c r="Q853" s="5" t="str">
        <f t="shared" si="7"/>
        <v>California</v>
      </c>
      <c r="R853" s="5" t="str">
        <f t="shared" si="8"/>
        <v>United States</v>
      </c>
    </row>
    <row r="854">
      <c r="A854" s="8" t="s">
        <v>6863</v>
      </c>
      <c r="B854" s="10" t="s">
        <v>6864</v>
      </c>
      <c r="C854" s="10" t="s">
        <v>6865</v>
      </c>
      <c r="D854" s="10"/>
      <c r="E854" s="10" t="s">
        <v>6589</v>
      </c>
      <c r="F854" s="10" t="s">
        <v>42</v>
      </c>
      <c r="G854" s="11" t="s">
        <v>6577</v>
      </c>
      <c r="H854" s="11" t="s">
        <v>4757</v>
      </c>
      <c r="I854" s="11" t="s">
        <v>4607</v>
      </c>
      <c r="J854" s="9" t="str">
        <f>IFERROR(__xludf.DUMMYFUNCTION("""COMPUTED_VALUE"""),"https://www.google.com/search?newwindow=1&amp;ei=2MT0XrvGGM-vytMP1OyDgAY&amp;q=site%3Alinkedin.com+Sophia+Gooden+Campus+Recruiting+Specialist++|++Deloitte+Consulting++|++Technology")</f>
        <v>https://www.google.com/search?newwindow=1&amp;ei=2MT0XrvGGM-vytMP1OyDgAY&amp;q=site%3Alinkedin.com+Sophia+Gooden+Campus+Recruiting+Specialist++|++Deloitte+Consulting++|++Technology</v>
      </c>
      <c r="K854" s="5" t="str">
        <f t="shared" si="1"/>
        <v>Sophia Gooden</v>
      </c>
      <c r="L854" s="5" t="str">
        <f t="shared" si="2"/>
        <v>Campus Recruiting Specialist  |  Deloitte Consulting  |  Technology</v>
      </c>
      <c r="M854" s="5" t="str">
        <f t="shared" si="3"/>
        <v/>
      </c>
      <c r="N854" s="5" t="str">
        <f t="shared" si="4"/>
        <v>Deloitte</v>
      </c>
      <c r="O854" s="5" t="str">
        <f t="shared" si="5"/>
        <v>5 years 9 months in role</v>
      </c>
      <c r="P854" s="5" t="str">
        <f t="shared" si="6"/>
        <v>Los Angeles</v>
      </c>
      <c r="Q854" s="5" t="str">
        <f t="shared" si="7"/>
        <v>California</v>
      </c>
      <c r="R854" s="5" t="str">
        <f t="shared" si="8"/>
        <v>United States</v>
      </c>
    </row>
    <row r="855">
      <c r="A855" s="8" t="s">
        <v>6866</v>
      </c>
      <c r="B855" s="10" t="s">
        <v>6867</v>
      </c>
      <c r="C855" s="10" t="s">
        <v>6868</v>
      </c>
      <c r="D855" s="10"/>
      <c r="E855" s="10" t="s">
        <v>6869</v>
      </c>
      <c r="F855" s="10" t="s">
        <v>237</v>
      </c>
      <c r="G855" s="11" t="s">
        <v>6577</v>
      </c>
      <c r="H855" s="11" t="s">
        <v>4757</v>
      </c>
      <c r="I855" s="11" t="s">
        <v>4607</v>
      </c>
      <c r="J855" s="9" t="str">
        <f>IFERROR(__xludf.DUMMYFUNCTION("""COMPUTED_VALUE"""),"https://www.google.com/search?newwindow=1&amp;ei=2MT0XrvGGM-vytMP1OyDgAY&amp;q=site%3Alinkedin.com+Hanna+Murphy+Campus+Recruiting+Coordinator")</f>
        <v>https://www.google.com/search?newwindow=1&amp;ei=2MT0XrvGGM-vytMP1OyDgAY&amp;q=site%3Alinkedin.com+Hanna+Murphy+Campus+Recruiting+Coordinator</v>
      </c>
      <c r="K855" s="5" t="str">
        <f t="shared" si="1"/>
        <v>Hanna Murphy</v>
      </c>
      <c r="L855" s="5" t="str">
        <f t="shared" si="2"/>
        <v>Campus Recruiting Coordinator</v>
      </c>
      <c r="M855" s="5" t="str">
        <f t="shared" si="3"/>
        <v/>
      </c>
      <c r="N855" s="5" t="str">
        <f t="shared" si="4"/>
        <v>EY</v>
      </c>
      <c r="O855" s="5" t="str">
        <f t="shared" si="5"/>
        <v>1 year 1 month in role and company</v>
      </c>
      <c r="P855" s="5" t="str">
        <f t="shared" si="6"/>
        <v>Los Angeles</v>
      </c>
      <c r="Q855" s="5" t="str">
        <f t="shared" si="7"/>
        <v>California</v>
      </c>
      <c r="R855" s="5" t="str">
        <f t="shared" si="8"/>
        <v>United States</v>
      </c>
    </row>
    <row r="856">
      <c r="A856" s="8" t="s">
        <v>6870</v>
      </c>
      <c r="B856" s="12" t="s">
        <v>6871</v>
      </c>
      <c r="C856" s="10" t="s">
        <v>6872</v>
      </c>
      <c r="D856" s="10"/>
      <c r="E856" s="10" t="s">
        <v>3177</v>
      </c>
      <c r="F856" s="10" t="s">
        <v>268</v>
      </c>
      <c r="G856" s="11" t="s">
        <v>6577</v>
      </c>
      <c r="H856" s="11" t="s">
        <v>4757</v>
      </c>
      <c r="I856" s="11" t="s">
        <v>4607</v>
      </c>
      <c r="J856" s="9" t="str">
        <f>IFERROR(__xludf.DUMMYFUNCTION("""COMPUTED_VALUE"""),"https://www.google.com/search?newwindow=1&amp;ei=2MT0XrvGGM-vytMP1OyDgAY&amp;q=site%3Alinkedin.com+Liz+Trevor+Primary+Recruiting+Manager+for+LA/OC+Advisory:+Campus+Recruiting")</f>
        <v>https://www.google.com/search?newwindow=1&amp;ei=2MT0XrvGGM-vytMP1OyDgAY&amp;q=site%3Alinkedin.com+Liz+Trevor+Primary+Recruiting+Manager+for+LA/OC+Advisory:+Campus+Recruiting</v>
      </c>
      <c r="K856" s="5" t="str">
        <f t="shared" si="1"/>
        <v>Liz Trevor</v>
      </c>
      <c r="L856" s="5" t="str">
        <f t="shared" si="2"/>
        <v>Primary Recruiting Manager for LA/OC Advisory: Campus Recruiting</v>
      </c>
      <c r="M856" s="5" t="str">
        <f t="shared" si="3"/>
        <v/>
      </c>
      <c r="N856" s="5" t="str">
        <f t="shared" si="4"/>
        <v>KPMG US</v>
      </c>
      <c r="O856" s="5" t="str">
        <f t="shared" si="5"/>
        <v>1 year 6 months in role</v>
      </c>
      <c r="P856" s="5" t="str">
        <f t="shared" si="6"/>
        <v>Los Angeles</v>
      </c>
      <c r="Q856" s="5" t="str">
        <f t="shared" si="7"/>
        <v>California</v>
      </c>
      <c r="R856" s="5" t="str">
        <f t="shared" si="8"/>
        <v>United States</v>
      </c>
    </row>
    <row r="857">
      <c r="A857" s="8" t="s">
        <v>6873</v>
      </c>
      <c r="B857" s="10" t="s">
        <v>6874</v>
      </c>
      <c r="C857" s="10" t="s">
        <v>6875</v>
      </c>
      <c r="D857" s="10"/>
      <c r="E857" s="10" t="s">
        <v>6876</v>
      </c>
      <c r="F857" s="10" t="s">
        <v>233</v>
      </c>
      <c r="G857" s="11" t="s">
        <v>6577</v>
      </c>
      <c r="H857" s="11" t="s">
        <v>4757</v>
      </c>
      <c r="I857" s="11" t="s">
        <v>4607</v>
      </c>
      <c r="J857" s="9" t="str">
        <f>IFERROR(__xludf.DUMMYFUNCTION("""COMPUTED_VALUE"""),"https://www.google.com/search?newwindow=1&amp;ei=2MT0XrvGGM-vytMP1OyDgAY&amp;q=site%3Alinkedin.com+Angela+Wong+Pacific+Southwest+Business+Unit+Lead,+Tax+Campus+Recruiting")</f>
        <v>https://www.google.com/search?newwindow=1&amp;ei=2MT0XrvGGM-vytMP1OyDgAY&amp;q=site%3Alinkedin.com+Angela+Wong+Pacific+Southwest+Business+Unit+Lead,+Tax+Campus+Recruiting</v>
      </c>
      <c r="K857" s="5" t="str">
        <f t="shared" si="1"/>
        <v>Angela Wong</v>
      </c>
      <c r="L857" s="5" t="str">
        <f t="shared" si="2"/>
        <v>Pacific Southwest Business Unit Lead, Tax Campus Recruiting</v>
      </c>
      <c r="M857" s="5" t="str">
        <f t="shared" si="3"/>
        <v/>
      </c>
      <c r="N857" s="5" t="str">
        <f t="shared" si="4"/>
        <v>KPMG US</v>
      </c>
      <c r="O857" s="5" t="str">
        <f t="shared" si="5"/>
        <v>10 months in role</v>
      </c>
      <c r="P857" s="5" t="str">
        <f t="shared" si="6"/>
        <v>Los Angeles</v>
      </c>
      <c r="Q857" s="5" t="str">
        <f t="shared" si="7"/>
        <v>California</v>
      </c>
      <c r="R857" s="5" t="str">
        <f t="shared" si="8"/>
        <v>United States</v>
      </c>
    </row>
    <row r="858">
      <c r="A858" s="8" t="s">
        <v>6877</v>
      </c>
      <c r="B858" s="12" t="s">
        <v>6878</v>
      </c>
      <c r="C858" s="10" t="s">
        <v>25</v>
      </c>
      <c r="D858" s="10"/>
      <c r="E858" s="10" t="s">
        <v>1186</v>
      </c>
      <c r="F858" s="10" t="s">
        <v>121</v>
      </c>
      <c r="G858" s="11" t="s">
        <v>6577</v>
      </c>
      <c r="H858" s="11" t="s">
        <v>4757</v>
      </c>
      <c r="I858" s="11" t="s">
        <v>4607</v>
      </c>
      <c r="J858" s="9" t="str">
        <f>IFERROR(__xludf.DUMMYFUNCTION("""COMPUTED_VALUE"""),"https://www.google.com/search?newwindow=1&amp;ei=2MT0XrvGGM-vytMP1OyDgAY&amp;q=site%3Alinkedin.com+Gabriella+Campos+Mariani+Senior+Campus+Recruiting+Specialist")</f>
        <v>https://www.google.com/search?newwindow=1&amp;ei=2MT0XrvGGM-vytMP1OyDgAY&amp;q=site%3Alinkedin.com+Gabriella+Campos+Mariani+Senior+Campus+Recruiting+Specialist</v>
      </c>
      <c r="K858" s="5" t="str">
        <f t="shared" si="1"/>
        <v>Gabriella Campos Mariani</v>
      </c>
      <c r="L858" s="5" t="str">
        <f t="shared" si="2"/>
        <v>Senior Campus Recruiting Specialist</v>
      </c>
      <c r="M858" s="5" t="str">
        <f t="shared" si="3"/>
        <v/>
      </c>
      <c r="N858" s="5" t="str">
        <f t="shared" si="4"/>
        <v>Deloitte</v>
      </c>
      <c r="O858" s="5" t="str">
        <f t="shared" si="5"/>
        <v>5 years 4 months in role and company</v>
      </c>
      <c r="P858" s="5" t="str">
        <f t="shared" si="6"/>
        <v>Los Angeles</v>
      </c>
      <c r="Q858" s="5" t="str">
        <f t="shared" si="7"/>
        <v>California</v>
      </c>
      <c r="R858" s="5" t="str">
        <f t="shared" si="8"/>
        <v>United States</v>
      </c>
    </row>
    <row r="859">
      <c r="A859" s="8" t="s">
        <v>6879</v>
      </c>
      <c r="B859" s="10" t="s">
        <v>6880</v>
      </c>
      <c r="C859" s="10" t="s">
        <v>6881</v>
      </c>
      <c r="D859" s="10"/>
      <c r="E859" s="10" t="s">
        <v>227</v>
      </c>
      <c r="F859" s="10" t="s">
        <v>26</v>
      </c>
      <c r="G859" s="11" t="s">
        <v>6577</v>
      </c>
      <c r="H859" s="11" t="s">
        <v>4757</v>
      </c>
      <c r="I859" s="11" t="s">
        <v>4607</v>
      </c>
      <c r="J859" s="9" t="str">
        <f>IFERROR(__xludf.DUMMYFUNCTION("""COMPUTED_VALUE"""),"https://www.google.com/search?newwindow=1&amp;ei=2MT0XrvGGM-vytMP1OyDgAY&amp;q=site%3Alinkedin.com+Necia+Dunlap+Business+Unit+Coordinator")</f>
        <v>https://www.google.com/search?newwindow=1&amp;ei=2MT0XrvGGM-vytMP1OyDgAY&amp;q=site%3Alinkedin.com+Necia+Dunlap+Business+Unit+Coordinator</v>
      </c>
      <c r="K859" s="5" t="str">
        <f t="shared" si="1"/>
        <v>Necia Dunlap</v>
      </c>
      <c r="L859" s="5" t="str">
        <f t="shared" si="2"/>
        <v>Business Unit Coordinator</v>
      </c>
      <c r="M859" s="5" t="str">
        <f t="shared" si="3"/>
        <v/>
      </c>
      <c r="N859" s="5" t="str">
        <f t="shared" si="4"/>
        <v>KPMG</v>
      </c>
      <c r="O859" s="5" t="str">
        <f t="shared" si="5"/>
        <v>10 years 1 month in role and company</v>
      </c>
      <c r="P859" s="5" t="str">
        <f t="shared" si="6"/>
        <v>Los Angeles</v>
      </c>
      <c r="Q859" s="5" t="str">
        <f t="shared" si="7"/>
        <v>California</v>
      </c>
      <c r="R859" s="5" t="str">
        <f t="shared" si="8"/>
        <v>United States</v>
      </c>
    </row>
    <row r="860">
      <c r="A860" s="8" t="s">
        <v>6882</v>
      </c>
      <c r="B860" s="10" t="s">
        <v>6883</v>
      </c>
      <c r="C860" s="10" t="s">
        <v>6884</v>
      </c>
      <c r="D860" s="10"/>
      <c r="E860" s="10" t="s">
        <v>6640</v>
      </c>
      <c r="F860" s="10" t="s">
        <v>144</v>
      </c>
      <c r="G860" s="11" t="s">
        <v>6577</v>
      </c>
      <c r="H860" s="11" t="s">
        <v>4757</v>
      </c>
      <c r="I860" s="11" t="s">
        <v>4607</v>
      </c>
      <c r="J860" s="9" t="str">
        <f>IFERROR(__xludf.DUMMYFUNCTION("""COMPUTED_VALUE"""),"https://www.google.com/search?newwindow=1&amp;ei=2MT0XrvGGM-vytMP1OyDgAY&amp;q=site%3Alinkedin.com+Shannon+Kaiser+Campus+Recruiting+Manager")</f>
        <v>https://www.google.com/search?newwindow=1&amp;ei=2MT0XrvGGM-vytMP1OyDgAY&amp;q=site%3Alinkedin.com+Shannon+Kaiser+Campus+Recruiting+Manager</v>
      </c>
      <c r="K860" s="5" t="str">
        <f t="shared" si="1"/>
        <v>Shannon Kaiser</v>
      </c>
      <c r="L860" s="5" t="str">
        <f t="shared" si="2"/>
        <v>Campus Recruiting Manager</v>
      </c>
      <c r="M860" s="5" t="str">
        <f t="shared" si="3"/>
        <v/>
      </c>
      <c r="N860" s="5" t="str">
        <f t="shared" si="4"/>
        <v>KPMG</v>
      </c>
      <c r="O860" s="5" t="str">
        <f t="shared" si="5"/>
        <v>22 years 3 months in role and company</v>
      </c>
      <c r="P860" s="5" t="str">
        <f t="shared" si="6"/>
        <v>Los Angeles</v>
      </c>
      <c r="Q860" s="5" t="str">
        <f t="shared" si="7"/>
        <v>California</v>
      </c>
      <c r="R860" s="5" t="str">
        <f t="shared" si="8"/>
        <v>United States</v>
      </c>
    </row>
    <row r="861">
      <c r="A861" s="8" t="s">
        <v>6885</v>
      </c>
      <c r="B861" s="10" t="s">
        <v>6886</v>
      </c>
      <c r="C861" s="10" t="s">
        <v>5054</v>
      </c>
      <c r="D861" s="10"/>
      <c r="E861" s="10" t="s">
        <v>1908</v>
      </c>
      <c r="F861" s="10" t="s">
        <v>354</v>
      </c>
      <c r="G861" s="11" t="s">
        <v>6577</v>
      </c>
      <c r="H861" s="11" t="s">
        <v>4757</v>
      </c>
      <c r="I861" s="11" t="s">
        <v>4607</v>
      </c>
      <c r="J861" s="9" t="str">
        <f>IFERROR(__xludf.DUMMYFUNCTION("""COMPUTED_VALUE"""),"https://www.google.com/search?newwindow=1&amp;ei=2MT0XrvGGM-vytMP1OyDgAY&amp;q=site%3Alinkedin.com+Mike+Gunter+Campus+Recruiting")</f>
        <v>https://www.google.com/search?newwindow=1&amp;ei=2MT0XrvGGM-vytMP1OyDgAY&amp;q=site%3Alinkedin.com+Mike+Gunter+Campus+Recruiting</v>
      </c>
      <c r="K861" s="5" t="str">
        <f t="shared" si="1"/>
        <v>Mike Gunter</v>
      </c>
      <c r="L861" s="5" t="str">
        <f t="shared" si="2"/>
        <v>Campus Recruiting</v>
      </c>
      <c r="M861" s="5" t="str">
        <f t="shared" si="3"/>
        <v/>
      </c>
      <c r="N861" s="5" t="str">
        <f t="shared" si="4"/>
        <v>Deloitte Los Angeles</v>
      </c>
      <c r="O861" s="5" t="str">
        <f t="shared" si="5"/>
        <v>8 years 3 months in role and company</v>
      </c>
      <c r="P861" s="5" t="str">
        <f t="shared" si="6"/>
        <v>Los Angeles</v>
      </c>
      <c r="Q861" s="5" t="str">
        <f t="shared" si="7"/>
        <v>California</v>
      </c>
      <c r="R861" s="5" t="str">
        <f t="shared" si="8"/>
        <v>United States</v>
      </c>
    </row>
    <row r="862">
      <c r="A862" s="8" t="s">
        <v>6578</v>
      </c>
      <c r="B862" s="12" t="s">
        <v>6579</v>
      </c>
      <c r="C862" s="10" t="s">
        <v>6580</v>
      </c>
      <c r="D862" s="10"/>
      <c r="E862" s="10" t="s">
        <v>940</v>
      </c>
      <c r="F862" s="10" t="s">
        <v>74</v>
      </c>
      <c r="G862" s="11" t="s">
        <v>6577</v>
      </c>
      <c r="H862" s="13" t="s">
        <v>4638</v>
      </c>
      <c r="I862" s="13" t="s">
        <v>4600</v>
      </c>
      <c r="J862" s="9" t="str">
        <f>IFERROR(__xludf.DUMMYFUNCTION("""COMPUTED_VALUE"""),"https://www.google.com/search?newwindow=1&amp;ei=2MT0XrvGGM-vytMP1OyDgAY&amp;q=site%3Alinkedin.com+Marsha+Hinckley-Christie+West+Area+Director+of+Campus+Recruiting")</f>
        <v>https://www.google.com/search?newwindow=1&amp;ei=2MT0XrvGGM-vytMP1OyDgAY&amp;q=site%3Alinkedin.com+Marsha+Hinckley-Christie+West+Area+Director+of+Campus+Recruiting</v>
      </c>
      <c r="K862" s="5" t="str">
        <f t="shared" si="1"/>
        <v>Marsha Hinckley-Christie</v>
      </c>
      <c r="L862" s="5" t="str">
        <f t="shared" si="2"/>
        <v>West Area Director of Campus Recruiting</v>
      </c>
      <c r="M862" s="5" t="str">
        <f t="shared" si="3"/>
        <v/>
      </c>
      <c r="N862" s="5" t="str">
        <f t="shared" si="4"/>
        <v>KPMG LLP</v>
      </c>
      <c r="O862" s="5" t="str">
        <f t="shared" si="5"/>
        <v/>
      </c>
      <c r="P862" s="5" t="str">
        <f t="shared" si="6"/>
        <v>Los Angeles County</v>
      </c>
      <c r="Q862" s="5" t="str">
        <f t="shared" si="7"/>
        <v>California</v>
      </c>
      <c r="R862" s="5" t="str">
        <f t="shared" si="8"/>
        <v>United States</v>
      </c>
    </row>
    <row r="863">
      <c r="A863" s="8" t="s">
        <v>6887</v>
      </c>
      <c r="B863" s="12" t="s">
        <v>6888</v>
      </c>
      <c r="C863" s="10" t="s">
        <v>6889</v>
      </c>
      <c r="D863" s="10"/>
      <c r="E863" s="10" t="s">
        <v>1064</v>
      </c>
      <c r="F863" s="10" t="s">
        <v>15</v>
      </c>
      <c r="G863" s="11" t="s">
        <v>6577</v>
      </c>
      <c r="H863" s="11" t="s">
        <v>4757</v>
      </c>
      <c r="I863" s="11" t="s">
        <v>4607</v>
      </c>
      <c r="J863" s="9" t="str">
        <f>IFERROR(__xludf.DUMMYFUNCTION("""COMPUTED_VALUE"""),"https://www.google.com/search?newwindow=1&amp;ei=2MT0XrvGGM-vytMP1OyDgAY&amp;q=site%3Alinkedin.com+Rene'+Newsome+Campus+Recruiting+Manager")</f>
        <v>https://www.google.com/search?newwindow=1&amp;ei=2MT0XrvGGM-vytMP1OyDgAY&amp;q=site%3Alinkedin.com+Rene'+Newsome+Campus+Recruiting+Manager</v>
      </c>
      <c r="K863" s="5" t="str">
        <f t="shared" si="1"/>
        <v>Rene' Newsome</v>
      </c>
      <c r="L863" s="5" t="str">
        <f t="shared" si="2"/>
        <v>Campus Recruiting Manager</v>
      </c>
      <c r="M863" s="5" t="str">
        <f t="shared" si="3"/>
        <v/>
      </c>
      <c r="N863" s="5" t="str">
        <f t="shared" si="4"/>
        <v>PricewaterhouseCoopers</v>
      </c>
      <c r="O863" s="5" t="str">
        <f t="shared" si="5"/>
        <v>13 years 3 months in role</v>
      </c>
      <c r="P863" s="5" t="str">
        <f t="shared" si="6"/>
        <v>Louisville</v>
      </c>
      <c r="Q863" s="5" t="str">
        <f t="shared" si="7"/>
        <v>Kentucky</v>
      </c>
      <c r="R863" s="5" t="str">
        <f t="shared" si="8"/>
        <v>United States</v>
      </c>
    </row>
    <row r="864">
      <c r="A864" s="8" t="s">
        <v>6890</v>
      </c>
      <c r="B864" s="10" t="s">
        <v>6891</v>
      </c>
      <c r="C864" s="10" t="s">
        <v>115</v>
      </c>
      <c r="D864" s="10"/>
      <c r="E864" s="10" t="s">
        <v>6892</v>
      </c>
      <c r="F864" s="10" t="s">
        <v>237</v>
      </c>
      <c r="G864" s="11" t="s">
        <v>6577</v>
      </c>
      <c r="H864" s="13" t="s">
        <v>4757</v>
      </c>
      <c r="I864" s="11" t="s">
        <v>4607</v>
      </c>
      <c r="J864" s="9" t="str">
        <f>IFERROR(__xludf.DUMMYFUNCTION("""COMPUTED_VALUE"""),"https://www.google.com/search?newwindow=1&amp;ei=2MT0XrvGGM-vytMP1OyDgAY&amp;q=site%3Alinkedin.com+Anna+Longar+Associate+Director,+University+Recruiting")</f>
        <v>https://www.google.com/search?newwindow=1&amp;ei=2MT0XrvGGM-vytMP1OyDgAY&amp;q=site%3Alinkedin.com+Anna+Longar+Associate+Director,+University+Recruiting</v>
      </c>
      <c r="K864" s="5" t="str">
        <f t="shared" si="1"/>
        <v>Anna Longar</v>
      </c>
      <c r="L864" s="5" t="str">
        <f t="shared" si="2"/>
        <v>Associate Director, University Recruiting</v>
      </c>
      <c r="M864" s="5" t="str">
        <f t="shared" si="3"/>
        <v/>
      </c>
      <c r="N864" s="5" t="str">
        <f t="shared" si="4"/>
        <v>Gartner</v>
      </c>
      <c r="O864" s="5" t="str">
        <f t="shared" si="5"/>
        <v>1 year 8 months in role</v>
      </c>
      <c r="P864" s="5" t="str">
        <f t="shared" si="6"/>
        <v>Loveland</v>
      </c>
      <c r="Q864" s="5" t="str">
        <f t="shared" si="7"/>
        <v>Ohio</v>
      </c>
      <c r="R864" s="5" t="str">
        <f t="shared" si="8"/>
        <v>United States</v>
      </c>
    </row>
    <row r="865">
      <c r="A865" s="8" t="s">
        <v>6893</v>
      </c>
      <c r="B865" s="10" t="s">
        <v>6894</v>
      </c>
      <c r="C865" s="10" t="s">
        <v>110</v>
      </c>
      <c r="D865" s="10"/>
      <c r="E865" s="10" t="s">
        <v>2117</v>
      </c>
      <c r="F865" s="10" t="s">
        <v>15</v>
      </c>
      <c r="G865" s="11" t="s">
        <v>6577</v>
      </c>
      <c r="H865" s="11" t="s">
        <v>4757</v>
      </c>
      <c r="I865" s="11" t="s">
        <v>4607</v>
      </c>
      <c r="J865" s="9" t="str">
        <f>IFERROR(__xludf.DUMMYFUNCTION("""COMPUTED_VALUE"""),"https://www.google.com/search?newwindow=1&amp;ei=2MT0XrvGGM-vytMP1OyDgAY&amp;q=site%3Alinkedin.com+Nicholas+Lloyd+Graduate+Recruitment+and+University+Partnerships")</f>
        <v>https://www.google.com/search?newwindow=1&amp;ei=2MT0XrvGGM-vytMP1OyDgAY&amp;q=site%3Alinkedin.com+Nicholas+Lloyd+Graduate+Recruitment+and+University+Partnerships</v>
      </c>
      <c r="K865" s="5" t="str">
        <f t="shared" si="1"/>
        <v>Nicholas Lloyd</v>
      </c>
      <c r="L865" s="5" t="str">
        <f t="shared" si="2"/>
        <v>Graduate Recruitment and University Partnerships</v>
      </c>
      <c r="M865" s="5" t="str">
        <f t="shared" si="3"/>
        <v/>
      </c>
      <c r="N865" s="5" t="str">
        <f t="shared" si="4"/>
        <v>FDM Group</v>
      </c>
      <c r="O865" s="5" t="str">
        <f t="shared" si="5"/>
        <v>10 months in role and company</v>
      </c>
      <c r="P865" s="5" t="str">
        <f t="shared" si="6"/>
        <v>Macquarie Park</v>
      </c>
      <c r="Q865" s="5" t="str">
        <f t="shared" si="7"/>
        <v>New South Wales</v>
      </c>
      <c r="R865" s="5" t="str">
        <f t="shared" si="8"/>
        <v>Australia</v>
      </c>
    </row>
    <row r="866">
      <c r="A866" s="8" t="s">
        <v>6895</v>
      </c>
      <c r="B866" s="10" t="s">
        <v>6896</v>
      </c>
      <c r="C866" s="10" t="s">
        <v>25</v>
      </c>
      <c r="D866" s="10"/>
      <c r="E866" s="10" t="s">
        <v>3389</v>
      </c>
      <c r="F866" s="10" t="s">
        <v>512</v>
      </c>
      <c r="G866" s="11" t="s">
        <v>6577</v>
      </c>
      <c r="H866" s="11" t="s">
        <v>4757</v>
      </c>
      <c r="I866" s="11" t="s">
        <v>4607</v>
      </c>
      <c r="J866" s="9" t="str">
        <f>IFERROR(__xludf.DUMMYFUNCTION("""COMPUTED_VALUE"""),"https://www.google.com/search?newwindow=1&amp;ei=2MT0XrvGGM-vytMP1OyDgAY&amp;q=site%3Alinkedin.com+Shannon+Healey+Permanent+Placement+Helathcare+Recruiter")</f>
        <v>https://www.google.com/search?newwindow=1&amp;ei=2MT0XrvGGM-vytMP1OyDgAY&amp;q=site%3Alinkedin.com+Shannon+Healey+Permanent+Placement+Helathcare+Recruiter</v>
      </c>
      <c r="K866" s="5" t="str">
        <f t="shared" si="1"/>
        <v>Shannon Healey</v>
      </c>
      <c r="L866" s="5" t="str">
        <f t="shared" si="2"/>
        <v>Permanent Placement Helathcare Recruiter</v>
      </c>
      <c r="M866" s="5" t="str">
        <f t="shared" si="3"/>
        <v/>
      </c>
      <c r="N866" s="5" t="str">
        <f t="shared" si="4"/>
        <v>CoreMedical Group</v>
      </c>
      <c r="O866" s="5" t="str">
        <f t="shared" si="5"/>
        <v>11 months in role and company</v>
      </c>
      <c r="P866" s="5" t="str">
        <f t="shared" si="6"/>
        <v>Manchester</v>
      </c>
      <c r="Q866" s="5" t="str">
        <f t="shared" si="7"/>
        <v>New Hampshire</v>
      </c>
      <c r="R866" s="5" t="str">
        <f t="shared" si="8"/>
        <v>United States</v>
      </c>
    </row>
    <row r="867">
      <c r="A867" s="8" t="s">
        <v>6897</v>
      </c>
      <c r="B867" s="10" t="s">
        <v>6898</v>
      </c>
      <c r="C867" s="10" t="s">
        <v>6899</v>
      </c>
      <c r="D867" s="10"/>
      <c r="E867" s="10" t="s">
        <v>4270</v>
      </c>
      <c r="F867" s="10" t="s">
        <v>182</v>
      </c>
      <c r="G867" s="11" t="s">
        <v>6577</v>
      </c>
      <c r="H867" s="11" t="s">
        <v>4757</v>
      </c>
      <c r="I867" s="11" t="s">
        <v>4607</v>
      </c>
      <c r="J867" s="9" t="str">
        <f>IFERROR(__xludf.DUMMYFUNCTION("""COMPUTED_VALUE"""),"https://www.google.com/search?newwindow=1&amp;ei=2MT0XrvGGM-vytMP1OyDgAY&amp;q=site%3Alinkedin.com+Ash+Knight+Owner+/+Founder+/+Recruiter+(SaaS,+Graduate,+Sales,+Marketing+&amp;+Operations+Recruitment+&amp;+Rec2Rec)")</f>
        <v>https://www.google.com/search?newwindow=1&amp;ei=2MT0XrvGGM-vytMP1OyDgAY&amp;q=site%3Alinkedin.com+Ash+Knight+Owner+/+Founder+/+Recruiter+(SaaS,+Graduate,+Sales,+Marketing+&amp;+Operations+Recruitment+&amp;+Rec2Rec)</v>
      </c>
      <c r="K867" s="5" t="str">
        <f t="shared" si="1"/>
        <v>Ash Knight</v>
      </c>
      <c r="L867" s="5" t="str">
        <f t="shared" si="2"/>
        <v>Owner / Founder / Recruiter (SaaS, Graduate, Sales, Marketing &amp; Operations Recruitment &amp; Rec2Rec)</v>
      </c>
      <c r="M867" s="5" t="str">
        <f t="shared" si="3"/>
        <v/>
      </c>
      <c r="N867" s="5" t="str">
        <f t="shared" si="4"/>
        <v>Ashley James Group</v>
      </c>
      <c r="O867" s="5" t="str">
        <f t="shared" si="5"/>
        <v>4 years 8 months in role and company</v>
      </c>
      <c r="P867" s="5" t="str">
        <f t="shared" si="6"/>
        <v>Manchester</v>
      </c>
      <c r="Q867" s="5" t="str">
        <f t="shared" si="7"/>
        <v>England</v>
      </c>
      <c r="R867" s="5" t="str">
        <f t="shared" si="8"/>
        <v>United Kingdom</v>
      </c>
    </row>
    <row r="868">
      <c r="A868" s="8" t="s">
        <v>6900</v>
      </c>
      <c r="B868" s="12" t="s">
        <v>6901</v>
      </c>
      <c r="C868" s="10" t="s">
        <v>25</v>
      </c>
      <c r="D868" s="10"/>
      <c r="E868" s="10" t="s">
        <v>3389</v>
      </c>
      <c r="F868" s="10" t="s">
        <v>339</v>
      </c>
      <c r="G868" s="11" t="s">
        <v>6577</v>
      </c>
      <c r="H868" s="11" t="s">
        <v>4757</v>
      </c>
      <c r="I868" s="11" t="s">
        <v>4607</v>
      </c>
      <c r="J868" s="9" t="str">
        <f>IFERROR(__xludf.DUMMYFUNCTION("""COMPUTED_VALUE"""),"https://www.google.com/search?newwindow=1&amp;ei=2MT0XrvGGM-vytMP1OyDgAY&amp;q=site%3Alinkedin.com+Charlotte+Curle+University+Recruiter")</f>
        <v>https://www.google.com/search?newwindow=1&amp;ei=2MT0XrvGGM-vytMP1OyDgAY&amp;q=site%3Alinkedin.com+Charlotte+Curle+University+Recruiter</v>
      </c>
      <c r="K868" s="5" t="str">
        <f t="shared" si="1"/>
        <v>Charlotte Curle</v>
      </c>
      <c r="L868" s="5" t="str">
        <f t="shared" si="2"/>
        <v>University Recruiter</v>
      </c>
      <c r="M868" s="5" t="str">
        <f t="shared" si="3"/>
        <v/>
      </c>
      <c r="N868" s="5" t="str">
        <f t="shared" si="4"/>
        <v>Teach First</v>
      </c>
      <c r="O868" s="5" t="str">
        <f t="shared" si="5"/>
        <v>1 year 4 months in role and company</v>
      </c>
      <c r="P868" s="5" t="str">
        <f t="shared" si="6"/>
        <v>Manchester</v>
      </c>
      <c r="Q868" s="5" t="str">
        <f t="shared" si="7"/>
        <v>England</v>
      </c>
      <c r="R868" s="5" t="str">
        <f t="shared" si="8"/>
        <v>United Kingdom</v>
      </c>
    </row>
    <row r="869">
      <c r="A869" s="8" t="s">
        <v>6902</v>
      </c>
      <c r="B869" s="10" t="s">
        <v>6903</v>
      </c>
      <c r="C869" s="10" t="s">
        <v>6904</v>
      </c>
      <c r="D869" s="10"/>
      <c r="E869" s="10" t="s">
        <v>227</v>
      </c>
      <c r="F869" s="10" t="s">
        <v>387</v>
      </c>
      <c r="G869" s="11" t="s">
        <v>6577</v>
      </c>
      <c r="H869" s="11" t="s">
        <v>4757</v>
      </c>
      <c r="I869" s="11" t="s">
        <v>4607</v>
      </c>
      <c r="J869" s="9" t="str">
        <f>IFERROR(__xludf.DUMMYFUNCTION("""COMPUTED_VALUE"""),"https://www.google.com/search?newwindow=1&amp;ei=2MT0XrvGGM-vytMP1OyDgAY&amp;q=site%3Alinkedin.com+Damian+Cripps+Network+Graduate+and+Apprentice+Support+Manager")</f>
        <v>https://www.google.com/search?newwindow=1&amp;ei=2MT0XrvGGM-vytMP1OyDgAY&amp;q=site%3Alinkedin.com+Damian+Cripps+Network+Graduate+and+Apprentice+Support+Manager</v>
      </c>
      <c r="K869" s="5" t="str">
        <f t="shared" si="1"/>
        <v>Damian Cripps</v>
      </c>
      <c r="L869" s="5" t="str">
        <f t="shared" si="2"/>
        <v>Network Graduate and Apprentice Support Manager</v>
      </c>
      <c r="M869" s="5" t="str">
        <f t="shared" si="3"/>
        <v/>
      </c>
      <c r="N869" s="5" t="str">
        <f t="shared" si="4"/>
        <v>DPDgroup UK Limited</v>
      </c>
      <c r="O869" s="5" t="str">
        <f t="shared" si="5"/>
        <v>2 years 10 months in role and company</v>
      </c>
      <c r="P869" s="5" t="str">
        <f t="shared" si="6"/>
        <v>Manchester</v>
      </c>
      <c r="Q869" s="5" t="str">
        <f t="shared" si="7"/>
        <v>England</v>
      </c>
      <c r="R869" s="5" t="str">
        <f t="shared" si="8"/>
        <v>United Kingdom</v>
      </c>
    </row>
    <row r="870">
      <c r="A870" s="8" t="s">
        <v>6905</v>
      </c>
      <c r="B870" s="10" t="s">
        <v>6906</v>
      </c>
      <c r="C870" s="10" t="s">
        <v>6907</v>
      </c>
      <c r="D870" s="10"/>
      <c r="E870" s="10" t="s">
        <v>3389</v>
      </c>
      <c r="F870" s="10" t="s">
        <v>222</v>
      </c>
      <c r="G870" s="11" t="s">
        <v>6577</v>
      </c>
      <c r="H870" s="13" t="s">
        <v>4757</v>
      </c>
      <c r="I870" s="11" t="s">
        <v>4607</v>
      </c>
      <c r="J870" s="9" t="str">
        <f>IFERROR(__xludf.DUMMYFUNCTION("""COMPUTED_VALUE"""),"https://www.google.com/search?newwindow=1&amp;ei=2MT0XrvGGM-vytMP1OyDgAY&amp;q=site%3Alinkedin.com+Matthew+Williamson+Head+of+University+Recruitment")</f>
        <v>https://www.google.com/search?newwindow=1&amp;ei=2MT0XrvGGM-vytMP1OyDgAY&amp;q=site%3Alinkedin.com+Matthew+Williamson+Head+of+University+Recruitment</v>
      </c>
      <c r="K870" s="5" t="str">
        <f t="shared" si="1"/>
        <v>Matthew Williamson</v>
      </c>
      <c r="L870" s="5" t="str">
        <f t="shared" si="2"/>
        <v>Head of University Recruitment</v>
      </c>
      <c r="M870" s="5" t="str">
        <f t="shared" si="3"/>
        <v/>
      </c>
      <c r="N870" s="5" t="str">
        <f t="shared" si="4"/>
        <v>Teach First</v>
      </c>
      <c r="O870" s="5" t="str">
        <f t="shared" si="5"/>
        <v>2 years 7 months in role</v>
      </c>
      <c r="P870" s="5" t="str">
        <f t="shared" si="6"/>
        <v>Manchester</v>
      </c>
      <c r="Q870" s="5" t="str">
        <f t="shared" si="7"/>
        <v>England</v>
      </c>
      <c r="R870" s="5" t="str">
        <f t="shared" si="8"/>
        <v>United Kingdom</v>
      </c>
    </row>
    <row r="871">
      <c r="A871" s="8" t="s">
        <v>6908</v>
      </c>
      <c r="B871" s="10" t="s">
        <v>6909</v>
      </c>
      <c r="C871" s="10" t="s">
        <v>4596</v>
      </c>
      <c r="D871" s="10"/>
      <c r="E871" s="10" t="s">
        <v>6910</v>
      </c>
      <c r="F871" s="10" t="s">
        <v>4905</v>
      </c>
      <c r="G871" s="11" t="s">
        <v>6577</v>
      </c>
      <c r="H871" s="11" t="s">
        <v>4757</v>
      </c>
      <c r="I871" s="11" t="s">
        <v>4607</v>
      </c>
      <c r="J871" s="9" t="str">
        <f>IFERROR(__xludf.DUMMYFUNCTION("""COMPUTED_VALUE"""),"https://www.google.com/search?newwindow=1&amp;ei=2MT0XrvGGM-vytMP1OyDgAY&amp;q=site%3Alinkedin.com+Erin+Mckelvey+University+Recruitment+Manager")</f>
        <v>https://www.google.com/search?newwindow=1&amp;ei=2MT0XrvGGM-vytMP1OyDgAY&amp;q=site%3Alinkedin.com+Erin+Mckelvey+University+Recruitment+Manager</v>
      </c>
      <c r="K871" s="5" t="str">
        <f t="shared" si="1"/>
        <v>Erin Mckelvey</v>
      </c>
      <c r="L871" s="5" t="str">
        <f t="shared" si="2"/>
        <v>University Recruitment Manager</v>
      </c>
      <c r="M871" s="5" t="str">
        <f t="shared" si="3"/>
        <v/>
      </c>
      <c r="N871" s="5" t="str">
        <f t="shared" si="4"/>
        <v>Teach First</v>
      </c>
      <c r="O871" s="5" t="str">
        <f t="shared" si="5"/>
        <v>3 years  in role</v>
      </c>
      <c r="P871" s="5" t="str">
        <f t="shared" si="6"/>
        <v>Manchester</v>
      </c>
      <c r="Q871" s="5" t="str">
        <f t="shared" si="7"/>
        <v>England</v>
      </c>
      <c r="R871" s="5" t="str">
        <f t="shared" si="8"/>
        <v>United Kingdom</v>
      </c>
    </row>
    <row r="872">
      <c r="A872" s="8" t="s">
        <v>6911</v>
      </c>
      <c r="B872" s="12" t="s">
        <v>6912</v>
      </c>
      <c r="C872" s="10" t="s">
        <v>6913</v>
      </c>
      <c r="D872" s="10"/>
      <c r="E872" s="10" t="s">
        <v>6914</v>
      </c>
      <c r="F872" s="10" t="s">
        <v>106</v>
      </c>
      <c r="G872" s="11" t="s">
        <v>6577</v>
      </c>
      <c r="H872" s="11" t="s">
        <v>4757</v>
      </c>
      <c r="I872" s="11" t="s">
        <v>4607</v>
      </c>
      <c r="J872" s="9" t="str">
        <f>IFERROR(__xludf.DUMMYFUNCTION("""COMPUTED_VALUE"""),"https://www.google.com/search?newwindow=1&amp;ei=2MT0XrvGGM-vytMP1OyDgAY&amp;q=site%3Alinkedin.com+Tyler+Antonia+Datlen+Student+Recruiter+&amp;+Support+Advisor")</f>
        <v>https://www.google.com/search?newwindow=1&amp;ei=2MT0XrvGGM-vytMP1OyDgAY&amp;q=site%3Alinkedin.com+Tyler+Antonia+Datlen+Student+Recruiter+&amp;+Support+Advisor</v>
      </c>
      <c r="K872" s="5" t="str">
        <f t="shared" si="1"/>
        <v>Tyler Antonia Datlen</v>
      </c>
      <c r="L872" s="5" t="str">
        <f t="shared" si="2"/>
        <v>Student Recruiter &amp; Support Advisor</v>
      </c>
      <c r="M872" s="5" t="str">
        <f t="shared" si="3"/>
        <v/>
      </c>
      <c r="N872" s="5" t="str">
        <f t="shared" si="4"/>
        <v>The Open University</v>
      </c>
      <c r="O872" s="5" t="str">
        <f t="shared" si="5"/>
        <v>5 months in role and company</v>
      </c>
      <c r="P872" s="5" t="str">
        <f t="shared" si="6"/>
        <v>Manchester</v>
      </c>
      <c r="Q872" s="5" t="str">
        <f t="shared" si="7"/>
        <v>England</v>
      </c>
      <c r="R872" s="5" t="str">
        <f t="shared" si="8"/>
        <v>United Kingdom</v>
      </c>
    </row>
    <row r="873">
      <c r="A873" s="8" t="s">
        <v>6915</v>
      </c>
      <c r="B873" s="10" t="s">
        <v>6916</v>
      </c>
      <c r="C873" s="10" t="s">
        <v>6917</v>
      </c>
      <c r="D873" s="10"/>
      <c r="E873" s="10" t="s">
        <v>2349</v>
      </c>
      <c r="F873" s="10" t="s">
        <v>712</v>
      </c>
      <c r="G873" s="11" t="s">
        <v>6577</v>
      </c>
      <c r="H873" s="13" t="s">
        <v>4757</v>
      </c>
      <c r="I873" s="11" t="s">
        <v>4607</v>
      </c>
      <c r="J873" s="9" t="str">
        <f>IFERROR(__xludf.DUMMYFUNCTION("""COMPUTED_VALUE"""),"https://www.google.com/search?newwindow=1&amp;ei=2MT0XrvGGM-vytMP1OyDgAY&amp;q=site%3Alinkedin.com+Ffion+Rees+Hughes+Head+of+Marketing+and+Recruitment,+University+of+Manchester+Worldwide")</f>
        <v>https://www.google.com/search?newwindow=1&amp;ei=2MT0XrvGGM-vytMP1OyDgAY&amp;q=site%3Alinkedin.com+Ffion+Rees+Hughes+Head+of+Marketing+and+Recruitment,+University+of+Manchester+Worldwide</v>
      </c>
      <c r="K873" s="5" t="str">
        <f t="shared" si="1"/>
        <v>Ffion Rees Hughes</v>
      </c>
      <c r="L873" s="5" t="str">
        <f t="shared" si="2"/>
        <v>Head of Marketing and Recruitment, University of Manchester Worldwide</v>
      </c>
      <c r="M873" s="5" t="str">
        <f t="shared" si="3"/>
        <v/>
      </c>
      <c r="N873" s="5" t="str">
        <f t="shared" si="4"/>
        <v>The University of Manchester</v>
      </c>
      <c r="O873" s="5" t="str">
        <f t="shared" si="5"/>
        <v>3 years 6 months in role and company</v>
      </c>
      <c r="P873" s="5" t="str">
        <f t="shared" si="6"/>
        <v>Manchester</v>
      </c>
      <c r="Q873" s="5" t="str">
        <f t="shared" si="7"/>
        <v>England</v>
      </c>
      <c r="R873" s="5" t="str">
        <f t="shared" si="8"/>
        <v>United Kingdom</v>
      </c>
    </row>
    <row r="874">
      <c r="A874" s="8" t="s">
        <v>6918</v>
      </c>
      <c r="B874" s="10" t="s">
        <v>6919</v>
      </c>
      <c r="C874" s="10" t="s">
        <v>6920</v>
      </c>
      <c r="D874" s="10"/>
      <c r="E874" s="10" t="s">
        <v>6625</v>
      </c>
      <c r="F874" s="10" t="s">
        <v>387</v>
      </c>
      <c r="G874" s="11" t="s">
        <v>6577</v>
      </c>
      <c r="H874" s="11" t="s">
        <v>4757</v>
      </c>
      <c r="I874" s="11" t="s">
        <v>4607</v>
      </c>
      <c r="J874" s="9" t="str">
        <f>IFERROR(__xludf.DUMMYFUNCTION("""COMPUTED_VALUE"""),"https://www.google.com/search?newwindow=1&amp;ei=2MT0XrvGGM-vytMP1OyDgAY&amp;q=site%3Alinkedin.com+Jessica+McDonagh+Sales+Recruiter")</f>
        <v>https://www.google.com/search?newwindow=1&amp;ei=2MT0XrvGGM-vytMP1OyDgAY&amp;q=site%3Alinkedin.com+Jessica+McDonagh+Sales+Recruiter</v>
      </c>
      <c r="K874" s="5" t="str">
        <f t="shared" si="1"/>
        <v>Jessica McDonagh</v>
      </c>
      <c r="L874" s="5" t="str">
        <f t="shared" si="2"/>
        <v>Sales Recruiter</v>
      </c>
      <c r="M874" s="5" t="str">
        <f t="shared" si="3"/>
        <v/>
      </c>
      <c r="N874" s="9" t="str">
        <f t="shared" si="4"/>
        <v>ao.com</v>
      </c>
      <c r="O874" s="5" t="str">
        <f t="shared" si="5"/>
        <v>3 years 5 months in role and company</v>
      </c>
      <c r="P874" s="5" t="str">
        <f t="shared" si="6"/>
        <v>Manchester</v>
      </c>
      <c r="Q874" s="5" t="str">
        <f t="shared" si="7"/>
        <v>England</v>
      </c>
      <c r="R874" s="5" t="str">
        <f t="shared" si="8"/>
        <v>United Kingdom</v>
      </c>
    </row>
    <row r="875">
      <c r="A875" s="8" t="s">
        <v>6921</v>
      </c>
      <c r="B875" s="12" t="s">
        <v>6922</v>
      </c>
      <c r="C875" s="10" t="s">
        <v>5054</v>
      </c>
      <c r="D875" s="10"/>
      <c r="E875" s="10" t="s">
        <v>1447</v>
      </c>
      <c r="F875" s="10" t="s">
        <v>585</v>
      </c>
      <c r="G875" s="11" t="s">
        <v>6577</v>
      </c>
      <c r="H875" s="11" t="s">
        <v>4757</v>
      </c>
      <c r="I875" s="11" t="s">
        <v>4607</v>
      </c>
      <c r="J875" s="9" t="str">
        <f>IFERROR(__xludf.DUMMYFUNCTION("""COMPUTED_VALUE"""),"https://www.google.com/search?newwindow=1&amp;ei=2MT0XrvGGM-vytMP1OyDgAY&amp;q=site%3Alinkedin.com+Bridgewater+Graduates+Graduate+Recruiter")</f>
        <v>https://www.google.com/search?newwindow=1&amp;ei=2MT0XrvGGM-vytMP1OyDgAY&amp;q=site%3Alinkedin.com+Bridgewater+Graduates+Graduate+Recruiter</v>
      </c>
      <c r="K875" s="5" t="str">
        <f t="shared" si="1"/>
        <v>Bridgewater Graduates</v>
      </c>
      <c r="L875" s="5" t="str">
        <f t="shared" si="2"/>
        <v>Graduate Recruiter</v>
      </c>
      <c r="M875" s="5" t="str">
        <f t="shared" si="3"/>
        <v/>
      </c>
      <c r="N875" s="5" t="str">
        <f t="shared" si="4"/>
        <v>Bridgewater Resources UK</v>
      </c>
      <c r="O875" s="5" t="str">
        <f t="shared" si="5"/>
        <v>12 years 1 month in role and company</v>
      </c>
      <c r="P875" s="5" t="str">
        <f t="shared" si="6"/>
        <v>Manchester</v>
      </c>
      <c r="Q875" s="5" t="str">
        <f t="shared" si="7"/>
        <v>England</v>
      </c>
      <c r="R875" s="5" t="str">
        <f t="shared" si="8"/>
        <v>United Kingdom</v>
      </c>
    </row>
    <row r="876">
      <c r="A876" s="8" t="s">
        <v>6923</v>
      </c>
      <c r="B876" s="10" t="s">
        <v>6924</v>
      </c>
      <c r="C876" s="10" t="s">
        <v>6925</v>
      </c>
      <c r="D876" s="10"/>
      <c r="E876" s="10" t="s">
        <v>6736</v>
      </c>
      <c r="F876" s="10" t="s">
        <v>36</v>
      </c>
      <c r="G876" s="11" t="s">
        <v>6577</v>
      </c>
      <c r="H876" s="11" t="s">
        <v>4757</v>
      </c>
      <c r="I876" s="11" t="s">
        <v>4607</v>
      </c>
      <c r="J876" s="9" t="str">
        <f>IFERROR(__xludf.DUMMYFUNCTION("""COMPUTED_VALUE"""),"https://www.google.com/search?newwindow=1&amp;ei=2MT0XrvGGM-vytMP1OyDgAY&amp;q=site%3Alinkedin.com+Rachael+Jordan+Recruitment+and+Admissions+Manager,+University+Language+Centre")</f>
        <v>https://www.google.com/search?newwindow=1&amp;ei=2MT0XrvGGM-vytMP1OyDgAY&amp;q=site%3Alinkedin.com+Rachael+Jordan+Recruitment+and+Admissions+Manager,+University+Language+Centre</v>
      </c>
      <c r="K876" s="5" t="str">
        <f t="shared" si="1"/>
        <v>Rachael Jordan</v>
      </c>
      <c r="L876" s="5" t="str">
        <f t="shared" si="2"/>
        <v>Recruitment and Admissions Manager, University Language Centre</v>
      </c>
      <c r="M876" s="5" t="str">
        <f t="shared" si="3"/>
        <v/>
      </c>
      <c r="N876" s="5" t="str">
        <f t="shared" si="4"/>
        <v>The University of Manchester</v>
      </c>
      <c r="O876" s="5" t="str">
        <f t="shared" si="5"/>
        <v>6 years 2 months in role and company</v>
      </c>
      <c r="P876" s="5" t="str">
        <f t="shared" si="6"/>
        <v>Manchester</v>
      </c>
      <c r="Q876" s="5" t="str">
        <f t="shared" si="7"/>
        <v>England</v>
      </c>
      <c r="R876" s="5" t="str">
        <f t="shared" si="8"/>
        <v>United Kingdom</v>
      </c>
    </row>
    <row r="877">
      <c r="A877" s="8" t="s">
        <v>6926</v>
      </c>
      <c r="B877" s="10" t="s">
        <v>6927</v>
      </c>
      <c r="C877" s="10" t="s">
        <v>110</v>
      </c>
      <c r="D877" s="10"/>
      <c r="E877" s="10" t="s">
        <v>1908</v>
      </c>
      <c r="F877" s="10" t="s">
        <v>697</v>
      </c>
      <c r="G877" s="11" t="s">
        <v>6577</v>
      </c>
      <c r="H877" s="11" t="s">
        <v>4757</v>
      </c>
      <c r="I877" s="11" t="s">
        <v>4607</v>
      </c>
      <c r="J877" s="9" t="str">
        <f>IFERROR(__xludf.DUMMYFUNCTION("""COMPUTED_VALUE"""),"https://www.google.com/search?newwindow=1&amp;ei=2MT0XrvGGM-vytMP1OyDgAY&amp;q=site%3Alinkedin.com+Stefan+Kosharevski+Recruitment+assistant+and+mental+health+project+coordinator")</f>
        <v>https://www.google.com/search?newwindow=1&amp;ei=2MT0XrvGGM-vytMP1OyDgAY&amp;q=site%3Alinkedin.com+Stefan+Kosharevski+Recruitment+assistant+and+mental+health+project+coordinator</v>
      </c>
      <c r="K877" s="5" t="str">
        <f t="shared" si="1"/>
        <v>Stefan Kosharevski</v>
      </c>
      <c r="L877" s="5" t="str">
        <f t="shared" si="2"/>
        <v>Recruitment assistant and mental health project coordinator</v>
      </c>
      <c r="M877" s="5" t="str">
        <f t="shared" si="3"/>
        <v/>
      </c>
      <c r="N877" s="5" t="str">
        <f t="shared" si="4"/>
        <v>Treatment without Borders</v>
      </c>
      <c r="O877" s="5" t="str">
        <f t="shared" si="5"/>
        <v>4 years 8 months in role and company</v>
      </c>
      <c r="P877" s="5" t="str">
        <f t="shared" si="6"/>
        <v>Manchester</v>
      </c>
      <c r="Q877" s="5" t="str">
        <f t="shared" si="7"/>
        <v>England</v>
      </c>
      <c r="R877" s="5" t="str">
        <f t="shared" si="8"/>
        <v>United Kingdom</v>
      </c>
    </row>
    <row r="878">
      <c r="A878" s="8" t="s">
        <v>6928</v>
      </c>
      <c r="B878" s="10" t="s">
        <v>6929</v>
      </c>
      <c r="C878" s="10" t="s">
        <v>5054</v>
      </c>
      <c r="D878" s="10"/>
      <c r="E878" s="10" t="s">
        <v>6930</v>
      </c>
      <c r="F878" s="10" t="s">
        <v>3110</v>
      </c>
      <c r="G878" s="11" t="s">
        <v>6577</v>
      </c>
      <c r="H878" s="11" t="s">
        <v>4757</v>
      </c>
      <c r="I878" s="11" t="s">
        <v>4607</v>
      </c>
      <c r="J878" s="9" t="str">
        <f>IFERROR(__xludf.DUMMYFUNCTION("""COMPUTED_VALUE"""),"https://www.google.com/search?newwindow=1&amp;ei=2MT0XrvGGM-vytMP1OyDgAY&amp;q=site%3Alinkedin.com+Noor+Albeldawe+Official+International+Recruitment+Representative+of+Liverpool+John+Moores+University")</f>
        <v>https://www.google.com/search?newwindow=1&amp;ei=2MT0XrvGGM-vytMP1OyDgAY&amp;q=site%3Alinkedin.com+Noor+Albeldawe+Official+International+Recruitment+Representative+of+Liverpool+John+Moores+University</v>
      </c>
      <c r="K878" s="5" t="str">
        <f t="shared" si="1"/>
        <v>Noor Albeldawe</v>
      </c>
      <c r="L878" s="5" t="str">
        <f t="shared" si="2"/>
        <v>Official International Recruitment Representative of Liverpool John Moores University</v>
      </c>
      <c r="M878" s="5" t="str">
        <f t="shared" si="3"/>
        <v/>
      </c>
      <c r="N878" s="5" t="str">
        <f t="shared" si="4"/>
        <v>Liverpool John Moores University</v>
      </c>
      <c r="O878" s="5" t="str">
        <f t="shared" si="5"/>
        <v>6 years 10 months in role and company</v>
      </c>
      <c r="P878" s="5" t="str">
        <f t="shared" si="6"/>
        <v>Manchester</v>
      </c>
      <c r="Q878" s="5" t="str">
        <f t="shared" si="7"/>
        <v>England</v>
      </c>
      <c r="R878" s="5" t="str">
        <f t="shared" si="8"/>
        <v>United Kingdom</v>
      </c>
    </row>
    <row r="879">
      <c r="A879" s="8" t="s">
        <v>6931</v>
      </c>
      <c r="B879" s="12" t="s">
        <v>6932</v>
      </c>
      <c r="C879" s="10" t="s">
        <v>6933</v>
      </c>
      <c r="D879" s="10"/>
      <c r="E879" s="10" t="s">
        <v>1447</v>
      </c>
      <c r="F879" s="10" t="s">
        <v>74</v>
      </c>
      <c r="G879" s="11" t="s">
        <v>6577</v>
      </c>
      <c r="H879" s="11" t="s">
        <v>4757</v>
      </c>
      <c r="I879" s="11" t="s">
        <v>4607</v>
      </c>
      <c r="J879" s="9" t="str">
        <f>IFERROR(__xludf.DUMMYFUNCTION("""COMPUTED_VALUE"""),"https://www.google.com/search?newwindow=1&amp;ei=2MT0XrvGGM-vytMP1OyDgAY&amp;q=site%3Alinkedin.com+ian+Nuttall+Campus+Recruiting+Manager")</f>
        <v>https://www.google.com/search?newwindow=1&amp;ei=2MT0XrvGGM-vytMP1OyDgAY&amp;q=site%3Alinkedin.com+ian+Nuttall+Campus+Recruiting+Manager</v>
      </c>
      <c r="K879" s="5" t="str">
        <f t="shared" si="1"/>
        <v>ian Nuttall</v>
      </c>
      <c r="L879" s="5" t="str">
        <f t="shared" si="2"/>
        <v>Campus Recruiting Manager</v>
      </c>
      <c r="M879" s="5" t="str">
        <f t="shared" si="3"/>
        <v/>
      </c>
      <c r="N879" s="5" t="str">
        <f t="shared" si="4"/>
        <v>Oldham College</v>
      </c>
      <c r="O879" s="5" t="str">
        <f t="shared" si="5"/>
        <v/>
      </c>
      <c r="P879" s="5" t="str">
        <f t="shared" si="6"/>
        <v>Manchester</v>
      </c>
      <c r="Q879" s="5" t="str">
        <f t="shared" si="7"/>
        <v>England</v>
      </c>
      <c r="R879" s="5" t="str">
        <f t="shared" si="8"/>
        <v>United Kingdom</v>
      </c>
    </row>
    <row r="880">
      <c r="A880" s="8" t="s">
        <v>6934</v>
      </c>
      <c r="B880" s="10" t="s">
        <v>6935</v>
      </c>
      <c r="C880" s="10" t="s">
        <v>25</v>
      </c>
      <c r="D880" s="10"/>
      <c r="E880" s="10" t="s">
        <v>4895</v>
      </c>
      <c r="F880" s="10" t="s">
        <v>213</v>
      </c>
      <c r="G880" s="11" t="s">
        <v>6577</v>
      </c>
      <c r="H880" s="11" t="s">
        <v>4757</v>
      </c>
      <c r="I880" s="11" t="s">
        <v>4607</v>
      </c>
      <c r="J880" s="9" t="str">
        <f>IFERROR(__xludf.DUMMYFUNCTION("""COMPUTED_VALUE"""),"https://www.google.com/search?newwindow=1&amp;ei=2MT0XrvGGM-vytMP1OyDgAY&amp;q=site%3Alinkedin.com+Jerry+Kirby+Campus+Recruiting+Representative")</f>
        <v>https://www.google.com/search?newwindow=1&amp;ei=2MT0XrvGGM-vytMP1OyDgAY&amp;q=site%3Alinkedin.com+Jerry+Kirby+Campus+Recruiting+Representative</v>
      </c>
      <c r="K880" s="5" t="str">
        <f t="shared" si="1"/>
        <v>Jerry Kirby</v>
      </c>
      <c r="L880" s="5" t="str">
        <f t="shared" si="2"/>
        <v>Campus Recruiting Representative</v>
      </c>
      <c r="M880" s="5" t="str">
        <f t="shared" si="3"/>
        <v/>
      </c>
      <c r="N880" s="5" t="str">
        <f t="shared" si="4"/>
        <v>Lockheed Martin</v>
      </c>
      <c r="O880" s="5" t="str">
        <f t="shared" si="5"/>
        <v/>
      </c>
      <c r="P880" s="5" t="str">
        <f t="shared" si="6"/>
        <v>Marietta</v>
      </c>
      <c r="Q880" s="5" t="str">
        <f t="shared" si="7"/>
        <v>Georgia</v>
      </c>
      <c r="R880" s="5" t="str">
        <f t="shared" si="8"/>
        <v>United States</v>
      </c>
    </row>
    <row r="881">
      <c r="A881" s="8" t="s">
        <v>6936</v>
      </c>
      <c r="B881" s="10" t="s">
        <v>6937</v>
      </c>
      <c r="C881" s="10" t="s">
        <v>6938</v>
      </c>
      <c r="D881" s="10"/>
      <c r="E881" s="10" t="s">
        <v>6615</v>
      </c>
      <c r="F881" s="10" t="s">
        <v>100</v>
      </c>
      <c r="G881" s="11" t="s">
        <v>6577</v>
      </c>
      <c r="H881" s="11" t="s">
        <v>4757</v>
      </c>
      <c r="I881" s="11" t="s">
        <v>4607</v>
      </c>
      <c r="J881" s="9" t="str">
        <f>IFERROR(__xludf.DUMMYFUNCTION("""COMPUTED_VALUE"""),"https://www.google.com/search?newwindow=1&amp;ei=2MT0XrvGGM-vytMP1OyDgAY&amp;q=site%3Alinkedin.com+Anuja+J.+Programs+Specialist,+Member+and+Student+Experience")</f>
        <v>https://www.google.com/search?newwindow=1&amp;ei=2MT0XrvGGM-vytMP1OyDgAY&amp;q=site%3Alinkedin.com+Anuja+J.+Programs+Specialist,+Member+and+Student+Experience</v>
      </c>
      <c r="K881" s="5" t="str">
        <f t="shared" si="1"/>
        <v>Anuja J.</v>
      </c>
      <c r="L881" s="5" t="str">
        <f t="shared" si="2"/>
        <v>Programs Specialist, Member and Student Experience</v>
      </c>
      <c r="M881" s="5" t="str">
        <f t="shared" si="3"/>
        <v/>
      </c>
      <c r="N881" s="5" t="str">
        <f t="shared" si="4"/>
        <v>Chartered Professional Accountants of Ontario (CPA Ontario)</v>
      </c>
      <c r="O881" s="5" t="str">
        <f t="shared" si="5"/>
        <v>1 year 8 months in role and company</v>
      </c>
      <c r="P881" s="5" t="str">
        <f t="shared" si="6"/>
        <v>Markham</v>
      </c>
      <c r="Q881" s="5" t="str">
        <f t="shared" si="7"/>
        <v>Ontario</v>
      </c>
      <c r="R881" s="5" t="str">
        <f t="shared" si="8"/>
        <v>Canada</v>
      </c>
    </row>
    <row r="882">
      <c r="A882" s="8" t="s">
        <v>6939</v>
      </c>
      <c r="B882" s="10" t="s">
        <v>6940</v>
      </c>
      <c r="C882" s="10" t="s">
        <v>6941</v>
      </c>
      <c r="D882" s="10"/>
      <c r="E882" s="10" t="s">
        <v>4836</v>
      </c>
      <c r="F882" s="10" t="s">
        <v>125</v>
      </c>
      <c r="G882" s="11" t="s">
        <v>6577</v>
      </c>
      <c r="H882" s="11" t="s">
        <v>4757</v>
      </c>
      <c r="I882" s="11" t="s">
        <v>4607</v>
      </c>
      <c r="J882" s="9" t="str">
        <f>IFERROR(__xludf.DUMMYFUNCTION("""COMPUTED_VALUE"""),"https://www.google.com/search?newwindow=1&amp;ei=2MT0XrvGGM-vytMP1OyDgAY&amp;q=site%3Alinkedin.com+Tiffany+Kwok+Placement+Student")</f>
        <v>https://www.google.com/search?newwindow=1&amp;ei=2MT0XrvGGM-vytMP1OyDgAY&amp;q=site%3Alinkedin.com+Tiffany+Kwok+Placement+Student</v>
      </c>
      <c r="K882" s="5" t="str">
        <f t="shared" si="1"/>
        <v>Tiffany Kwok</v>
      </c>
      <c r="L882" s="5" t="str">
        <f t="shared" si="2"/>
        <v>Placement Student</v>
      </c>
      <c r="M882" s="5" t="str">
        <f t="shared" si="3"/>
        <v/>
      </c>
      <c r="N882" s="5" t="str">
        <f t="shared" si="4"/>
        <v>City of Toronto - Social Development, Finance, Administration Division</v>
      </c>
      <c r="O882" s="5" t="str">
        <f t="shared" si="5"/>
        <v>2 months in role and company</v>
      </c>
      <c r="P882" s="5" t="str">
        <f t="shared" si="6"/>
        <v>Markham</v>
      </c>
      <c r="Q882" s="5" t="str">
        <f t="shared" si="7"/>
        <v>Ontario</v>
      </c>
      <c r="R882" s="5" t="str">
        <f t="shared" si="8"/>
        <v>Canada</v>
      </c>
    </row>
    <row r="883">
      <c r="A883" s="8" t="s">
        <v>6942</v>
      </c>
      <c r="B883" s="12" t="s">
        <v>6943</v>
      </c>
      <c r="C883" s="10" t="s">
        <v>6944</v>
      </c>
      <c r="D883" s="10"/>
      <c r="E883" s="10" t="s">
        <v>4788</v>
      </c>
      <c r="F883" s="10" t="s">
        <v>3110</v>
      </c>
      <c r="G883" s="11" t="s">
        <v>6577</v>
      </c>
      <c r="H883" s="11" t="s">
        <v>4757</v>
      </c>
      <c r="I883" s="11" t="s">
        <v>4607</v>
      </c>
      <c r="J883" s="9" t="str">
        <f>IFERROR(__xludf.DUMMYFUNCTION("""COMPUTED_VALUE"""),"https://www.google.com/search?newwindow=1&amp;ei=2MT0XrvGGM-vytMP1OyDgAY&amp;q=site%3Alinkedin.com+Kelly+Chen+International+Student+Programs+Assistant")</f>
        <v>https://www.google.com/search?newwindow=1&amp;ei=2MT0XrvGGM-vytMP1OyDgAY&amp;q=site%3Alinkedin.com+Kelly+Chen+International+Student+Programs+Assistant</v>
      </c>
      <c r="K883" s="5" t="str">
        <f t="shared" si="1"/>
        <v>Kelly Chen</v>
      </c>
      <c r="L883" s="5" t="str">
        <f t="shared" si="2"/>
        <v>International Student Programs Assistant</v>
      </c>
      <c r="M883" s="5" t="str">
        <f t="shared" si="3"/>
        <v/>
      </c>
      <c r="N883" s="5" t="str">
        <f t="shared" si="4"/>
        <v>York University</v>
      </c>
      <c r="O883" s="5" t="str">
        <f t="shared" si="5"/>
        <v>2 years 7 months in role</v>
      </c>
      <c r="P883" s="5" t="str">
        <f t="shared" si="6"/>
        <v>Markham</v>
      </c>
      <c r="Q883" s="5" t="str">
        <f t="shared" si="7"/>
        <v>Ontario</v>
      </c>
      <c r="R883" s="5" t="str">
        <f t="shared" si="8"/>
        <v>Canada</v>
      </c>
    </row>
    <row r="884">
      <c r="A884" s="8" t="s">
        <v>6945</v>
      </c>
      <c r="B884" s="10" t="s">
        <v>6946</v>
      </c>
      <c r="C884" s="10" t="s">
        <v>6947</v>
      </c>
      <c r="D884" s="10"/>
      <c r="E884" s="10" t="s">
        <v>6948</v>
      </c>
      <c r="F884" s="10" t="s">
        <v>100</v>
      </c>
      <c r="G884" s="11" t="s">
        <v>6577</v>
      </c>
      <c r="H884" s="11" t="s">
        <v>4638</v>
      </c>
      <c r="I884" s="11" t="s">
        <v>4600</v>
      </c>
      <c r="J884" s="9" t="str">
        <f>IFERROR(__xludf.DUMMYFUNCTION("""COMPUTED_VALUE"""),"https://www.google.com/search?newwindow=1&amp;ei=2MT0XrvGGM-vytMP1OyDgAY&amp;q=site%3Alinkedin.com+Amanda+Moir+Internal+Recruitment+Executive+|+Candidate+Acquisition+Specialist+|+Graduate+Recruiter")</f>
        <v>https://www.google.com/search?newwindow=1&amp;ei=2MT0XrvGGM-vytMP1OyDgAY&amp;q=site%3Alinkedin.com+Amanda+Moir+Internal+Recruitment+Executive+|+Candidate+Acquisition+Specialist+|+Graduate+Recruiter</v>
      </c>
      <c r="K884" s="5" t="str">
        <f t="shared" si="1"/>
        <v>Amanda Moir</v>
      </c>
      <c r="L884" s="5" t="str">
        <f t="shared" si="2"/>
        <v>Internal Recruitment Executive | Candidate Acquisition Specialist | Graduate Recruiter</v>
      </c>
      <c r="M884" s="5" t="str">
        <f t="shared" si="3"/>
        <v/>
      </c>
      <c r="N884" s="5" t="str">
        <f t="shared" si="4"/>
        <v>Softcat plc</v>
      </c>
      <c r="O884" s="5" t="str">
        <f t="shared" si="5"/>
        <v>13 years 10 months in role and company</v>
      </c>
      <c r="P884" s="5" t="str">
        <f t="shared" si="6"/>
        <v>Marlow</v>
      </c>
      <c r="Q884" s="5" t="str">
        <f t="shared" si="7"/>
        <v>England</v>
      </c>
      <c r="R884" s="5" t="str">
        <f t="shared" si="8"/>
        <v>United Kingdom</v>
      </c>
    </row>
    <row r="885">
      <c r="A885" s="8" t="s">
        <v>6949</v>
      </c>
      <c r="B885" s="10" t="s">
        <v>6950</v>
      </c>
      <c r="C885" s="10" t="s">
        <v>6951</v>
      </c>
      <c r="D885" s="10"/>
      <c r="E885" s="10" t="s">
        <v>6773</v>
      </c>
      <c r="F885" s="10" t="s">
        <v>1300</v>
      </c>
      <c r="G885" s="11" t="s">
        <v>6577</v>
      </c>
      <c r="H885" s="11" t="s">
        <v>4757</v>
      </c>
      <c r="I885" s="11" t="s">
        <v>4607</v>
      </c>
      <c r="J885" s="9" t="str">
        <f>IFERROR(__xludf.DUMMYFUNCTION("""COMPUTED_VALUE"""),"https://www.google.com/search?newwindow=1&amp;ei=2MT0XrvGGM-vytMP1OyDgAY&amp;q=site%3Alinkedin.com+De'Shay+Turner+Campus+Recruiting+Supervising+Associate")</f>
        <v>https://www.google.com/search?newwindow=1&amp;ei=2MT0XrvGGM-vytMP1OyDgAY&amp;q=site%3Alinkedin.com+De'Shay+Turner+Campus+Recruiting+Supervising+Associate</v>
      </c>
      <c r="K885" s="5" t="str">
        <f t="shared" si="1"/>
        <v>De'Shay Turner</v>
      </c>
      <c r="L885" s="5" t="str">
        <f t="shared" si="2"/>
        <v>Campus Recruiting Supervising Associate</v>
      </c>
      <c r="M885" s="5" t="str">
        <f t="shared" si="3"/>
        <v/>
      </c>
      <c r="N885" s="5" t="str">
        <f t="shared" si="4"/>
        <v>EY</v>
      </c>
      <c r="O885" s="5" t="str">
        <f t="shared" si="5"/>
        <v>1 year 3 months in role and company</v>
      </c>
      <c r="P885" s="5" t="str">
        <f t="shared" si="6"/>
        <v>McLean</v>
      </c>
      <c r="Q885" s="5" t="str">
        <f t="shared" si="7"/>
        <v>Virginia</v>
      </c>
      <c r="R885" s="5" t="str">
        <f t="shared" si="8"/>
        <v>United States</v>
      </c>
    </row>
    <row r="886">
      <c r="A886" s="8" t="s">
        <v>6952</v>
      </c>
      <c r="B886" s="12" t="s">
        <v>6953</v>
      </c>
      <c r="C886" s="10" t="s">
        <v>6954</v>
      </c>
      <c r="D886" s="10"/>
      <c r="E886" s="10" t="s">
        <v>4788</v>
      </c>
      <c r="F886" s="10" t="s">
        <v>149</v>
      </c>
      <c r="G886" s="11" t="s">
        <v>6577</v>
      </c>
      <c r="H886" s="11" t="s">
        <v>4757</v>
      </c>
      <c r="I886" s="11" t="s">
        <v>4607</v>
      </c>
      <c r="J886" s="9" t="str">
        <f>IFERROR(__xludf.DUMMYFUNCTION("""COMPUTED_VALUE"""),"https://www.google.com/search?newwindow=1&amp;ei=2MT0XrvGGM-vytMP1OyDgAY&amp;q=site%3Alinkedin.com+Rheanna+Martino+Assistant+Director,+Talent+Attraction+&amp;+Acquisition+–+Campus+Recruiting")</f>
        <v>https://www.google.com/search?newwindow=1&amp;ei=2MT0XrvGGM-vytMP1OyDgAY&amp;q=site%3Alinkedin.com+Rheanna+Martino+Assistant+Director,+Talent+Attraction+&amp;+Acquisition+–+Campus+Recruiting</v>
      </c>
      <c r="K886" s="5" t="str">
        <f t="shared" si="1"/>
        <v>Rheanna Martino</v>
      </c>
      <c r="L886" s="5" t="str">
        <f t="shared" si="2"/>
        <v>Assistant Director, Talent Attraction &amp; Acquisition – Campus Recruiting</v>
      </c>
      <c r="M886" s="5" t="str">
        <f t="shared" si="3"/>
        <v/>
      </c>
      <c r="N886" s="5" t="str">
        <f t="shared" si="4"/>
        <v>EY</v>
      </c>
      <c r="O886" s="5" t="str">
        <f t="shared" si="5"/>
        <v>4 months in role</v>
      </c>
      <c r="P886" s="5" t="str">
        <f t="shared" si="6"/>
        <v>McLean</v>
      </c>
      <c r="Q886" s="5" t="str">
        <f t="shared" si="7"/>
        <v>Virginia</v>
      </c>
      <c r="R886" s="5" t="str">
        <f t="shared" si="8"/>
        <v>United States</v>
      </c>
    </row>
    <row r="887">
      <c r="A887" s="8" t="s">
        <v>6955</v>
      </c>
      <c r="B887" s="12" t="s">
        <v>6956</v>
      </c>
      <c r="C887" s="10" t="s">
        <v>6957</v>
      </c>
      <c r="D887" s="10"/>
      <c r="E887" s="10" t="s">
        <v>2349</v>
      </c>
      <c r="F887" s="10" t="s">
        <v>661</v>
      </c>
      <c r="G887" s="11" t="s">
        <v>6577</v>
      </c>
      <c r="H887" s="11" t="s">
        <v>4757</v>
      </c>
      <c r="I887" s="11" t="s">
        <v>4607</v>
      </c>
      <c r="J887" s="9" t="str">
        <f>IFERROR(__xludf.DUMMYFUNCTION("""COMPUTED_VALUE"""),"https://www.google.com/search?newwindow=1&amp;ei=2MT0XrvGGM-vytMP1OyDgAY&amp;q=site%3Alinkedin.com+Kelli+Bakopanos+(Speidel)+Federal+Campus+Recruiting+Senior+Manager")</f>
        <v>https://www.google.com/search?newwindow=1&amp;ei=2MT0XrvGGM-vytMP1OyDgAY&amp;q=site%3Alinkedin.com+Kelli+Bakopanos+(Speidel)+Federal+Campus+Recruiting+Senior+Manager</v>
      </c>
      <c r="K887" s="5" t="str">
        <f t="shared" si="1"/>
        <v>Kelli Bakopanos (Speidel)</v>
      </c>
      <c r="L887" s="5" t="str">
        <f t="shared" si="2"/>
        <v>Federal Campus Recruiting Senior Manager</v>
      </c>
      <c r="M887" s="5" t="str">
        <f t="shared" si="3"/>
        <v/>
      </c>
      <c r="N887" s="5" t="str">
        <f t="shared" si="4"/>
        <v>Deloitte</v>
      </c>
      <c r="O887" s="5" t="str">
        <f t="shared" si="5"/>
        <v>5 years 10 months in role</v>
      </c>
      <c r="P887" s="5" t="str">
        <f t="shared" si="6"/>
        <v>McLean</v>
      </c>
      <c r="Q887" s="5" t="str">
        <f t="shared" si="7"/>
        <v>Virginia</v>
      </c>
      <c r="R887" s="5" t="str">
        <f t="shared" si="8"/>
        <v>United States</v>
      </c>
    </row>
    <row r="888">
      <c r="A888" s="8" t="s">
        <v>6958</v>
      </c>
      <c r="B888" s="10" t="s">
        <v>6959</v>
      </c>
      <c r="C888" s="10" t="s">
        <v>6502</v>
      </c>
      <c r="D888" s="10"/>
      <c r="E888" s="10" t="s">
        <v>4632</v>
      </c>
      <c r="F888" s="10" t="s">
        <v>1123</v>
      </c>
      <c r="G888" s="11" t="s">
        <v>6577</v>
      </c>
      <c r="H888" s="11" t="s">
        <v>4757</v>
      </c>
      <c r="I888" s="11" t="s">
        <v>4607</v>
      </c>
      <c r="J888" s="9" t="str">
        <f>IFERROR(__xludf.DUMMYFUNCTION("""COMPUTED_VALUE"""),"https://www.google.com/search?newwindow=1&amp;ei=2MT0XrvGGM-vytMP1OyDgAY&amp;q=site%3Alinkedin.com+Aaron+Hendrickson+Senior+Manager,+Campus+Recruiting")</f>
        <v>https://www.google.com/search?newwindow=1&amp;ei=2MT0XrvGGM-vytMP1OyDgAY&amp;q=site%3Alinkedin.com+Aaron+Hendrickson+Senior+Manager,+Campus+Recruiting</v>
      </c>
      <c r="K888" s="5" t="str">
        <f t="shared" si="1"/>
        <v>Aaron Hendrickson</v>
      </c>
      <c r="L888" s="5" t="str">
        <f t="shared" si="2"/>
        <v>Senior Manager, Campus Recruiting</v>
      </c>
      <c r="M888" s="5" t="str">
        <f t="shared" si="3"/>
        <v/>
      </c>
      <c r="N888" s="5" t="str">
        <f t="shared" si="4"/>
        <v>Capital One</v>
      </c>
      <c r="O888" s="5" t="str">
        <f t="shared" si="5"/>
        <v>3 years 10 months in role</v>
      </c>
      <c r="P888" s="5" t="str">
        <f t="shared" si="6"/>
        <v>Mechanicsville</v>
      </c>
      <c r="Q888" s="5" t="str">
        <f t="shared" si="7"/>
        <v>Virginia</v>
      </c>
      <c r="R888" s="5" t="str">
        <f t="shared" si="8"/>
        <v>United States</v>
      </c>
    </row>
    <row r="889">
      <c r="A889" s="8" t="s">
        <v>6960</v>
      </c>
      <c r="B889" s="12" t="s">
        <v>6961</v>
      </c>
      <c r="C889" s="10" t="s">
        <v>5054</v>
      </c>
      <c r="D889" s="10"/>
      <c r="E889" s="10" t="s">
        <v>6962</v>
      </c>
      <c r="F889" s="10" t="s">
        <v>1448</v>
      </c>
      <c r="G889" s="11" t="s">
        <v>6577</v>
      </c>
      <c r="H889" s="11" t="s">
        <v>4757</v>
      </c>
      <c r="I889" s="11" t="s">
        <v>4607</v>
      </c>
      <c r="J889" s="9" t="str">
        <f>IFERROR(__xludf.DUMMYFUNCTION("""COMPUTED_VALUE"""),"https://www.google.com/search?newwindow=1&amp;ei=2MT0XrvGGM-vytMP1OyDgAY&amp;q=site%3Alinkedin.com+Kerry+Watson+Coordinator+of+Student+Services+(Primary+Programs)")</f>
        <v>https://www.google.com/search?newwindow=1&amp;ei=2MT0XrvGGM-vytMP1OyDgAY&amp;q=site%3Alinkedin.com+Kerry+Watson+Coordinator+of+Student+Services+(Primary+Programs)</v>
      </c>
      <c r="K889" s="5" t="str">
        <f t="shared" si="1"/>
        <v>Kerry Watson</v>
      </c>
      <c r="L889" s="5" t="str">
        <f t="shared" si="2"/>
        <v>Coordinator of Student Services (Primary Programs)</v>
      </c>
      <c r="M889" s="5" t="str">
        <f t="shared" si="3"/>
        <v/>
      </c>
      <c r="N889" s="5" t="str">
        <f t="shared" si="4"/>
        <v>Prairie Rose School Division No. 8</v>
      </c>
      <c r="O889" s="5" t="str">
        <f t="shared" si="5"/>
        <v/>
      </c>
      <c r="P889" s="5" t="str">
        <f t="shared" si="6"/>
        <v>Medicine Hat</v>
      </c>
      <c r="Q889" s="5" t="str">
        <f t="shared" si="7"/>
        <v>Alberta</v>
      </c>
      <c r="R889" s="5" t="str">
        <f t="shared" si="8"/>
        <v>Canada</v>
      </c>
    </row>
    <row r="890">
      <c r="A890" s="8" t="s">
        <v>6963</v>
      </c>
      <c r="B890" s="12" t="s">
        <v>6964</v>
      </c>
      <c r="C890" s="10" t="s">
        <v>6965</v>
      </c>
      <c r="D890" s="10"/>
      <c r="E890" s="10" t="s">
        <v>6966</v>
      </c>
      <c r="F890" s="10" t="s">
        <v>1357</v>
      </c>
      <c r="G890" s="11" t="s">
        <v>6577</v>
      </c>
      <c r="H890" s="11" t="s">
        <v>4757</v>
      </c>
      <c r="I890" s="11" t="s">
        <v>4607</v>
      </c>
      <c r="J890" s="9" t="str">
        <f>IFERROR(__xludf.DUMMYFUNCTION("""COMPUTED_VALUE"""),"https://www.google.com/search?newwindow=1&amp;ei=2MT0XrvGGM-vytMP1OyDgAY&amp;q=site%3Alinkedin.com+Maggie+Mansfield+Campus+Recruiting+Coordinator")</f>
        <v>https://www.google.com/search?newwindow=1&amp;ei=2MT0XrvGGM-vytMP1OyDgAY&amp;q=site%3Alinkedin.com+Maggie+Mansfield+Campus+Recruiting+Coordinator</v>
      </c>
      <c r="K890" s="5" t="str">
        <f t="shared" si="1"/>
        <v>Maggie Mansfield</v>
      </c>
      <c r="L890" s="5" t="str">
        <f t="shared" si="2"/>
        <v>Campus Recruiting Coordinator</v>
      </c>
      <c r="M890" s="5" t="str">
        <f t="shared" si="3"/>
        <v/>
      </c>
      <c r="N890" s="5" t="str">
        <f t="shared" si="4"/>
        <v>EY</v>
      </c>
      <c r="O890" s="5" t="str">
        <f t="shared" si="5"/>
        <v>1 year 3 months in role and company</v>
      </c>
      <c r="P890" s="5" t="str">
        <f t="shared" si="6"/>
        <v>Medway</v>
      </c>
      <c r="Q890" s="5" t="str">
        <f t="shared" si="7"/>
        <v>Massachusetts</v>
      </c>
      <c r="R890" s="5" t="str">
        <f t="shared" si="8"/>
        <v>United States</v>
      </c>
    </row>
    <row r="891">
      <c r="A891" s="8" t="s">
        <v>6967</v>
      </c>
      <c r="B891" s="10" t="s">
        <v>6968</v>
      </c>
      <c r="C891" s="10" t="s">
        <v>6969</v>
      </c>
      <c r="D891" s="10"/>
      <c r="E891" s="10" t="s">
        <v>2297</v>
      </c>
      <c r="F891" s="10" t="s">
        <v>446</v>
      </c>
      <c r="G891" s="11" t="s">
        <v>6577</v>
      </c>
      <c r="H891" s="11" t="s">
        <v>4757</v>
      </c>
      <c r="I891" s="11" t="s">
        <v>4607</v>
      </c>
      <c r="J891" s="9" t="str">
        <f>IFERROR(__xludf.DUMMYFUNCTION("""COMPUTED_VALUE"""),"https://www.google.com/search?newwindow=1&amp;ei=2MT0XrvGGM-vytMP1OyDgAY&amp;q=site%3Alinkedin.com+Cristina+B.+Talent+Acquisition+Campus+Recruiter+for+PwC+Legal+and+Strategy&amp;")</f>
        <v>https://www.google.com/search?newwindow=1&amp;ei=2MT0XrvGGM-vytMP1OyDgAY&amp;q=site%3Alinkedin.com+Cristina+B.+Talent+Acquisition+Campus+Recruiter+for+PwC+Legal+and+Strategy&amp;</v>
      </c>
      <c r="K891" s="5" t="str">
        <f t="shared" si="1"/>
        <v>Cristina B.</v>
      </c>
      <c r="L891" s="5" t="str">
        <f t="shared" si="2"/>
        <v>Talent Acquisition Campus Recruiter for PwC Legal and Strategy&amp;</v>
      </c>
      <c r="M891" s="5" t="str">
        <f t="shared" si="3"/>
        <v/>
      </c>
      <c r="N891" s="5" t="str">
        <f t="shared" si="4"/>
        <v>PwC</v>
      </c>
      <c r="O891" s="5" t="str">
        <f t="shared" si="5"/>
        <v>1 year 8 months in role and company</v>
      </c>
      <c r="P891" s="5" t="str">
        <f t="shared" si="6"/>
        <v>Melbourne</v>
      </c>
      <c r="Q891" s="5" t="str">
        <f t="shared" si="7"/>
        <v>Victoria</v>
      </c>
      <c r="R891" s="5" t="str">
        <f t="shared" si="8"/>
        <v>Australia</v>
      </c>
    </row>
    <row r="892">
      <c r="A892" s="8" t="s">
        <v>6970</v>
      </c>
      <c r="B892" s="12" t="s">
        <v>6971</v>
      </c>
      <c r="C892" s="10" t="s">
        <v>6972</v>
      </c>
      <c r="D892" s="10"/>
      <c r="E892" s="10" t="s">
        <v>6615</v>
      </c>
      <c r="F892" s="10" t="s">
        <v>512</v>
      </c>
      <c r="G892" s="11" t="s">
        <v>6577</v>
      </c>
      <c r="H892" s="11" t="s">
        <v>4757</v>
      </c>
      <c r="I892" s="11" t="s">
        <v>4607</v>
      </c>
      <c r="J892" s="9" t="str">
        <f>IFERROR(__xludf.DUMMYFUNCTION("""COMPUTED_VALUE"""),"https://www.google.com/search?newwindow=1&amp;ei=2MT0XrvGGM-vytMP1OyDgAY&amp;q=site%3Alinkedin.com+Anisha+Pillai+Project+Officer+|+Student+Engagement+and+Peer+Programs")</f>
        <v>https://www.google.com/search?newwindow=1&amp;ei=2MT0XrvGGM-vytMP1OyDgAY&amp;q=site%3Alinkedin.com+Anisha+Pillai+Project+Officer+|+Student+Engagement+and+Peer+Programs</v>
      </c>
      <c r="K892" s="5" t="str">
        <f t="shared" si="1"/>
        <v>Anisha Pillai</v>
      </c>
      <c r="L892" s="5" t="str">
        <f t="shared" si="2"/>
        <v>Project Officer | Student Engagement and Peer Programs</v>
      </c>
      <c r="M892" s="5" t="str">
        <f t="shared" si="3"/>
        <v/>
      </c>
      <c r="N892" s="5" t="str">
        <f t="shared" si="4"/>
        <v>University of Melbourne</v>
      </c>
      <c r="O892" s="5" t="str">
        <f t="shared" si="5"/>
        <v>1 year 8 months in role</v>
      </c>
      <c r="P892" s="5" t="str">
        <f t="shared" si="6"/>
        <v>Melbourne</v>
      </c>
      <c r="Q892" s="5" t="str">
        <f t="shared" si="7"/>
        <v>Victoria</v>
      </c>
      <c r="R892" s="5" t="str">
        <f t="shared" si="8"/>
        <v>Australia</v>
      </c>
    </row>
    <row r="893">
      <c r="A893" s="8" t="s">
        <v>6973</v>
      </c>
      <c r="B893" s="12" t="s">
        <v>6974</v>
      </c>
      <c r="C893" s="10" t="s">
        <v>6975</v>
      </c>
      <c r="D893" s="10"/>
      <c r="E893" s="10" t="s">
        <v>1447</v>
      </c>
      <c r="F893" s="10" t="s">
        <v>3110</v>
      </c>
      <c r="G893" s="11" t="s">
        <v>6577</v>
      </c>
      <c r="H893" s="11" t="s">
        <v>4757</v>
      </c>
      <c r="I893" s="11" t="s">
        <v>4607</v>
      </c>
      <c r="J893" s="9" t="str">
        <f>IFERROR(__xludf.DUMMYFUNCTION("""COMPUTED_VALUE"""),"https://www.google.com/search?newwindow=1&amp;ei=2MT0XrvGGM-vytMP1OyDgAY&amp;q=site%3Alinkedin.com+Amber+Sowden+Head+of+Staff+&amp;+Student+Health+and+Wellbeing+Programs")</f>
        <v>https://www.google.com/search?newwindow=1&amp;ei=2MT0XrvGGM-vytMP1OyDgAY&amp;q=site%3Alinkedin.com+Amber+Sowden+Head+of+Staff+&amp;+Student+Health+and+Wellbeing+Programs</v>
      </c>
      <c r="K893" s="5" t="str">
        <f t="shared" si="1"/>
        <v>Amber Sowden</v>
      </c>
      <c r="L893" s="5" t="str">
        <f t="shared" si="2"/>
        <v>Head of Staff &amp; Student Health and Wellbeing Programs</v>
      </c>
      <c r="M893" s="5" t="str">
        <f t="shared" si="3"/>
        <v/>
      </c>
      <c r="N893" s="5" t="str">
        <f t="shared" si="4"/>
        <v>Strathcona Girls Grammar</v>
      </c>
      <c r="O893" s="5" t="str">
        <f t="shared" si="5"/>
        <v>10 months in role and company</v>
      </c>
      <c r="P893" s="5" t="str">
        <f t="shared" si="6"/>
        <v>Melbourne</v>
      </c>
      <c r="Q893" s="5" t="str">
        <f t="shared" si="7"/>
        <v>Victoria</v>
      </c>
      <c r="R893" s="5" t="str">
        <f t="shared" si="8"/>
        <v>Australia</v>
      </c>
    </row>
    <row r="894">
      <c r="A894" s="8" t="s">
        <v>6976</v>
      </c>
      <c r="B894" s="12" t="s">
        <v>6977</v>
      </c>
      <c r="C894" s="10" t="s">
        <v>6978</v>
      </c>
      <c r="D894" s="10"/>
      <c r="E894" s="10" t="s">
        <v>492</v>
      </c>
      <c r="F894" s="10" t="s">
        <v>165</v>
      </c>
      <c r="G894" s="11" t="s">
        <v>6577</v>
      </c>
      <c r="H894" s="11" t="s">
        <v>4757</v>
      </c>
      <c r="I894" s="11" t="s">
        <v>4607</v>
      </c>
      <c r="J894" s="9" t="str">
        <f>IFERROR(__xludf.DUMMYFUNCTION("""COMPUTED_VALUE"""),"https://www.google.com/search?newwindow=1&amp;ei=2MT0XrvGGM-vytMP1OyDgAY&amp;q=site%3Alinkedin.com+Elizabeth+Hu+Onshore+Recruitment+-+University+Host")</f>
        <v>https://www.google.com/search?newwindow=1&amp;ei=2MT0XrvGGM-vytMP1OyDgAY&amp;q=site%3Alinkedin.com+Elizabeth+Hu+Onshore+Recruitment+-+University+Host</v>
      </c>
      <c r="K894" s="5" t="str">
        <f t="shared" si="1"/>
        <v>Elizabeth Hu</v>
      </c>
      <c r="L894" s="5" t="str">
        <f t="shared" si="2"/>
        <v>Onshore Recruitment - University Host</v>
      </c>
      <c r="M894" s="5" t="str">
        <f t="shared" si="3"/>
        <v/>
      </c>
      <c r="N894" s="5" t="str">
        <f t="shared" si="4"/>
        <v>University of Melbourne</v>
      </c>
      <c r="O894" s="5" t="str">
        <f t="shared" si="5"/>
        <v>2 years 9 months in role and company</v>
      </c>
      <c r="P894" s="5" t="str">
        <f t="shared" si="6"/>
        <v>Melbourne</v>
      </c>
      <c r="Q894" s="5" t="str">
        <f t="shared" si="7"/>
        <v>Victoria</v>
      </c>
      <c r="R894" s="5" t="str">
        <f t="shared" si="8"/>
        <v>Australia</v>
      </c>
    </row>
    <row r="895">
      <c r="A895" s="8" t="s">
        <v>6979</v>
      </c>
      <c r="B895" s="12" t="s">
        <v>6980</v>
      </c>
      <c r="C895" s="10" t="s">
        <v>6981</v>
      </c>
      <c r="D895" s="10"/>
      <c r="E895" s="10" t="s">
        <v>4788</v>
      </c>
      <c r="F895" s="10" t="s">
        <v>60</v>
      </c>
      <c r="G895" s="11" t="s">
        <v>6577</v>
      </c>
      <c r="H895" s="11" t="s">
        <v>4757</v>
      </c>
      <c r="I895" s="11" t="s">
        <v>4607</v>
      </c>
      <c r="J895" s="9" t="str">
        <f>IFERROR(__xludf.DUMMYFUNCTION("""COMPUTED_VALUE"""),"https://www.google.com/search?newwindow=1&amp;ei=2MT0XrvGGM-vytMP1OyDgAY&amp;q=site%3Alinkedin.com+Gina+Peele+OLY+Director+of+Student+Programs")</f>
        <v>https://www.google.com/search?newwindow=1&amp;ei=2MT0XrvGGM-vytMP1OyDgAY&amp;q=site%3Alinkedin.com+Gina+Peele+OLY+Director+of+Student+Programs</v>
      </c>
      <c r="K895" s="5" t="str">
        <f t="shared" si="1"/>
        <v>Gina Peele OLY</v>
      </c>
      <c r="L895" s="5" t="str">
        <f t="shared" si="2"/>
        <v>Director of Student Programs</v>
      </c>
      <c r="M895" s="5" t="str">
        <f t="shared" si="3"/>
        <v/>
      </c>
      <c r="N895" s="5" t="str">
        <f t="shared" si="4"/>
        <v>St Catherine's School</v>
      </c>
      <c r="O895" s="5" t="str">
        <f t="shared" si="5"/>
        <v>4 years 3 months in role and company</v>
      </c>
      <c r="P895" s="5" t="str">
        <f t="shared" si="6"/>
        <v>Melbourne</v>
      </c>
      <c r="Q895" s="5" t="str">
        <f t="shared" si="7"/>
        <v>Victoria</v>
      </c>
      <c r="R895" s="5" t="str">
        <f t="shared" si="8"/>
        <v>Australia</v>
      </c>
    </row>
    <row r="896">
      <c r="A896" s="8" t="s">
        <v>6581</v>
      </c>
      <c r="B896" s="10" t="s">
        <v>6582</v>
      </c>
      <c r="C896" s="10" t="s">
        <v>25</v>
      </c>
      <c r="D896" s="10"/>
      <c r="E896" s="10" t="s">
        <v>6583</v>
      </c>
      <c r="F896" s="10" t="s">
        <v>100</v>
      </c>
      <c r="G896" s="11" t="s">
        <v>6577</v>
      </c>
      <c r="H896" s="11" t="s">
        <v>4638</v>
      </c>
      <c r="I896" s="11" t="s">
        <v>4600</v>
      </c>
      <c r="J896" s="9" t="str">
        <f>IFERROR(__xludf.DUMMYFUNCTION("""COMPUTED_VALUE"""),"https://www.google.com/search?newwindow=1&amp;ei=2MT0XrvGGM-vytMP1OyDgAY&amp;q=site%3Alinkedin.com+Maria+Nguyen+National+Coordinator+Student+Programs")</f>
        <v>https://www.google.com/search?newwindow=1&amp;ei=2MT0XrvGGM-vytMP1OyDgAY&amp;q=site%3Alinkedin.com+Maria+Nguyen+National+Coordinator+Student+Programs</v>
      </c>
      <c r="K896" s="5" t="str">
        <f t="shared" si="1"/>
        <v>Maria Nguyen</v>
      </c>
      <c r="L896" s="5" t="str">
        <f t="shared" si="2"/>
        <v>National Coordinator Student Programs</v>
      </c>
      <c r="M896" s="5" t="str">
        <f t="shared" si="3"/>
        <v/>
      </c>
      <c r="N896" s="5" t="str">
        <f t="shared" si="4"/>
        <v>Professionals Australia</v>
      </c>
      <c r="O896" s="5" t="str">
        <f t="shared" si="5"/>
        <v>10 months in role and company</v>
      </c>
      <c r="P896" s="5" t="str">
        <f t="shared" si="6"/>
        <v>Melbourne</v>
      </c>
      <c r="Q896" s="5" t="str">
        <f t="shared" si="7"/>
        <v>Victoria</v>
      </c>
      <c r="R896" s="5" t="str">
        <f t="shared" si="8"/>
        <v>Australia</v>
      </c>
    </row>
    <row r="897">
      <c r="A897" s="8" t="s">
        <v>6982</v>
      </c>
      <c r="B897" s="10" t="s">
        <v>6983</v>
      </c>
      <c r="C897" s="10" t="s">
        <v>25</v>
      </c>
      <c r="D897" s="10"/>
      <c r="E897" s="10" t="s">
        <v>4895</v>
      </c>
      <c r="F897" s="10" t="s">
        <v>125</v>
      </c>
      <c r="G897" s="11" t="s">
        <v>6577</v>
      </c>
      <c r="H897" s="11" t="s">
        <v>4757</v>
      </c>
      <c r="I897" s="11" t="s">
        <v>4607</v>
      </c>
      <c r="J897" s="9" t="str">
        <f>IFERROR(__xludf.DUMMYFUNCTION("""COMPUTED_VALUE"""),"https://www.google.com/search?newwindow=1&amp;ei=2MT0XrvGGM-vytMP1OyDgAY&amp;q=site%3Alinkedin.com+Jill+C.+Student+Engagement+Officer+-+Programs")</f>
        <v>https://www.google.com/search?newwindow=1&amp;ei=2MT0XrvGGM-vytMP1OyDgAY&amp;q=site%3Alinkedin.com+Jill+C.+Student+Engagement+Officer+-+Programs</v>
      </c>
      <c r="K897" s="5" t="str">
        <f t="shared" si="1"/>
        <v>Jill C.</v>
      </c>
      <c r="L897" s="5" t="str">
        <f t="shared" si="2"/>
        <v>Student Engagement Officer - Programs</v>
      </c>
      <c r="M897" s="5" t="str">
        <f t="shared" si="3"/>
        <v/>
      </c>
      <c r="N897" s="5" t="str">
        <f t="shared" si="4"/>
        <v>Graduate Student Association, University of Melbourne</v>
      </c>
      <c r="O897" s="5" t="str">
        <f t="shared" si="5"/>
        <v>1 month in role and company</v>
      </c>
      <c r="P897" s="5" t="str">
        <f t="shared" si="6"/>
        <v>Melbourne</v>
      </c>
      <c r="Q897" s="5" t="str">
        <f t="shared" si="7"/>
        <v>Victoria</v>
      </c>
      <c r="R897" s="5" t="str">
        <f t="shared" si="8"/>
        <v>Australia</v>
      </c>
    </row>
    <row r="898">
      <c r="A898" s="8" t="s">
        <v>6984</v>
      </c>
      <c r="B898" s="10" t="s">
        <v>6985</v>
      </c>
      <c r="C898" s="10" t="s">
        <v>6986</v>
      </c>
      <c r="D898" s="10"/>
      <c r="E898" s="10" t="s">
        <v>1007</v>
      </c>
      <c r="F898" s="10" t="s">
        <v>409</v>
      </c>
      <c r="G898" s="11" t="s">
        <v>6577</v>
      </c>
      <c r="H898" s="11" t="s">
        <v>4757</v>
      </c>
      <c r="I898" s="11" t="s">
        <v>4607</v>
      </c>
      <c r="J898" s="9" t="str">
        <f>IFERROR(__xludf.DUMMYFUNCTION("""COMPUTED_VALUE"""),"https://www.google.com/search?newwindow=1&amp;ei=2MT0XrvGGM-vytMP1OyDgAY&amp;q=site%3Alinkedin.com+Kate+Kennedy-Ripon+Senior+Student+Experience+Programs+Officer")</f>
        <v>https://www.google.com/search?newwindow=1&amp;ei=2MT0XrvGGM-vytMP1OyDgAY&amp;q=site%3Alinkedin.com+Kate+Kennedy-Ripon+Senior+Student+Experience+Programs+Officer</v>
      </c>
      <c r="K898" s="5" t="str">
        <f t="shared" si="1"/>
        <v>Kate Kennedy-Ripon</v>
      </c>
      <c r="L898" s="5" t="str">
        <f t="shared" si="2"/>
        <v>Senior Student Experience Programs Officer</v>
      </c>
      <c r="M898" s="5" t="str">
        <f t="shared" si="3"/>
        <v/>
      </c>
      <c r="N898" s="5" t="str">
        <f t="shared" si="4"/>
        <v>Monash University</v>
      </c>
      <c r="O898" s="5" t="str">
        <f t="shared" si="5"/>
        <v>11 months in role and company</v>
      </c>
      <c r="P898" s="5" t="str">
        <f t="shared" si="6"/>
        <v>Melbourne</v>
      </c>
      <c r="Q898" s="5" t="str">
        <f t="shared" si="7"/>
        <v>Victoria</v>
      </c>
      <c r="R898" s="5" t="str">
        <f t="shared" si="8"/>
        <v>Australia</v>
      </c>
    </row>
    <row r="899">
      <c r="A899" s="8" t="s">
        <v>6987</v>
      </c>
      <c r="B899" s="10" t="s">
        <v>6988</v>
      </c>
      <c r="C899" s="10" t="s">
        <v>6989</v>
      </c>
      <c r="D899" s="10"/>
      <c r="E899" s="10" t="s">
        <v>6990</v>
      </c>
      <c r="F899" s="10" t="s">
        <v>188</v>
      </c>
      <c r="G899" s="11" t="s">
        <v>6577</v>
      </c>
      <c r="H899" s="11" t="s">
        <v>4757</v>
      </c>
      <c r="I899" s="11" t="s">
        <v>4607</v>
      </c>
      <c r="J899" s="9" t="str">
        <f>IFERROR(__xludf.DUMMYFUNCTION("""COMPUTED_VALUE"""),"https://www.google.com/search?newwindow=1&amp;ei=2MT0XrvGGM-vytMP1OyDgAY&amp;q=site%3Alinkedin.com+Christina+Leahy+Manager+-+Student+Programs")</f>
        <v>https://www.google.com/search?newwindow=1&amp;ei=2MT0XrvGGM-vytMP1OyDgAY&amp;q=site%3Alinkedin.com+Christina+Leahy+Manager+-+Student+Programs</v>
      </c>
      <c r="K899" s="5" t="str">
        <f t="shared" si="1"/>
        <v>Christina Leahy</v>
      </c>
      <c r="L899" s="5" t="str">
        <f t="shared" si="2"/>
        <v>Manager - Student Programs</v>
      </c>
      <c r="M899" s="5" t="str">
        <f t="shared" si="3"/>
        <v/>
      </c>
      <c r="N899" s="5" t="str">
        <f t="shared" si="4"/>
        <v>Australian Volunteers International</v>
      </c>
      <c r="O899" s="5" t="str">
        <f t="shared" si="5"/>
        <v>2 years 7 months in role</v>
      </c>
      <c r="P899" s="5" t="str">
        <f t="shared" si="6"/>
        <v>Melbourne</v>
      </c>
      <c r="Q899" s="5" t="str">
        <f t="shared" si="7"/>
        <v>Victoria</v>
      </c>
      <c r="R899" s="5" t="str">
        <f t="shared" si="8"/>
        <v>Australia</v>
      </c>
    </row>
    <row r="900">
      <c r="A900" s="8" t="s">
        <v>6991</v>
      </c>
      <c r="B900" s="10" t="s">
        <v>6992</v>
      </c>
      <c r="C900" s="10" t="s">
        <v>5054</v>
      </c>
      <c r="D900" s="10"/>
      <c r="E900" s="10" t="s">
        <v>6993</v>
      </c>
      <c r="F900" s="10" t="s">
        <v>188</v>
      </c>
      <c r="G900" s="11" t="s">
        <v>6577</v>
      </c>
      <c r="H900" s="11" t="s">
        <v>4757</v>
      </c>
      <c r="I900" s="11" t="s">
        <v>4607</v>
      </c>
      <c r="J900" s="9" t="str">
        <f>IFERROR(__xludf.DUMMYFUNCTION("""COMPUTED_VALUE"""),"https://www.google.com/search?newwindow=1&amp;ei=2MT0XrvGGM-vytMP1OyDgAY&amp;q=site%3Alinkedin.com+Shari+Blanck+Student+Programs+Coordinator")</f>
        <v>https://www.google.com/search?newwindow=1&amp;ei=2MT0XrvGGM-vytMP1OyDgAY&amp;q=site%3Alinkedin.com+Shari+Blanck+Student+Programs+Coordinator</v>
      </c>
      <c r="K900" s="5" t="str">
        <f t="shared" si="1"/>
        <v>Shari Blanck</v>
      </c>
      <c r="L900" s="5" t="str">
        <f t="shared" si="2"/>
        <v>Student Programs Coordinator</v>
      </c>
      <c r="M900" s="5" t="str">
        <f t="shared" si="3"/>
        <v/>
      </c>
      <c r="N900" s="5" t="str">
        <f t="shared" si="4"/>
        <v>The University of Melbourne</v>
      </c>
      <c r="O900" s="5" t="str">
        <f t="shared" si="5"/>
        <v>4 years 9 months in role</v>
      </c>
      <c r="P900" s="5" t="str">
        <f t="shared" si="6"/>
        <v>Melbourne</v>
      </c>
      <c r="Q900" s="5" t="str">
        <f t="shared" si="7"/>
        <v>Victoria</v>
      </c>
      <c r="R900" s="5" t="str">
        <f t="shared" si="8"/>
        <v>Australia</v>
      </c>
    </row>
    <row r="901">
      <c r="A901" s="8" t="s">
        <v>6994</v>
      </c>
      <c r="B901" s="10" t="s">
        <v>6995</v>
      </c>
      <c r="C901" s="10" t="s">
        <v>6996</v>
      </c>
      <c r="D901" s="10"/>
      <c r="E901" s="10" t="s">
        <v>227</v>
      </c>
      <c r="F901" s="10" t="s">
        <v>121</v>
      </c>
      <c r="G901" s="11" t="s">
        <v>6577</v>
      </c>
      <c r="H901" s="11" t="s">
        <v>4757</v>
      </c>
      <c r="I901" s="11" t="s">
        <v>4607</v>
      </c>
      <c r="J901" s="5" t="str">
        <f>IFERROR(__xludf.DUMMYFUNCTION("""COMPUTED_VALUE"""),"https://www.google.com/search?newwindow=1&amp;ei=2MT0XrvGGM-vytMP1OyDgAY&amp;q=site%3Alinkedin.com+Kate+Shum+Consulting+Programs+Manager+–+Student+
Management")</f>
        <v>https://www.google.com/search?newwindow=1&amp;ei=2MT0XrvGGM-vytMP1OyDgAY&amp;q=site%3Alinkedin.com+Kate+Shum+Consulting+Programs+Manager+–+Student+
Management</v>
      </c>
      <c r="K901" s="5" t="str">
        <f t="shared" si="1"/>
        <v>Kate Shum</v>
      </c>
      <c r="L901" s="5" t="str">
        <f t="shared" si="2"/>
        <v>Consulting Programs Manager – Student 
Management</v>
      </c>
      <c r="M901" s="5" t="str">
        <f t="shared" si="3"/>
        <v/>
      </c>
      <c r="N901" s="5" t="str">
        <f t="shared" si="4"/>
        <v>TechnologyOne</v>
      </c>
      <c r="O901" s="5" t="str">
        <f t="shared" si="5"/>
        <v>2 years 1 month in role and company</v>
      </c>
      <c r="P901" s="5" t="str">
        <f t="shared" si="6"/>
        <v>Melbourne</v>
      </c>
      <c r="Q901" s="5" t="str">
        <f t="shared" si="7"/>
        <v>Victoria</v>
      </c>
      <c r="R901" s="5" t="str">
        <f t="shared" si="8"/>
        <v>Australia</v>
      </c>
    </row>
    <row r="902">
      <c r="A902" s="8" t="s">
        <v>6997</v>
      </c>
      <c r="B902" s="10" t="s">
        <v>6998</v>
      </c>
      <c r="C902" s="10" t="s">
        <v>6999</v>
      </c>
      <c r="D902" s="10"/>
      <c r="E902" s="10" t="s">
        <v>6859</v>
      </c>
      <c r="F902" s="10" t="s">
        <v>437</v>
      </c>
      <c r="G902" s="11" t="s">
        <v>6577</v>
      </c>
      <c r="H902" s="11" t="s">
        <v>4638</v>
      </c>
      <c r="I902" s="11" t="s">
        <v>4600</v>
      </c>
      <c r="J902" s="9" t="str">
        <f>IFERROR(__xludf.DUMMYFUNCTION("""COMPUTED_VALUE"""),"https://www.google.com/search?newwindow=1&amp;ei=2MT0XrvGGM-vytMP1OyDgAY&amp;q=site%3Alinkedin.com+Susan+Wood+Student+programs+coordinator")</f>
        <v>https://www.google.com/search?newwindow=1&amp;ei=2MT0XrvGGM-vytMP1OyDgAY&amp;q=site%3Alinkedin.com+Susan+Wood+Student+programs+coordinator</v>
      </c>
      <c r="K902" s="5" t="str">
        <f t="shared" si="1"/>
        <v>Susan Wood</v>
      </c>
      <c r="L902" s="5" t="str">
        <f t="shared" si="2"/>
        <v>Student programs coordinator</v>
      </c>
      <c r="M902" s="5" t="str">
        <f t="shared" si="3"/>
        <v/>
      </c>
      <c r="N902" s="5" t="str">
        <f t="shared" si="4"/>
        <v>John Paul College, Frankston</v>
      </c>
      <c r="O902" s="5" t="str">
        <f t="shared" si="5"/>
        <v>19 years 10 months in role and company</v>
      </c>
      <c r="P902" s="5" t="str">
        <f t="shared" si="6"/>
        <v>Melbourne</v>
      </c>
      <c r="Q902" s="5" t="str">
        <f t="shared" si="7"/>
        <v>Victoria</v>
      </c>
      <c r="R902" s="5" t="str">
        <f t="shared" si="8"/>
        <v>Australia</v>
      </c>
    </row>
    <row r="903">
      <c r="A903" s="8" t="s">
        <v>7000</v>
      </c>
      <c r="B903" s="10" t="s">
        <v>7001</v>
      </c>
      <c r="C903" s="10" t="s">
        <v>6286</v>
      </c>
      <c r="D903" s="10"/>
      <c r="E903" s="10" t="s">
        <v>4836</v>
      </c>
      <c r="F903" s="10" t="s">
        <v>585</v>
      </c>
      <c r="G903" s="11" t="s">
        <v>6577</v>
      </c>
      <c r="H903" s="11" t="s">
        <v>4757</v>
      </c>
      <c r="I903" s="11" t="s">
        <v>4607</v>
      </c>
      <c r="J903" s="9" t="str">
        <f>IFERROR(__xludf.DUMMYFUNCTION("""COMPUTED_VALUE"""),"https://www.google.com/search?newwindow=1&amp;ei=2MT0XrvGGM-vytMP1OyDgAY&amp;q=site%3Alinkedin.com+Amanda+Martin+-+International+Leadership+Impact+International+leadership+strategist+designing+programs+and+measuring+the+impact+of+leaders,+CEO")</f>
        <v>https://www.google.com/search?newwindow=1&amp;ei=2MT0XrvGGM-vytMP1OyDgAY&amp;q=site%3Alinkedin.com+Amanda+Martin+-+International+Leadership+Impact+International+leadership+strategist+designing+programs+and+measuring+the+impact+of+leaders,+CEO</v>
      </c>
      <c r="K903" s="5" t="str">
        <f t="shared" si="1"/>
        <v>Amanda Martin - International Leadership Impact</v>
      </c>
      <c r="L903" s="5" t="str">
        <f t="shared" si="2"/>
        <v>International leadership strategist designing programs and measuring the impact of leaders, CEO</v>
      </c>
      <c r="M903" s="5" t="str">
        <f t="shared" si="3"/>
        <v/>
      </c>
      <c r="N903" s="5" t="str">
        <f t="shared" si="4"/>
        <v>Centre for Executive Development Impact</v>
      </c>
      <c r="O903" s="5" t="str">
        <f t="shared" si="5"/>
        <v>3 years  in role and company</v>
      </c>
      <c r="P903" s="5" t="str">
        <f t="shared" si="6"/>
        <v>Melbourne</v>
      </c>
      <c r="Q903" s="5" t="str">
        <f t="shared" si="7"/>
        <v>Victoria</v>
      </c>
      <c r="R903" s="5" t="str">
        <f t="shared" si="8"/>
        <v>Australia</v>
      </c>
    </row>
    <row r="904">
      <c r="A904" s="8" t="s">
        <v>7002</v>
      </c>
      <c r="B904" s="12" t="s">
        <v>7003</v>
      </c>
      <c r="C904" s="10" t="s">
        <v>7004</v>
      </c>
      <c r="D904" s="10"/>
      <c r="E904" s="10" t="s">
        <v>6640</v>
      </c>
      <c r="F904" s="10" t="s">
        <v>165</v>
      </c>
      <c r="G904" s="11" t="s">
        <v>6577</v>
      </c>
      <c r="H904" s="11" t="s">
        <v>4757</v>
      </c>
      <c r="I904" s="11" t="s">
        <v>4607</v>
      </c>
      <c r="J904" s="9" t="str">
        <f>IFERROR(__xludf.DUMMYFUNCTION("""COMPUTED_VALUE"""),"https://www.google.com/search?newwindow=1&amp;ei=2MT0XrvGGM-vytMP1OyDgAY&amp;q=site%3Alinkedin.com+Sarah+J.+Student+Programs+Officer")</f>
        <v>https://www.google.com/search?newwindow=1&amp;ei=2MT0XrvGGM-vytMP1OyDgAY&amp;q=site%3Alinkedin.com+Sarah+J.+Student+Programs+Officer</v>
      </c>
      <c r="K904" s="5" t="str">
        <f t="shared" si="1"/>
        <v>Sarah J.</v>
      </c>
      <c r="L904" s="5" t="str">
        <f t="shared" si="2"/>
        <v>Student Programs Officer</v>
      </c>
      <c r="M904" s="5" t="str">
        <f t="shared" si="3"/>
        <v/>
      </c>
      <c r="N904" s="5" t="str">
        <f t="shared" si="4"/>
        <v>University of Melbourne</v>
      </c>
      <c r="O904" s="5" t="str">
        <f t="shared" si="5"/>
        <v>1 year 10 months in role and company</v>
      </c>
      <c r="P904" s="5" t="str">
        <f t="shared" si="6"/>
        <v>Melbourne</v>
      </c>
      <c r="Q904" s="5" t="str">
        <f t="shared" si="7"/>
        <v>Victoria</v>
      </c>
      <c r="R904" s="5" t="str">
        <f t="shared" si="8"/>
        <v>Australia</v>
      </c>
    </row>
    <row r="905">
      <c r="A905" s="8" t="s">
        <v>7005</v>
      </c>
      <c r="B905" s="12" t="s">
        <v>7006</v>
      </c>
      <c r="C905" s="10" t="s">
        <v>7007</v>
      </c>
      <c r="D905" s="10"/>
      <c r="E905" s="10" t="s">
        <v>7008</v>
      </c>
      <c r="F905" s="10" t="s">
        <v>36</v>
      </c>
      <c r="G905" s="11" t="s">
        <v>6577</v>
      </c>
      <c r="H905" s="11" t="s">
        <v>4757</v>
      </c>
      <c r="I905" s="11" t="s">
        <v>4607</v>
      </c>
      <c r="J905" s="9" t="str">
        <f>IFERROR(__xludf.DUMMYFUNCTION("""COMPUTED_VALUE"""),"https://www.google.com/search?newwindow=1&amp;ei=2MT0XrvGGM-vytMP1OyDgAY&amp;q=site%3Alinkedin.com+Leidy+Gomezaquira+Student+Engagement+Officer+-+Programs+&amp;+Events")</f>
        <v>https://www.google.com/search?newwindow=1&amp;ei=2MT0XrvGGM-vytMP1OyDgAY&amp;q=site%3Alinkedin.com+Leidy+Gomezaquira+Student+Engagement+Officer+-+Programs+&amp;+Events</v>
      </c>
      <c r="K905" s="5" t="str">
        <f t="shared" si="1"/>
        <v>Leidy Gomezaquira</v>
      </c>
      <c r="L905" s="5" t="str">
        <f t="shared" si="2"/>
        <v>Student Engagement Officer - Programs &amp; Events</v>
      </c>
      <c r="M905" s="5" t="str">
        <f t="shared" si="3"/>
        <v/>
      </c>
      <c r="N905" s="5" t="str">
        <f t="shared" si="4"/>
        <v>William Angliss Institute</v>
      </c>
      <c r="O905" s="5" t="str">
        <f t="shared" si="5"/>
        <v>1 year 1 month in role and company</v>
      </c>
      <c r="P905" s="5" t="str">
        <f t="shared" si="6"/>
        <v>Melbourne</v>
      </c>
      <c r="Q905" s="5" t="str">
        <f t="shared" si="7"/>
        <v>Victoria</v>
      </c>
      <c r="R905" s="5" t="str">
        <f t="shared" si="8"/>
        <v>Australia</v>
      </c>
    </row>
    <row r="906">
      <c r="A906" s="8" t="s">
        <v>7009</v>
      </c>
      <c r="B906" s="10" t="s">
        <v>7010</v>
      </c>
      <c r="C906" s="10" t="s">
        <v>110</v>
      </c>
      <c r="D906" s="10"/>
      <c r="E906" s="10" t="s">
        <v>1908</v>
      </c>
      <c r="F906" s="10" t="s">
        <v>2265</v>
      </c>
      <c r="G906" s="11" t="s">
        <v>6577</v>
      </c>
      <c r="H906" s="11" t="s">
        <v>4757</v>
      </c>
      <c r="I906" s="11" t="s">
        <v>4607</v>
      </c>
      <c r="J906" s="9" t="str">
        <f>IFERROR(__xludf.DUMMYFUNCTION("""COMPUTED_VALUE"""),"https://www.google.com/search?newwindow=1&amp;ei=2MT0XrvGGM-vytMP1OyDgAY&amp;q=site%3Alinkedin.com+Maria+L.+Student+Programs+Officer")</f>
        <v>https://www.google.com/search?newwindow=1&amp;ei=2MT0XrvGGM-vytMP1OyDgAY&amp;q=site%3Alinkedin.com+Maria+L.+Student+Programs+Officer</v>
      </c>
      <c r="K906" s="5" t="str">
        <f t="shared" si="1"/>
        <v>Maria L.</v>
      </c>
      <c r="L906" s="5" t="str">
        <f t="shared" si="2"/>
        <v>Student Programs Officer</v>
      </c>
      <c r="M906" s="5" t="str">
        <f t="shared" si="3"/>
        <v/>
      </c>
      <c r="N906" s="5" t="str">
        <f t="shared" si="4"/>
        <v>The University of Melbourne</v>
      </c>
      <c r="O906" s="5" t="str">
        <f t="shared" si="5"/>
        <v>4 years 4 months in role</v>
      </c>
      <c r="P906" s="5" t="str">
        <f t="shared" si="6"/>
        <v>Melbourne</v>
      </c>
      <c r="Q906" s="5" t="str">
        <f t="shared" si="7"/>
        <v>Victoria</v>
      </c>
      <c r="R906" s="5" t="str">
        <f t="shared" si="8"/>
        <v>Australia</v>
      </c>
    </row>
    <row r="907">
      <c r="A907" s="8" t="s">
        <v>7011</v>
      </c>
      <c r="B907" s="12" t="s">
        <v>7012</v>
      </c>
      <c r="C907" s="10" t="s">
        <v>6899</v>
      </c>
      <c r="D907" s="10"/>
      <c r="E907" s="10" t="s">
        <v>3874</v>
      </c>
      <c r="F907" s="10" t="s">
        <v>418</v>
      </c>
      <c r="G907" s="11" t="s">
        <v>6577</v>
      </c>
      <c r="H907" s="11" t="s">
        <v>4757</v>
      </c>
      <c r="I907" s="11" t="s">
        <v>4607</v>
      </c>
      <c r="J907" s="9" t="str">
        <f>IFERROR(__xludf.DUMMYFUNCTION("""COMPUTED_VALUE"""),"https://www.google.com/search?newwindow=1&amp;ei=2MT0XrvGGM-vytMP1OyDgAY&amp;q=site%3Alinkedin.com+Jane+McCausland+ARMI+Student+Programs+Manager")</f>
        <v>https://www.google.com/search?newwindow=1&amp;ei=2MT0XrvGGM-vytMP1OyDgAY&amp;q=site%3Alinkedin.com+Jane+McCausland+ARMI+Student+Programs+Manager</v>
      </c>
      <c r="K907" s="5" t="str">
        <f t="shared" si="1"/>
        <v>Jane McCausland</v>
      </c>
      <c r="L907" s="5" t="str">
        <f t="shared" si="2"/>
        <v>ARMI Student Programs Manager</v>
      </c>
      <c r="M907" s="5" t="str">
        <f t="shared" si="3"/>
        <v/>
      </c>
      <c r="N907" s="5" t="str">
        <f t="shared" si="4"/>
        <v>Monash University</v>
      </c>
      <c r="O907" s="5" t="str">
        <f t="shared" si="5"/>
        <v>8 years 10 months in role and company</v>
      </c>
      <c r="P907" s="5" t="str">
        <f t="shared" si="6"/>
        <v>Melbourne</v>
      </c>
      <c r="Q907" s="5" t="str">
        <f t="shared" si="7"/>
        <v>Victoria</v>
      </c>
      <c r="R907" s="5" t="str">
        <f t="shared" si="8"/>
        <v>Australia</v>
      </c>
    </row>
    <row r="908">
      <c r="A908" s="8" t="s">
        <v>7013</v>
      </c>
      <c r="B908" s="12" t="s">
        <v>7014</v>
      </c>
      <c r="C908" s="10" t="s">
        <v>7015</v>
      </c>
      <c r="D908" s="10"/>
      <c r="E908" s="10" t="s">
        <v>7016</v>
      </c>
      <c r="F908" s="10" t="s">
        <v>7017</v>
      </c>
      <c r="G908" s="11" t="s">
        <v>6577</v>
      </c>
      <c r="H908" s="11" t="s">
        <v>4757</v>
      </c>
      <c r="I908" s="11" t="s">
        <v>4607</v>
      </c>
      <c r="J908" s="9" t="str">
        <f>IFERROR(__xludf.DUMMYFUNCTION("""COMPUTED_VALUE"""),"https://www.google.com/search?newwindow=1&amp;ei=2MT0XrvGGM-vytMP1OyDgAY&amp;q=site%3Alinkedin.com+Sav+Devi+Student+and+Programs+Progress+Review+Coordinator")</f>
        <v>https://www.google.com/search?newwindow=1&amp;ei=2MT0XrvGGM-vytMP1OyDgAY&amp;q=site%3Alinkedin.com+Sav+Devi+Student+and+Programs+Progress+Review+Coordinator</v>
      </c>
      <c r="K908" s="5" t="str">
        <f t="shared" si="1"/>
        <v>Sav Devi</v>
      </c>
      <c r="L908" s="5" t="str">
        <f t="shared" si="2"/>
        <v>Student and Programs Progress Review Coordinator</v>
      </c>
      <c r="M908" s="5" t="str">
        <f t="shared" si="3"/>
        <v/>
      </c>
      <c r="N908" s="5" t="str">
        <f t="shared" si="4"/>
        <v>Swinburne University of Technology</v>
      </c>
      <c r="O908" s="5" t="str">
        <f t="shared" si="5"/>
        <v>10 years 3 months in role and company</v>
      </c>
      <c r="P908" s="5" t="str">
        <f t="shared" si="6"/>
        <v>Melbourne</v>
      </c>
      <c r="Q908" s="5" t="str">
        <f t="shared" si="7"/>
        <v>Victoria</v>
      </c>
      <c r="R908" s="5" t="str">
        <f t="shared" si="8"/>
        <v>Australia</v>
      </c>
    </row>
    <row r="909">
      <c r="A909" s="8" t="s">
        <v>7018</v>
      </c>
      <c r="B909" s="10" t="s">
        <v>7019</v>
      </c>
      <c r="C909" s="10" t="s">
        <v>7020</v>
      </c>
      <c r="D909" s="10"/>
      <c r="E909" s="10" t="s">
        <v>6625</v>
      </c>
      <c r="F909" s="10" t="s">
        <v>1642</v>
      </c>
      <c r="G909" s="11" t="s">
        <v>6577</v>
      </c>
      <c r="H909" s="11" t="s">
        <v>4757</v>
      </c>
      <c r="I909" s="11" t="s">
        <v>4607</v>
      </c>
      <c r="J909" s="9" t="str">
        <f>IFERROR(__xludf.DUMMYFUNCTION("""COMPUTED_VALUE"""),"https://www.google.com/search?newwindow=1&amp;ei=2MT0XrvGGM-vytMP1OyDgAY&amp;q=site%3Alinkedin.com+Trish+Royall+Executive+Assistant+to+the+Director,+Medical+Student+Programs,+EHCS")</f>
        <v>https://www.google.com/search?newwindow=1&amp;ei=2MT0XrvGGM-vytMP1OyDgAY&amp;q=site%3Alinkedin.com+Trish+Royall+Executive+Assistant+to+the+Director,+Medical+Student+Programs,+EHCS</v>
      </c>
      <c r="K909" s="5" t="str">
        <f t="shared" si="1"/>
        <v>Trish Royall</v>
      </c>
      <c r="L909" s="5" t="str">
        <f t="shared" si="2"/>
        <v>Executive Assistant to the Director, Medical Student Programs, EHCS</v>
      </c>
      <c r="M909" s="5" t="str">
        <f t="shared" si="3"/>
        <v/>
      </c>
      <c r="N909" s="5" t="str">
        <f t="shared" si="4"/>
        <v>Monash University</v>
      </c>
      <c r="O909" s="5" t="str">
        <f t="shared" si="5"/>
        <v>1 year 11 months in role and company</v>
      </c>
      <c r="P909" s="5" t="str">
        <f t="shared" si="6"/>
        <v>Melbourne</v>
      </c>
      <c r="Q909" s="5" t="str">
        <f t="shared" si="7"/>
        <v>Victoria</v>
      </c>
      <c r="R909" s="5" t="str">
        <f t="shared" si="8"/>
        <v>Australia</v>
      </c>
    </row>
    <row r="910">
      <c r="A910" s="8" t="s">
        <v>7021</v>
      </c>
      <c r="B910" s="10" t="s">
        <v>7022</v>
      </c>
      <c r="C910" s="10" t="s">
        <v>7023</v>
      </c>
      <c r="D910" s="10"/>
      <c r="E910" s="10" t="s">
        <v>4604</v>
      </c>
      <c r="F910" s="10" t="s">
        <v>15</v>
      </c>
      <c r="G910" s="11" t="s">
        <v>6577</v>
      </c>
      <c r="H910" s="13" t="s">
        <v>4757</v>
      </c>
      <c r="I910" s="11" t="s">
        <v>4607</v>
      </c>
      <c r="J910" s="9" t="str">
        <f>IFERROR(__xludf.DUMMYFUNCTION("""COMPUTED_VALUE"""),"https://www.google.com/search?newwindow=1&amp;ei=2MT0XrvGGM-vytMP1OyDgAY&amp;q=site%3Alinkedin.com+Morgan+Bett+Research+Recruiter")</f>
        <v>https://www.google.com/search?newwindow=1&amp;ei=2MT0XrvGGM-vytMP1OyDgAY&amp;q=site%3Alinkedin.com+Morgan+Bett+Research+Recruiter</v>
      </c>
      <c r="K910" s="5" t="str">
        <f t="shared" si="1"/>
        <v>Morgan Bett</v>
      </c>
      <c r="L910" s="5" t="str">
        <f t="shared" si="2"/>
        <v>Research Recruiter</v>
      </c>
      <c r="M910" s="5" t="str">
        <f t="shared" si="3"/>
        <v/>
      </c>
      <c r="N910" s="5" t="str">
        <f t="shared" si="4"/>
        <v>Focus People - Market Research Recruitment</v>
      </c>
      <c r="O910" s="5" t="str">
        <f t="shared" si="5"/>
        <v>2 years 3 months in role and company</v>
      </c>
      <c r="P910" s="5" t="str">
        <f t="shared" si="6"/>
        <v>Melbourne</v>
      </c>
      <c r="Q910" s="5" t="str">
        <f t="shared" si="7"/>
        <v>Victoria</v>
      </c>
      <c r="R910" s="5" t="str">
        <f t="shared" si="8"/>
        <v>Australia</v>
      </c>
    </row>
    <row r="911">
      <c r="A911" s="8" t="s">
        <v>7024</v>
      </c>
      <c r="B911" s="10" t="s">
        <v>7025</v>
      </c>
      <c r="C911" s="10" t="s">
        <v>7026</v>
      </c>
      <c r="D911" s="10"/>
      <c r="E911" s="10" t="s">
        <v>7027</v>
      </c>
      <c r="F911" s="10" t="s">
        <v>63</v>
      </c>
      <c r="G911" s="11" t="s">
        <v>6577</v>
      </c>
      <c r="H911" s="11" t="s">
        <v>4757</v>
      </c>
      <c r="I911" s="11" t="s">
        <v>4607</v>
      </c>
      <c r="J911" s="9" t="str">
        <f>IFERROR(__xludf.DUMMYFUNCTION("""COMPUTED_VALUE"""),"https://www.google.com/search?newwindow=1&amp;ei=2MT0XrvGGM-vytMP1OyDgAY&amp;q=site%3Alinkedin.com+Warwick+Padgham+Manager,+Indigenous+Student+Programs+-+Melbourne+Poche+Centre+for+Indigenous+Health")</f>
        <v>https://www.google.com/search?newwindow=1&amp;ei=2MT0XrvGGM-vytMP1OyDgAY&amp;q=site%3Alinkedin.com+Warwick+Padgham+Manager,+Indigenous+Student+Programs+-+Melbourne+Poche+Centre+for+Indigenous+Health</v>
      </c>
      <c r="K911" s="5" t="str">
        <f t="shared" si="1"/>
        <v>Warwick Padgham</v>
      </c>
      <c r="L911" s="5" t="str">
        <f t="shared" si="2"/>
        <v>Manager, Indigenous Student Programs - Melbourne Poche Centre for Indigenous Health</v>
      </c>
      <c r="M911" s="5" t="str">
        <f t="shared" si="3"/>
        <v/>
      </c>
      <c r="N911" s="5" t="str">
        <f t="shared" si="4"/>
        <v>University of Melbourne</v>
      </c>
      <c r="O911" s="5" t="str">
        <f t="shared" si="5"/>
        <v>3 years 2 months in role</v>
      </c>
      <c r="P911" s="5" t="str">
        <f t="shared" si="6"/>
        <v>Melbourne</v>
      </c>
      <c r="Q911" s="5" t="str">
        <f t="shared" si="7"/>
        <v>Victoria</v>
      </c>
      <c r="R911" s="5" t="str">
        <f t="shared" si="8"/>
        <v>Australia</v>
      </c>
    </row>
    <row r="912">
      <c r="A912" s="8" t="s">
        <v>7028</v>
      </c>
      <c r="B912" s="10" t="s">
        <v>7029</v>
      </c>
      <c r="C912" s="10" t="s">
        <v>7030</v>
      </c>
      <c r="D912" s="10"/>
      <c r="E912" s="10" t="s">
        <v>7031</v>
      </c>
      <c r="F912" s="10" t="s">
        <v>716</v>
      </c>
      <c r="G912" s="11" t="s">
        <v>6577</v>
      </c>
      <c r="H912" s="11" t="s">
        <v>4757</v>
      </c>
      <c r="I912" s="11" t="s">
        <v>4607</v>
      </c>
      <c r="J912" s="9" t="str">
        <f>IFERROR(__xludf.DUMMYFUNCTION("""COMPUTED_VALUE"""),"https://www.google.com/search?newwindow=1&amp;ei=2MT0XrvGGM-vytMP1OyDgAY&amp;q=site%3Alinkedin.com+Mary+Rizza+Co-ordinator+-+Co-curricular+Programs+&amp;+Student+Learning")</f>
        <v>https://www.google.com/search?newwindow=1&amp;ei=2MT0XrvGGM-vytMP1OyDgAY&amp;q=site%3Alinkedin.com+Mary+Rizza+Co-ordinator+-+Co-curricular+Programs+&amp;+Student+Learning</v>
      </c>
      <c r="K912" s="5" t="str">
        <f t="shared" si="1"/>
        <v>Mary Rizza</v>
      </c>
      <c r="L912" s="5" t="str">
        <f t="shared" si="2"/>
        <v>Co-ordinator - Co-curricular Programs &amp; Student Learning</v>
      </c>
      <c r="M912" s="5" t="str">
        <f t="shared" si="3"/>
        <v/>
      </c>
      <c r="N912" s="5" t="str">
        <f t="shared" si="4"/>
        <v>Genazzano FCJ College</v>
      </c>
      <c r="O912" s="5" t="str">
        <f t="shared" si="5"/>
        <v>2 years 10 months in role and company</v>
      </c>
      <c r="P912" s="5" t="str">
        <f t="shared" si="6"/>
        <v>Melbourne</v>
      </c>
      <c r="Q912" s="5" t="str">
        <f t="shared" si="7"/>
        <v>Victoria</v>
      </c>
      <c r="R912" s="5" t="str">
        <f t="shared" si="8"/>
        <v>Australia</v>
      </c>
    </row>
    <row r="913">
      <c r="A913" s="8" t="s">
        <v>7032</v>
      </c>
      <c r="B913" s="10" t="s">
        <v>7033</v>
      </c>
      <c r="C913" s="10" t="s">
        <v>5054</v>
      </c>
      <c r="D913" s="10"/>
      <c r="E913" s="10" t="s">
        <v>7034</v>
      </c>
      <c r="F913" s="10" t="s">
        <v>100</v>
      </c>
      <c r="G913" s="11" t="s">
        <v>6577</v>
      </c>
      <c r="H913" s="11" t="s">
        <v>4757</v>
      </c>
      <c r="I913" s="11" t="s">
        <v>4607</v>
      </c>
      <c r="J913" s="9" t="str">
        <f>IFERROR(__xludf.DUMMYFUNCTION("""COMPUTED_VALUE"""),"https://www.google.com/search?newwindow=1&amp;ei=2MT0XrvGGM-vytMP1OyDgAY&amp;q=site%3Alinkedin.com+Peter+C.+University+Online+Learning+Support+(Business+Law,+Accounting,+Management,+Economics,+Environment")</f>
        <v>https://www.google.com/search?newwindow=1&amp;ei=2MT0XrvGGM-vytMP1OyDgAY&amp;q=site%3Alinkedin.com+Peter+C.+University+Online+Learning+Support+(Business+Law,+Accounting,+Management,+Economics,+Environment</v>
      </c>
      <c r="K913" s="5" t="str">
        <f t="shared" si="1"/>
        <v>Peter C.</v>
      </c>
      <c r="L913" s="5" t="str">
        <f t="shared" si="2"/>
        <v>University Online Learning Support (Business Law, Accounting, Management, Economics, Environment</v>
      </c>
      <c r="M913" s="5" t="str">
        <f t="shared" si="3"/>
        <v/>
      </c>
      <c r="N913" s="5" t="str">
        <f t="shared" si="4"/>
        <v>Charles Sturt University</v>
      </c>
      <c r="O913" s="5" t="str">
        <f t="shared" si="5"/>
        <v>6 years 9 months in role</v>
      </c>
      <c r="P913" s="5" t="str">
        <f t="shared" si="6"/>
        <v>Melbourne</v>
      </c>
      <c r="Q913" s="5" t="str">
        <f t="shared" si="7"/>
        <v>Victoria</v>
      </c>
      <c r="R913" s="5" t="str">
        <f t="shared" si="8"/>
        <v>Australia</v>
      </c>
    </row>
    <row r="914">
      <c r="A914" s="8" t="s">
        <v>7035</v>
      </c>
      <c r="B914" s="10" t="s">
        <v>7036</v>
      </c>
      <c r="C914" s="10" t="s">
        <v>7037</v>
      </c>
      <c r="D914" s="10"/>
      <c r="E914" s="10" t="s">
        <v>7038</v>
      </c>
      <c r="F914" s="10" t="s">
        <v>526</v>
      </c>
      <c r="G914" s="11" t="s">
        <v>6577</v>
      </c>
      <c r="H914" s="11" t="s">
        <v>4757</v>
      </c>
      <c r="I914" s="11" t="s">
        <v>4607</v>
      </c>
      <c r="J914" s="9" t="str">
        <f>IFERROR(__xludf.DUMMYFUNCTION("""COMPUTED_VALUE"""),"https://www.google.com/search?newwindow=1&amp;ei=2MT0XrvGGM-vytMP1OyDgAY&amp;q=site%3Alinkedin.com+Katrina+D'Souza+Academic+Programs+Project+Manager,+Melbourne+Medical+School")</f>
        <v>https://www.google.com/search?newwindow=1&amp;ei=2MT0XrvGGM-vytMP1OyDgAY&amp;q=site%3Alinkedin.com+Katrina+D'Souza+Academic+Programs+Project+Manager,+Melbourne+Medical+School</v>
      </c>
      <c r="K914" s="5" t="str">
        <f t="shared" si="1"/>
        <v>Katrina D'Souza</v>
      </c>
      <c r="L914" s="5" t="str">
        <f t="shared" si="2"/>
        <v>Academic Programs Project Manager, Melbourne Medical School</v>
      </c>
      <c r="M914" s="5" t="str">
        <f t="shared" si="3"/>
        <v/>
      </c>
      <c r="N914" s="5" t="str">
        <f t="shared" si="4"/>
        <v>University of Melbourne</v>
      </c>
      <c r="O914" s="5" t="str">
        <f t="shared" si="5"/>
        <v>1 year 1 month in role</v>
      </c>
      <c r="P914" s="5" t="str">
        <f t="shared" si="6"/>
        <v>Melbourne</v>
      </c>
      <c r="Q914" s="5" t="str">
        <f t="shared" si="7"/>
        <v>Victoria</v>
      </c>
      <c r="R914" s="5" t="str">
        <f t="shared" si="8"/>
        <v>Australia</v>
      </c>
    </row>
    <row r="915">
      <c r="A915" s="8" t="s">
        <v>7039</v>
      </c>
      <c r="B915" s="12" t="s">
        <v>7040</v>
      </c>
      <c r="C915" s="10" t="s">
        <v>7041</v>
      </c>
      <c r="D915" s="10"/>
      <c r="E915" s="10" t="s">
        <v>2349</v>
      </c>
      <c r="F915" s="10" t="s">
        <v>121</v>
      </c>
      <c r="G915" s="11" t="s">
        <v>6577</v>
      </c>
      <c r="H915" s="11" t="s">
        <v>4757</v>
      </c>
      <c r="I915" s="11" t="s">
        <v>4607</v>
      </c>
      <c r="J915" s="9" t="str">
        <f>IFERROR(__xludf.DUMMYFUNCTION("""COMPUTED_VALUE"""),"https://www.google.com/search?newwindow=1&amp;ei=2MT0XrvGGM-vytMP1OyDgAY&amp;q=site%3Alinkedin.com+Navya+Bala-Aiyer+Monash+Connect+Student+Officer")</f>
        <v>https://www.google.com/search?newwindow=1&amp;ei=2MT0XrvGGM-vytMP1OyDgAY&amp;q=site%3Alinkedin.com+Navya+Bala-Aiyer+Monash+Connect+Student+Officer</v>
      </c>
      <c r="K915" s="5" t="str">
        <f t="shared" si="1"/>
        <v>Navya Bala-Aiyer</v>
      </c>
      <c r="L915" s="5" t="str">
        <f t="shared" si="2"/>
        <v>Monash Connect Student Officer</v>
      </c>
      <c r="M915" s="5" t="str">
        <f t="shared" si="3"/>
        <v/>
      </c>
      <c r="N915" s="5" t="str">
        <f t="shared" si="4"/>
        <v>Monash University</v>
      </c>
      <c r="O915" s="5" t="str">
        <f t="shared" si="5"/>
        <v>4 months in role and company</v>
      </c>
      <c r="P915" s="5" t="str">
        <f t="shared" si="6"/>
        <v>Melbourne</v>
      </c>
      <c r="Q915" s="5" t="str">
        <f t="shared" si="7"/>
        <v>Victoria</v>
      </c>
      <c r="R915" s="5" t="str">
        <f t="shared" si="8"/>
        <v>Australia</v>
      </c>
    </row>
    <row r="916">
      <c r="A916" s="8" t="s">
        <v>7042</v>
      </c>
      <c r="B916" s="10" t="s">
        <v>7043</v>
      </c>
      <c r="C916" s="10" t="s">
        <v>7044</v>
      </c>
      <c r="D916" s="10"/>
      <c r="E916" s="10" t="s">
        <v>4895</v>
      </c>
      <c r="F916" s="10" t="s">
        <v>125</v>
      </c>
      <c r="G916" s="11" t="s">
        <v>6577</v>
      </c>
      <c r="H916" s="11" t="s">
        <v>4757</v>
      </c>
      <c r="I916" s="11" t="s">
        <v>4607</v>
      </c>
      <c r="J916" s="9" t="str">
        <f>IFERROR(__xludf.DUMMYFUNCTION("""COMPUTED_VALUE"""),"https://www.google.com/search?newwindow=1&amp;ei=2MT0XrvGGM-vytMP1OyDgAY&amp;q=site%3Alinkedin.com+Melissa+Horvath+Student+Training+&amp;+Programs+Coordinator+-+Student+Engagement")</f>
        <v>https://www.google.com/search?newwindow=1&amp;ei=2MT0XrvGGM-vytMP1OyDgAY&amp;q=site%3Alinkedin.com+Melissa+Horvath+Student+Training+&amp;+Programs+Coordinator+-+Student+Engagement</v>
      </c>
      <c r="K916" s="5" t="str">
        <f t="shared" si="1"/>
        <v>Melissa Horvath</v>
      </c>
      <c r="L916" s="5" t="str">
        <f t="shared" si="2"/>
        <v>Student Training &amp; Programs Coordinator - Student Engagement</v>
      </c>
      <c r="M916" s="5" t="str">
        <f t="shared" si="3"/>
        <v/>
      </c>
      <c r="N916" s="5" t="str">
        <f t="shared" si="4"/>
        <v>Deakin University Student Association</v>
      </c>
      <c r="O916" s="5" t="str">
        <f t="shared" si="5"/>
        <v>5 years 5 months in role and company</v>
      </c>
      <c r="P916" s="5" t="str">
        <f t="shared" si="6"/>
        <v>Melbourne</v>
      </c>
      <c r="Q916" s="5" t="str">
        <f t="shared" si="7"/>
        <v>Victoria</v>
      </c>
      <c r="R916" s="5" t="str">
        <f t="shared" si="8"/>
        <v>Australia</v>
      </c>
    </row>
    <row r="917">
      <c r="A917" s="8" t="s">
        <v>7045</v>
      </c>
      <c r="B917" s="10" t="s">
        <v>7046</v>
      </c>
      <c r="C917" s="10" t="s">
        <v>110</v>
      </c>
      <c r="D917" s="10"/>
      <c r="E917" s="10" t="s">
        <v>1908</v>
      </c>
      <c r="F917" s="10" t="s">
        <v>354</v>
      </c>
      <c r="G917" s="11" t="s">
        <v>6577</v>
      </c>
      <c r="H917" s="11" t="s">
        <v>4757</v>
      </c>
      <c r="I917" s="11" t="s">
        <v>4607</v>
      </c>
      <c r="J917" s="9" t="str">
        <f>IFERROR(__xludf.DUMMYFUNCTION("""COMPUTED_VALUE"""),"https://www.google.com/search?newwindow=1&amp;ei=2MT0XrvGGM-vytMP1OyDgAY&amp;q=site%3Alinkedin.com+Alana+Marriner+Student+Programs+Coordinator")</f>
        <v>https://www.google.com/search?newwindow=1&amp;ei=2MT0XrvGGM-vytMP1OyDgAY&amp;q=site%3Alinkedin.com+Alana+Marriner+Student+Programs+Coordinator</v>
      </c>
      <c r="K917" s="5" t="str">
        <f t="shared" si="1"/>
        <v>Alana Marriner</v>
      </c>
      <c r="L917" s="5" t="str">
        <f t="shared" si="2"/>
        <v>Student Programs Coordinator</v>
      </c>
      <c r="M917" s="5" t="str">
        <f t="shared" si="3"/>
        <v/>
      </c>
      <c r="N917" s="5" t="str">
        <f t="shared" si="4"/>
        <v>University of Melbourne</v>
      </c>
      <c r="O917" s="5" t="str">
        <f t="shared" si="5"/>
        <v>2 years 10 months in role and company</v>
      </c>
      <c r="P917" s="5" t="str">
        <f t="shared" si="6"/>
        <v>Melbourne</v>
      </c>
      <c r="Q917" s="5" t="str">
        <f t="shared" si="7"/>
        <v>Victoria</v>
      </c>
      <c r="R917" s="5" t="str">
        <f t="shared" si="8"/>
        <v>Australia</v>
      </c>
    </row>
    <row r="918">
      <c r="A918" s="8" t="s">
        <v>7047</v>
      </c>
      <c r="B918" s="12" t="s">
        <v>7048</v>
      </c>
      <c r="C918" s="10" t="s">
        <v>110</v>
      </c>
      <c r="D918" s="10"/>
      <c r="E918" s="10" t="s">
        <v>7049</v>
      </c>
      <c r="F918" s="10" t="s">
        <v>1809</v>
      </c>
      <c r="G918" s="11" t="s">
        <v>6577</v>
      </c>
      <c r="H918" s="11" t="s">
        <v>4757</v>
      </c>
      <c r="I918" s="11" t="s">
        <v>4607</v>
      </c>
      <c r="J918" s="9" t="str">
        <f>IFERROR(__xludf.DUMMYFUNCTION("""COMPUTED_VALUE"""),"https://www.google.com/search?newwindow=1&amp;ei=2MT0XrvGGM-vytMP1OyDgAY&amp;q=site%3Alinkedin.com+Roula+Karakostas+Head,+Student+Recruitment+at+Deakin+University")</f>
        <v>https://www.google.com/search?newwindow=1&amp;ei=2MT0XrvGGM-vytMP1OyDgAY&amp;q=site%3Alinkedin.com+Roula+Karakostas+Head,+Student+Recruitment+at+Deakin+University</v>
      </c>
      <c r="K918" s="5" t="str">
        <f t="shared" si="1"/>
        <v>Roula Karakostas</v>
      </c>
      <c r="L918" s="5" t="str">
        <f t="shared" si="2"/>
        <v>Head, Student Recruitment at Deakin University</v>
      </c>
      <c r="M918" s="5" t="str">
        <f t="shared" si="3"/>
        <v/>
      </c>
      <c r="N918" s="5" t="str">
        <f t="shared" si="4"/>
        <v>Deakin University</v>
      </c>
      <c r="O918" s="5" t="str">
        <f t="shared" si="5"/>
        <v>4 years 2 months in role and company</v>
      </c>
      <c r="P918" s="5" t="str">
        <f t="shared" si="6"/>
        <v>Melbourne</v>
      </c>
      <c r="Q918" s="5" t="str">
        <f t="shared" si="7"/>
        <v>Victoria</v>
      </c>
      <c r="R918" s="5" t="str">
        <f t="shared" si="8"/>
        <v>Australia</v>
      </c>
    </row>
    <row r="919">
      <c r="A919" s="8" t="s">
        <v>7050</v>
      </c>
      <c r="B919" s="12" t="s">
        <v>7051</v>
      </c>
      <c r="C919" s="10" t="s">
        <v>5054</v>
      </c>
      <c r="D919" s="10"/>
      <c r="E919" s="10" t="s">
        <v>7052</v>
      </c>
      <c r="F919" s="10" t="s">
        <v>7053</v>
      </c>
      <c r="G919" s="11" t="s">
        <v>6577</v>
      </c>
      <c r="H919" s="11" t="s">
        <v>4757</v>
      </c>
      <c r="I919" s="11" t="s">
        <v>4607</v>
      </c>
      <c r="J919" s="9" t="str">
        <f>IFERROR(__xludf.DUMMYFUNCTION("""COMPUTED_VALUE"""),"https://www.google.com/search?newwindow=1&amp;ei=2MT0XrvGGM-vytMP1OyDgAY&amp;q=site%3Alinkedin.com+Deb+Kane+International+Student+Programs+Officer")</f>
        <v>https://www.google.com/search?newwindow=1&amp;ei=2MT0XrvGGM-vytMP1OyDgAY&amp;q=site%3Alinkedin.com+Deb+Kane+International+Student+Programs+Officer</v>
      </c>
      <c r="K919" s="5" t="str">
        <f t="shared" si="1"/>
        <v>Deb Kane</v>
      </c>
      <c r="L919" s="5" t="str">
        <f t="shared" si="2"/>
        <v>International Student Programs Officer</v>
      </c>
      <c r="M919" s="5" t="str">
        <f t="shared" si="3"/>
        <v/>
      </c>
      <c r="N919" s="5" t="str">
        <f t="shared" si="4"/>
        <v>Billanook College</v>
      </c>
      <c r="O919" s="5" t="str">
        <f t="shared" si="5"/>
        <v>5 years 2 months in role</v>
      </c>
      <c r="P919" s="5" t="str">
        <f t="shared" si="6"/>
        <v>Melbourne</v>
      </c>
      <c r="Q919" s="5" t="str">
        <f t="shared" si="7"/>
        <v>Victoria</v>
      </c>
      <c r="R919" s="5" t="str">
        <f t="shared" si="8"/>
        <v>Australia</v>
      </c>
    </row>
    <row r="920">
      <c r="A920" s="8" t="s">
        <v>7054</v>
      </c>
      <c r="B920" s="10" t="s">
        <v>7055</v>
      </c>
      <c r="C920" s="10" t="s">
        <v>7056</v>
      </c>
      <c r="D920" s="10"/>
      <c r="E920" s="10" t="s">
        <v>4836</v>
      </c>
      <c r="F920" s="10" t="s">
        <v>1398</v>
      </c>
      <c r="G920" s="11" t="s">
        <v>6577</v>
      </c>
      <c r="H920" s="11" t="s">
        <v>4757</v>
      </c>
      <c r="I920" s="11" t="s">
        <v>4607</v>
      </c>
      <c r="J920" s="9" t="str">
        <f>IFERROR(__xludf.DUMMYFUNCTION("""COMPUTED_VALUE"""),"https://www.google.com/search?newwindow=1&amp;ei=2MT0XrvGGM-vytMP1OyDgAY&amp;q=site%3Alinkedin.com+Costa+Englezos+Lecturer+in+Accounting,+Manager+of+Business+Student+Mentor+Programs")</f>
        <v>https://www.google.com/search?newwindow=1&amp;ei=2MT0XrvGGM-vytMP1OyDgAY&amp;q=site%3Alinkedin.com+Costa+Englezos+Lecturer+in+Accounting,+Manager+of+Business+Student+Mentor+Programs</v>
      </c>
      <c r="K920" s="5" t="str">
        <f t="shared" si="1"/>
        <v>Costa Englezos</v>
      </c>
      <c r="L920" s="5" t="str">
        <f t="shared" si="2"/>
        <v>Lecturer in Accounting, Manager of Business Student Mentor Programs</v>
      </c>
      <c r="M920" s="5" t="str">
        <f t="shared" si="3"/>
        <v/>
      </c>
      <c r="N920" s="5" t="str">
        <f t="shared" si="4"/>
        <v>RMIT University</v>
      </c>
      <c r="O920" s="5" t="str">
        <f t="shared" si="5"/>
        <v/>
      </c>
      <c r="P920" s="5" t="str">
        <f t="shared" si="6"/>
        <v>Melbourne</v>
      </c>
      <c r="Q920" s="5" t="str">
        <f t="shared" si="7"/>
        <v>Victoria</v>
      </c>
      <c r="R920" s="5" t="str">
        <f t="shared" si="8"/>
        <v>Australia</v>
      </c>
    </row>
    <row r="921">
      <c r="A921" s="8" t="s">
        <v>7057</v>
      </c>
      <c r="B921" s="12" t="s">
        <v>7058</v>
      </c>
      <c r="C921" s="10" t="s">
        <v>3886</v>
      </c>
      <c r="D921" s="10"/>
      <c r="E921" s="10" t="s">
        <v>7059</v>
      </c>
      <c r="F921" s="10" t="s">
        <v>574</v>
      </c>
      <c r="G921" s="11" t="s">
        <v>6577</v>
      </c>
      <c r="H921" s="11" t="s">
        <v>4757</v>
      </c>
      <c r="I921" s="11" t="s">
        <v>4607</v>
      </c>
      <c r="J921" s="9" t="str">
        <f>IFERROR(__xludf.DUMMYFUNCTION("""COMPUTED_VALUE"""),"https://www.google.com/search?newwindow=1&amp;ei=2MT0XrvGGM-vytMP1OyDgAY&amp;q=site%3Alinkedin.com+Ruby+Lee+International+Student+Mobility+Programs")</f>
        <v>https://www.google.com/search?newwindow=1&amp;ei=2MT0XrvGGM-vytMP1OyDgAY&amp;q=site%3Alinkedin.com+Ruby+Lee+International+Student+Mobility+Programs</v>
      </c>
      <c r="K921" s="5" t="str">
        <f t="shared" si="1"/>
        <v>Ruby Lee</v>
      </c>
      <c r="L921" s="5" t="str">
        <f t="shared" si="2"/>
        <v>International Student Mobility Programs</v>
      </c>
      <c r="M921" s="5" t="str">
        <f t="shared" si="3"/>
        <v/>
      </c>
      <c r="N921" s="5" t="str">
        <f t="shared" si="4"/>
        <v>Deakin University</v>
      </c>
      <c r="O921" s="5" t="str">
        <f t="shared" si="5"/>
        <v>4 years 2 months in role and company</v>
      </c>
      <c r="P921" s="5" t="str">
        <f t="shared" si="6"/>
        <v>Melbourne</v>
      </c>
      <c r="Q921" s="5" t="str">
        <f t="shared" si="7"/>
        <v>Victoria</v>
      </c>
      <c r="R921" s="5" t="str">
        <f t="shared" si="8"/>
        <v>Australia</v>
      </c>
    </row>
    <row r="922">
      <c r="A922" s="8" t="s">
        <v>7060</v>
      </c>
      <c r="B922" s="10" t="s">
        <v>7061</v>
      </c>
      <c r="C922" s="10" t="s">
        <v>5054</v>
      </c>
      <c r="D922" s="10"/>
      <c r="E922" s="10" t="s">
        <v>4953</v>
      </c>
      <c r="F922" s="10"/>
      <c r="G922" s="11" t="s">
        <v>6577</v>
      </c>
      <c r="H922" s="11" t="s">
        <v>4757</v>
      </c>
      <c r="I922" s="11" t="s">
        <v>4607</v>
      </c>
      <c r="J922" s="9" t="str">
        <f>IFERROR(__xludf.DUMMYFUNCTION("""COMPUTED_VALUE"""),"https://www.google.com/search?newwindow=1&amp;ei=2MT0XrvGGM-vytMP1OyDgAY&amp;q=site%3Alinkedin.com+Steven+Lingard+Coordinator+-+International+Student+Programs")</f>
        <v>https://www.google.com/search?newwindow=1&amp;ei=2MT0XrvGGM-vytMP1OyDgAY&amp;q=site%3Alinkedin.com+Steven+Lingard+Coordinator+-+International+Student+Programs</v>
      </c>
      <c r="K922" s="5" t="str">
        <f t="shared" si="1"/>
        <v>Steven Lingard</v>
      </c>
      <c r="L922" s="5" t="str">
        <f t="shared" si="2"/>
        <v>Coordinator - International Student Programs</v>
      </c>
      <c r="M922" s="5" t="str">
        <f t="shared" si="3"/>
        <v/>
      </c>
      <c r="N922" s="5" t="str">
        <f t="shared" si="4"/>
        <v>Billanook College</v>
      </c>
      <c r="O922" s="5" t="str">
        <f t="shared" si="5"/>
        <v>18 years 10 months in role and company</v>
      </c>
      <c r="P922" s="5" t="str">
        <f t="shared" si="6"/>
        <v>Melbourne</v>
      </c>
      <c r="Q922" s="5" t="str">
        <f t="shared" si="7"/>
        <v>Victoria</v>
      </c>
      <c r="R922" s="5" t="str">
        <f t="shared" si="8"/>
        <v>Australia</v>
      </c>
    </row>
    <row r="923">
      <c r="A923" s="8" t="s">
        <v>7062</v>
      </c>
      <c r="B923" s="10" t="s">
        <v>7063</v>
      </c>
      <c r="C923" s="10" t="s">
        <v>7064</v>
      </c>
      <c r="D923" s="10"/>
      <c r="E923" s="10" t="s">
        <v>7065</v>
      </c>
      <c r="F923" s="10" t="s">
        <v>222</v>
      </c>
      <c r="G923" s="11" t="s">
        <v>6577</v>
      </c>
      <c r="H923" s="11" t="s">
        <v>4757</v>
      </c>
      <c r="I923" s="11" t="s">
        <v>4607</v>
      </c>
      <c r="J923" s="9" t="str">
        <f>IFERROR(__xludf.DUMMYFUNCTION("""COMPUTED_VALUE"""),"https://www.google.com/search?newwindow=1&amp;ei=2MT0XrvGGM-vytMP1OyDgAY&amp;q=site%3Alinkedin.com+Ellen+Grouios+Program+Support+Student+Recruitment")</f>
        <v>https://www.google.com/search?newwindow=1&amp;ei=2MT0XrvGGM-vytMP1OyDgAY&amp;q=site%3Alinkedin.com+Ellen+Grouios+Program+Support+Student+Recruitment</v>
      </c>
      <c r="K923" s="5" t="str">
        <f t="shared" si="1"/>
        <v>Ellen Grouios</v>
      </c>
      <c r="L923" s="5" t="str">
        <f t="shared" si="2"/>
        <v>Program Support Student Recruitment</v>
      </c>
      <c r="M923" s="5" t="str">
        <f t="shared" si="3"/>
        <v/>
      </c>
      <c r="N923" s="5" t="str">
        <f t="shared" si="4"/>
        <v>Deakin University</v>
      </c>
      <c r="O923" s="5" t="str">
        <f t="shared" si="5"/>
        <v>5 years 3 months in role and company</v>
      </c>
      <c r="P923" s="5" t="str">
        <f t="shared" si="6"/>
        <v>Melbourne</v>
      </c>
      <c r="Q923" s="5" t="str">
        <f t="shared" si="7"/>
        <v>Victoria</v>
      </c>
      <c r="R923" s="5" t="str">
        <f t="shared" si="8"/>
        <v>Australia</v>
      </c>
    </row>
    <row r="924">
      <c r="A924" s="8" t="s">
        <v>7066</v>
      </c>
      <c r="B924" s="10" t="s">
        <v>7067</v>
      </c>
      <c r="C924" s="10" t="s">
        <v>6732</v>
      </c>
      <c r="D924" s="10"/>
      <c r="E924" s="10" t="s">
        <v>2297</v>
      </c>
      <c r="F924" s="10" t="s">
        <v>1830</v>
      </c>
      <c r="G924" s="11" t="s">
        <v>6577</v>
      </c>
      <c r="H924" s="11" t="s">
        <v>4757</v>
      </c>
      <c r="I924" s="11" t="s">
        <v>4607</v>
      </c>
      <c r="J924" s="9" t="str">
        <f>IFERROR(__xludf.DUMMYFUNCTION("""COMPUTED_VALUE"""),"https://www.google.com/search?newwindow=1&amp;ei=2MT0XrvGGM-vytMP1OyDgAY&amp;q=site%3Alinkedin.com+Sanober+Hossain+Student+Central+Hub+Coordinator")</f>
        <v>https://www.google.com/search?newwindow=1&amp;ei=2MT0XrvGGM-vytMP1OyDgAY&amp;q=site%3Alinkedin.com+Sanober+Hossain+Student+Central+Hub+Coordinator</v>
      </c>
      <c r="K924" s="5" t="str">
        <f t="shared" si="1"/>
        <v>Sanober Hossain</v>
      </c>
      <c r="L924" s="5" t="str">
        <f t="shared" si="2"/>
        <v>Student Central Hub Coordinator</v>
      </c>
      <c r="M924" s="5" t="str">
        <f t="shared" si="3"/>
        <v/>
      </c>
      <c r="N924" s="5" t="str">
        <f t="shared" si="4"/>
        <v>Deakin University</v>
      </c>
      <c r="O924" s="5" t="str">
        <f t="shared" si="5"/>
        <v>2 years 9 months in role and company</v>
      </c>
      <c r="P924" s="5" t="str">
        <f t="shared" si="6"/>
        <v>Melbourne</v>
      </c>
      <c r="Q924" s="5" t="str">
        <f t="shared" si="7"/>
        <v>Victoria</v>
      </c>
      <c r="R924" s="5" t="str">
        <f t="shared" si="8"/>
        <v>Australia</v>
      </c>
    </row>
    <row r="925">
      <c r="A925" s="8" t="s">
        <v>7068</v>
      </c>
      <c r="B925" s="12" t="s">
        <v>7069</v>
      </c>
      <c r="C925" s="10" t="s">
        <v>7070</v>
      </c>
      <c r="D925" s="10"/>
      <c r="E925" s="10" t="s">
        <v>702</v>
      </c>
      <c r="F925" s="10" t="s">
        <v>2265</v>
      </c>
      <c r="G925" s="11" t="s">
        <v>6577</v>
      </c>
      <c r="H925" s="11" t="s">
        <v>4757</v>
      </c>
      <c r="I925" s="11" t="s">
        <v>4607</v>
      </c>
      <c r="J925" s="9" t="str">
        <f>IFERROR(__xludf.DUMMYFUNCTION("""COMPUTED_VALUE"""),"https://www.google.com/search?newwindow=1&amp;ei=2MT0XrvGGM-vytMP1OyDgAY&amp;q=site%3Alinkedin.com+Louise+Crowe+Student+Programs+Coordinator")</f>
        <v>https://www.google.com/search?newwindow=1&amp;ei=2MT0XrvGGM-vytMP1OyDgAY&amp;q=site%3Alinkedin.com+Louise+Crowe+Student+Programs+Coordinator</v>
      </c>
      <c r="K925" s="5" t="str">
        <f t="shared" si="1"/>
        <v>Louise Crowe</v>
      </c>
      <c r="L925" s="5" t="str">
        <f t="shared" si="2"/>
        <v>Student Programs Coordinator</v>
      </c>
      <c r="M925" s="5" t="str">
        <f t="shared" si="3"/>
        <v/>
      </c>
      <c r="N925" s="5" t="str">
        <f t="shared" si="4"/>
        <v>Loyola  College</v>
      </c>
      <c r="O925" s="5" t="str">
        <f t="shared" si="5"/>
        <v>9 years 10 months in role and company</v>
      </c>
      <c r="P925" s="5" t="str">
        <f t="shared" si="6"/>
        <v>Melbourne</v>
      </c>
      <c r="Q925" s="5" t="str">
        <f t="shared" si="7"/>
        <v>Victoria</v>
      </c>
      <c r="R925" s="5" t="str">
        <f t="shared" si="8"/>
        <v>Australia</v>
      </c>
    </row>
    <row r="926">
      <c r="A926" s="8" t="s">
        <v>6584</v>
      </c>
      <c r="B926" s="10" t="s">
        <v>6585</v>
      </c>
      <c r="C926" s="10" t="s">
        <v>4749</v>
      </c>
      <c r="D926" s="10"/>
      <c r="E926" s="10" t="s">
        <v>4760</v>
      </c>
      <c r="F926" s="10" t="s">
        <v>15</v>
      </c>
      <c r="G926" s="11" t="s">
        <v>6577</v>
      </c>
      <c r="H926" s="13" t="s">
        <v>4638</v>
      </c>
      <c r="I926" s="13" t="s">
        <v>4600</v>
      </c>
      <c r="J926" s="9" t="str">
        <f>IFERROR(__xludf.DUMMYFUNCTION("""COMPUTED_VALUE"""),"https://www.google.com/search?newwindow=1&amp;ei=2MT0XrvGGM-vytMP1OyDgAY&amp;q=site%3Alinkedin.com+Farahdiba+R+Bachtiar+Doctoral+Student")</f>
        <v>https://www.google.com/search?newwindow=1&amp;ei=2MT0XrvGGM-vytMP1OyDgAY&amp;q=site%3Alinkedin.com+Farahdiba+R+Bachtiar+Doctoral+Student</v>
      </c>
      <c r="K926" s="5" t="str">
        <f t="shared" si="1"/>
        <v>Farahdiba R Bachtiar</v>
      </c>
      <c r="L926" s="5" t="str">
        <f t="shared" si="2"/>
        <v>Doctoral Student</v>
      </c>
      <c r="M926" s="5" t="str">
        <f t="shared" si="3"/>
        <v/>
      </c>
      <c r="N926" s="5" t="str">
        <f t="shared" si="4"/>
        <v>RMIT University</v>
      </c>
      <c r="O926" s="5" t="str">
        <f t="shared" si="5"/>
        <v>5 years 4 months in role and company</v>
      </c>
      <c r="P926" s="5" t="str">
        <f t="shared" si="6"/>
        <v>Melbourne</v>
      </c>
      <c r="Q926" s="5" t="str">
        <f t="shared" si="7"/>
        <v>Victoria</v>
      </c>
      <c r="R926" s="5" t="str">
        <f t="shared" si="8"/>
        <v>Australia</v>
      </c>
    </row>
    <row r="927">
      <c r="A927" s="8" t="s">
        <v>7071</v>
      </c>
      <c r="B927" s="12" t="s">
        <v>7072</v>
      </c>
      <c r="C927" s="10" t="s">
        <v>7073</v>
      </c>
      <c r="D927" s="10"/>
      <c r="E927" s="10" t="s">
        <v>7074</v>
      </c>
      <c r="F927" s="10" t="s">
        <v>1759</v>
      </c>
      <c r="G927" s="11" t="s">
        <v>6577</v>
      </c>
      <c r="H927" s="11" t="s">
        <v>4757</v>
      </c>
      <c r="I927" s="11" t="s">
        <v>4607</v>
      </c>
      <c r="J927" s="9" t="str">
        <f>IFERROR(__xludf.DUMMYFUNCTION("""COMPUTED_VALUE"""),"https://www.google.com/search?newwindow=1&amp;ei=2MT0XrvGGM-vytMP1OyDgAY&amp;q=site%3Alinkedin.com+Elise+Fraser+Lecturer+&amp;+Coordinator+Women's,+Men's+&amp;+Pelvic+Health+Physiotherapy+programs")</f>
        <v>https://www.google.com/search?newwindow=1&amp;ei=2MT0XrvGGM-vytMP1OyDgAY&amp;q=site%3Alinkedin.com+Elise+Fraser+Lecturer+&amp;+Coordinator+Women's,+Men's+&amp;+Pelvic+Health+Physiotherapy+programs</v>
      </c>
      <c r="K927" s="5" t="str">
        <f t="shared" si="1"/>
        <v>Elise Fraser</v>
      </c>
      <c r="L927" s="5" t="str">
        <f t="shared" si="2"/>
        <v>Lecturer &amp; Coordinator Women's, Men's &amp; Pelvic Health Physiotherapy programs</v>
      </c>
      <c r="M927" s="5" t="str">
        <f t="shared" si="3"/>
        <v/>
      </c>
      <c r="N927" s="5" t="str">
        <f t="shared" si="4"/>
        <v>University of Melbourne</v>
      </c>
      <c r="O927" s="5" t="str">
        <f t="shared" si="5"/>
        <v>2 years 10 months in role and company</v>
      </c>
      <c r="P927" s="5" t="str">
        <f t="shared" si="6"/>
        <v>Melbourne</v>
      </c>
      <c r="Q927" s="5" t="str">
        <f t="shared" si="7"/>
        <v>Victoria</v>
      </c>
      <c r="R927" s="5" t="str">
        <f t="shared" si="8"/>
        <v>Australia</v>
      </c>
    </row>
    <row r="928">
      <c r="A928" s="8" t="s">
        <v>7075</v>
      </c>
      <c r="B928" s="10" t="s">
        <v>7076</v>
      </c>
      <c r="C928" s="10" t="s">
        <v>7077</v>
      </c>
      <c r="D928" s="10"/>
      <c r="E928" s="10" t="s">
        <v>1908</v>
      </c>
      <c r="F928" s="10" t="s">
        <v>500</v>
      </c>
      <c r="G928" s="11" t="s">
        <v>6577</v>
      </c>
      <c r="H928" s="11" t="s">
        <v>4757</v>
      </c>
      <c r="I928" s="11" t="s">
        <v>4607</v>
      </c>
      <c r="J928" s="9" t="str">
        <f>IFERROR(__xludf.DUMMYFUNCTION("""COMPUTED_VALUE"""),"https://www.google.com/search?newwindow=1&amp;ei=2MT0XrvGGM-vytMP1OyDgAY&amp;q=site%3Alinkedin.com+jenny+vanderzweep+Individual+Student+Programs+Coordinator")</f>
        <v>https://www.google.com/search?newwindow=1&amp;ei=2MT0XrvGGM-vytMP1OyDgAY&amp;q=site%3Alinkedin.com+jenny+vanderzweep+Individual+Student+Programs+Coordinator</v>
      </c>
      <c r="K928" s="5" t="str">
        <f t="shared" si="1"/>
        <v>jenny vanderzweep</v>
      </c>
      <c r="L928" s="5" t="str">
        <f t="shared" si="2"/>
        <v>Individual Student Programs Coordinator</v>
      </c>
      <c r="M928" s="5" t="str">
        <f t="shared" si="3"/>
        <v/>
      </c>
      <c r="N928" s="5" t="str">
        <f t="shared" si="4"/>
        <v>Ivanhoe Grammar School</v>
      </c>
      <c r="O928" s="5" t="str">
        <f t="shared" si="5"/>
        <v>7 years 10 months in role and company</v>
      </c>
      <c r="P928" s="5" t="str">
        <f t="shared" si="6"/>
        <v>Melbourne</v>
      </c>
      <c r="Q928" s="5" t="str">
        <f t="shared" si="7"/>
        <v>Victoria</v>
      </c>
      <c r="R928" s="5" t="str">
        <f t="shared" si="8"/>
        <v>Australia</v>
      </c>
    </row>
    <row r="929">
      <c r="A929" s="8" t="s">
        <v>7078</v>
      </c>
      <c r="B929" s="12" t="s">
        <v>7079</v>
      </c>
      <c r="C929" s="10" t="s">
        <v>5054</v>
      </c>
      <c r="D929" s="10"/>
      <c r="E929" s="10" t="s">
        <v>7080</v>
      </c>
      <c r="F929" s="10" t="s">
        <v>3841</v>
      </c>
      <c r="G929" s="11" t="s">
        <v>6577</v>
      </c>
      <c r="H929" s="11" t="s">
        <v>4757</v>
      </c>
      <c r="I929" s="11" t="s">
        <v>4607</v>
      </c>
      <c r="J929" s="9" t="str">
        <f>IFERROR(__xludf.DUMMYFUNCTION("""COMPUTED_VALUE"""),"https://www.google.com/search?newwindow=1&amp;ei=2MT0XrvGGM-vytMP1OyDgAY&amp;q=site%3Alinkedin.com+Kerryn+Wallace+Student+Recruitment")</f>
        <v>https://www.google.com/search?newwindow=1&amp;ei=2MT0XrvGGM-vytMP1OyDgAY&amp;q=site%3Alinkedin.com+Kerryn+Wallace+Student+Recruitment</v>
      </c>
      <c r="K929" s="5" t="str">
        <f t="shared" si="1"/>
        <v>Kerryn Wallace</v>
      </c>
      <c r="L929" s="5" t="str">
        <f t="shared" si="2"/>
        <v>Student Recruitment</v>
      </c>
      <c r="M929" s="5" t="str">
        <f t="shared" si="3"/>
        <v/>
      </c>
      <c r="N929" s="5" t="str">
        <f t="shared" si="4"/>
        <v>Monash University</v>
      </c>
      <c r="O929" s="5" t="str">
        <f t="shared" si="5"/>
        <v>13 years 1 month in role and company</v>
      </c>
      <c r="P929" s="5" t="str">
        <f t="shared" si="6"/>
        <v>Melbourne</v>
      </c>
      <c r="Q929" s="5" t="str">
        <f t="shared" si="7"/>
        <v>Victoria</v>
      </c>
      <c r="R929" s="5" t="str">
        <f t="shared" si="8"/>
        <v>Australia</v>
      </c>
    </row>
    <row r="930">
      <c r="A930" s="8" t="s">
        <v>7081</v>
      </c>
      <c r="B930" s="10" t="s">
        <v>7082</v>
      </c>
      <c r="C930" s="10" t="s">
        <v>5054</v>
      </c>
      <c r="D930" s="10"/>
      <c r="E930" s="10" t="s">
        <v>7083</v>
      </c>
      <c r="F930" s="10" t="s">
        <v>331</v>
      </c>
      <c r="G930" s="11" t="s">
        <v>6577</v>
      </c>
      <c r="H930" s="11" t="s">
        <v>4757</v>
      </c>
      <c r="I930" s="11" t="s">
        <v>4607</v>
      </c>
      <c r="J930" s="9" t="str">
        <f>IFERROR(__xludf.DUMMYFUNCTION("""COMPUTED_VALUE"""),"https://www.google.com/search?newwindow=1&amp;ei=2MT0XrvGGM-vytMP1OyDgAY&amp;q=site%3Alinkedin.com+Rebekah+Gill+Experience+Community+Services+Program+-+Student+Supervisor")</f>
        <v>https://www.google.com/search?newwindow=1&amp;ei=2MT0XrvGGM-vytMP1OyDgAY&amp;q=site%3Alinkedin.com+Rebekah+Gill+Experience+Community+Services+Program+-+Student+Supervisor</v>
      </c>
      <c r="K930" s="5" t="str">
        <f t="shared" si="1"/>
        <v>Rebekah Gill</v>
      </c>
      <c r="L930" s="5" t="str">
        <f t="shared" si="2"/>
        <v>Experience Community Services Program - Student Supervisor</v>
      </c>
      <c r="M930" s="5" t="str">
        <f t="shared" si="3"/>
        <v/>
      </c>
      <c r="N930" s="5" t="str">
        <f t="shared" si="4"/>
        <v>Geelong Regional Local Learning and Employment Network.</v>
      </c>
      <c r="O930" s="5" t="str">
        <f t="shared" si="5"/>
        <v>5 years 6 months in role and company</v>
      </c>
      <c r="P930" s="5" t="str">
        <f t="shared" si="6"/>
        <v>Melbourne</v>
      </c>
      <c r="Q930" s="5" t="str">
        <f t="shared" si="7"/>
        <v>Victoria</v>
      </c>
      <c r="R930" s="5" t="str">
        <f t="shared" si="8"/>
        <v>Australia</v>
      </c>
    </row>
    <row r="931">
      <c r="A931" s="8" t="s">
        <v>7084</v>
      </c>
      <c r="B931" s="10" t="s">
        <v>7085</v>
      </c>
      <c r="C931" s="10" t="s">
        <v>25</v>
      </c>
      <c r="D931" s="12"/>
      <c r="E931" s="12" t="s">
        <v>2297</v>
      </c>
      <c r="F931" s="10"/>
      <c r="G931" s="11" t="s">
        <v>6577</v>
      </c>
      <c r="H931" s="11" t="s">
        <v>4757</v>
      </c>
      <c r="I931" s="11" t="s">
        <v>4607</v>
      </c>
      <c r="J931" s="9" t="str">
        <f>IFERROR(__xludf.DUMMYFUNCTION("""COMPUTED_VALUE"""),"https://www.google.com/search?newwindow=1&amp;ei=2MT0XrvGGM-vytMP1OyDgAY&amp;q=site%3Alinkedin.com+Anita+Orr+Coordinator+-+Student+and+Programs")</f>
        <v>https://www.google.com/search?newwindow=1&amp;ei=2MT0XrvGGM-vytMP1OyDgAY&amp;q=site%3Alinkedin.com+Anita+Orr+Coordinator+-+Student+and+Programs</v>
      </c>
      <c r="K931" s="5" t="str">
        <f t="shared" si="1"/>
        <v>Anita Orr</v>
      </c>
      <c r="L931" s="5" t="str">
        <f t="shared" si="2"/>
        <v>Coordinator - Student and Programs</v>
      </c>
      <c r="M931" s="5" t="str">
        <f t="shared" si="3"/>
        <v/>
      </c>
      <c r="N931" s="5" t="str">
        <f t="shared" si="4"/>
        <v>Swinburne University of Technology</v>
      </c>
      <c r="O931" s="5" t="str">
        <f t="shared" si="5"/>
        <v/>
      </c>
      <c r="P931" s="5" t="str">
        <f t="shared" si="6"/>
        <v>Melbourne</v>
      </c>
      <c r="Q931" s="5" t="str">
        <f t="shared" si="7"/>
        <v>Victoria</v>
      </c>
      <c r="R931" s="5" t="str">
        <f t="shared" si="8"/>
        <v>Australia</v>
      </c>
    </row>
    <row r="932">
      <c r="A932" s="8" t="s">
        <v>7086</v>
      </c>
      <c r="B932" s="10" t="s">
        <v>7087</v>
      </c>
      <c r="C932" s="10" t="s">
        <v>7088</v>
      </c>
      <c r="D932" s="10"/>
      <c r="E932" s="10" t="s">
        <v>7089</v>
      </c>
      <c r="F932" s="10" t="s">
        <v>7090</v>
      </c>
      <c r="G932" s="11" t="s">
        <v>6577</v>
      </c>
      <c r="H932" s="11" t="s">
        <v>4757</v>
      </c>
      <c r="I932" s="11" t="s">
        <v>4607</v>
      </c>
      <c r="J932" s="9" t="str">
        <f>IFERROR(__xludf.DUMMYFUNCTION("""COMPUTED_VALUE"""),"https://www.google.com/search?newwindow=1&amp;ei=2MT0XrvGGM-vytMP1OyDgAY&amp;q=site%3Alinkedin.com+Katie+Barber+Campus+Recruiting+Specialist")</f>
        <v>https://www.google.com/search?newwindow=1&amp;ei=2MT0XrvGGM-vytMP1OyDgAY&amp;q=site%3Alinkedin.com+Katie+Barber+Campus+Recruiting+Specialist</v>
      </c>
      <c r="K932" s="5" t="str">
        <f t="shared" si="1"/>
        <v>Katie Barber</v>
      </c>
      <c r="L932" s="5" t="str">
        <f t="shared" si="2"/>
        <v>Campus Recruiting Specialist</v>
      </c>
      <c r="M932" s="5" t="str">
        <f t="shared" si="3"/>
        <v/>
      </c>
      <c r="N932" s="5" t="str">
        <f t="shared" si="4"/>
        <v>Deloitte</v>
      </c>
      <c r="O932" s="5" t="str">
        <f t="shared" si="5"/>
        <v>2 years 1 month in role and company</v>
      </c>
      <c r="P932" s="5" t="str">
        <f t="shared" si="6"/>
        <v>Memphis</v>
      </c>
      <c r="Q932" s="5" t="str">
        <f t="shared" si="7"/>
        <v>Tennessee</v>
      </c>
      <c r="R932" s="5" t="str">
        <f t="shared" si="8"/>
        <v>United States</v>
      </c>
    </row>
    <row r="933">
      <c r="A933" s="8" t="s">
        <v>7091</v>
      </c>
      <c r="B933" s="10" t="s">
        <v>7092</v>
      </c>
      <c r="C933" s="10" t="s">
        <v>7093</v>
      </c>
      <c r="D933" s="10"/>
      <c r="E933" s="10" t="s">
        <v>3389</v>
      </c>
      <c r="F933" s="10" t="s">
        <v>2851</v>
      </c>
      <c r="G933" s="11" t="s">
        <v>6577</v>
      </c>
      <c r="H933" s="11" t="s">
        <v>4757</v>
      </c>
      <c r="I933" s="11" t="s">
        <v>4607</v>
      </c>
      <c r="J933" s="9" t="str">
        <f>IFERROR(__xludf.DUMMYFUNCTION("""COMPUTED_VALUE"""),"https://www.google.com/search?newwindow=1&amp;ei=2MT0XrvGGM-vytMP1OyDgAY&amp;q=site%3Alinkedin.com+Laney+Williams+Senior+Associate,+Campus+Recruiting")</f>
        <v>https://www.google.com/search?newwindow=1&amp;ei=2MT0XrvGGM-vytMP1OyDgAY&amp;q=site%3Alinkedin.com+Laney+Williams+Senior+Associate,+Campus+Recruiting</v>
      </c>
      <c r="K933" s="5" t="str">
        <f t="shared" si="1"/>
        <v>Laney Williams</v>
      </c>
      <c r="L933" s="5" t="str">
        <f t="shared" si="2"/>
        <v>Senior Associate, Campus Recruiting</v>
      </c>
      <c r="M933" s="5" t="str">
        <f t="shared" si="3"/>
        <v/>
      </c>
      <c r="N933" s="5" t="str">
        <f t="shared" si="4"/>
        <v>KPMG</v>
      </c>
      <c r="O933" s="5" t="str">
        <f t="shared" si="5"/>
        <v>2 years 6 months in role and company</v>
      </c>
      <c r="P933" s="5" t="str">
        <f t="shared" si="6"/>
        <v>Memphis</v>
      </c>
      <c r="Q933" s="5" t="str">
        <f t="shared" si="7"/>
        <v>Tennessee</v>
      </c>
      <c r="R933" s="5" t="str">
        <f t="shared" si="8"/>
        <v>United States</v>
      </c>
    </row>
    <row r="934">
      <c r="A934" s="8" t="s">
        <v>7094</v>
      </c>
      <c r="B934" s="12" t="s">
        <v>7095</v>
      </c>
      <c r="C934" s="10" t="s">
        <v>7096</v>
      </c>
      <c r="D934" s="10"/>
      <c r="E934" s="10" t="s">
        <v>7097</v>
      </c>
      <c r="F934" s="10" t="s">
        <v>241</v>
      </c>
      <c r="G934" s="11" t="s">
        <v>6577</v>
      </c>
      <c r="H934" s="11" t="s">
        <v>4757</v>
      </c>
      <c r="I934" s="11" t="s">
        <v>4607</v>
      </c>
      <c r="J934" s="9" t="str">
        <f>IFERROR(__xludf.DUMMYFUNCTION("""COMPUTED_VALUE"""),"https://www.google.com/search?newwindow=1&amp;ei=2MT0XrvGGM-vytMP1OyDgAY&amp;q=site%3Alinkedin.com+Kathryn+Roberts+Senior+Campus+Recruiting+Specialist")</f>
        <v>https://www.google.com/search?newwindow=1&amp;ei=2MT0XrvGGM-vytMP1OyDgAY&amp;q=site%3Alinkedin.com+Kathryn+Roberts+Senior+Campus+Recruiting+Specialist</v>
      </c>
      <c r="K934" s="5" t="str">
        <f t="shared" si="1"/>
        <v>Kathryn Roberts</v>
      </c>
      <c r="L934" s="5" t="str">
        <f t="shared" si="2"/>
        <v>Senior Campus Recruiting Specialist</v>
      </c>
      <c r="M934" s="5" t="str">
        <f t="shared" si="3"/>
        <v/>
      </c>
      <c r="N934" s="5" t="str">
        <f t="shared" si="4"/>
        <v>Deloitte</v>
      </c>
      <c r="O934" s="5" t="str">
        <f t="shared" si="5"/>
        <v>2 years 1 month in role</v>
      </c>
      <c r="P934" s="5" t="str">
        <f t="shared" si="6"/>
        <v>Meriden</v>
      </c>
      <c r="Q934" s="5" t="str">
        <f t="shared" si="7"/>
        <v>Connecticut</v>
      </c>
      <c r="R934" s="5" t="str">
        <f t="shared" si="8"/>
        <v>United States</v>
      </c>
    </row>
    <row r="935">
      <c r="A935" s="8" t="s">
        <v>7098</v>
      </c>
      <c r="B935" s="10" t="s">
        <v>7099</v>
      </c>
      <c r="C935" s="10" t="s">
        <v>5054</v>
      </c>
      <c r="D935" s="10"/>
      <c r="E935" s="10" t="s">
        <v>7100</v>
      </c>
      <c r="F935" s="10"/>
      <c r="G935" s="11" t="s">
        <v>6577</v>
      </c>
      <c r="H935" s="11" t="s">
        <v>4757</v>
      </c>
      <c r="I935" s="11" t="s">
        <v>4607</v>
      </c>
      <c r="J935" s="9" t="str">
        <f>IFERROR(__xludf.DUMMYFUNCTION("""COMPUTED_VALUE"""),"https://www.google.com/search?newwindow=1&amp;ei=2MT0XrvGGM-vytMP1OyDgAY&amp;q=site%3Alinkedin.com+Anissa+Escobar,+MSHRM+Campus+Recruiting+Coordinator")</f>
        <v>https://www.google.com/search?newwindow=1&amp;ei=2MT0XrvGGM-vytMP1OyDgAY&amp;q=site%3Alinkedin.com+Anissa+Escobar,+MSHRM+Campus+Recruiting+Coordinator</v>
      </c>
      <c r="K935" s="5" t="str">
        <f t="shared" si="1"/>
        <v>Anissa Escobar, MSHRM</v>
      </c>
      <c r="L935" s="5" t="str">
        <f t="shared" si="2"/>
        <v>Campus Recruiting Coordinator</v>
      </c>
      <c r="M935" s="5" t="str">
        <f t="shared" si="3"/>
        <v/>
      </c>
      <c r="N935" s="5" t="str">
        <f t="shared" si="4"/>
        <v>Deloitte</v>
      </c>
      <c r="O935" s="5" t="str">
        <f t="shared" si="5"/>
        <v>1 year 10 months in role and company</v>
      </c>
      <c r="P935" s="5" t="str">
        <f t="shared" si="6"/>
        <v>Miami</v>
      </c>
      <c r="Q935" s="5" t="str">
        <f t="shared" si="7"/>
        <v>Florida</v>
      </c>
      <c r="R935" s="5" t="str">
        <f t="shared" si="8"/>
        <v>United States</v>
      </c>
    </row>
    <row r="936">
      <c r="A936" s="8" t="s">
        <v>7101</v>
      </c>
      <c r="B936" s="12" t="s">
        <v>7102</v>
      </c>
      <c r="C936" s="10" t="s">
        <v>7103</v>
      </c>
      <c r="D936" s="10"/>
      <c r="E936" s="10" t="s">
        <v>7104</v>
      </c>
      <c r="F936" s="10" t="s">
        <v>7105</v>
      </c>
      <c r="G936" s="11" t="s">
        <v>6577</v>
      </c>
      <c r="H936" s="11" t="s">
        <v>4757</v>
      </c>
      <c r="I936" s="11" t="s">
        <v>4607</v>
      </c>
      <c r="J936" s="9" t="str">
        <f>IFERROR(__xludf.DUMMYFUNCTION("""COMPUTED_VALUE"""),"https://www.google.com/search?newwindow=1&amp;ei=2MT0XrvGGM-vytMP1OyDgAY&amp;q=site%3Alinkedin.com+Katarina+I.+Perez,+MBA+Campus+Recruiting+Specialist")</f>
        <v>https://www.google.com/search?newwindow=1&amp;ei=2MT0XrvGGM-vytMP1OyDgAY&amp;q=site%3Alinkedin.com+Katarina+I.+Perez,+MBA+Campus+Recruiting+Specialist</v>
      </c>
      <c r="K936" s="5" t="str">
        <f t="shared" si="1"/>
        <v>Katarina I. Perez, MBA</v>
      </c>
      <c r="L936" s="5" t="str">
        <f t="shared" si="2"/>
        <v>Campus Recruiting Specialist</v>
      </c>
      <c r="M936" s="5" t="str">
        <f t="shared" si="3"/>
        <v/>
      </c>
      <c r="N936" s="5" t="str">
        <f t="shared" si="4"/>
        <v>Deloitte</v>
      </c>
      <c r="O936" s="5" t="str">
        <f t="shared" si="5"/>
        <v>1 year 10 months in role</v>
      </c>
      <c r="P936" s="5" t="str">
        <f t="shared" si="6"/>
        <v>Miami</v>
      </c>
      <c r="Q936" s="5" t="str">
        <f t="shared" si="7"/>
        <v>Florida</v>
      </c>
      <c r="R936" s="5" t="str">
        <f t="shared" si="8"/>
        <v>United States</v>
      </c>
    </row>
    <row r="937">
      <c r="A937" s="8" t="s">
        <v>7106</v>
      </c>
      <c r="B937" s="12" t="s">
        <v>7107</v>
      </c>
      <c r="C937" s="10" t="s">
        <v>7108</v>
      </c>
      <c r="D937" s="10"/>
      <c r="E937" s="10" t="s">
        <v>4836</v>
      </c>
      <c r="F937" s="10" t="s">
        <v>7109</v>
      </c>
      <c r="G937" s="11" t="s">
        <v>6577</v>
      </c>
      <c r="H937" s="11" t="s">
        <v>4757</v>
      </c>
      <c r="I937" s="11" t="s">
        <v>4607</v>
      </c>
      <c r="J937" s="9" t="str">
        <f>IFERROR(__xludf.DUMMYFUNCTION("""COMPUTED_VALUE"""),"https://www.google.com/search?newwindow=1&amp;ei=2MT0XrvGGM-vytMP1OyDgAY&amp;q=site%3Alinkedin.com+Federico+E.+Campus+Recruiting+Manager")</f>
        <v>https://www.google.com/search?newwindow=1&amp;ei=2MT0XrvGGM-vytMP1OyDgAY&amp;q=site%3Alinkedin.com+Federico+E.+Campus+Recruiting+Manager</v>
      </c>
      <c r="K937" s="5" t="str">
        <f t="shared" si="1"/>
        <v>Federico E.</v>
      </c>
      <c r="L937" s="5" t="str">
        <f t="shared" si="2"/>
        <v>Campus Recruiting Manager</v>
      </c>
      <c r="M937" s="5" t="str">
        <f t="shared" si="3"/>
        <v/>
      </c>
      <c r="N937" s="5" t="str">
        <f t="shared" si="4"/>
        <v>PwC</v>
      </c>
      <c r="O937" s="5" t="str">
        <f t="shared" si="5"/>
        <v>3 years 7 months in role and company</v>
      </c>
      <c r="P937" s="5" t="str">
        <f t="shared" si="6"/>
        <v>Miami</v>
      </c>
      <c r="Q937" s="5" t="str">
        <f t="shared" si="7"/>
        <v>Florida</v>
      </c>
      <c r="R937" s="5" t="str">
        <f t="shared" si="8"/>
        <v>United States</v>
      </c>
    </row>
    <row r="938">
      <c r="A938" s="8" t="s">
        <v>7110</v>
      </c>
      <c r="B938" s="10" t="s">
        <v>7111</v>
      </c>
      <c r="C938" s="10" t="s">
        <v>5054</v>
      </c>
      <c r="D938" s="10"/>
      <c r="E938" s="10" t="s">
        <v>812</v>
      </c>
      <c r="F938" s="10"/>
      <c r="G938" s="11" t="s">
        <v>6577</v>
      </c>
      <c r="H938" s="11" t="s">
        <v>4757</v>
      </c>
      <c r="I938" s="11" t="s">
        <v>4607</v>
      </c>
      <c r="J938" s="9" t="str">
        <f>IFERROR(__xludf.DUMMYFUNCTION("""COMPUTED_VALUE"""),"https://www.google.com/search?newwindow=1&amp;ei=2MT0XrvGGM-vytMP1OyDgAY&amp;q=site%3Alinkedin.com+Robert+Conrad+National+Campus+Forensics+Recruiting+Leader")</f>
        <v>https://www.google.com/search?newwindow=1&amp;ei=2MT0XrvGGM-vytMP1OyDgAY&amp;q=site%3Alinkedin.com+Robert+Conrad+National+Campus+Forensics+Recruiting+Leader</v>
      </c>
      <c r="K938" s="5" t="str">
        <f t="shared" si="1"/>
        <v>Robert Conrad</v>
      </c>
      <c r="L938" s="5" t="str">
        <f t="shared" si="2"/>
        <v>National Campus Forensics Recruiting Leader</v>
      </c>
      <c r="M938" s="5" t="str">
        <f t="shared" si="3"/>
        <v/>
      </c>
      <c r="N938" s="5" t="str">
        <f t="shared" si="4"/>
        <v>Price Waterhouse Coopers</v>
      </c>
      <c r="O938" s="5" t="str">
        <f t="shared" si="5"/>
        <v>3 years 7 months in role and company</v>
      </c>
      <c r="P938" s="5" t="str">
        <f t="shared" si="6"/>
        <v>Miami</v>
      </c>
      <c r="Q938" s="5" t="str">
        <f t="shared" si="7"/>
        <v>Florida</v>
      </c>
      <c r="R938" s="5" t="str">
        <f t="shared" si="8"/>
        <v>United States</v>
      </c>
    </row>
    <row r="939">
      <c r="A939" s="8" t="s">
        <v>7112</v>
      </c>
      <c r="B939" s="10" t="s">
        <v>7113</v>
      </c>
      <c r="C939" s="10" t="s">
        <v>5054</v>
      </c>
      <c r="D939" s="10"/>
      <c r="E939" s="10" t="s">
        <v>7114</v>
      </c>
      <c r="F939" s="10"/>
      <c r="G939" s="11" t="s">
        <v>6577</v>
      </c>
      <c r="H939" s="11" t="s">
        <v>4757</v>
      </c>
      <c r="I939" s="11" t="s">
        <v>4607</v>
      </c>
      <c r="J939" s="9" t="str">
        <f>IFERROR(__xludf.DUMMYFUNCTION("""COMPUTED_VALUE"""),"https://www.google.com/search?newwindow=1&amp;ei=2MT0XrvGGM-vytMP1OyDgAY&amp;q=site%3Alinkedin.com+Jeff+Hudgins+Principal+Talent+Acquisition+Specialist+-+Grad+Campus+Recruiting+Team")</f>
        <v>https://www.google.com/search?newwindow=1&amp;ei=2MT0XrvGGM-vytMP1OyDgAY&amp;q=site%3Alinkedin.com+Jeff+Hudgins+Principal+Talent+Acquisition+Specialist+-+Grad+Campus+Recruiting+Team</v>
      </c>
      <c r="K939" s="5" t="str">
        <f t="shared" si="1"/>
        <v>Jeff Hudgins</v>
      </c>
      <c r="L939" s="5" t="str">
        <f t="shared" si="2"/>
        <v>Principal Talent Acquisition Specialist - Grad Campus Recruiting Team</v>
      </c>
      <c r="M939" s="5" t="str">
        <f t="shared" si="3"/>
        <v/>
      </c>
      <c r="N939" s="5" t="str">
        <f t="shared" si="4"/>
        <v>Capital One</v>
      </c>
      <c r="O939" s="5" t="str">
        <f t="shared" si="5"/>
        <v>10 months in role</v>
      </c>
      <c r="P939" s="5" t="str">
        <f t="shared" si="6"/>
        <v>Midlothian</v>
      </c>
      <c r="Q939" s="5" t="str">
        <f t="shared" si="7"/>
        <v>Virginia</v>
      </c>
      <c r="R939" s="5" t="str">
        <f t="shared" si="8"/>
        <v>United States</v>
      </c>
    </row>
    <row r="940">
      <c r="A940" s="8" t="s">
        <v>7115</v>
      </c>
      <c r="B940" s="10" t="s">
        <v>7043</v>
      </c>
      <c r="C940" s="10" t="s">
        <v>25</v>
      </c>
      <c r="D940" s="10"/>
      <c r="E940" s="10" t="s">
        <v>4895</v>
      </c>
      <c r="F940" s="10" t="s">
        <v>125</v>
      </c>
      <c r="G940" s="11" t="s">
        <v>6577</v>
      </c>
      <c r="H940" s="11" t="s">
        <v>4757</v>
      </c>
      <c r="I940" s="11" t="s">
        <v>4607</v>
      </c>
      <c r="J940" s="9" t="str">
        <f>IFERROR(__xludf.DUMMYFUNCTION("""COMPUTED_VALUE"""),"https://www.google.com/search?newwindow=1&amp;ei=2MT0XrvGGM-vytMP1OyDgAY&amp;q=site%3Alinkedin.com+Freda+Asare+Senior+Recruitment+&amp;+Support+Adviser+at+Open+University")</f>
        <v>https://www.google.com/search?newwindow=1&amp;ei=2MT0XrvGGM-vytMP1OyDgAY&amp;q=site%3Alinkedin.com+Freda+Asare+Senior+Recruitment+&amp;+Support+Adviser+at+Open+University</v>
      </c>
      <c r="K940" s="5" t="str">
        <f t="shared" si="1"/>
        <v>Freda Asare</v>
      </c>
      <c r="L940" s="5" t="str">
        <f t="shared" si="2"/>
        <v>Senior Recruitment &amp; Support Adviser at Open University</v>
      </c>
      <c r="M940" s="5" t="str">
        <f t="shared" si="3"/>
        <v/>
      </c>
      <c r="N940" s="5" t="str">
        <f t="shared" si="4"/>
        <v>The Open University</v>
      </c>
      <c r="O940" s="5" t="str">
        <f t="shared" si="5"/>
        <v>4 years  in role and company</v>
      </c>
      <c r="P940" s="5" t="str">
        <f t="shared" si="6"/>
        <v>Milton Keynes</v>
      </c>
      <c r="Q940" s="5" t="str">
        <f t="shared" si="7"/>
        <v>England</v>
      </c>
      <c r="R940" s="5" t="str">
        <f t="shared" si="8"/>
        <v>United Kingdom</v>
      </c>
    </row>
    <row r="941">
      <c r="A941" s="8" t="s">
        <v>7116</v>
      </c>
      <c r="B941" s="10" t="s">
        <v>7117</v>
      </c>
      <c r="C941" s="10" t="s">
        <v>5054</v>
      </c>
      <c r="D941" s="10"/>
      <c r="E941" s="10" t="s">
        <v>7118</v>
      </c>
      <c r="F941" s="10" t="s">
        <v>1561</v>
      </c>
      <c r="G941" s="11" t="s">
        <v>6577</v>
      </c>
      <c r="H941" s="11" t="s">
        <v>4757</v>
      </c>
      <c r="I941" s="11" t="s">
        <v>4607</v>
      </c>
      <c r="J941" s="9" t="str">
        <f>IFERROR(__xludf.DUMMYFUNCTION("""COMPUTED_VALUE"""),"https://www.google.com/search?newwindow=1&amp;ei=2MT0XrvGGM-vytMP1OyDgAY&amp;q=site%3Alinkedin.com+Natasha+Teji+Student+Recruiter")</f>
        <v>https://www.google.com/search?newwindow=1&amp;ei=2MT0XrvGGM-vytMP1OyDgAY&amp;q=site%3Alinkedin.com+Natasha+Teji+Student+Recruiter</v>
      </c>
      <c r="K941" s="5" t="str">
        <f t="shared" si="1"/>
        <v>Natasha Teji</v>
      </c>
      <c r="L941" s="5" t="str">
        <f t="shared" si="2"/>
        <v>Student Recruiter</v>
      </c>
      <c r="M941" s="5" t="str">
        <f t="shared" si="3"/>
        <v/>
      </c>
      <c r="N941" s="5" t="str">
        <f t="shared" si="4"/>
        <v>Open University Business School (OUBS)</v>
      </c>
      <c r="O941" s="5" t="str">
        <f t="shared" si="5"/>
        <v>5 years 6 months in role and company</v>
      </c>
      <c r="P941" s="5" t="str">
        <f t="shared" si="6"/>
        <v>Milton Keynes</v>
      </c>
      <c r="Q941" s="5" t="str">
        <f t="shared" si="7"/>
        <v>England</v>
      </c>
      <c r="R941" s="5" t="str">
        <f t="shared" si="8"/>
        <v>United Kingdom</v>
      </c>
    </row>
    <row r="942">
      <c r="A942" s="8" t="s">
        <v>7119</v>
      </c>
      <c r="B942" s="10" t="s">
        <v>7120</v>
      </c>
      <c r="C942" s="10" t="s">
        <v>25</v>
      </c>
      <c r="D942" s="10"/>
      <c r="E942" s="10" t="s">
        <v>7121</v>
      </c>
      <c r="F942" s="10" t="s">
        <v>694</v>
      </c>
      <c r="G942" s="11" t="s">
        <v>6577</v>
      </c>
      <c r="H942" s="13" t="s">
        <v>4757</v>
      </c>
      <c r="I942" s="11" t="s">
        <v>4607</v>
      </c>
      <c r="J942" s="9" t="str">
        <f>IFERROR(__xludf.DUMMYFUNCTION("""COMPUTED_VALUE"""),"https://www.google.com/search?newwindow=1&amp;ei=2MT0XrvGGM-vytMP1OyDgAY&amp;q=site%3Alinkedin.com+Jill+Laurenson+Open+University+Recruitment+ Response+Manager")</f>
        <v>https://www.google.com/search?newwindow=1&amp;ei=2MT0XrvGGM-vytMP1OyDgAY&amp;q=site%3Alinkedin.com+Jill+Laurenson+Open+University+Recruitment+ Response+Manager</v>
      </c>
      <c r="K942" s="5" t="str">
        <f t="shared" si="1"/>
        <v>Jill Laurenson</v>
      </c>
      <c r="L942" s="5" t="str">
        <f t="shared" si="2"/>
        <v>Open University Recruitment  Response Manager</v>
      </c>
      <c r="M942" s="5" t="str">
        <f t="shared" si="3"/>
        <v/>
      </c>
      <c r="N942" s="5" t="str">
        <f t="shared" si="4"/>
        <v>Reed</v>
      </c>
      <c r="O942" s="5" t="str">
        <f t="shared" si="5"/>
        <v>10 years 8 months in role and company</v>
      </c>
      <c r="P942" s="5" t="str">
        <f t="shared" si="6"/>
        <v>Milton Keynes</v>
      </c>
      <c r="Q942" s="5" t="str">
        <f t="shared" si="7"/>
        <v>England</v>
      </c>
      <c r="R942" s="5" t="str">
        <f t="shared" si="8"/>
        <v>United Kingdom</v>
      </c>
    </row>
    <row r="943">
      <c r="A943" s="8" t="s">
        <v>7122</v>
      </c>
      <c r="B943" s="12" t="s">
        <v>7123</v>
      </c>
      <c r="C943" s="10" t="s">
        <v>5054</v>
      </c>
      <c r="D943" s="10"/>
      <c r="E943" s="10" t="s">
        <v>7124</v>
      </c>
      <c r="F943" s="10"/>
      <c r="G943" s="11" t="s">
        <v>6577</v>
      </c>
      <c r="H943" s="11" t="s">
        <v>4757</v>
      </c>
      <c r="I943" s="11" t="s">
        <v>4607</v>
      </c>
      <c r="J943" s="9" t="str">
        <f>IFERROR(__xludf.DUMMYFUNCTION("""COMPUTED_VALUE"""),"https://www.google.com/search?newwindow=1&amp;ei=2MT0XrvGGM-vytMP1OyDgAY&amp;q=site%3Alinkedin.com+Michael+Clark+College+Recruiter")</f>
        <v>https://www.google.com/search?newwindow=1&amp;ei=2MT0XrvGGM-vytMP1OyDgAY&amp;q=site%3Alinkedin.com+Michael+Clark+College+Recruiter</v>
      </c>
      <c r="K943" s="5" t="str">
        <f t="shared" si="1"/>
        <v>Michael Clark</v>
      </c>
      <c r="L943" s="5" t="str">
        <f t="shared" si="2"/>
        <v>College Recruiter</v>
      </c>
      <c r="M943" s="5" t="str">
        <f t="shared" si="3"/>
        <v/>
      </c>
      <c r="N943" s="5" t="str">
        <f t="shared" si="4"/>
        <v>Open University Business School (OUBS)</v>
      </c>
      <c r="O943" s="5" t="str">
        <f t="shared" si="5"/>
        <v>3 years 10 months in role and company</v>
      </c>
      <c r="P943" s="5" t="str">
        <f t="shared" si="6"/>
        <v>Milton Keynes</v>
      </c>
      <c r="Q943" s="5" t="str">
        <f t="shared" si="7"/>
        <v>England</v>
      </c>
      <c r="R943" s="5" t="str">
        <f t="shared" si="8"/>
        <v>United Kingdom</v>
      </c>
    </row>
    <row r="944">
      <c r="A944" s="8" t="s">
        <v>7125</v>
      </c>
      <c r="B944" s="12" t="s">
        <v>7126</v>
      </c>
      <c r="C944" s="10" t="s">
        <v>5054</v>
      </c>
      <c r="D944" s="12"/>
      <c r="E944" s="12" t="s">
        <v>7127</v>
      </c>
      <c r="F944" s="10"/>
      <c r="G944" s="11" t="s">
        <v>6577</v>
      </c>
      <c r="H944" s="11" t="s">
        <v>4757</v>
      </c>
      <c r="I944" s="11" t="s">
        <v>4607</v>
      </c>
      <c r="J944" s="9" t="str">
        <f>IFERROR(__xludf.DUMMYFUNCTION("""COMPUTED_VALUE"""),"https://www.google.com/search?newwindow=1&amp;ei=2MT0XrvGGM-vytMP1OyDgAY&amp;q=site%3Alinkedin.com+Amber+Lemieux+Senior+Campus+Recruiting+Coordinator")</f>
        <v>https://www.google.com/search?newwindow=1&amp;ei=2MT0XrvGGM-vytMP1OyDgAY&amp;q=site%3Alinkedin.com+Amber+Lemieux+Senior+Campus+Recruiting+Coordinator</v>
      </c>
      <c r="K944" s="5" t="str">
        <f t="shared" si="1"/>
        <v>Amber Lemieux</v>
      </c>
      <c r="L944" s="5" t="str">
        <f t="shared" si="2"/>
        <v>Senior Campus Recruiting Coordinator</v>
      </c>
      <c r="M944" s="5" t="str">
        <f t="shared" si="3"/>
        <v/>
      </c>
      <c r="N944" s="5" t="str">
        <f t="shared" si="4"/>
        <v>Deloitte</v>
      </c>
      <c r="O944" s="5" t="str">
        <f t="shared" si="5"/>
        <v>2 years 1 month in role</v>
      </c>
      <c r="P944" s="5" t="str">
        <f t="shared" si="6"/>
        <v>Milwaukee</v>
      </c>
      <c r="Q944" s="5" t="str">
        <f t="shared" si="7"/>
        <v>Illinois</v>
      </c>
      <c r="R944" s="5" t="str">
        <f t="shared" si="8"/>
        <v>United States</v>
      </c>
    </row>
    <row r="945">
      <c r="A945" s="8" t="s">
        <v>7128</v>
      </c>
      <c r="B945" s="12" t="s">
        <v>7129</v>
      </c>
      <c r="C945" s="10" t="s">
        <v>7130</v>
      </c>
      <c r="D945" s="10"/>
      <c r="E945" s="10" t="s">
        <v>4836</v>
      </c>
      <c r="F945" s="10"/>
      <c r="G945" s="11" t="s">
        <v>6577</v>
      </c>
      <c r="H945" s="11" t="s">
        <v>4757</v>
      </c>
      <c r="I945" s="11" t="s">
        <v>4607</v>
      </c>
      <c r="J945" s="9" t="str">
        <f>IFERROR(__xludf.DUMMYFUNCTION("""COMPUTED_VALUE"""),"https://www.google.com/search?newwindow=1&amp;ei=2MT0XrvGGM-vytMP1OyDgAY&amp;q=site%3Alinkedin.com+Nicole+Price+Executive+Assistant+&amp;+Campus+Recruiting+Coordinator")</f>
        <v>https://www.google.com/search?newwindow=1&amp;ei=2MT0XrvGGM-vytMP1OyDgAY&amp;q=site%3Alinkedin.com+Nicole+Price+Executive+Assistant+&amp;+Campus+Recruiting+Coordinator</v>
      </c>
      <c r="K945" s="5" t="str">
        <f t="shared" si="1"/>
        <v>Nicole Price</v>
      </c>
      <c r="L945" s="5" t="str">
        <f t="shared" si="2"/>
        <v>Executive Assistant &amp; Campus Recruiting Coordinator</v>
      </c>
      <c r="M945" s="5" t="str">
        <f t="shared" si="3"/>
        <v/>
      </c>
      <c r="N945" s="5" t="str">
        <f t="shared" si="4"/>
        <v>KPMG</v>
      </c>
      <c r="O945" s="5" t="str">
        <f t="shared" si="5"/>
        <v>3 years 1 month in role and company</v>
      </c>
      <c r="P945" s="5" t="str">
        <f t="shared" si="6"/>
        <v>Milwaukee</v>
      </c>
      <c r="Q945" s="5" t="str">
        <f t="shared" si="7"/>
        <v>Illinois</v>
      </c>
      <c r="R945" s="5" t="str">
        <f t="shared" si="8"/>
        <v>United States</v>
      </c>
    </row>
    <row r="946">
      <c r="A946" s="8" t="s">
        <v>7131</v>
      </c>
      <c r="B946" s="10" t="s">
        <v>7132</v>
      </c>
      <c r="C946" s="10" t="s">
        <v>5054</v>
      </c>
      <c r="D946" s="12"/>
      <c r="E946" s="12" t="s">
        <v>7133</v>
      </c>
      <c r="F946" s="10"/>
      <c r="G946" s="11" t="s">
        <v>6577</v>
      </c>
      <c r="H946" s="11" t="s">
        <v>4757</v>
      </c>
      <c r="I946" s="11" t="s">
        <v>4607</v>
      </c>
      <c r="J946" s="9" t="str">
        <f>IFERROR(__xludf.DUMMYFUNCTION("""COMPUTED_VALUE"""),"https://www.google.com/search?newwindow=1&amp;ei=2MT0XrvGGM-vytMP1OyDgAY&amp;q=site%3Alinkedin.com+Anadelia+Garcia+Campus+Recruiting+Manager+-+Central+Region")</f>
        <v>https://www.google.com/search?newwindow=1&amp;ei=2MT0XrvGGM-vytMP1OyDgAY&amp;q=site%3Alinkedin.com+Anadelia+Garcia+Campus+Recruiting+Manager+-+Central+Region</v>
      </c>
      <c r="K946" s="5" t="str">
        <f t="shared" si="1"/>
        <v>Anadelia Garcia</v>
      </c>
      <c r="L946" s="5" t="str">
        <f t="shared" si="2"/>
        <v>Campus Recruiting Manager - Central Region</v>
      </c>
      <c r="M946" s="5" t="str">
        <f t="shared" si="3"/>
        <v/>
      </c>
      <c r="N946" s="5" t="str">
        <f t="shared" si="4"/>
        <v>Deloitte</v>
      </c>
      <c r="O946" s="5" t="str">
        <f t="shared" si="5"/>
        <v>1 year 2 months in role</v>
      </c>
      <c r="P946" s="5" t="str">
        <f t="shared" si="6"/>
        <v>Milwaukee</v>
      </c>
      <c r="Q946" s="5" t="str">
        <f t="shared" si="7"/>
        <v>Wisconsin</v>
      </c>
      <c r="R946" s="5" t="str">
        <f t="shared" si="8"/>
        <v>United States</v>
      </c>
    </row>
    <row r="947">
      <c r="A947" s="8" t="s">
        <v>7134</v>
      </c>
      <c r="B947" s="10" t="s">
        <v>7135</v>
      </c>
      <c r="C947" s="10" t="s">
        <v>115</v>
      </c>
      <c r="D947" s="10"/>
      <c r="E947" s="10" t="s">
        <v>7136</v>
      </c>
      <c r="F947" s="10" t="s">
        <v>648</v>
      </c>
      <c r="G947" s="11" t="s">
        <v>6577</v>
      </c>
      <c r="H947" s="11" t="s">
        <v>4757</v>
      </c>
      <c r="I947" s="11" t="s">
        <v>4607</v>
      </c>
      <c r="J947" s="9" t="str">
        <f>IFERROR(__xludf.DUMMYFUNCTION("""COMPUTED_VALUE"""),"https://www.google.com/search?newwindow=1&amp;ei=2MT0XrvGGM-vytMP1OyDgAY&amp;q=site%3Alinkedin.com+Brittany+Prather+Campus+Recruiting+Specialist")</f>
        <v>https://www.google.com/search?newwindow=1&amp;ei=2MT0XrvGGM-vytMP1OyDgAY&amp;q=site%3Alinkedin.com+Brittany+Prather+Campus+Recruiting+Specialist</v>
      </c>
      <c r="K947" s="5" t="str">
        <f t="shared" si="1"/>
        <v>Brittany Prather</v>
      </c>
      <c r="L947" s="5" t="str">
        <f t="shared" si="2"/>
        <v>Campus Recruiting Specialist</v>
      </c>
      <c r="M947" s="5" t="str">
        <f t="shared" si="3"/>
        <v/>
      </c>
      <c r="N947" s="5" t="str">
        <f t="shared" si="4"/>
        <v>Deloitte</v>
      </c>
      <c r="O947" s="5" t="str">
        <f t="shared" si="5"/>
        <v>2 years 1 month in role and company</v>
      </c>
      <c r="P947" s="5" t="str">
        <f t="shared" si="6"/>
        <v>Minneapolis</v>
      </c>
      <c r="Q947" s="5" t="str">
        <f t="shared" si="7"/>
        <v>Minnesota</v>
      </c>
      <c r="R947" s="5" t="str">
        <f t="shared" si="8"/>
        <v>United States</v>
      </c>
    </row>
    <row r="948">
      <c r="A948" s="8" t="s">
        <v>7137</v>
      </c>
      <c r="B948" s="10" t="s">
        <v>7138</v>
      </c>
      <c r="C948" s="10" t="s">
        <v>5054</v>
      </c>
      <c r="D948" s="10"/>
      <c r="E948" s="10" t="s">
        <v>7139</v>
      </c>
      <c r="F948" s="10"/>
      <c r="G948" s="11" t="s">
        <v>6577</v>
      </c>
      <c r="H948" s="11" t="s">
        <v>4757</v>
      </c>
      <c r="I948" s="11" t="s">
        <v>4607</v>
      </c>
      <c r="J948" s="9" t="str">
        <f>IFERROR(__xludf.DUMMYFUNCTION("""COMPUTED_VALUE"""),"https://www.google.com/search?newwindow=1&amp;ei=2MT0XrvGGM-vytMP1OyDgAY&amp;q=site%3Alinkedin.com+Janel+Houston+Senior+Campus+Recruiting+Specialist")</f>
        <v>https://www.google.com/search?newwindow=1&amp;ei=2MT0XrvGGM-vytMP1OyDgAY&amp;q=site%3Alinkedin.com+Janel+Houston+Senior+Campus+Recruiting+Specialist</v>
      </c>
      <c r="K948" s="5" t="str">
        <f t="shared" si="1"/>
        <v>Janel Houston</v>
      </c>
      <c r="L948" s="5" t="str">
        <f t="shared" si="2"/>
        <v>Senior Campus Recruiting Specialist</v>
      </c>
      <c r="M948" s="5" t="str">
        <f t="shared" si="3"/>
        <v/>
      </c>
      <c r="N948" s="5" t="str">
        <f t="shared" si="4"/>
        <v>Deloitte</v>
      </c>
      <c r="O948" s="5" t="str">
        <f t="shared" si="5"/>
        <v>2 years 7 months in role and company</v>
      </c>
      <c r="P948" s="5" t="str">
        <f t="shared" si="6"/>
        <v>Minneapolis</v>
      </c>
      <c r="Q948" s="5" t="str">
        <f t="shared" si="7"/>
        <v>Minnesota</v>
      </c>
      <c r="R948" s="5" t="str">
        <f t="shared" si="8"/>
        <v>United States</v>
      </c>
    </row>
    <row r="949">
      <c r="A949" s="8" t="s">
        <v>7140</v>
      </c>
      <c r="B949" s="12" t="s">
        <v>7141</v>
      </c>
      <c r="C949" s="10" t="s">
        <v>4596</v>
      </c>
      <c r="D949" s="10"/>
      <c r="E949" s="10" t="s">
        <v>7142</v>
      </c>
      <c r="F949" s="10" t="s">
        <v>1570</v>
      </c>
      <c r="G949" s="11" t="s">
        <v>6577</v>
      </c>
      <c r="H949" s="11" t="s">
        <v>4757</v>
      </c>
      <c r="I949" s="11" t="s">
        <v>4607</v>
      </c>
      <c r="J949" s="9" t="str">
        <f>IFERROR(__xludf.DUMMYFUNCTION("""COMPUTED_VALUE"""),"https://www.google.com/search?newwindow=1&amp;ei=2MT0XrvGGM-vytMP1OyDgAY&amp;q=site%3Alinkedin.com+Nathan+Petroski,+SHRM-CP+Campus+Recruiting+Coordinator+-+Contract")</f>
        <v>https://www.google.com/search?newwindow=1&amp;ei=2MT0XrvGGM-vytMP1OyDgAY&amp;q=site%3Alinkedin.com+Nathan+Petroski,+SHRM-CP+Campus+Recruiting+Coordinator+-+Contract</v>
      </c>
      <c r="K949" s="5" t="str">
        <f t="shared" si="1"/>
        <v>Nathan Petroski, SHRM-CP</v>
      </c>
      <c r="L949" s="5" t="str">
        <f t="shared" si="2"/>
        <v>Campus Recruiting Coordinator - Contract</v>
      </c>
      <c r="M949" s="5" t="str">
        <f t="shared" si="3"/>
        <v/>
      </c>
      <c r="N949" s="5" t="str">
        <f t="shared" si="4"/>
        <v>EY</v>
      </c>
      <c r="O949" s="5" t="str">
        <f t="shared" si="5"/>
        <v>9 months in role and company</v>
      </c>
      <c r="P949" s="5" t="str">
        <f t="shared" si="6"/>
        <v>Minneapolis</v>
      </c>
      <c r="Q949" s="5" t="str">
        <f t="shared" si="7"/>
        <v>Minnesota</v>
      </c>
      <c r="R949" s="5" t="str">
        <f t="shared" si="8"/>
        <v>United States</v>
      </c>
    </row>
    <row r="950">
      <c r="A950" s="8" t="s">
        <v>7143</v>
      </c>
      <c r="B950" s="10" t="s">
        <v>7144</v>
      </c>
      <c r="C950" s="10"/>
      <c r="D950" s="10"/>
      <c r="E950" s="10"/>
      <c r="F950" s="10"/>
      <c r="G950" s="11" t="s">
        <v>6577</v>
      </c>
      <c r="H950" s="11" t="s">
        <v>4757</v>
      </c>
      <c r="I950" s="11" t="s">
        <v>4607</v>
      </c>
      <c r="J950" s="9" t="str">
        <f>IFERROR(__xludf.DUMMYFUNCTION("""COMPUTED_VALUE"""),"https://www.google.com/search?newwindow=1&amp;ei=2MT0XrvGGM-vytMP1OyDgAY&amp;q=site%3Alinkedin.com+Kate+Bata+Campus+Recruiting+Coordinator")</f>
        <v>https://www.google.com/search?newwindow=1&amp;ei=2MT0XrvGGM-vytMP1OyDgAY&amp;q=site%3Alinkedin.com+Kate+Bata+Campus+Recruiting+Coordinator</v>
      </c>
      <c r="K950" s="5" t="str">
        <f t="shared" si="1"/>
        <v>Kate Bata</v>
      </c>
      <c r="L950" s="5" t="str">
        <f t="shared" si="2"/>
        <v>Campus Recruiting Coordinator</v>
      </c>
      <c r="M950" s="5" t="str">
        <f t="shared" si="3"/>
        <v/>
      </c>
      <c r="N950" s="5" t="str">
        <f t="shared" si="4"/>
        <v>EY</v>
      </c>
      <c r="O950" s="5" t="str">
        <f t="shared" si="5"/>
        <v>2 years 6 months in role</v>
      </c>
      <c r="P950" s="5" t="str">
        <f t="shared" si="6"/>
        <v>Minneapolis</v>
      </c>
      <c r="Q950" s="5" t="str">
        <f t="shared" si="7"/>
        <v>Minnesota</v>
      </c>
      <c r="R950" s="5" t="str">
        <f t="shared" si="8"/>
        <v>United States</v>
      </c>
    </row>
    <row r="951">
      <c r="A951" s="8" t="s">
        <v>7145</v>
      </c>
      <c r="B951" s="10" t="s">
        <v>7146</v>
      </c>
      <c r="C951" s="10" t="s">
        <v>5054</v>
      </c>
      <c r="D951" s="10"/>
      <c r="E951" s="10" t="s">
        <v>7147</v>
      </c>
      <c r="F951" s="10"/>
      <c r="G951" s="11" t="s">
        <v>6577</v>
      </c>
      <c r="H951" s="11" t="s">
        <v>4757</v>
      </c>
      <c r="I951" s="11" t="s">
        <v>4607</v>
      </c>
      <c r="J951" s="9" t="str">
        <f>IFERROR(__xludf.DUMMYFUNCTION("""COMPUTED_VALUE"""),"https://www.google.com/search?newwindow=1&amp;ei=2MT0XrvGGM-vytMP1OyDgAY&amp;q=site%3Alinkedin.com+Aileen+Meade+Assurance+Business+Recruiting+Manager")</f>
        <v>https://www.google.com/search?newwindow=1&amp;ei=2MT0XrvGGM-vytMP1OyDgAY&amp;q=site%3Alinkedin.com+Aileen+Meade+Assurance+Business+Recruiting+Manager</v>
      </c>
      <c r="K951" s="5" t="str">
        <f t="shared" si="1"/>
        <v>Aileen Meade</v>
      </c>
      <c r="L951" s="5" t="str">
        <f t="shared" si="2"/>
        <v>Assurance Business Recruiting Manager</v>
      </c>
      <c r="M951" s="5" t="str">
        <f t="shared" si="3"/>
        <v/>
      </c>
      <c r="N951" s="5" t="str">
        <f t="shared" si="4"/>
        <v>PwC</v>
      </c>
      <c r="O951" s="5" t="str">
        <f t="shared" si="5"/>
        <v>3 years 8 months in role</v>
      </c>
      <c r="P951" s="5" t="str">
        <f t="shared" si="6"/>
        <v>Minneapolis</v>
      </c>
      <c r="Q951" s="5" t="str">
        <f t="shared" si="7"/>
        <v>Minnesota</v>
      </c>
      <c r="R951" s="5" t="str">
        <f t="shared" si="8"/>
        <v>United States</v>
      </c>
    </row>
    <row r="952">
      <c r="A952" s="8" t="s">
        <v>7148</v>
      </c>
      <c r="B952" s="10" t="s">
        <v>7149</v>
      </c>
      <c r="C952" s="10" t="s">
        <v>4596</v>
      </c>
      <c r="D952" s="12"/>
      <c r="E952" s="12" t="s">
        <v>7150</v>
      </c>
      <c r="F952" s="10"/>
      <c r="G952" s="11" t="s">
        <v>6577</v>
      </c>
      <c r="H952" s="11" t="s">
        <v>4757</v>
      </c>
      <c r="I952" s="11" t="s">
        <v>4607</v>
      </c>
      <c r="J952" s="9" t="str">
        <f>IFERROR(__xludf.DUMMYFUNCTION("""COMPUTED_VALUE"""),"https://www.google.com/search?newwindow=1&amp;ei=2MT0XrvGGM-vytMP1OyDgAY&amp;q=site%3Alinkedin.com+Kurt+Peterson+Campus+Recruiting+Manager")</f>
        <v>https://www.google.com/search?newwindow=1&amp;ei=2MT0XrvGGM-vytMP1OyDgAY&amp;q=site%3Alinkedin.com+Kurt+Peterson+Campus+Recruiting+Manager</v>
      </c>
      <c r="K952" s="5" t="str">
        <f t="shared" si="1"/>
        <v>Kurt Peterson</v>
      </c>
      <c r="L952" s="5" t="str">
        <f t="shared" si="2"/>
        <v>Campus Recruiting Manager</v>
      </c>
      <c r="M952" s="5" t="str">
        <f t="shared" si="3"/>
        <v/>
      </c>
      <c r="N952" s="5" t="str">
        <f t="shared" si="4"/>
        <v>PricewaterhouseCoopers</v>
      </c>
      <c r="O952" s="5" t="str">
        <f t="shared" si="5"/>
        <v/>
      </c>
      <c r="P952" s="5" t="str">
        <f t="shared" si="6"/>
        <v>Minneapolis</v>
      </c>
      <c r="Q952" s="5" t="str">
        <f t="shared" si="7"/>
        <v>Minnesota</v>
      </c>
      <c r="R952" s="5" t="str">
        <f t="shared" si="8"/>
        <v>United States</v>
      </c>
    </row>
    <row r="953">
      <c r="A953" s="8" t="s">
        <v>7151</v>
      </c>
      <c r="B953" s="10" t="s">
        <v>7152</v>
      </c>
      <c r="C953" s="10" t="s">
        <v>4596</v>
      </c>
      <c r="D953" s="12"/>
      <c r="E953" s="12" t="s">
        <v>7153</v>
      </c>
      <c r="F953" s="10"/>
      <c r="G953" s="11" t="s">
        <v>6577</v>
      </c>
      <c r="H953" s="11" t="s">
        <v>4757</v>
      </c>
      <c r="I953" s="11" t="s">
        <v>4607</v>
      </c>
      <c r="J953" s="9" t="str">
        <f>IFERROR(__xludf.DUMMYFUNCTION("""COMPUTED_VALUE"""),"https://www.google.com/search?newwindow=1&amp;ei=2MT0XrvGGM-vytMP1OyDgAY&amp;q=site%3Alinkedin.com+Laura+Smith+Sr.+Campus+Recruiting+Specialist")</f>
        <v>https://www.google.com/search?newwindow=1&amp;ei=2MT0XrvGGM-vytMP1OyDgAY&amp;q=site%3Alinkedin.com+Laura+Smith+Sr.+Campus+Recruiting+Specialist</v>
      </c>
      <c r="K953" s="5" t="str">
        <f t="shared" si="1"/>
        <v>Laura Smith</v>
      </c>
      <c r="L953" s="5" t="str">
        <f t="shared" si="2"/>
        <v>Sr. Campus Recruiting Specialist</v>
      </c>
      <c r="M953" s="5" t="str">
        <f t="shared" si="3"/>
        <v/>
      </c>
      <c r="N953" s="5" t="str">
        <f t="shared" si="4"/>
        <v>Target Corporation</v>
      </c>
      <c r="O953" s="5" t="str">
        <f t="shared" si="5"/>
        <v/>
      </c>
      <c r="P953" s="5" t="str">
        <f t="shared" si="6"/>
        <v>Minneapolis</v>
      </c>
      <c r="Q953" s="5" t="str">
        <f t="shared" si="7"/>
        <v>Minnesota</v>
      </c>
      <c r="R953" s="5" t="str">
        <f t="shared" si="8"/>
        <v>United States</v>
      </c>
    </row>
    <row r="954">
      <c r="A954" s="8" t="s">
        <v>7154</v>
      </c>
      <c r="B954" s="10" t="s">
        <v>7155</v>
      </c>
      <c r="C954" s="10" t="s">
        <v>7156</v>
      </c>
      <c r="D954" s="12"/>
      <c r="E954" s="12" t="s">
        <v>7157</v>
      </c>
      <c r="F954" s="10"/>
      <c r="G954" s="11" t="s">
        <v>6577</v>
      </c>
      <c r="H954" s="11" t="s">
        <v>4757</v>
      </c>
      <c r="I954" s="11" t="s">
        <v>4607</v>
      </c>
      <c r="J954" s="9" t="str">
        <f>IFERROR(__xludf.DUMMYFUNCTION("""COMPUTED_VALUE"""),"https://www.google.com/search?newwindow=1&amp;ei=2MT0XrvGGM-vytMP1OyDgAY&amp;q=site%3Alinkedin.com+Lindsay+Kallenbach+Campus+Recruiting+Consultant")</f>
        <v>https://www.google.com/search?newwindow=1&amp;ei=2MT0XrvGGM-vytMP1OyDgAY&amp;q=site%3Alinkedin.com+Lindsay+Kallenbach+Campus+Recruiting+Consultant</v>
      </c>
      <c r="K954" s="5" t="str">
        <f t="shared" si="1"/>
        <v>Lindsay Kallenbach</v>
      </c>
      <c r="L954" s="5" t="str">
        <f t="shared" si="2"/>
        <v>Campus Recruiting Consultant</v>
      </c>
      <c r="M954" s="5" t="str">
        <f t="shared" si="3"/>
        <v/>
      </c>
      <c r="N954" s="5" t="str">
        <f t="shared" si="4"/>
        <v>Wells Fargo</v>
      </c>
      <c r="O954" s="5" t="str">
        <f t="shared" si="5"/>
        <v>2 years 2 months in role and company</v>
      </c>
      <c r="P954" s="5" t="str">
        <f t="shared" si="6"/>
        <v>Minneapolis</v>
      </c>
      <c r="Q954" s="5" t="str">
        <f t="shared" si="7"/>
        <v>Minnesota</v>
      </c>
      <c r="R954" s="5" t="str">
        <f t="shared" si="8"/>
        <v>United States</v>
      </c>
    </row>
    <row r="955">
      <c r="A955" s="8" t="s">
        <v>7158</v>
      </c>
      <c r="B955" s="10" t="s">
        <v>7159</v>
      </c>
      <c r="C955" s="10" t="s">
        <v>7156</v>
      </c>
      <c r="D955" s="12"/>
      <c r="E955" s="12" t="s">
        <v>7160</v>
      </c>
      <c r="F955" s="10"/>
      <c r="G955" s="11" t="s">
        <v>6577</v>
      </c>
      <c r="H955" s="11" t="s">
        <v>4757</v>
      </c>
      <c r="I955" s="11" t="s">
        <v>4607</v>
      </c>
      <c r="J955" s="9" t="str">
        <f>IFERROR(__xludf.DUMMYFUNCTION("""COMPUTED_VALUE"""),"https://www.google.com/search?newwindow=1&amp;ei=2MT0XrvGGM-vytMP1OyDgAY&amp;q=site%3Alinkedin.com+Shaka+Farr+Campus+Recruiting+Consultant")</f>
        <v>https://www.google.com/search?newwindow=1&amp;ei=2MT0XrvGGM-vytMP1OyDgAY&amp;q=site%3Alinkedin.com+Shaka+Farr+Campus+Recruiting+Consultant</v>
      </c>
      <c r="K955" s="5" t="str">
        <f t="shared" si="1"/>
        <v>Shaka Farr</v>
      </c>
      <c r="L955" s="5" t="str">
        <f t="shared" si="2"/>
        <v>Campus Recruiting Consultant</v>
      </c>
      <c r="M955" s="5" t="str">
        <f t="shared" si="3"/>
        <v/>
      </c>
      <c r="N955" s="5" t="str">
        <f t="shared" si="4"/>
        <v>Wells Fargo</v>
      </c>
      <c r="O955" s="5" t="str">
        <f t="shared" si="5"/>
        <v>4 years 6 months in role</v>
      </c>
      <c r="P955" s="5" t="str">
        <f t="shared" si="6"/>
        <v>Minneapolis</v>
      </c>
      <c r="Q955" s="5" t="str">
        <f t="shared" si="7"/>
        <v>Minnesota</v>
      </c>
      <c r="R955" s="5" t="str">
        <f t="shared" si="8"/>
        <v>United States</v>
      </c>
    </row>
    <row r="956">
      <c r="A956" s="8" t="s">
        <v>7161</v>
      </c>
      <c r="B956" s="10" t="s">
        <v>7162</v>
      </c>
      <c r="C956" s="10" t="s">
        <v>5054</v>
      </c>
      <c r="D956" s="10"/>
      <c r="E956" s="10" t="s">
        <v>6180</v>
      </c>
      <c r="F956" s="10"/>
      <c r="G956" s="11" t="s">
        <v>6577</v>
      </c>
      <c r="H956" s="11" t="s">
        <v>4757</v>
      </c>
      <c r="I956" s="11" t="s">
        <v>4607</v>
      </c>
      <c r="J956" s="9" t="str">
        <f>IFERROR(__xludf.DUMMYFUNCTION("""COMPUTED_VALUE"""),"https://www.google.com/search?newwindow=1&amp;ei=2MT0XrvGGM-vytMP1OyDgAY&amp;q=site%3Alinkedin.com+Megan+O'Connor+Campus+Recruiting+Coordinator+-+Consulting")</f>
        <v>https://www.google.com/search?newwindow=1&amp;ei=2MT0XrvGGM-vytMP1OyDgAY&amp;q=site%3Alinkedin.com+Megan+O'Connor+Campus+Recruiting+Coordinator+-+Consulting</v>
      </c>
      <c r="K956" s="5" t="str">
        <f t="shared" si="1"/>
        <v>Megan O'Connor</v>
      </c>
      <c r="L956" s="5" t="str">
        <f t="shared" si="2"/>
        <v>Campus Recruiting Coordinator - Consulting</v>
      </c>
      <c r="M956" s="5" t="str">
        <f t="shared" si="3"/>
        <v/>
      </c>
      <c r="N956" s="5" t="str">
        <f t="shared" si="4"/>
        <v>Deloitte</v>
      </c>
      <c r="O956" s="5" t="str">
        <f t="shared" si="5"/>
        <v>1 month in role and company</v>
      </c>
      <c r="P956" s="5" t="str">
        <f t="shared" si="6"/>
        <v>Minneapolis</v>
      </c>
      <c r="Q956" s="5" t="str">
        <f t="shared" si="7"/>
        <v>Minnesota</v>
      </c>
      <c r="R956" s="5" t="str">
        <f t="shared" si="8"/>
        <v>United States</v>
      </c>
    </row>
    <row r="957">
      <c r="A957" s="8" t="s">
        <v>7163</v>
      </c>
      <c r="B957" s="10" t="s">
        <v>7164</v>
      </c>
      <c r="C957" s="10" t="s">
        <v>4934</v>
      </c>
      <c r="D957" s="10"/>
      <c r="E957" s="10" t="s">
        <v>3649</v>
      </c>
      <c r="F957" s="10" t="s">
        <v>182</v>
      </c>
      <c r="G957" s="11" t="s">
        <v>122</v>
      </c>
      <c r="H957" s="11" t="s">
        <v>44</v>
      </c>
      <c r="I957" s="11" t="s">
        <v>18</v>
      </c>
      <c r="J957" s="9" t="str">
        <f>IFERROR(__xludf.DUMMYFUNCTION("""COMPUTED_VALUE"""),"https://www.google.com/search?newwindow=1&amp;ei=2MT0XrvGGM-vytMP1OyDgAY&amp;q=site%3Alinkedin.com+Maddie+Borwege+Senior+Associate,+Campus+Recruiting")</f>
        <v>https://www.google.com/search?newwindow=1&amp;ei=2MT0XrvGGM-vytMP1OyDgAY&amp;q=site%3Alinkedin.com+Maddie+Borwege+Senior+Associate,+Campus+Recruiting</v>
      </c>
      <c r="K957" s="5" t="str">
        <f t="shared" si="1"/>
        <v>Maddie Borwege</v>
      </c>
      <c r="L957" s="5" t="str">
        <f t="shared" si="2"/>
        <v>Senior Associate, Campus Recruiting</v>
      </c>
      <c r="M957" s="5" t="str">
        <f t="shared" si="3"/>
        <v/>
      </c>
      <c r="N957" s="5" t="str">
        <f t="shared" si="4"/>
        <v>KPMG</v>
      </c>
      <c r="O957" s="5" t="str">
        <f t="shared" si="5"/>
        <v>11 months in role</v>
      </c>
      <c r="P957" s="5" t="str">
        <f t="shared" si="6"/>
        <v>Minneapolis</v>
      </c>
      <c r="Q957" s="5" t="str">
        <f t="shared" si="7"/>
        <v>Minnesota</v>
      </c>
      <c r="R957" s="5" t="str">
        <f t="shared" si="8"/>
        <v>United States</v>
      </c>
    </row>
    <row r="958">
      <c r="A958" s="8" t="s">
        <v>7165</v>
      </c>
      <c r="B958" s="10" t="s">
        <v>1316</v>
      </c>
      <c r="C958" s="10" t="s">
        <v>371</v>
      </c>
      <c r="D958" s="10"/>
      <c r="E958" s="10" t="s">
        <v>1233</v>
      </c>
      <c r="F958" s="10" t="s">
        <v>26</v>
      </c>
      <c r="G958" s="11" t="s">
        <v>122</v>
      </c>
      <c r="H958" s="11" t="s">
        <v>44</v>
      </c>
      <c r="I958" s="11" t="s">
        <v>18</v>
      </c>
      <c r="J958" s="9" t="str">
        <f>IFERROR(__xludf.DUMMYFUNCTION("""COMPUTED_VALUE"""),"https://www.google.com/search?newwindow=1&amp;ei=2MT0XrvGGM-vytMP1OyDgAY&amp;q=site%3Alinkedin.com+Ashly+Kelley+Campus+Recruiting+Specialist")</f>
        <v>https://www.google.com/search?newwindow=1&amp;ei=2MT0XrvGGM-vytMP1OyDgAY&amp;q=site%3Alinkedin.com+Ashly+Kelley+Campus+Recruiting+Specialist</v>
      </c>
      <c r="K958" s="5" t="str">
        <f t="shared" si="1"/>
        <v>Ashly Kelley</v>
      </c>
      <c r="L958" s="5" t="str">
        <f t="shared" si="2"/>
        <v>Campus Recruiting Specialist</v>
      </c>
      <c r="M958" s="5" t="str">
        <f t="shared" si="3"/>
        <v/>
      </c>
      <c r="N958" s="5" t="str">
        <f t="shared" si="4"/>
        <v>Deloitte</v>
      </c>
      <c r="O958" s="5" t="str">
        <f t="shared" si="5"/>
        <v>1 year 6 months in role and company</v>
      </c>
      <c r="P958" s="5" t="str">
        <f t="shared" si="6"/>
        <v>Minneapolis</v>
      </c>
      <c r="Q958" s="5" t="str">
        <f t="shared" si="7"/>
        <v>Minnesota</v>
      </c>
      <c r="R958" s="5" t="str">
        <f t="shared" si="8"/>
        <v>United States</v>
      </c>
    </row>
    <row r="959">
      <c r="A959" s="8" t="s">
        <v>7166</v>
      </c>
      <c r="B959" s="12" t="s">
        <v>7167</v>
      </c>
      <c r="C959" s="10" t="s">
        <v>1378</v>
      </c>
      <c r="D959" s="10"/>
      <c r="E959" s="10" t="s">
        <v>1233</v>
      </c>
      <c r="F959" s="10" t="s">
        <v>79</v>
      </c>
      <c r="G959" s="11" t="s">
        <v>122</v>
      </c>
      <c r="H959" s="11" t="s">
        <v>44</v>
      </c>
      <c r="I959" s="11" t="s">
        <v>18</v>
      </c>
      <c r="J959" s="9" t="str">
        <f>IFERROR(__xludf.DUMMYFUNCTION("""COMPUTED_VALUE"""),"https://www.google.com/search?newwindow=1&amp;ei=2MT0XrvGGM-vytMP1OyDgAY&amp;q=site%3Alinkedin.com+Sarah+Wazir+International+Student+Recruiter,+South+Asia")</f>
        <v>https://www.google.com/search?newwindow=1&amp;ei=2MT0XrvGGM-vytMP1OyDgAY&amp;q=site%3Alinkedin.com+Sarah+Wazir+International+Student+Recruiter,+South+Asia</v>
      </c>
      <c r="K959" s="5" t="str">
        <f t="shared" si="1"/>
        <v>Sarah Wazir</v>
      </c>
      <c r="L959" s="5" t="str">
        <f t="shared" si="2"/>
        <v>International Student Recruiter, South Asia</v>
      </c>
      <c r="M959" s="5" t="str">
        <f t="shared" si="3"/>
        <v/>
      </c>
      <c r="N959" s="5" t="str">
        <f t="shared" si="4"/>
        <v>Hanson Education Group</v>
      </c>
      <c r="O959" s="5" t="str">
        <f t="shared" si="5"/>
        <v>1 year 10 months in role and company</v>
      </c>
      <c r="P959" s="5" t="str">
        <f t="shared" si="6"/>
        <v>Mississauga</v>
      </c>
      <c r="Q959" s="5" t="str">
        <f t="shared" si="7"/>
        <v>Ontario</v>
      </c>
      <c r="R959" s="5" t="str">
        <f t="shared" si="8"/>
        <v>Canada</v>
      </c>
    </row>
    <row r="960">
      <c r="A960" s="8" t="s">
        <v>7168</v>
      </c>
      <c r="B960" s="10" t="s">
        <v>7169</v>
      </c>
      <c r="C960" s="10" t="s">
        <v>4674</v>
      </c>
      <c r="D960" s="10"/>
      <c r="E960" s="10" t="s">
        <v>1233</v>
      </c>
      <c r="F960" s="10" t="s">
        <v>228</v>
      </c>
      <c r="G960" s="11" t="s">
        <v>122</v>
      </c>
      <c r="H960" s="11" t="s">
        <v>44</v>
      </c>
      <c r="I960" s="11" t="s">
        <v>18</v>
      </c>
      <c r="J960" s="9" t="str">
        <f>IFERROR(__xludf.DUMMYFUNCTION("""COMPUTED_VALUE"""),"https://www.google.com/search?newwindow=1&amp;ei=2MT0XrvGGM-vytMP1OyDgAY&amp;q=site%3Alinkedin.com+Giovanna+Naranjo+Senior+Global+Campus+Recruiter")</f>
        <v>https://www.google.com/search?newwindow=1&amp;ei=2MT0XrvGGM-vytMP1OyDgAY&amp;q=site%3Alinkedin.com+Giovanna+Naranjo+Senior+Global+Campus+Recruiter</v>
      </c>
      <c r="K960" s="5" t="str">
        <f t="shared" si="1"/>
        <v>Giovanna Naranjo</v>
      </c>
      <c r="L960" s="5" t="str">
        <f t="shared" si="2"/>
        <v>Senior Global Campus Recruiter</v>
      </c>
      <c r="M960" s="5" t="str">
        <f t="shared" si="3"/>
        <v/>
      </c>
      <c r="N960" s="5" t="str">
        <f t="shared" si="4"/>
        <v>SOTI</v>
      </c>
      <c r="O960" s="5" t="str">
        <f t="shared" si="5"/>
        <v>1 year 10 months in role and company</v>
      </c>
      <c r="P960" s="5" t="str">
        <f t="shared" si="6"/>
        <v>Mississauga</v>
      </c>
      <c r="Q960" s="5" t="str">
        <f t="shared" si="7"/>
        <v>Ontario</v>
      </c>
      <c r="R960" s="5" t="str">
        <f t="shared" si="8"/>
        <v>Canada</v>
      </c>
    </row>
    <row r="961">
      <c r="A961" s="8" t="s">
        <v>7170</v>
      </c>
      <c r="B961" s="10" t="s">
        <v>7171</v>
      </c>
      <c r="C961" s="10" t="s">
        <v>7172</v>
      </c>
      <c r="D961" s="10"/>
      <c r="E961" s="10" t="s">
        <v>4701</v>
      </c>
      <c r="F961" s="10" t="s">
        <v>100</v>
      </c>
      <c r="G961" s="11" t="s">
        <v>122</v>
      </c>
      <c r="H961" s="11" t="s">
        <v>44</v>
      </c>
      <c r="I961" s="11" t="s">
        <v>18</v>
      </c>
      <c r="J961" s="9" t="str">
        <f>IFERROR(__xludf.DUMMYFUNCTION("""COMPUTED_VALUE"""),"https://www.google.com/search?newwindow=1&amp;ei=2MT0XrvGGM-vytMP1OyDgAY&amp;q=site%3Alinkedin.com+Andy+Ranjan+Campus+Recruiter")</f>
        <v>https://www.google.com/search?newwindow=1&amp;ei=2MT0XrvGGM-vytMP1OyDgAY&amp;q=site%3Alinkedin.com+Andy+Ranjan+Campus+Recruiter</v>
      </c>
      <c r="K961" s="5" t="str">
        <f t="shared" si="1"/>
        <v>Andy Ranjan</v>
      </c>
      <c r="L961" s="5" t="str">
        <f t="shared" si="2"/>
        <v>Campus Recruiter</v>
      </c>
      <c r="M961" s="5" t="str">
        <f t="shared" si="3"/>
        <v/>
      </c>
      <c r="N961" s="5" t="str">
        <f t="shared" si="4"/>
        <v>SOTI</v>
      </c>
      <c r="O961" s="5" t="str">
        <f t="shared" si="5"/>
        <v>1 year 3 months in role and company</v>
      </c>
      <c r="P961" s="5" t="str">
        <f t="shared" si="6"/>
        <v>Mississauga</v>
      </c>
      <c r="Q961" s="5" t="str">
        <f t="shared" si="7"/>
        <v>Ontario</v>
      </c>
      <c r="R961" s="5" t="str">
        <f t="shared" si="8"/>
        <v>Canada</v>
      </c>
    </row>
    <row r="962">
      <c r="A962" s="8" t="s">
        <v>7173</v>
      </c>
      <c r="B962" s="10" t="s">
        <v>7174</v>
      </c>
      <c r="C962" s="10" t="s">
        <v>7175</v>
      </c>
      <c r="D962" s="10"/>
      <c r="E962" s="10" t="s">
        <v>4701</v>
      </c>
      <c r="F962" s="10" t="s">
        <v>74</v>
      </c>
      <c r="G962" s="11" t="s">
        <v>122</v>
      </c>
      <c r="H962" s="11" t="s">
        <v>44</v>
      </c>
      <c r="I962" s="11" t="s">
        <v>18</v>
      </c>
      <c r="J962" s="9" t="str">
        <f>IFERROR(__xludf.DUMMYFUNCTION("""COMPUTED_VALUE"""),"https://www.google.com/search?newwindow=1&amp;ei=2MT0XrvGGM-vytMP1OyDgAY&amp;q=site%3Alinkedin.com+Danielle+Soo+Campus+Recruiter+-+Technology+&amp;+Digital")</f>
        <v>https://www.google.com/search?newwindow=1&amp;ei=2MT0XrvGGM-vytMP1OyDgAY&amp;q=site%3Alinkedin.com+Danielle+Soo+Campus+Recruiter+-+Technology+&amp;+Digital</v>
      </c>
      <c r="K962" s="5" t="str">
        <f t="shared" si="1"/>
        <v>Danielle Soo</v>
      </c>
      <c r="L962" s="5" t="str">
        <f t="shared" si="2"/>
        <v>Campus Recruiter - Technology &amp; Digital</v>
      </c>
      <c r="M962" s="5" t="str">
        <f t="shared" si="3"/>
        <v/>
      </c>
      <c r="N962" s="5" t="str">
        <f t="shared" si="4"/>
        <v>Scotiabank</v>
      </c>
      <c r="O962" s="5" t="str">
        <f t="shared" si="5"/>
        <v>7 months in role</v>
      </c>
      <c r="P962" s="5" t="str">
        <f t="shared" si="6"/>
        <v>Mississauga</v>
      </c>
      <c r="Q962" s="5" t="str">
        <f t="shared" si="7"/>
        <v>Ontario</v>
      </c>
      <c r="R962" s="5" t="str">
        <f t="shared" si="8"/>
        <v>Canada</v>
      </c>
    </row>
    <row r="963">
      <c r="A963" s="8" t="s">
        <v>7176</v>
      </c>
      <c r="B963" s="12" t="s">
        <v>1320</v>
      </c>
      <c r="C963" s="10" t="s">
        <v>371</v>
      </c>
      <c r="D963" s="10"/>
      <c r="E963" s="10" t="s">
        <v>1233</v>
      </c>
      <c r="F963" s="10" t="s">
        <v>1321</v>
      </c>
      <c r="G963" s="11" t="s">
        <v>122</v>
      </c>
      <c r="H963" s="11" t="s">
        <v>44</v>
      </c>
      <c r="I963" s="11" t="s">
        <v>18</v>
      </c>
      <c r="J963" s="9" t="str">
        <f>IFERROR(__xludf.DUMMYFUNCTION("""COMPUTED_VALUE"""),"https://www.google.com/search?newwindow=1&amp;ei=2MT0XrvGGM-vytMP1OyDgAY&amp;q=site%3Alinkedin.com+Clara+Ramirez-Orellana+Store+Recruiter/Cashier/Customer+Service")</f>
        <v>https://www.google.com/search?newwindow=1&amp;ei=2MT0XrvGGM-vytMP1OyDgAY&amp;q=site%3Alinkedin.com+Clara+Ramirez-Orellana+Store+Recruiter/Cashier/Customer+Service</v>
      </c>
      <c r="K963" s="5" t="str">
        <f t="shared" si="1"/>
        <v>Clara Ramirez-Orellana</v>
      </c>
      <c r="L963" s="5" t="str">
        <f t="shared" si="2"/>
        <v>Store Recruiter/Cashier/Customer Service</v>
      </c>
      <c r="M963" s="5" t="str">
        <f t="shared" si="3"/>
        <v/>
      </c>
      <c r="N963" s="5" t="str">
        <f t="shared" si="4"/>
        <v>Real Canadian Superstore</v>
      </c>
      <c r="O963" s="5" t="str">
        <f t="shared" si="5"/>
        <v>2 years 1 month in role and company</v>
      </c>
      <c r="P963" s="5" t="str">
        <f t="shared" si="6"/>
        <v>Mississauga</v>
      </c>
      <c r="Q963" s="5" t="str">
        <f t="shared" si="7"/>
        <v>Ontario</v>
      </c>
      <c r="R963" s="5" t="str">
        <f t="shared" si="8"/>
        <v>Canada</v>
      </c>
    </row>
    <row r="964">
      <c r="A964" s="8" t="s">
        <v>7177</v>
      </c>
      <c r="B964" s="12" t="s">
        <v>7178</v>
      </c>
      <c r="C964" s="10" t="s">
        <v>7179</v>
      </c>
      <c r="D964" s="10"/>
      <c r="E964" s="10" t="s">
        <v>1233</v>
      </c>
      <c r="F964" s="10" t="s">
        <v>257</v>
      </c>
      <c r="G964" s="11" t="s">
        <v>122</v>
      </c>
      <c r="H964" s="11" t="s">
        <v>44</v>
      </c>
      <c r="I964" s="11" t="s">
        <v>18</v>
      </c>
      <c r="J964" s="9" t="str">
        <f>IFERROR(__xludf.DUMMYFUNCTION("""COMPUTED_VALUE"""),"https://www.google.com/search?newwindow=1&amp;ei=2MT0XrvGGM-vytMP1OyDgAY&amp;q=site%3Alinkedin.com+Rebecca+Crawford+Medical+Student")</f>
        <v>https://www.google.com/search?newwindow=1&amp;ei=2MT0XrvGGM-vytMP1OyDgAY&amp;q=site%3Alinkedin.com+Rebecca+Crawford+Medical+Student</v>
      </c>
      <c r="K964" s="5" t="str">
        <f t="shared" si="1"/>
        <v>Rebecca Crawford</v>
      </c>
      <c r="L964" s="5" t="str">
        <f t="shared" si="2"/>
        <v>Medical Student</v>
      </c>
      <c r="M964" s="5" t="str">
        <f t="shared" si="3"/>
        <v/>
      </c>
      <c r="N964" s="5" t="str">
        <f t="shared" si="4"/>
        <v>University of Toronto</v>
      </c>
      <c r="O964" s="5" t="str">
        <f t="shared" si="5"/>
        <v>2 years 5 months in role and company</v>
      </c>
      <c r="P964" s="5" t="str">
        <f t="shared" si="6"/>
        <v>Mississauga</v>
      </c>
      <c r="Q964" s="5" t="str">
        <f t="shared" si="7"/>
        <v>Ontario</v>
      </c>
      <c r="R964" s="5" t="str">
        <f t="shared" si="8"/>
        <v>Canada</v>
      </c>
    </row>
    <row r="965">
      <c r="A965" s="8" t="s">
        <v>7180</v>
      </c>
      <c r="B965" s="12" t="s">
        <v>7181</v>
      </c>
      <c r="C965" s="10" t="s">
        <v>4749</v>
      </c>
      <c r="D965" s="10"/>
      <c r="E965" s="10" t="s">
        <v>4701</v>
      </c>
      <c r="F965" s="10" t="s">
        <v>188</v>
      </c>
      <c r="G965" s="11" t="s">
        <v>122</v>
      </c>
      <c r="H965" s="11" t="s">
        <v>44</v>
      </c>
      <c r="I965" s="11" t="s">
        <v>18</v>
      </c>
      <c r="J965" s="9" t="str">
        <f>IFERROR(__xludf.DUMMYFUNCTION("""COMPUTED_VALUE"""),"https://www.google.com/search?newwindow=1&amp;ei=2MT0XrvGGM-vytMP1OyDgAY&amp;q=site%3Alinkedin.com+Joseph+Kooliadan+Consultant+/+International+Student+Recruiter")</f>
        <v>https://www.google.com/search?newwindow=1&amp;ei=2MT0XrvGGM-vytMP1OyDgAY&amp;q=site%3Alinkedin.com+Joseph+Kooliadan+Consultant+/+International+Student+Recruiter</v>
      </c>
      <c r="K965" s="5" t="str">
        <f t="shared" si="1"/>
        <v>Joseph Kooliadan</v>
      </c>
      <c r="L965" s="5" t="str">
        <f t="shared" si="2"/>
        <v>Consultant / International Student Recruiter</v>
      </c>
      <c r="M965" s="5" t="str">
        <f t="shared" si="3"/>
        <v/>
      </c>
      <c r="N965" s="5" t="str">
        <f t="shared" si="4"/>
        <v>ZC&amp;A Bahrain</v>
      </c>
      <c r="O965" s="5" t="str">
        <f t="shared" si="5"/>
        <v/>
      </c>
      <c r="P965" s="5" t="str">
        <f t="shared" si="6"/>
        <v>Mississauga</v>
      </c>
      <c r="Q965" s="5" t="str">
        <f t="shared" si="7"/>
        <v>Ontario</v>
      </c>
      <c r="R965" s="5" t="str">
        <f t="shared" si="8"/>
        <v>Canada</v>
      </c>
    </row>
    <row r="966">
      <c r="A966" s="8" t="s">
        <v>7182</v>
      </c>
      <c r="B966" s="12" t="s">
        <v>2934</v>
      </c>
      <c r="C966" s="10" t="s">
        <v>2935</v>
      </c>
      <c r="D966" s="10"/>
      <c r="E966" s="10" t="s">
        <v>4659</v>
      </c>
      <c r="F966" s="10" t="s">
        <v>79</v>
      </c>
      <c r="G966" s="11" t="s">
        <v>122</v>
      </c>
      <c r="H966" s="11" t="s">
        <v>44</v>
      </c>
      <c r="I966" s="11" t="s">
        <v>18</v>
      </c>
      <c r="J966" s="9" t="str">
        <f>IFERROR(__xludf.DUMMYFUNCTION("""COMPUTED_VALUE"""),"https://www.google.com/search?newwindow=1&amp;ei=2MT0XrvGGM-vytMP1OyDgAY&amp;q=site%3Alinkedin.com+Heather+Hines+Director,+Undergraduate+Programs+&amp;+Student+Services")</f>
        <v>https://www.google.com/search?newwindow=1&amp;ei=2MT0XrvGGM-vytMP1OyDgAY&amp;q=site%3Alinkedin.com+Heather+Hines+Director,+Undergraduate+Programs+&amp;+Student+Services</v>
      </c>
      <c r="K966" s="5" t="str">
        <f t="shared" si="1"/>
        <v>Heather Hines</v>
      </c>
      <c r="L966" s="5" t="str">
        <f t="shared" si="2"/>
        <v>Director, Undergraduate Programs &amp; Student Services</v>
      </c>
      <c r="M966" s="5" t="str">
        <f t="shared" si="3"/>
        <v/>
      </c>
      <c r="N966" s="5" t="str">
        <f t="shared" si="4"/>
        <v>University of Toronto</v>
      </c>
      <c r="O966" s="5" t="str">
        <f t="shared" si="5"/>
        <v>4 years 6 months in role</v>
      </c>
      <c r="P966" s="5" t="str">
        <f t="shared" si="6"/>
        <v>Mississauga</v>
      </c>
      <c r="Q966" s="5" t="str">
        <f t="shared" si="7"/>
        <v>Ontario</v>
      </c>
      <c r="R966" s="5" t="str">
        <f t="shared" si="8"/>
        <v>Canada</v>
      </c>
    </row>
    <row r="967">
      <c r="A967" s="8" t="s">
        <v>7183</v>
      </c>
      <c r="B967" s="10" t="s">
        <v>7184</v>
      </c>
      <c r="C967" s="10" t="s">
        <v>1378</v>
      </c>
      <c r="D967" s="10"/>
      <c r="E967" s="10" t="s">
        <v>1233</v>
      </c>
      <c r="F967" s="10" t="s">
        <v>455</v>
      </c>
      <c r="G967" s="11" t="s">
        <v>122</v>
      </c>
      <c r="H967" s="11" t="s">
        <v>44</v>
      </c>
      <c r="I967" s="11" t="s">
        <v>18</v>
      </c>
      <c r="J967" s="9" t="str">
        <f>IFERROR(__xludf.DUMMYFUNCTION("""COMPUTED_VALUE"""),"https://www.google.com/search?newwindow=1&amp;ei=2MT0XrvGGM-vytMP1OyDgAY&amp;q=site%3Alinkedin.com+Tina+Charalambu+Graduate+Recruiter")</f>
        <v>https://www.google.com/search?newwindow=1&amp;ei=2MT0XrvGGM-vytMP1OyDgAY&amp;q=site%3Alinkedin.com+Tina+Charalambu+Graduate+Recruiter</v>
      </c>
      <c r="K967" s="5" t="str">
        <f t="shared" si="1"/>
        <v>Tina Charalambu</v>
      </c>
      <c r="L967" s="5" t="str">
        <f t="shared" si="2"/>
        <v>Graduate Recruiter</v>
      </c>
      <c r="M967" s="5" t="str">
        <f t="shared" si="3"/>
        <v/>
      </c>
      <c r="N967" s="5" t="str">
        <f t="shared" si="4"/>
        <v>Hatch</v>
      </c>
      <c r="O967" s="5" t="str">
        <f t="shared" si="5"/>
        <v/>
      </c>
      <c r="P967" s="5" t="str">
        <f t="shared" si="6"/>
        <v>Mississauga</v>
      </c>
      <c r="Q967" s="5" t="str">
        <f t="shared" si="7"/>
        <v>Ontario</v>
      </c>
      <c r="R967" s="5" t="str">
        <f t="shared" si="8"/>
        <v>Canada</v>
      </c>
    </row>
    <row r="968">
      <c r="A968" s="8" t="s">
        <v>7185</v>
      </c>
      <c r="B968" s="12" t="s">
        <v>7186</v>
      </c>
      <c r="C968" s="10" t="s">
        <v>7187</v>
      </c>
      <c r="D968" s="10"/>
      <c r="E968" s="10" t="s">
        <v>3649</v>
      </c>
      <c r="F968" s="10" t="s">
        <v>832</v>
      </c>
      <c r="G968" s="11" t="s">
        <v>122</v>
      </c>
      <c r="H968" s="11" t="s">
        <v>44</v>
      </c>
      <c r="I968" s="11" t="s">
        <v>18</v>
      </c>
      <c r="J968" s="9" t="str">
        <f>IFERROR(__xludf.DUMMYFUNCTION("""COMPUTED_VALUE"""),"https://www.google.com/search?newwindow=1&amp;ei=2MT0XrvGGM-vytMP1OyDgAY&amp;q=site%3Alinkedin.com+Marilou+Bisson+Campus+Recruiter")</f>
        <v>https://www.google.com/search?newwindow=1&amp;ei=2MT0XrvGGM-vytMP1OyDgAY&amp;q=site%3Alinkedin.com+Marilou+Bisson+Campus+Recruiter</v>
      </c>
      <c r="K968" s="5" t="str">
        <f t="shared" si="1"/>
        <v>Marilou Bisson</v>
      </c>
      <c r="L968" s="5" t="str">
        <f t="shared" si="2"/>
        <v>Campus Recruiter</v>
      </c>
      <c r="M968" s="5" t="str">
        <f t="shared" si="3"/>
        <v/>
      </c>
      <c r="N968" s="5" t="str">
        <f t="shared" si="4"/>
        <v>Coveo</v>
      </c>
      <c r="O968" s="5" t="str">
        <f t="shared" si="5"/>
        <v>1 year 2 months in role and company</v>
      </c>
      <c r="P968" s="5" t="str">
        <f t="shared" si="6"/>
        <v>Montreal</v>
      </c>
      <c r="Q968" s="5" t="str">
        <f t="shared" si="7"/>
        <v>Quebec</v>
      </c>
      <c r="R968" s="5" t="str">
        <f t="shared" si="8"/>
        <v>Canada</v>
      </c>
    </row>
    <row r="969">
      <c r="A969" s="8" t="s">
        <v>7188</v>
      </c>
      <c r="B969" s="10" t="s">
        <v>3712</v>
      </c>
      <c r="C969" s="10" t="s">
        <v>3713</v>
      </c>
      <c r="D969" s="10"/>
      <c r="E969" s="10" t="s">
        <v>3649</v>
      </c>
      <c r="F969" s="10" t="s">
        <v>648</v>
      </c>
      <c r="G969" s="11" t="s">
        <v>122</v>
      </c>
      <c r="H969" s="11" t="s">
        <v>44</v>
      </c>
      <c r="I969" s="11" t="s">
        <v>18</v>
      </c>
      <c r="J969" s="9" t="str">
        <f>IFERROR(__xludf.DUMMYFUNCTION("""COMPUTED_VALUE"""),"https://www.google.com/search?newwindow=1&amp;ei=2MT0XrvGGM-vytMP1OyDgAY&amp;q=site%3Alinkedin.com+Amélie+Côté+University+Recruiter")</f>
        <v>https://www.google.com/search?newwindow=1&amp;ei=2MT0XrvGGM-vytMP1OyDgAY&amp;q=site%3Alinkedin.com+Amélie+Côté+University+Recruiter</v>
      </c>
      <c r="K969" s="5" t="str">
        <f t="shared" si="1"/>
        <v>Amélie Côté</v>
      </c>
      <c r="L969" s="5" t="str">
        <f t="shared" si="2"/>
        <v>University Recruiter</v>
      </c>
      <c r="M969" s="5" t="str">
        <f t="shared" si="3"/>
        <v/>
      </c>
      <c r="N969" s="5" t="str">
        <f t="shared" si="4"/>
        <v>Unity Technologies</v>
      </c>
      <c r="O969" s="5" t="str">
        <f t="shared" si="5"/>
        <v>1 year 4 months in role and company</v>
      </c>
      <c r="P969" s="5" t="str">
        <f t="shared" si="6"/>
        <v>Montreal</v>
      </c>
      <c r="Q969" s="5" t="str">
        <f t="shared" si="7"/>
        <v>Quebec</v>
      </c>
      <c r="R969" s="5" t="str">
        <f t="shared" si="8"/>
        <v>Canada</v>
      </c>
    </row>
    <row r="970">
      <c r="A970" s="8" t="s">
        <v>7189</v>
      </c>
      <c r="B970" s="12" t="s">
        <v>1765</v>
      </c>
      <c r="C970" s="10" t="s">
        <v>1766</v>
      </c>
      <c r="D970" s="10"/>
      <c r="E970" s="10" t="s">
        <v>4701</v>
      </c>
      <c r="F970" s="10" t="s">
        <v>268</v>
      </c>
      <c r="G970" s="11" t="s">
        <v>122</v>
      </c>
      <c r="H970" s="11" t="s">
        <v>44</v>
      </c>
      <c r="I970" s="11" t="s">
        <v>18</v>
      </c>
      <c r="J970" s="9" t="str">
        <f>IFERROR(__xludf.DUMMYFUNCTION("""COMPUTED_VALUE"""),"https://www.google.com/search?newwindow=1&amp;ei=2MT0XrvGGM-vytMP1OyDgAY&amp;q=site%3Alinkedin.com+Charline+Florestal+Campus+recruiter")</f>
        <v>https://www.google.com/search?newwindow=1&amp;ei=2MT0XrvGGM-vytMP1OyDgAY&amp;q=site%3Alinkedin.com+Charline+Florestal+Campus+recruiter</v>
      </c>
      <c r="K970" s="5" t="str">
        <f t="shared" si="1"/>
        <v>Charline Florestal</v>
      </c>
      <c r="L970" s="5" t="str">
        <f t="shared" si="2"/>
        <v>Campus recruiter</v>
      </c>
      <c r="M970" s="5" t="str">
        <f t="shared" si="3"/>
        <v/>
      </c>
      <c r="N970" s="5" t="str">
        <f t="shared" si="4"/>
        <v>Accenture</v>
      </c>
      <c r="O970" s="5" t="str">
        <f t="shared" si="5"/>
        <v>2 years 7 months in role and company</v>
      </c>
      <c r="P970" s="5" t="str">
        <f t="shared" si="6"/>
        <v>Montreal</v>
      </c>
      <c r="Q970" s="5" t="str">
        <f t="shared" si="7"/>
        <v>Quebec</v>
      </c>
      <c r="R970" s="5" t="str">
        <f t="shared" si="8"/>
        <v>Canada</v>
      </c>
    </row>
    <row r="971">
      <c r="A971" s="8" t="s">
        <v>7190</v>
      </c>
      <c r="B971" s="10" t="s">
        <v>7191</v>
      </c>
      <c r="C971" s="10" t="s">
        <v>1378</v>
      </c>
      <c r="D971" s="10"/>
      <c r="E971" s="10" t="s">
        <v>1233</v>
      </c>
      <c r="F971" s="10" t="s">
        <v>26</v>
      </c>
      <c r="G971" s="11" t="s">
        <v>122</v>
      </c>
      <c r="H971" s="11" t="s">
        <v>44</v>
      </c>
      <c r="I971" s="11" t="s">
        <v>18</v>
      </c>
      <c r="J971" s="9" t="str">
        <f>IFERROR(__xludf.DUMMYFUNCTION("""COMPUTED_VALUE"""),"https://www.google.com/search?newwindow=1&amp;ei=2MT0XrvGGM-vytMP1OyDgAY&amp;q=site%3Alinkedin.com+Min+Seok+Kim+International+Student+Recruiter")</f>
        <v>https://www.google.com/search?newwindow=1&amp;ei=2MT0XrvGGM-vytMP1OyDgAY&amp;q=site%3Alinkedin.com+Min+Seok+Kim+International+Student+Recruiter</v>
      </c>
      <c r="K971" s="5" t="str">
        <f t="shared" si="1"/>
        <v>Min Seok Kim</v>
      </c>
      <c r="L971" s="5" t="str">
        <f t="shared" si="2"/>
        <v>International Student Recruiter</v>
      </c>
      <c r="M971" s="5" t="str">
        <f t="shared" si="3"/>
        <v/>
      </c>
      <c r="N971" s="5" t="str">
        <f t="shared" si="4"/>
        <v>Rising Phoenix International</v>
      </c>
      <c r="O971" s="5" t="str">
        <f t="shared" si="5"/>
        <v>5 months in role and company</v>
      </c>
      <c r="P971" s="5" t="str">
        <f t="shared" si="6"/>
        <v>Montreal</v>
      </c>
      <c r="Q971" s="5" t="str">
        <f t="shared" si="7"/>
        <v>Quebec</v>
      </c>
      <c r="R971" s="5" t="str">
        <f t="shared" si="8"/>
        <v>Canada</v>
      </c>
    </row>
    <row r="972">
      <c r="A972" s="8" t="s">
        <v>7192</v>
      </c>
      <c r="B972" s="10" t="s">
        <v>7193</v>
      </c>
      <c r="C972" s="10" t="s">
        <v>7194</v>
      </c>
      <c r="D972" s="10"/>
      <c r="E972" s="10" t="s">
        <v>4701</v>
      </c>
      <c r="F972" s="10" t="s">
        <v>7195</v>
      </c>
      <c r="G972" s="11" t="s">
        <v>122</v>
      </c>
      <c r="H972" s="11" t="s">
        <v>44</v>
      </c>
      <c r="I972" s="11" t="s">
        <v>18</v>
      </c>
      <c r="J972" s="9" t="str">
        <f>IFERROR(__xludf.DUMMYFUNCTION("""COMPUTED_VALUE"""),"https://www.google.com/search?newwindow=1&amp;ei=2MT0XrvGGM-vytMP1OyDgAY&amp;q=site%3Alinkedin.com+Julie+Poirier+Campus+Recruiter,+Early+Careers")</f>
        <v>https://www.google.com/search?newwindow=1&amp;ei=2MT0XrvGGM-vytMP1OyDgAY&amp;q=site%3Alinkedin.com+Julie+Poirier+Campus+Recruiter,+Early+Careers</v>
      </c>
      <c r="K972" s="5" t="str">
        <f t="shared" si="1"/>
        <v>Julie Poirier</v>
      </c>
      <c r="L972" s="5" t="str">
        <f t="shared" si="2"/>
        <v>Campus Recruiter, Early Careers</v>
      </c>
      <c r="M972" s="5" t="str">
        <f t="shared" si="3"/>
        <v/>
      </c>
      <c r="N972" s="5" t="str">
        <f t="shared" si="4"/>
        <v>Aon</v>
      </c>
      <c r="O972" s="5" t="str">
        <f t="shared" si="5"/>
        <v>2 months in role and company</v>
      </c>
      <c r="P972" s="5" t="str">
        <f t="shared" si="6"/>
        <v>Montreal</v>
      </c>
      <c r="Q972" s="5" t="str">
        <f t="shared" si="7"/>
        <v>Quebec</v>
      </c>
      <c r="R972" s="5" t="str">
        <f t="shared" si="8"/>
        <v>Canada</v>
      </c>
    </row>
    <row r="973">
      <c r="A973" s="8" t="s">
        <v>7196</v>
      </c>
      <c r="B973" s="12" t="s">
        <v>7197</v>
      </c>
      <c r="C973" s="10" t="s">
        <v>7198</v>
      </c>
      <c r="D973" s="10"/>
      <c r="E973" s="10" t="s">
        <v>1233</v>
      </c>
      <c r="F973" s="10" t="s">
        <v>7199</v>
      </c>
      <c r="G973" s="11" t="s">
        <v>122</v>
      </c>
      <c r="H973" s="11" t="s">
        <v>44</v>
      </c>
      <c r="I973" s="11" t="s">
        <v>18</v>
      </c>
      <c r="J973" s="9" t="str">
        <f>IFERROR(__xludf.DUMMYFUNCTION("""COMPUTED_VALUE"""),"https://www.google.com/search?newwindow=1&amp;ei=2MT0XrvGGM-vytMP1OyDgAY&amp;q=site%3Alinkedin.com+Agathe+Pérusse-Deschênes+Talent+Acquisition+Specialist+-+Campus+&amp;+New+Grads+Recruiting")</f>
        <v>https://www.google.com/search?newwindow=1&amp;ei=2MT0XrvGGM-vytMP1OyDgAY&amp;q=site%3Alinkedin.com+Agathe+Pérusse-Deschênes+Talent+Acquisition+Specialist+-+Campus+&amp;+New+Grads+Recruiting</v>
      </c>
      <c r="K973" s="5" t="str">
        <f t="shared" si="1"/>
        <v>Agathe Pérusse-Deschênes</v>
      </c>
      <c r="L973" s="5" t="str">
        <f t="shared" si="2"/>
        <v>Talent Acquisition Specialist - Campus &amp; New Grads Recruiting</v>
      </c>
      <c r="M973" s="5" t="str">
        <f t="shared" si="3"/>
        <v/>
      </c>
      <c r="N973" s="5" t="str">
        <f t="shared" si="4"/>
        <v>Behaviour Interactive</v>
      </c>
      <c r="O973" s="5" t="str">
        <f t="shared" si="5"/>
        <v>2 months in role and company</v>
      </c>
      <c r="P973" s="5" t="str">
        <f t="shared" si="6"/>
        <v>Montreal</v>
      </c>
      <c r="Q973" s="5" t="str">
        <f t="shared" si="7"/>
        <v>Quebec</v>
      </c>
      <c r="R973" s="5" t="str">
        <f t="shared" si="8"/>
        <v>Canada</v>
      </c>
    </row>
    <row r="974">
      <c r="A974" s="8" t="s">
        <v>7200</v>
      </c>
      <c r="B974" s="10" t="s">
        <v>7201</v>
      </c>
      <c r="C974" s="10" t="s">
        <v>4749</v>
      </c>
      <c r="D974" s="10"/>
      <c r="E974" s="10" t="s">
        <v>4701</v>
      </c>
      <c r="F974" s="10" t="s">
        <v>188</v>
      </c>
      <c r="G974" s="11" t="s">
        <v>122</v>
      </c>
      <c r="H974" s="11" t="s">
        <v>44</v>
      </c>
      <c r="I974" s="11" t="s">
        <v>18</v>
      </c>
      <c r="J974" s="9" t="str">
        <f>IFERROR(__xludf.DUMMYFUNCTION("""COMPUTED_VALUE"""),"https://www.google.com/search?newwindow=1&amp;ei=2MT0XrvGGM-vytMP1OyDgAY&amp;q=site%3Alinkedin.com+Marjorie+Joasil+Talent+Attraction+Specialist,+National+Digital+Campus+Recruiter")</f>
        <v>https://www.google.com/search?newwindow=1&amp;ei=2MT0XrvGGM-vytMP1OyDgAY&amp;q=site%3Alinkedin.com+Marjorie+Joasil+Talent+Attraction+Specialist,+National+Digital+Campus+Recruiter</v>
      </c>
      <c r="K974" s="5" t="str">
        <f t="shared" si="1"/>
        <v>Marjorie Joasil</v>
      </c>
      <c r="L974" s="5" t="str">
        <f t="shared" si="2"/>
        <v>Talent Attraction Specialist, National Digital Campus Recruiter</v>
      </c>
      <c r="M974" s="5" t="str">
        <f t="shared" si="3"/>
        <v/>
      </c>
      <c r="N974" s="5" t="str">
        <f t="shared" si="4"/>
        <v>KPMG Canada</v>
      </c>
      <c r="O974" s="5" t="str">
        <f t="shared" si="5"/>
        <v>9 months in role and company</v>
      </c>
      <c r="P974" s="5" t="str">
        <f t="shared" si="6"/>
        <v>Montreal</v>
      </c>
      <c r="Q974" s="5" t="str">
        <f t="shared" si="7"/>
        <v>Quebec</v>
      </c>
      <c r="R974" s="5" t="str">
        <f t="shared" si="8"/>
        <v>Canada</v>
      </c>
    </row>
    <row r="975">
      <c r="A975" s="8" t="s">
        <v>7202</v>
      </c>
      <c r="B975" s="10" t="s">
        <v>2937</v>
      </c>
      <c r="C975" s="10" t="s">
        <v>2938</v>
      </c>
      <c r="D975" s="10"/>
      <c r="E975" s="10" t="s">
        <v>4659</v>
      </c>
      <c r="F975" s="10" t="s">
        <v>217</v>
      </c>
      <c r="G975" s="11" t="s">
        <v>122</v>
      </c>
      <c r="H975" s="11" t="s">
        <v>44</v>
      </c>
      <c r="I975" s="11" t="s">
        <v>18</v>
      </c>
      <c r="J975" s="9" t="str">
        <f>IFERROR(__xludf.DUMMYFUNCTION("""COMPUTED_VALUE"""),"https://www.google.com/search?newwindow=1&amp;ei=2MT0XrvGGM-vytMP1OyDgAY&amp;q=site%3Alinkedin.com+Heba+Alashi+Spécialiste+en+recrutement+Campus+Québec/+Senior+Campus+Recruiter+Quebec")</f>
        <v>https://www.google.com/search?newwindow=1&amp;ei=2MT0XrvGGM-vytMP1OyDgAY&amp;q=site%3Alinkedin.com+Heba+Alashi+Spécialiste+en+recrutement+Campus+Québec/+Senior+Campus+Recruiter+Quebec</v>
      </c>
      <c r="K975" s="5" t="str">
        <f t="shared" si="1"/>
        <v>Heba Alashi</v>
      </c>
      <c r="L975" s="5" t="str">
        <f t="shared" si="2"/>
        <v>Spécialiste en recrutement Campus Québec/ Senior Campus Recruiter Quebec</v>
      </c>
      <c r="M975" s="5" t="str">
        <f t="shared" si="3"/>
        <v/>
      </c>
      <c r="N975" s="5" t="str">
        <f t="shared" si="4"/>
        <v>RBC</v>
      </c>
      <c r="O975" s="5" t="str">
        <f t="shared" si="5"/>
        <v>4 years 3 months in role and company</v>
      </c>
      <c r="P975" s="5" t="str">
        <f t="shared" si="6"/>
        <v>Montreal</v>
      </c>
      <c r="Q975" s="5" t="str">
        <f t="shared" si="7"/>
        <v>Quebec</v>
      </c>
      <c r="R975" s="5" t="str">
        <f t="shared" si="8"/>
        <v>Canada</v>
      </c>
    </row>
    <row r="976">
      <c r="A976" s="8" t="s">
        <v>7203</v>
      </c>
      <c r="B976" s="10" t="s">
        <v>7204</v>
      </c>
      <c r="C976" s="10" t="s">
        <v>7205</v>
      </c>
      <c r="D976" s="10"/>
      <c r="E976" s="10" t="s">
        <v>4659</v>
      </c>
      <c r="F976" s="10" t="s">
        <v>512</v>
      </c>
      <c r="G976" s="11" t="s">
        <v>122</v>
      </c>
      <c r="H976" s="11" t="s">
        <v>44</v>
      </c>
      <c r="I976" s="11" t="s">
        <v>18</v>
      </c>
      <c r="J976" s="9" t="str">
        <f>IFERROR(__xludf.DUMMYFUNCTION("""COMPUTED_VALUE"""),"https://www.google.com/search?newwindow=1&amp;ei=2MT0XrvGGM-vytMP1OyDgAY&amp;q=site%3Alinkedin.com+Alexandra+Fishman+VP+Marketing+&amp;+Recruitment+at+McGill+University")</f>
        <v>https://www.google.com/search?newwindow=1&amp;ei=2MT0XrvGGM-vytMP1OyDgAY&amp;q=site%3Alinkedin.com+Alexandra+Fishman+VP+Marketing+&amp;+Recruitment+at+McGill+University</v>
      </c>
      <c r="K976" s="5" t="str">
        <f t="shared" si="1"/>
        <v>Alexandra Fishman</v>
      </c>
      <c r="L976" s="5" t="str">
        <f t="shared" si="2"/>
        <v>VP Marketing &amp; Recruitment at McGill University</v>
      </c>
      <c r="M976" s="5" t="str">
        <f t="shared" si="3"/>
        <v/>
      </c>
      <c r="N976" s="5" t="str">
        <f t="shared" si="4"/>
        <v>TAMID Group</v>
      </c>
      <c r="O976" s="5" t="str">
        <f t="shared" si="5"/>
        <v>3 months in role</v>
      </c>
      <c r="P976" s="5" t="str">
        <f t="shared" si="6"/>
        <v>Montreal</v>
      </c>
      <c r="Q976" s="5" t="str">
        <f t="shared" si="7"/>
        <v>Quebec</v>
      </c>
      <c r="R976" s="5" t="str">
        <f t="shared" si="8"/>
        <v>Canada</v>
      </c>
    </row>
    <row r="977">
      <c r="A977" s="8" t="s">
        <v>7206</v>
      </c>
      <c r="B977" s="12" t="s">
        <v>7207</v>
      </c>
      <c r="C977" s="10" t="s">
        <v>4674</v>
      </c>
      <c r="D977" s="10"/>
      <c r="E977" s="10" t="s">
        <v>1233</v>
      </c>
      <c r="F977" s="10" t="s">
        <v>418</v>
      </c>
      <c r="G977" s="11" t="s">
        <v>122</v>
      </c>
      <c r="H977" s="11" t="s">
        <v>44</v>
      </c>
      <c r="I977" s="11" t="s">
        <v>18</v>
      </c>
      <c r="J977" s="9" t="str">
        <f>IFERROR(__xludf.DUMMYFUNCTION("""COMPUTED_VALUE"""),"https://www.google.com/search?newwindow=1&amp;ei=2MT0XrvGGM-vytMP1OyDgAY&amp;q=site%3Alinkedin.com+Carla+Simon+Student+recruiter+/+Conseillère+au+recrutement+des+étudiants")</f>
        <v>https://www.google.com/search?newwindow=1&amp;ei=2MT0XrvGGM-vytMP1OyDgAY&amp;q=site%3Alinkedin.com+Carla+Simon+Student+recruiter+/+Conseillère+au+recrutement+des+étudiants</v>
      </c>
      <c r="K977" s="5" t="str">
        <f t="shared" si="1"/>
        <v>Carla Simon</v>
      </c>
      <c r="L977" s="5" t="str">
        <f t="shared" si="2"/>
        <v>Student recruiter / Conseillère au recrutement des étudiants</v>
      </c>
      <c r="M977" s="5" t="str">
        <f t="shared" si="3"/>
        <v/>
      </c>
      <c r="N977" s="5" t="str">
        <f t="shared" si="4"/>
        <v>Universit�� de Montr��al</v>
      </c>
      <c r="O977" s="5" t="str">
        <f t="shared" si="5"/>
        <v>1 year 6 months in role</v>
      </c>
      <c r="P977" s="5" t="str">
        <f t="shared" si="6"/>
        <v>Montreal</v>
      </c>
      <c r="Q977" s="5" t="str">
        <f t="shared" si="7"/>
        <v>Quebec</v>
      </c>
      <c r="R977" s="5" t="str">
        <f t="shared" si="8"/>
        <v>Canada</v>
      </c>
    </row>
    <row r="978">
      <c r="A978" s="8" t="s">
        <v>7208</v>
      </c>
      <c r="B978" s="10" t="s">
        <v>7209</v>
      </c>
      <c r="C978" s="10" t="s">
        <v>7210</v>
      </c>
      <c r="D978" s="10"/>
      <c r="E978" s="10" t="s">
        <v>2839</v>
      </c>
      <c r="F978" s="10" t="s">
        <v>5524</v>
      </c>
      <c r="G978" s="11" t="s">
        <v>122</v>
      </c>
      <c r="H978" s="11" t="s">
        <v>44</v>
      </c>
      <c r="I978" s="11" t="s">
        <v>18</v>
      </c>
      <c r="J978" s="9" t="str">
        <f>IFERROR(__xludf.DUMMYFUNCTION("""COMPUTED_VALUE"""),"https://www.google.com/search?newwindow=1&amp;ei=2MT0XrvGGM-vytMP1OyDgAY&amp;q=site%3Alinkedin.com+Lyndsay+Thompson+Recruiter+/+University+Relations")</f>
        <v>https://www.google.com/search?newwindow=1&amp;ei=2MT0XrvGGM-vytMP1OyDgAY&amp;q=site%3Alinkedin.com+Lyndsay+Thompson+Recruiter+/+University+Relations</v>
      </c>
      <c r="K978" s="5" t="str">
        <f t="shared" si="1"/>
        <v>Lyndsay Thompson</v>
      </c>
      <c r="L978" s="5" t="str">
        <f t="shared" si="2"/>
        <v>Recruiter / University Relations</v>
      </c>
      <c r="M978" s="5" t="str">
        <f t="shared" si="3"/>
        <v/>
      </c>
      <c r="N978" s="5" t="str">
        <f t="shared" si="4"/>
        <v>Ericsson</v>
      </c>
      <c r="O978" s="5" t="str">
        <f t="shared" si="5"/>
        <v>7 years 1 month in role and company</v>
      </c>
      <c r="P978" s="5" t="str">
        <f t="shared" si="6"/>
        <v>Montreal</v>
      </c>
      <c r="Q978" s="5" t="str">
        <f t="shared" si="7"/>
        <v>Quebec</v>
      </c>
      <c r="R978" s="5" t="str">
        <f t="shared" si="8"/>
        <v>Canada</v>
      </c>
    </row>
    <row r="979">
      <c r="A979" s="8" t="s">
        <v>7211</v>
      </c>
      <c r="B979" s="12" t="s">
        <v>2867</v>
      </c>
      <c r="C979" s="10" t="s">
        <v>371</v>
      </c>
      <c r="D979" s="10"/>
      <c r="E979" s="10" t="s">
        <v>2839</v>
      </c>
      <c r="F979" s="10" t="s">
        <v>2868</v>
      </c>
      <c r="G979" s="11" t="s">
        <v>122</v>
      </c>
      <c r="H979" s="11" t="s">
        <v>44</v>
      </c>
      <c r="I979" s="11" t="s">
        <v>18</v>
      </c>
      <c r="J979" s="9" t="str">
        <f>IFERROR(__xludf.DUMMYFUNCTION("""COMPUTED_VALUE"""),"https://www.google.com/search?newwindow=1&amp;ei=2MT0XrvGGM-vytMP1OyDgAY&amp;q=site%3Alinkedin.com+Véronique+Therrien+Student+Recruiter/Conseillère+au+recrutement+des+étudiants")</f>
        <v>https://www.google.com/search?newwindow=1&amp;ei=2MT0XrvGGM-vytMP1OyDgAY&amp;q=site%3Alinkedin.com+Véronique+Therrien+Student+Recruiter/Conseillère+au+recrutement+des+étudiants</v>
      </c>
      <c r="K979" s="5" t="str">
        <f t="shared" si="1"/>
        <v>Véronique Therrien</v>
      </c>
      <c r="L979" s="5" t="str">
        <f t="shared" si="2"/>
        <v>Student Recruiter/Conseillère au recrutement des étudiants</v>
      </c>
      <c r="M979" s="5" t="str">
        <f t="shared" si="3"/>
        <v/>
      </c>
      <c r="N979" s="5" t="str">
        <f t="shared" si="4"/>
        <v>HEC Montréal</v>
      </c>
      <c r="O979" s="5" t="str">
        <f t="shared" si="5"/>
        <v>5 years 3 months in role</v>
      </c>
      <c r="P979" s="5" t="str">
        <f t="shared" si="6"/>
        <v>Montreal</v>
      </c>
      <c r="Q979" s="5" t="str">
        <f t="shared" si="7"/>
        <v>Quebec</v>
      </c>
      <c r="R979" s="5" t="str">
        <f t="shared" si="8"/>
        <v>Canada</v>
      </c>
    </row>
    <row r="980">
      <c r="A980" s="8" t="s">
        <v>7212</v>
      </c>
      <c r="B980" s="10" t="s">
        <v>7213</v>
      </c>
      <c r="C980" s="10" t="s">
        <v>1896</v>
      </c>
      <c r="D980" s="10"/>
      <c r="E980" s="10" t="s">
        <v>7214</v>
      </c>
      <c r="F980" s="10" t="s">
        <v>3578</v>
      </c>
      <c r="G980" s="11" t="s">
        <v>122</v>
      </c>
      <c r="H980" s="11" t="s">
        <v>44</v>
      </c>
      <c r="I980" s="11" t="s">
        <v>18</v>
      </c>
      <c r="J980" s="9" t="str">
        <f>IFERROR(__xludf.DUMMYFUNCTION("""COMPUTED_VALUE"""),"https://www.google.com/search?newwindow=1&amp;ei=2MT0XrvGGM-vytMP1OyDgAY&amp;q=site%3Alinkedin.com+sherin+Moustafa+Student+Advisor+and+Recruiter")</f>
        <v>https://www.google.com/search?newwindow=1&amp;ei=2MT0XrvGGM-vytMP1OyDgAY&amp;q=site%3Alinkedin.com+sherin+Moustafa+Student+Advisor+and+Recruiter</v>
      </c>
      <c r="K980" s="5" t="str">
        <f t="shared" si="1"/>
        <v>sherin Moustafa</v>
      </c>
      <c r="L980" s="5" t="str">
        <f t="shared" si="2"/>
        <v>Student Advisor and Recruiter</v>
      </c>
      <c r="M980" s="5" t="str">
        <f t="shared" si="3"/>
        <v/>
      </c>
      <c r="N980" s="5" t="str">
        <f t="shared" si="4"/>
        <v>L’etoile Internationale de l’education INC.</v>
      </c>
      <c r="O980" s="5" t="str">
        <f t="shared" si="5"/>
        <v>3 years 2 months in role and company</v>
      </c>
      <c r="P980" s="5" t="str">
        <f t="shared" si="6"/>
        <v>Montreal</v>
      </c>
      <c r="Q980" s="5" t="str">
        <f t="shared" si="7"/>
        <v>Quebec</v>
      </c>
      <c r="R980" s="5" t="str">
        <f t="shared" si="8"/>
        <v>Canada</v>
      </c>
    </row>
    <row r="981">
      <c r="A981" s="8" t="s">
        <v>7215</v>
      </c>
      <c r="B981" s="12" t="s">
        <v>7216</v>
      </c>
      <c r="C981" s="10" t="s">
        <v>7217</v>
      </c>
      <c r="D981" s="10"/>
      <c r="E981" s="10" t="s">
        <v>5889</v>
      </c>
      <c r="F981" s="10"/>
      <c r="G981" s="11" t="s">
        <v>7218</v>
      </c>
      <c r="H981" s="11" t="s">
        <v>44</v>
      </c>
      <c r="I981" s="11" t="s">
        <v>18</v>
      </c>
      <c r="J981" s="9" t="str">
        <f>IFERROR(__xludf.DUMMYFUNCTION("""COMPUTED_VALUE"""),"https://www.google.com/search?newwindow=1&amp;ei=2MT0XrvGGM-vytMP1OyDgAY&amp;q=site%3Alinkedin.com+Valerie+Kruk+Technology+Campus+Recruiter+(Consultant)")</f>
        <v>https://www.google.com/search?newwindow=1&amp;ei=2MT0XrvGGM-vytMP1OyDgAY&amp;q=site%3Alinkedin.com+Valerie+Kruk+Technology+Campus+Recruiter+(Consultant)</v>
      </c>
      <c r="K981" s="5" t="str">
        <f t="shared" si="1"/>
        <v>Valerie Kruk</v>
      </c>
      <c r="L981" s="5" t="str">
        <f t="shared" si="2"/>
        <v>Technology Campus Recruiter (Consultant)</v>
      </c>
      <c r="M981" s="5" t="str">
        <f t="shared" si="3"/>
        <v/>
      </c>
      <c r="N981" s="5" t="str">
        <f t="shared" si="4"/>
        <v>Morgan Stanley</v>
      </c>
      <c r="O981" s="5" t="str">
        <f t="shared" si="5"/>
        <v>7 months in role and company</v>
      </c>
      <c r="P981" s="5" t="str">
        <f t="shared" si="6"/>
        <v>Montreal</v>
      </c>
      <c r="Q981" s="5" t="str">
        <f t="shared" si="7"/>
        <v>Quebec</v>
      </c>
      <c r="R981" s="5" t="str">
        <f t="shared" si="8"/>
        <v>Canada</v>
      </c>
    </row>
    <row r="982">
      <c r="A982" s="8" t="s">
        <v>7219</v>
      </c>
      <c r="B982" s="12" t="s">
        <v>3660</v>
      </c>
      <c r="C982" s="10" t="s">
        <v>371</v>
      </c>
      <c r="D982" s="10"/>
      <c r="E982" s="10" t="s">
        <v>4935</v>
      </c>
      <c r="F982" s="10" t="s">
        <v>3661</v>
      </c>
      <c r="G982" s="11" t="s">
        <v>3662</v>
      </c>
      <c r="H982" s="11" t="s">
        <v>3572</v>
      </c>
      <c r="I982" s="11" t="s">
        <v>18</v>
      </c>
      <c r="J982" s="9" t="str">
        <f>IFERROR(__xludf.DUMMYFUNCTION("""COMPUTED_VALUE"""),"https://www.google.com/search?newwindow=1&amp;ei=2MT0XrvGGM-vytMP1OyDgAY&amp;q=site%3Alinkedin.com+sri+Divya+Student")</f>
        <v>https://www.google.com/search?newwindow=1&amp;ei=2MT0XrvGGM-vytMP1OyDgAY&amp;q=site%3Alinkedin.com+sri+Divya+Student</v>
      </c>
      <c r="K982" s="5" t="str">
        <f t="shared" si="1"/>
        <v>sri Divya</v>
      </c>
      <c r="L982" s="5" t="str">
        <f t="shared" si="2"/>
        <v>Student</v>
      </c>
      <c r="M982" s="5" t="str">
        <f t="shared" si="3"/>
        <v/>
      </c>
      <c r="N982" s="5" t="str">
        <f t="shared" si="4"/>
        <v>Montreal College of Information Technology</v>
      </c>
      <c r="O982" s="5" t="str">
        <f t="shared" si="5"/>
        <v>1 year 4 months in role and company</v>
      </c>
      <c r="P982" s="5" t="str">
        <f t="shared" si="6"/>
        <v>Montreal</v>
      </c>
      <c r="Q982" s="5" t="str">
        <f t="shared" si="7"/>
        <v>Quebec</v>
      </c>
      <c r="R982" s="5" t="str">
        <f t="shared" si="8"/>
        <v>Canada</v>
      </c>
    </row>
    <row r="983">
      <c r="A983" s="8" t="s">
        <v>7220</v>
      </c>
      <c r="B983" s="10" t="s">
        <v>2159</v>
      </c>
      <c r="C983" s="10" t="s">
        <v>2160</v>
      </c>
      <c r="D983" s="10"/>
      <c r="E983" s="10" t="s">
        <v>2117</v>
      </c>
      <c r="F983" s="10" t="s">
        <v>74</v>
      </c>
      <c r="G983" s="11" t="s">
        <v>2161</v>
      </c>
      <c r="H983" s="11" t="s">
        <v>76</v>
      </c>
      <c r="I983" s="11" t="s">
        <v>18</v>
      </c>
      <c r="J983" s="9" t="str">
        <f>IFERROR(__xludf.DUMMYFUNCTION("""COMPUTED_VALUE"""),"https://www.google.com/search?newwindow=1&amp;ei=2MT0XrvGGM-vytMP1OyDgAY&amp;q=site%3Alinkedin.com+Georgia+Sfantos+HR+Manager+-+Technology+Campus+Recruiting")</f>
        <v>https://www.google.com/search?newwindow=1&amp;ei=2MT0XrvGGM-vytMP1OyDgAY&amp;q=site%3Alinkedin.com+Georgia+Sfantos+HR+Manager+-+Technology+Campus+Recruiting</v>
      </c>
      <c r="K983" s="5" t="str">
        <f t="shared" si="1"/>
        <v>Georgia Sfantos</v>
      </c>
      <c r="L983" s="5" t="str">
        <f t="shared" si="2"/>
        <v>HR Manager - Technology Campus Recruiting</v>
      </c>
      <c r="M983" s="5" t="str">
        <f t="shared" si="3"/>
        <v/>
      </c>
      <c r="N983" s="5" t="str">
        <f t="shared" si="4"/>
        <v>Morgan Stanley</v>
      </c>
      <c r="O983" s="5" t="str">
        <f t="shared" si="5"/>
        <v>1 year 4 months in role</v>
      </c>
      <c r="P983" s="5" t="str">
        <f t="shared" si="6"/>
        <v>Montreal</v>
      </c>
      <c r="Q983" s="5" t="str">
        <f t="shared" si="7"/>
        <v>Quebec</v>
      </c>
      <c r="R983" s="5" t="str">
        <f t="shared" si="8"/>
        <v>Canada</v>
      </c>
    </row>
    <row r="984">
      <c r="A984" s="8" t="s">
        <v>7221</v>
      </c>
      <c r="B984" s="10" t="s">
        <v>7222</v>
      </c>
      <c r="C984" s="10" t="s">
        <v>7223</v>
      </c>
      <c r="D984" s="10"/>
      <c r="E984" s="10" t="s">
        <v>4632</v>
      </c>
      <c r="F984" s="10" t="s">
        <v>165</v>
      </c>
      <c r="G984" s="11" t="s">
        <v>7224</v>
      </c>
      <c r="H984" s="11" t="s">
        <v>5566</v>
      </c>
      <c r="I984" s="11" t="s">
        <v>4619</v>
      </c>
      <c r="J984" s="9" t="str">
        <f>IFERROR(__xludf.DUMMYFUNCTION("""COMPUTED_VALUE"""),"https://www.google.com/search?newwindow=1&amp;ei=2MT0XrvGGM-vytMP1OyDgAY&amp;q=site%3Alinkedin.com+Michael+Dosado+Men’s+basketball+Recruiter+at+Brandon+University")</f>
        <v>https://www.google.com/search?newwindow=1&amp;ei=2MT0XrvGGM-vytMP1OyDgAY&amp;q=site%3Alinkedin.com+Michael+Dosado+Men’s+basketball+Recruiter+at+Brandon+University</v>
      </c>
      <c r="K984" s="5" t="str">
        <f t="shared" si="1"/>
        <v>Michael Dosado</v>
      </c>
      <c r="L984" s="5" t="str">
        <f t="shared" si="2"/>
        <v>Men’s basketball Recruiter at Brandon University</v>
      </c>
      <c r="M984" s="5" t="str">
        <f t="shared" si="3"/>
        <v/>
      </c>
      <c r="N984" s="5" t="str">
        <f t="shared" si="4"/>
        <v>Brandon University</v>
      </c>
      <c r="O984" s="5" t="str">
        <f t="shared" si="5"/>
        <v>2 years 2 months in role and company</v>
      </c>
      <c r="P984" s="5" t="str">
        <f t="shared" si="6"/>
        <v>Montreal</v>
      </c>
      <c r="Q984" s="5" t="str">
        <f t="shared" si="7"/>
        <v>Quebec</v>
      </c>
      <c r="R984" s="5" t="str">
        <f t="shared" si="8"/>
        <v>Canada</v>
      </c>
    </row>
    <row r="985">
      <c r="A985" s="8" t="s">
        <v>7225</v>
      </c>
      <c r="B985" s="12" t="s">
        <v>7226</v>
      </c>
      <c r="C985" s="10" t="s">
        <v>7227</v>
      </c>
      <c r="D985" s="10"/>
      <c r="E985" s="10" t="s">
        <v>7228</v>
      </c>
      <c r="F985" s="10" t="s">
        <v>339</v>
      </c>
      <c r="G985" s="11" t="s">
        <v>7229</v>
      </c>
      <c r="H985" s="11" t="s">
        <v>3038</v>
      </c>
      <c r="I985" s="11" t="s">
        <v>18</v>
      </c>
      <c r="J985" s="9" t="str">
        <f>IFERROR(__xludf.DUMMYFUNCTION("""COMPUTED_VALUE"""),"https://www.google.com/search?newwindow=1&amp;ei=2MT0XrvGGM-vytMP1OyDgAY&amp;q=site%3Alinkedin.com+Neish+Joelle+Student+recruiter")</f>
        <v>https://www.google.com/search?newwindow=1&amp;ei=2MT0XrvGGM-vytMP1OyDgAY&amp;q=site%3Alinkedin.com+Neish+Joelle+Student+recruiter</v>
      </c>
      <c r="K985" s="5" t="str">
        <f t="shared" si="1"/>
        <v>Neish Joelle</v>
      </c>
      <c r="L985" s="5" t="str">
        <f t="shared" si="2"/>
        <v>Student recruiter</v>
      </c>
      <c r="M985" s="5" t="str">
        <f t="shared" si="3"/>
        <v/>
      </c>
      <c r="N985" s="5" t="str">
        <f t="shared" si="4"/>
        <v>McGill University, Enrolment Services</v>
      </c>
      <c r="O985" s="5" t="str">
        <f t="shared" si="5"/>
        <v>4 years 5 months in role and company</v>
      </c>
      <c r="P985" s="5" t="str">
        <f t="shared" si="6"/>
        <v>Montreal</v>
      </c>
      <c r="Q985" s="5" t="str">
        <f t="shared" si="7"/>
        <v>Quebec</v>
      </c>
      <c r="R985" s="5" t="str">
        <f t="shared" si="8"/>
        <v>Canada</v>
      </c>
    </row>
    <row r="986">
      <c r="A986" s="8" t="s">
        <v>7230</v>
      </c>
      <c r="B986" s="10" t="s">
        <v>7231</v>
      </c>
      <c r="C986" s="10" t="s">
        <v>7232</v>
      </c>
      <c r="D986" s="10"/>
      <c r="E986" s="10" t="s">
        <v>7233</v>
      </c>
      <c r="F986" s="10" t="s">
        <v>3979</v>
      </c>
      <c r="G986" s="11" t="s">
        <v>7229</v>
      </c>
      <c r="H986" s="11" t="s">
        <v>4757</v>
      </c>
      <c r="I986" s="11" t="s">
        <v>4607</v>
      </c>
      <c r="J986" s="9" t="str">
        <f>IFERROR(__xludf.DUMMYFUNCTION("""COMPUTED_VALUE"""),"https://www.google.com/search?newwindow=1&amp;ei=2MT0XrvGGM-vytMP1OyDgAY&amp;q=site%3Alinkedin.com+Adrian+Boro+Recruiter")</f>
        <v>https://www.google.com/search?newwindow=1&amp;ei=2MT0XrvGGM-vytMP1OyDgAY&amp;q=site%3Alinkedin.com+Adrian+Boro+Recruiter</v>
      </c>
      <c r="K986" s="5" t="str">
        <f t="shared" si="1"/>
        <v>Adrian Boro</v>
      </c>
      <c r="L986" s="5" t="str">
        <f t="shared" si="2"/>
        <v>Recruiter</v>
      </c>
      <c r="M986" s="5" t="str">
        <f t="shared" si="3"/>
        <v/>
      </c>
      <c r="N986" s="5" t="str">
        <f t="shared" si="4"/>
        <v>looking for a new challenge</v>
      </c>
      <c r="O986" s="5" t="str">
        <f t="shared" si="5"/>
        <v>1 year 10 months in role and company</v>
      </c>
      <c r="P986" s="5" t="str">
        <f t="shared" si="6"/>
        <v>Montreal</v>
      </c>
      <c r="Q986" s="5" t="str">
        <f t="shared" si="7"/>
        <v>Quebec</v>
      </c>
      <c r="R986" s="5" t="str">
        <f t="shared" si="8"/>
        <v>Canada</v>
      </c>
    </row>
    <row r="987">
      <c r="A987" s="8" t="s">
        <v>7234</v>
      </c>
      <c r="B987" s="10" t="s">
        <v>7235</v>
      </c>
      <c r="C987" s="10" t="s">
        <v>110</v>
      </c>
      <c r="D987" s="10"/>
      <c r="E987" s="10" t="s">
        <v>4836</v>
      </c>
      <c r="F987" s="10" t="s">
        <v>651</v>
      </c>
      <c r="G987" s="11" t="s">
        <v>7229</v>
      </c>
      <c r="H987" s="11" t="s">
        <v>4757</v>
      </c>
      <c r="I987" s="11" t="s">
        <v>4607</v>
      </c>
      <c r="J987" s="9" t="str">
        <f>IFERROR(__xludf.DUMMYFUNCTION("""COMPUTED_VALUE"""),"https://www.google.com/search?newwindow=1&amp;ei=2MT0XrvGGM-vytMP1OyDgAY&amp;q=site%3Alinkedin.com+Leah+Jane+Esau+Freelance+Writer,+Fact+Checker,+University+Recruitment,+Communications")</f>
        <v>https://www.google.com/search?newwindow=1&amp;ei=2MT0XrvGGM-vytMP1OyDgAY&amp;q=site%3Alinkedin.com+Leah+Jane+Esau+Freelance+Writer,+Fact+Checker,+University+Recruitment,+Communications</v>
      </c>
      <c r="K987" s="5" t="str">
        <f t="shared" si="1"/>
        <v>Leah Jane Esau</v>
      </c>
      <c r="L987" s="5" t="str">
        <f t="shared" si="2"/>
        <v>Freelance Writer, Fact Checker, University Recruitment, Communications</v>
      </c>
      <c r="M987" s="5" t="str">
        <f t="shared" si="3"/>
        <v/>
      </c>
      <c r="N987" s="5" t="str">
        <f t="shared" si="4"/>
        <v>Self Employed</v>
      </c>
      <c r="O987" s="5" t="str">
        <f t="shared" si="5"/>
        <v>7 years 1 month in role and company</v>
      </c>
      <c r="P987" s="5" t="str">
        <f t="shared" si="6"/>
        <v>Montreal</v>
      </c>
      <c r="Q987" s="5" t="str">
        <f t="shared" si="7"/>
        <v>Quebec</v>
      </c>
      <c r="R987" s="5" t="str">
        <f t="shared" si="8"/>
        <v>Canada</v>
      </c>
    </row>
    <row r="988">
      <c r="A988" s="8" t="s">
        <v>7236</v>
      </c>
      <c r="B988" s="10" t="s">
        <v>7237</v>
      </c>
      <c r="C988" s="10" t="s">
        <v>7238</v>
      </c>
      <c r="D988" s="10"/>
      <c r="E988" s="10" t="s">
        <v>7239</v>
      </c>
      <c r="F988" s="10" t="s">
        <v>125</v>
      </c>
      <c r="G988" s="11" t="s">
        <v>7229</v>
      </c>
      <c r="H988" s="11" t="s">
        <v>4757</v>
      </c>
      <c r="I988" s="11" t="s">
        <v>4607</v>
      </c>
      <c r="J988" s="9" t="str">
        <f>IFERROR(__xludf.DUMMYFUNCTION("""COMPUTED_VALUE"""),"https://www.google.com/search?newwindow=1&amp;ei=2MT0XrvGGM-vytMP1OyDgAY&amp;q=site%3Alinkedin.com+Sara+Ittukiti+College+Recruiter")</f>
        <v>https://www.google.com/search?newwindow=1&amp;ei=2MT0XrvGGM-vytMP1OyDgAY&amp;q=site%3Alinkedin.com+Sara+Ittukiti+College+Recruiter</v>
      </c>
      <c r="K988" s="5" t="str">
        <f t="shared" si="1"/>
        <v>Sara Ittukiti</v>
      </c>
      <c r="L988" s="5" t="str">
        <f t="shared" si="2"/>
        <v>College Recruiter</v>
      </c>
      <c r="M988" s="5" t="str">
        <f t="shared" si="3"/>
        <v/>
      </c>
      <c r="N988" s="5" t="str">
        <f t="shared" si="4"/>
        <v>Amazon Sat</v>
      </c>
      <c r="O988" s="5" t="str">
        <f t="shared" si="5"/>
        <v/>
      </c>
      <c r="P988" s="5" t="str">
        <f t="shared" si="6"/>
        <v>Montreal</v>
      </c>
      <c r="Q988" s="5" t="str">
        <f t="shared" si="7"/>
        <v>Quebec</v>
      </c>
      <c r="R988" s="5" t="str">
        <f t="shared" si="8"/>
        <v>Canada</v>
      </c>
    </row>
    <row r="989">
      <c r="A989" s="8" t="s">
        <v>7240</v>
      </c>
      <c r="B989" s="12" t="s">
        <v>7241</v>
      </c>
      <c r="C989" s="10" t="s">
        <v>7242</v>
      </c>
      <c r="D989" s="10"/>
      <c r="E989" s="10" t="s">
        <v>4836</v>
      </c>
      <c r="F989" s="10" t="s">
        <v>890</v>
      </c>
      <c r="G989" s="11" t="s">
        <v>7229</v>
      </c>
      <c r="H989" s="11" t="s">
        <v>4757</v>
      </c>
      <c r="I989" s="11" t="s">
        <v>4607</v>
      </c>
      <c r="J989" s="9" t="str">
        <f>IFERROR(__xludf.DUMMYFUNCTION("""COMPUTED_VALUE"""),"https://www.google.com/search?newwindow=1&amp;ei=2MT0XrvGGM-vytMP1OyDgAY&amp;q=site%3Alinkedin.com+Beth+McKenna+Student+Recruitment+Officer+-+John+Molson+School+of+Business+(Graduate+Programs)")</f>
        <v>https://www.google.com/search?newwindow=1&amp;ei=2MT0XrvGGM-vytMP1OyDgAY&amp;q=site%3Alinkedin.com+Beth+McKenna+Student+Recruitment+Officer+-+John+Molson+School+of+Business+(Graduate+Programs)</v>
      </c>
      <c r="K989" s="5" t="str">
        <f t="shared" si="1"/>
        <v>Beth McKenna</v>
      </c>
      <c r="L989" s="5" t="str">
        <f t="shared" si="2"/>
        <v>Student Recruitment Officer - John Molson School of Business (Graduate Programs)</v>
      </c>
      <c r="M989" s="5" t="str">
        <f t="shared" si="3"/>
        <v/>
      </c>
      <c r="N989" s="5" t="str">
        <f t="shared" si="4"/>
        <v>Concordia University</v>
      </c>
      <c r="O989" s="5" t="str">
        <f t="shared" si="5"/>
        <v>3 years 7 months in role</v>
      </c>
      <c r="P989" s="5" t="str">
        <f t="shared" si="6"/>
        <v>Montreal</v>
      </c>
      <c r="Q989" s="5" t="str">
        <f t="shared" si="7"/>
        <v>Quebec</v>
      </c>
      <c r="R989" s="5" t="str">
        <f t="shared" si="8"/>
        <v>Canada</v>
      </c>
    </row>
    <row r="990">
      <c r="A990" s="8" t="s">
        <v>7243</v>
      </c>
      <c r="B990" s="10" t="s">
        <v>7244</v>
      </c>
      <c r="C990" s="10" t="s">
        <v>6286</v>
      </c>
      <c r="D990" s="10"/>
      <c r="E990" s="10" t="s">
        <v>4836</v>
      </c>
      <c r="F990" s="10" t="s">
        <v>1634</v>
      </c>
      <c r="G990" s="11" t="s">
        <v>7229</v>
      </c>
      <c r="H990" s="11" t="s">
        <v>4757</v>
      </c>
      <c r="I990" s="11" t="s">
        <v>4607</v>
      </c>
      <c r="J990" s="9" t="str">
        <f>IFERROR(__xludf.DUMMYFUNCTION("""COMPUTED_VALUE"""),"https://www.google.com/search?newwindow=1&amp;ei=2MT0XrvGGM-vytMP1OyDgAY&amp;q=site%3Alinkedin.com+Alex+Megelas+Researcher+PHD+Student")</f>
        <v>https://www.google.com/search?newwindow=1&amp;ei=2MT0XrvGGM-vytMP1OyDgAY&amp;q=site%3Alinkedin.com+Alex+Megelas+Researcher+PHD+Student</v>
      </c>
      <c r="K990" s="5" t="str">
        <f t="shared" si="1"/>
        <v>Alex Megelas</v>
      </c>
      <c r="L990" s="5" t="str">
        <f t="shared" si="2"/>
        <v>Researcher PHD Student</v>
      </c>
      <c r="M990" s="5" t="str">
        <f t="shared" si="3"/>
        <v/>
      </c>
      <c r="N990" s="5" t="str">
        <f t="shared" si="4"/>
        <v>McGill University</v>
      </c>
      <c r="O990" s="5" t="str">
        <f t="shared" si="5"/>
        <v>3 years 2 months in role and company</v>
      </c>
      <c r="P990" s="5" t="str">
        <f t="shared" si="6"/>
        <v>Montreal</v>
      </c>
      <c r="Q990" s="5" t="str">
        <f t="shared" si="7"/>
        <v>Quebec</v>
      </c>
      <c r="R990" s="5" t="str">
        <f t="shared" si="8"/>
        <v>Canada</v>
      </c>
    </row>
    <row r="991">
      <c r="A991" s="8" t="s">
        <v>7245</v>
      </c>
      <c r="B991" s="12" t="s">
        <v>7246</v>
      </c>
      <c r="C991" s="10" t="s">
        <v>7247</v>
      </c>
      <c r="D991" s="10"/>
      <c r="E991" s="10" t="s">
        <v>7248</v>
      </c>
      <c r="F991" s="10" t="s">
        <v>727</v>
      </c>
      <c r="G991" s="11" t="s">
        <v>7229</v>
      </c>
      <c r="H991" s="11" t="s">
        <v>4757</v>
      </c>
      <c r="I991" s="11" t="s">
        <v>4607</v>
      </c>
      <c r="J991" s="9" t="str">
        <f>IFERROR(__xludf.DUMMYFUNCTION("""COMPUTED_VALUE"""),"https://www.google.com/search?newwindow=1&amp;ei=2MT0XrvGGM-vytMP1OyDgAY&amp;q=site%3Alinkedin.com+Julie+Brisson+Director,+Student+Programs,Associates+&amp;+Professional+Development")</f>
        <v>https://www.google.com/search?newwindow=1&amp;ei=2MT0XrvGGM-vytMP1OyDgAY&amp;q=site%3Alinkedin.com+Julie+Brisson+Director,+Student+Programs,Associates+&amp;+Professional+Development</v>
      </c>
      <c r="K991" s="5" t="str">
        <f t="shared" si="1"/>
        <v>Julie Brisson</v>
      </c>
      <c r="L991" s="5" t="str">
        <f t="shared" si="2"/>
        <v>Director, Student Programs,Associates &amp; Professional Development</v>
      </c>
      <c r="M991" s="5" t="str">
        <f t="shared" si="3"/>
        <v/>
      </c>
      <c r="N991" s="5" t="str">
        <f t="shared" si="4"/>
        <v>Blake, Cassels &amp; Graydon LLP</v>
      </c>
      <c r="O991" s="5" t="str">
        <f t="shared" si="5"/>
        <v>4 years 11 months in role and company</v>
      </c>
      <c r="P991" s="5" t="str">
        <f t="shared" si="6"/>
        <v>Montreal</v>
      </c>
      <c r="Q991" s="5" t="str">
        <f t="shared" si="7"/>
        <v>Quebec</v>
      </c>
      <c r="R991" s="5" t="str">
        <f t="shared" si="8"/>
        <v>Canada</v>
      </c>
    </row>
    <row r="992">
      <c r="A992" s="8" t="s">
        <v>7249</v>
      </c>
      <c r="B992" s="12" t="s">
        <v>7250</v>
      </c>
      <c r="C992" s="10" t="s">
        <v>7251</v>
      </c>
      <c r="D992" s="10"/>
      <c r="E992" s="10" t="s">
        <v>7252</v>
      </c>
      <c r="F992" s="10" t="s">
        <v>179</v>
      </c>
      <c r="G992" s="11" t="s">
        <v>7229</v>
      </c>
      <c r="H992" s="11" t="s">
        <v>4757</v>
      </c>
      <c r="I992" s="11" t="s">
        <v>4607</v>
      </c>
      <c r="J992" s="9" t="str">
        <f>IFERROR(__xludf.DUMMYFUNCTION("""COMPUTED_VALUE"""),"https://www.google.com/search?newwindow=1&amp;ei=2MT0XrvGGM-vytMP1OyDgAY&amp;q=site%3Alinkedin.com+Shana+Szikman+Associate+Director,+Student+&amp;+Young+Alumni+Programs")</f>
        <v>https://www.google.com/search?newwindow=1&amp;ei=2MT0XrvGGM-vytMP1OyDgAY&amp;q=site%3Alinkedin.com+Shana+Szikman+Associate+Director,+Student+&amp;+Young+Alumni+Programs</v>
      </c>
      <c r="K992" s="5" t="str">
        <f t="shared" si="1"/>
        <v>Shana Szikman</v>
      </c>
      <c r="L992" s="5" t="str">
        <f t="shared" si="2"/>
        <v>Associate Director, Student &amp; Young Alumni Programs</v>
      </c>
      <c r="M992" s="5" t="str">
        <f t="shared" si="3"/>
        <v/>
      </c>
      <c r="N992" s="5" t="str">
        <f t="shared" si="4"/>
        <v>University Advancement, McGill University</v>
      </c>
      <c r="O992" s="5" t="str">
        <f t="shared" si="5"/>
        <v>5 years 1 month in role</v>
      </c>
      <c r="P992" s="5" t="str">
        <f t="shared" si="6"/>
        <v>Montreal</v>
      </c>
      <c r="Q992" s="5" t="str">
        <f t="shared" si="7"/>
        <v>Quebec</v>
      </c>
      <c r="R992" s="5" t="str">
        <f t="shared" si="8"/>
        <v>Canada</v>
      </c>
    </row>
    <row r="993">
      <c r="A993" s="8" t="s">
        <v>7253</v>
      </c>
      <c r="B993" s="10" t="s">
        <v>7254</v>
      </c>
      <c r="C993" s="10" t="s">
        <v>7255</v>
      </c>
      <c r="D993" s="10"/>
      <c r="E993" s="10" t="s">
        <v>7256</v>
      </c>
      <c r="F993" s="10" t="s">
        <v>654</v>
      </c>
      <c r="G993" s="11" t="s">
        <v>7229</v>
      </c>
      <c r="H993" s="11" t="s">
        <v>4757</v>
      </c>
      <c r="I993" s="11" t="s">
        <v>4607</v>
      </c>
      <c r="J993" s="9" t="str">
        <f>IFERROR(__xludf.DUMMYFUNCTION("""COMPUTED_VALUE"""),"https://www.google.com/search?newwindow=1&amp;ei=2MT0XrvGGM-vytMP1OyDgAY&amp;q=site%3Alinkedin.com+Christine+D.+Student+Affairs+Administrator+-+Global+Health+Programs")</f>
        <v>https://www.google.com/search?newwindow=1&amp;ei=2MT0XrvGGM-vytMP1OyDgAY&amp;q=site%3Alinkedin.com+Christine+D.+Student+Affairs+Administrator+-+Global+Health+Programs</v>
      </c>
      <c r="K993" s="5" t="str">
        <f t="shared" si="1"/>
        <v>Christine D.</v>
      </c>
      <c r="L993" s="5" t="str">
        <f t="shared" si="2"/>
        <v>Student Affairs Administrator - Global Health Programs</v>
      </c>
      <c r="M993" s="5" t="str">
        <f t="shared" si="3"/>
        <v/>
      </c>
      <c r="N993" s="5" t="str">
        <f t="shared" si="4"/>
        <v>McGill University</v>
      </c>
      <c r="O993" s="5" t="str">
        <f t="shared" si="5"/>
        <v>3 years  in role</v>
      </c>
      <c r="P993" s="5" t="str">
        <f t="shared" si="6"/>
        <v>Montreal</v>
      </c>
      <c r="Q993" s="5" t="str">
        <f t="shared" si="7"/>
        <v>Quebec</v>
      </c>
      <c r="R993" s="5" t="str">
        <f t="shared" si="8"/>
        <v>Canada</v>
      </c>
    </row>
    <row r="994">
      <c r="A994" s="8" t="s">
        <v>7257</v>
      </c>
      <c r="B994" s="12" t="s">
        <v>7258</v>
      </c>
      <c r="C994" s="10" t="s">
        <v>5054</v>
      </c>
      <c r="D994" s="10"/>
      <c r="E994" s="10" t="s">
        <v>7259</v>
      </c>
      <c r="F994" s="10" t="s">
        <v>7260</v>
      </c>
      <c r="G994" s="11" t="s">
        <v>7229</v>
      </c>
      <c r="H994" s="11" t="s">
        <v>4757</v>
      </c>
      <c r="I994" s="11" t="s">
        <v>4607</v>
      </c>
      <c r="J994" s="9" t="str">
        <f>IFERROR(__xludf.DUMMYFUNCTION("""COMPUTED_VALUE"""),"https://www.google.com/search?newwindow=1&amp;ei=2MT0XrvGGM-vytMP1OyDgAY&amp;q=site%3Alinkedin.com+Valerie+Brodeur+Learning+Expedition+Programs+Principal+Officer+|+International+Activities+and+Student+Mobility")</f>
        <v>https://www.google.com/search?newwindow=1&amp;ei=2MT0XrvGGM-vytMP1OyDgAY&amp;q=site%3Alinkedin.com+Valerie+Brodeur+Learning+Expedition+Programs+Principal+Officer+|+International+Activities+and+Student+Mobility</v>
      </c>
      <c r="K994" s="5" t="str">
        <f t="shared" si="1"/>
        <v>Valerie Brodeur</v>
      </c>
      <c r="L994" s="5" t="str">
        <f t="shared" si="2"/>
        <v>Learning Expedition Programs Principal Officer | International Activities and Student Mobility</v>
      </c>
      <c r="M994" s="5" t="str">
        <f t="shared" si="3"/>
        <v/>
      </c>
      <c r="N994" s="5" t="str">
        <f t="shared" si="4"/>
        <v>HEC Montréal</v>
      </c>
      <c r="O994" s="5" t="str">
        <f t="shared" si="5"/>
        <v>2 years 2 months in role</v>
      </c>
      <c r="P994" s="5" t="str">
        <f t="shared" si="6"/>
        <v>Montreal</v>
      </c>
      <c r="Q994" s="5" t="str">
        <f t="shared" si="7"/>
        <v>Quebec</v>
      </c>
      <c r="R994" s="5" t="str">
        <f t="shared" si="8"/>
        <v>Canada</v>
      </c>
    </row>
    <row r="995">
      <c r="A995" s="8" t="s">
        <v>7261</v>
      </c>
      <c r="B995" s="10" t="s">
        <v>7262</v>
      </c>
      <c r="C995" s="10" t="s">
        <v>7263</v>
      </c>
      <c r="D995" s="10"/>
      <c r="E995" s="10" t="s">
        <v>7252</v>
      </c>
      <c r="F995" s="10" t="s">
        <v>1637</v>
      </c>
      <c r="G995" s="11" t="s">
        <v>7229</v>
      </c>
      <c r="H995" s="11" t="s">
        <v>4757</v>
      </c>
      <c r="I995" s="11" t="s">
        <v>4607</v>
      </c>
      <c r="J995" s="9" t="str">
        <f>IFERROR(__xludf.DUMMYFUNCTION("""COMPUTED_VALUE"""),"https://www.google.com/search?newwindow=1&amp;ei=2MT0XrvGGM-vytMP1OyDgAY&amp;q=site%3Alinkedin.com+Alexandra+Kaluzny+Manager,+Student+Programs+&amp;+Development+Initiatives")</f>
        <v>https://www.google.com/search?newwindow=1&amp;ei=2MT0XrvGGM-vytMP1OyDgAY&amp;q=site%3Alinkedin.com+Alexandra+Kaluzny+Manager,+Student+Programs+&amp;+Development+Initiatives</v>
      </c>
      <c r="K995" s="5" t="str">
        <f t="shared" si="1"/>
        <v>Alexandra Kaluzny</v>
      </c>
      <c r="L995" s="5" t="str">
        <f t="shared" si="2"/>
        <v>Manager, Student Programs &amp; Development Initiatives</v>
      </c>
      <c r="M995" s="5" t="str">
        <f t="shared" si="3"/>
        <v/>
      </c>
      <c r="N995" s="5" t="str">
        <f t="shared" si="4"/>
        <v>Davies Ward Phillips &amp; Vineberg LLP</v>
      </c>
      <c r="O995" s="5" t="str">
        <f t="shared" si="5"/>
        <v>1 year 10 months in role</v>
      </c>
      <c r="P995" s="5" t="str">
        <f t="shared" si="6"/>
        <v>Montreal</v>
      </c>
      <c r="Q995" s="5" t="str">
        <f t="shared" si="7"/>
        <v>Quebec</v>
      </c>
      <c r="R995" s="5" t="str">
        <f t="shared" si="8"/>
        <v>Canada</v>
      </c>
    </row>
    <row r="996">
      <c r="A996" s="8" t="s">
        <v>7264</v>
      </c>
      <c r="B996" s="12" t="s">
        <v>7265</v>
      </c>
      <c r="C996" s="10" t="s">
        <v>7266</v>
      </c>
      <c r="D996" s="10"/>
      <c r="E996" s="10" t="s">
        <v>7267</v>
      </c>
      <c r="F996" s="10" t="s">
        <v>3979</v>
      </c>
      <c r="G996" s="11" t="s">
        <v>7229</v>
      </c>
      <c r="H996" s="11" t="s">
        <v>4757</v>
      </c>
      <c r="I996" s="11" t="s">
        <v>4607</v>
      </c>
      <c r="J996" s="9" t="str">
        <f>IFERROR(__xludf.DUMMYFUNCTION("""COMPUTED_VALUE"""),"https://www.google.com/search?newwindow=1&amp;ei=2MT0XrvGGM-vytMP1OyDgAY&amp;q=site%3Alinkedin.com+Lelach+Winterfeld+Student+Adviser+AEC+Programs")</f>
        <v>https://www.google.com/search?newwindow=1&amp;ei=2MT0XrvGGM-vytMP1OyDgAY&amp;q=site%3Alinkedin.com+Lelach+Winterfeld+Student+Adviser+AEC+Programs</v>
      </c>
      <c r="K996" s="5" t="str">
        <f t="shared" si="1"/>
        <v>Lelach Winterfeld</v>
      </c>
      <c r="L996" s="5" t="str">
        <f t="shared" si="2"/>
        <v>Student Adviser AEC Programs</v>
      </c>
      <c r="M996" s="5" t="str">
        <f t="shared" si="3"/>
        <v/>
      </c>
      <c r="N996" s="5" t="str">
        <f t="shared" si="4"/>
        <v>Tav College</v>
      </c>
      <c r="O996" s="5" t="str">
        <f t="shared" si="5"/>
        <v>1 year 4 months in role and company</v>
      </c>
      <c r="P996" s="5" t="str">
        <f t="shared" si="6"/>
        <v>Montreal</v>
      </c>
      <c r="Q996" s="5" t="str">
        <f t="shared" si="7"/>
        <v>Quebec</v>
      </c>
      <c r="R996" s="5" t="str">
        <f t="shared" si="8"/>
        <v>Canada</v>
      </c>
    </row>
    <row r="997">
      <c r="A997" s="8" t="s">
        <v>7268</v>
      </c>
      <c r="B997" s="12" t="s">
        <v>7269</v>
      </c>
      <c r="C997" s="10" t="s">
        <v>7270</v>
      </c>
      <c r="D997" s="10"/>
      <c r="E997" s="10" t="s">
        <v>7271</v>
      </c>
      <c r="F997" s="10" t="s">
        <v>1065</v>
      </c>
      <c r="G997" s="11" t="s">
        <v>7229</v>
      </c>
      <c r="H997" s="11" t="s">
        <v>4757</v>
      </c>
      <c r="I997" s="11" t="s">
        <v>4607</v>
      </c>
      <c r="J997" s="9" t="str">
        <f>IFERROR(__xludf.DUMMYFUNCTION("""COMPUTED_VALUE"""),"https://www.google.com/search?newwindow=1&amp;ei=2MT0XrvGGM-vytMP1OyDgAY&amp;q=site%3Alinkedin.com+Anaïs+G.+Student+Advisor+for+M.Sc.+&amp;+Ph.D+Programs,+Office+of+the+Registrar")</f>
        <v>https://www.google.com/search?newwindow=1&amp;ei=2MT0XrvGGM-vytMP1OyDgAY&amp;q=site%3Alinkedin.com+Anaïs+G.+Student+Advisor+for+M.Sc.+&amp;+Ph.D+Programs,+Office+of+the+Registrar</v>
      </c>
      <c r="K997" s="5" t="str">
        <f t="shared" si="1"/>
        <v>Anaïs G.</v>
      </c>
      <c r="L997" s="5" t="str">
        <f t="shared" si="2"/>
        <v>Student Advisor for M.Sc. &amp; Ph.D Programs, Office of the Registrar</v>
      </c>
      <c r="M997" s="5" t="str">
        <f t="shared" si="3"/>
        <v/>
      </c>
      <c r="N997" s="5" t="str">
        <f t="shared" si="4"/>
        <v>HEC Montréal</v>
      </c>
      <c r="O997" s="5" t="str">
        <f t="shared" si="5"/>
        <v>2 years 1 month in role and company</v>
      </c>
      <c r="P997" s="5" t="str">
        <f t="shared" si="6"/>
        <v>Montreal</v>
      </c>
      <c r="Q997" s="5" t="str">
        <f t="shared" si="7"/>
        <v>Quebec</v>
      </c>
      <c r="R997" s="5" t="str">
        <f t="shared" si="8"/>
        <v>Canada</v>
      </c>
    </row>
    <row r="998">
      <c r="A998" s="8" t="s">
        <v>7272</v>
      </c>
      <c r="B998" s="10" t="s">
        <v>7273</v>
      </c>
      <c r="C998" s="10" t="s">
        <v>371</v>
      </c>
      <c r="D998" s="12"/>
      <c r="E998" s="12" t="s">
        <v>7274</v>
      </c>
      <c r="F998" s="10"/>
      <c r="G998" s="11" t="s">
        <v>7229</v>
      </c>
      <c r="H998" s="11" t="s">
        <v>4757</v>
      </c>
      <c r="I998" s="11" t="s">
        <v>4607</v>
      </c>
      <c r="J998" s="9" t="str">
        <f>IFERROR(__xludf.DUMMYFUNCTION("""COMPUTED_VALUE"""),"https://www.google.com/search?newwindow=1&amp;ei=2MT0XrvGGM-vytMP1OyDgAY&amp;q=site%3Alinkedin.com+Kelly+Cassidy+Student+Advisor,+MBA+Programs")</f>
        <v>https://www.google.com/search?newwindow=1&amp;ei=2MT0XrvGGM-vytMP1OyDgAY&amp;q=site%3Alinkedin.com+Kelly+Cassidy+Student+Advisor,+MBA+Programs</v>
      </c>
      <c r="K998" s="5" t="str">
        <f t="shared" si="1"/>
        <v>Kelly Cassidy</v>
      </c>
      <c r="L998" s="5" t="str">
        <f t="shared" si="2"/>
        <v>Student Advisor, MBA Programs</v>
      </c>
      <c r="M998" s="5" t="str">
        <f t="shared" si="3"/>
        <v>MBA</v>
      </c>
      <c r="N998" s="5" t="str">
        <f t="shared" si="4"/>
        <v>McGill University - Desautels Faculty of Management</v>
      </c>
      <c r="O998" s="5" t="str">
        <f t="shared" si="5"/>
        <v>1 year 3 months in role and company</v>
      </c>
      <c r="P998" s="5" t="str">
        <f t="shared" si="6"/>
        <v>Montreal</v>
      </c>
      <c r="Q998" s="5" t="str">
        <f t="shared" si="7"/>
        <v>Quebec</v>
      </c>
      <c r="R998" s="5" t="str">
        <f t="shared" si="8"/>
        <v>Canada</v>
      </c>
    </row>
    <row r="999">
      <c r="A999" s="8" t="s">
        <v>7275</v>
      </c>
      <c r="B999" s="10" t="s">
        <v>7276</v>
      </c>
      <c r="C999" s="10" t="s">
        <v>7277</v>
      </c>
      <c r="D999" s="12"/>
      <c r="E999" s="12" t="s">
        <v>3090</v>
      </c>
      <c r="F999" s="10"/>
      <c r="G999" s="11" t="s">
        <v>273</v>
      </c>
      <c r="H999" s="11" t="s">
        <v>17</v>
      </c>
      <c r="I999" s="11" t="s">
        <v>18</v>
      </c>
      <c r="J999" s="9" t="str">
        <f>IFERROR(__xludf.DUMMYFUNCTION("""COMPUTED_VALUE"""),"https://www.google.com/search?newwindow=1&amp;ei=2MT0XrvGGM-vytMP1OyDgAY&amp;q=site%3Alinkedin.com+Dina+Bakopanos+Assistant+Director,+MBA+and+Graduate+Programs+in+Business+Administration")</f>
        <v>https://www.google.com/search?newwindow=1&amp;ei=2MT0XrvGGM-vytMP1OyDgAY&amp;q=site%3Alinkedin.com+Dina+Bakopanos+Assistant+Director,+MBA+and+Graduate+Programs+in+Business+Administration</v>
      </c>
      <c r="K999" s="5" t="str">
        <f t="shared" si="1"/>
        <v>Dina Bakopanos</v>
      </c>
      <c r="L999" s="5" t="str">
        <f t="shared" si="2"/>
        <v>Assistant Director, MBA and Graduate Programs in Business Administration</v>
      </c>
      <c r="M999" s="5" t="str">
        <f t="shared" si="3"/>
        <v>MBA</v>
      </c>
      <c r="N999" s="5" t="str">
        <f t="shared" si="4"/>
        <v>JMSB, Concordia University</v>
      </c>
      <c r="O999" s="5" t="str">
        <f t="shared" si="5"/>
        <v>1 year 5 months in role and company</v>
      </c>
      <c r="P999" s="5" t="str">
        <f t="shared" si="6"/>
        <v>Montreal</v>
      </c>
      <c r="Q999" s="5" t="str">
        <f t="shared" si="7"/>
        <v>Quebec</v>
      </c>
      <c r="R999" s="5" t="str">
        <f t="shared" si="8"/>
        <v>Canada</v>
      </c>
    </row>
    <row r="1000">
      <c r="A1000" s="8" t="s">
        <v>7278</v>
      </c>
      <c r="B1000" s="10" t="s">
        <v>7279</v>
      </c>
      <c r="C1000" s="10" t="s">
        <v>7280</v>
      </c>
      <c r="D1000" s="10"/>
      <c r="E1000" s="10" t="s">
        <v>6576</v>
      </c>
      <c r="F1000" s="10" t="s">
        <v>686</v>
      </c>
      <c r="G1000" s="11" t="s">
        <v>7281</v>
      </c>
      <c r="H1000" s="11" t="s">
        <v>4638</v>
      </c>
      <c r="I1000" s="11" t="s">
        <v>4600</v>
      </c>
      <c r="J1000" s="9" t="str">
        <f>IFERROR(__xludf.DUMMYFUNCTION("""COMPUTED_VALUE"""),"https://www.google.com/search?newwindow=1&amp;ei=2MT0XrvGGM-vytMP1OyDgAY&amp;q=site%3Alinkedin.com+Kris+Martens+College+Recruiter")</f>
        <v>https://www.google.com/search?newwindow=1&amp;ei=2MT0XrvGGM-vytMP1OyDgAY&amp;q=site%3Alinkedin.com+Kris+Martens+College+Recruiter</v>
      </c>
      <c r="K1000" s="5" t="str">
        <f t="shared" si="1"/>
        <v>Kris Martens</v>
      </c>
      <c r="L1000" s="5" t="str">
        <f t="shared" si="2"/>
        <v>College Recruiter</v>
      </c>
      <c r="M1000" s="5" t="str">
        <f t="shared" si="3"/>
        <v/>
      </c>
      <c r="N1000" s="5" t="str">
        <f t="shared" si="4"/>
        <v>Horizon</v>
      </c>
      <c r="O1000" s="5" t="str">
        <f t="shared" si="5"/>
        <v/>
      </c>
      <c r="P1000" s="5" t="str">
        <f t="shared" si="6"/>
        <v>Moose Jaw No 161</v>
      </c>
      <c r="Q1000" s="5" t="str">
        <f t="shared" si="7"/>
        <v>Saskatchewan</v>
      </c>
      <c r="R1000" s="5" t="str">
        <f t="shared" si="8"/>
        <v>Canada</v>
      </c>
    </row>
    <row r="1001">
      <c r="A1001" s="8" t="s">
        <v>7282</v>
      </c>
      <c r="B1001" s="10" t="s">
        <v>7283</v>
      </c>
      <c r="C1001" s="10" t="s">
        <v>7284</v>
      </c>
      <c r="D1001" s="10"/>
      <c r="E1001" s="10" t="s">
        <v>7285</v>
      </c>
      <c r="F1001" s="10" t="s">
        <v>237</v>
      </c>
      <c r="G1001" s="11" t="s">
        <v>7281</v>
      </c>
      <c r="H1001" s="11" t="s">
        <v>4638</v>
      </c>
      <c r="I1001" s="11" t="s">
        <v>4600</v>
      </c>
      <c r="J1001" s="9" t="str">
        <f>IFERROR(__xludf.DUMMYFUNCTION("""COMPUTED_VALUE"""),"https://www.google.com/search?newwindow=1&amp;ei=2MT0XrvGGM-vytMP1OyDgAY&amp;q=site%3Alinkedin.com+Kaitlin+Vance+Senior+Campus+Recruiting+Specialist")</f>
        <v>https://www.google.com/search?newwindow=1&amp;ei=2MT0XrvGGM-vytMP1OyDgAY&amp;q=site%3Alinkedin.com+Kaitlin+Vance+Senior+Campus+Recruiting+Specialist</v>
      </c>
      <c r="K1001" s="5" t="str">
        <f t="shared" si="1"/>
        <v>Kaitlin Vance</v>
      </c>
      <c r="L1001" s="5" t="str">
        <f t="shared" si="2"/>
        <v>Senior Campus Recruiting Specialist</v>
      </c>
      <c r="M1001" s="5" t="str">
        <f t="shared" si="3"/>
        <v/>
      </c>
      <c r="N1001" s="5" t="str">
        <f t="shared" si="4"/>
        <v>Deloitte</v>
      </c>
      <c r="O1001" s="5" t="str">
        <f t="shared" si="5"/>
        <v>2 years 2 months in role and company</v>
      </c>
      <c r="P1001" s="5" t="str">
        <f t="shared" si="6"/>
        <v>Morristown</v>
      </c>
      <c r="Q1001" s="5" t="str">
        <f t="shared" si="7"/>
        <v>New Jersey</v>
      </c>
      <c r="R1001" s="5" t="str">
        <f t="shared" si="8"/>
        <v>United States</v>
      </c>
    </row>
    <row r="1002">
      <c r="A1002" s="8" t="s">
        <v>7286</v>
      </c>
      <c r="B1002" s="10" t="s">
        <v>7287</v>
      </c>
      <c r="C1002" s="10" t="s">
        <v>7288</v>
      </c>
      <c r="D1002" s="10"/>
      <c r="E1002" s="10" t="s">
        <v>6237</v>
      </c>
      <c r="F1002" s="10" t="s">
        <v>890</v>
      </c>
      <c r="G1002" s="11" t="s">
        <v>7281</v>
      </c>
      <c r="H1002" s="11" t="s">
        <v>4638</v>
      </c>
      <c r="I1002" s="11" t="s">
        <v>4600</v>
      </c>
      <c r="J1002" s="9" t="str">
        <f>IFERROR(__xludf.DUMMYFUNCTION("""COMPUTED_VALUE"""),"https://www.google.com/search?newwindow=1&amp;ei=2MT0XrvGGM-vytMP1OyDgAY&amp;q=site%3Alinkedin.com+Wes+Barrow+US+East+&amp;+Financial+Services+Campus+Recruiting")</f>
        <v>https://www.google.com/search?newwindow=1&amp;ei=2MT0XrvGGM-vytMP1OyDgAY&amp;q=site%3Alinkedin.com+Wes+Barrow+US+East+&amp;+Financial+Services+Campus+Recruiting</v>
      </c>
      <c r="K1002" s="5" t="str">
        <f t="shared" si="1"/>
        <v>Wes Barrow</v>
      </c>
      <c r="L1002" s="5" t="str">
        <f t="shared" si="2"/>
        <v>US East &amp; Financial Services Campus Recruiting</v>
      </c>
      <c r="M1002" s="5" t="str">
        <f t="shared" si="3"/>
        <v/>
      </c>
      <c r="N1002" s="5" t="str">
        <f t="shared" si="4"/>
        <v>EY</v>
      </c>
      <c r="O1002" s="5" t="str">
        <f t="shared" si="5"/>
        <v>12 years 10 months in role and company</v>
      </c>
      <c r="P1002" s="5" t="str">
        <f t="shared" si="6"/>
        <v>Moseley</v>
      </c>
      <c r="Q1002" s="5" t="str">
        <f t="shared" si="7"/>
        <v>Virginia</v>
      </c>
      <c r="R1002" s="5" t="str">
        <f t="shared" si="8"/>
        <v>United States</v>
      </c>
    </row>
    <row r="1003">
      <c r="A1003" s="8" t="s">
        <v>7289</v>
      </c>
      <c r="B1003" s="10" t="s">
        <v>7290</v>
      </c>
      <c r="C1003" s="10" t="s">
        <v>7291</v>
      </c>
      <c r="D1003" s="10"/>
      <c r="E1003" s="10" t="s">
        <v>7292</v>
      </c>
      <c r="F1003" s="10" t="s">
        <v>2322</v>
      </c>
      <c r="G1003" s="11" t="s">
        <v>7293</v>
      </c>
      <c r="H1003" s="11" t="s">
        <v>4757</v>
      </c>
      <c r="I1003" s="11" t="s">
        <v>4607</v>
      </c>
      <c r="J1003" s="9" t="str">
        <f>IFERROR(__xludf.DUMMYFUNCTION("""COMPUTED_VALUE"""),"https://www.google.com/search?newwindow=1&amp;ei=2MT0XrvGGM-vytMP1OyDgAY&amp;q=site%3Alinkedin.com+Jennifer+McCanty,+MBA+National+Manager,+Campus+Recruiting")</f>
        <v>https://www.google.com/search?newwindow=1&amp;ei=2MT0XrvGGM-vytMP1OyDgAY&amp;q=site%3Alinkedin.com+Jennifer+McCanty,+MBA+National+Manager,+Campus+Recruiting</v>
      </c>
      <c r="K1003" s="5" t="str">
        <f t="shared" si="1"/>
        <v>Jennifer McCanty, MBA</v>
      </c>
      <c r="L1003" s="5" t="str">
        <f t="shared" si="2"/>
        <v>National Manager, Campus Recruiting</v>
      </c>
      <c r="M1003" s="5" t="str">
        <f t="shared" si="3"/>
        <v/>
      </c>
      <c r="N1003" s="5" t="str">
        <f t="shared" si="4"/>
        <v>KPMG US</v>
      </c>
      <c r="O1003" s="5" t="str">
        <f t="shared" si="5"/>
        <v>5 years 5 months in role and company</v>
      </c>
      <c r="P1003" s="5" t="str">
        <f t="shared" si="6"/>
        <v>Mount Bethel</v>
      </c>
      <c r="Q1003" s="5" t="str">
        <f t="shared" si="7"/>
        <v>Pennsylvania</v>
      </c>
      <c r="R1003" s="5" t="str">
        <f t="shared" si="8"/>
        <v>United States</v>
      </c>
    </row>
    <row r="1004">
      <c r="A1004" s="8" t="s">
        <v>7294</v>
      </c>
      <c r="B1004" s="10" t="s">
        <v>7295</v>
      </c>
      <c r="C1004" s="10" t="s">
        <v>7296</v>
      </c>
      <c r="D1004" s="10"/>
      <c r="E1004" s="10" t="s">
        <v>4701</v>
      </c>
      <c r="F1004" s="10" t="s">
        <v>79</v>
      </c>
      <c r="G1004" s="11" t="s">
        <v>793</v>
      </c>
      <c r="H1004" s="11" t="s">
        <v>184</v>
      </c>
      <c r="I1004" s="11" t="s">
        <v>18</v>
      </c>
      <c r="J1004" s="9" t="str">
        <f>IFERROR(__xludf.DUMMYFUNCTION("""COMPUTED_VALUE"""),"https://www.google.com/search?newwindow=1&amp;ei=2MT0XrvGGM-vytMP1OyDgAY&amp;q=site%3Alinkedin.com+Renee+Skinner+Student+Recruiter")</f>
        <v>https://www.google.com/search?newwindow=1&amp;ei=2MT0XrvGGM-vytMP1OyDgAY&amp;q=site%3Alinkedin.com+Renee+Skinner+Student+Recruiter</v>
      </c>
      <c r="K1004" s="5" t="str">
        <f t="shared" si="1"/>
        <v>Renee Skinner</v>
      </c>
      <c r="L1004" s="5" t="str">
        <f t="shared" si="2"/>
        <v>Student Recruiter</v>
      </c>
      <c r="M1004" s="5" t="str">
        <f t="shared" si="3"/>
        <v/>
      </c>
      <c r="N1004" s="5" t="str">
        <f t="shared" si="4"/>
        <v>Fisheries and Marine Institute of Memorial University of Newfoundland</v>
      </c>
      <c r="O1004" s="5" t="str">
        <f t="shared" si="5"/>
        <v>1 year 3 months in role and company</v>
      </c>
      <c r="P1004" s="5" t="str">
        <f t="shared" si="6"/>
        <v>Mount Pearl Park</v>
      </c>
      <c r="Q1004" s="5" t="str">
        <f t="shared" si="7"/>
        <v>Newfoundland and Labrador</v>
      </c>
      <c r="R1004" s="5" t="str">
        <f t="shared" si="8"/>
        <v>Canada</v>
      </c>
    </row>
    <row r="1005">
      <c r="A1005" s="8" t="s">
        <v>7297</v>
      </c>
      <c r="B1005" s="12" t="s">
        <v>7298</v>
      </c>
      <c r="C1005" s="10" t="s">
        <v>7299</v>
      </c>
      <c r="D1005" s="10"/>
      <c r="E1005" s="10" t="s">
        <v>4701</v>
      </c>
      <c r="F1005" s="10" t="s">
        <v>149</v>
      </c>
      <c r="G1005" s="11" t="s">
        <v>793</v>
      </c>
      <c r="H1005" s="11" t="s">
        <v>184</v>
      </c>
      <c r="I1005" s="11" t="s">
        <v>18</v>
      </c>
      <c r="J1005" s="9" t="str">
        <f>IFERROR(__xludf.DUMMYFUNCTION("""COMPUTED_VALUE"""),"https://www.google.com/search?newwindow=1&amp;ei=2MT0XrvGGM-vytMP1OyDgAY&amp;q=site%3Alinkedin.com+Renee+Morrison,+CPA+Campus+Recruiter")</f>
        <v>https://www.google.com/search?newwindow=1&amp;ei=2MT0XrvGGM-vytMP1OyDgAY&amp;q=site%3Alinkedin.com+Renee+Morrison,+CPA+Campus+Recruiter</v>
      </c>
      <c r="K1005" s="5" t="str">
        <f t="shared" si="1"/>
        <v>Renee Morrison, CPA</v>
      </c>
      <c r="L1005" s="5" t="str">
        <f t="shared" si="2"/>
        <v>Campus Recruiter</v>
      </c>
      <c r="M1005" s="5" t="str">
        <f t="shared" si="3"/>
        <v/>
      </c>
      <c r="N1005" s="5" t="str">
        <f t="shared" si="4"/>
        <v>EY</v>
      </c>
      <c r="O1005" s="5" t="str">
        <f t="shared" si="5"/>
        <v>10 months in role</v>
      </c>
      <c r="P1005" s="5" t="str">
        <f t="shared" si="6"/>
        <v>Mount Vernon</v>
      </c>
      <c r="Q1005" s="5" t="str">
        <f t="shared" si="7"/>
        <v>New York</v>
      </c>
      <c r="R1005" s="5" t="str">
        <f t="shared" si="8"/>
        <v>United States</v>
      </c>
    </row>
    <row r="1006">
      <c r="A1006" s="8" t="s">
        <v>7300</v>
      </c>
      <c r="B1006" s="12" t="s">
        <v>1323</v>
      </c>
      <c r="C1006" s="10" t="s">
        <v>1324</v>
      </c>
      <c r="D1006" s="10"/>
      <c r="E1006" s="10" t="s">
        <v>1233</v>
      </c>
      <c r="F1006" s="10" t="s">
        <v>570</v>
      </c>
      <c r="G1006" s="11" t="s">
        <v>793</v>
      </c>
      <c r="H1006" s="11" t="s">
        <v>184</v>
      </c>
      <c r="I1006" s="11" t="s">
        <v>18</v>
      </c>
      <c r="J1006" s="9" t="str">
        <f>IFERROR(__xludf.DUMMYFUNCTION("""COMPUTED_VALUE"""),"https://www.google.com/search?newwindow=1&amp;ei=2MT0XrvGGM-vytMP1OyDgAY&amp;q=site%3Alinkedin.com+Demetrio+Ornelas+Campus+Recruiting+Coordinator+at+Deloitte")</f>
        <v>https://www.google.com/search?newwindow=1&amp;ei=2MT0XrvGGM-vytMP1OyDgAY&amp;q=site%3Alinkedin.com+Demetrio+Ornelas+Campus+Recruiting+Coordinator+at+Deloitte</v>
      </c>
      <c r="K1006" s="5" t="str">
        <f t="shared" si="1"/>
        <v>Demetrio Ornelas</v>
      </c>
      <c r="L1006" s="5" t="str">
        <f t="shared" si="2"/>
        <v>Campus Recruiting Coordinator at Deloitte</v>
      </c>
      <c r="M1006" s="5" t="str">
        <f t="shared" si="3"/>
        <v/>
      </c>
      <c r="N1006" s="5" t="str">
        <f t="shared" si="4"/>
        <v>Deloitte</v>
      </c>
      <c r="O1006" s="5" t="str">
        <f t="shared" si="5"/>
        <v>1 year 1 month in role and company</v>
      </c>
      <c r="P1006" s="5" t="str">
        <f t="shared" si="6"/>
        <v>Munster</v>
      </c>
      <c r="Q1006" s="5" t="str">
        <f t="shared" si="7"/>
        <v>Indiana</v>
      </c>
      <c r="R1006" s="5" t="str">
        <f t="shared" si="8"/>
        <v>United States</v>
      </c>
    </row>
    <row r="1007">
      <c r="A1007" s="8" t="s">
        <v>7301</v>
      </c>
      <c r="B1007" s="10" t="s">
        <v>860</v>
      </c>
      <c r="C1007" s="10" t="s">
        <v>861</v>
      </c>
      <c r="D1007" s="10"/>
      <c r="E1007" s="10" t="s">
        <v>845</v>
      </c>
      <c r="F1007" s="10" t="s">
        <v>848</v>
      </c>
      <c r="G1007" s="11" t="s">
        <v>862</v>
      </c>
      <c r="H1007" s="11" t="s">
        <v>184</v>
      </c>
      <c r="I1007" s="11" t="s">
        <v>18</v>
      </c>
      <c r="J1007" s="9" t="str">
        <f>IFERROR(__xludf.DUMMYFUNCTION("""COMPUTED_VALUE"""),"https://www.google.com/search?newwindow=1&amp;ei=2MT0XrvGGM-vytMP1OyDgAY&amp;q=site%3Alinkedin.com+Shahnora+Mustafayeva+Office+Manager,+International+Student+Programs")</f>
        <v>https://www.google.com/search?newwindow=1&amp;ei=2MT0XrvGGM-vytMP1OyDgAY&amp;q=site%3Alinkedin.com+Shahnora+Mustafayeva+Office+Manager,+International+Student+Programs</v>
      </c>
      <c r="K1007" s="5" t="str">
        <f t="shared" si="1"/>
        <v>Shahnora Mustafayeva</v>
      </c>
      <c r="L1007" s="5" t="str">
        <f t="shared" si="2"/>
        <v>Office Manager, International Student Programs</v>
      </c>
      <c r="M1007" s="5" t="str">
        <f t="shared" si="3"/>
        <v/>
      </c>
      <c r="N1007" s="5" t="str">
        <f t="shared" si="4"/>
        <v>Qualicum School District 69</v>
      </c>
      <c r="O1007" s="5" t="str">
        <f t="shared" si="5"/>
        <v>4 years 3 months in role and company</v>
      </c>
      <c r="P1007" s="5" t="str">
        <f t="shared" si="6"/>
        <v>Nanaimo</v>
      </c>
      <c r="Q1007" s="5" t="str">
        <f t="shared" si="7"/>
        <v>British Columbia</v>
      </c>
      <c r="R1007" s="5" t="str">
        <f t="shared" si="8"/>
        <v>Canada</v>
      </c>
    </row>
    <row r="1008">
      <c r="A1008" s="8" t="s">
        <v>7302</v>
      </c>
      <c r="B1008" s="10" t="s">
        <v>7303</v>
      </c>
      <c r="C1008" s="10" t="s">
        <v>7304</v>
      </c>
      <c r="D1008" s="12"/>
      <c r="E1008" s="12" t="s">
        <v>7305</v>
      </c>
      <c r="F1008" s="10"/>
      <c r="G1008" s="11" t="s">
        <v>7306</v>
      </c>
      <c r="H1008" s="11" t="s">
        <v>4644</v>
      </c>
      <c r="I1008" s="11" t="s">
        <v>4600</v>
      </c>
      <c r="J1008" s="9" t="str">
        <f>IFERROR(__xludf.DUMMYFUNCTION("""COMPUTED_VALUE"""),"https://www.google.com/search?newwindow=1&amp;ei=2MT0XrvGGM-vytMP1OyDgAY&amp;q=site%3Alinkedin.com+Rolanda+Murray+Recruitment+Officer")</f>
        <v>https://www.google.com/search?newwindow=1&amp;ei=2MT0XrvGGM-vytMP1OyDgAY&amp;q=site%3Alinkedin.com+Rolanda+Murray+Recruitment+Officer</v>
      </c>
      <c r="K1008" s="5" t="str">
        <f t="shared" si="1"/>
        <v>Rolanda Murray</v>
      </c>
      <c r="L1008" s="5" t="str">
        <f t="shared" si="2"/>
        <v>Recruitment Officer</v>
      </c>
      <c r="M1008" s="5" t="str">
        <f t="shared" si="3"/>
        <v/>
      </c>
      <c r="N1008" s="5" t="str">
        <f t="shared" si="4"/>
        <v>Vancouver Island University</v>
      </c>
      <c r="O1008" s="5" t="str">
        <f t="shared" si="5"/>
        <v>1 year 2 months in role</v>
      </c>
      <c r="P1008" s="5" t="str">
        <f t="shared" si="6"/>
        <v>Nanaimo</v>
      </c>
      <c r="Q1008" s="5" t="str">
        <f t="shared" si="7"/>
        <v>British Columbia</v>
      </c>
      <c r="R1008" s="5" t="str">
        <f t="shared" si="8"/>
        <v>Canada</v>
      </c>
    </row>
    <row r="1009">
      <c r="A1009" s="8" t="s">
        <v>7307</v>
      </c>
      <c r="B1009" s="12" t="s">
        <v>7308</v>
      </c>
      <c r="C1009" s="10" t="s">
        <v>4749</v>
      </c>
      <c r="D1009" s="10"/>
      <c r="E1009" s="10" t="s">
        <v>4701</v>
      </c>
      <c r="F1009" s="10" t="s">
        <v>79</v>
      </c>
      <c r="G1009" s="11" t="s">
        <v>7309</v>
      </c>
      <c r="H1009" s="11" t="s">
        <v>378</v>
      </c>
      <c r="I1009" s="11" t="s">
        <v>18</v>
      </c>
      <c r="J1009" s="9" t="str">
        <f>IFERROR(__xludf.DUMMYFUNCTION("""COMPUTED_VALUE"""),"https://www.google.com/search?newwindow=1&amp;ei=2MT0XrvGGM-vytMP1OyDgAY&amp;q=site%3Alinkedin.com+Austin+South+Student+Recruiter")</f>
        <v>https://www.google.com/search?newwindow=1&amp;ei=2MT0XrvGGM-vytMP1OyDgAY&amp;q=site%3Alinkedin.com+Austin+South+Student+Recruiter</v>
      </c>
      <c r="K1009" s="5" t="str">
        <f t="shared" si="1"/>
        <v>Austin South</v>
      </c>
      <c r="L1009" s="5" t="str">
        <f t="shared" si="2"/>
        <v>Student Recruiter</v>
      </c>
      <c r="M1009" s="5" t="str">
        <f t="shared" si="3"/>
        <v/>
      </c>
      <c r="N1009" s="5" t="str">
        <f t="shared" si="4"/>
        <v>St. Lawrence College</v>
      </c>
      <c r="O1009" s="5" t="str">
        <f t="shared" si="5"/>
        <v>10 months in role and company</v>
      </c>
      <c r="P1009" s="5" t="str">
        <f t="shared" si="6"/>
        <v>Napanee</v>
      </c>
      <c r="Q1009" s="5" t="str">
        <f t="shared" si="7"/>
        <v>Ontario</v>
      </c>
      <c r="R1009" s="5" t="str">
        <f t="shared" si="8"/>
        <v>Canada</v>
      </c>
    </row>
    <row r="1010">
      <c r="A1010" s="8" t="s">
        <v>7310</v>
      </c>
      <c r="B1010" s="10" t="s">
        <v>7311</v>
      </c>
      <c r="C1010" s="10" t="s">
        <v>7312</v>
      </c>
      <c r="D1010" s="10"/>
      <c r="E1010" s="10" t="s">
        <v>3649</v>
      </c>
      <c r="F1010" s="10" t="s">
        <v>686</v>
      </c>
      <c r="G1010" s="13" t="s">
        <v>7313</v>
      </c>
      <c r="H1010" s="13" t="s">
        <v>5736</v>
      </c>
      <c r="I1010" s="13" t="s">
        <v>4619</v>
      </c>
      <c r="J1010" s="9" t="str">
        <f>IFERROR(__xludf.DUMMYFUNCTION("""COMPUTED_VALUE"""),"https://www.google.com/search?newwindow=1&amp;ei=2MT0XrvGGM-vytMP1OyDgAY&amp;q=site%3Alinkedin.com+Henal+Majethia+Operations+University+Recruiter")</f>
        <v>https://www.google.com/search?newwindow=1&amp;ei=2MT0XrvGGM-vytMP1OyDgAY&amp;q=site%3Alinkedin.com+Henal+Majethia+Operations+University+Recruiter</v>
      </c>
      <c r="K1010" s="5" t="str">
        <f t="shared" si="1"/>
        <v>Henal Majethia</v>
      </c>
      <c r="L1010" s="5" t="str">
        <f t="shared" si="2"/>
        <v>Operations University Recruiter</v>
      </c>
      <c r="M1010" s="5" t="str">
        <f t="shared" si="3"/>
        <v/>
      </c>
      <c r="N1010" s="5" t="str">
        <f t="shared" si="4"/>
        <v>Amazon</v>
      </c>
      <c r="O1010" s="5" t="str">
        <f t="shared" si="5"/>
        <v>1 year 7 months in role</v>
      </c>
      <c r="P1010" s="5" t="str">
        <f t="shared" si="6"/>
        <v>Nashville</v>
      </c>
      <c r="Q1010" s="5" t="str">
        <f t="shared" si="7"/>
        <v>Tennessee</v>
      </c>
      <c r="R1010" s="5" t="str">
        <f t="shared" si="8"/>
        <v>United States</v>
      </c>
    </row>
    <row r="1011">
      <c r="A1011" s="8" t="s">
        <v>7314</v>
      </c>
      <c r="B1011" s="10" t="s">
        <v>7315</v>
      </c>
      <c r="C1011" s="10" t="s">
        <v>7316</v>
      </c>
      <c r="D1011" s="10"/>
      <c r="E1011" s="10" t="s">
        <v>7317</v>
      </c>
      <c r="F1011" s="10" t="s">
        <v>74</v>
      </c>
      <c r="G1011" s="13" t="s">
        <v>7313</v>
      </c>
      <c r="H1011" s="13" t="s">
        <v>5736</v>
      </c>
      <c r="I1011" s="13" t="s">
        <v>4619</v>
      </c>
      <c r="J1011" s="9" t="str">
        <f>IFERROR(__xludf.DUMMYFUNCTION("""COMPUTED_VALUE"""),"https://www.google.com/search?newwindow=1&amp;ei=2MT0XrvGGM-vytMP1OyDgAY&amp;q=site%3Alinkedin.com+Allison+Renner+Campus+Recruiting+Specialist")</f>
        <v>https://www.google.com/search?newwindow=1&amp;ei=2MT0XrvGGM-vytMP1OyDgAY&amp;q=site%3Alinkedin.com+Allison+Renner+Campus+Recruiting+Specialist</v>
      </c>
      <c r="K1011" s="5" t="str">
        <f t="shared" si="1"/>
        <v>Allison Renner</v>
      </c>
      <c r="L1011" s="5" t="str">
        <f t="shared" si="2"/>
        <v>Campus Recruiting Specialist</v>
      </c>
      <c r="M1011" s="5" t="str">
        <f t="shared" si="3"/>
        <v/>
      </c>
      <c r="N1011" s="5" t="str">
        <f t="shared" si="4"/>
        <v>Deloitte</v>
      </c>
      <c r="O1011" s="5" t="str">
        <f t="shared" si="5"/>
        <v>1 year 5 months in role and company</v>
      </c>
      <c r="P1011" s="5" t="str">
        <f t="shared" si="6"/>
        <v>Nashville</v>
      </c>
      <c r="Q1011" s="5" t="str">
        <f t="shared" si="7"/>
        <v>Tennessee</v>
      </c>
      <c r="R1011" s="5" t="str">
        <f t="shared" si="8"/>
        <v>United States</v>
      </c>
    </row>
    <row r="1012">
      <c r="A1012" s="8" t="s">
        <v>7318</v>
      </c>
      <c r="B1012" s="12" t="s">
        <v>7319</v>
      </c>
      <c r="C1012" s="10" t="s">
        <v>7320</v>
      </c>
      <c r="D1012" s="10"/>
      <c r="E1012" s="10" t="s">
        <v>7321</v>
      </c>
      <c r="F1012" s="10" t="s">
        <v>165</v>
      </c>
      <c r="G1012" s="13" t="s">
        <v>7313</v>
      </c>
      <c r="H1012" s="13" t="s">
        <v>5736</v>
      </c>
      <c r="I1012" s="13" t="s">
        <v>4619</v>
      </c>
      <c r="J1012" s="9" t="str">
        <f>IFERROR(__xludf.DUMMYFUNCTION("""COMPUTED_VALUE"""),"https://www.google.com/search?newwindow=1&amp;ei=2MT0XrvGGM-vytMP1OyDgAY&amp;q=site%3Alinkedin.com+Emily+Dorsey+Perno+Assistant+Director,+Campus+Recruiting+-+Tax")</f>
        <v>https://www.google.com/search?newwindow=1&amp;ei=2MT0XrvGGM-vytMP1OyDgAY&amp;q=site%3Alinkedin.com+Emily+Dorsey+Perno+Assistant+Director,+Campus+Recruiting+-+Tax</v>
      </c>
      <c r="K1012" s="5" t="str">
        <f t="shared" si="1"/>
        <v>Emily Dorsey Perno</v>
      </c>
      <c r="L1012" s="5" t="str">
        <f t="shared" si="2"/>
        <v>Assistant Director, Campus Recruiting - Tax</v>
      </c>
      <c r="M1012" s="5" t="str">
        <f t="shared" si="3"/>
        <v/>
      </c>
      <c r="N1012" s="5" t="str">
        <f t="shared" si="4"/>
        <v>EY</v>
      </c>
      <c r="O1012" s="5" t="str">
        <f t="shared" si="5"/>
        <v>2 years 1 month in role</v>
      </c>
      <c r="P1012" s="5" t="str">
        <f t="shared" si="6"/>
        <v>Nashville</v>
      </c>
      <c r="Q1012" s="5" t="str">
        <f t="shared" si="7"/>
        <v>Tennessee</v>
      </c>
      <c r="R1012" s="5" t="str">
        <f t="shared" si="8"/>
        <v>United States</v>
      </c>
    </row>
    <row r="1013">
      <c r="A1013" s="8" t="s">
        <v>7322</v>
      </c>
      <c r="B1013" s="10" t="s">
        <v>7323</v>
      </c>
      <c r="C1013" s="10" t="s">
        <v>7324</v>
      </c>
      <c r="D1013" s="10"/>
      <c r="E1013" s="10" t="s">
        <v>7317</v>
      </c>
      <c r="F1013" s="10" t="s">
        <v>213</v>
      </c>
      <c r="G1013" s="13" t="s">
        <v>7313</v>
      </c>
      <c r="H1013" s="13" t="s">
        <v>5736</v>
      </c>
      <c r="I1013" s="13" t="s">
        <v>4619</v>
      </c>
      <c r="J1013" s="9" t="str">
        <f>IFERROR(__xludf.DUMMYFUNCTION("""COMPUTED_VALUE"""),"https://www.google.com/search?newwindow=1&amp;ei=2MT0XrvGGM-vytMP1OyDgAY&amp;q=site%3Alinkedin.com+Emily+Campana+Director,+Global+Campus+Recruiting")</f>
        <v>https://www.google.com/search?newwindow=1&amp;ei=2MT0XrvGGM-vytMP1OyDgAY&amp;q=site%3Alinkedin.com+Emily+Campana+Director,+Global+Campus+Recruiting</v>
      </c>
      <c r="K1013" s="5" t="str">
        <f t="shared" si="1"/>
        <v>Emily Campana</v>
      </c>
      <c r="L1013" s="5" t="str">
        <f t="shared" si="2"/>
        <v>Director, Global Campus Recruiting</v>
      </c>
      <c r="M1013" s="5" t="str">
        <f t="shared" si="3"/>
        <v/>
      </c>
      <c r="N1013" s="5" t="str">
        <f t="shared" si="4"/>
        <v>LinkedIn</v>
      </c>
      <c r="O1013" s="5" t="str">
        <f t="shared" si="5"/>
        <v>3 years 6 months in role</v>
      </c>
      <c r="P1013" s="5" t="str">
        <f t="shared" si="6"/>
        <v>Nashville</v>
      </c>
      <c r="Q1013" s="5" t="str">
        <f t="shared" si="7"/>
        <v>Tennessee</v>
      </c>
      <c r="R1013" s="5" t="str">
        <f t="shared" si="8"/>
        <v>United States</v>
      </c>
    </row>
    <row r="1014">
      <c r="A1014" s="8" t="s">
        <v>7325</v>
      </c>
      <c r="B1014" s="10" t="s">
        <v>7326</v>
      </c>
      <c r="C1014" s="10" t="s">
        <v>5449</v>
      </c>
      <c r="D1014" s="10"/>
      <c r="E1014" s="10" t="s">
        <v>7327</v>
      </c>
      <c r="F1014" s="10" t="s">
        <v>376</v>
      </c>
      <c r="G1014" s="13" t="s">
        <v>7313</v>
      </c>
      <c r="H1014" s="13" t="s">
        <v>5736</v>
      </c>
      <c r="I1014" s="13" t="s">
        <v>4619</v>
      </c>
      <c r="J1014" s="9" t="str">
        <f>IFERROR(__xludf.DUMMYFUNCTION("""COMPUTED_VALUE"""),"https://www.google.com/search?newwindow=1&amp;ei=2MT0XrvGGM-vytMP1OyDgAY&amp;q=site%3Alinkedin.com+Leah+Stewart+Head+of+Campus+Recruiting")</f>
        <v>https://www.google.com/search?newwindow=1&amp;ei=2MT0XrvGGM-vytMP1OyDgAY&amp;q=site%3Alinkedin.com+Leah+Stewart+Head+of+Campus+Recruiting</v>
      </c>
      <c r="K1014" s="5" t="str">
        <f t="shared" si="1"/>
        <v>Leah Stewart</v>
      </c>
      <c r="L1014" s="5" t="str">
        <f t="shared" si="2"/>
        <v>Head of Campus Recruiting</v>
      </c>
      <c r="M1014" s="5" t="str">
        <f t="shared" si="3"/>
        <v/>
      </c>
      <c r="N1014" s="5" t="str">
        <f t="shared" si="4"/>
        <v>Wells Fargo</v>
      </c>
      <c r="O1014" s="5" t="str">
        <f t="shared" si="5"/>
        <v>2 years 1 month in role and company</v>
      </c>
      <c r="P1014" s="5" t="str">
        <f t="shared" si="6"/>
        <v>Nashville</v>
      </c>
      <c r="Q1014" s="5" t="str">
        <f t="shared" si="7"/>
        <v>Tennessee</v>
      </c>
      <c r="R1014" s="5" t="str">
        <f t="shared" si="8"/>
        <v>United States</v>
      </c>
    </row>
    <row r="1015">
      <c r="A1015" s="8" t="s">
        <v>7328</v>
      </c>
      <c r="B1015" s="10" t="s">
        <v>7329</v>
      </c>
      <c r="C1015" s="10" t="s">
        <v>7330</v>
      </c>
      <c r="D1015" s="10"/>
      <c r="E1015" s="10" t="s">
        <v>7331</v>
      </c>
      <c r="F1015" s="10" t="s">
        <v>165</v>
      </c>
      <c r="G1015" s="13" t="s">
        <v>7313</v>
      </c>
      <c r="H1015" s="13" t="s">
        <v>5736</v>
      </c>
      <c r="I1015" s="13" t="s">
        <v>4619</v>
      </c>
      <c r="J1015" s="9" t="str">
        <f>IFERROR(__xludf.DUMMYFUNCTION("""COMPUTED_VALUE"""),"https://www.google.com/search?newwindow=1&amp;ei=2MT0XrvGGM-vytMP1OyDgAY&amp;q=site%3Alinkedin.com+Brianna+Galloway+On-Campus+Recruiter")</f>
        <v>https://www.google.com/search?newwindow=1&amp;ei=2MT0XrvGGM-vytMP1OyDgAY&amp;q=site%3Alinkedin.com+Brianna+Galloway+On-Campus+Recruiter</v>
      </c>
      <c r="K1015" s="5" t="str">
        <f t="shared" si="1"/>
        <v>Brianna Galloway</v>
      </c>
      <c r="L1015" s="5" t="str">
        <f t="shared" si="2"/>
        <v>On-Campus Recruiter</v>
      </c>
      <c r="M1015" s="5" t="str">
        <f t="shared" si="3"/>
        <v/>
      </c>
      <c r="N1015" s="5" t="str">
        <f t="shared" si="4"/>
        <v>University of New Brunswick</v>
      </c>
      <c r="O1015" s="5" t="str">
        <f t="shared" si="5"/>
        <v>5 years 2 months in role and company</v>
      </c>
      <c r="P1015" s="5" t="str">
        <f t="shared" si="6"/>
        <v>Fredericton</v>
      </c>
      <c r="Q1015" s="5" t="str">
        <f t="shared" si="7"/>
        <v>New Brunswick</v>
      </c>
      <c r="R1015" s="5" t="str">
        <f t="shared" si="8"/>
        <v>Canada</v>
      </c>
    </row>
    <row r="1016">
      <c r="A1016" s="8" t="s">
        <v>7332</v>
      </c>
      <c r="B1016" s="10" t="s">
        <v>7333</v>
      </c>
      <c r="C1016" s="10" t="s">
        <v>7334</v>
      </c>
      <c r="D1016" s="10"/>
      <c r="E1016" s="10" t="s">
        <v>7335</v>
      </c>
      <c r="F1016" s="10" t="s">
        <v>322</v>
      </c>
      <c r="G1016" s="13" t="s">
        <v>7313</v>
      </c>
      <c r="H1016" s="13" t="s">
        <v>5736</v>
      </c>
      <c r="I1016" s="13" t="s">
        <v>4619</v>
      </c>
      <c r="J1016" s="9" t="str">
        <f>IFERROR(__xludf.DUMMYFUNCTION("""COMPUTED_VALUE"""),"https://www.google.com/search?newwindow=1&amp;ei=2MT0XrvGGM-vytMP1OyDgAY&amp;q=site%3Alinkedin.com+Taylor+Caswell+Graduate+Level+Recruiter/+Admissions+Advisor+(Master+of+Arts+in+Counselling+Psychology)")</f>
        <v>https://www.google.com/search?newwindow=1&amp;ei=2MT0XrvGGM-vytMP1OyDgAY&amp;q=site%3Alinkedin.com+Taylor+Caswell+Graduate+Level+Recruiter/+Admissions+Advisor+(Master+of+Arts+in+Counselling+Psychology)</v>
      </c>
      <c r="K1016" s="5" t="str">
        <f t="shared" si="1"/>
        <v>Taylor Caswell</v>
      </c>
      <c r="L1016" s="5" t="str">
        <f t="shared" si="2"/>
        <v>Graduate Level Recruiter/ Admissions Advisor (Master of Arts in Counselling Psychology)</v>
      </c>
      <c r="M1016" s="5" t="str">
        <f t="shared" si="3"/>
        <v/>
      </c>
      <c r="N1016" s="5" t="str">
        <f t="shared" si="4"/>
        <v>Yorkville University</v>
      </c>
      <c r="O1016" s="5" t="str">
        <f t="shared" si="5"/>
        <v>6 years 3 months in role and company</v>
      </c>
      <c r="P1016" s="5" t="str">
        <f t="shared" si="6"/>
        <v>Fredericton</v>
      </c>
      <c r="Q1016" s="5" t="str">
        <f t="shared" si="7"/>
        <v>New Brunswick</v>
      </c>
      <c r="R1016" s="5" t="str">
        <f t="shared" si="8"/>
        <v>Canada</v>
      </c>
    </row>
    <row r="1017">
      <c r="A1017" s="8" t="s">
        <v>7336</v>
      </c>
      <c r="B1017" s="12" t="s">
        <v>7337</v>
      </c>
      <c r="C1017" s="10" t="s">
        <v>7338</v>
      </c>
      <c r="D1017" s="10"/>
      <c r="E1017" s="10" t="s">
        <v>6308</v>
      </c>
      <c r="F1017" s="10" t="s">
        <v>339</v>
      </c>
      <c r="G1017" s="13" t="s">
        <v>7313</v>
      </c>
      <c r="H1017" s="13" t="s">
        <v>5736</v>
      </c>
      <c r="I1017" s="13" t="s">
        <v>4619</v>
      </c>
      <c r="J1017" s="9" t="str">
        <f>IFERROR(__xludf.DUMMYFUNCTION("""COMPUTED_VALUE"""),"https://www.google.com/search?newwindow=1&amp;ei=2MT0XrvGGM-vytMP1OyDgAY&amp;q=site%3Alinkedin.com+Katie+Lauren+Jones+Recruiter")</f>
        <v>https://www.google.com/search?newwindow=1&amp;ei=2MT0XrvGGM-vytMP1OyDgAY&amp;q=site%3Alinkedin.com+Katie+Lauren+Jones+Recruiter</v>
      </c>
      <c r="K1017" s="5" t="str">
        <f t="shared" si="1"/>
        <v>Katie Lauren Jones</v>
      </c>
      <c r="L1017" s="5" t="str">
        <f t="shared" si="2"/>
        <v>Recruiter</v>
      </c>
      <c r="M1017" s="5" t="str">
        <f t="shared" si="3"/>
        <v/>
      </c>
      <c r="N1017" s="5" t="str">
        <f t="shared" si="4"/>
        <v>Vision Apprentices</v>
      </c>
      <c r="O1017" s="5" t="str">
        <f t="shared" si="5"/>
        <v>3 years 2 months in role and company</v>
      </c>
      <c r="P1017" s="5" t="str">
        <f t="shared" si="6"/>
        <v>New Houghton</v>
      </c>
      <c r="Q1017" s="5" t="str">
        <f t="shared" si="7"/>
        <v>England</v>
      </c>
      <c r="R1017" s="5" t="str">
        <f t="shared" si="8"/>
        <v>United Kingdom</v>
      </c>
    </row>
    <row r="1018">
      <c r="A1018" s="8" t="s">
        <v>7339</v>
      </c>
      <c r="B1018" s="12" t="s">
        <v>7340</v>
      </c>
      <c r="C1018" s="10" t="s">
        <v>7341</v>
      </c>
      <c r="D1018" s="10"/>
      <c r="E1018" s="10" t="s">
        <v>7342</v>
      </c>
      <c r="F1018" s="10" t="s">
        <v>890</v>
      </c>
      <c r="G1018" s="13" t="s">
        <v>7313</v>
      </c>
      <c r="H1018" s="13" t="s">
        <v>5736</v>
      </c>
      <c r="I1018" s="13" t="s">
        <v>4619</v>
      </c>
      <c r="J1018" s="9" t="str">
        <f>IFERROR(__xludf.DUMMYFUNCTION("""COMPUTED_VALUE"""),"https://www.google.com/search?newwindow=1&amp;ei=2MT0XrvGGM-vytMP1OyDgAY&amp;q=site%3Alinkedin.com+Pat+Murphy+Director+of+Programs+&amp;+Services")</f>
        <v>https://www.google.com/search?newwindow=1&amp;ei=2MT0XrvGGM-vytMP1OyDgAY&amp;q=site%3Alinkedin.com+Pat+Murphy+Director+of+Programs+&amp;+Services</v>
      </c>
      <c r="K1018" s="5" t="str">
        <f t="shared" si="1"/>
        <v>Pat Murphy</v>
      </c>
      <c r="L1018" s="5" t="str">
        <f t="shared" si="2"/>
        <v>Director of Programs &amp; Services</v>
      </c>
      <c r="M1018" s="5" t="str">
        <f t="shared" si="3"/>
        <v/>
      </c>
      <c r="N1018" s="5" t="str">
        <f t="shared" si="4"/>
        <v>AVRCE</v>
      </c>
      <c r="O1018" s="5" t="str">
        <f t="shared" si="5"/>
        <v>1 year 6 months in role and company</v>
      </c>
      <c r="P1018" s="5" t="str">
        <f t="shared" si="6"/>
        <v>New Minas</v>
      </c>
      <c r="Q1018" s="5" t="str">
        <f t="shared" si="7"/>
        <v>Nova Scotia</v>
      </c>
      <c r="R1018" s="5" t="str">
        <f t="shared" si="8"/>
        <v>Canada</v>
      </c>
    </row>
    <row r="1019">
      <c r="A1019" s="8" t="s">
        <v>7343</v>
      </c>
      <c r="B1019" s="10" t="s">
        <v>7344</v>
      </c>
      <c r="C1019" s="10" t="s">
        <v>4929</v>
      </c>
      <c r="D1019" s="10"/>
      <c r="E1019" s="10" t="s">
        <v>7345</v>
      </c>
      <c r="F1019" s="10" t="s">
        <v>3002</v>
      </c>
      <c r="G1019" s="13" t="s">
        <v>7313</v>
      </c>
      <c r="H1019" s="13" t="s">
        <v>5736</v>
      </c>
      <c r="I1019" s="13" t="s">
        <v>4619</v>
      </c>
      <c r="J1019" s="9" t="str">
        <f>IFERROR(__xludf.DUMMYFUNCTION("""COMPUTED_VALUE"""),"https://www.google.com/search?newwindow=1&amp;ei=2MT0XrvGGM-vytMP1OyDgAY&amp;q=site%3Alinkedin.com+Millie+Norton-Knight+Australia+Country+Campus+Recruiter")</f>
        <v>https://www.google.com/search?newwindow=1&amp;ei=2MT0XrvGGM-vytMP1OyDgAY&amp;q=site%3Alinkedin.com+Millie+Norton-Knight+Australia+Country+Campus+Recruiter</v>
      </c>
      <c r="K1019" s="5" t="str">
        <f t="shared" si="1"/>
        <v>Millie Norton-Knight</v>
      </c>
      <c r="L1019" s="5" t="str">
        <f t="shared" si="2"/>
        <v>Australia Country Campus Recruiter</v>
      </c>
      <c r="M1019" s="5" t="str">
        <f t="shared" si="3"/>
        <v/>
      </c>
      <c r="N1019" s="5" t="str">
        <f t="shared" si="4"/>
        <v>JPMorgan Chase &amp; Co.</v>
      </c>
      <c r="O1019" s="5" t="str">
        <f t="shared" si="5"/>
        <v>7 months in role and company</v>
      </c>
      <c r="P1019" s="5" t="str">
        <f t="shared" si="6"/>
        <v>Sydney</v>
      </c>
      <c r="Q1019" s="5" t="str">
        <f t="shared" si="7"/>
        <v>New South Wales</v>
      </c>
      <c r="R1019" s="5" t="str">
        <f t="shared" si="8"/>
        <v>Australia</v>
      </c>
    </row>
    <row r="1020">
      <c r="A1020" s="8" t="s">
        <v>7346</v>
      </c>
      <c r="B1020" s="10" t="s">
        <v>7347</v>
      </c>
      <c r="C1020" s="10" t="s">
        <v>7348</v>
      </c>
      <c r="D1020" s="10"/>
      <c r="E1020" s="10" t="s">
        <v>7349</v>
      </c>
      <c r="F1020" s="10" t="s">
        <v>207</v>
      </c>
      <c r="G1020" s="13" t="s">
        <v>7313</v>
      </c>
      <c r="H1020" s="13" t="s">
        <v>5736</v>
      </c>
      <c r="I1020" s="13" t="s">
        <v>4619</v>
      </c>
      <c r="J1020" s="9" t="str">
        <f>IFERROR(__xludf.DUMMYFUNCTION("""COMPUTED_VALUE"""),"https://www.google.com/search?newwindow=1&amp;ei=2MT0XrvGGM-vytMP1OyDgAY&amp;q=site%3Alinkedin.com+Karen+Jessen+Coordinator+Student+Exchange+Programs")</f>
        <v>https://www.google.com/search?newwindow=1&amp;ei=2MT0XrvGGM-vytMP1OyDgAY&amp;q=site%3Alinkedin.com+Karen+Jessen+Coordinator+Student+Exchange+Programs</v>
      </c>
      <c r="K1020" s="5" t="str">
        <f t="shared" si="1"/>
        <v>Karen Jessen</v>
      </c>
      <c r="L1020" s="5" t="str">
        <f t="shared" si="2"/>
        <v>Coordinator Student Exchange Programs</v>
      </c>
      <c r="M1020" s="5" t="str">
        <f t="shared" si="3"/>
        <v/>
      </c>
      <c r="N1020" s="5" t="str">
        <f t="shared" si="4"/>
        <v>Southern Cross University</v>
      </c>
      <c r="O1020" s="5" t="str">
        <f t="shared" si="5"/>
        <v/>
      </c>
      <c r="P1020" s="5" t="str">
        <f t="shared" si="6"/>
        <v>Sydney</v>
      </c>
      <c r="Q1020" s="5" t="str">
        <f t="shared" si="7"/>
        <v>New South Wales</v>
      </c>
      <c r="R1020" s="5" t="str">
        <f t="shared" si="8"/>
        <v>Australia</v>
      </c>
    </row>
    <row r="1021">
      <c r="A1021" s="8" t="s">
        <v>7350</v>
      </c>
      <c r="B1021" s="10" t="s">
        <v>7351</v>
      </c>
      <c r="C1021" s="10" t="s">
        <v>7352</v>
      </c>
      <c r="D1021" s="10"/>
      <c r="E1021" s="10" t="s">
        <v>7353</v>
      </c>
      <c r="F1021" s="10" t="s">
        <v>1360</v>
      </c>
      <c r="G1021" s="13" t="s">
        <v>7313</v>
      </c>
      <c r="H1021" s="13" t="s">
        <v>5736</v>
      </c>
      <c r="I1021" s="13" t="s">
        <v>4619</v>
      </c>
      <c r="J1021" s="9" t="str">
        <f>IFERROR(__xludf.DUMMYFUNCTION("""COMPUTED_VALUE"""),"https://www.google.com/search?newwindow=1&amp;ei=2MT0XrvGGM-vytMP1OyDgAY&amp;q=site%3Alinkedin.com+Elaine.+McBride+Manager+International+Student+Programs+-+TAFE+NSW+Riverina+Institute")</f>
        <v>https://www.google.com/search?newwindow=1&amp;ei=2MT0XrvGGM-vytMP1OyDgAY&amp;q=site%3Alinkedin.com+Elaine.+McBride+Manager+International+Student+Programs+-+TAFE+NSW+Riverina+Institute</v>
      </c>
      <c r="K1021" s="5" t="str">
        <f t="shared" si="1"/>
        <v>Elaine. McBride</v>
      </c>
      <c r="L1021" s="5" t="str">
        <f t="shared" si="2"/>
        <v>Manager International Student Programs - TAFE NSW Riverina Institute</v>
      </c>
      <c r="M1021" s="5" t="str">
        <f t="shared" si="3"/>
        <v/>
      </c>
      <c r="N1021" s="5" t="str">
        <f t="shared" si="4"/>
        <v>TAFE NSW</v>
      </c>
      <c r="O1021" s="5" t="str">
        <f t="shared" si="5"/>
        <v/>
      </c>
      <c r="P1021" s="5" t="str">
        <f t="shared" si="6"/>
        <v>Sydney</v>
      </c>
      <c r="Q1021" s="5" t="str">
        <f t="shared" si="7"/>
        <v>New South Wales</v>
      </c>
      <c r="R1021" s="5" t="str">
        <f t="shared" si="8"/>
        <v>Australia</v>
      </c>
    </row>
    <row r="1022">
      <c r="A1022" s="8" t="s">
        <v>7354</v>
      </c>
      <c r="B1022" s="10" t="s">
        <v>7355</v>
      </c>
      <c r="C1022" s="10" t="s">
        <v>7356</v>
      </c>
      <c r="D1022" s="10"/>
      <c r="E1022" s="10" t="s">
        <v>7357</v>
      </c>
      <c r="F1022" s="10" t="s">
        <v>354</v>
      </c>
      <c r="G1022" s="13" t="s">
        <v>7313</v>
      </c>
      <c r="H1022" s="13" t="s">
        <v>5736</v>
      </c>
      <c r="I1022" s="13" t="s">
        <v>4619</v>
      </c>
      <c r="J1022" s="9" t="str">
        <f>IFERROR(__xludf.DUMMYFUNCTION("""COMPUTED_VALUE"""),"https://www.google.com/search?newwindow=1&amp;ei=2MT0XrvGGM-vytMP1OyDgAY&amp;q=site%3Alinkedin.com+Matchett+Jane+A/Student+Services+Officer,+Disability+Programs+New+England+Region")</f>
        <v>https://www.google.com/search?newwindow=1&amp;ei=2MT0XrvGGM-vytMP1OyDgAY&amp;q=site%3Alinkedin.com+Matchett+Jane+A/Student+Services+Officer,+Disability+Programs+New+England+Region</v>
      </c>
      <c r="K1022" s="5" t="str">
        <f t="shared" si="1"/>
        <v>Matchett Jane</v>
      </c>
      <c r="L1022" s="5" t="str">
        <f t="shared" si="2"/>
        <v>A/Student Services Officer, Disability Programs New England Region</v>
      </c>
      <c r="M1022" s="5" t="str">
        <f t="shared" si="3"/>
        <v/>
      </c>
      <c r="N1022" s="5" t="str">
        <f t="shared" si="4"/>
        <v>NSW Department of Education and Communities</v>
      </c>
      <c r="O1022" s="5" t="str">
        <f t="shared" si="5"/>
        <v/>
      </c>
      <c r="P1022" s="5" t="str">
        <f t="shared" si="6"/>
        <v>Sydney</v>
      </c>
      <c r="Q1022" s="5" t="str">
        <f t="shared" si="7"/>
        <v>New South Wales</v>
      </c>
      <c r="R1022" s="5" t="str">
        <f t="shared" si="8"/>
        <v>Australia</v>
      </c>
    </row>
    <row r="1023">
      <c r="A1023" s="8" t="s">
        <v>7358</v>
      </c>
      <c r="B1023" s="10" t="s">
        <v>7359</v>
      </c>
      <c r="C1023" s="10" t="s">
        <v>7360</v>
      </c>
      <c r="D1023" s="10"/>
      <c r="E1023" s="10" t="s">
        <v>7317</v>
      </c>
      <c r="F1023" s="10" t="s">
        <v>63</v>
      </c>
      <c r="G1023" s="13" t="s">
        <v>7313</v>
      </c>
      <c r="H1023" s="13" t="s">
        <v>5736</v>
      </c>
      <c r="I1023" s="13" t="s">
        <v>4619</v>
      </c>
      <c r="J1023" s="9" t="str">
        <f>IFERROR(__xludf.DUMMYFUNCTION("""COMPUTED_VALUE"""),"https://www.google.com/search?newwindow=1&amp;ei=2MT0XrvGGM-vytMP1OyDgAY&amp;q=site%3Alinkedin.com+Silina+Browne+Student+Recruiter+/Advisor")</f>
        <v>https://www.google.com/search?newwindow=1&amp;ei=2MT0XrvGGM-vytMP1OyDgAY&amp;q=site%3Alinkedin.com+Silina+Browne+Student+Recruiter+/Advisor</v>
      </c>
      <c r="K1023" s="5" t="str">
        <f t="shared" si="1"/>
        <v>Silina Browne</v>
      </c>
      <c r="L1023" s="5" t="str">
        <f t="shared" si="2"/>
        <v>Student Recruiter /Advisor</v>
      </c>
      <c r="M1023" s="5" t="str">
        <f t="shared" si="3"/>
        <v/>
      </c>
      <c r="N1023" s="5" t="str">
        <f t="shared" si="4"/>
        <v>JIBC</v>
      </c>
      <c r="O1023" s="5" t="str">
        <f t="shared" si="5"/>
        <v>5 years 4 months in role and company</v>
      </c>
      <c r="P1023" s="5" t="str">
        <f t="shared" si="6"/>
        <v>New Westminster</v>
      </c>
      <c r="Q1023" s="5" t="str">
        <f t="shared" si="7"/>
        <v>British Columbia</v>
      </c>
      <c r="R1023" s="5" t="str">
        <f t="shared" si="8"/>
        <v>Canada</v>
      </c>
    </row>
    <row r="1024">
      <c r="A1024" s="8" t="s">
        <v>7361</v>
      </c>
      <c r="B1024" s="12" t="s">
        <v>7362</v>
      </c>
      <c r="C1024" s="10" t="s">
        <v>7363</v>
      </c>
      <c r="D1024" s="10"/>
      <c r="E1024" s="10" t="s">
        <v>7364</v>
      </c>
      <c r="F1024" s="10" t="s">
        <v>188</v>
      </c>
      <c r="G1024" s="13" t="s">
        <v>7313</v>
      </c>
      <c r="H1024" s="13" t="s">
        <v>5736</v>
      </c>
      <c r="I1024" s="13" t="s">
        <v>4619</v>
      </c>
      <c r="J1024" s="9" t="str">
        <f>IFERROR(__xludf.DUMMYFUNCTION("""COMPUTED_VALUE"""),"https://www.google.com/search?newwindow=1&amp;ei=2MT0XrvGGM-vytMP1OyDgAY&amp;q=site%3Alinkedin.com+Lauren+E.+Kim+Talent+Acquisition-+Campus+Recruiting")</f>
        <v>https://www.google.com/search?newwindow=1&amp;ei=2MT0XrvGGM-vytMP1OyDgAY&amp;q=site%3Alinkedin.com+Lauren+E.+Kim+Talent+Acquisition-+Campus+Recruiting</v>
      </c>
      <c r="K1024" s="5" t="str">
        <f t="shared" si="1"/>
        <v>Lauren E. Kim</v>
      </c>
      <c r="L1024" s="5" t="str">
        <f t="shared" si="2"/>
        <v>Talent Acquisition- Campus Recruiting</v>
      </c>
      <c r="M1024" s="5" t="str">
        <f t="shared" si="3"/>
        <v/>
      </c>
      <c r="N1024" s="5" t="str">
        <f t="shared" si="4"/>
        <v>KPMG US</v>
      </c>
      <c r="O1024" s="5" t="str">
        <f t="shared" si="5"/>
        <v>10 months in role and company</v>
      </c>
      <c r="P1024" s="5" t="str">
        <f t="shared" si="6"/>
        <v>New York</v>
      </c>
      <c r="Q1024" s="5" t="str">
        <f t="shared" si="7"/>
        <v>New York</v>
      </c>
      <c r="R1024" s="5" t="str">
        <f t="shared" si="8"/>
        <v>United States</v>
      </c>
    </row>
    <row r="1025">
      <c r="A1025" s="8" t="s">
        <v>7365</v>
      </c>
      <c r="B1025" s="10" t="s">
        <v>7366</v>
      </c>
      <c r="C1025" s="10" t="s">
        <v>7360</v>
      </c>
      <c r="D1025" s="10"/>
      <c r="E1025" s="10" t="s">
        <v>7345</v>
      </c>
      <c r="F1025" s="10" t="s">
        <v>526</v>
      </c>
      <c r="G1025" s="13" t="s">
        <v>7313</v>
      </c>
      <c r="H1025" s="13" t="s">
        <v>5736</v>
      </c>
      <c r="I1025" s="13" t="s">
        <v>4619</v>
      </c>
      <c r="J1025" s="9" t="str">
        <f>IFERROR(__xludf.DUMMYFUNCTION("""COMPUTED_VALUE"""),"https://www.google.com/search?newwindow=1&amp;ei=2MT0XrvGGM-vytMP1OyDgAY&amp;q=site%3Alinkedin.com+Chris+Kalloo+Engineering+Campus+Recruiting")</f>
        <v>https://www.google.com/search?newwindow=1&amp;ei=2MT0XrvGGM-vytMP1OyDgAY&amp;q=site%3Alinkedin.com+Chris+Kalloo+Engineering+Campus+Recruiting</v>
      </c>
      <c r="K1025" s="5" t="str">
        <f t="shared" si="1"/>
        <v>Chris Kalloo</v>
      </c>
      <c r="L1025" s="5" t="str">
        <f t="shared" si="2"/>
        <v>Engineering Campus Recruiting</v>
      </c>
      <c r="M1025" s="5" t="str">
        <f t="shared" si="3"/>
        <v/>
      </c>
      <c r="N1025" s="5" t="str">
        <f t="shared" si="4"/>
        <v>Bloomberg LP</v>
      </c>
      <c r="O1025" s="5" t="str">
        <f t="shared" si="5"/>
        <v>10 months in role and company</v>
      </c>
      <c r="P1025" s="5" t="str">
        <f t="shared" si="6"/>
        <v>New York</v>
      </c>
      <c r="Q1025" s="5" t="str">
        <f t="shared" si="7"/>
        <v>New York</v>
      </c>
      <c r="R1025" s="5" t="str">
        <f t="shared" si="8"/>
        <v>United States</v>
      </c>
    </row>
    <row r="1026">
      <c r="A1026" s="8" t="s">
        <v>7367</v>
      </c>
      <c r="B1026" s="12" t="s">
        <v>7368</v>
      </c>
      <c r="C1026" s="10" t="s">
        <v>7369</v>
      </c>
      <c r="D1026" s="10"/>
      <c r="E1026" s="10" t="s">
        <v>6308</v>
      </c>
      <c r="F1026" s="10" t="s">
        <v>1249</v>
      </c>
      <c r="G1026" s="13" t="s">
        <v>7313</v>
      </c>
      <c r="H1026" s="13" t="s">
        <v>5736</v>
      </c>
      <c r="I1026" s="13" t="s">
        <v>4619</v>
      </c>
      <c r="J1026" s="9" t="str">
        <f>IFERROR(__xludf.DUMMYFUNCTION("""COMPUTED_VALUE"""),"https://www.google.com/search?newwindow=1&amp;ei=2MT0XrvGGM-vytMP1OyDgAY&amp;q=site%3Alinkedin.com+Moira+Gibney+Campus+Recruiting+Coordinator")</f>
        <v>https://www.google.com/search?newwindow=1&amp;ei=2MT0XrvGGM-vytMP1OyDgAY&amp;q=site%3Alinkedin.com+Moira+Gibney+Campus+Recruiting+Coordinator</v>
      </c>
      <c r="K1026" s="5" t="str">
        <f t="shared" si="1"/>
        <v>Moira Gibney</v>
      </c>
      <c r="L1026" s="5" t="str">
        <f t="shared" si="2"/>
        <v>Campus Recruiting Coordinator</v>
      </c>
      <c r="M1026" s="5" t="str">
        <f t="shared" si="3"/>
        <v/>
      </c>
      <c r="N1026" s="5" t="str">
        <f t="shared" si="4"/>
        <v>Goldman Sachs</v>
      </c>
      <c r="O1026" s="5" t="str">
        <f t="shared" si="5"/>
        <v>1 year 10 months in role and company</v>
      </c>
      <c r="P1026" s="5" t="str">
        <f t="shared" si="6"/>
        <v>New York</v>
      </c>
      <c r="Q1026" s="5" t="str">
        <f t="shared" si="7"/>
        <v>New York</v>
      </c>
      <c r="R1026" s="5" t="str">
        <f t="shared" si="8"/>
        <v>United States</v>
      </c>
    </row>
    <row r="1027">
      <c r="A1027" s="8" t="s">
        <v>7370</v>
      </c>
      <c r="B1027" s="10" t="s">
        <v>7371</v>
      </c>
      <c r="C1027" s="10" t="s">
        <v>7372</v>
      </c>
      <c r="D1027" s="10"/>
      <c r="E1027" s="10" t="s">
        <v>7373</v>
      </c>
      <c r="F1027" s="10" t="s">
        <v>4250</v>
      </c>
      <c r="G1027" s="13" t="s">
        <v>7313</v>
      </c>
      <c r="H1027" s="13" t="s">
        <v>5736</v>
      </c>
      <c r="I1027" s="13" t="s">
        <v>4619</v>
      </c>
      <c r="J1027" s="9" t="str">
        <f>IFERROR(__xludf.DUMMYFUNCTION("""COMPUTED_VALUE"""),"https://www.google.com/search?newwindow=1&amp;ei=2MT0XrvGGM-vytMP1OyDgAY&amp;q=site%3Alinkedin.com+Taylor+Caldwell+Campus+Recruiting+Specialist")</f>
        <v>https://www.google.com/search?newwindow=1&amp;ei=2MT0XrvGGM-vytMP1OyDgAY&amp;q=site%3Alinkedin.com+Taylor+Caldwell+Campus+Recruiting+Specialist</v>
      </c>
      <c r="K1027" s="5" t="str">
        <f t="shared" si="1"/>
        <v>Taylor Caldwell</v>
      </c>
      <c r="L1027" s="5" t="str">
        <f t="shared" si="2"/>
        <v>Campus Recruiting Specialist</v>
      </c>
      <c r="M1027" s="5" t="str">
        <f t="shared" si="3"/>
        <v/>
      </c>
      <c r="N1027" s="5" t="str">
        <f t="shared" si="4"/>
        <v>Deloitte</v>
      </c>
      <c r="O1027" s="5" t="str">
        <f t="shared" si="5"/>
        <v>2 years 1 month in role and company</v>
      </c>
      <c r="P1027" s="5" t="str">
        <f t="shared" si="6"/>
        <v>New York</v>
      </c>
      <c r="Q1027" s="5" t="str">
        <f t="shared" si="7"/>
        <v>New York</v>
      </c>
      <c r="R1027" s="5" t="str">
        <f t="shared" si="8"/>
        <v>United States</v>
      </c>
    </row>
    <row r="1028">
      <c r="A1028" s="8" t="s">
        <v>7374</v>
      </c>
      <c r="B1028" s="10" t="s">
        <v>7375</v>
      </c>
      <c r="C1028" s="10" t="s">
        <v>7376</v>
      </c>
      <c r="D1028" s="10"/>
      <c r="E1028" s="10" t="s">
        <v>6308</v>
      </c>
      <c r="F1028" s="10" t="s">
        <v>3110</v>
      </c>
      <c r="G1028" s="13" t="s">
        <v>7313</v>
      </c>
      <c r="H1028" s="13" t="s">
        <v>5736</v>
      </c>
      <c r="I1028" s="13" t="s">
        <v>4619</v>
      </c>
      <c r="J1028" s="9" t="str">
        <f>IFERROR(__xludf.DUMMYFUNCTION("""COMPUTED_VALUE"""),"https://www.google.com/search?newwindow=1&amp;ei=2MT0XrvGGM-vytMP1OyDgAY&amp;q=site%3Alinkedin.com+Harun+Hasib+Campus+Recruiting+Coordinator")</f>
        <v>https://www.google.com/search?newwindow=1&amp;ei=2MT0XrvGGM-vytMP1OyDgAY&amp;q=site%3Alinkedin.com+Harun+Hasib+Campus+Recruiting+Coordinator</v>
      </c>
      <c r="K1028" s="5" t="str">
        <f t="shared" si="1"/>
        <v>Harun Hasib</v>
      </c>
      <c r="L1028" s="5" t="str">
        <f t="shared" si="2"/>
        <v>Campus Recruiting Coordinator</v>
      </c>
      <c r="M1028" s="5" t="str">
        <f t="shared" si="3"/>
        <v/>
      </c>
      <c r="N1028" s="5" t="str">
        <f t="shared" si="4"/>
        <v>Bloomberg LP</v>
      </c>
      <c r="O1028" s="5" t="str">
        <f t="shared" si="5"/>
        <v>10 months in role and company</v>
      </c>
      <c r="P1028" s="5" t="str">
        <f t="shared" si="6"/>
        <v>New York</v>
      </c>
      <c r="Q1028" s="5" t="str">
        <f t="shared" si="7"/>
        <v>New York</v>
      </c>
      <c r="R1028" s="5" t="str">
        <f t="shared" si="8"/>
        <v>United States</v>
      </c>
    </row>
    <row r="1029">
      <c r="A1029" s="8" t="s">
        <v>7377</v>
      </c>
      <c r="B1029" s="10" t="s">
        <v>7378</v>
      </c>
      <c r="C1029" s="10" t="s">
        <v>7379</v>
      </c>
      <c r="D1029" s="10"/>
      <c r="E1029" s="10" t="s">
        <v>7380</v>
      </c>
      <c r="F1029" s="10" t="s">
        <v>182</v>
      </c>
      <c r="G1029" s="13" t="s">
        <v>7313</v>
      </c>
      <c r="H1029" s="13" t="s">
        <v>5736</v>
      </c>
      <c r="I1029" s="13" t="s">
        <v>4619</v>
      </c>
      <c r="J1029" s="9" t="str">
        <f>IFERROR(__xludf.DUMMYFUNCTION("""COMPUTED_VALUE"""),"https://www.google.com/search?newwindow=1&amp;ei=2MT0XrvGGM-vytMP1OyDgAY&amp;q=site%3Alinkedin.com+Jena+Hanlon+Associate,+Campus+Recruiting")</f>
        <v>https://www.google.com/search?newwindow=1&amp;ei=2MT0XrvGGM-vytMP1OyDgAY&amp;q=site%3Alinkedin.com+Jena+Hanlon+Associate,+Campus+Recruiting</v>
      </c>
      <c r="K1029" s="5" t="str">
        <f t="shared" si="1"/>
        <v>Jena Hanlon</v>
      </c>
      <c r="L1029" s="5" t="str">
        <f t="shared" si="2"/>
        <v>Associate, Campus Recruiting</v>
      </c>
      <c r="M1029" s="5" t="str">
        <f t="shared" si="3"/>
        <v/>
      </c>
      <c r="N1029" s="5" t="str">
        <f t="shared" si="4"/>
        <v>KPMG</v>
      </c>
      <c r="O1029" s="5" t="str">
        <f t="shared" si="5"/>
        <v>7 months in role and company</v>
      </c>
      <c r="P1029" s="5" t="str">
        <f t="shared" si="6"/>
        <v>New York</v>
      </c>
      <c r="Q1029" s="5" t="str">
        <f t="shared" si="7"/>
        <v>New York</v>
      </c>
      <c r="R1029" s="5" t="str">
        <f t="shared" si="8"/>
        <v>United States</v>
      </c>
    </row>
    <row r="1030">
      <c r="A1030" s="8" t="s">
        <v>7381</v>
      </c>
      <c r="B1030" s="12" t="s">
        <v>7382</v>
      </c>
      <c r="C1030" s="10" t="s">
        <v>7383</v>
      </c>
      <c r="D1030" s="10"/>
      <c r="E1030" s="10" t="s">
        <v>7317</v>
      </c>
      <c r="F1030" s="10" t="s">
        <v>523</v>
      </c>
      <c r="G1030" s="13" t="s">
        <v>7313</v>
      </c>
      <c r="H1030" s="13" t="s">
        <v>5736</v>
      </c>
      <c r="I1030" s="13" t="s">
        <v>4619</v>
      </c>
      <c r="J1030" s="9" t="str">
        <f>IFERROR(__xludf.DUMMYFUNCTION("""COMPUTED_VALUE"""),"https://www.google.com/search?newwindow=1&amp;ei=2MT0XrvGGM-vytMP1OyDgAY&amp;q=site%3Alinkedin.com+Hannah+Wolff+Campus+Recruiting+Lead")</f>
        <v>https://www.google.com/search?newwindow=1&amp;ei=2MT0XrvGGM-vytMP1OyDgAY&amp;q=site%3Alinkedin.com+Hannah+Wolff+Campus+Recruiting+Lead</v>
      </c>
      <c r="K1030" s="5" t="str">
        <f t="shared" si="1"/>
        <v>Hannah Wolff</v>
      </c>
      <c r="L1030" s="5" t="str">
        <f t="shared" si="2"/>
        <v>Campus Recruiting Lead</v>
      </c>
      <c r="M1030" s="5" t="str">
        <f t="shared" si="3"/>
        <v/>
      </c>
      <c r="N1030" s="5" t="str">
        <f t="shared" si="4"/>
        <v>Walmart</v>
      </c>
      <c r="O1030" s="5" t="str">
        <f t="shared" si="5"/>
        <v>3 months in role and company</v>
      </c>
      <c r="P1030" s="5" t="str">
        <f t="shared" si="6"/>
        <v>New York</v>
      </c>
      <c r="Q1030" s="5" t="str">
        <f t="shared" si="7"/>
        <v>New York</v>
      </c>
      <c r="R1030" s="5" t="str">
        <f t="shared" si="8"/>
        <v>United States</v>
      </c>
    </row>
    <row r="1031">
      <c r="A1031" s="8" t="s">
        <v>7384</v>
      </c>
      <c r="B1031" s="10" t="s">
        <v>7385</v>
      </c>
      <c r="C1031" s="10" t="s">
        <v>7386</v>
      </c>
      <c r="D1031" s="10"/>
      <c r="E1031" s="10" t="s">
        <v>7387</v>
      </c>
      <c r="F1031" s="10" t="s">
        <v>125</v>
      </c>
      <c r="G1031" s="13" t="s">
        <v>7313</v>
      </c>
      <c r="H1031" s="13" t="s">
        <v>5736</v>
      </c>
      <c r="I1031" s="13" t="s">
        <v>4619</v>
      </c>
      <c r="J1031" s="9" t="str">
        <f>IFERROR(__xludf.DUMMYFUNCTION("""COMPUTED_VALUE"""),"https://www.google.com/search?newwindow=1&amp;ei=2MT0XrvGGM-vytMP1OyDgAY&amp;q=site%3Alinkedin.com+Mallory+Sylvester+Campus+Recruiting+Associate")</f>
        <v>https://www.google.com/search?newwindow=1&amp;ei=2MT0XrvGGM-vytMP1OyDgAY&amp;q=site%3Alinkedin.com+Mallory+Sylvester+Campus+Recruiting+Associate</v>
      </c>
      <c r="K1031" s="5" t="str">
        <f t="shared" si="1"/>
        <v>Mallory Sylvester</v>
      </c>
      <c r="L1031" s="5" t="str">
        <f t="shared" si="2"/>
        <v>Campus Recruiting Associate</v>
      </c>
      <c r="M1031" s="5" t="str">
        <f t="shared" si="3"/>
        <v/>
      </c>
      <c r="N1031" s="5" t="str">
        <f t="shared" si="4"/>
        <v>KPMG US</v>
      </c>
      <c r="O1031" s="5" t="str">
        <f t="shared" si="5"/>
        <v>9 months in role and company</v>
      </c>
      <c r="P1031" s="5" t="str">
        <f t="shared" si="6"/>
        <v>New York</v>
      </c>
      <c r="Q1031" s="5" t="str">
        <f t="shared" si="7"/>
        <v>New York</v>
      </c>
      <c r="R1031" s="5" t="str">
        <f t="shared" si="8"/>
        <v>United States</v>
      </c>
    </row>
    <row r="1032">
      <c r="A1032" s="8" t="s">
        <v>7388</v>
      </c>
      <c r="B1032" s="10" t="s">
        <v>7389</v>
      </c>
      <c r="C1032" s="10" t="s">
        <v>7390</v>
      </c>
      <c r="D1032" s="10"/>
      <c r="E1032" s="10" t="s">
        <v>7391</v>
      </c>
      <c r="F1032" s="10" t="s">
        <v>463</v>
      </c>
      <c r="G1032" s="13" t="s">
        <v>7313</v>
      </c>
      <c r="H1032" s="13" t="s">
        <v>5736</v>
      </c>
      <c r="I1032" s="13" t="s">
        <v>4619</v>
      </c>
      <c r="J1032" s="9" t="str">
        <f>IFERROR(__xludf.DUMMYFUNCTION("""COMPUTED_VALUE"""),"https://www.google.com/search?newwindow=1&amp;ei=2MT0XrvGGM-vytMP1OyDgAY&amp;q=site%3Alinkedin.com+Gabby+Ordaz+Campus+Recruiting+Specialist")</f>
        <v>https://www.google.com/search?newwindow=1&amp;ei=2MT0XrvGGM-vytMP1OyDgAY&amp;q=site%3Alinkedin.com+Gabby+Ordaz+Campus+Recruiting+Specialist</v>
      </c>
      <c r="K1032" s="5" t="str">
        <f t="shared" si="1"/>
        <v>Gabby Ordaz</v>
      </c>
      <c r="L1032" s="5" t="str">
        <f t="shared" si="2"/>
        <v>Campus Recruiting Specialist</v>
      </c>
      <c r="M1032" s="5" t="str">
        <f t="shared" si="3"/>
        <v/>
      </c>
      <c r="N1032" s="5" t="str">
        <f t="shared" si="4"/>
        <v>Deloitte</v>
      </c>
      <c r="O1032" s="5" t="str">
        <f t="shared" si="5"/>
        <v>2 years 2 months in role</v>
      </c>
      <c r="P1032" s="5" t="str">
        <f t="shared" si="6"/>
        <v>New York</v>
      </c>
      <c r="Q1032" s="5" t="str">
        <f t="shared" si="7"/>
        <v>New York</v>
      </c>
      <c r="R1032" s="5" t="str">
        <f t="shared" si="8"/>
        <v>United States</v>
      </c>
    </row>
    <row r="1033">
      <c r="A1033" s="8" t="s">
        <v>7392</v>
      </c>
      <c r="B1033" s="12" t="s">
        <v>7393</v>
      </c>
      <c r="C1033" s="10" t="s">
        <v>7394</v>
      </c>
      <c r="D1033" s="10"/>
      <c r="E1033" s="10" t="s">
        <v>7317</v>
      </c>
      <c r="F1033" s="10" t="s">
        <v>277</v>
      </c>
      <c r="G1033" s="13" t="s">
        <v>7313</v>
      </c>
      <c r="H1033" s="13" t="s">
        <v>5736</v>
      </c>
      <c r="I1033" s="13" t="s">
        <v>4619</v>
      </c>
      <c r="J1033" s="9" t="str">
        <f>IFERROR(__xludf.DUMMYFUNCTION("""COMPUTED_VALUE"""),"https://www.google.com/search?newwindow=1&amp;ei=2MT0XrvGGM-vytMP1OyDgAY&amp;q=site%3Alinkedin.com+Angela+Zirino+Engineering+Campus+Recruiting+Coordinator")</f>
        <v>https://www.google.com/search?newwindow=1&amp;ei=2MT0XrvGGM-vytMP1OyDgAY&amp;q=site%3Alinkedin.com+Angela+Zirino+Engineering+Campus+Recruiting+Coordinator</v>
      </c>
      <c r="K1033" s="5" t="str">
        <f t="shared" si="1"/>
        <v>Angela Zirino</v>
      </c>
      <c r="L1033" s="5" t="str">
        <f t="shared" si="2"/>
        <v>Engineering Campus Recruiting Coordinator</v>
      </c>
      <c r="M1033" s="5" t="str">
        <f t="shared" si="3"/>
        <v/>
      </c>
      <c r="N1033" s="5" t="str">
        <f t="shared" si="4"/>
        <v>Goldman Sachs</v>
      </c>
      <c r="O1033" s="5" t="str">
        <f t="shared" si="5"/>
        <v>1 year 11 months in role</v>
      </c>
      <c r="P1033" s="5" t="str">
        <f t="shared" si="6"/>
        <v>New York</v>
      </c>
      <c r="Q1033" s="5" t="str">
        <f t="shared" si="7"/>
        <v>New York</v>
      </c>
      <c r="R1033" s="5" t="str">
        <f t="shared" si="8"/>
        <v>United States</v>
      </c>
    </row>
    <row r="1034">
      <c r="A1034" s="8" t="s">
        <v>7395</v>
      </c>
      <c r="B1034" s="12" t="s">
        <v>7396</v>
      </c>
      <c r="C1034" s="10" t="s">
        <v>7397</v>
      </c>
      <c r="D1034" s="10"/>
      <c r="E1034" s="10" t="s">
        <v>6308</v>
      </c>
      <c r="F1034" s="10" t="s">
        <v>351</v>
      </c>
      <c r="G1034" s="13" t="s">
        <v>7313</v>
      </c>
      <c r="H1034" s="13" t="s">
        <v>5736</v>
      </c>
      <c r="I1034" s="13" t="s">
        <v>4619</v>
      </c>
      <c r="J1034" s="9" t="str">
        <f>IFERROR(__xludf.DUMMYFUNCTION("""COMPUTED_VALUE"""),"https://www.google.com/search?newwindow=1&amp;ei=2MT0XrvGGM-vytMP1OyDgAY&amp;q=site%3Alinkedin.com+Amanda+Fornieri+(She+/+Her+/+Hers)+Associate+-+Campus+Recruiting")</f>
        <v>https://www.google.com/search?newwindow=1&amp;ei=2MT0XrvGGM-vytMP1OyDgAY&amp;q=site%3Alinkedin.com+Amanda+Fornieri+(She+/+Her+/+Hers)+Associate+-+Campus+Recruiting</v>
      </c>
      <c r="K1034" s="5" t="str">
        <f t="shared" si="1"/>
        <v>Amanda Fornieri (She / Her / Hers)</v>
      </c>
      <c r="L1034" s="5" t="str">
        <f t="shared" si="2"/>
        <v>Associate - Campus Recruiting</v>
      </c>
      <c r="M1034" s="5" t="str">
        <f t="shared" si="3"/>
        <v/>
      </c>
      <c r="N1034" s="5" t="str">
        <f t="shared" si="4"/>
        <v>Goldman Sachs</v>
      </c>
      <c r="O1034" s="5" t="str">
        <f t="shared" si="5"/>
        <v>11 months in role</v>
      </c>
      <c r="P1034" s="5" t="str">
        <f t="shared" si="6"/>
        <v>New York</v>
      </c>
      <c r="Q1034" s="5" t="str">
        <f t="shared" si="7"/>
        <v>New York</v>
      </c>
      <c r="R1034" s="5" t="str">
        <f t="shared" si="8"/>
        <v>United States</v>
      </c>
    </row>
    <row r="1035">
      <c r="A1035" s="8" t="s">
        <v>7398</v>
      </c>
      <c r="B1035" s="12" t="s">
        <v>7399</v>
      </c>
      <c r="C1035" s="10" t="s">
        <v>7400</v>
      </c>
      <c r="D1035" s="10"/>
      <c r="E1035" s="10" t="s">
        <v>7401</v>
      </c>
      <c r="F1035" s="10" t="s">
        <v>111</v>
      </c>
      <c r="G1035" s="13" t="s">
        <v>7313</v>
      </c>
      <c r="H1035" s="13" t="s">
        <v>5736</v>
      </c>
      <c r="I1035" s="13" t="s">
        <v>4619</v>
      </c>
      <c r="J1035" s="9" t="str">
        <f>IFERROR(__xludf.DUMMYFUNCTION("""COMPUTED_VALUE"""),"https://www.google.com/search?newwindow=1&amp;ei=2MT0XrvGGM-vytMP1OyDgAY&amp;q=site%3Alinkedin.com+Jenna+Sobel+Senior+Campus+Recruiting+Coordinator")</f>
        <v>https://www.google.com/search?newwindow=1&amp;ei=2MT0XrvGGM-vytMP1OyDgAY&amp;q=site%3Alinkedin.com+Jenna+Sobel+Senior+Campus+Recruiting+Coordinator</v>
      </c>
      <c r="K1035" s="5" t="str">
        <f t="shared" si="1"/>
        <v>Jenna Sobel</v>
      </c>
      <c r="L1035" s="5" t="str">
        <f t="shared" si="2"/>
        <v>Senior Campus Recruiting Coordinator</v>
      </c>
      <c r="M1035" s="5" t="str">
        <f t="shared" si="3"/>
        <v/>
      </c>
      <c r="N1035" s="5" t="str">
        <f t="shared" si="4"/>
        <v>Deloitte</v>
      </c>
      <c r="O1035" s="5" t="str">
        <f t="shared" si="5"/>
        <v>3 years  in role and company</v>
      </c>
      <c r="P1035" s="5" t="str">
        <f t="shared" si="6"/>
        <v>New York</v>
      </c>
      <c r="Q1035" s="5" t="str">
        <f t="shared" si="7"/>
        <v>New York</v>
      </c>
      <c r="R1035" s="5" t="str">
        <f t="shared" si="8"/>
        <v>United States</v>
      </c>
    </row>
    <row r="1036">
      <c r="A1036" s="8" t="s">
        <v>7402</v>
      </c>
      <c r="B1036" s="10" t="s">
        <v>7403</v>
      </c>
      <c r="C1036" s="10" t="s">
        <v>4929</v>
      </c>
      <c r="D1036" s="10"/>
      <c r="E1036" s="10" t="s">
        <v>7317</v>
      </c>
      <c r="F1036" s="10" t="s">
        <v>125</v>
      </c>
      <c r="G1036" s="13" t="s">
        <v>7313</v>
      </c>
      <c r="H1036" s="13" t="s">
        <v>5736</v>
      </c>
      <c r="I1036" s="13" t="s">
        <v>4619</v>
      </c>
      <c r="J1036" s="9" t="str">
        <f>IFERROR(__xludf.DUMMYFUNCTION("""COMPUTED_VALUE"""),"https://www.google.com/search?newwindow=1&amp;ei=2MT0XrvGGM-vytMP1OyDgAY&amp;q=site%3Alinkedin.com+Kevin+Rose+Senior+Manager,+Campus+Recruiting")</f>
        <v>https://www.google.com/search?newwindow=1&amp;ei=2MT0XrvGGM-vytMP1OyDgAY&amp;q=site%3Alinkedin.com+Kevin+Rose+Senior+Manager,+Campus+Recruiting</v>
      </c>
      <c r="K1036" s="5" t="str">
        <f t="shared" si="1"/>
        <v>Kevin Rose</v>
      </c>
      <c r="L1036" s="5" t="str">
        <f t="shared" si="2"/>
        <v>Senior Manager, Campus Recruiting</v>
      </c>
      <c r="M1036" s="5" t="str">
        <f t="shared" si="3"/>
        <v/>
      </c>
      <c r="N1036" s="5" t="str">
        <f t="shared" si="4"/>
        <v>Walmart</v>
      </c>
      <c r="O1036" s="5" t="str">
        <f t="shared" si="5"/>
        <v>3 years 1 month in role and company</v>
      </c>
      <c r="P1036" s="5" t="str">
        <f t="shared" si="6"/>
        <v>New York</v>
      </c>
      <c r="Q1036" s="5" t="str">
        <f t="shared" si="7"/>
        <v>New York</v>
      </c>
      <c r="R1036" s="5" t="str">
        <f t="shared" si="8"/>
        <v>United States</v>
      </c>
    </row>
    <row r="1037">
      <c r="A1037" s="8" t="s">
        <v>7404</v>
      </c>
      <c r="B1037" s="12" t="s">
        <v>7405</v>
      </c>
      <c r="C1037" s="10" t="s">
        <v>7406</v>
      </c>
      <c r="D1037" s="10"/>
      <c r="E1037" s="10" t="s">
        <v>7407</v>
      </c>
      <c r="F1037" s="10" t="s">
        <v>734</v>
      </c>
      <c r="G1037" s="13" t="s">
        <v>7313</v>
      </c>
      <c r="H1037" s="13" t="s">
        <v>5736</v>
      </c>
      <c r="I1037" s="13" t="s">
        <v>4619</v>
      </c>
      <c r="J1037" s="9" t="str">
        <f>IFERROR(__xludf.DUMMYFUNCTION("""COMPUTED_VALUE"""),"https://www.google.com/search?newwindow=1&amp;ei=2MT0XrvGGM-vytMP1OyDgAY&amp;q=site%3Alinkedin.com+Kaitlin+Fitzpatrick+(she/her)+Campus+Recruiting+and+Entry+Programs+Training,+Company+Divisions")</f>
        <v>https://www.google.com/search?newwindow=1&amp;ei=2MT0XrvGGM-vytMP1OyDgAY&amp;q=site%3Alinkedin.com+Kaitlin+Fitzpatrick+(she/her)+Campus+Recruiting+and+Entry+Programs+Training,+Company+Divisions</v>
      </c>
      <c r="K1037" s="5" t="str">
        <f t="shared" si="1"/>
        <v>Kaitlin Fitzpatrick (she/her)</v>
      </c>
      <c r="L1037" s="5" t="str">
        <f t="shared" si="2"/>
        <v>Campus Recruiting and Entry Programs Training, Company Divisions</v>
      </c>
      <c r="M1037" s="5" t="str">
        <f t="shared" si="3"/>
        <v/>
      </c>
      <c r="N1037" s="5" t="str">
        <f t="shared" si="4"/>
        <v>Morgan Stanley</v>
      </c>
      <c r="O1037" s="5" t="str">
        <f t="shared" si="5"/>
        <v>1 year 3 months in role</v>
      </c>
      <c r="P1037" s="5" t="str">
        <f t="shared" si="6"/>
        <v>New York</v>
      </c>
      <c r="Q1037" s="5" t="str">
        <f t="shared" si="7"/>
        <v>New York</v>
      </c>
      <c r="R1037" s="5" t="str">
        <f t="shared" si="8"/>
        <v>United States</v>
      </c>
    </row>
    <row r="1038">
      <c r="A1038" s="8" t="s">
        <v>7408</v>
      </c>
      <c r="B1038" s="10" t="s">
        <v>7409</v>
      </c>
      <c r="C1038" s="10" t="s">
        <v>7410</v>
      </c>
      <c r="D1038" s="10"/>
      <c r="E1038" s="10" t="s">
        <v>7411</v>
      </c>
      <c r="F1038" s="10" t="s">
        <v>886</v>
      </c>
      <c r="G1038" s="13" t="s">
        <v>7313</v>
      </c>
      <c r="H1038" s="13" t="s">
        <v>5736</v>
      </c>
      <c r="I1038" s="13" t="s">
        <v>4619</v>
      </c>
      <c r="J1038" s="9" t="str">
        <f>IFERROR(__xludf.DUMMYFUNCTION("""COMPUTED_VALUE"""),"https://www.google.com/search?newwindow=1&amp;ei=2MT0XrvGGM-vytMP1OyDgAY&amp;q=site%3Alinkedin.com+Jessica+Lockard+Campus+Recruiting+Manager")</f>
        <v>https://www.google.com/search?newwindow=1&amp;ei=2MT0XrvGGM-vytMP1OyDgAY&amp;q=site%3Alinkedin.com+Jessica+Lockard+Campus+Recruiting+Manager</v>
      </c>
      <c r="K1038" s="5" t="str">
        <f t="shared" si="1"/>
        <v>Jessica Lockard</v>
      </c>
      <c r="L1038" s="5" t="str">
        <f t="shared" si="2"/>
        <v>Campus Recruiting Manager</v>
      </c>
      <c r="M1038" s="5" t="str">
        <f t="shared" si="3"/>
        <v/>
      </c>
      <c r="N1038" s="5" t="str">
        <f t="shared" si="4"/>
        <v>Walmart</v>
      </c>
      <c r="O1038" s="5" t="str">
        <f t="shared" si="5"/>
        <v>2 years 1 month in role and company</v>
      </c>
      <c r="P1038" s="5" t="str">
        <f t="shared" si="6"/>
        <v>New York</v>
      </c>
      <c r="Q1038" s="5" t="str">
        <f t="shared" si="7"/>
        <v>New York</v>
      </c>
      <c r="R1038" s="5" t="str">
        <f t="shared" si="8"/>
        <v>United States</v>
      </c>
    </row>
    <row r="1039">
      <c r="A1039" s="8" t="s">
        <v>7412</v>
      </c>
      <c r="B1039" s="10" t="s">
        <v>7413</v>
      </c>
      <c r="C1039" s="10" t="s">
        <v>7414</v>
      </c>
      <c r="D1039" s="12"/>
      <c r="E1039" s="12" t="s">
        <v>5751</v>
      </c>
      <c r="F1039" s="10"/>
      <c r="G1039" s="13" t="s">
        <v>7313</v>
      </c>
      <c r="H1039" s="13" t="s">
        <v>5736</v>
      </c>
      <c r="I1039" s="13" t="s">
        <v>4619</v>
      </c>
      <c r="J1039" s="9" t="str">
        <f>IFERROR(__xludf.DUMMYFUNCTION("""COMPUTED_VALUE"""),"https://www.google.com/search?newwindow=1&amp;ei=2MT0XrvGGM-vytMP1OyDgAY&amp;q=site%3Alinkedin.com+jaclyn+stagg+Campus+recruiting+coordinator")</f>
        <v>https://www.google.com/search?newwindow=1&amp;ei=2MT0XrvGGM-vytMP1OyDgAY&amp;q=site%3Alinkedin.com+jaclyn+stagg+Campus+recruiting+coordinator</v>
      </c>
      <c r="K1039" s="5" t="str">
        <f t="shared" si="1"/>
        <v>jaclyn stagg</v>
      </c>
      <c r="L1039" s="5" t="str">
        <f t="shared" si="2"/>
        <v>Campus recruiting coordinator</v>
      </c>
      <c r="M1039" s="5" t="str">
        <f t="shared" si="3"/>
        <v/>
      </c>
      <c r="N1039" s="5" t="str">
        <f t="shared" si="4"/>
        <v>Bank of America Merrill Lynch via ADP</v>
      </c>
      <c r="O1039" s="5" t="str">
        <f t="shared" si="5"/>
        <v>2 years 4 months in role and company</v>
      </c>
      <c r="P1039" s="5" t="str">
        <f t="shared" si="6"/>
        <v>New York</v>
      </c>
      <c r="Q1039" s="5" t="str">
        <f t="shared" si="7"/>
        <v>New York</v>
      </c>
      <c r="R1039" s="5" t="str">
        <f t="shared" si="8"/>
        <v>United States</v>
      </c>
    </row>
    <row r="1040">
      <c r="A1040" s="8" t="s">
        <v>7415</v>
      </c>
      <c r="B1040" s="10" t="s">
        <v>7416</v>
      </c>
      <c r="C1040" s="10" t="s">
        <v>7417</v>
      </c>
      <c r="D1040" s="10"/>
      <c r="E1040" s="10" t="s">
        <v>7407</v>
      </c>
      <c r="F1040" s="10" t="s">
        <v>734</v>
      </c>
      <c r="G1040" s="13" t="s">
        <v>7313</v>
      </c>
      <c r="H1040" s="13" t="s">
        <v>5736</v>
      </c>
      <c r="I1040" s="13" t="s">
        <v>4619</v>
      </c>
      <c r="J1040" s="9" t="str">
        <f>IFERROR(__xludf.DUMMYFUNCTION("""COMPUTED_VALUE"""),"https://www.google.com/search?newwindow=1&amp;ei=2MT0XrvGGM-vytMP1OyDgAY&amp;q=site%3Alinkedin.com+Christie+Mongiardo+Manager,+Institutional+Equity+Campus+Recruiting")</f>
        <v>https://www.google.com/search?newwindow=1&amp;ei=2MT0XrvGGM-vytMP1OyDgAY&amp;q=site%3Alinkedin.com+Christie+Mongiardo+Manager,+Institutional+Equity+Campus+Recruiting</v>
      </c>
      <c r="K1040" s="5" t="str">
        <f t="shared" si="1"/>
        <v>Christie Mongiardo</v>
      </c>
      <c r="L1040" s="5" t="str">
        <f t="shared" si="2"/>
        <v>Manager, Institutional Equity Campus Recruiting</v>
      </c>
      <c r="M1040" s="5" t="str">
        <f t="shared" si="3"/>
        <v/>
      </c>
      <c r="N1040" s="5" t="str">
        <f t="shared" si="4"/>
        <v>Morgan Stanley</v>
      </c>
      <c r="O1040" s="5" t="str">
        <f t="shared" si="5"/>
        <v>2 years 2 months in role and company</v>
      </c>
      <c r="P1040" s="5" t="str">
        <f t="shared" si="6"/>
        <v>New York</v>
      </c>
      <c r="Q1040" s="5" t="str">
        <f t="shared" si="7"/>
        <v>New York</v>
      </c>
      <c r="R1040" s="5" t="str">
        <f t="shared" si="8"/>
        <v>United States</v>
      </c>
    </row>
    <row r="1041">
      <c r="A1041" s="8" t="s">
        <v>7418</v>
      </c>
      <c r="B1041" s="10" t="s">
        <v>7419</v>
      </c>
      <c r="C1041" s="10" t="s">
        <v>7420</v>
      </c>
      <c r="D1041" s="10"/>
      <c r="E1041" s="10" t="s">
        <v>7411</v>
      </c>
      <c r="F1041" s="10" t="s">
        <v>7421</v>
      </c>
      <c r="G1041" s="13" t="s">
        <v>7313</v>
      </c>
      <c r="H1041" s="13" t="s">
        <v>5736</v>
      </c>
      <c r="I1041" s="13" t="s">
        <v>4619</v>
      </c>
      <c r="J1041" s="9" t="str">
        <f>IFERROR(__xludf.DUMMYFUNCTION("""COMPUTED_VALUE"""),"https://www.google.com/search?newwindow=1&amp;ei=2MT0XrvGGM-vytMP1OyDgAY&amp;q=site%3Alinkedin.com+Anna+Nyzio+Campus+Recruiting+Team+Lead+-+Boston/Hartford")</f>
        <v>https://www.google.com/search?newwindow=1&amp;ei=2MT0XrvGGM-vytMP1OyDgAY&amp;q=site%3Alinkedin.com+Anna+Nyzio+Campus+Recruiting+Team+Lead+-+Boston/Hartford</v>
      </c>
      <c r="K1041" s="5" t="str">
        <f t="shared" si="1"/>
        <v>Anna Nyzio</v>
      </c>
      <c r="L1041" s="5" t="str">
        <f t="shared" si="2"/>
        <v>Campus Recruiting Team Lead - Boston/Hartford</v>
      </c>
      <c r="M1041" s="5" t="str">
        <f t="shared" si="3"/>
        <v/>
      </c>
      <c r="N1041" s="5" t="str">
        <f t="shared" si="4"/>
        <v>Accenture</v>
      </c>
      <c r="O1041" s="5" t="str">
        <f t="shared" si="5"/>
        <v>1 year 1 month in role</v>
      </c>
      <c r="P1041" s="5" t="str">
        <f t="shared" si="6"/>
        <v>New York</v>
      </c>
      <c r="Q1041" s="5" t="str">
        <f t="shared" si="7"/>
        <v>New York</v>
      </c>
      <c r="R1041" s="5" t="str">
        <f t="shared" si="8"/>
        <v>United States</v>
      </c>
    </row>
    <row r="1042">
      <c r="A1042" s="8" t="s">
        <v>7422</v>
      </c>
      <c r="B1042" s="10" t="s">
        <v>7423</v>
      </c>
      <c r="C1042" s="10" t="s">
        <v>7424</v>
      </c>
      <c r="D1042" s="10"/>
      <c r="E1042" s="10" t="s">
        <v>7407</v>
      </c>
      <c r="F1042" s="10" t="s">
        <v>1718</v>
      </c>
      <c r="G1042" s="13" t="s">
        <v>7313</v>
      </c>
      <c r="H1042" s="13" t="s">
        <v>5736</v>
      </c>
      <c r="I1042" s="13" t="s">
        <v>4619</v>
      </c>
      <c r="J1042" s="9" t="str">
        <f>IFERROR(__xludf.DUMMYFUNCTION("""COMPUTED_VALUE"""),"https://www.google.com/search?newwindow=1&amp;ei=2MT0XrvGGM-vytMP1OyDgAY&amp;q=site%3Alinkedin.com+Lauren+Cardia+Senior+Campus+Recruiting+Specialist")</f>
        <v>https://www.google.com/search?newwindow=1&amp;ei=2MT0XrvGGM-vytMP1OyDgAY&amp;q=site%3Alinkedin.com+Lauren+Cardia+Senior+Campus+Recruiting+Specialist</v>
      </c>
      <c r="K1042" s="5" t="str">
        <f t="shared" si="1"/>
        <v>Lauren Cardia</v>
      </c>
      <c r="L1042" s="5" t="str">
        <f t="shared" si="2"/>
        <v>Senior Campus Recruiting Specialist</v>
      </c>
      <c r="M1042" s="5" t="str">
        <f t="shared" si="3"/>
        <v/>
      </c>
      <c r="N1042" s="5" t="str">
        <f t="shared" si="4"/>
        <v>Deloitte</v>
      </c>
      <c r="O1042" s="5" t="str">
        <f t="shared" si="5"/>
        <v>1 year 3 months in role</v>
      </c>
      <c r="P1042" s="5" t="str">
        <f t="shared" si="6"/>
        <v>New York</v>
      </c>
      <c r="Q1042" s="5" t="str">
        <f t="shared" si="7"/>
        <v>New York</v>
      </c>
      <c r="R1042" s="5" t="str">
        <f t="shared" si="8"/>
        <v>United States</v>
      </c>
    </row>
    <row r="1043">
      <c r="A1043" s="8" t="s">
        <v>7425</v>
      </c>
      <c r="B1043" s="12" t="s">
        <v>7426</v>
      </c>
      <c r="C1043" s="10" t="s">
        <v>7427</v>
      </c>
      <c r="D1043" s="10"/>
      <c r="E1043" s="10" t="s">
        <v>7407</v>
      </c>
      <c r="F1043" s="10" t="s">
        <v>213</v>
      </c>
      <c r="G1043" s="13" t="s">
        <v>7313</v>
      </c>
      <c r="H1043" s="13" t="s">
        <v>5736</v>
      </c>
      <c r="I1043" s="13" t="s">
        <v>4619</v>
      </c>
      <c r="J1043" s="9" t="str">
        <f>IFERROR(__xludf.DUMMYFUNCTION("""COMPUTED_VALUE"""),"https://www.google.com/search?newwindow=1&amp;ei=2MT0XrvGGM-vytMP1OyDgAY&amp;q=site%3Alinkedin.com+Yamiley+Joseph+Engineering+Campus+Recruiting")</f>
        <v>https://www.google.com/search?newwindow=1&amp;ei=2MT0XrvGGM-vytMP1OyDgAY&amp;q=site%3Alinkedin.com+Yamiley+Joseph+Engineering+Campus+Recruiting</v>
      </c>
      <c r="K1043" s="5" t="str">
        <f t="shared" si="1"/>
        <v>Yamiley Joseph</v>
      </c>
      <c r="L1043" s="5" t="str">
        <f t="shared" si="2"/>
        <v>Engineering Campus Recruiting</v>
      </c>
      <c r="M1043" s="5" t="str">
        <f t="shared" si="3"/>
        <v/>
      </c>
      <c r="N1043" s="5" t="str">
        <f t="shared" si="4"/>
        <v>Bloomberg LP</v>
      </c>
      <c r="O1043" s="5" t="str">
        <f t="shared" si="5"/>
        <v>6 months in role</v>
      </c>
      <c r="P1043" s="5" t="str">
        <f t="shared" si="6"/>
        <v>New York</v>
      </c>
      <c r="Q1043" s="5" t="str">
        <f t="shared" si="7"/>
        <v>New York</v>
      </c>
      <c r="R1043" s="5" t="str">
        <f t="shared" si="8"/>
        <v>United States</v>
      </c>
    </row>
    <row r="1044">
      <c r="A1044" s="8" t="s">
        <v>7428</v>
      </c>
      <c r="B1044" s="10" t="s">
        <v>7429</v>
      </c>
      <c r="C1044" s="10" t="s">
        <v>4929</v>
      </c>
      <c r="D1044" s="10"/>
      <c r="E1044" s="10" t="s">
        <v>7430</v>
      </c>
      <c r="F1044" s="10" t="s">
        <v>4905</v>
      </c>
      <c r="G1044" s="13" t="s">
        <v>7313</v>
      </c>
      <c r="H1044" s="13" t="s">
        <v>5736</v>
      </c>
      <c r="I1044" s="13" t="s">
        <v>4619</v>
      </c>
      <c r="J1044" s="9" t="str">
        <f>IFERROR(__xludf.DUMMYFUNCTION("""COMPUTED_VALUE"""),"https://www.google.com/search?newwindow=1&amp;ei=2MT0XrvGGM-vytMP1OyDgAY&amp;q=site%3Alinkedin.com+Yesenia+Gomez+Vice+President,+Campus+Diversity+Recruiting+Manager")</f>
        <v>https://www.google.com/search?newwindow=1&amp;ei=2MT0XrvGGM-vytMP1OyDgAY&amp;q=site%3Alinkedin.com+Yesenia+Gomez+Vice+President,+Campus+Diversity+Recruiting+Manager</v>
      </c>
      <c r="K1044" s="5" t="str">
        <f t="shared" si="1"/>
        <v>Yesenia Gomez</v>
      </c>
      <c r="L1044" s="5" t="str">
        <f t="shared" si="2"/>
        <v>Vice President, Campus Diversity Recruiting Manager</v>
      </c>
      <c r="M1044" s="5" t="str">
        <f t="shared" si="3"/>
        <v/>
      </c>
      <c r="N1044" s="5" t="str">
        <f t="shared" si="4"/>
        <v>Citi</v>
      </c>
      <c r="O1044" s="5" t="str">
        <f t="shared" si="5"/>
        <v>10 months in role</v>
      </c>
      <c r="P1044" s="5" t="str">
        <f t="shared" si="6"/>
        <v>New York</v>
      </c>
      <c r="Q1044" s="5" t="str">
        <f t="shared" si="7"/>
        <v>New York</v>
      </c>
      <c r="R1044" s="5" t="str">
        <f t="shared" si="8"/>
        <v>United States</v>
      </c>
    </row>
    <row r="1045">
      <c r="A1045" s="8" t="s">
        <v>7431</v>
      </c>
      <c r="B1045" s="12" t="s">
        <v>7432</v>
      </c>
      <c r="C1045" s="10" t="s">
        <v>7433</v>
      </c>
      <c r="D1045" s="10"/>
      <c r="E1045" s="10" t="s">
        <v>5751</v>
      </c>
      <c r="F1045" s="10" t="s">
        <v>418</v>
      </c>
      <c r="G1045" s="13" t="s">
        <v>7313</v>
      </c>
      <c r="H1045" s="13" t="s">
        <v>5736</v>
      </c>
      <c r="I1045" s="13" t="s">
        <v>4619</v>
      </c>
      <c r="J1045" s="9" t="str">
        <f>IFERROR(__xludf.DUMMYFUNCTION("""COMPUTED_VALUE"""),"https://www.google.com/search?newwindow=1&amp;ei=2MT0XrvGGM-vytMP1OyDgAY&amp;q=site%3Alinkedin.com+Chelsea+Herritt+Director,+Campus+Recruiting")</f>
        <v>https://www.google.com/search?newwindow=1&amp;ei=2MT0XrvGGM-vytMP1OyDgAY&amp;q=site%3Alinkedin.com+Chelsea+Herritt+Director,+Campus+Recruiting</v>
      </c>
      <c r="K1045" s="5" t="str">
        <f t="shared" si="1"/>
        <v>Chelsea Herritt</v>
      </c>
      <c r="L1045" s="5" t="str">
        <f t="shared" si="2"/>
        <v>Director, Campus Recruiting</v>
      </c>
      <c r="M1045" s="5" t="str">
        <f t="shared" si="3"/>
        <v/>
      </c>
      <c r="N1045" s="5" t="str">
        <f t="shared" si="4"/>
        <v>Morgan Stanley</v>
      </c>
      <c r="O1045" s="5" t="str">
        <f t="shared" si="5"/>
        <v>1 year  in role and company</v>
      </c>
      <c r="P1045" s="5" t="str">
        <f t="shared" si="6"/>
        <v>New York</v>
      </c>
      <c r="Q1045" s="5" t="str">
        <f t="shared" si="7"/>
        <v>New York</v>
      </c>
      <c r="R1045" s="5" t="str">
        <f t="shared" si="8"/>
        <v>United States</v>
      </c>
    </row>
    <row r="1046">
      <c r="A1046" s="8" t="s">
        <v>7434</v>
      </c>
      <c r="B1046" s="10" t="s">
        <v>7435</v>
      </c>
      <c r="C1046" s="10" t="s">
        <v>7436</v>
      </c>
      <c r="D1046" s="10"/>
      <c r="E1046" s="10" t="s">
        <v>7317</v>
      </c>
      <c r="F1046" s="10" t="s">
        <v>125</v>
      </c>
      <c r="G1046" s="13" t="s">
        <v>7313</v>
      </c>
      <c r="H1046" s="13" t="s">
        <v>5736</v>
      </c>
      <c r="I1046" s="13" t="s">
        <v>4619</v>
      </c>
      <c r="J1046" s="9" t="str">
        <f>IFERROR(__xludf.DUMMYFUNCTION("""COMPUTED_VALUE"""),"https://www.google.com/search?newwindow=1&amp;ei=2MT0XrvGGM-vytMP1OyDgAY&amp;q=site%3Alinkedin.com+Laura+Schmidt+Campus+Recruiting+Specialist")</f>
        <v>https://www.google.com/search?newwindow=1&amp;ei=2MT0XrvGGM-vytMP1OyDgAY&amp;q=site%3Alinkedin.com+Laura+Schmidt+Campus+Recruiting+Specialist</v>
      </c>
      <c r="K1046" s="5" t="str">
        <f t="shared" si="1"/>
        <v>Laura Schmidt</v>
      </c>
      <c r="L1046" s="5" t="str">
        <f t="shared" si="2"/>
        <v>Campus Recruiting Specialist</v>
      </c>
      <c r="M1046" s="5" t="str">
        <f t="shared" si="3"/>
        <v/>
      </c>
      <c r="N1046" s="5" t="str">
        <f t="shared" si="4"/>
        <v>Deloitte</v>
      </c>
      <c r="O1046" s="5" t="str">
        <f t="shared" si="5"/>
        <v>1 year 9 months in role and company</v>
      </c>
      <c r="P1046" s="5" t="str">
        <f t="shared" si="6"/>
        <v>New York</v>
      </c>
      <c r="Q1046" s="5" t="str">
        <f t="shared" si="7"/>
        <v>New York</v>
      </c>
      <c r="R1046" s="5" t="str">
        <f t="shared" si="8"/>
        <v>United States</v>
      </c>
    </row>
    <row r="1047">
      <c r="A1047" s="8" t="s">
        <v>7437</v>
      </c>
      <c r="B1047" s="12" t="s">
        <v>7438</v>
      </c>
      <c r="C1047" s="10" t="s">
        <v>7439</v>
      </c>
      <c r="D1047" s="10"/>
      <c r="E1047" s="10" t="s">
        <v>7440</v>
      </c>
      <c r="F1047" s="10" t="s">
        <v>5033</v>
      </c>
      <c r="G1047" s="13" t="s">
        <v>7313</v>
      </c>
      <c r="H1047" s="13" t="s">
        <v>5736</v>
      </c>
      <c r="I1047" s="13" t="s">
        <v>4619</v>
      </c>
      <c r="J1047" s="9" t="str">
        <f>IFERROR(__xludf.DUMMYFUNCTION("""COMPUTED_VALUE"""),"https://www.google.com/search?newwindow=1&amp;ei=2MT0XrvGGM-vytMP1OyDgAY&amp;q=site%3Alinkedin.com+Nicole+Griffith+Associate+Director,+Financial+Services+Campus+Recruiting")</f>
        <v>https://www.google.com/search?newwindow=1&amp;ei=2MT0XrvGGM-vytMP1OyDgAY&amp;q=site%3Alinkedin.com+Nicole+Griffith+Associate+Director,+Financial+Services+Campus+Recruiting</v>
      </c>
      <c r="K1047" s="5" t="str">
        <f t="shared" si="1"/>
        <v>Nicole Griffith</v>
      </c>
      <c r="L1047" s="5" t="str">
        <f t="shared" si="2"/>
        <v>Associate Director, Financial Services Campus Recruiting</v>
      </c>
      <c r="M1047" s="5" t="str">
        <f t="shared" si="3"/>
        <v/>
      </c>
      <c r="N1047" s="5" t="str">
        <f t="shared" si="4"/>
        <v>EY</v>
      </c>
      <c r="O1047" s="5" t="str">
        <f t="shared" si="5"/>
        <v>5 years 1 month in role and company</v>
      </c>
      <c r="P1047" s="5" t="str">
        <f t="shared" si="6"/>
        <v>New York</v>
      </c>
      <c r="Q1047" s="5" t="str">
        <f t="shared" si="7"/>
        <v>New York</v>
      </c>
      <c r="R1047" s="5" t="str">
        <f t="shared" si="8"/>
        <v>United States</v>
      </c>
    </row>
    <row r="1048">
      <c r="A1048" s="8" t="s">
        <v>7441</v>
      </c>
      <c r="B1048" s="10" t="s">
        <v>7442</v>
      </c>
      <c r="C1048" s="10" t="s">
        <v>7443</v>
      </c>
      <c r="D1048" s="10"/>
      <c r="E1048" s="10" t="s">
        <v>6308</v>
      </c>
      <c r="F1048" s="10" t="s">
        <v>4165</v>
      </c>
      <c r="G1048" s="13" t="s">
        <v>7313</v>
      </c>
      <c r="H1048" s="13" t="s">
        <v>5736</v>
      </c>
      <c r="I1048" s="13" t="s">
        <v>4619</v>
      </c>
      <c r="J1048" s="9" t="str">
        <f>IFERROR(__xludf.DUMMYFUNCTION("""COMPUTED_VALUE"""),"https://www.google.com/search?newwindow=1&amp;ei=2MT0XrvGGM-vytMP1OyDgAY&amp;q=site%3Alinkedin.com+Jennifer+Lynch+Assistant+Vice+President,+Senior+Recruiter+Campus+Recruiting+-+Sales+&amp;+Trading")</f>
        <v>https://www.google.com/search?newwindow=1&amp;ei=2MT0XrvGGM-vytMP1OyDgAY&amp;q=site%3Alinkedin.com+Jennifer+Lynch+Assistant+Vice+President,+Senior+Recruiter+Campus+Recruiting+-+Sales+&amp;+Trading</v>
      </c>
      <c r="K1048" s="5" t="str">
        <f t="shared" si="1"/>
        <v>Jennifer Lynch</v>
      </c>
      <c r="L1048" s="5" t="str">
        <f t="shared" si="2"/>
        <v>Assistant Vice President, Senior Recruiter Campus Recruiting - Sales &amp; Trading</v>
      </c>
      <c r="M1048" s="5" t="str">
        <f t="shared" si="3"/>
        <v/>
      </c>
      <c r="N1048" s="5" t="str">
        <f t="shared" si="4"/>
        <v>Citi</v>
      </c>
      <c r="O1048" s="5" t="str">
        <f t="shared" si="5"/>
        <v>9 months in role and company</v>
      </c>
      <c r="P1048" s="5" t="str">
        <f t="shared" si="6"/>
        <v>New York</v>
      </c>
      <c r="Q1048" s="5" t="str">
        <f t="shared" si="7"/>
        <v>New York</v>
      </c>
      <c r="R1048" s="5" t="str">
        <f t="shared" si="8"/>
        <v>United States</v>
      </c>
    </row>
    <row r="1049">
      <c r="A1049" s="8" t="s">
        <v>7444</v>
      </c>
      <c r="B1049" s="10" t="s">
        <v>7445</v>
      </c>
      <c r="C1049" s="10" t="s">
        <v>7446</v>
      </c>
      <c r="D1049" s="10"/>
      <c r="E1049" s="10" t="s">
        <v>7447</v>
      </c>
      <c r="F1049" s="10" t="s">
        <v>33</v>
      </c>
      <c r="G1049" s="13" t="s">
        <v>7313</v>
      </c>
      <c r="H1049" s="13" t="s">
        <v>5736</v>
      </c>
      <c r="I1049" s="13" t="s">
        <v>4619</v>
      </c>
      <c r="J1049" s="9" t="str">
        <f>IFERROR(__xludf.DUMMYFUNCTION("""COMPUTED_VALUE"""),"https://www.google.com/search?newwindow=1&amp;ei=2MT0XrvGGM-vytMP1OyDgAY&amp;q=site%3Alinkedin.com+Emily+R.+Mejia+Campus+Recruiting+and+Entry+Programs+Training,+Coordinator")</f>
        <v>https://www.google.com/search?newwindow=1&amp;ei=2MT0XrvGGM-vytMP1OyDgAY&amp;q=site%3Alinkedin.com+Emily+R.+Mejia+Campus+Recruiting+and+Entry+Programs+Training,+Coordinator</v>
      </c>
      <c r="K1049" s="5" t="str">
        <f t="shared" si="1"/>
        <v>Emily R. Mejia</v>
      </c>
      <c r="L1049" s="5" t="str">
        <f t="shared" si="2"/>
        <v>Campus Recruiting and Entry Programs Training, Coordinator</v>
      </c>
      <c r="M1049" s="5" t="str">
        <f t="shared" si="3"/>
        <v/>
      </c>
      <c r="N1049" s="5" t="str">
        <f t="shared" si="4"/>
        <v>Morgan Stanley</v>
      </c>
      <c r="O1049" s="5" t="str">
        <f t="shared" si="5"/>
        <v>6 months in role and company</v>
      </c>
      <c r="P1049" s="5" t="str">
        <f t="shared" si="6"/>
        <v>New York</v>
      </c>
      <c r="Q1049" s="5" t="str">
        <f t="shared" si="7"/>
        <v>New York</v>
      </c>
      <c r="R1049" s="5" t="str">
        <f t="shared" si="8"/>
        <v>United States</v>
      </c>
    </row>
    <row r="1050">
      <c r="A1050" s="8" t="s">
        <v>7448</v>
      </c>
      <c r="B1050" s="10" t="s">
        <v>7449</v>
      </c>
      <c r="C1050" s="10" t="s">
        <v>7450</v>
      </c>
      <c r="D1050" s="12"/>
      <c r="E1050" s="12" t="s">
        <v>7373</v>
      </c>
      <c r="F1050" s="10"/>
      <c r="G1050" s="13" t="s">
        <v>7313</v>
      </c>
      <c r="H1050" s="13" t="s">
        <v>5736</v>
      </c>
      <c r="I1050" s="13" t="s">
        <v>4619</v>
      </c>
      <c r="J1050" s="9" t="str">
        <f>IFERROR(__xludf.DUMMYFUNCTION("""COMPUTED_VALUE"""),"https://www.google.com/search?newwindow=1&amp;ei=2MT0XrvGGM-vytMP1OyDgAY&amp;q=site%3Alinkedin.com+Katie+Fry+Campus+Recruiting+Associate")</f>
        <v>https://www.google.com/search?newwindow=1&amp;ei=2MT0XrvGGM-vytMP1OyDgAY&amp;q=site%3Alinkedin.com+Katie+Fry+Campus+Recruiting+Associate</v>
      </c>
      <c r="K1050" s="5" t="str">
        <f t="shared" si="1"/>
        <v>Katie Fry</v>
      </c>
      <c r="L1050" s="5" t="str">
        <f t="shared" si="2"/>
        <v>Campus Recruiting Associate</v>
      </c>
      <c r="M1050" s="5" t="str">
        <f t="shared" si="3"/>
        <v/>
      </c>
      <c r="N1050" s="5" t="str">
        <f t="shared" si="4"/>
        <v>Morgan Stanley</v>
      </c>
      <c r="O1050" s="5" t="str">
        <f t="shared" si="5"/>
        <v>1 year 10 months in role and company</v>
      </c>
      <c r="P1050" s="5" t="str">
        <f t="shared" si="6"/>
        <v>New York</v>
      </c>
      <c r="Q1050" s="5" t="str">
        <f t="shared" si="7"/>
        <v>New York</v>
      </c>
      <c r="R1050" s="5" t="str">
        <f t="shared" si="8"/>
        <v>United States</v>
      </c>
    </row>
    <row r="1051">
      <c r="A1051" s="8" t="s">
        <v>7451</v>
      </c>
      <c r="B1051" s="10" t="s">
        <v>7452</v>
      </c>
      <c r="C1051" s="10" t="s">
        <v>1378</v>
      </c>
      <c r="D1051" s="10"/>
      <c r="E1051" s="10" t="s">
        <v>1233</v>
      </c>
      <c r="F1051" s="10" t="s">
        <v>207</v>
      </c>
      <c r="G1051" s="13" t="s">
        <v>2872</v>
      </c>
      <c r="H1051" s="13" t="s">
        <v>133</v>
      </c>
      <c r="I1051" s="11" t="s">
        <v>18</v>
      </c>
      <c r="J1051" s="9" t="str">
        <f>IFERROR(__xludf.DUMMYFUNCTION("""COMPUTED_VALUE"""),"https://www.google.com/search?newwindow=1&amp;ei=2MT0XrvGGM-vytMP1OyDgAY&amp;q=site%3Alinkedin.com+Emilie+Schneider+Campus+Recruiting+-+National+Senior+Associate")</f>
        <v>https://www.google.com/search?newwindow=1&amp;ei=2MT0XrvGGM-vytMP1OyDgAY&amp;q=site%3Alinkedin.com+Emilie+Schneider+Campus+Recruiting+-+National+Senior+Associate</v>
      </c>
      <c r="K1051" s="5" t="str">
        <f t="shared" si="1"/>
        <v>Emilie Schneider</v>
      </c>
      <c r="L1051" s="5" t="str">
        <f t="shared" si="2"/>
        <v>Campus Recruiting - National Senior Associate</v>
      </c>
      <c r="M1051" s="5" t="str">
        <f t="shared" si="3"/>
        <v/>
      </c>
      <c r="N1051" s="5" t="str">
        <f t="shared" si="4"/>
        <v>KPMG US</v>
      </c>
      <c r="O1051" s="5" t="str">
        <f t="shared" si="5"/>
        <v>2 years 1 month in role</v>
      </c>
      <c r="P1051" s="5" t="str">
        <f t="shared" si="6"/>
        <v>New York</v>
      </c>
      <c r="Q1051" s="5" t="str">
        <f t="shared" si="7"/>
        <v>New York</v>
      </c>
      <c r="R1051" s="5" t="str">
        <f t="shared" si="8"/>
        <v>United States</v>
      </c>
    </row>
    <row r="1052">
      <c r="A1052" s="8" t="s">
        <v>7453</v>
      </c>
      <c r="B1052" s="10" t="s">
        <v>2870</v>
      </c>
      <c r="C1052" s="10" t="s">
        <v>2871</v>
      </c>
      <c r="D1052" s="10"/>
      <c r="E1052" s="10" t="s">
        <v>2839</v>
      </c>
      <c r="F1052" s="10" t="s">
        <v>554</v>
      </c>
      <c r="G1052" s="11" t="s">
        <v>2872</v>
      </c>
      <c r="H1052" s="11" t="s">
        <v>133</v>
      </c>
      <c r="I1052" s="11" t="s">
        <v>18</v>
      </c>
      <c r="J1052" s="9" t="str">
        <f>IFERROR(__xludf.DUMMYFUNCTION("""COMPUTED_VALUE"""),"https://www.google.com/search?newwindow=1&amp;ei=2MT0XrvGGM-vytMP1OyDgAY&amp;q=site%3Alinkedin.com+Heather+VanDerheyden+Campus+Recruiting+-+Assistant+Vice+President")</f>
        <v>https://www.google.com/search?newwindow=1&amp;ei=2MT0XrvGGM-vytMP1OyDgAY&amp;q=site%3Alinkedin.com+Heather+VanDerheyden+Campus+Recruiting+-+Assistant+Vice+President</v>
      </c>
      <c r="K1052" s="5" t="str">
        <f t="shared" si="1"/>
        <v>Heather VanDerheyden</v>
      </c>
      <c r="L1052" s="5" t="str">
        <f t="shared" si="2"/>
        <v>Campus Recruiting - Assistant Vice President</v>
      </c>
      <c r="M1052" s="5" t="str">
        <f t="shared" si="3"/>
        <v/>
      </c>
      <c r="N1052" s="5" t="str">
        <f t="shared" si="4"/>
        <v>Bank of America</v>
      </c>
      <c r="O1052" s="5" t="str">
        <f t="shared" si="5"/>
        <v>3 years 8 months in role</v>
      </c>
      <c r="P1052" s="5" t="str">
        <f t="shared" si="6"/>
        <v>New York</v>
      </c>
      <c r="Q1052" s="5" t="str">
        <f t="shared" si="7"/>
        <v>New York</v>
      </c>
      <c r="R1052" s="5" t="str">
        <f t="shared" si="8"/>
        <v>United States</v>
      </c>
    </row>
    <row r="1053">
      <c r="A1053" s="8" t="s">
        <v>7454</v>
      </c>
      <c r="B1053" s="12" t="s">
        <v>7455</v>
      </c>
      <c r="C1053" s="10" t="s">
        <v>4674</v>
      </c>
      <c r="D1053" s="10"/>
      <c r="E1053" s="10" t="s">
        <v>1233</v>
      </c>
      <c r="F1053" s="10" t="s">
        <v>84</v>
      </c>
      <c r="G1053" s="11" t="s">
        <v>7456</v>
      </c>
      <c r="H1053" s="11" t="s">
        <v>1305</v>
      </c>
      <c r="I1053" s="11" t="s">
        <v>18</v>
      </c>
      <c r="J1053" s="9" t="str">
        <f>IFERROR(__xludf.DUMMYFUNCTION("""COMPUTED_VALUE"""),"https://www.google.com/search?newwindow=1&amp;ei=2MT0XrvGGM-vytMP1OyDgAY&amp;q=site%3Alinkedin.com+Vicki+Tung+Global+Head+Campus+Recruiting")</f>
        <v>https://www.google.com/search?newwindow=1&amp;ei=2MT0XrvGGM-vytMP1OyDgAY&amp;q=site%3Alinkedin.com+Vicki+Tung+Global+Head+Campus+Recruiting</v>
      </c>
      <c r="K1053" s="5" t="str">
        <f t="shared" si="1"/>
        <v>Vicki Tung</v>
      </c>
      <c r="L1053" s="5" t="str">
        <f t="shared" si="2"/>
        <v>Global Head Campus Recruiting</v>
      </c>
      <c r="M1053" s="5" t="str">
        <f t="shared" si="3"/>
        <v/>
      </c>
      <c r="N1053" s="5" t="str">
        <f t="shared" si="4"/>
        <v>Goldman Sachs</v>
      </c>
      <c r="O1053" s="5" t="str">
        <f t="shared" si="5"/>
        <v>3 years 3 months in role and company</v>
      </c>
      <c r="P1053" s="5" t="str">
        <f t="shared" si="6"/>
        <v>New York</v>
      </c>
      <c r="Q1053" s="5" t="str">
        <f t="shared" si="7"/>
        <v>New York</v>
      </c>
      <c r="R1053" s="5" t="str">
        <f t="shared" si="8"/>
        <v>United States</v>
      </c>
    </row>
    <row r="1054">
      <c r="A1054" s="8" t="s">
        <v>7457</v>
      </c>
      <c r="B1054" s="12" t="s">
        <v>7458</v>
      </c>
      <c r="C1054" s="10" t="s">
        <v>4749</v>
      </c>
      <c r="D1054" s="10"/>
      <c r="E1054" s="10" t="s">
        <v>1233</v>
      </c>
      <c r="F1054" s="10" t="s">
        <v>63</v>
      </c>
      <c r="G1054" s="11" t="s">
        <v>388</v>
      </c>
      <c r="H1054" s="11" t="s">
        <v>203</v>
      </c>
      <c r="I1054" s="11" t="s">
        <v>18</v>
      </c>
      <c r="J1054" s="9" t="str">
        <f>IFERROR(__xludf.DUMMYFUNCTION("""COMPUTED_VALUE"""),"https://www.google.com/search?newwindow=1&amp;ei=2MT0XrvGGM-vytMP1OyDgAY&amp;q=site%3Alinkedin.com+Gregory+Schwartz+Campus+Recruiting+Specialist")</f>
        <v>https://www.google.com/search?newwindow=1&amp;ei=2MT0XrvGGM-vytMP1OyDgAY&amp;q=site%3Alinkedin.com+Gregory+Schwartz+Campus+Recruiting+Specialist</v>
      </c>
      <c r="K1054" s="5" t="str">
        <f t="shared" si="1"/>
        <v>Gregory Schwartz</v>
      </c>
      <c r="L1054" s="5" t="str">
        <f t="shared" si="2"/>
        <v>Campus Recruiting Specialist</v>
      </c>
      <c r="M1054" s="5" t="str">
        <f t="shared" si="3"/>
        <v/>
      </c>
      <c r="N1054" s="5" t="str">
        <f t="shared" si="4"/>
        <v>Deloitte</v>
      </c>
      <c r="O1054" s="5" t="str">
        <f t="shared" si="5"/>
        <v>1 year 2 months in role and company</v>
      </c>
      <c r="P1054" s="5" t="str">
        <f t="shared" si="6"/>
        <v>New York</v>
      </c>
      <c r="Q1054" s="5" t="str">
        <f t="shared" si="7"/>
        <v>New York</v>
      </c>
      <c r="R1054" s="5" t="str">
        <f t="shared" si="8"/>
        <v>United States</v>
      </c>
    </row>
    <row r="1055">
      <c r="A1055" s="8" t="s">
        <v>7459</v>
      </c>
      <c r="B1055" s="12" t="s">
        <v>7460</v>
      </c>
      <c r="C1055" s="10" t="s">
        <v>1378</v>
      </c>
      <c r="D1055" s="10"/>
      <c r="E1055" s="10" t="s">
        <v>1233</v>
      </c>
      <c r="F1055" s="10" t="s">
        <v>121</v>
      </c>
      <c r="G1055" s="11" t="s">
        <v>388</v>
      </c>
      <c r="H1055" s="11" t="s">
        <v>203</v>
      </c>
      <c r="I1055" s="11" t="s">
        <v>18</v>
      </c>
      <c r="J1055" s="9" t="str">
        <f>IFERROR(__xludf.DUMMYFUNCTION("""COMPUTED_VALUE"""),"https://www.google.com/search?newwindow=1&amp;ei=2MT0XrvGGM-vytMP1OyDgAY&amp;q=site%3Alinkedin.com+Charlotte+Fadden+Director,+Campus+Recruiting+Manager")</f>
        <v>https://www.google.com/search?newwindow=1&amp;ei=2MT0XrvGGM-vytMP1OyDgAY&amp;q=site%3Alinkedin.com+Charlotte+Fadden+Director,+Campus+Recruiting+Manager</v>
      </c>
      <c r="K1055" s="5" t="str">
        <f t="shared" si="1"/>
        <v>Charlotte Fadden</v>
      </c>
      <c r="L1055" s="5" t="str">
        <f t="shared" si="2"/>
        <v>Director, Campus Recruiting Manager</v>
      </c>
      <c r="M1055" s="5" t="str">
        <f t="shared" si="3"/>
        <v/>
      </c>
      <c r="N1055" s="5" t="str">
        <f t="shared" si="4"/>
        <v>Morgan Stanley</v>
      </c>
      <c r="O1055" s="5" t="str">
        <f t="shared" si="5"/>
        <v>11 months in role and company</v>
      </c>
      <c r="P1055" s="5" t="str">
        <f t="shared" si="6"/>
        <v>New York</v>
      </c>
      <c r="Q1055" s="5" t="str">
        <f t="shared" si="7"/>
        <v>New York</v>
      </c>
      <c r="R1055" s="5" t="str">
        <f t="shared" si="8"/>
        <v>United States</v>
      </c>
    </row>
    <row r="1056">
      <c r="A1056" s="8" t="s">
        <v>7461</v>
      </c>
      <c r="B1056" s="10" t="s">
        <v>3718</v>
      </c>
      <c r="C1056" s="10" t="s">
        <v>371</v>
      </c>
      <c r="D1056" s="10"/>
      <c r="E1056" s="10" t="s">
        <v>3649</v>
      </c>
      <c r="F1056" s="10" t="s">
        <v>648</v>
      </c>
      <c r="G1056" s="11" t="s">
        <v>388</v>
      </c>
      <c r="H1056" s="11" t="s">
        <v>203</v>
      </c>
      <c r="I1056" s="11" t="s">
        <v>18</v>
      </c>
      <c r="J1056" s="9" t="str">
        <f>IFERROR(__xludf.DUMMYFUNCTION("""COMPUTED_VALUE"""),"https://www.google.com/search?newwindow=1&amp;ei=2MT0XrvGGM-vytMP1OyDgAY&amp;q=site%3Alinkedin.com+Camille+Gonzalez+Engineering+D&amp;I+Campus+Recruiting")</f>
        <v>https://www.google.com/search?newwindow=1&amp;ei=2MT0XrvGGM-vytMP1OyDgAY&amp;q=site%3Alinkedin.com+Camille+Gonzalez+Engineering+D&amp;I+Campus+Recruiting</v>
      </c>
      <c r="K1056" s="5" t="str">
        <f t="shared" si="1"/>
        <v>Camille Gonzalez</v>
      </c>
      <c r="L1056" s="5" t="str">
        <f t="shared" si="2"/>
        <v>Engineering D&amp;I Campus Recruiting</v>
      </c>
      <c r="M1056" s="5" t="str">
        <f t="shared" si="3"/>
        <v/>
      </c>
      <c r="N1056" s="5" t="str">
        <f t="shared" si="4"/>
        <v>Bloomberg LP</v>
      </c>
      <c r="O1056" s="5" t="str">
        <f t="shared" si="5"/>
        <v>3 years 8 months in role</v>
      </c>
      <c r="P1056" s="5" t="str">
        <f t="shared" si="6"/>
        <v>New York</v>
      </c>
      <c r="Q1056" s="5" t="str">
        <f t="shared" si="7"/>
        <v>New York</v>
      </c>
      <c r="R1056" s="5" t="str">
        <f t="shared" si="8"/>
        <v>United States</v>
      </c>
    </row>
    <row r="1057">
      <c r="A1057" s="8" t="s">
        <v>7462</v>
      </c>
      <c r="B1057" s="10" t="s">
        <v>7463</v>
      </c>
      <c r="C1057" s="10" t="s">
        <v>7464</v>
      </c>
      <c r="D1057" s="10"/>
      <c r="E1057" s="10" t="s">
        <v>7465</v>
      </c>
      <c r="F1057" s="10" t="s">
        <v>648</v>
      </c>
      <c r="G1057" s="11" t="s">
        <v>388</v>
      </c>
      <c r="H1057" s="11" t="s">
        <v>203</v>
      </c>
      <c r="I1057" s="11" t="s">
        <v>18</v>
      </c>
      <c r="J1057" s="9" t="str">
        <f>IFERROR(__xludf.DUMMYFUNCTION("""COMPUTED_VALUE"""),"https://www.google.com/search?newwindow=1&amp;ei=2MT0XrvGGM-vytMP1OyDgAY&amp;q=site%3Alinkedin.com+Aubrey+Baier+Senior+Associate,+Campus+Recruiting")</f>
        <v>https://www.google.com/search?newwindow=1&amp;ei=2MT0XrvGGM-vytMP1OyDgAY&amp;q=site%3Alinkedin.com+Aubrey+Baier+Senior+Associate,+Campus+Recruiting</v>
      </c>
      <c r="K1057" s="5" t="str">
        <f t="shared" si="1"/>
        <v>Aubrey Baier</v>
      </c>
      <c r="L1057" s="5" t="str">
        <f t="shared" si="2"/>
        <v>Senior Associate, Campus Recruiting</v>
      </c>
      <c r="M1057" s="5" t="str">
        <f t="shared" si="3"/>
        <v/>
      </c>
      <c r="N1057" s="5" t="str">
        <f t="shared" si="4"/>
        <v>KPMG US</v>
      </c>
      <c r="O1057" s="5" t="str">
        <f t="shared" si="5"/>
        <v>2 years 2 months in role and company</v>
      </c>
      <c r="P1057" s="5" t="str">
        <f t="shared" si="6"/>
        <v>New York</v>
      </c>
      <c r="Q1057" s="5" t="str">
        <f t="shared" si="7"/>
        <v>New York</v>
      </c>
      <c r="R1057" s="5" t="str">
        <f t="shared" si="8"/>
        <v>United States</v>
      </c>
    </row>
    <row r="1058">
      <c r="A1058" s="8" t="s">
        <v>7466</v>
      </c>
      <c r="B1058" s="10" t="s">
        <v>7467</v>
      </c>
      <c r="C1058" s="10" t="s">
        <v>7468</v>
      </c>
      <c r="D1058" s="10"/>
      <c r="E1058" s="10" t="s">
        <v>845</v>
      </c>
      <c r="F1058" s="10" t="s">
        <v>512</v>
      </c>
      <c r="G1058" s="11" t="s">
        <v>865</v>
      </c>
      <c r="H1058" s="11" t="s">
        <v>184</v>
      </c>
      <c r="I1058" s="11" t="s">
        <v>18</v>
      </c>
      <c r="J1058" s="9" t="str">
        <f>IFERROR(__xludf.DUMMYFUNCTION("""COMPUTED_VALUE"""),"https://www.google.com/search?newwindow=1&amp;ei=2MT0XrvGGM-vytMP1OyDgAY&amp;q=site%3Alinkedin.com+Trevor+Bridgepaul+Engineering+Campus+Recruiting")</f>
        <v>https://www.google.com/search?newwindow=1&amp;ei=2MT0XrvGGM-vytMP1OyDgAY&amp;q=site%3Alinkedin.com+Trevor+Bridgepaul+Engineering+Campus+Recruiting</v>
      </c>
      <c r="K1058" s="5" t="str">
        <f t="shared" si="1"/>
        <v>Trevor Bridgepaul</v>
      </c>
      <c r="L1058" s="5" t="str">
        <f t="shared" si="2"/>
        <v>Engineering Campus Recruiting</v>
      </c>
      <c r="M1058" s="5" t="str">
        <f t="shared" si="3"/>
        <v/>
      </c>
      <c r="N1058" s="5" t="str">
        <f t="shared" si="4"/>
        <v>Bloomberg LP</v>
      </c>
      <c r="O1058" s="5" t="str">
        <f t="shared" si="5"/>
        <v>9 months in role and company</v>
      </c>
      <c r="P1058" s="5" t="str">
        <f t="shared" si="6"/>
        <v>New York</v>
      </c>
      <c r="Q1058" s="5" t="str">
        <f t="shared" si="7"/>
        <v>New York</v>
      </c>
      <c r="R1058" s="5" t="str">
        <f t="shared" si="8"/>
        <v>United States</v>
      </c>
    </row>
    <row r="1059">
      <c r="A1059" s="8" t="s">
        <v>7469</v>
      </c>
      <c r="B1059" s="10" t="s">
        <v>7470</v>
      </c>
      <c r="C1059" s="10" t="s">
        <v>7471</v>
      </c>
      <c r="D1059" s="10"/>
      <c r="E1059" s="10" t="s">
        <v>7248</v>
      </c>
      <c r="F1059" s="10" t="s">
        <v>7472</v>
      </c>
      <c r="G1059" s="11" t="s">
        <v>7473</v>
      </c>
      <c r="H1059" s="11" t="s">
        <v>4757</v>
      </c>
      <c r="I1059" s="11" t="s">
        <v>4607</v>
      </c>
      <c r="J1059" s="9" t="str">
        <f>IFERROR(__xludf.DUMMYFUNCTION("""COMPUTED_VALUE"""),"https://www.google.com/search?newwindow=1&amp;ei=2MT0XrvGGM-vytMP1OyDgAY&amp;q=site%3Alinkedin.com+Jali+Henry+Graduate+Campus+Recruiting+Coordinator")</f>
        <v>https://www.google.com/search?newwindow=1&amp;ei=2MT0XrvGGM-vytMP1OyDgAY&amp;q=site%3Alinkedin.com+Jali+Henry+Graduate+Campus+Recruiting+Coordinator</v>
      </c>
      <c r="K1059" s="5" t="str">
        <f t="shared" si="1"/>
        <v>Jali Henry</v>
      </c>
      <c r="L1059" s="5" t="str">
        <f t="shared" si="2"/>
        <v>Graduate Campus Recruiting Coordinator</v>
      </c>
      <c r="M1059" s="5" t="str">
        <f t="shared" si="3"/>
        <v/>
      </c>
      <c r="N1059" s="5" t="str">
        <f t="shared" si="4"/>
        <v>EY</v>
      </c>
      <c r="O1059" s="5" t="str">
        <f t="shared" si="5"/>
        <v>1 year 5 months in role</v>
      </c>
      <c r="P1059" s="5" t="str">
        <f t="shared" si="6"/>
        <v>New York</v>
      </c>
      <c r="Q1059" s="5" t="str">
        <f t="shared" si="7"/>
        <v>New York</v>
      </c>
      <c r="R1059" s="5" t="str">
        <f t="shared" si="8"/>
        <v>United States</v>
      </c>
    </row>
    <row r="1060">
      <c r="A1060" s="8" t="s">
        <v>7474</v>
      </c>
      <c r="B1060" s="10" t="s">
        <v>7475</v>
      </c>
      <c r="C1060" s="10" t="s">
        <v>4596</v>
      </c>
      <c r="D1060" s="10"/>
      <c r="E1060" s="10" t="s">
        <v>7476</v>
      </c>
      <c r="F1060" s="10" t="s">
        <v>33</v>
      </c>
      <c r="G1060" s="11" t="s">
        <v>7473</v>
      </c>
      <c r="H1060" s="11" t="s">
        <v>4757</v>
      </c>
      <c r="I1060" s="11" t="s">
        <v>4607</v>
      </c>
      <c r="J1060" s="9" t="str">
        <f>IFERROR(__xludf.DUMMYFUNCTION("""COMPUTED_VALUE"""),"https://www.google.com/search?newwindow=1&amp;ei=2MT0XrvGGM-vytMP1OyDgAY&amp;q=site%3Alinkedin.com+Tiffany+Palacios+Hawkins+Campus+Recruiting+Manager,+Global+Functions")</f>
        <v>https://www.google.com/search?newwindow=1&amp;ei=2MT0XrvGGM-vytMP1OyDgAY&amp;q=site%3Alinkedin.com+Tiffany+Palacios+Hawkins+Campus+Recruiting+Manager,+Global+Functions</v>
      </c>
      <c r="K1060" s="5" t="str">
        <f t="shared" si="1"/>
        <v>Tiffany Palacios Hawkins</v>
      </c>
      <c r="L1060" s="5" t="str">
        <f t="shared" si="2"/>
        <v>Campus Recruiting Manager, Global Functions</v>
      </c>
      <c r="M1060" s="5" t="str">
        <f t="shared" si="3"/>
        <v/>
      </c>
      <c r="N1060" s="5" t="str">
        <f t="shared" si="4"/>
        <v>Citi</v>
      </c>
      <c r="O1060" s="5" t="str">
        <f t="shared" si="5"/>
        <v>2 years 2 months in role</v>
      </c>
      <c r="P1060" s="5" t="str">
        <f t="shared" si="6"/>
        <v>New York</v>
      </c>
      <c r="Q1060" s="5" t="str">
        <f t="shared" si="7"/>
        <v>New York</v>
      </c>
      <c r="R1060" s="5" t="str">
        <f t="shared" si="8"/>
        <v>United States</v>
      </c>
    </row>
    <row r="1061">
      <c r="A1061" s="8" t="s">
        <v>7477</v>
      </c>
      <c r="B1061" s="10" t="s">
        <v>7478</v>
      </c>
      <c r="C1061" s="10" t="s">
        <v>7479</v>
      </c>
      <c r="D1061" s="10"/>
      <c r="E1061" s="10" t="s">
        <v>7480</v>
      </c>
      <c r="F1061" s="10" t="s">
        <v>2269</v>
      </c>
      <c r="G1061" s="11" t="s">
        <v>7473</v>
      </c>
      <c r="H1061" s="11" t="s">
        <v>4757</v>
      </c>
      <c r="I1061" s="11" t="s">
        <v>4607</v>
      </c>
      <c r="J1061" s="9" t="str">
        <f>IFERROR(__xludf.DUMMYFUNCTION("""COMPUTED_VALUE"""),"https://www.google.com/search?newwindow=1&amp;ei=2MT0XrvGGM-vytMP1OyDgAY&amp;q=site%3Alinkedin.com+Jenna+Posner+Director,+Technology+Campus+Recruiting")</f>
        <v>https://www.google.com/search?newwindow=1&amp;ei=2MT0XrvGGM-vytMP1OyDgAY&amp;q=site%3Alinkedin.com+Jenna+Posner+Director,+Technology+Campus+Recruiting</v>
      </c>
      <c r="K1061" s="5" t="str">
        <f t="shared" si="1"/>
        <v>Jenna Posner</v>
      </c>
      <c r="L1061" s="5" t="str">
        <f t="shared" si="2"/>
        <v>Director, Technology Campus Recruiting</v>
      </c>
      <c r="M1061" s="5" t="str">
        <f t="shared" si="3"/>
        <v/>
      </c>
      <c r="N1061" s="5" t="str">
        <f t="shared" si="4"/>
        <v>Morgan Stanley</v>
      </c>
      <c r="O1061" s="5" t="str">
        <f t="shared" si="5"/>
        <v>10 months in role</v>
      </c>
      <c r="P1061" s="5" t="str">
        <f t="shared" si="6"/>
        <v>New York</v>
      </c>
      <c r="Q1061" s="5" t="str">
        <f t="shared" si="7"/>
        <v>New York</v>
      </c>
      <c r="R1061" s="5" t="str">
        <f t="shared" si="8"/>
        <v>United States</v>
      </c>
    </row>
    <row r="1062">
      <c r="A1062" s="8" t="s">
        <v>7481</v>
      </c>
      <c r="B1062" s="10" t="s">
        <v>7482</v>
      </c>
      <c r="C1062" s="10" t="s">
        <v>480</v>
      </c>
      <c r="D1062" s="10"/>
      <c r="E1062" s="10" t="s">
        <v>7476</v>
      </c>
      <c r="F1062" s="10" t="s">
        <v>331</v>
      </c>
      <c r="G1062" s="11" t="s">
        <v>7473</v>
      </c>
      <c r="H1062" s="11" t="s">
        <v>4757</v>
      </c>
      <c r="I1062" s="11" t="s">
        <v>4607</v>
      </c>
      <c r="J1062" s="9" t="str">
        <f>IFERROR(__xludf.DUMMYFUNCTION("""COMPUTED_VALUE"""),"https://www.google.com/search?newwindow=1&amp;ei=2MT0XrvGGM-vytMP1OyDgAY&amp;q=site%3Alinkedin.com+Juliane+Looney+Campus+Recruiting+Coordinator")</f>
        <v>https://www.google.com/search?newwindow=1&amp;ei=2MT0XrvGGM-vytMP1OyDgAY&amp;q=site%3Alinkedin.com+Juliane+Looney+Campus+Recruiting+Coordinator</v>
      </c>
      <c r="K1062" s="5" t="str">
        <f t="shared" si="1"/>
        <v>Juliane Looney</v>
      </c>
      <c r="L1062" s="5" t="str">
        <f t="shared" si="2"/>
        <v>Campus Recruiting Coordinator</v>
      </c>
      <c r="M1062" s="5" t="str">
        <f t="shared" si="3"/>
        <v/>
      </c>
      <c r="N1062" s="5" t="str">
        <f t="shared" si="4"/>
        <v>Goldman Sachs</v>
      </c>
      <c r="O1062" s="5" t="str">
        <f t="shared" si="5"/>
        <v>11 months in role and company</v>
      </c>
      <c r="P1062" s="5" t="str">
        <f t="shared" si="6"/>
        <v>New York</v>
      </c>
      <c r="Q1062" s="5" t="str">
        <f t="shared" si="7"/>
        <v>New York</v>
      </c>
      <c r="R1062" s="5" t="str">
        <f t="shared" si="8"/>
        <v>United States</v>
      </c>
    </row>
    <row r="1063">
      <c r="A1063" s="8" t="s">
        <v>7483</v>
      </c>
      <c r="B1063" s="12" t="s">
        <v>7484</v>
      </c>
      <c r="C1063" s="10" t="s">
        <v>4677</v>
      </c>
      <c r="D1063" s="10"/>
      <c r="E1063" s="10" t="s">
        <v>1233</v>
      </c>
      <c r="F1063" s="10" t="s">
        <v>84</v>
      </c>
      <c r="G1063" s="13" t="s">
        <v>218</v>
      </c>
      <c r="H1063" s="13" t="s">
        <v>65</v>
      </c>
      <c r="I1063" s="11" t="s">
        <v>18</v>
      </c>
      <c r="J1063" s="9" t="str">
        <f>IFERROR(__xludf.DUMMYFUNCTION("""COMPUTED_VALUE"""),"https://www.google.com/search?newwindow=1&amp;ei=2MT0XrvGGM-vytMP1OyDgAY&amp;q=site%3Alinkedin.com+Cassandra+Z.+Campus+Recruiting+Senior+Coordinator")</f>
        <v>https://www.google.com/search?newwindow=1&amp;ei=2MT0XrvGGM-vytMP1OyDgAY&amp;q=site%3Alinkedin.com+Cassandra+Z.+Campus+Recruiting+Senior+Coordinator</v>
      </c>
      <c r="K1063" s="5" t="str">
        <f t="shared" si="1"/>
        <v>Cassandra Z.</v>
      </c>
      <c r="L1063" s="5" t="str">
        <f t="shared" si="2"/>
        <v>Campus Recruiting Senior Coordinator</v>
      </c>
      <c r="M1063" s="5" t="str">
        <f t="shared" si="3"/>
        <v/>
      </c>
      <c r="N1063" s="5" t="str">
        <f t="shared" si="4"/>
        <v>Goldman Sachs</v>
      </c>
      <c r="O1063" s="5" t="str">
        <f t="shared" si="5"/>
        <v>2 years 11 months in role and company</v>
      </c>
      <c r="P1063" s="5" t="str">
        <f t="shared" si="6"/>
        <v>New York</v>
      </c>
      <c r="Q1063" s="5" t="str">
        <f t="shared" si="7"/>
        <v>New York</v>
      </c>
      <c r="R1063" s="5" t="str">
        <f t="shared" si="8"/>
        <v>United States</v>
      </c>
    </row>
    <row r="1064">
      <c r="A1064" s="8" t="s">
        <v>7485</v>
      </c>
      <c r="B1064" s="10" t="s">
        <v>7486</v>
      </c>
      <c r="C1064" s="10" t="s">
        <v>7487</v>
      </c>
      <c r="D1064" s="10"/>
      <c r="E1064" s="10" t="s">
        <v>2839</v>
      </c>
      <c r="F1064" s="10" t="s">
        <v>697</v>
      </c>
      <c r="G1064" s="13" t="s">
        <v>218</v>
      </c>
      <c r="H1064" s="13" t="s">
        <v>65</v>
      </c>
      <c r="I1064" s="11" t="s">
        <v>18</v>
      </c>
      <c r="J1064" s="9" t="str">
        <f>IFERROR(__xludf.DUMMYFUNCTION("""COMPUTED_VALUE"""),"https://www.google.com/search?newwindow=1&amp;ei=2MT0XrvGGM-vytMP1OyDgAY&amp;q=site%3Alinkedin.com+Shany+Feliz+Campus+Recruiting+Coordinator")</f>
        <v>https://www.google.com/search?newwindow=1&amp;ei=2MT0XrvGGM-vytMP1OyDgAY&amp;q=site%3Alinkedin.com+Shany+Feliz+Campus+Recruiting+Coordinator</v>
      </c>
      <c r="K1064" s="5" t="str">
        <f t="shared" si="1"/>
        <v>Shany Feliz</v>
      </c>
      <c r="L1064" s="5" t="str">
        <f t="shared" si="2"/>
        <v>Campus Recruiting Coordinator</v>
      </c>
      <c r="M1064" s="5" t="str">
        <f t="shared" si="3"/>
        <v/>
      </c>
      <c r="N1064" s="5" t="str">
        <f t="shared" si="4"/>
        <v>EY</v>
      </c>
      <c r="O1064" s="5" t="str">
        <f t="shared" si="5"/>
        <v>1 year 3 months in role and company</v>
      </c>
      <c r="P1064" s="5" t="str">
        <f t="shared" si="6"/>
        <v>New York</v>
      </c>
      <c r="Q1064" s="5" t="str">
        <f t="shared" si="7"/>
        <v>New York</v>
      </c>
      <c r="R1064" s="5" t="str">
        <f t="shared" si="8"/>
        <v>United States</v>
      </c>
    </row>
    <row r="1065">
      <c r="A1065" s="8" t="s">
        <v>7488</v>
      </c>
      <c r="B1065" s="12" t="s">
        <v>1326</v>
      </c>
      <c r="C1065" s="10" t="s">
        <v>1327</v>
      </c>
      <c r="D1065" s="10"/>
      <c r="E1065" s="10" t="s">
        <v>1233</v>
      </c>
      <c r="F1065" s="10" t="s">
        <v>26</v>
      </c>
      <c r="G1065" s="11" t="s">
        <v>218</v>
      </c>
      <c r="H1065" s="11" t="s">
        <v>219</v>
      </c>
      <c r="I1065" s="11" t="s">
        <v>18</v>
      </c>
      <c r="J1065" s="9" t="str">
        <f>IFERROR(__xludf.DUMMYFUNCTION("""COMPUTED_VALUE"""),"https://www.google.com/search?newwindow=1&amp;ei=2MT0XrvGGM-vytMP1OyDgAY&amp;q=site%3Alinkedin.com+Brianna+Whitney+Campus+Recruiting+Coordinator")</f>
        <v>https://www.google.com/search?newwindow=1&amp;ei=2MT0XrvGGM-vytMP1OyDgAY&amp;q=site%3Alinkedin.com+Brianna+Whitney+Campus+Recruiting+Coordinator</v>
      </c>
      <c r="K1065" s="5" t="str">
        <f t="shared" si="1"/>
        <v>Brianna Whitney</v>
      </c>
      <c r="L1065" s="5" t="str">
        <f t="shared" si="2"/>
        <v>Campus Recruiting Coordinator</v>
      </c>
      <c r="M1065" s="5" t="str">
        <f t="shared" si="3"/>
        <v/>
      </c>
      <c r="N1065" s="5" t="str">
        <f t="shared" si="4"/>
        <v>EY</v>
      </c>
      <c r="O1065" s="5" t="str">
        <f t="shared" si="5"/>
        <v>1 year 9 months in role and company</v>
      </c>
      <c r="P1065" s="5" t="str">
        <f t="shared" si="6"/>
        <v>New York</v>
      </c>
      <c r="Q1065" s="5" t="str">
        <f t="shared" si="7"/>
        <v>New York</v>
      </c>
      <c r="R1065" s="5" t="str">
        <f t="shared" si="8"/>
        <v>United States</v>
      </c>
    </row>
    <row r="1066">
      <c r="A1066" s="8" t="s">
        <v>7489</v>
      </c>
      <c r="B1066" s="12" t="s">
        <v>7490</v>
      </c>
      <c r="C1066" s="10" t="s">
        <v>1378</v>
      </c>
      <c r="D1066" s="10"/>
      <c r="E1066" s="10" t="s">
        <v>1233</v>
      </c>
      <c r="F1066" s="10" t="s">
        <v>207</v>
      </c>
      <c r="G1066" s="11" t="s">
        <v>953</v>
      </c>
      <c r="H1066" s="11" t="s">
        <v>954</v>
      </c>
      <c r="I1066" s="11" t="s">
        <v>18</v>
      </c>
      <c r="J1066" s="9" t="str">
        <f>IFERROR(__xludf.DUMMYFUNCTION("""COMPUTED_VALUE"""),"https://www.google.com/search?newwindow=1&amp;ei=2MT0XrvGGM-vytMP1OyDgAY&amp;q=site%3Alinkedin.com+Erin+Leonard+Manager,+Investment+Banking+MBA+Campus+Recruiting")</f>
        <v>https://www.google.com/search?newwindow=1&amp;ei=2MT0XrvGGM-vytMP1OyDgAY&amp;q=site%3Alinkedin.com+Erin+Leonard+Manager,+Investment+Banking+MBA+Campus+Recruiting</v>
      </c>
      <c r="K1066" s="5" t="str">
        <f t="shared" si="1"/>
        <v>Erin Leonard</v>
      </c>
      <c r="L1066" s="5" t="str">
        <f t="shared" si="2"/>
        <v>Manager, Investment Banking MBA Campus Recruiting</v>
      </c>
      <c r="M1066" s="5" t="str">
        <f t="shared" si="3"/>
        <v>MBA</v>
      </c>
      <c r="N1066" s="5" t="str">
        <f t="shared" si="4"/>
        <v>Morgan Stanley</v>
      </c>
      <c r="O1066" s="5" t="str">
        <f t="shared" si="5"/>
        <v>2 years 3 months in role and company</v>
      </c>
      <c r="P1066" s="5" t="str">
        <f t="shared" si="6"/>
        <v>New York</v>
      </c>
      <c r="Q1066" s="5" t="str">
        <f t="shared" si="7"/>
        <v>New York</v>
      </c>
      <c r="R1066" s="5" t="str">
        <f t="shared" si="8"/>
        <v>United States</v>
      </c>
    </row>
    <row r="1067">
      <c r="A1067" s="8" t="s">
        <v>7491</v>
      </c>
      <c r="B1067" s="10" t="s">
        <v>7492</v>
      </c>
      <c r="C1067" s="10" t="s">
        <v>4674</v>
      </c>
      <c r="D1067" s="10"/>
      <c r="E1067" s="10" t="s">
        <v>1233</v>
      </c>
      <c r="F1067" s="10" t="s">
        <v>446</v>
      </c>
      <c r="G1067" s="11" t="s">
        <v>953</v>
      </c>
      <c r="H1067" s="11" t="s">
        <v>954</v>
      </c>
      <c r="I1067" s="11" t="s">
        <v>18</v>
      </c>
      <c r="J1067" s="9" t="str">
        <f>IFERROR(__xludf.DUMMYFUNCTION("""COMPUTED_VALUE"""),"https://www.google.com/search?newwindow=1&amp;ei=2MT0XrvGGM-vytMP1OyDgAY&amp;q=site%3Alinkedin.com+Nicole+Fritz+Director,+Talent+Acquisition+Marketing")</f>
        <v>https://www.google.com/search?newwindow=1&amp;ei=2MT0XrvGGM-vytMP1OyDgAY&amp;q=site%3Alinkedin.com+Nicole+Fritz+Director,+Talent+Acquisition+Marketing</v>
      </c>
      <c r="K1067" s="5" t="str">
        <f t="shared" si="1"/>
        <v>Nicole Fritz</v>
      </c>
      <c r="L1067" s="5" t="str">
        <f t="shared" si="2"/>
        <v>Director, Talent Acquisition Marketing</v>
      </c>
      <c r="M1067" s="5" t="str">
        <f t="shared" si="3"/>
        <v/>
      </c>
      <c r="N1067" s="5" t="str">
        <f t="shared" si="4"/>
        <v>KPMG US</v>
      </c>
      <c r="O1067" s="5" t="str">
        <f t="shared" si="5"/>
        <v>3 years 1 month in role</v>
      </c>
      <c r="P1067" s="5" t="str">
        <f t="shared" si="6"/>
        <v>New York</v>
      </c>
      <c r="Q1067" s="5" t="str">
        <f t="shared" si="7"/>
        <v>New York</v>
      </c>
      <c r="R1067" s="5" t="str">
        <f t="shared" si="8"/>
        <v>United States</v>
      </c>
    </row>
    <row r="1068">
      <c r="A1068" s="8" t="s">
        <v>7493</v>
      </c>
      <c r="B1068" s="12" t="s">
        <v>7494</v>
      </c>
      <c r="C1068" s="10" t="s">
        <v>7495</v>
      </c>
      <c r="D1068" s="10"/>
      <c r="E1068" s="10" t="s">
        <v>4701</v>
      </c>
      <c r="F1068" s="10" t="s">
        <v>441</v>
      </c>
      <c r="G1068" s="11" t="s">
        <v>953</v>
      </c>
      <c r="H1068" s="11" t="s">
        <v>954</v>
      </c>
      <c r="I1068" s="11" t="s">
        <v>18</v>
      </c>
      <c r="J1068" s="9" t="str">
        <f>IFERROR(__xludf.DUMMYFUNCTION("""COMPUTED_VALUE"""),"https://www.google.com/search?newwindow=1&amp;ei=2MT0XrvGGM-vytMP1OyDgAY&amp;q=site%3Alinkedin.com+Sarah+Abt+Campus+Recruiting+Manager")</f>
        <v>https://www.google.com/search?newwindow=1&amp;ei=2MT0XrvGGM-vytMP1OyDgAY&amp;q=site%3Alinkedin.com+Sarah+Abt+Campus+Recruiting+Manager</v>
      </c>
      <c r="K1068" s="5" t="str">
        <f t="shared" si="1"/>
        <v>Sarah Abt</v>
      </c>
      <c r="L1068" s="5" t="str">
        <f t="shared" si="2"/>
        <v>Campus Recruiting Manager</v>
      </c>
      <c r="M1068" s="5" t="str">
        <f t="shared" si="3"/>
        <v/>
      </c>
      <c r="N1068" s="5" t="str">
        <f t="shared" si="4"/>
        <v>JPMorgan Chase &amp; Co.</v>
      </c>
      <c r="O1068" s="5" t="str">
        <f t="shared" si="5"/>
        <v>8 months in role</v>
      </c>
      <c r="P1068" s="5" t="str">
        <f t="shared" si="6"/>
        <v>New York</v>
      </c>
      <c r="Q1068" s="5" t="str">
        <f t="shared" si="7"/>
        <v>New York</v>
      </c>
      <c r="R1068" s="5" t="str">
        <f t="shared" si="8"/>
        <v>United States</v>
      </c>
    </row>
    <row r="1069">
      <c r="A1069" s="8" t="s">
        <v>7496</v>
      </c>
      <c r="B1069" s="10" t="s">
        <v>7497</v>
      </c>
      <c r="C1069" s="10" t="s">
        <v>4749</v>
      </c>
      <c r="D1069" s="10"/>
      <c r="E1069" s="10" t="s">
        <v>4701</v>
      </c>
      <c r="F1069" s="10" t="s">
        <v>712</v>
      </c>
      <c r="G1069" s="11" t="s">
        <v>953</v>
      </c>
      <c r="H1069" s="11" t="s">
        <v>954</v>
      </c>
      <c r="I1069" s="11" t="s">
        <v>18</v>
      </c>
      <c r="J1069" s="9" t="str">
        <f>IFERROR(__xludf.DUMMYFUNCTION("""COMPUTED_VALUE"""),"https://www.google.com/search?newwindow=1&amp;ei=2MT0XrvGGM-vytMP1OyDgAY&amp;q=site%3Alinkedin.com+Mary+Curtis+U.S.+Campus+Recruiter")</f>
        <v>https://www.google.com/search?newwindow=1&amp;ei=2MT0XrvGGM-vytMP1OyDgAY&amp;q=site%3Alinkedin.com+Mary+Curtis+U.S.+Campus+Recruiter</v>
      </c>
      <c r="K1069" s="5" t="str">
        <f t="shared" si="1"/>
        <v>Mary Curtis</v>
      </c>
      <c r="L1069" s="5" t="str">
        <f t="shared" si="2"/>
        <v>U.S. Campus Recruiter</v>
      </c>
      <c r="M1069" s="5" t="str">
        <f t="shared" si="3"/>
        <v/>
      </c>
      <c r="N1069" s="5" t="str">
        <f t="shared" si="4"/>
        <v>American Express</v>
      </c>
      <c r="O1069" s="5" t="str">
        <f t="shared" si="5"/>
        <v>1 year 10 months in role and company</v>
      </c>
      <c r="P1069" s="5" t="str">
        <f t="shared" si="6"/>
        <v>New York</v>
      </c>
      <c r="Q1069" s="5" t="str">
        <f t="shared" si="7"/>
        <v>New York</v>
      </c>
      <c r="R1069" s="5" t="str">
        <f t="shared" si="8"/>
        <v>United States</v>
      </c>
    </row>
    <row r="1070">
      <c r="A1070" s="8" t="s">
        <v>7498</v>
      </c>
      <c r="B1070" s="10" t="s">
        <v>3720</v>
      </c>
      <c r="C1070" s="10" t="s">
        <v>3721</v>
      </c>
      <c r="D1070" s="10"/>
      <c r="E1070" s="10" t="s">
        <v>3649</v>
      </c>
      <c r="F1070" s="10" t="s">
        <v>1300</v>
      </c>
      <c r="G1070" s="11" t="s">
        <v>953</v>
      </c>
      <c r="H1070" s="11" t="s">
        <v>954</v>
      </c>
      <c r="I1070" s="11" t="s">
        <v>18</v>
      </c>
      <c r="J1070" s="9" t="str">
        <f>IFERROR(__xludf.DUMMYFUNCTION("""COMPUTED_VALUE"""),"https://www.google.com/search?newwindow=1&amp;ei=2MT0XrvGGM-vytMP1OyDgAY&amp;q=site%3Alinkedin.com+Katie+Long,+SHRM-CP,+PHR+Campus+Recruiting+Manager")</f>
        <v>https://www.google.com/search?newwindow=1&amp;ei=2MT0XrvGGM-vytMP1OyDgAY&amp;q=site%3Alinkedin.com+Katie+Long,+SHRM-CP,+PHR+Campus+Recruiting+Manager</v>
      </c>
      <c r="K1070" s="5" t="str">
        <f t="shared" si="1"/>
        <v>Katie Long, SHRM-CP, PHR</v>
      </c>
      <c r="L1070" s="5" t="str">
        <f t="shared" si="2"/>
        <v>Campus Recruiting Manager</v>
      </c>
      <c r="M1070" s="5" t="str">
        <f t="shared" si="3"/>
        <v/>
      </c>
      <c r="N1070" s="5" t="str">
        <f t="shared" si="4"/>
        <v>Deloitte</v>
      </c>
      <c r="O1070" s="5" t="str">
        <f t="shared" si="5"/>
        <v>5 months in role</v>
      </c>
      <c r="P1070" s="5" t="str">
        <f t="shared" si="6"/>
        <v>New York</v>
      </c>
      <c r="Q1070" s="5" t="str">
        <f t="shared" si="7"/>
        <v>New York</v>
      </c>
      <c r="R1070" s="5" t="str">
        <f t="shared" si="8"/>
        <v>United States</v>
      </c>
    </row>
    <row r="1071">
      <c r="A1071" s="8" t="s">
        <v>7499</v>
      </c>
      <c r="B1071" s="10" t="s">
        <v>3664</v>
      </c>
      <c r="C1071" s="10" t="s">
        <v>371</v>
      </c>
      <c r="D1071" s="12"/>
      <c r="E1071" s="12" t="s">
        <v>4935</v>
      </c>
      <c r="F1071" s="10"/>
      <c r="G1071" s="11" t="s">
        <v>953</v>
      </c>
      <c r="H1071" s="11" t="s">
        <v>954</v>
      </c>
      <c r="I1071" s="11" t="s">
        <v>18</v>
      </c>
      <c r="J1071" s="9" t="str">
        <f>IFERROR(__xludf.DUMMYFUNCTION("""COMPUTED_VALUE"""),"https://www.google.com/search?newwindow=1&amp;ei=2MT0XrvGGM-vytMP1OyDgAY&amp;q=site%3Alinkedin.com+Madison+Philips+Campus+Recruiting+Coordinator")</f>
        <v>https://www.google.com/search?newwindow=1&amp;ei=2MT0XrvGGM-vytMP1OyDgAY&amp;q=site%3Alinkedin.com+Madison+Philips+Campus+Recruiting+Coordinator</v>
      </c>
      <c r="K1071" s="5" t="str">
        <f t="shared" si="1"/>
        <v>Madison Philips</v>
      </c>
      <c r="L1071" s="5" t="str">
        <f t="shared" si="2"/>
        <v>Campus Recruiting Coordinator</v>
      </c>
      <c r="M1071" s="5" t="str">
        <f t="shared" si="3"/>
        <v/>
      </c>
      <c r="N1071" s="5" t="str">
        <f t="shared" si="4"/>
        <v>EY</v>
      </c>
      <c r="O1071" s="5" t="str">
        <f t="shared" si="5"/>
        <v>1 year 6 months in role and company</v>
      </c>
      <c r="P1071" s="5" t="str">
        <f t="shared" si="6"/>
        <v>New York</v>
      </c>
      <c r="Q1071" s="5" t="str">
        <f t="shared" si="7"/>
        <v>New York</v>
      </c>
      <c r="R1071" s="5" t="str">
        <f t="shared" si="8"/>
        <v>United States</v>
      </c>
    </row>
    <row r="1072">
      <c r="A1072" s="8" t="s">
        <v>7500</v>
      </c>
      <c r="B1072" s="10" t="s">
        <v>7501</v>
      </c>
      <c r="C1072" s="10" t="s">
        <v>7502</v>
      </c>
      <c r="D1072" s="12"/>
      <c r="E1072" s="12" t="s">
        <v>7503</v>
      </c>
      <c r="F1072" s="10"/>
      <c r="G1072" s="11" t="s">
        <v>953</v>
      </c>
      <c r="H1072" s="11" t="s">
        <v>954</v>
      </c>
      <c r="I1072" s="11" t="s">
        <v>18</v>
      </c>
      <c r="J1072" s="9" t="str">
        <f>IFERROR(__xludf.DUMMYFUNCTION("""COMPUTED_VALUE"""),"https://www.google.com/search?newwindow=1&amp;ei=2MT0XrvGGM-vytMP1OyDgAY&amp;q=site%3Alinkedin.com+Jeremy+Carrine+Campus+Recruiting+Manager+|+East+Region")</f>
        <v>https://www.google.com/search?newwindow=1&amp;ei=2MT0XrvGGM-vytMP1OyDgAY&amp;q=site%3Alinkedin.com+Jeremy+Carrine+Campus+Recruiting+Manager+|+East+Region</v>
      </c>
      <c r="K1072" s="5" t="str">
        <f t="shared" si="1"/>
        <v>Jeremy Carrine</v>
      </c>
      <c r="L1072" s="5" t="str">
        <f t="shared" si="2"/>
        <v>Campus Recruiting Manager | East Region</v>
      </c>
      <c r="M1072" s="5" t="str">
        <f t="shared" si="3"/>
        <v/>
      </c>
      <c r="N1072" s="5" t="str">
        <f t="shared" si="4"/>
        <v>Deloitte</v>
      </c>
      <c r="O1072" s="5" t="str">
        <f t="shared" si="5"/>
        <v>5 years 10 months in role</v>
      </c>
      <c r="P1072" s="5" t="str">
        <f t="shared" si="6"/>
        <v>New York</v>
      </c>
      <c r="Q1072" s="5" t="str">
        <f t="shared" si="7"/>
        <v>New York</v>
      </c>
      <c r="R1072" s="5" t="str">
        <f t="shared" si="8"/>
        <v>United States</v>
      </c>
    </row>
    <row r="1073">
      <c r="A1073" s="8" t="s">
        <v>7504</v>
      </c>
      <c r="B1073" s="10" t="s">
        <v>7505</v>
      </c>
      <c r="C1073" s="10" t="s">
        <v>4560</v>
      </c>
      <c r="D1073" s="10"/>
      <c r="E1073" s="10" t="s">
        <v>4536</v>
      </c>
      <c r="F1073" s="10" t="s">
        <v>48</v>
      </c>
      <c r="G1073" s="11" t="s">
        <v>953</v>
      </c>
      <c r="H1073" s="11" t="s">
        <v>954</v>
      </c>
      <c r="I1073" s="11" t="s">
        <v>18</v>
      </c>
      <c r="J1073" s="9" t="str">
        <f>IFERROR(__xludf.DUMMYFUNCTION("""COMPUTED_VALUE"""),"https://www.google.com/search?newwindow=1&amp;ei=2MT0XrvGGM-vytMP1OyDgAY&amp;q=site%3Alinkedin.com+Lauren+Harris+Assistant+Director,+US-East+Campus+Recruiting")</f>
        <v>https://www.google.com/search?newwindow=1&amp;ei=2MT0XrvGGM-vytMP1OyDgAY&amp;q=site%3Alinkedin.com+Lauren+Harris+Assistant+Director,+US-East+Campus+Recruiting</v>
      </c>
      <c r="K1073" s="5" t="str">
        <f t="shared" si="1"/>
        <v>Lauren Harris</v>
      </c>
      <c r="L1073" s="5" t="str">
        <f t="shared" si="2"/>
        <v>Assistant Director, US-East Campus Recruiting</v>
      </c>
      <c r="M1073" s="5" t="str">
        <f t="shared" si="3"/>
        <v/>
      </c>
      <c r="N1073" s="5" t="str">
        <f t="shared" si="4"/>
        <v>EY</v>
      </c>
      <c r="O1073" s="5" t="str">
        <f t="shared" si="5"/>
        <v>1 year 1 month in role</v>
      </c>
      <c r="P1073" s="5" t="str">
        <f t="shared" si="6"/>
        <v>New York</v>
      </c>
      <c r="Q1073" s="5" t="str">
        <f t="shared" si="7"/>
        <v>New York</v>
      </c>
      <c r="R1073" s="5" t="str">
        <f t="shared" si="8"/>
        <v>United States</v>
      </c>
    </row>
    <row r="1074">
      <c r="A1074" s="8" t="s">
        <v>7506</v>
      </c>
      <c r="B1074" s="10" t="s">
        <v>7507</v>
      </c>
      <c r="C1074" s="10" t="s">
        <v>4560</v>
      </c>
      <c r="D1074" s="10"/>
      <c r="E1074" s="10" t="s">
        <v>4536</v>
      </c>
      <c r="F1074" s="10" t="s">
        <v>1531</v>
      </c>
      <c r="G1074" s="11" t="s">
        <v>953</v>
      </c>
      <c r="H1074" s="11" t="s">
        <v>954</v>
      </c>
      <c r="I1074" s="11" t="s">
        <v>18</v>
      </c>
      <c r="J1074" s="9" t="str">
        <f>IFERROR(__xludf.DUMMYFUNCTION("""COMPUTED_VALUE"""),"https://www.google.com/search?newwindow=1&amp;ei=2MT0XrvGGM-vytMP1OyDgAY&amp;q=site%3Alinkedin.com+Madison+Gallagher+Director+of+Technology+Campus+Recruiting")</f>
        <v>https://www.google.com/search?newwindow=1&amp;ei=2MT0XrvGGM-vytMP1OyDgAY&amp;q=site%3Alinkedin.com+Madison+Gallagher+Director+of+Technology+Campus+Recruiting</v>
      </c>
      <c r="K1074" s="5" t="str">
        <f t="shared" si="1"/>
        <v>Madison Gallagher</v>
      </c>
      <c r="L1074" s="5" t="str">
        <f t="shared" si="2"/>
        <v>Director of Technology Campus Recruiting</v>
      </c>
      <c r="M1074" s="5" t="str">
        <f t="shared" si="3"/>
        <v/>
      </c>
      <c r="N1074" s="5" t="str">
        <f t="shared" si="4"/>
        <v>Morgan Stanley</v>
      </c>
      <c r="O1074" s="5" t="str">
        <f t="shared" si="5"/>
        <v>1 year 1 month in role and company</v>
      </c>
      <c r="P1074" s="5" t="str">
        <f t="shared" si="6"/>
        <v>New York</v>
      </c>
      <c r="Q1074" s="5" t="str">
        <f t="shared" si="7"/>
        <v>New York</v>
      </c>
      <c r="R1074" s="5" t="str">
        <f t="shared" si="8"/>
        <v>United States</v>
      </c>
    </row>
    <row r="1075">
      <c r="A1075" s="8" t="s">
        <v>7508</v>
      </c>
      <c r="B1075" s="10" t="s">
        <v>7509</v>
      </c>
      <c r="C1075" s="10" t="s">
        <v>7510</v>
      </c>
      <c r="D1075" s="10"/>
      <c r="E1075" s="10" t="s">
        <v>1233</v>
      </c>
      <c r="F1075" s="10" t="s">
        <v>322</v>
      </c>
      <c r="G1075" s="11" t="s">
        <v>953</v>
      </c>
      <c r="H1075" s="11" t="s">
        <v>954</v>
      </c>
      <c r="I1075" s="11" t="s">
        <v>18</v>
      </c>
      <c r="J1075" s="9" t="str">
        <f>IFERROR(__xludf.DUMMYFUNCTION("""COMPUTED_VALUE"""),"https://www.google.com/search?newwindow=1&amp;ei=2MT0XrvGGM-vytMP1OyDgAY&amp;q=site%3Alinkedin.com+Natasha+Bhalla+Manager,+Technology+Campus+Recruiting")</f>
        <v>https://www.google.com/search?newwindow=1&amp;ei=2MT0XrvGGM-vytMP1OyDgAY&amp;q=site%3Alinkedin.com+Natasha+Bhalla+Manager,+Technology+Campus+Recruiting</v>
      </c>
      <c r="K1075" s="5" t="str">
        <f t="shared" si="1"/>
        <v>Natasha Bhalla</v>
      </c>
      <c r="L1075" s="5" t="str">
        <f t="shared" si="2"/>
        <v>Manager, Technology Campus Recruiting</v>
      </c>
      <c r="M1075" s="5" t="str">
        <f t="shared" si="3"/>
        <v/>
      </c>
      <c r="N1075" s="5" t="str">
        <f t="shared" si="4"/>
        <v>Morgan Stanley</v>
      </c>
      <c r="O1075" s="5" t="str">
        <f t="shared" si="5"/>
        <v>1 year 10 months in role</v>
      </c>
      <c r="P1075" s="5" t="str">
        <f t="shared" si="6"/>
        <v>New York</v>
      </c>
      <c r="Q1075" s="5" t="str">
        <f t="shared" si="7"/>
        <v>New York</v>
      </c>
      <c r="R1075" s="5" t="str">
        <f t="shared" si="8"/>
        <v>United States</v>
      </c>
    </row>
    <row r="1076">
      <c r="A1076" s="8" t="s">
        <v>7511</v>
      </c>
      <c r="B1076" s="12" t="s">
        <v>7512</v>
      </c>
      <c r="C1076" s="10" t="s">
        <v>2871</v>
      </c>
      <c r="D1076" s="10"/>
      <c r="E1076" s="10" t="s">
        <v>2839</v>
      </c>
      <c r="F1076" s="10" t="s">
        <v>579</v>
      </c>
      <c r="G1076" s="11" t="s">
        <v>953</v>
      </c>
      <c r="H1076" s="11" t="s">
        <v>954</v>
      </c>
      <c r="I1076" s="11" t="s">
        <v>18</v>
      </c>
      <c r="J1076" s="9" t="str">
        <f>IFERROR(__xludf.DUMMYFUNCTION("""COMPUTED_VALUE"""),"https://www.google.com/search?newwindow=1&amp;ei=2MT0XrvGGM-vytMP1OyDgAY&amp;q=site%3Alinkedin.com+Rita+DiLeo+Tomann,+MBA+National+Campus+Recruiting+Lead")</f>
        <v>https://www.google.com/search?newwindow=1&amp;ei=2MT0XrvGGM-vytMP1OyDgAY&amp;q=site%3Alinkedin.com+Rita+DiLeo+Tomann,+MBA+National+Campus+Recruiting+Lead</v>
      </c>
      <c r="K1076" s="5" t="str">
        <f t="shared" si="1"/>
        <v>Rita DiLeo Tomann, MBA</v>
      </c>
      <c r="L1076" s="5" t="str">
        <f t="shared" si="2"/>
        <v>National Campus Recruiting Lead</v>
      </c>
      <c r="M1076" s="5" t="str">
        <f t="shared" si="3"/>
        <v/>
      </c>
      <c r="N1076" s="5" t="str">
        <f t="shared" si="4"/>
        <v>Deloitte</v>
      </c>
      <c r="O1076" s="5" t="str">
        <f t="shared" si="5"/>
        <v>1 year 7 months in role</v>
      </c>
      <c r="P1076" s="5" t="str">
        <f t="shared" si="6"/>
        <v>New York</v>
      </c>
      <c r="Q1076" s="5" t="str">
        <f t="shared" si="7"/>
        <v>New York</v>
      </c>
      <c r="R1076" s="5" t="str">
        <f t="shared" si="8"/>
        <v>United States</v>
      </c>
    </row>
    <row r="1077">
      <c r="A1077" s="8" t="s">
        <v>7513</v>
      </c>
      <c r="B1077" s="10" t="s">
        <v>7514</v>
      </c>
      <c r="C1077" s="10" t="s">
        <v>1378</v>
      </c>
      <c r="D1077" s="10"/>
      <c r="E1077" s="10" t="s">
        <v>1233</v>
      </c>
      <c r="F1077" s="10" t="s">
        <v>574</v>
      </c>
      <c r="G1077" s="11" t="s">
        <v>953</v>
      </c>
      <c r="H1077" s="11" t="s">
        <v>954</v>
      </c>
      <c r="I1077" s="11" t="s">
        <v>18</v>
      </c>
      <c r="J1077" s="9" t="str">
        <f>IFERROR(__xludf.DUMMYFUNCTION("""COMPUTED_VALUE"""),"https://www.google.com/search?newwindow=1&amp;ei=2MT0XrvGGM-vytMP1OyDgAY&amp;q=site%3Alinkedin.com+Jacqueline+DeFrancesco+Campus+Recruiting+Specailist")</f>
        <v>https://www.google.com/search?newwindow=1&amp;ei=2MT0XrvGGM-vytMP1OyDgAY&amp;q=site%3Alinkedin.com+Jacqueline+DeFrancesco+Campus+Recruiting+Specailist</v>
      </c>
      <c r="K1077" s="5" t="str">
        <f t="shared" si="1"/>
        <v>Jacqueline DeFrancesco</v>
      </c>
      <c r="L1077" s="5" t="str">
        <f t="shared" si="2"/>
        <v>Campus Recruiting Specailist</v>
      </c>
      <c r="M1077" s="5" t="str">
        <f t="shared" si="3"/>
        <v/>
      </c>
      <c r="N1077" s="5" t="str">
        <f t="shared" si="4"/>
        <v>Deloitte</v>
      </c>
      <c r="O1077" s="5" t="str">
        <f t="shared" si="5"/>
        <v>8 months in role</v>
      </c>
      <c r="P1077" s="5" t="str">
        <f t="shared" si="6"/>
        <v>New York</v>
      </c>
      <c r="Q1077" s="5" t="str">
        <f t="shared" si="7"/>
        <v>New York</v>
      </c>
      <c r="R1077" s="5" t="str">
        <f t="shared" si="8"/>
        <v>United States</v>
      </c>
    </row>
    <row r="1078">
      <c r="A1078" s="8" t="s">
        <v>7515</v>
      </c>
      <c r="B1078" s="10" t="s">
        <v>7516</v>
      </c>
      <c r="C1078" s="10" t="s">
        <v>7517</v>
      </c>
      <c r="D1078" s="10"/>
      <c r="E1078" s="10" t="s">
        <v>7518</v>
      </c>
      <c r="F1078" s="10" t="s">
        <v>63</v>
      </c>
      <c r="G1078" s="11" t="s">
        <v>7519</v>
      </c>
      <c r="H1078" s="11" t="s">
        <v>4638</v>
      </c>
      <c r="I1078" s="11" t="s">
        <v>4600</v>
      </c>
      <c r="J1078" s="9" t="str">
        <f>IFERROR(__xludf.DUMMYFUNCTION("""COMPUTED_VALUE"""),"https://www.google.com/search?newwindow=1&amp;ei=2MT0XrvGGM-vytMP1OyDgAY&amp;q=site%3Alinkedin.com+Tim+Caggiano+Campus+Recruiting+Specialist")</f>
        <v>https://www.google.com/search?newwindow=1&amp;ei=2MT0XrvGGM-vytMP1OyDgAY&amp;q=site%3Alinkedin.com+Tim+Caggiano+Campus+Recruiting+Specialist</v>
      </c>
      <c r="K1078" s="5" t="str">
        <f t="shared" si="1"/>
        <v>Tim Caggiano</v>
      </c>
      <c r="L1078" s="5" t="str">
        <f t="shared" si="2"/>
        <v>Campus Recruiting Specialist</v>
      </c>
      <c r="M1078" s="5" t="str">
        <f t="shared" si="3"/>
        <v/>
      </c>
      <c r="N1078" s="5" t="str">
        <f t="shared" si="4"/>
        <v>Accenture</v>
      </c>
      <c r="O1078" s="5" t="str">
        <f t="shared" si="5"/>
        <v>1 year 11 months in role and company</v>
      </c>
      <c r="P1078" s="5" t="str">
        <f t="shared" si="6"/>
        <v>New York</v>
      </c>
      <c r="Q1078" s="5" t="str">
        <f t="shared" si="7"/>
        <v>New York</v>
      </c>
      <c r="R1078" s="5" t="str">
        <f t="shared" si="8"/>
        <v>United States</v>
      </c>
    </row>
    <row r="1079">
      <c r="A1079" s="8" t="s">
        <v>7520</v>
      </c>
      <c r="B1079" s="10" t="s">
        <v>7521</v>
      </c>
      <c r="C1079" s="10" t="s">
        <v>7522</v>
      </c>
      <c r="D1079" s="10"/>
      <c r="E1079" s="10" t="s">
        <v>7523</v>
      </c>
      <c r="F1079" s="10" t="s">
        <v>63</v>
      </c>
      <c r="G1079" s="11" t="s">
        <v>7519</v>
      </c>
      <c r="H1079" s="11" t="s">
        <v>4638</v>
      </c>
      <c r="I1079" s="11" t="s">
        <v>4600</v>
      </c>
      <c r="J1079" s="9" t="str">
        <f>IFERROR(__xludf.DUMMYFUNCTION("""COMPUTED_VALUE"""),"https://www.google.com/search?newwindow=1&amp;ei=2MT0XrvGGM-vytMP1OyDgAY&amp;q=site%3Alinkedin.com+Courtney+Schroeder+Associate+Recruiter+-+Campus+Recruiting")</f>
        <v>https://www.google.com/search?newwindow=1&amp;ei=2MT0XrvGGM-vytMP1OyDgAY&amp;q=site%3Alinkedin.com+Courtney+Schroeder+Associate+Recruiter+-+Campus+Recruiting</v>
      </c>
      <c r="K1079" s="5" t="str">
        <f t="shared" si="1"/>
        <v>Courtney Schroeder</v>
      </c>
      <c r="L1079" s="5" t="str">
        <f t="shared" si="2"/>
        <v>Associate Recruiter - Campus Recruiting</v>
      </c>
      <c r="M1079" s="5" t="str">
        <f t="shared" si="3"/>
        <v/>
      </c>
      <c r="N1079" s="5" t="str">
        <f t="shared" si="4"/>
        <v>Accenture</v>
      </c>
      <c r="O1079" s="5" t="str">
        <f t="shared" si="5"/>
        <v>1 year 2 months in role and company</v>
      </c>
      <c r="P1079" s="5" t="str">
        <f t="shared" si="6"/>
        <v>New York</v>
      </c>
      <c r="Q1079" s="5" t="str">
        <f t="shared" si="7"/>
        <v>New York</v>
      </c>
      <c r="R1079" s="5" t="str">
        <f t="shared" si="8"/>
        <v>United States</v>
      </c>
    </row>
    <row r="1080">
      <c r="A1080" s="8" t="s">
        <v>7524</v>
      </c>
      <c r="B1080" s="10" t="s">
        <v>7525</v>
      </c>
      <c r="C1080" s="10" t="s">
        <v>25</v>
      </c>
      <c r="D1080" s="10"/>
      <c r="E1080" s="10" t="s">
        <v>7523</v>
      </c>
      <c r="F1080" s="10" t="s">
        <v>79</v>
      </c>
      <c r="G1080" s="11" t="s">
        <v>7519</v>
      </c>
      <c r="H1080" s="11" t="s">
        <v>4638</v>
      </c>
      <c r="I1080" s="11" t="s">
        <v>4600</v>
      </c>
      <c r="J1080" s="9" t="str">
        <f>IFERROR(__xludf.DUMMYFUNCTION("""COMPUTED_VALUE"""),"https://www.google.com/search?newwindow=1&amp;ei=2MT0XrvGGM-vytMP1OyDgAY&amp;q=site%3Alinkedin.com+James+(Seldric)+Blocker+Executive+Director;+Asset+&amp;+Wealth+Management+Campus+Recruiting")</f>
        <v>https://www.google.com/search?newwindow=1&amp;ei=2MT0XrvGGM-vytMP1OyDgAY&amp;q=site%3Alinkedin.com+James+(Seldric)+Blocker+Executive+Director;+Asset+&amp;+Wealth+Management+Campus+Recruiting</v>
      </c>
      <c r="K1080" s="5" t="str">
        <f t="shared" si="1"/>
        <v>James (Seldric) Blocker</v>
      </c>
      <c r="L1080" s="5" t="str">
        <f t="shared" si="2"/>
        <v>Executive Director; Asset &amp; Wealth Management Campus Recruiting</v>
      </c>
      <c r="M1080" s="5" t="str">
        <f t="shared" si="3"/>
        <v/>
      </c>
      <c r="N1080" s="5" t="str">
        <f t="shared" si="4"/>
        <v>JPMorgan Chase &amp; Co.</v>
      </c>
      <c r="O1080" s="5" t="str">
        <f t="shared" si="5"/>
        <v>1 year 10 months in role and company</v>
      </c>
      <c r="P1080" s="5" t="str">
        <f t="shared" si="6"/>
        <v>New York</v>
      </c>
      <c r="Q1080" s="5" t="str">
        <f t="shared" si="7"/>
        <v>New York</v>
      </c>
      <c r="R1080" s="5" t="str">
        <f t="shared" si="8"/>
        <v>United States</v>
      </c>
    </row>
    <row r="1081">
      <c r="A1081" s="8" t="s">
        <v>7526</v>
      </c>
      <c r="B1081" s="10" t="s">
        <v>7527</v>
      </c>
      <c r="C1081" s="10" t="s">
        <v>7528</v>
      </c>
      <c r="D1081" s="10"/>
      <c r="E1081" s="10" t="s">
        <v>5314</v>
      </c>
      <c r="F1081" s="10" t="s">
        <v>822</v>
      </c>
      <c r="G1081" s="11" t="s">
        <v>7519</v>
      </c>
      <c r="H1081" s="11" t="s">
        <v>4638</v>
      </c>
      <c r="I1081" s="11" t="s">
        <v>4600</v>
      </c>
      <c r="J1081" s="9" t="str">
        <f>IFERROR(__xludf.DUMMYFUNCTION("""COMPUTED_VALUE"""),"https://www.google.com/search?newwindow=1&amp;ei=2MT0XrvGGM-vytMP1OyDgAY&amp;q=site%3Alinkedin.com+Courtney+Payne+Campus+Recruiting+Senior+Analyst")</f>
        <v>https://www.google.com/search?newwindow=1&amp;ei=2MT0XrvGGM-vytMP1OyDgAY&amp;q=site%3Alinkedin.com+Courtney+Payne+Campus+Recruiting+Senior+Analyst</v>
      </c>
      <c r="K1081" s="5" t="str">
        <f t="shared" si="1"/>
        <v>Courtney Payne</v>
      </c>
      <c r="L1081" s="5" t="str">
        <f t="shared" si="2"/>
        <v>Campus Recruiting Senior Analyst</v>
      </c>
      <c r="M1081" s="5" t="str">
        <f t="shared" si="3"/>
        <v/>
      </c>
      <c r="N1081" s="5" t="str">
        <f t="shared" si="4"/>
        <v>Accenture</v>
      </c>
      <c r="O1081" s="5" t="str">
        <f t="shared" si="5"/>
        <v>1 year 2 months in role</v>
      </c>
      <c r="P1081" s="5" t="str">
        <f t="shared" si="6"/>
        <v>New York</v>
      </c>
      <c r="Q1081" s="5" t="str">
        <f t="shared" si="7"/>
        <v>New York</v>
      </c>
      <c r="R1081" s="5" t="str">
        <f t="shared" si="8"/>
        <v>United States</v>
      </c>
    </row>
    <row r="1082">
      <c r="A1082" s="8" t="s">
        <v>7529</v>
      </c>
      <c r="B1082" s="12" t="s">
        <v>7530</v>
      </c>
      <c r="C1082" s="10" t="s">
        <v>7531</v>
      </c>
      <c r="D1082" s="10"/>
      <c r="E1082" s="10" t="s">
        <v>7532</v>
      </c>
      <c r="F1082" s="10" t="s">
        <v>207</v>
      </c>
      <c r="G1082" s="11" t="s">
        <v>7519</v>
      </c>
      <c r="H1082" s="11" t="s">
        <v>4638</v>
      </c>
      <c r="I1082" s="11" t="s">
        <v>4600</v>
      </c>
      <c r="J1082" s="9" t="str">
        <f>IFERROR(__xludf.DUMMYFUNCTION("""COMPUTED_VALUE"""),"https://www.google.com/search?newwindow=1&amp;ei=2MT0XrvGGM-vytMP1OyDgAY&amp;q=site%3Alinkedin.com+Alyssa+Fleischman+Campus+Recruiting+Coordinator,+Technology")</f>
        <v>https://www.google.com/search?newwindow=1&amp;ei=2MT0XrvGGM-vytMP1OyDgAY&amp;q=site%3Alinkedin.com+Alyssa+Fleischman+Campus+Recruiting+Coordinator,+Technology</v>
      </c>
      <c r="K1082" s="5" t="str">
        <f t="shared" si="1"/>
        <v>Alyssa Fleischman</v>
      </c>
      <c r="L1082" s="5" t="str">
        <f t="shared" si="2"/>
        <v>Campus Recruiting Coordinator, Technology</v>
      </c>
      <c r="M1082" s="5" t="str">
        <f t="shared" si="3"/>
        <v/>
      </c>
      <c r="N1082" s="5" t="str">
        <f t="shared" si="4"/>
        <v>Morgan Stanley</v>
      </c>
      <c r="O1082" s="5" t="str">
        <f t="shared" si="5"/>
        <v>2 years 1 month in role</v>
      </c>
      <c r="P1082" s="5" t="str">
        <f t="shared" si="6"/>
        <v>New York</v>
      </c>
      <c r="Q1082" s="5" t="str">
        <f t="shared" si="7"/>
        <v>New York</v>
      </c>
      <c r="R1082" s="5" t="str">
        <f t="shared" si="8"/>
        <v>United States</v>
      </c>
    </row>
    <row r="1083">
      <c r="A1083" s="8" t="s">
        <v>7533</v>
      </c>
      <c r="B1083" s="12" t="s">
        <v>7534</v>
      </c>
      <c r="C1083" s="10" t="s">
        <v>5027</v>
      </c>
      <c r="D1083" s="10"/>
      <c r="E1083" s="10" t="s">
        <v>5374</v>
      </c>
      <c r="F1083" s="10" t="s">
        <v>694</v>
      </c>
      <c r="G1083" s="11" t="s">
        <v>7519</v>
      </c>
      <c r="H1083" s="11" t="s">
        <v>4638</v>
      </c>
      <c r="I1083" s="11" t="s">
        <v>4600</v>
      </c>
      <c r="J1083" s="9" t="str">
        <f>IFERROR(__xludf.DUMMYFUNCTION("""COMPUTED_VALUE"""),"https://www.google.com/search?newwindow=1&amp;ei=2MT0XrvGGM-vytMP1OyDgAY&amp;q=site%3Alinkedin.com+Rachel+Vance+Talent+Experience+Specialist:+Campus+&amp;+Entry+Level+Recruiting")</f>
        <v>https://www.google.com/search?newwindow=1&amp;ei=2MT0XrvGGM-vytMP1OyDgAY&amp;q=site%3Alinkedin.com+Rachel+Vance+Talent+Experience+Specialist:+Campus+&amp;+Entry+Level+Recruiting</v>
      </c>
      <c r="K1083" s="5" t="str">
        <f t="shared" si="1"/>
        <v>Rachel Vance</v>
      </c>
      <c r="L1083" s="5" t="str">
        <f t="shared" si="2"/>
        <v>Talent Experience Specialist: Campus &amp; Entry Level Recruiting</v>
      </c>
      <c r="M1083" s="5" t="str">
        <f t="shared" si="3"/>
        <v/>
      </c>
      <c r="N1083" s="5" t="str">
        <f t="shared" si="4"/>
        <v>Bloomberg LP</v>
      </c>
      <c r="O1083" s="5" t="str">
        <f t="shared" si="5"/>
        <v>3 years 5 months in role and company</v>
      </c>
      <c r="P1083" s="5" t="str">
        <f t="shared" si="6"/>
        <v>New York</v>
      </c>
      <c r="Q1083" s="5" t="str">
        <f t="shared" si="7"/>
        <v>New York</v>
      </c>
      <c r="R1083" s="5" t="str">
        <f t="shared" si="8"/>
        <v>United States</v>
      </c>
    </row>
    <row r="1084">
      <c r="A1084" s="8" t="s">
        <v>7535</v>
      </c>
      <c r="B1084" s="12" t="s">
        <v>7536</v>
      </c>
      <c r="C1084" s="10" t="s">
        <v>7537</v>
      </c>
      <c r="D1084" s="10"/>
      <c r="E1084" s="10" t="s">
        <v>7538</v>
      </c>
      <c r="F1084" s="10"/>
      <c r="G1084" s="11" t="s">
        <v>7519</v>
      </c>
      <c r="H1084" s="11" t="s">
        <v>4638</v>
      </c>
      <c r="I1084" s="11" t="s">
        <v>4600</v>
      </c>
      <c r="J1084" s="9" t="str">
        <f>IFERROR(__xludf.DUMMYFUNCTION("""COMPUTED_VALUE"""),"https://www.google.com/search?newwindow=1&amp;ei=2MT0XrvGGM-vytMP1OyDgAY&amp;q=site%3Alinkedin.com+Kaitlyn+Kilduff+Recruiting+Lead+-+Graduate+Campus+Internship+(GCi)+Data+Science+Program")</f>
        <v>https://www.google.com/search?newwindow=1&amp;ei=2MT0XrvGGM-vytMP1OyDgAY&amp;q=site%3Alinkedin.com+Kaitlyn+Kilduff+Recruiting+Lead+-+Graduate+Campus+Internship+(GCi)+Data+Science+Program</v>
      </c>
      <c r="K1084" s="5" t="str">
        <f t="shared" si="1"/>
        <v>Kaitlyn Kilduff</v>
      </c>
      <c r="L1084" s="5" t="str">
        <f t="shared" si="2"/>
        <v>Recruiting Lead - Graduate Campus Internship (GCi) Data Science Program</v>
      </c>
      <c r="M1084" s="5" t="str">
        <f t="shared" si="3"/>
        <v/>
      </c>
      <c r="N1084" s="5" t="str">
        <f t="shared" si="4"/>
        <v>Capital One</v>
      </c>
      <c r="O1084" s="5" t="str">
        <f t="shared" si="5"/>
        <v>1 year 3 months in role</v>
      </c>
      <c r="P1084" s="5" t="str">
        <f t="shared" si="6"/>
        <v>New York</v>
      </c>
      <c r="Q1084" s="5" t="str">
        <f t="shared" si="7"/>
        <v>New York</v>
      </c>
      <c r="R1084" s="5" t="str">
        <f t="shared" si="8"/>
        <v>United States</v>
      </c>
    </row>
    <row r="1085">
      <c r="A1085" s="8" t="s">
        <v>7515</v>
      </c>
      <c r="B1085" s="10" t="s">
        <v>7516</v>
      </c>
      <c r="C1085" s="10" t="s">
        <v>7517</v>
      </c>
      <c r="D1085" s="10"/>
      <c r="E1085" s="10" t="s">
        <v>7518</v>
      </c>
      <c r="F1085" s="10" t="s">
        <v>63</v>
      </c>
      <c r="G1085" s="11" t="s">
        <v>7519</v>
      </c>
      <c r="H1085" s="11" t="s">
        <v>4638</v>
      </c>
      <c r="I1085" s="11" t="s">
        <v>4600</v>
      </c>
      <c r="J1085" s="9" t="str">
        <f>IFERROR(__xludf.DUMMYFUNCTION("""COMPUTED_VALUE"""),"https://www.google.com/search?newwindow=1&amp;ei=2MT0XrvGGM-vytMP1OyDgAY&amp;q=site%3Alinkedin.com+Matthew+Curry+Vice+President,+Technology+Campus+Recruiting+Lead+-+North+America")</f>
        <v>https://www.google.com/search?newwindow=1&amp;ei=2MT0XrvGGM-vytMP1OyDgAY&amp;q=site%3Alinkedin.com+Matthew+Curry+Vice+President,+Technology+Campus+Recruiting+Lead+-+North+America</v>
      </c>
      <c r="K1085" s="5" t="str">
        <f t="shared" si="1"/>
        <v>Matthew Curry</v>
      </c>
      <c r="L1085" s="5" t="str">
        <f t="shared" si="2"/>
        <v>Vice President, Technology Campus Recruiting Lead - North America</v>
      </c>
      <c r="M1085" s="5" t="str">
        <f t="shared" si="3"/>
        <v/>
      </c>
      <c r="N1085" s="5" t="str">
        <f t="shared" si="4"/>
        <v>JPMorgan Chase &amp; Co.</v>
      </c>
      <c r="O1085" s="5" t="str">
        <f t="shared" si="5"/>
        <v>1 year 11 months in role</v>
      </c>
      <c r="P1085" s="5" t="str">
        <f t="shared" si="6"/>
        <v>New York</v>
      </c>
      <c r="Q1085" s="5" t="str">
        <f t="shared" si="7"/>
        <v>New York</v>
      </c>
      <c r="R1085" s="5" t="str">
        <f t="shared" si="8"/>
        <v>United States</v>
      </c>
    </row>
    <row r="1086">
      <c r="A1086" s="8" t="s">
        <v>7520</v>
      </c>
      <c r="B1086" s="10" t="s">
        <v>7521</v>
      </c>
      <c r="C1086" s="10" t="s">
        <v>7522</v>
      </c>
      <c r="D1086" s="10"/>
      <c r="E1086" s="10" t="s">
        <v>7523</v>
      </c>
      <c r="F1086" s="10" t="s">
        <v>63</v>
      </c>
      <c r="G1086" s="11" t="s">
        <v>7519</v>
      </c>
      <c r="H1086" s="11" t="s">
        <v>4638</v>
      </c>
      <c r="I1086" s="11" t="s">
        <v>4600</v>
      </c>
      <c r="J1086" s="9" t="str">
        <f>IFERROR(__xludf.DUMMYFUNCTION("""COMPUTED_VALUE"""),"https://www.google.com/search?newwindow=1&amp;ei=2MT0XrvGGM-vytMP1OyDgAY&amp;q=site%3Alinkedin.com+Jia+C.+Campus+Recruiting+Manager")</f>
        <v>https://www.google.com/search?newwindow=1&amp;ei=2MT0XrvGGM-vytMP1OyDgAY&amp;q=site%3Alinkedin.com+Jia+C.+Campus+Recruiting+Manager</v>
      </c>
      <c r="K1086" s="5" t="str">
        <f t="shared" si="1"/>
        <v>Jia C.</v>
      </c>
      <c r="L1086" s="5" t="str">
        <f t="shared" si="2"/>
        <v>Campus Recruiting Manager</v>
      </c>
      <c r="M1086" s="5" t="str">
        <f t="shared" si="3"/>
        <v/>
      </c>
      <c r="N1086" s="5" t="str">
        <f t="shared" si="4"/>
        <v>PwC</v>
      </c>
      <c r="O1086" s="5" t="str">
        <f t="shared" si="5"/>
        <v>11 months in role and company</v>
      </c>
      <c r="P1086" s="5" t="str">
        <f t="shared" si="6"/>
        <v>New York</v>
      </c>
      <c r="Q1086" s="5" t="str">
        <f t="shared" si="7"/>
        <v>New York</v>
      </c>
      <c r="R1086" s="5" t="str">
        <f t="shared" si="8"/>
        <v>United States</v>
      </c>
    </row>
    <row r="1087">
      <c r="A1087" s="8" t="s">
        <v>7539</v>
      </c>
      <c r="B1087" s="10" t="s">
        <v>7540</v>
      </c>
      <c r="C1087" s="10" t="s">
        <v>7541</v>
      </c>
      <c r="D1087" s="10"/>
      <c r="E1087" s="10" t="s">
        <v>5374</v>
      </c>
      <c r="F1087" s="10" t="s">
        <v>1531</v>
      </c>
      <c r="G1087" s="11" t="s">
        <v>7519</v>
      </c>
      <c r="H1087" s="11" t="s">
        <v>4638</v>
      </c>
      <c r="I1087" s="11" t="s">
        <v>4600</v>
      </c>
      <c r="J1087" s="9" t="str">
        <f>IFERROR(__xludf.DUMMYFUNCTION("""COMPUTED_VALUE"""),"https://www.google.com/search?newwindow=1&amp;ei=2MT0XrvGGM-vytMP1OyDgAY&amp;q=site%3Alinkedin.com+Annie+Boig+McMullen+Vice+President,+Global+Head+of+Investment+Research+&amp;+Merchant+Banking+Campus+Recruiting")</f>
        <v>https://www.google.com/search?newwindow=1&amp;ei=2MT0XrvGGM-vytMP1OyDgAY&amp;q=site%3Alinkedin.com+Annie+Boig+McMullen+Vice+President,+Global+Head+of+Investment+Research+&amp;+Merchant+Banking+Campus+Recruiting</v>
      </c>
      <c r="K1087" s="5" t="str">
        <f t="shared" si="1"/>
        <v>Annie Boig McMullen</v>
      </c>
      <c r="L1087" s="5" t="str">
        <f t="shared" si="2"/>
        <v>Vice President, Global Head of Investment Research &amp; Merchant Banking Campus Recruiting</v>
      </c>
      <c r="M1087" s="5" t="str">
        <f t="shared" si="3"/>
        <v/>
      </c>
      <c r="N1087" s="5" t="str">
        <f t="shared" si="4"/>
        <v>Goldman Sachs</v>
      </c>
      <c r="O1087" s="5" t="str">
        <f t="shared" si="5"/>
        <v>1 year 4 months in role</v>
      </c>
      <c r="P1087" s="5" t="str">
        <f t="shared" si="6"/>
        <v>New York</v>
      </c>
      <c r="Q1087" s="5" t="str">
        <f t="shared" si="7"/>
        <v>New York</v>
      </c>
      <c r="R1087" s="5" t="str">
        <f t="shared" si="8"/>
        <v>United States</v>
      </c>
    </row>
    <row r="1088">
      <c r="A1088" s="8" t="s">
        <v>7526</v>
      </c>
      <c r="B1088" s="10" t="s">
        <v>7527</v>
      </c>
      <c r="C1088" s="10" t="s">
        <v>7528</v>
      </c>
      <c r="D1088" s="10"/>
      <c r="E1088" s="10" t="s">
        <v>5314</v>
      </c>
      <c r="F1088" s="10" t="s">
        <v>822</v>
      </c>
      <c r="G1088" s="11" t="s">
        <v>7519</v>
      </c>
      <c r="H1088" s="11" t="s">
        <v>4638</v>
      </c>
      <c r="I1088" s="11" t="s">
        <v>4600</v>
      </c>
      <c r="J1088" s="9" t="str">
        <f>IFERROR(__xludf.DUMMYFUNCTION("""COMPUTED_VALUE"""),"https://www.google.com/search?newwindow=1&amp;ei=2MT0XrvGGM-vytMP1OyDgAY&amp;q=site%3Alinkedin.com+Melissa+Bianco+Associate,+Campus+Recruiting+at+Goldman+Sachs")</f>
        <v>https://www.google.com/search?newwindow=1&amp;ei=2MT0XrvGGM-vytMP1OyDgAY&amp;q=site%3Alinkedin.com+Melissa+Bianco+Associate,+Campus+Recruiting+at+Goldman+Sachs</v>
      </c>
      <c r="K1088" s="5" t="str">
        <f t="shared" si="1"/>
        <v>Melissa Bianco</v>
      </c>
      <c r="L1088" s="5" t="str">
        <f t="shared" si="2"/>
        <v>Associate, Campus Recruiting at Goldman Sachs</v>
      </c>
      <c r="M1088" s="5" t="str">
        <f t="shared" si="3"/>
        <v/>
      </c>
      <c r="N1088" s="5" t="str">
        <f t="shared" si="4"/>
        <v>Goldman Sachs</v>
      </c>
      <c r="O1088" s="5" t="str">
        <f t="shared" si="5"/>
        <v>10 months in role</v>
      </c>
      <c r="P1088" s="5" t="str">
        <f t="shared" si="6"/>
        <v>New York</v>
      </c>
      <c r="Q1088" s="5" t="str">
        <f t="shared" si="7"/>
        <v>New York</v>
      </c>
      <c r="R1088" s="5" t="str">
        <f t="shared" si="8"/>
        <v>United States</v>
      </c>
    </row>
    <row r="1089">
      <c r="A1089" s="8" t="s">
        <v>7524</v>
      </c>
      <c r="B1089" s="10" t="s">
        <v>7525</v>
      </c>
      <c r="C1089" s="10" t="s">
        <v>25</v>
      </c>
      <c r="D1089" s="10"/>
      <c r="E1089" s="10" t="s">
        <v>7523</v>
      </c>
      <c r="F1089" s="10" t="s">
        <v>79</v>
      </c>
      <c r="G1089" s="11" t="s">
        <v>7519</v>
      </c>
      <c r="H1089" s="11" t="s">
        <v>4638</v>
      </c>
      <c r="I1089" s="11" t="s">
        <v>4600</v>
      </c>
      <c r="J1089" s="9" t="str">
        <f>IFERROR(__xludf.DUMMYFUNCTION("""COMPUTED_VALUE"""),"https://www.google.com/search?newwindow=1&amp;ei=2MT0XrvGGM-vytMP1OyDgAY&amp;q=site%3Alinkedin.com+Stephanie+Mondo+Executive+Director+-+Head+of+Technology+Experienced+and+Campus+Recruiting")</f>
        <v>https://www.google.com/search?newwindow=1&amp;ei=2MT0XrvGGM-vytMP1OyDgAY&amp;q=site%3Alinkedin.com+Stephanie+Mondo+Executive+Director+-+Head+of+Technology+Experienced+and+Campus+Recruiting</v>
      </c>
      <c r="K1089" s="5" t="str">
        <f t="shared" si="1"/>
        <v>Stephanie Mondo</v>
      </c>
      <c r="L1089" s="5" t="str">
        <f t="shared" si="2"/>
        <v>Executive Director - Head of Technology Experienced and Campus Recruiting</v>
      </c>
      <c r="M1089" s="5" t="str">
        <f t="shared" si="3"/>
        <v/>
      </c>
      <c r="N1089" s="5" t="str">
        <f t="shared" si="4"/>
        <v>Morgan Stanley</v>
      </c>
      <c r="O1089" s="5" t="str">
        <f t="shared" si="5"/>
        <v>10 months in role</v>
      </c>
      <c r="P1089" s="5" t="str">
        <f t="shared" si="6"/>
        <v>New York</v>
      </c>
      <c r="Q1089" s="5" t="str">
        <f t="shared" si="7"/>
        <v>New York</v>
      </c>
      <c r="R1089" s="5" t="str">
        <f t="shared" si="8"/>
        <v>United States</v>
      </c>
    </row>
    <row r="1090">
      <c r="A1090" s="8" t="s">
        <v>7529</v>
      </c>
      <c r="B1090" s="12" t="s">
        <v>7530</v>
      </c>
      <c r="C1090" s="10" t="s">
        <v>7531</v>
      </c>
      <c r="D1090" s="10"/>
      <c r="E1090" s="10" t="s">
        <v>7532</v>
      </c>
      <c r="F1090" s="10" t="s">
        <v>207</v>
      </c>
      <c r="G1090" s="11" t="s">
        <v>7519</v>
      </c>
      <c r="H1090" s="11" t="s">
        <v>4638</v>
      </c>
      <c r="I1090" s="11" t="s">
        <v>4600</v>
      </c>
      <c r="J1090" s="9" t="str">
        <f>IFERROR(__xludf.DUMMYFUNCTION("""COMPUTED_VALUE"""),"https://www.google.com/search?newwindow=1&amp;ei=2MT0XrvGGM-vytMP1OyDgAY&amp;q=site%3Alinkedin.com+Karen+Burke+Campus+Recruiting+Coordinator")</f>
        <v>https://www.google.com/search?newwindow=1&amp;ei=2MT0XrvGGM-vytMP1OyDgAY&amp;q=site%3Alinkedin.com+Karen+Burke+Campus+Recruiting+Coordinator</v>
      </c>
      <c r="K1090" s="5" t="str">
        <f t="shared" si="1"/>
        <v>Karen Burke</v>
      </c>
      <c r="L1090" s="5" t="str">
        <f t="shared" si="2"/>
        <v>Campus Recruiting Coordinator</v>
      </c>
      <c r="M1090" s="5" t="str">
        <f t="shared" si="3"/>
        <v/>
      </c>
      <c r="N1090" s="5" t="str">
        <f t="shared" si="4"/>
        <v>Deloitte</v>
      </c>
      <c r="O1090" s="5" t="str">
        <f t="shared" si="5"/>
        <v>3 years 3 months in role and company</v>
      </c>
      <c r="P1090" s="5" t="str">
        <f t="shared" si="6"/>
        <v>New York</v>
      </c>
      <c r="Q1090" s="5" t="str">
        <f t="shared" si="7"/>
        <v>New York</v>
      </c>
      <c r="R1090" s="5" t="str">
        <f t="shared" si="8"/>
        <v>United States</v>
      </c>
    </row>
    <row r="1091">
      <c r="A1091" s="8" t="s">
        <v>7533</v>
      </c>
      <c r="B1091" s="12" t="s">
        <v>7534</v>
      </c>
      <c r="C1091" s="10" t="s">
        <v>5027</v>
      </c>
      <c r="D1091" s="10"/>
      <c r="E1091" s="10" t="s">
        <v>5374</v>
      </c>
      <c r="F1091" s="10" t="s">
        <v>694</v>
      </c>
      <c r="G1091" s="11" t="s">
        <v>7519</v>
      </c>
      <c r="H1091" s="11" t="s">
        <v>4638</v>
      </c>
      <c r="I1091" s="11" t="s">
        <v>4600</v>
      </c>
      <c r="J1091" s="9" t="str">
        <f>IFERROR(__xludf.DUMMYFUNCTION("""COMPUTED_VALUE"""),"https://www.google.com/search?newwindow=1&amp;ei=2MT0XrvGGM-vytMP1OyDgAY&amp;q=site%3Alinkedin.com+Samantha+Robins+Vice+President,+Technology+Campus+Recruiting+Manager+at+Citi")</f>
        <v>https://www.google.com/search?newwindow=1&amp;ei=2MT0XrvGGM-vytMP1OyDgAY&amp;q=site%3Alinkedin.com+Samantha+Robins+Vice+President,+Technology+Campus+Recruiting+Manager+at+Citi</v>
      </c>
      <c r="K1091" s="5" t="str">
        <f t="shared" si="1"/>
        <v>Samantha Robins</v>
      </c>
      <c r="L1091" s="5" t="str">
        <f t="shared" si="2"/>
        <v>Vice President, Technology Campus Recruiting Manager at Citi</v>
      </c>
      <c r="M1091" s="5" t="str">
        <f t="shared" si="3"/>
        <v/>
      </c>
      <c r="N1091" s="5" t="str">
        <f t="shared" si="4"/>
        <v>Citi</v>
      </c>
      <c r="O1091" s="5" t="str">
        <f t="shared" si="5"/>
        <v>2 years 6 months in role</v>
      </c>
      <c r="P1091" s="5" t="str">
        <f t="shared" si="6"/>
        <v>New York</v>
      </c>
      <c r="Q1091" s="5" t="str">
        <f t="shared" si="7"/>
        <v>New York</v>
      </c>
      <c r="R1091" s="5" t="str">
        <f t="shared" si="8"/>
        <v>United States</v>
      </c>
    </row>
    <row r="1092">
      <c r="A1092" s="8" t="s">
        <v>7542</v>
      </c>
      <c r="B1092" s="12" t="s">
        <v>7543</v>
      </c>
      <c r="C1092" s="10" t="s">
        <v>5054</v>
      </c>
      <c r="D1092" s="10"/>
      <c r="E1092" s="10" t="s">
        <v>7544</v>
      </c>
      <c r="F1092" s="10"/>
      <c r="G1092" s="11" t="s">
        <v>7519</v>
      </c>
      <c r="H1092" s="11" t="s">
        <v>4638</v>
      </c>
      <c r="I1092" s="11" t="s">
        <v>4600</v>
      </c>
      <c r="J1092" s="9" t="str">
        <f>IFERROR(__xludf.DUMMYFUNCTION("""COMPUTED_VALUE"""),"https://www.google.com/search?newwindow=1&amp;ei=2MT0XrvGGM-vytMP1OyDgAY&amp;q=site%3Alinkedin.com+Annie+Horsley+Campus+Recruiting+Coordinator")</f>
        <v>https://www.google.com/search?newwindow=1&amp;ei=2MT0XrvGGM-vytMP1OyDgAY&amp;q=site%3Alinkedin.com+Annie+Horsley+Campus+Recruiting+Coordinator</v>
      </c>
      <c r="K1092" s="5" t="str">
        <f t="shared" si="1"/>
        <v>Annie Horsley</v>
      </c>
      <c r="L1092" s="5" t="str">
        <f t="shared" si="2"/>
        <v>Campus Recruiting Coordinator</v>
      </c>
      <c r="M1092" s="5" t="str">
        <f t="shared" si="3"/>
        <v/>
      </c>
      <c r="N1092" s="5" t="str">
        <f t="shared" si="4"/>
        <v>Morgan Stanley</v>
      </c>
      <c r="O1092" s="5" t="str">
        <f t="shared" si="5"/>
        <v>2 years 5 months in role and company</v>
      </c>
      <c r="P1092" s="5" t="str">
        <f t="shared" si="6"/>
        <v>New York</v>
      </c>
      <c r="Q1092" s="5" t="str">
        <f t="shared" si="7"/>
        <v>New York</v>
      </c>
      <c r="R1092" s="5" t="str">
        <f t="shared" si="8"/>
        <v>United States</v>
      </c>
    </row>
    <row r="1093">
      <c r="A1093" s="8" t="s">
        <v>7535</v>
      </c>
      <c r="B1093" s="12" t="s">
        <v>7536</v>
      </c>
      <c r="C1093" s="10" t="s">
        <v>7537</v>
      </c>
      <c r="D1093" s="10"/>
      <c r="E1093" s="10" t="s">
        <v>7538</v>
      </c>
      <c r="F1093" s="10"/>
      <c r="G1093" s="11" t="s">
        <v>7519</v>
      </c>
      <c r="H1093" s="11" t="s">
        <v>4638</v>
      </c>
      <c r="I1093" s="11" t="s">
        <v>4600</v>
      </c>
      <c r="J1093" s="9" t="str">
        <f>IFERROR(__xludf.DUMMYFUNCTION("""COMPUTED_VALUE"""),"https://www.google.com/search?newwindow=1&amp;ei=2MT0XrvGGM-vytMP1OyDgAY&amp;q=site%3Alinkedin.com+Brooks+Farley+Campus+Recruiting+Coordinator,+ADP+RPO")</f>
        <v>https://www.google.com/search?newwindow=1&amp;ei=2MT0XrvGGM-vytMP1OyDgAY&amp;q=site%3Alinkedin.com+Brooks+Farley+Campus+Recruiting+Coordinator,+ADP+RPO</v>
      </c>
      <c r="K1093" s="5" t="str">
        <f t="shared" si="1"/>
        <v>Brooks Farley</v>
      </c>
      <c r="L1093" s="5" t="str">
        <f t="shared" si="2"/>
        <v>Campus Recruiting Coordinator, ADP RPO</v>
      </c>
      <c r="M1093" s="5" t="str">
        <f t="shared" si="3"/>
        <v/>
      </c>
      <c r="N1093" s="5" t="str">
        <f t="shared" si="4"/>
        <v>Goldman Sachs</v>
      </c>
      <c r="O1093" s="5" t="str">
        <f t="shared" si="5"/>
        <v>11 months in role and company</v>
      </c>
      <c r="P1093" s="5" t="str">
        <f t="shared" si="6"/>
        <v>New York</v>
      </c>
      <c r="Q1093" s="5" t="str">
        <f t="shared" si="7"/>
        <v>New York</v>
      </c>
      <c r="R1093" s="5" t="str">
        <f t="shared" si="8"/>
        <v>United States</v>
      </c>
    </row>
    <row r="1094">
      <c r="A1094" s="8" t="s">
        <v>7545</v>
      </c>
      <c r="B1094" s="10" t="s">
        <v>7546</v>
      </c>
      <c r="C1094" s="10" t="s">
        <v>25</v>
      </c>
      <c r="D1094" s="10"/>
      <c r="E1094" s="10" t="s">
        <v>7547</v>
      </c>
      <c r="F1094" s="10" t="s">
        <v>144</v>
      </c>
      <c r="G1094" s="11" t="s">
        <v>7548</v>
      </c>
      <c r="H1094" s="11" t="s">
        <v>6159</v>
      </c>
      <c r="I1094" s="11" t="s">
        <v>4600</v>
      </c>
      <c r="J1094" s="9" t="str">
        <f>IFERROR(__xludf.DUMMYFUNCTION("""COMPUTED_VALUE"""),"https://www.google.com/search?newwindow=1&amp;ei=2MT0XrvGGM-vytMP1OyDgAY&amp;q=site%3Alinkedin.com+Katy+Y.+Campus+Recruiting+Coordinator+&amp;+Operations+Analyst")</f>
        <v>https://www.google.com/search?newwindow=1&amp;ei=2MT0XrvGGM-vytMP1OyDgAY&amp;q=site%3Alinkedin.com+Katy+Y.+Campus+Recruiting+Coordinator+&amp;+Operations+Analyst</v>
      </c>
      <c r="K1094" s="5" t="str">
        <f t="shared" si="1"/>
        <v>Katy Y.</v>
      </c>
      <c r="L1094" s="5" t="str">
        <f t="shared" si="2"/>
        <v>Campus Recruiting Coordinator &amp; Operations Analyst</v>
      </c>
      <c r="M1094" s="5" t="str">
        <f t="shared" si="3"/>
        <v/>
      </c>
      <c r="N1094" s="5" t="str">
        <f t="shared" si="4"/>
        <v>Citi</v>
      </c>
      <c r="O1094" s="5" t="str">
        <f t="shared" si="5"/>
        <v>3 years 10 months in role and company</v>
      </c>
      <c r="P1094" s="5" t="str">
        <f t="shared" si="6"/>
        <v>New York</v>
      </c>
      <c r="Q1094" s="5" t="str">
        <f t="shared" si="7"/>
        <v>New York</v>
      </c>
      <c r="R1094" s="5" t="str">
        <f t="shared" si="8"/>
        <v>United States</v>
      </c>
    </row>
    <row r="1095">
      <c r="A1095" s="8" t="s">
        <v>7549</v>
      </c>
      <c r="B1095" s="10" t="s">
        <v>7550</v>
      </c>
      <c r="C1095" s="10" t="s">
        <v>110</v>
      </c>
      <c r="D1095" s="10"/>
      <c r="E1095" s="10" t="s">
        <v>4366</v>
      </c>
      <c r="F1095" s="10" t="s">
        <v>651</v>
      </c>
      <c r="G1095" s="11" t="s">
        <v>7548</v>
      </c>
      <c r="H1095" s="11" t="s">
        <v>6159</v>
      </c>
      <c r="I1095" s="11" t="s">
        <v>4600</v>
      </c>
      <c r="J1095" s="9" t="str">
        <f>IFERROR(__xludf.DUMMYFUNCTION("""COMPUTED_VALUE"""),"https://www.google.com/search?newwindow=1&amp;ei=2MT0XrvGGM-vytMP1OyDgAY&amp;q=site%3Alinkedin.com+Andrea+Diamond+Executive+Director,+Head+of+Campus+Strategy,+Investment+Mgmt,+&amp;+Infrastructure+Campus+Recruiting")</f>
        <v>https://www.google.com/search?newwindow=1&amp;ei=2MT0XrvGGM-vytMP1OyDgAY&amp;q=site%3Alinkedin.com+Andrea+Diamond+Executive+Director,+Head+of+Campus+Strategy,+Investment+Mgmt,+&amp;+Infrastructure+Campus+Recruiting</v>
      </c>
      <c r="K1095" s="5" t="str">
        <f t="shared" si="1"/>
        <v>Andrea Diamond</v>
      </c>
      <c r="L1095" s="5" t="str">
        <f t="shared" si="2"/>
        <v>Executive Director, Head of Campus Strategy, Investment Mgmt, &amp; Infrastructure Campus Recruiting</v>
      </c>
      <c r="M1095" s="5" t="str">
        <f t="shared" si="3"/>
        <v/>
      </c>
      <c r="N1095" s="5" t="str">
        <f t="shared" si="4"/>
        <v>Morgan Stanley</v>
      </c>
      <c r="O1095" s="5" t="str">
        <f t="shared" si="5"/>
        <v>10 months in role</v>
      </c>
      <c r="P1095" s="5" t="str">
        <f t="shared" si="6"/>
        <v>New York</v>
      </c>
      <c r="Q1095" s="5" t="str">
        <f t="shared" si="7"/>
        <v>New York</v>
      </c>
      <c r="R1095" s="5" t="str">
        <f t="shared" si="8"/>
        <v>United States</v>
      </c>
    </row>
    <row r="1096">
      <c r="A1096" s="8" t="s">
        <v>7551</v>
      </c>
      <c r="B1096" s="12" t="s">
        <v>7552</v>
      </c>
      <c r="C1096" s="10" t="s">
        <v>1559</v>
      </c>
      <c r="D1096" s="10"/>
      <c r="E1096" s="10" t="s">
        <v>14</v>
      </c>
      <c r="F1096" s="10" t="s">
        <v>446</v>
      </c>
      <c r="G1096" s="11" t="s">
        <v>7548</v>
      </c>
      <c r="H1096" s="11" t="s">
        <v>6159</v>
      </c>
      <c r="I1096" s="11" t="s">
        <v>4600</v>
      </c>
      <c r="J1096" s="9" t="str">
        <f>IFERROR(__xludf.DUMMYFUNCTION("""COMPUTED_VALUE"""),"https://www.google.com/search?newwindow=1&amp;ei=2MT0XrvGGM-vytMP1OyDgAY&amp;q=site%3Alinkedin.com+Melissa+Martinez+Lead+Campus+Recruiting+Coordinator")</f>
        <v>https://www.google.com/search?newwindow=1&amp;ei=2MT0XrvGGM-vytMP1OyDgAY&amp;q=site%3Alinkedin.com+Melissa+Martinez+Lead+Campus+Recruiting+Coordinator</v>
      </c>
      <c r="K1096" s="5" t="str">
        <f t="shared" si="1"/>
        <v>Melissa Martinez</v>
      </c>
      <c r="L1096" s="5" t="str">
        <f t="shared" si="2"/>
        <v>Lead Campus Recruiting Coordinator</v>
      </c>
      <c r="M1096" s="5" t="str">
        <f t="shared" si="3"/>
        <v/>
      </c>
      <c r="N1096" s="5" t="str">
        <f t="shared" si="4"/>
        <v>KPMG</v>
      </c>
      <c r="O1096" s="5" t="str">
        <f t="shared" si="5"/>
        <v>4 years 3 months in role and company</v>
      </c>
      <c r="P1096" s="5" t="str">
        <f t="shared" si="6"/>
        <v>New York</v>
      </c>
      <c r="Q1096" s="5" t="str">
        <f t="shared" si="7"/>
        <v>New York</v>
      </c>
      <c r="R1096" s="5" t="str">
        <f t="shared" si="8"/>
        <v>United States</v>
      </c>
    </row>
    <row r="1097">
      <c r="A1097" s="8" t="s">
        <v>7553</v>
      </c>
      <c r="B1097" s="10" t="s">
        <v>7554</v>
      </c>
      <c r="C1097" s="10" t="s">
        <v>5068</v>
      </c>
      <c r="D1097" s="10"/>
      <c r="E1097" s="10" t="s">
        <v>7555</v>
      </c>
      <c r="F1097" s="10" t="s">
        <v>727</v>
      </c>
      <c r="G1097" s="11" t="s">
        <v>7548</v>
      </c>
      <c r="H1097" s="11" t="s">
        <v>6159</v>
      </c>
      <c r="I1097" s="11" t="s">
        <v>4600</v>
      </c>
      <c r="J1097" s="9" t="str">
        <f>IFERROR(__xludf.DUMMYFUNCTION("""COMPUTED_VALUE"""),"https://www.google.com/search?newwindow=1&amp;ei=2MT0XrvGGM-vytMP1OyDgAY&amp;q=site%3Alinkedin.com+Kathleen+McQuarrie+Campus+Recruiting+Coordinator+onsite+via+ADP+RPO")</f>
        <v>https://www.google.com/search?newwindow=1&amp;ei=2MT0XrvGGM-vytMP1OyDgAY&amp;q=site%3Alinkedin.com+Kathleen+McQuarrie+Campus+Recruiting+Coordinator+onsite+via+ADP+RPO</v>
      </c>
      <c r="K1097" s="5" t="str">
        <f t="shared" si="1"/>
        <v>Kathleen McQuarrie</v>
      </c>
      <c r="L1097" s="5" t="str">
        <f t="shared" si="2"/>
        <v>Campus Recruiting Coordinator onsite via ADP RPO</v>
      </c>
      <c r="M1097" s="5" t="str">
        <f t="shared" si="3"/>
        <v/>
      </c>
      <c r="N1097" s="5" t="str">
        <f t="shared" si="4"/>
        <v>Goldman Sachs</v>
      </c>
      <c r="O1097" s="5" t="str">
        <f t="shared" si="5"/>
        <v>1 year 10 months in role and company</v>
      </c>
      <c r="P1097" s="5" t="str">
        <f t="shared" si="6"/>
        <v>New York</v>
      </c>
      <c r="Q1097" s="5" t="str">
        <f t="shared" si="7"/>
        <v>New York</v>
      </c>
      <c r="R1097" s="5" t="str">
        <f t="shared" si="8"/>
        <v>United States</v>
      </c>
    </row>
    <row r="1098">
      <c r="A1098" s="8" t="s">
        <v>7556</v>
      </c>
      <c r="B1098" s="10" t="s">
        <v>7557</v>
      </c>
      <c r="C1098" s="10" t="s">
        <v>7558</v>
      </c>
      <c r="D1098" s="10"/>
      <c r="E1098" s="10" t="s">
        <v>7559</v>
      </c>
      <c r="F1098" s="10" t="s">
        <v>237</v>
      </c>
      <c r="G1098" s="11" t="s">
        <v>7548</v>
      </c>
      <c r="H1098" s="11" t="s">
        <v>6159</v>
      </c>
      <c r="I1098" s="11" t="s">
        <v>4600</v>
      </c>
      <c r="J1098" s="9" t="str">
        <f>IFERROR(__xludf.DUMMYFUNCTION("""COMPUTED_VALUE"""),"https://www.google.com/search?newwindow=1&amp;ei=2MT0XrvGGM-vytMP1OyDgAY&amp;q=site%3Alinkedin.com+Marissa+Mellan+Manager,+Quantitative+Finance+Campus+Recruiting+at+Morgan+Stanley")</f>
        <v>https://www.google.com/search?newwindow=1&amp;ei=2MT0XrvGGM-vytMP1OyDgAY&amp;q=site%3Alinkedin.com+Marissa+Mellan+Manager,+Quantitative+Finance+Campus+Recruiting+at+Morgan+Stanley</v>
      </c>
      <c r="K1098" s="5" t="str">
        <f t="shared" si="1"/>
        <v>Marissa Mellan</v>
      </c>
      <c r="L1098" s="5" t="str">
        <f t="shared" si="2"/>
        <v>Manager, Quantitative Finance Campus Recruiting at Morgan Stanley</v>
      </c>
      <c r="M1098" s="5" t="str">
        <f t="shared" si="3"/>
        <v/>
      </c>
      <c r="N1098" s="5" t="str">
        <f t="shared" si="4"/>
        <v>Morgan Stanley</v>
      </c>
      <c r="O1098" s="5" t="str">
        <f t="shared" si="5"/>
        <v>3 years 2 months in role</v>
      </c>
      <c r="P1098" s="5" t="str">
        <f t="shared" si="6"/>
        <v>New York</v>
      </c>
      <c r="Q1098" s="5" t="str">
        <f t="shared" si="7"/>
        <v>New York</v>
      </c>
      <c r="R1098" s="5" t="str">
        <f t="shared" si="8"/>
        <v>United States</v>
      </c>
    </row>
    <row r="1099">
      <c r="A1099" s="8" t="s">
        <v>7560</v>
      </c>
      <c r="B1099" s="10" t="s">
        <v>7561</v>
      </c>
      <c r="C1099" s="10" t="s">
        <v>7562</v>
      </c>
      <c r="D1099" s="10"/>
      <c r="E1099" s="10" t="s">
        <v>7563</v>
      </c>
      <c r="F1099" s="10" t="s">
        <v>237</v>
      </c>
      <c r="G1099" s="11" t="s">
        <v>7548</v>
      </c>
      <c r="H1099" s="11" t="s">
        <v>6159</v>
      </c>
      <c r="I1099" s="11" t="s">
        <v>4600</v>
      </c>
      <c r="J1099" s="9" t="str">
        <f>IFERROR(__xludf.DUMMYFUNCTION("""COMPUTED_VALUE"""),"https://www.google.com/search?newwindow=1&amp;ei=2MT0XrvGGM-vytMP1OyDgAY&amp;q=site%3Alinkedin.com+Caitlin+Gallant+Campus+Recruiting")</f>
        <v>https://www.google.com/search?newwindow=1&amp;ei=2MT0XrvGGM-vytMP1OyDgAY&amp;q=site%3Alinkedin.com+Caitlin+Gallant+Campus+Recruiting</v>
      </c>
      <c r="K1099" s="5" t="str">
        <f t="shared" si="1"/>
        <v>Caitlin Gallant</v>
      </c>
      <c r="L1099" s="5" t="str">
        <f t="shared" si="2"/>
        <v>Campus Recruiting</v>
      </c>
      <c r="M1099" s="5" t="str">
        <f t="shared" si="3"/>
        <v/>
      </c>
      <c r="N1099" s="5" t="str">
        <f t="shared" si="4"/>
        <v>EY</v>
      </c>
      <c r="O1099" s="5" t="str">
        <f t="shared" si="5"/>
        <v>1 year 2 months in role</v>
      </c>
      <c r="P1099" s="5" t="str">
        <f t="shared" si="6"/>
        <v>New York</v>
      </c>
      <c r="Q1099" s="5" t="str">
        <f t="shared" si="7"/>
        <v>New York</v>
      </c>
      <c r="R1099" s="5" t="str">
        <f t="shared" si="8"/>
        <v>United States</v>
      </c>
    </row>
    <row r="1100">
      <c r="A1100" s="8" t="s">
        <v>7564</v>
      </c>
      <c r="B1100" s="10" t="s">
        <v>7565</v>
      </c>
      <c r="C1100" s="10" t="s">
        <v>7566</v>
      </c>
      <c r="D1100" s="10"/>
      <c r="E1100" s="10" t="s">
        <v>4914</v>
      </c>
      <c r="F1100" s="10" t="s">
        <v>441</v>
      </c>
      <c r="G1100" s="11" t="s">
        <v>7548</v>
      </c>
      <c r="H1100" s="11" t="s">
        <v>6159</v>
      </c>
      <c r="I1100" s="11" t="s">
        <v>4600</v>
      </c>
      <c r="J1100" s="9" t="str">
        <f>IFERROR(__xludf.DUMMYFUNCTION("""COMPUTED_VALUE"""),"https://www.google.com/search?newwindow=1&amp;ei=2MT0XrvGGM-vytMP1OyDgAY&amp;q=site%3Alinkedin.com+Corrine+Verga+Campus+Recruiting+Coordinator+-+Investment+Banking+Division+at+Goldman+Sachs+via+ADP+RPO")</f>
        <v>https://www.google.com/search?newwindow=1&amp;ei=2MT0XrvGGM-vytMP1OyDgAY&amp;q=site%3Alinkedin.com+Corrine+Verga+Campus+Recruiting+Coordinator+-+Investment+Banking+Division+at+Goldman+Sachs+via+ADP+RPO</v>
      </c>
      <c r="K1100" s="5" t="str">
        <f t="shared" si="1"/>
        <v>Corrine Verga</v>
      </c>
      <c r="L1100" s="5" t="str">
        <f t="shared" si="2"/>
        <v>Campus Recruiting Coordinator - Investment Banking Division at Goldman Sachs via ADP RPO</v>
      </c>
      <c r="M1100" s="5" t="str">
        <f t="shared" si="3"/>
        <v/>
      </c>
      <c r="N1100" s="5" t="str">
        <f t="shared" si="4"/>
        <v>Goldman Sachs</v>
      </c>
      <c r="O1100" s="5" t="str">
        <f t="shared" si="5"/>
        <v>3 years 3 months in role and company</v>
      </c>
      <c r="P1100" s="5" t="str">
        <f t="shared" si="6"/>
        <v>New York</v>
      </c>
      <c r="Q1100" s="5" t="str">
        <f t="shared" si="7"/>
        <v>New York</v>
      </c>
      <c r="R1100" s="5" t="str">
        <f t="shared" si="8"/>
        <v>United States</v>
      </c>
    </row>
    <row r="1101">
      <c r="A1101" s="8" t="s">
        <v>7567</v>
      </c>
      <c r="B1101" s="10" t="s">
        <v>7568</v>
      </c>
      <c r="C1101" s="10" t="s">
        <v>7569</v>
      </c>
      <c r="D1101" s="10"/>
      <c r="E1101" s="10" t="s">
        <v>6692</v>
      </c>
      <c r="F1101" s="10" t="s">
        <v>376</v>
      </c>
      <c r="G1101" s="11" t="s">
        <v>7548</v>
      </c>
      <c r="H1101" s="11" t="s">
        <v>6159</v>
      </c>
      <c r="I1101" s="11" t="s">
        <v>4600</v>
      </c>
      <c r="J1101" s="9" t="str">
        <f>IFERROR(__xludf.DUMMYFUNCTION("""COMPUTED_VALUE"""),"https://www.google.com/search?newwindow=1&amp;ei=2MT0XrvGGM-vytMP1OyDgAY&amp;q=site%3Alinkedin.com+Victoria+Hess+Associate+Director,+Campus+Recruiting")</f>
        <v>https://www.google.com/search?newwindow=1&amp;ei=2MT0XrvGGM-vytMP1OyDgAY&amp;q=site%3Alinkedin.com+Victoria+Hess+Associate+Director,+Campus+Recruiting</v>
      </c>
      <c r="K1101" s="5" t="str">
        <f t="shared" si="1"/>
        <v>Victoria Hess</v>
      </c>
      <c r="L1101" s="5" t="str">
        <f t="shared" si="2"/>
        <v>Associate Director, Campus Recruiting</v>
      </c>
      <c r="M1101" s="5" t="str">
        <f t="shared" si="3"/>
        <v/>
      </c>
      <c r="N1101" s="5" t="str">
        <f t="shared" si="4"/>
        <v>Ernst &amp; Young</v>
      </c>
      <c r="O1101" s="5" t="str">
        <f t="shared" si="5"/>
        <v>12 years 8 months in role and company</v>
      </c>
      <c r="P1101" s="5" t="str">
        <f t="shared" si="6"/>
        <v>New York</v>
      </c>
      <c r="Q1101" s="5" t="str">
        <f t="shared" si="7"/>
        <v>New York</v>
      </c>
      <c r="R1101" s="5" t="str">
        <f t="shared" si="8"/>
        <v>United States</v>
      </c>
    </row>
    <row r="1102">
      <c r="A1102" s="8" t="s">
        <v>7570</v>
      </c>
      <c r="B1102" s="12" t="s">
        <v>7571</v>
      </c>
      <c r="C1102" s="10" t="s">
        <v>7572</v>
      </c>
      <c r="D1102" s="10"/>
      <c r="E1102" s="10" t="s">
        <v>7573</v>
      </c>
      <c r="F1102" s="10" t="s">
        <v>228</v>
      </c>
      <c r="G1102" s="11" t="s">
        <v>7548</v>
      </c>
      <c r="H1102" s="11" t="s">
        <v>6159</v>
      </c>
      <c r="I1102" s="11" t="s">
        <v>4600</v>
      </c>
      <c r="J1102" s="9" t="str">
        <f>IFERROR(__xludf.DUMMYFUNCTION("""COMPUTED_VALUE"""),"https://www.google.com/search?newwindow=1&amp;ei=2MT0XrvGGM-vytMP1OyDgAY&amp;q=site%3Alinkedin.com+Sandeep+Draviam+Inclusion+and+Diversity+Manager,+Campus+Recruiting")</f>
        <v>https://www.google.com/search?newwindow=1&amp;ei=2MT0XrvGGM-vytMP1OyDgAY&amp;q=site%3Alinkedin.com+Sandeep+Draviam+Inclusion+and+Diversity+Manager,+Campus+Recruiting</v>
      </c>
      <c r="K1102" s="5" t="str">
        <f t="shared" si="1"/>
        <v>Sandeep Draviam</v>
      </c>
      <c r="L1102" s="5" t="str">
        <f t="shared" si="2"/>
        <v>Inclusion and Diversity Manager, Campus Recruiting</v>
      </c>
      <c r="M1102" s="5" t="str">
        <f t="shared" si="3"/>
        <v/>
      </c>
      <c r="N1102" s="5" t="str">
        <f t="shared" si="4"/>
        <v>KPMG</v>
      </c>
      <c r="O1102" s="5" t="str">
        <f t="shared" si="5"/>
        <v>4 years 2 months in role</v>
      </c>
      <c r="P1102" s="5" t="str">
        <f t="shared" si="6"/>
        <v>New York</v>
      </c>
      <c r="Q1102" s="5" t="str">
        <f t="shared" si="7"/>
        <v>New York</v>
      </c>
      <c r="R1102" s="5" t="str">
        <f t="shared" si="8"/>
        <v>United States</v>
      </c>
    </row>
    <row r="1103">
      <c r="A1103" s="8" t="s">
        <v>7574</v>
      </c>
      <c r="B1103" s="10" t="s">
        <v>7575</v>
      </c>
      <c r="C1103" s="10" t="s">
        <v>7576</v>
      </c>
      <c r="D1103" s="10"/>
      <c r="E1103" s="10" t="s">
        <v>7577</v>
      </c>
      <c r="F1103" s="10" t="s">
        <v>217</v>
      </c>
      <c r="G1103" s="11" t="s">
        <v>7548</v>
      </c>
      <c r="H1103" s="11" t="s">
        <v>6159</v>
      </c>
      <c r="I1103" s="11" t="s">
        <v>4600</v>
      </c>
      <c r="J1103" s="9" t="str">
        <f>IFERROR(__xludf.DUMMYFUNCTION("""COMPUTED_VALUE"""),"https://www.google.com/search?newwindow=1&amp;ei=2MT0XrvGGM-vytMP1OyDgAY&amp;q=site%3Alinkedin.com+Alexis+Polanco,+MS+Global+Markets+Lead+Recruiter,+Vice+President")</f>
        <v>https://www.google.com/search?newwindow=1&amp;ei=2MT0XrvGGM-vytMP1OyDgAY&amp;q=site%3Alinkedin.com+Alexis+Polanco,+MS+Global+Markets+Lead+Recruiter,+Vice+President</v>
      </c>
      <c r="K1103" s="5" t="str">
        <f t="shared" si="1"/>
        <v>Alexis Polanco, MS</v>
      </c>
      <c r="L1103" s="5" t="str">
        <f t="shared" si="2"/>
        <v>Global Markets Lead Recruiter, Vice President</v>
      </c>
      <c r="M1103" s="5" t="str">
        <f t="shared" si="3"/>
        <v/>
      </c>
      <c r="N1103" s="5" t="str">
        <f t="shared" si="4"/>
        <v>JPMorgan Chase &amp; Co.</v>
      </c>
      <c r="O1103" s="5" t="str">
        <f t="shared" si="5"/>
        <v>9 months in role</v>
      </c>
      <c r="P1103" s="5" t="str">
        <f t="shared" si="6"/>
        <v>New York</v>
      </c>
      <c r="Q1103" s="5" t="str">
        <f t="shared" si="7"/>
        <v>New York</v>
      </c>
      <c r="R1103" s="5" t="str">
        <f t="shared" si="8"/>
        <v>United States</v>
      </c>
    </row>
    <row r="1104">
      <c r="A1104" s="8" t="s">
        <v>7578</v>
      </c>
      <c r="B1104" s="12" t="s">
        <v>7579</v>
      </c>
      <c r="C1104" s="10" t="s">
        <v>7580</v>
      </c>
      <c r="D1104" s="10"/>
      <c r="E1104" s="10" t="s">
        <v>5307</v>
      </c>
      <c r="F1104" s="10" t="s">
        <v>1570</v>
      </c>
      <c r="G1104" s="11" t="s">
        <v>7548</v>
      </c>
      <c r="H1104" s="11" t="s">
        <v>6159</v>
      </c>
      <c r="I1104" s="11" t="s">
        <v>4600</v>
      </c>
      <c r="J1104" s="9" t="str">
        <f>IFERROR(__xludf.DUMMYFUNCTION("""COMPUTED_VALUE"""),"https://www.google.com/search?newwindow=1&amp;ei=2MT0XrvGGM-vytMP1OyDgAY&amp;q=site%3Alinkedin.com+Danielle+(.+Talent+Acquisition+Manager")</f>
        <v>https://www.google.com/search?newwindow=1&amp;ei=2MT0XrvGGM-vytMP1OyDgAY&amp;q=site%3Alinkedin.com+Danielle+(.+Talent+Acquisition+Manager</v>
      </c>
      <c r="K1104" s="5" t="str">
        <f t="shared" si="1"/>
        <v>Danielle (.</v>
      </c>
      <c r="L1104" s="5" t="str">
        <f t="shared" si="2"/>
        <v>Talent Acquisition Manager</v>
      </c>
      <c r="M1104" s="5" t="str">
        <f t="shared" si="3"/>
        <v/>
      </c>
      <c r="N1104" s="5" t="str">
        <f t="shared" si="4"/>
        <v>PwC</v>
      </c>
      <c r="O1104" s="5" t="str">
        <f t="shared" si="5"/>
        <v>2 years  in role</v>
      </c>
      <c r="P1104" s="5" t="str">
        <f t="shared" si="6"/>
        <v>New York</v>
      </c>
      <c r="Q1104" s="5" t="str">
        <f t="shared" si="7"/>
        <v>New York</v>
      </c>
      <c r="R1104" s="5" t="str">
        <f t="shared" si="8"/>
        <v>United States</v>
      </c>
    </row>
    <row r="1105">
      <c r="A1105" s="8" t="s">
        <v>7581</v>
      </c>
      <c r="B1105" s="12" t="s">
        <v>7582</v>
      </c>
      <c r="C1105" s="10" t="s">
        <v>7583</v>
      </c>
      <c r="D1105" s="10"/>
      <c r="E1105" s="10" t="s">
        <v>7584</v>
      </c>
      <c r="F1105" s="10" t="s">
        <v>53</v>
      </c>
      <c r="G1105" s="11" t="s">
        <v>7548</v>
      </c>
      <c r="H1105" s="11" t="s">
        <v>6159</v>
      </c>
      <c r="I1105" s="11" t="s">
        <v>4600</v>
      </c>
      <c r="J1105" s="9" t="str">
        <f>IFERROR(__xludf.DUMMYFUNCTION("""COMPUTED_VALUE"""),"https://www.google.com/search?newwindow=1&amp;ei=2MT0XrvGGM-vytMP1OyDgAY&amp;q=site%3Alinkedin.com+Kathryn+R.+Manager,+Campus+Recruiting")</f>
        <v>https://www.google.com/search?newwindow=1&amp;ei=2MT0XrvGGM-vytMP1OyDgAY&amp;q=site%3Alinkedin.com+Kathryn+R.+Manager,+Campus+Recruiting</v>
      </c>
      <c r="K1105" s="5" t="str">
        <f t="shared" si="1"/>
        <v>Kathryn R.</v>
      </c>
      <c r="L1105" s="5" t="str">
        <f t="shared" si="2"/>
        <v>Manager, Campus Recruiting</v>
      </c>
      <c r="M1105" s="5" t="str">
        <f t="shared" si="3"/>
        <v/>
      </c>
      <c r="N1105" s="5" t="str">
        <f t="shared" si="4"/>
        <v>Morgan Stanley</v>
      </c>
      <c r="O1105" s="5" t="str">
        <f t="shared" si="5"/>
        <v>10 months in role</v>
      </c>
      <c r="P1105" s="5" t="str">
        <f t="shared" si="6"/>
        <v>New York</v>
      </c>
      <c r="Q1105" s="5" t="str">
        <f t="shared" si="7"/>
        <v>New York</v>
      </c>
      <c r="R1105" s="5" t="str">
        <f t="shared" si="8"/>
        <v>United States</v>
      </c>
    </row>
    <row r="1106">
      <c r="A1106" s="8" t="s">
        <v>7585</v>
      </c>
      <c r="B1106" s="12" t="s">
        <v>7586</v>
      </c>
      <c r="C1106" s="10" t="s">
        <v>7587</v>
      </c>
      <c r="D1106" s="10"/>
      <c r="E1106" s="10" t="s">
        <v>7588</v>
      </c>
      <c r="F1106" s="10" t="s">
        <v>691</v>
      </c>
      <c r="G1106" s="11" t="s">
        <v>7548</v>
      </c>
      <c r="H1106" s="11" t="s">
        <v>6159</v>
      </c>
      <c r="I1106" s="11" t="s">
        <v>4600</v>
      </c>
      <c r="J1106" s="9" t="str">
        <f>IFERROR(__xludf.DUMMYFUNCTION("""COMPUTED_VALUE"""),"https://www.google.com/search?newwindow=1&amp;ei=2MT0XrvGGM-vytMP1OyDgAY&amp;q=site%3Alinkedin.com+Shannon+Rennie+Campus+Recruiting+Specialist")</f>
        <v>https://www.google.com/search?newwindow=1&amp;ei=2MT0XrvGGM-vytMP1OyDgAY&amp;q=site%3Alinkedin.com+Shannon+Rennie+Campus+Recruiting+Specialist</v>
      </c>
      <c r="K1106" s="5" t="str">
        <f t="shared" si="1"/>
        <v>Shannon Rennie</v>
      </c>
      <c r="L1106" s="5" t="str">
        <f t="shared" si="2"/>
        <v>Campus Recruiting Specialist</v>
      </c>
      <c r="M1106" s="5" t="str">
        <f t="shared" si="3"/>
        <v/>
      </c>
      <c r="N1106" s="5" t="str">
        <f t="shared" si="4"/>
        <v>Deloitte</v>
      </c>
      <c r="O1106" s="5" t="str">
        <f t="shared" si="5"/>
        <v>1 year 5 months in role</v>
      </c>
      <c r="P1106" s="5" t="str">
        <f t="shared" si="6"/>
        <v>New York</v>
      </c>
      <c r="Q1106" s="5" t="str">
        <f t="shared" si="7"/>
        <v>New York</v>
      </c>
      <c r="R1106" s="5" t="str">
        <f t="shared" si="8"/>
        <v>United States</v>
      </c>
    </row>
    <row r="1107">
      <c r="A1107" s="8" t="s">
        <v>7589</v>
      </c>
      <c r="B1107" s="10" t="s">
        <v>7590</v>
      </c>
      <c r="C1107" s="10" t="s">
        <v>7591</v>
      </c>
      <c r="D1107" s="10"/>
      <c r="E1107" s="10" t="s">
        <v>3389</v>
      </c>
      <c r="F1107" s="10" t="s">
        <v>399</v>
      </c>
      <c r="G1107" s="11" t="s">
        <v>7548</v>
      </c>
      <c r="H1107" s="11" t="s">
        <v>6159</v>
      </c>
      <c r="I1107" s="11" t="s">
        <v>4600</v>
      </c>
      <c r="J1107" s="9" t="str">
        <f>IFERROR(__xludf.DUMMYFUNCTION("""COMPUTED_VALUE"""),"https://www.google.com/search?newwindow=1&amp;ei=2MT0XrvGGM-vytMP1OyDgAY&amp;q=site%3Alinkedin.com+Alison+Speedling+Manager,+Campus+Recruiting")</f>
        <v>https://www.google.com/search?newwindow=1&amp;ei=2MT0XrvGGM-vytMP1OyDgAY&amp;q=site%3Alinkedin.com+Alison+Speedling+Manager,+Campus+Recruiting</v>
      </c>
      <c r="K1107" s="5" t="str">
        <f t="shared" si="1"/>
        <v>Alison Speedling</v>
      </c>
      <c r="L1107" s="5" t="str">
        <f t="shared" si="2"/>
        <v>Manager, Campus Recruiting</v>
      </c>
      <c r="M1107" s="5" t="str">
        <f t="shared" si="3"/>
        <v/>
      </c>
      <c r="N1107" s="5" t="str">
        <f t="shared" si="4"/>
        <v>Morgan Stanley</v>
      </c>
      <c r="O1107" s="5" t="str">
        <f t="shared" si="5"/>
        <v>1 year 11 months in role and company</v>
      </c>
      <c r="P1107" s="5" t="str">
        <f t="shared" si="6"/>
        <v>New York</v>
      </c>
      <c r="Q1107" s="5" t="str">
        <f t="shared" si="7"/>
        <v>New York</v>
      </c>
      <c r="R1107" s="5" t="str">
        <f t="shared" si="8"/>
        <v>United States</v>
      </c>
    </row>
    <row r="1108">
      <c r="A1108" s="8" t="s">
        <v>7592</v>
      </c>
      <c r="B1108" s="10" t="s">
        <v>7593</v>
      </c>
      <c r="C1108" s="10" t="s">
        <v>5270</v>
      </c>
      <c r="D1108" s="10"/>
      <c r="E1108" s="10" t="s">
        <v>7594</v>
      </c>
      <c r="F1108" s="10" t="s">
        <v>651</v>
      </c>
      <c r="G1108" s="11" t="s">
        <v>7548</v>
      </c>
      <c r="H1108" s="11" t="s">
        <v>6159</v>
      </c>
      <c r="I1108" s="11" t="s">
        <v>4600</v>
      </c>
      <c r="J1108" s="9" t="str">
        <f>IFERROR(__xludf.DUMMYFUNCTION("""COMPUTED_VALUE"""),"https://www.google.com/search?newwindow=1&amp;ei=2MT0XrvGGM-vytMP1OyDgAY&amp;q=site%3Alinkedin.com+Katie+Hawkins+Drasso+Campus+Recruiting+Coordinator+onsite+at+Goldman+Sachs+via+ADP+RPO")</f>
        <v>https://www.google.com/search?newwindow=1&amp;ei=2MT0XrvGGM-vytMP1OyDgAY&amp;q=site%3Alinkedin.com+Katie+Hawkins+Drasso+Campus+Recruiting+Coordinator+onsite+at+Goldman+Sachs+via+ADP+RPO</v>
      </c>
      <c r="K1108" s="5" t="str">
        <f t="shared" si="1"/>
        <v>Katie Hawkins Drasso</v>
      </c>
      <c r="L1108" s="5" t="str">
        <f t="shared" si="2"/>
        <v>Campus Recruiting Coordinator onsite at Goldman Sachs via ADP RPO</v>
      </c>
      <c r="M1108" s="5" t="str">
        <f t="shared" si="3"/>
        <v/>
      </c>
      <c r="N1108" s="5" t="str">
        <f t="shared" si="4"/>
        <v>Goldman Sachs</v>
      </c>
      <c r="O1108" s="5" t="str">
        <f t="shared" si="5"/>
        <v>1 year 2 months in role and company</v>
      </c>
      <c r="P1108" s="5" t="str">
        <f t="shared" si="6"/>
        <v>New York</v>
      </c>
      <c r="Q1108" s="5" t="str">
        <f t="shared" si="7"/>
        <v>New York</v>
      </c>
      <c r="R1108" s="5" t="str">
        <f t="shared" si="8"/>
        <v>United States</v>
      </c>
    </row>
    <row r="1109">
      <c r="A1109" s="8" t="s">
        <v>7595</v>
      </c>
      <c r="B1109" s="12" t="s">
        <v>7596</v>
      </c>
      <c r="C1109" s="10" t="s">
        <v>7597</v>
      </c>
      <c r="D1109" s="10"/>
      <c r="E1109" s="10" t="s">
        <v>3389</v>
      </c>
      <c r="F1109" s="10" t="s">
        <v>268</v>
      </c>
      <c r="G1109" s="11" t="s">
        <v>7548</v>
      </c>
      <c r="H1109" s="11" t="s">
        <v>6159</v>
      </c>
      <c r="I1109" s="11" t="s">
        <v>4600</v>
      </c>
      <c r="J1109" s="9" t="str">
        <f>IFERROR(__xludf.DUMMYFUNCTION("""COMPUTED_VALUE"""),"https://www.google.com/search?newwindow=1&amp;ei=2MT0XrvGGM-vytMP1OyDgAY&amp;q=site%3Alinkedin.com+Alison+Mancuso+Assistant+Vice+President,+Campus+Recruiting")</f>
        <v>https://www.google.com/search?newwindow=1&amp;ei=2MT0XrvGGM-vytMP1OyDgAY&amp;q=site%3Alinkedin.com+Alison+Mancuso+Assistant+Vice+President,+Campus+Recruiting</v>
      </c>
      <c r="K1109" s="5" t="str">
        <f t="shared" si="1"/>
        <v>Alison Mancuso</v>
      </c>
      <c r="L1109" s="5" t="str">
        <f t="shared" si="2"/>
        <v>Assistant Vice President, Campus Recruiting</v>
      </c>
      <c r="M1109" s="5" t="str">
        <f t="shared" si="3"/>
        <v/>
      </c>
      <c r="N1109" s="5" t="str">
        <f t="shared" si="4"/>
        <v>Bank of America Merrill Lynch</v>
      </c>
      <c r="O1109" s="5" t="str">
        <f t="shared" si="5"/>
        <v>1 year 10 months in role</v>
      </c>
      <c r="P1109" s="5" t="str">
        <f t="shared" si="6"/>
        <v>New York</v>
      </c>
      <c r="Q1109" s="5" t="str">
        <f t="shared" si="7"/>
        <v>New York</v>
      </c>
      <c r="R1109" s="5" t="str">
        <f t="shared" si="8"/>
        <v>United States</v>
      </c>
    </row>
    <row r="1110">
      <c r="A1110" s="8" t="s">
        <v>7598</v>
      </c>
      <c r="B1110" s="12" t="s">
        <v>7599</v>
      </c>
      <c r="C1110" s="10" t="s">
        <v>7600</v>
      </c>
      <c r="D1110" s="10"/>
      <c r="E1110" s="10" t="s">
        <v>7601</v>
      </c>
      <c r="F1110" s="10" t="s">
        <v>48</v>
      </c>
      <c r="G1110" s="11" t="s">
        <v>7548</v>
      </c>
      <c r="H1110" s="11" t="s">
        <v>6159</v>
      </c>
      <c r="I1110" s="11" t="s">
        <v>4600</v>
      </c>
      <c r="J1110" s="9" t="str">
        <f>IFERROR(__xludf.DUMMYFUNCTION("""COMPUTED_VALUE"""),"https://www.google.com/search?newwindow=1&amp;ei=2MT0XrvGGM-vytMP1OyDgAY&amp;q=site%3Alinkedin.com+Christina+Belmonte+Manager,+Fixed+Income+Analyst+Campus+Recruiting")</f>
        <v>https://www.google.com/search?newwindow=1&amp;ei=2MT0XrvGGM-vytMP1OyDgAY&amp;q=site%3Alinkedin.com+Christina+Belmonte+Manager,+Fixed+Income+Analyst+Campus+Recruiting</v>
      </c>
      <c r="K1110" s="5" t="str">
        <f t="shared" si="1"/>
        <v>Christina Belmonte</v>
      </c>
      <c r="L1110" s="5" t="str">
        <f t="shared" si="2"/>
        <v>Manager, Fixed Income Analyst Campus Recruiting</v>
      </c>
      <c r="M1110" s="5" t="str">
        <f t="shared" si="3"/>
        <v/>
      </c>
      <c r="N1110" s="5" t="str">
        <f t="shared" si="4"/>
        <v>Morgan Stanley</v>
      </c>
      <c r="O1110" s="5" t="str">
        <f t="shared" si="5"/>
        <v>1 year 5 months in role</v>
      </c>
      <c r="P1110" s="5" t="str">
        <f t="shared" si="6"/>
        <v>New York</v>
      </c>
      <c r="Q1110" s="5" t="str">
        <f t="shared" si="7"/>
        <v>New York</v>
      </c>
      <c r="R1110" s="5" t="str">
        <f t="shared" si="8"/>
        <v>United States</v>
      </c>
    </row>
    <row r="1111">
      <c r="A1111" s="8" t="s">
        <v>7602</v>
      </c>
      <c r="B1111" s="10" t="s">
        <v>7603</v>
      </c>
      <c r="C1111" s="10" t="s">
        <v>7604</v>
      </c>
      <c r="D1111" s="10"/>
      <c r="E1111" s="10" t="s">
        <v>7605</v>
      </c>
      <c r="F1111" s="10" t="s">
        <v>1538</v>
      </c>
      <c r="G1111" s="11" t="s">
        <v>7548</v>
      </c>
      <c r="H1111" s="11" t="s">
        <v>6159</v>
      </c>
      <c r="I1111" s="11" t="s">
        <v>4600</v>
      </c>
      <c r="J1111" s="9" t="str">
        <f>IFERROR(__xludf.DUMMYFUNCTION("""COMPUTED_VALUE"""),"https://www.google.com/search?newwindow=1&amp;ei=2MT0XrvGGM-vytMP1OyDgAY&amp;q=site%3Alinkedin.com+Jessica+Franco+New+York+Metro+Campus+Recruiting+Lead")</f>
        <v>https://www.google.com/search?newwindow=1&amp;ei=2MT0XrvGGM-vytMP1OyDgAY&amp;q=site%3Alinkedin.com+Jessica+Franco+New+York+Metro+Campus+Recruiting+Lead</v>
      </c>
      <c r="K1111" s="5" t="str">
        <f t="shared" si="1"/>
        <v>Jessica Franco</v>
      </c>
      <c r="L1111" s="5" t="str">
        <f t="shared" si="2"/>
        <v>New York Metro Campus Recruiting Lead</v>
      </c>
      <c r="M1111" s="5" t="str">
        <f t="shared" si="3"/>
        <v/>
      </c>
      <c r="N1111" s="5" t="str">
        <f t="shared" si="4"/>
        <v>PwC</v>
      </c>
      <c r="O1111" s="5" t="str">
        <f t="shared" si="5"/>
        <v>3 years 7 months in role</v>
      </c>
      <c r="P1111" s="5" t="str">
        <f t="shared" si="6"/>
        <v>New York</v>
      </c>
      <c r="Q1111" s="5" t="str">
        <f t="shared" si="7"/>
        <v>New York</v>
      </c>
      <c r="R1111" s="5" t="str">
        <f t="shared" si="8"/>
        <v>United States</v>
      </c>
    </row>
    <row r="1112">
      <c r="A1112" s="8" t="s">
        <v>7606</v>
      </c>
      <c r="B1112" s="10" t="s">
        <v>7607</v>
      </c>
      <c r="C1112" s="10" t="s">
        <v>115</v>
      </c>
      <c r="D1112" s="10"/>
      <c r="E1112" s="10" t="s">
        <v>7608</v>
      </c>
      <c r="F1112" s="10" t="s">
        <v>63</v>
      </c>
      <c r="G1112" s="11" t="s">
        <v>7548</v>
      </c>
      <c r="H1112" s="11" t="s">
        <v>6159</v>
      </c>
      <c r="I1112" s="11" t="s">
        <v>4600</v>
      </c>
      <c r="J1112" s="9" t="str">
        <f>IFERROR(__xludf.DUMMYFUNCTION("""COMPUTED_VALUE"""),"https://www.google.com/search?newwindow=1&amp;ei=2MT0XrvGGM-vytMP1OyDgAY&amp;q=site%3Alinkedin.com+Jemima+Sloggett+Manager,+Campus+Recruiting")</f>
        <v>https://www.google.com/search?newwindow=1&amp;ei=2MT0XrvGGM-vytMP1OyDgAY&amp;q=site%3Alinkedin.com+Jemima+Sloggett+Manager,+Campus+Recruiting</v>
      </c>
      <c r="K1112" s="5" t="str">
        <f t="shared" si="1"/>
        <v>Jemima Sloggett</v>
      </c>
      <c r="L1112" s="5" t="str">
        <f t="shared" si="2"/>
        <v>Manager, Campus Recruiting</v>
      </c>
      <c r="M1112" s="5" t="str">
        <f t="shared" si="3"/>
        <v/>
      </c>
      <c r="N1112" s="5" t="str">
        <f t="shared" si="4"/>
        <v>KPMG US</v>
      </c>
      <c r="O1112" s="5" t="str">
        <f t="shared" si="5"/>
        <v>11 months in role</v>
      </c>
      <c r="P1112" s="5" t="str">
        <f t="shared" si="6"/>
        <v>New York</v>
      </c>
      <c r="Q1112" s="5" t="str">
        <f t="shared" si="7"/>
        <v>New York</v>
      </c>
      <c r="R1112" s="5" t="str">
        <f t="shared" si="8"/>
        <v>United States</v>
      </c>
    </row>
    <row r="1113">
      <c r="A1113" s="8" t="s">
        <v>7609</v>
      </c>
      <c r="B1113" s="10" t="s">
        <v>7610</v>
      </c>
      <c r="C1113" s="10" t="s">
        <v>7611</v>
      </c>
      <c r="D1113" s="10"/>
      <c r="E1113" s="10" t="s">
        <v>7612</v>
      </c>
      <c r="F1113" s="10" t="s">
        <v>1570</v>
      </c>
      <c r="G1113" s="11" t="s">
        <v>7548</v>
      </c>
      <c r="H1113" s="11" t="s">
        <v>6159</v>
      </c>
      <c r="I1113" s="11" t="s">
        <v>4600</v>
      </c>
      <c r="J1113" s="9" t="str">
        <f>IFERROR(__xludf.DUMMYFUNCTION("""COMPUTED_VALUE"""),"https://www.google.com/search?newwindow=1&amp;ei=2MT0XrvGGM-vytMP1OyDgAY&amp;q=site%3Alinkedin.com+Joe+Maturando+Director+of+Campus+Recruiting,+Northeast+Region")</f>
        <v>https://www.google.com/search?newwindow=1&amp;ei=2MT0XrvGGM-vytMP1OyDgAY&amp;q=site%3Alinkedin.com+Joe+Maturando+Director+of+Campus+Recruiting,+Northeast+Region</v>
      </c>
      <c r="K1113" s="5" t="str">
        <f t="shared" si="1"/>
        <v>Joe Maturando</v>
      </c>
      <c r="L1113" s="5" t="str">
        <f t="shared" si="2"/>
        <v>Director of Campus Recruiting, Northeast Region</v>
      </c>
      <c r="M1113" s="5" t="str">
        <f t="shared" si="3"/>
        <v/>
      </c>
      <c r="N1113" s="5" t="str">
        <f t="shared" si="4"/>
        <v>EY</v>
      </c>
      <c r="O1113" s="5" t="str">
        <f t="shared" si="5"/>
        <v>23 years 2 months in role and company</v>
      </c>
      <c r="P1113" s="5" t="str">
        <f t="shared" si="6"/>
        <v>New York</v>
      </c>
      <c r="Q1113" s="5" t="str">
        <f t="shared" si="7"/>
        <v>New York</v>
      </c>
      <c r="R1113" s="5" t="str">
        <f t="shared" si="8"/>
        <v>United States</v>
      </c>
    </row>
    <row r="1114">
      <c r="A1114" s="8" t="s">
        <v>7613</v>
      </c>
      <c r="B1114" s="10" t="s">
        <v>7614</v>
      </c>
      <c r="C1114" s="10" t="s">
        <v>480</v>
      </c>
      <c r="D1114" s="10"/>
      <c r="E1114" s="10" t="s">
        <v>7615</v>
      </c>
      <c r="F1114" s="10"/>
      <c r="G1114" s="11" t="s">
        <v>7548</v>
      </c>
      <c r="H1114" s="11" t="s">
        <v>6159</v>
      </c>
      <c r="I1114" s="11" t="s">
        <v>4600</v>
      </c>
      <c r="J1114" s="9" t="str">
        <f>IFERROR(__xludf.DUMMYFUNCTION("""COMPUTED_VALUE"""),"https://www.google.com/search?newwindow=1&amp;ei=2MT0XrvGGM-vytMP1OyDgAY&amp;q=site%3Alinkedin.com+Angela+Marchesi+Cherry+National+Deloitte+Risk+and+Financial+Advisory+Campus+Recruiting+Leader")</f>
        <v>https://www.google.com/search?newwindow=1&amp;ei=2MT0XrvGGM-vytMP1OyDgAY&amp;q=site%3Alinkedin.com+Angela+Marchesi+Cherry+National+Deloitte+Risk+and+Financial+Advisory+Campus+Recruiting+Leader</v>
      </c>
      <c r="K1114" s="5" t="str">
        <f t="shared" si="1"/>
        <v>Angela Marchesi Cherry</v>
      </c>
      <c r="L1114" s="5" t="str">
        <f t="shared" si="2"/>
        <v>National Deloitte Risk and Financial Advisory Campus Recruiting Leader</v>
      </c>
      <c r="M1114" s="5" t="str">
        <f t="shared" si="3"/>
        <v/>
      </c>
      <c r="N1114" s="5" t="str">
        <f t="shared" si="4"/>
        <v>Deloitte</v>
      </c>
      <c r="O1114" s="5" t="str">
        <f t="shared" si="5"/>
        <v>5 years 11 months in role</v>
      </c>
      <c r="P1114" s="5" t="str">
        <f t="shared" si="6"/>
        <v>New York</v>
      </c>
      <c r="Q1114" s="5" t="str">
        <f t="shared" si="7"/>
        <v>New York</v>
      </c>
      <c r="R1114" s="5" t="str">
        <f t="shared" si="8"/>
        <v>United States</v>
      </c>
    </row>
    <row r="1115">
      <c r="A1115" s="8" t="s">
        <v>7545</v>
      </c>
      <c r="B1115" s="10" t="s">
        <v>7546</v>
      </c>
      <c r="C1115" s="10" t="s">
        <v>25</v>
      </c>
      <c r="D1115" s="10"/>
      <c r="E1115" s="10" t="s">
        <v>7547</v>
      </c>
      <c r="F1115" s="10" t="s">
        <v>144</v>
      </c>
      <c r="G1115" s="11" t="s">
        <v>7548</v>
      </c>
      <c r="H1115" s="11" t="s">
        <v>6159</v>
      </c>
      <c r="I1115" s="11" t="s">
        <v>4600</v>
      </c>
      <c r="J1115" s="9" t="str">
        <f>IFERROR(__xludf.DUMMYFUNCTION("""COMPUTED_VALUE"""),"https://www.google.com/search?newwindow=1&amp;ei=2MT0XrvGGM-vytMP1OyDgAY&amp;q=site%3Alinkedin.com+Erica+Ciolli+Head+of+Campus+Recruiting+for+Consumer+and+Investment+Management+(Private+Wealth+&amp;+Asset+Management)")</f>
        <v>https://www.google.com/search?newwindow=1&amp;ei=2MT0XrvGGM-vytMP1OyDgAY&amp;q=site%3Alinkedin.com+Erica+Ciolli+Head+of+Campus+Recruiting+for+Consumer+and+Investment+Management+(Private+Wealth+&amp;+Asset+Management)</v>
      </c>
      <c r="K1115" s="5" t="str">
        <f t="shared" si="1"/>
        <v>Erica Ciolli</v>
      </c>
      <c r="L1115" s="5" t="str">
        <f t="shared" si="2"/>
        <v>Head of Campus Recruiting for Consumer and Investment Management (Private Wealth &amp; Asset Management)</v>
      </c>
      <c r="M1115" s="5" t="str">
        <f t="shared" si="3"/>
        <v/>
      </c>
      <c r="N1115" s="5" t="str">
        <f t="shared" si="4"/>
        <v>Goldman Sachs</v>
      </c>
      <c r="O1115" s="5" t="str">
        <f t="shared" si="5"/>
        <v>1 year 8 months in role</v>
      </c>
      <c r="P1115" s="5" t="str">
        <f t="shared" si="6"/>
        <v>New York</v>
      </c>
      <c r="Q1115" s="5" t="str">
        <f t="shared" si="7"/>
        <v>New York</v>
      </c>
      <c r="R1115" s="5" t="str">
        <f t="shared" si="8"/>
        <v>United States</v>
      </c>
    </row>
    <row r="1116">
      <c r="A1116" s="8" t="s">
        <v>7549</v>
      </c>
      <c r="B1116" s="10" t="s">
        <v>7550</v>
      </c>
      <c r="C1116" s="10" t="s">
        <v>110</v>
      </c>
      <c r="D1116" s="10"/>
      <c r="E1116" s="10" t="s">
        <v>4366</v>
      </c>
      <c r="F1116" s="10" t="s">
        <v>651</v>
      </c>
      <c r="G1116" s="11" t="s">
        <v>7548</v>
      </c>
      <c r="H1116" s="11" t="s">
        <v>6159</v>
      </c>
      <c r="I1116" s="11" t="s">
        <v>4600</v>
      </c>
      <c r="J1116" s="9" t="str">
        <f>IFERROR(__xludf.DUMMYFUNCTION("""COMPUTED_VALUE"""),"https://www.google.com/search?newwindow=1&amp;ei=2MT0XrvGGM-vytMP1OyDgAY&amp;q=site%3Alinkedin.com+Katie+Robinson-Duff+Manager,+Campus+Recruiting")</f>
        <v>https://www.google.com/search?newwindow=1&amp;ei=2MT0XrvGGM-vytMP1OyDgAY&amp;q=site%3Alinkedin.com+Katie+Robinson-Duff+Manager,+Campus+Recruiting</v>
      </c>
      <c r="K1116" s="5" t="str">
        <f t="shared" si="1"/>
        <v>Katie Robinson-Duff</v>
      </c>
      <c r="L1116" s="5" t="str">
        <f t="shared" si="2"/>
        <v>Manager, Campus Recruiting</v>
      </c>
      <c r="M1116" s="5" t="str">
        <f t="shared" si="3"/>
        <v/>
      </c>
      <c r="N1116" s="5" t="str">
        <f t="shared" si="4"/>
        <v>Morgan Stanley</v>
      </c>
      <c r="O1116" s="5" t="str">
        <f t="shared" si="5"/>
        <v>1 year 2 months in role</v>
      </c>
      <c r="P1116" s="5" t="str">
        <f t="shared" si="6"/>
        <v>New York</v>
      </c>
      <c r="Q1116" s="5" t="str">
        <f t="shared" si="7"/>
        <v>New York</v>
      </c>
      <c r="R1116" s="5" t="str">
        <f t="shared" si="8"/>
        <v>United States</v>
      </c>
    </row>
    <row r="1117">
      <c r="A1117" s="8" t="s">
        <v>7616</v>
      </c>
      <c r="B1117" s="10" t="s">
        <v>7617</v>
      </c>
      <c r="C1117" s="10" t="s">
        <v>7618</v>
      </c>
      <c r="D1117" s="10"/>
      <c r="E1117" s="10" t="s">
        <v>7619</v>
      </c>
      <c r="F1117" s="10" t="s">
        <v>958</v>
      </c>
      <c r="G1117" s="11" t="s">
        <v>7548</v>
      </c>
      <c r="H1117" s="11" t="s">
        <v>6159</v>
      </c>
      <c r="I1117" s="11" t="s">
        <v>4600</v>
      </c>
      <c r="J1117" s="9" t="str">
        <f>IFERROR(__xludf.DUMMYFUNCTION("""COMPUTED_VALUE"""),"https://www.google.com/search?newwindow=1&amp;ei=2MT0XrvGGM-vytMP1OyDgAY&amp;q=site%3Alinkedin.com+Ragland+Mackin+Director+of+Campus+Recruiting")</f>
        <v>https://www.google.com/search?newwindow=1&amp;ei=2MT0XrvGGM-vytMP1OyDgAY&amp;q=site%3Alinkedin.com+Ragland+Mackin+Director+of+Campus+Recruiting</v>
      </c>
      <c r="K1117" s="5" t="str">
        <f t="shared" si="1"/>
        <v>Ragland Mackin</v>
      </c>
      <c r="L1117" s="5" t="str">
        <f t="shared" si="2"/>
        <v>Director of Campus Recruiting</v>
      </c>
      <c r="M1117" s="5" t="str">
        <f t="shared" si="3"/>
        <v/>
      </c>
      <c r="N1117" s="5" t="str">
        <f t="shared" si="4"/>
        <v>Morgan Stanley</v>
      </c>
      <c r="O1117" s="5" t="str">
        <f t="shared" si="5"/>
        <v>1 year 10 months in role</v>
      </c>
      <c r="P1117" s="5" t="str">
        <f t="shared" si="6"/>
        <v>New York</v>
      </c>
      <c r="Q1117" s="5" t="str">
        <f t="shared" si="7"/>
        <v>New York</v>
      </c>
      <c r="R1117" s="5" t="str">
        <f t="shared" si="8"/>
        <v>United States</v>
      </c>
    </row>
    <row r="1118">
      <c r="A1118" s="8" t="s">
        <v>7551</v>
      </c>
      <c r="B1118" s="12" t="s">
        <v>7552</v>
      </c>
      <c r="C1118" s="10" t="s">
        <v>1559</v>
      </c>
      <c r="D1118" s="10"/>
      <c r="E1118" s="10" t="s">
        <v>14</v>
      </c>
      <c r="F1118" s="10" t="s">
        <v>446</v>
      </c>
      <c r="G1118" s="11" t="s">
        <v>7548</v>
      </c>
      <c r="H1118" s="11" t="s">
        <v>6159</v>
      </c>
      <c r="I1118" s="11" t="s">
        <v>4600</v>
      </c>
      <c r="J1118" s="9" t="str">
        <f>IFERROR(__xludf.DUMMYFUNCTION("""COMPUTED_VALUE"""),"https://www.google.com/search?newwindow=1&amp;ei=2MT0XrvGGM-vytMP1OyDgAY&amp;q=site%3Alinkedin.com+Hollan+Humphrey+Campus+Recruiting+Coordinator,+Investment+Banking+Analyst+Program")</f>
        <v>https://www.google.com/search?newwindow=1&amp;ei=2MT0XrvGGM-vytMP1OyDgAY&amp;q=site%3Alinkedin.com+Hollan+Humphrey+Campus+Recruiting+Coordinator,+Investment+Banking+Analyst+Program</v>
      </c>
      <c r="K1118" s="5" t="str">
        <f t="shared" si="1"/>
        <v>Hollan Humphrey</v>
      </c>
      <c r="L1118" s="5" t="str">
        <f t="shared" si="2"/>
        <v>Campus Recruiting Coordinator, Investment Banking Analyst Program</v>
      </c>
      <c r="M1118" s="5" t="str">
        <f t="shared" si="3"/>
        <v/>
      </c>
      <c r="N1118" s="5" t="str">
        <f t="shared" si="4"/>
        <v>Morgan Stanley</v>
      </c>
      <c r="O1118" s="5" t="str">
        <f t="shared" si="5"/>
        <v>1 year 10 months in role and company</v>
      </c>
      <c r="P1118" s="5" t="str">
        <f t="shared" si="6"/>
        <v>New York</v>
      </c>
      <c r="Q1118" s="5" t="str">
        <f t="shared" si="7"/>
        <v>New York</v>
      </c>
      <c r="R1118" s="5" t="str">
        <f t="shared" si="8"/>
        <v>United States</v>
      </c>
    </row>
    <row r="1119">
      <c r="A1119" s="8" t="s">
        <v>7556</v>
      </c>
      <c r="B1119" s="10" t="s">
        <v>7557</v>
      </c>
      <c r="C1119" s="10" t="s">
        <v>7558</v>
      </c>
      <c r="D1119" s="10"/>
      <c r="E1119" s="10" t="s">
        <v>7559</v>
      </c>
      <c r="F1119" s="10" t="s">
        <v>237</v>
      </c>
      <c r="G1119" s="11" t="s">
        <v>7548</v>
      </c>
      <c r="H1119" s="11" t="s">
        <v>6159</v>
      </c>
      <c r="I1119" s="11" t="s">
        <v>4600</v>
      </c>
      <c r="J1119" s="9" t="str">
        <f>IFERROR(__xludf.DUMMYFUNCTION("""COMPUTED_VALUE"""),"https://www.google.com/search?newwindow=1&amp;ei=2MT0XrvGGM-vytMP1OyDgAY&amp;q=site%3Alinkedin.com+Gabrielle+DiBuono+Vice+President,+Head+of+Campus+Recruiting+-+US+Financial+Advisory")</f>
        <v>https://www.google.com/search?newwindow=1&amp;ei=2MT0XrvGGM-vytMP1OyDgAY&amp;q=site%3Alinkedin.com+Gabrielle+DiBuono+Vice+President,+Head+of+Campus+Recruiting+-+US+Financial+Advisory</v>
      </c>
      <c r="K1119" s="5" t="str">
        <f t="shared" si="1"/>
        <v>Gabrielle DiBuono</v>
      </c>
      <c r="L1119" s="5" t="str">
        <f t="shared" si="2"/>
        <v>Vice President, Head of Campus Recruiting - US Financial Advisory</v>
      </c>
      <c r="M1119" s="5" t="str">
        <f t="shared" si="3"/>
        <v/>
      </c>
      <c r="N1119" s="5" t="str">
        <f t="shared" si="4"/>
        <v>Lazard</v>
      </c>
      <c r="O1119" s="5" t="str">
        <f t="shared" si="5"/>
        <v>4 years 1 month in role and company</v>
      </c>
      <c r="P1119" s="5" t="str">
        <f t="shared" si="6"/>
        <v>New York</v>
      </c>
      <c r="Q1119" s="5" t="str">
        <f t="shared" si="7"/>
        <v>New York</v>
      </c>
      <c r="R1119" s="5" t="str">
        <f t="shared" si="8"/>
        <v>United States</v>
      </c>
    </row>
    <row r="1120">
      <c r="A1120" s="8" t="s">
        <v>7553</v>
      </c>
      <c r="B1120" s="10" t="s">
        <v>7554</v>
      </c>
      <c r="C1120" s="10" t="s">
        <v>5068</v>
      </c>
      <c r="D1120" s="10"/>
      <c r="E1120" s="10" t="s">
        <v>7555</v>
      </c>
      <c r="F1120" s="10" t="s">
        <v>727</v>
      </c>
      <c r="G1120" s="11" t="s">
        <v>7548</v>
      </c>
      <c r="H1120" s="11" t="s">
        <v>6159</v>
      </c>
      <c r="I1120" s="11" t="s">
        <v>4600</v>
      </c>
      <c r="J1120" s="9" t="str">
        <f>IFERROR(__xludf.DUMMYFUNCTION("""COMPUTED_VALUE"""),"https://www.google.com/search?newwindow=1&amp;ei=2MT0XrvGGM-vytMP1OyDgAY&amp;q=site%3Alinkedin.com+Christine+Sexton+Campus+Recruiting++|+Americas+Talent+Team")</f>
        <v>https://www.google.com/search?newwindow=1&amp;ei=2MT0XrvGGM-vytMP1OyDgAY&amp;q=site%3Alinkedin.com+Christine+Sexton+Campus+Recruiting++|+Americas+Talent+Team</v>
      </c>
      <c r="K1120" s="5" t="str">
        <f t="shared" si="1"/>
        <v>Christine Sexton</v>
      </c>
      <c r="L1120" s="5" t="str">
        <f t="shared" si="2"/>
        <v>Campus Recruiting  | Americas Talent Team</v>
      </c>
      <c r="M1120" s="5" t="str">
        <f t="shared" si="3"/>
        <v/>
      </c>
      <c r="N1120" s="5" t="str">
        <f t="shared" si="4"/>
        <v>EY</v>
      </c>
      <c r="O1120" s="5" t="str">
        <f t="shared" si="5"/>
        <v>4 years  in role and company</v>
      </c>
      <c r="P1120" s="5" t="str">
        <f t="shared" si="6"/>
        <v>New York</v>
      </c>
      <c r="Q1120" s="5" t="str">
        <f t="shared" si="7"/>
        <v>New York</v>
      </c>
      <c r="R1120" s="5" t="str">
        <f t="shared" si="8"/>
        <v>United States</v>
      </c>
    </row>
    <row r="1121">
      <c r="A1121" s="8" t="s">
        <v>7560</v>
      </c>
      <c r="B1121" s="10" t="s">
        <v>7561</v>
      </c>
      <c r="C1121" s="10" t="s">
        <v>7562</v>
      </c>
      <c r="D1121" s="10"/>
      <c r="E1121" s="10" t="s">
        <v>7563</v>
      </c>
      <c r="F1121" s="10" t="s">
        <v>237</v>
      </c>
      <c r="G1121" s="11" t="s">
        <v>7548</v>
      </c>
      <c r="H1121" s="11" t="s">
        <v>6159</v>
      </c>
      <c r="I1121" s="11" t="s">
        <v>4600</v>
      </c>
      <c r="J1121" s="9" t="str">
        <f>IFERROR(__xludf.DUMMYFUNCTION("""COMPUTED_VALUE"""),"https://www.google.com/search?newwindow=1&amp;ei=2MT0XrvGGM-vytMP1OyDgAY&amp;q=site%3Alinkedin.com+Elizabeth+Schoentube+Senior+Vice+President,+Head+of+Campus+Recruiting+&amp;+Program+Management")</f>
        <v>https://www.google.com/search?newwindow=1&amp;ei=2MT0XrvGGM-vytMP1OyDgAY&amp;q=site%3Alinkedin.com+Elizabeth+Schoentube+Senior+Vice+President,+Head+of+Campus+Recruiting+&amp;+Program+Management</v>
      </c>
      <c r="K1121" s="5" t="str">
        <f t="shared" si="1"/>
        <v>Elizabeth Schoentube</v>
      </c>
      <c r="L1121" s="5" t="str">
        <f t="shared" si="2"/>
        <v>Senior Vice President, Head of Campus Recruiting &amp; Program Management</v>
      </c>
      <c r="M1121" s="5" t="str">
        <f t="shared" si="3"/>
        <v/>
      </c>
      <c r="N1121" s="5" t="str">
        <f t="shared" si="4"/>
        <v>Bank of America</v>
      </c>
      <c r="O1121" s="5" t="str">
        <f t="shared" si="5"/>
        <v>3 years 1 month in role and company</v>
      </c>
      <c r="P1121" s="5" t="str">
        <f t="shared" si="6"/>
        <v>New York</v>
      </c>
      <c r="Q1121" s="5" t="str">
        <f t="shared" si="7"/>
        <v>New York</v>
      </c>
      <c r="R1121" s="5" t="str">
        <f t="shared" si="8"/>
        <v>United States</v>
      </c>
    </row>
    <row r="1122">
      <c r="A1122" s="8" t="s">
        <v>7564</v>
      </c>
      <c r="B1122" s="10" t="s">
        <v>7565</v>
      </c>
      <c r="C1122" s="10" t="s">
        <v>7566</v>
      </c>
      <c r="D1122" s="10"/>
      <c r="E1122" s="10" t="s">
        <v>4914</v>
      </c>
      <c r="F1122" s="10" t="s">
        <v>441</v>
      </c>
      <c r="G1122" s="11" t="s">
        <v>7548</v>
      </c>
      <c r="H1122" s="11" t="s">
        <v>6159</v>
      </c>
      <c r="I1122" s="11" t="s">
        <v>4600</v>
      </c>
      <c r="J1122" s="9" t="str">
        <f>IFERROR(__xludf.DUMMYFUNCTION("""COMPUTED_VALUE"""),"https://www.google.com/search?newwindow=1&amp;ei=2MT0XrvGGM-vytMP1OyDgAY&amp;q=site%3Alinkedin.com+Kiera+McMullan+Wealth+Management+Campus+Recruiting+&amp;+Program+Management")</f>
        <v>https://www.google.com/search?newwindow=1&amp;ei=2MT0XrvGGM-vytMP1OyDgAY&amp;q=site%3Alinkedin.com+Kiera+McMullan+Wealth+Management+Campus+Recruiting+&amp;+Program+Management</v>
      </c>
      <c r="K1122" s="5" t="str">
        <f t="shared" si="1"/>
        <v>Kiera McMullan</v>
      </c>
      <c r="L1122" s="5" t="str">
        <f t="shared" si="2"/>
        <v>Wealth Management Campus Recruiting &amp; Program Management</v>
      </c>
      <c r="M1122" s="5" t="str">
        <f t="shared" si="3"/>
        <v/>
      </c>
      <c r="N1122" s="5" t="str">
        <f t="shared" si="4"/>
        <v>Morgan Stanley</v>
      </c>
      <c r="O1122" s="5" t="str">
        <f t="shared" si="5"/>
        <v>1 year 4 months in role and company</v>
      </c>
      <c r="P1122" s="5" t="str">
        <f t="shared" si="6"/>
        <v>New York</v>
      </c>
      <c r="Q1122" s="5" t="str">
        <f t="shared" si="7"/>
        <v>New York</v>
      </c>
      <c r="R1122" s="5" t="str">
        <f t="shared" si="8"/>
        <v>United States</v>
      </c>
    </row>
    <row r="1123">
      <c r="A1123" s="8" t="s">
        <v>7567</v>
      </c>
      <c r="B1123" s="10" t="s">
        <v>7568</v>
      </c>
      <c r="C1123" s="10" t="s">
        <v>7569</v>
      </c>
      <c r="D1123" s="10"/>
      <c r="E1123" s="10" t="s">
        <v>6692</v>
      </c>
      <c r="F1123" s="10" t="s">
        <v>376</v>
      </c>
      <c r="G1123" s="11" t="s">
        <v>7548</v>
      </c>
      <c r="H1123" s="11" t="s">
        <v>6159</v>
      </c>
      <c r="I1123" s="11" t="s">
        <v>4600</v>
      </c>
      <c r="J1123" s="9" t="str">
        <f>IFERROR(__xludf.DUMMYFUNCTION("""COMPUTED_VALUE"""),"https://www.google.com/search?newwindow=1&amp;ei=2MT0XrvGGM-vytMP1OyDgAY&amp;q=site%3Alinkedin.com+Melanie+S.+Human+Resources+Intern+-+Campus+Recruiting")</f>
        <v>https://www.google.com/search?newwindow=1&amp;ei=2MT0XrvGGM-vytMP1OyDgAY&amp;q=site%3Alinkedin.com+Melanie+S.+Human+Resources+Intern+-+Campus+Recruiting</v>
      </c>
      <c r="K1123" s="5" t="str">
        <f t="shared" si="1"/>
        <v>Melanie S.</v>
      </c>
      <c r="L1123" s="5" t="str">
        <f t="shared" si="2"/>
        <v>Human Resources Intern - Campus Recruiting</v>
      </c>
      <c r="M1123" s="5" t="str">
        <f t="shared" si="3"/>
        <v/>
      </c>
      <c r="N1123" s="5" t="str">
        <f t="shared" si="4"/>
        <v>Bloomberg LP</v>
      </c>
      <c r="O1123" s="5" t="str">
        <f t="shared" si="5"/>
        <v>5 months in role and company</v>
      </c>
      <c r="P1123" s="5" t="str">
        <f t="shared" si="6"/>
        <v>New York</v>
      </c>
      <c r="Q1123" s="5" t="str">
        <f t="shared" si="7"/>
        <v>New York</v>
      </c>
      <c r="R1123" s="5" t="str">
        <f t="shared" si="8"/>
        <v>United States</v>
      </c>
    </row>
    <row r="1124">
      <c r="A1124" s="8" t="s">
        <v>7570</v>
      </c>
      <c r="B1124" s="12" t="s">
        <v>7571</v>
      </c>
      <c r="C1124" s="10" t="s">
        <v>7572</v>
      </c>
      <c r="D1124" s="10"/>
      <c r="E1124" s="10" t="s">
        <v>7573</v>
      </c>
      <c r="F1124" s="10" t="s">
        <v>228</v>
      </c>
      <c r="G1124" s="11" t="s">
        <v>7548</v>
      </c>
      <c r="H1124" s="11" t="s">
        <v>6159</v>
      </c>
      <c r="I1124" s="11" t="s">
        <v>4600</v>
      </c>
      <c r="J1124" s="9" t="str">
        <f>IFERROR(__xludf.DUMMYFUNCTION("""COMPUTED_VALUE"""),"https://www.google.com/search?newwindow=1&amp;ei=2MT0XrvGGM-vytMP1OyDgAY&amp;q=site%3Alinkedin.com+Taylor+Monticollo+Campus+Recruiting+Coordinator")</f>
        <v>https://www.google.com/search?newwindow=1&amp;ei=2MT0XrvGGM-vytMP1OyDgAY&amp;q=site%3Alinkedin.com+Taylor+Monticollo+Campus+Recruiting+Coordinator</v>
      </c>
      <c r="K1124" s="5" t="str">
        <f t="shared" si="1"/>
        <v>Taylor Monticollo</v>
      </c>
      <c r="L1124" s="5" t="str">
        <f t="shared" si="2"/>
        <v>Campus Recruiting Coordinator</v>
      </c>
      <c r="M1124" s="5" t="str">
        <f t="shared" si="3"/>
        <v/>
      </c>
      <c r="N1124" s="5" t="str">
        <f t="shared" si="4"/>
        <v>Goldman Sachs</v>
      </c>
      <c r="O1124" s="5" t="str">
        <f t="shared" si="5"/>
        <v>2 years 11 months in role and company</v>
      </c>
      <c r="P1124" s="5" t="str">
        <f t="shared" si="6"/>
        <v>New York</v>
      </c>
      <c r="Q1124" s="5" t="str">
        <f t="shared" si="7"/>
        <v>New York</v>
      </c>
      <c r="R1124" s="5" t="str">
        <f t="shared" si="8"/>
        <v>United States</v>
      </c>
    </row>
    <row r="1125">
      <c r="A1125" s="8" t="s">
        <v>7574</v>
      </c>
      <c r="B1125" s="10" t="s">
        <v>7575</v>
      </c>
      <c r="C1125" s="10" t="s">
        <v>7576</v>
      </c>
      <c r="D1125" s="10"/>
      <c r="E1125" s="10" t="s">
        <v>7577</v>
      </c>
      <c r="F1125" s="10" t="s">
        <v>217</v>
      </c>
      <c r="G1125" s="11" t="s">
        <v>7548</v>
      </c>
      <c r="H1125" s="11" t="s">
        <v>6159</v>
      </c>
      <c r="I1125" s="11" t="s">
        <v>4600</v>
      </c>
      <c r="J1125" s="9" t="str">
        <f>IFERROR(__xludf.DUMMYFUNCTION("""COMPUTED_VALUE"""),"https://www.google.com/search?newwindow=1&amp;ei=2MT0XrvGGM-vytMP1OyDgAY&amp;q=site%3Alinkedin.com+Jenna+R.+Campus+Recruiting+Manager")</f>
        <v>https://www.google.com/search?newwindow=1&amp;ei=2MT0XrvGGM-vytMP1OyDgAY&amp;q=site%3Alinkedin.com+Jenna+R.+Campus+Recruiting+Manager</v>
      </c>
      <c r="K1125" s="5" t="str">
        <f t="shared" si="1"/>
        <v>Jenna R.</v>
      </c>
      <c r="L1125" s="5" t="str">
        <f t="shared" si="2"/>
        <v>Campus Recruiting Manager</v>
      </c>
      <c r="M1125" s="5" t="str">
        <f t="shared" si="3"/>
        <v/>
      </c>
      <c r="N1125" s="5" t="str">
        <f t="shared" si="4"/>
        <v>KPMG US</v>
      </c>
      <c r="O1125" s="5" t="str">
        <f t="shared" si="5"/>
        <v>5 years 8 months in role</v>
      </c>
      <c r="P1125" s="5" t="str">
        <f t="shared" si="6"/>
        <v>New York</v>
      </c>
      <c r="Q1125" s="5" t="str">
        <f t="shared" si="7"/>
        <v>New York</v>
      </c>
      <c r="R1125" s="5" t="str">
        <f t="shared" si="8"/>
        <v>United States</v>
      </c>
    </row>
    <row r="1126">
      <c r="A1126" s="8" t="s">
        <v>7620</v>
      </c>
      <c r="B1126" s="10" t="s">
        <v>7621</v>
      </c>
      <c r="C1126" s="10" t="s">
        <v>6194</v>
      </c>
      <c r="D1126" s="10"/>
      <c r="E1126" s="10" t="s">
        <v>7622</v>
      </c>
      <c r="F1126" s="10" t="s">
        <v>691</v>
      </c>
      <c r="G1126" s="11" t="s">
        <v>7548</v>
      </c>
      <c r="H1126" s="11" t="s">
        <v>6159</v>
      </c>
      <c r="I1126" s="11" t="s">
        <v>4600</v>
      </c>
      <c r="J1126" s="9" t="str">
        <f>IFERROR(__xludf.DUMMYFUNCTION("""COMPUTED_VALUE"""),"https://www.google.com/search?newwindow=1&amp;ei=2MT0XrvGGM-vytMP1OyDgAY&amp;q=site%3Alinkedin.com+Lisa+James+Human+Resources")</f>
        <v>https://www.google.com/search?newwindow=1&amp;ei=2MT0XrvGGM-vytMP1OyDgAY&amp;q=site%3Alinkedin.com+Lisa+James+Human+Resources</v>
      </c>
      <c r="K1126" s="5" t="str">
        <f t="shared" si="1"/>
        <v>Lisa James</v>
      </c>
      <c r="L1126" s="5" t="str">
        <f t="shared" si="2"/>
        <v>Human Resources</v>
      </c>
      <c r="M1126" s="5" t="str">
        <f t="shared" si="3"/>
        <v/>
      </c>
      <c r="N1126" s="5" t="str">
        <f t="shared" si="4"/>
        <v>Citi</v>
      </c>
      <c r="O1126" s="5" t="str">
        <f t="shared" si="5"/>
        <v>26 years 11 months in role and company</v>
      </c>
      <c r="P1126" s="5" t="str">
        <f t="shared" si="6"/>
        <v>New York</v>
      </c>
      <c r="Q1126" s="5" t="str">
        <f t="shared" si="7"/>
        <v>New York</v>
      </c>
      <c r="R1126" s="5" t="str">
        <f t="shared" si="8"/>
        <v>United States</v>
      </c>
    </row>
    <row r="1127">
      <c r="A1127" s="8" t="s">
        <v>7623</v>
      </c>
      <c r="B1127" s="10" t="s">
        <v>7624</v>
      </c>
      <c r="C1127" s="10" t="s">
        <v>7625</v>
      </c>
      <c r="D1127" s="10"/>
      <c r="E1127" s="10" t="s">
        <v>4930</v>
      </c>
      <c r="F1127" s="10" t="s">
        <v>7626</v>
      </c>
      <c r="G1127" s="11" t="s">
        <v>7548</v>
      </c>
      <c r="H1127" s="11" t="s">
        <v>6159</v>
      </c>
      <c r="I1127" s="11" t="s">
        <v>4600</v>
      </c>
      <c r="J1127" s="9" t="str">
        <f>IFERROR(__xludf.DUMMYFUNCTION("""COMPUTED_VALUE"""),"https://www.google.com/search?newwindow=1&amp;ei=2MT0XrvGGM-vytMP1OyDgAY&amp;q=site%3Alinkedin.com+Chloe+Street+Campus+Recruiting+Director")</f>
        <v>https://www.google.com/search?newwindow=1&amp;ei=2MT0XrvGGM-vytMP1OyDgAY&amp;q=site%3Alinkedin.com+Chloe+Street+Campus+Recruiting+Director</v>
      </c>
      <c r="K1127" s="5" t="str">
        <f t="shared" si="1"/>
        <v>Chloe Street</v>
      </c>
      <c r="L1127" s="5" t="str">
        <f t="shared" si="2"/>
        <v>Campus Recruiting Director</v>
      </c>
      <c r="M1127" s="5" t="str">
        <f t="shared" si="3"/>
        <v/>
      </c>
      <c r="N1127" s="5" t="str">
        <f t="shared" si="4"/>
        <v>Morgan Stanley</v>
      </c>
      <c r="O1127" s="5" t="str">
        <f t="shared" si="5"/>
        <v>10 months in role</v>
      </c>
      <c r="P1127" s="5" t="str">
        <f t="shared" si="6"/>
        <v>New York</v>
      </c>
      <c r="Q1127" s="5" t="str">
        <f t="shared" si="7"/>
        <v>New York</v>
      </c>
      <c r="R1127" s="5" t="str">
        <f t="shared" si="8"/>
        <v>United States</v>
      </c>
    </row>
    <row r="1128">
      <c r="A1128" s="8" t="s">
        <v>7627</v>
      </c>
      <c r="B1128" s="10" t="s">
        <v>7628</v>
      </c>
      <c r="C1128" s="10" t="s">
        <v>7629</v>
      </c>
      <c r="D1128" s="10"/>
      <c r="E1128" s="10" t="s">
        <v>7630</v>
      </c>
      <c r="F1128" s="10" t="s">
        <v>1921</v>
      </c>
      <c r="G1128" s="11" t="s">
        <v>7548</v>
      </c>
      <c r="H1128" s="11" t="s">
        <v>6159</v>
      </c>
      <c r="I1128" s="11" t="s">
        <v>4600</v>
      </c>
      <c r="J1128" s="9" t="str">
        <f>IFERROR(__xludf.DUMMYFUNCTION("""COMPUTED_VALUE"""),"https://www.google.com/search?newwindow=1&amp;ei=2MT0XrvGGM-vytMP1OyDgAY&amp;q=site%3Alinkedin.com+Mary+Catherine+Executive+Director,+Campus+Recruiting")</f>
        <v>https://www.google.com/search?newwindow=1&amp;ei=2MT0XrvGGM-vytMP1OyDgAY&amp;q=site%3Alinkedin.com+Mary+Catherine+Executive+Director,+Campus+Recruiting</v>
      </c>
      <c r="K1128" s="5" t="str">
        <f t="shared" si="1"/>
        <v>Mary Catherine</v>
      </c>
      <c r="L1128" s="5" t="str">
        <f t="shared" si="2"/>
        <v>Executive Director, Campus Recruiting</v>
      </c>
      <c r="M1128" s="5" t="str">
        <f t="shared" si="3"/>
        <v/>
      </c>
      <c r="N1128" s="5" t="str">
        <f t="shared" si="4"/>
        <v>JPMorgan Chase &amp; Co.</v>
      </c>
      <c r="O1128" s="5" t="str">
        <f t="shared" si="5"/>
        <v>2 years 7 months in role and company</v>
      </c>
      <c r="P1128" s="5" t="str">
        <f t="shared" si="6"/>
        <v>New York</v>
      </c>
      <c r="Q1128" s="5" t="str">
        <f t="shared" si="7"/>
        <v>New York</v>
      </c>
      <c r="R1128" s="5" t="str">
        <f t="shared" si="8"/>
        <v>United States</v>
      </c>
    </row>
    <row r="1129">
      <c r="A1129" s="8" t="s">
        <v>7631</v>
      </c>
      <c r="B1129" s="10" t="s">
        <v>7632</v>
      </c>
      <c r="C1129" s="10" t="s">
        <v>7633</v>
      </c>
      <c r="D1129" s="10"/>
      <c r="E1129" s="10" t="s">
        <v>7622</v>
      </c>
      <c r="F1129" s="10" t="s">
        <v>1634</v>
      </c>
      <c r="G1129" s="11" t="s">
        <v>7548</v>
      </c>
      <c r="H1129" s="11" t="s">
        <v>6159</v>
      </c>
      <c r="I1129" s="11" t="s">
        <v>4600</v>
      </c>
      <c r="J1129" s="9" t="str">
        <f>IFERROR(__xludf.DUMMYFUNCTION("""COMPUTED_VALUE"""),"https://www.google.com/search?newwindow=1&amp;ei=2MT0XrvGGM-vytMP1OyDgAY&amp;q=site%3Alinkedin.com+Meghan+McKenzie+Experienced+Hire+Recruiting")</f>
        <v>https://www.google.com/search?newwindow=1&amp;ei=2MT0XrvGGM-vytMP1OyDgAY&amp;q=site%3Alinkedin.com+Meghan+McKenzie+Experienced+Hire+Recruiting</v>
      </c>
      <c r="K1129" s="5" t="str">
        <f t="shared" si="1"/>
        <v>Meghan McKenzie</v>
      </c>
      <c r="L1129" s="5" t="str">
        <f t="shared" si="2"/>
        <v>Experienced Hire Recruiting</v>
      </c>
      <c r="M1129" s="5" t="str">
        <f t="shared" si="3"/>
        <v/>
      </c>
      <c r="N1129" s="5" t="str">
        <f t="shared" si="4"/>
        <v>Goldman Sachs</v>
      </c>
      <c r="O1129" s="5" t="str">
        <f t="shared" si="5"/>
        <v>4 years 7 months in role</v>
      </c>
      <c r="P1129" s="5" t="str">
        <f t="shared" si="6"/>
        <v>New York</v>
      </c>
      <c r="Q1129" s="5" t="str">
        <f t="shared" si="7"/>
        <v>New York</v>
      </c>
      <c r="R1129" s="5" t="str">
        <f t="shared" si="8"/>
        <v>United States</v>
      </c>
    </row>
    <row r="1130">
      <c r="A1130" s="8" t="s">
        <v>7634</v>
      </c>
      <c r="B1130" s="12" t="s">
        <v>7635</v>
      </c>
      <c r="C1130" s="10" t="s">
        <v>7636</v>
      </c>
      <c r="D1130" s="10"/>
      <c r="E1130" s="10" t="s">
        <v>7584</v>
      </c>
      <c r="F1130" s="10" t="s">
        <v>42</v>
      </c>
      <c r="G1130" s="11" t="s">
        <v>7548</v>
      </c>
      <c r="H1130" s="11" t="s">
        <v>6159</v>
      </c>
      <c r="I1130" s="11" t="s">
        <v>4600</v>
      </c>
      <c r="J1130" s="9" t="str">
        <f>IFERROR(__xludf.DUMMYFUNCTION("""COMPUTED_VALUE"""),"https://www.google.com/search?newwindow=1&amp;ei=2MT0XrvGGM-vytMP1OyDgAY&amp;q=site%3Alinkedin.com+Ashley+Hyde,+MS,+SPHR+Manager,+Performance+Management")</f>
        <v>https://www.google.com/search?newwindow=1&amp;ei=2MT0XrvGGM-vytMP1OyDgAY&amp;q=site%3Alinkedin.com+Ashley+Hyde,+MS,+SPHR+Manager,+Performance+Management</v>
      </c>
      <c r="K1130" s="5" t="str">
        <f t="shared" si="1"/>
        <v>Ashley Hyde, MS, SPHR</v>
      </c>
      <c r="L1130" s="5" t="str">
        <f t="shared" si="2"/>
        <v>Manager, Performance Management</v>
      </c>
      <c r="M1130" s="5" t="str">
        <f t="shared" si="3"/>
        <v/>
      </c>
      <c r="N1130" s="5" t="str">
        <f t="shared" si="4"/>
        <v>Deloitte</v>
      </c>
      <c r="O1130" s="5" t="str">
        <f t="shared" si="5"/>
        <v>1 year 5 months in role and company</v>
      </c>
      <c r="P1130" s="5" t="str">
        <f t="shared" si="6"/>
        <v>New York</v>
      </c>
      <c r="Q1130" s="5" t="str">
        <f t="shared" si="7"/>
        <v>New York</v>
      </c>
      <c r="R1130" s="5" t="str">
        <f t="shared" si="8"/>
        <v>United States</v>
      </c>
    </row>
    <row r="1131">
      <c r="A1131" s="8" t="s">
        <v>7578</v>
      </c>
      <c r="B1131" s="12" t="s">
        <v>7579</v>
      </c>
      <c r="C1131" s="10" t="s">
        <v>7580</v>
      </c>
      <c r="D1131" s="10"/>
      <c r="E1131" s="10" t="s">
        <v>5307</v>
      </c>
      <c r="F1131" s="10" t="s">
        <v>1570</v>
      </c>
      <c r="G1131" s="11" t="s">
        <v>7548</v>
      </c>
      <c r="H1131" s="11" t="s">
        <v>6159</v>
      </c>
      <c r="I1131" s="11" t="s">
        <v>4600</v>
      </c>
      <c r="J1131" s="9" t="str">
        <f>IFERROR(__xludf.DUMMYFUNCTION("""COMPUTED_VALUE"""),"https://www.google.com/search?newwindow=1&amp;ei=2MT0XrvGGM-vytMP1OyDgAY&amp;q=site%3Alinkedin.com+Alyse+Aven+Lead+Experienced+Hire+Recruiter")</f>
        <v>https://www.google.com/search?newwindow=1&amp;ei=2MT0XrvGGM-vytMP1OyDgAY&amp;q=site%3Alinkedin.com+Alyse+Aven+Lead+Experienced+Hire+Recruiter</v>
      </c>
      <c r="K1131" s="5" t="str">
        <f t="shared" si="1"/>
        <v>Alyse Aven</v>
      </c>
      <c r="L1131" s="5" t="str">
        <f t="shared" si="2"/>
        <v>Lead Experienced Hire Recruiter</v>
      </c>
      <c r="M1131" s="5" t="str">
        <f t="shared" si="3"/>
        <v/>
      </c>
      <c r="N1131" s="5" t="str">
        <f t="shared" si="4"/>
        <v>Deloitte</v>
      </c>
      <c r="O1131" s="5" t="str">
        <f t="shared" si="5"/>
        <v>1 year 3 months in role</v>
      </c>
      <c r="P1131" s="5" t="str">
        <f t="shared" si="6"/>
        <v>New York</v>
      </c>
      <c r="Q1131" s="5" t="str">
        <f t="shared" si="7"/>
        <v>New York</v>
      </c>
      <c r="R1131" s="5" t="str">
        <f t="shared" si="8"/>
        <v>United States</v>
      </c>
    </row>
    <row r="1132">
      <c r="A1132" s="8" t="s">
        <v>7581</v>
      </c>
      <c r="B1132" s="12" t="s">
        <v>7582</v>
      </c>
      <c r="C1132" s="10" t="s">
        <v>7583</v>
      </c>
      <c r="D1132" s="10"/>
      <c r="E1132" s="10" t="s">
        <v>7584</v>
      </c>
      <c r="F1132" s="10" t="s">
        <v>53</v>
      </c>
      <c r="G1132" s="11" t="s">
        <v>7548</v>
      </c>
      <c r="H1132" s="11" t="s">
        <v>6159</v>
      </c>
      <c r="I1132" s="11" t="s">
        <v>4600</v>
      </c>
      <c r="J1132" s="9" t="str">
        <f>IFERROR(__xludf.DUMMYFUNCTION("""COMPUTED_VALUE"""),"https://www.google.com/search?newwindow=1&amp;ei=2MT0XrvGGM-vytMP1OyDgAY&amp;q=site%3Alinkedin.com+Megan+Armellini+Campus+Recruiting+Manager")</f>
        <v>https://www.google.com/search?newwindow=1&amp;ei=2MT0XrvGGM-vytMP1OyDgAY&amp;q=site%3Alinkedin.com+Megan+Armellini+Campus+Recruiting+Manager</v>
      </c>
      <c r="K1132" s="5" t="str">
        <f t="shared" si="1"/>
        <v>Megan Armellini</v>
      </c>
      <c r="L1132" s="5" t="str">
        <f t="shared" si="2"/>
        <v>Campus Recruiting Manager</v>
      </c>
      <c r="M1132" s="5" t="str">
        <f t="shared" si="3"/>
        <v/>
      </c>
      <c r="N1132" s="5" t="str">
        <f t="shared" si="4"/>
        <v>JPMorgan Chase &amp; Co.</v>
      </c>
      <c r="O1132" s="5" t="str">
        <f t="shared" si="5"/>
        <v>1 year 11 months in role</v>
      </c>
      <c r="P1132" s="5" t="str">
        <f t="shared" si="6"/>
        <v>New York</v>
      </c>
      <c r="Q1132" s="5" t="str">
        <f t="shared" si="7"/>
        <v>New York</v>
      </c>
      <c r="R1132" s="5" t="str">
        <f t="shared" si="8"/>
        <v>United States</v>
      </c>
    </row>
    <row r="1133">
      <c r="A1133" s="8" t="s">
        <v>7589</v>
      </c>
      <c r="B1133" s="10" t="s">
        <v>7590</v>
      </c>
      <c r="C1133" s="10" t="s">
        <v>7591</v>
      </c>
      <c r="D1133" s="10"/>
      <c r="E1133" s="10" t="s">
        <v>3389</v>
      </c>
      <c r="F1133" s="10" t="s">
        <v>399</v>
      </c>
      <c r="G1133" s="11" t="s">
        <v>7548</v>
      </c>
      <c r="H1133" s="11" t="s">
        <v>6159</v>
      </c>
      <c r="I1133" s="11" t="s">
        <v>4600</v>
      </c>
      <c r="J1133" s="9" t="str">
        <f>IFERROR(__xludf.DUMMYFUNCTION("""COMPUTED_VALUE"""),"https://www.google.com/search?newwindow=1&amp;ei=2MT0XrvGGM-vytMP1OyDgAY&amp;q=site%3Alinkedin.com+Jessica+Bartch+Associate+Director,+Campus+Recruiting")</f>
        <v>https://www.google.com/search?newwindow=1&amp;ei=2MT0XrvGGM-vytMP1OyDgAY&amp;q=site%3Alinkedin.com+Jessica+Bartch+Associate+Director,+Campus+Recruiting</v>
      </c>
      <c r="K1133" s="5" t="str">
        <f t="shared" si="1"/>
        <v>Jessica Bartch</v>
      </c>
      <c r="L1133" s="5" t="str">
        <f t="shared" si="2"/>
        <v>Associate Director, Campus Recruiting</v>
      </c>
      <c r="M1133" s="5" t="str">
        <f t="shared" si="3"/>
        <v/>
      </c>
      <c r="N1133" s="5" t="str">
        <f t="shared" si="4"/>
        <v>KPMG</v>
      </c>
      <c r="O1133" s="5" t="str">
        <f t="shared" si="5"/>
        <v/>
      </c>
      <c r="P1133" s="5" t="str">
        <f t="shared" si="6"/>
        <v>New York</v>
      </c>
      <c r="Q1133" s="5" t="str">
        <f t="shared" si="7"/>
        <v>New York</v>
      </c>
      <c r="R1133" s="5" t="str">
        <f t="shared" si="8"/>
        <v>United States</v>
      </c>
    </row>
    <row r="1134">
      <c r="A1134" s="8" t="s">
        <v>7585</v>
      </c>
      <c r="B1134" s="12" t="s">
        <v>7586</v>
      </c>
      <c r="C1134" s="10" t="s">
        <v>7587</v>
      </c>
      <c r="D1134" s="10"/>
      <c r="E1134" s="10" t="s">
        <v>7588</v>
      </c>
      <c r="F1134" s="10" t="s">
        <v>691</v>
      </c>
      <c r="G1134" s="11" t="s">
        <v>7548</v>
      </c>
      <c r="H1134" s="11" t="s">
        <v>6159</v>
      </c>
      <c r="I1134" s="11" t="s">
        <v>4600</v>
      </c>
      <c r="J1134" s="9" t="str">
        <f>IFERROR(__xludf.DUMMYFUNCTION("""COMPUTED_VALUE"""),"https://www.google.com/search?newwindow=1&amp;ei=2MT0XrvGGM-vytMP1OyDgAY&amp;q=site%3Alinkedin.com+Molli+Flynt+Associate+Director+of+Campus+Recruiting")</f>
        <v>https://www.google.com/search?newwindow=1&amp;ei=2MT0XrvGGM-vytMP1OyDgAY&amp;q=site%3Alinkedin.com+Molli+Flynt+Associate+Director+of+Campus+Recruiting</v>
      </c>
      <c r="K1134" s="5" t="str">
        <f t="shared" si="1"/>
        <v>Molli Flynt</v>
      </c>
      <c r="L1134" s="5" t="str">
        <f t="shared" si="2"/>
        <v>Associate Director of Campus Recruiting</v>
      </c>
      <c r="M1134" s="5" t="str">
        <f t="shared" si="3"/>
        <v/>
      </c>
      <c r="N1134" s="5" t="str">
        <f t="shared" si="4"/>
        <v>KPMG</v>
      </c>
      <c r="O1134" s="5" t="str">
        <f t="shared" si="5"/>
        <v>13 years 10 months in role and company</v>
      </c>
      <c r="P1134" s="5" t="str">
        <f t="shared" si="6"/>
        <v>New York</v>
      </c>
      <c r="Q1134" s="5" t="str">
        <f t="shared" si="7"/>
        <v>New York</v>
      </c>
      <c r="R1134" s="5" t="str">
        <f t="shared" si="8"/>
        <v>United States</v>
      </c>
    </row>
    <row r="1135">
      <c r="A1135" s="8" t="s">
        <v>7637</v>
      </c>
      <c r="B1135" s="12" t="s">
        <v>7638</v>
      </c>
      <c r="C1135" s="10" t="s">
        <v>7639</v>
      </c>
      <c r="D1135" s="10"/>
      <c r="E1135" s="10" t="s">
        <v>7640</v>
      </c>
      <c r="F1135" s="10" t="s">
        <v>121</v>
      </c>
      <c r="G1135" s="11" t="s">
        <v>7548</v>
      </c>
      <c r="H1135" s="11" t="s">
        <v>6159</v>
      </c>
      <c r="I1135" s="11" t="s">
        <v>4600</v>
      </c>
      <c r="J1135" s="9" t="str">
        <f>IFERROR(__xludf.DUMMYFUNCTION("""COMPUTED_VALUE"""),"https://www.google.com/search?newwindow=1&amp;ei=2MT0XrvGGM-vytMP1OyDgAY&amp;q=site%3Alinkedin.com+Jagreet+Baghasingh+Team+Lead+-+R&amp;D+Investor+Ownership")</f>
        <v>https://www.google.com/search?newwindow=1&amp;ei=2MT0XrvGGM-vytMP1OyDgAY&amp;q=site%3Alinkedin.com+Jagreet+Baghasingh+Team+Lead+-+R&amp;D+Investor+Ownership</v>
      </c>
      <c r="K1135" s="5" t="str">
        <f t="shared" si="1"/>
        <v>Jagreet Baghasingh</v>
      </c>
      <c r="L1135" s="5" t="str">
        <f t="shared" si="2"/>
        <v>Team Lead - R&amp;D Investor Ownership</v>
      </c>
      <c r="M1135" s="5" t="str">
        <f t="shared" si="3"/>
        <v/>
      </c>
      <c r="N1135" s="5" t="str">
        <f t="shared" si="4"/>
        <v>Bloomberg LP</v>
      </c>
      <c r="O1135" s="5" t="str">
        <f t="shared" si="5"/>
        <v>4 years 10 months in role</v>
      </c>
      <c r="P1135" s="5" t="str">
        <f t="shared" si="6"/>
        <v>New York</v>
      </c>
      <c r="Q1135" s="5" t="str">
        <f t="shared" si="7"/>
        <v>New York</v>
      </c>
      <c r="R1135" s="5" t="str">
        <f t="shared" si="8"/>
        <v>United States</v>
      </c>
    </row>
    <row r="1136">
      <c r="A1136" s="8" t="s">
        <v>7595</v>
      </c>
      <c r="B1136" s="12" t="s">
        <v>7596</v>
      </c>
      <c r="C1136" s="10" t="s">
        <v>7597</v>
      </c>
      <c r="D1136" s="10"/>
      <c r="E1136" s="10" t="s">
        <v>3389</v>
      </c>
      <c r="F1136" s="10" t="s">
        <v>268</v>
      </c>
      <c r="G1136" s="11" t="s">
        <v>7548</v>
      </c>
      <c r="H1136" s="11" t="s">
        <v>6159</v>
      </c>
      <c r="I1136" s="11" t="s">
        <v>4600</v>
      </c>
      <c r="J1136" s="9" t="str">
        <f>IFERROR(__xludf.DUMMYFUNCTION("""COMPUTED_VALUE"""),"https://www.google.com/search?newwindow=1&amp;ei=2MT0XrvGGM-vytMP1OyDgAY&amp;q=site%3Alinkedin.com+Andrea+Beldecos+Managing+Director,+Global+Head+of+Asset+Management+Campus+Recruiting")</f>
        <v>https://www.google.com/search?newwindow=1&amp;ei=2MT0XrvGGM-vytMP1OyDgAY&amp;q=site%3Alinkedin.com+Andrea+Beldecos+Managing+Director,+Global+Head+of+Asset+Management+Campus+Recruiting</v>
      </c>
      <c r="K1136" s="5" t="str">
        <f t="shared" si="1"/>
        <v>Andrea Beldecos</v>
      </c>
      <c r="L1136" s="5" t="str">
        <f t="shared" si="2"/>
        <v>Managing Director, Global Head of Asset Management Campus Recruiting</v>
      </c>
      <c r="M1136" s="5" t="str">
        <f t="shared" si="3"/>
        <v/>
      </c>
      <c r="N1136" s="5" t="str">
        <f t="shared" si="4"/>
        <v>JPMorgan Chase</v>
      </c>
      <c r="O1136" s="5" t="str">
        <f t="shared" si="5"/>
        <v>7 years 1 month in role and company</v>
      </c>
      <c r="P1136" s="5" t="str">
        <f t="shared" si="6"/>
        <v>New York</v>
      </c>
      <c r="Q1136" s="5" t="str">
        <f t="shared" si="7"/>
        <v>New York</v>
      </c>
      <c r="R1136" s="5" t="str">
        <f t="shared" si="8"/>
        <v>United States</v>
      </c>
    </row>
    <row r="1137">
      <c r="A1137" s="8" t="s">
        <v>7592</v>
      </c>
      <c r="B1137" s="10" t="s">
        <v>7593</v>
      </c>
      <c r="C1137" s="10" t="s">
        <v>5270</v>
      </c>
      <c r="D1137" s="10"/>
      <c r="E1137" s="10" t="s">
        <v>7594</v>
      </c>
      <c r="F1137" s="10" t="s">
        <v>651</v>
      </c>
      <c r="G1137" s="11" t="s">
        <v>7548</v>
      </c>
      <c r="H1137" s="11" t="s">
        <v>6159</v>
      </c>
      <c r="I1137" s="11" t="s">
        <v>4600</v>
      </c>
      <c r="J1137" s="9" t="str">
        <f>IFERROR(__xludf.DUMMYFUNCTION("""COMPUTED_VALUE"""),"https://www.google.com/search?newwindow=1&amp;ei=2MT0XrvGGM-vytMP1OyDgAY&amp;q=site%3Alinkedin.com+Kate+Bennis+Lead+Campus+Recruiting+Specialist")</f>
        <v>https://www.google.com/search?newwindow=1&amp;ei=2MT0XrvGGM-vytMP1OyDgAY&amp;q=site%3Alinkedin.com+Kate+Bennis+Lead+Campus+Recruiting+Specialist</v>
      </c>
      <c r="K1137" s="5" t="str">
        <f t="shared" si="1"/>
        <v>Kate Bennis</v>
      </c>
      <c r="L1137" s="5" t="str">
        <f t="shared" si="2"/>
        <v>Lead Campus Recruiting Specialist</v>
      </c>
      <c r="M1137" s="5" t="str">
        <f t="shared" si="3"/>
        <v/>
      </c>
      <c r="N1137" s="5" t="str">
        <f t="shared" si="4"/>
        <v>Deloitte Consulting</v>
      </c>
      <c r="O1137" s="5" t="str">
        <f t="shared" si="5"/>
        <v>3 years 2 months in role and company</v>
      </c>
      <c r="P1137" s="5" t="str">
        <f t="shared" si="6"/>
        <v>New York</v>
      </c>
      <c r="Q1137" s="5" t="str">
        <f t="shared" si="7"/>
        <v>New York</v>
      </c>
      <c r="R1137" s="5" t="str">
        <f t="shared" si="8"/>
        <v>United States</v>
      </c>
    </row>
    <row r="1138">
      <c r="A1138" s="8" t="s">
        <v>7641</v>
      </c>
      <c r="B1138" s="12" t="s">
        <v>7642</v>
      </c>
      <c r="C1138" s="10" t="s">
        <v>7643</v>
      </c>
      <c r="D1138" s="10"/>
      <c r="E1138" s="10" t="s">
        <v>7644</v>
      </c>
      <c r="F1138" s="10" t="s">
        <v>651</v>
      </c>
      <c r="G1138" s="11" t="s">
        <v>7548</v>
      </c>
      <c r="H1138" s="11" t="s">
        <v>6159</v>
      </c>
      <c r="I1138" s="11" t="s">
        <v>4600</v>
      </c>
      <c r="J1138" s="9" t="str">
        <f>IFERROR(__xludf.DUMMYFUNCTION("""COMPUTED_VALUE"""),"https://www.google.com/search?newwindow=1&amp;ei=2MT0XrvGGM-vytMP1OyDgAY&amp;q=site%3Alinkedin.com+Asli+Pamir-Uzun+Undergrad+Strategy+Campus+Recruiting+Associate")</f>
        <v>https://www.google.com/search?newwindow=1&amp;ei=2MT0XrvGGM-vytMP1OyDgAY&amp;q=site%3Alinkedin.com+Asli+Pamir-Uzun+Undergrad+Strategy+Campus+Recruiting+Associate</v>
      </c>
      <c r="K1138" s="5" t="str">
        <f t="shared" si="1"/>
        <v>Asli Pamir-Uzun</v>
      </c>
      <c r="L1138" s="5" t="str">
        <f t="shared" si="2"/>
        <v>Undergrad Strategy Campus Recruiting Associate</v>
      </c>
      <c r="M1138" s="5" t="str">
        <f t="shared" si="3"/>
        <v/>
      </c>
      <c r="N1138" s="5" t="str">
        <f t="shared" si="4"/>
        <v>Accenture</v>
      </c>
      <c r="O1138" s="5" t="str">
        <f t="shared" si="5"/>
        <v>1 year 1 month in role</v>
      </c>
      <c r="P1138" s="5" t="str">
        <f t="shared" si="6"/>
        <v>New York</v>
      </c>
      <c r="Q1138" s="5" t="str">
        <f t="shared" si="7"/>
        <v>New York</v>
      </c>
      <c r="R1138" s="5" t="str">
        <f t="shared" si="8"/>
        <v>United States</v>
      </c>
    </row>
    <row r="1139">
      <c r="A1139" s="8" t="s">
        <v>7645</v>
      </c>
      <c r="B1139" s="10" t="s">
        <v>7646</v>
      </c>
      <c r="C1139" s="10" t="s">
        <v>7647</v>
      </c>
      <c r="D1139" s="10"/>
      <c r="E1139" s="10" t="s">
        <v>7584</v>
      </c>
      <c r="F1139" s="10" t="s">
        <v>207</v>
      </c>
      <c r="G1139" s="11" t="s">
        <v>7548</v>
      </c>
      <c r="H1139" s="11" t="s">
        <v>6159</v>
      </c>
      <c r="I1139" s="11" t="s">
        <v>4600</v>
      </c>
      <c r="J1139" s="9" t="str">
        <f>IFERROR(__xludf.DUMMYFUNCTION("""COMPUTED_VALUE"""),"https://www.google.com/search?newwindow=1&amp;ei=2MT0XrvGGM-vytMP1OyDgAY&amp;q=site%3Alinkedin.com+Jia+Chong+Campus+Recruiting")</f>
        <v>https://www.google.com/search?newwindow=1&amp;ei=2MT0XrvGGM-vytMP1OyDgAY&amp;q=site%3Alinkedin.com+Jia+Chong+Campus+Recruiting</v>
      </c>
      <c r="K1139" s="5" t="str">
        <f t="shared" si="1"/>
        <v>Jia Chong</v>
      </c>
      <c r="L1139" s="5" t="str">
        <f t="shared" si="2"/>
        <v>Campus Recruiting</v>
      </c>
      <c r="M1139" s="5" t="str">
        <f t="shared" si="3"/>
        <v/>
      </c>
      <c r="N1139" s="5" t="str">
        <f t="shared" si="4"/>
        <v>JPMorgan Chase &amp; Co.</v>
      </c>
      <c r="O1139" s="5" t="str">
        <f t="shared" si="5"/>
        <v>3 years 4 months in role and company</v>
      </c>
      <c r="P1139" s="5" t="str">
        <f t="shared" si="6"/>
        <v>New York</v>
      </c>
      <c r="Q1139" s="5" t="str">
        <f t="shared" si="7"/>
        <v>New York</v>
      </c>
      <c r="R1139" s="5" t="str">
        <f t="shared" si="8"/>
        <v>United States</v>
      </c>
    </row>
    <row r="1140">
      <c r="A1140" s="8" t="s">
        <v>7598</v>
      </c>
      <c r="B1140" s="12" t="s">
        <v>7599</v>
      </c>
      <c r="C1140" s="10" t="s">
        <v>7600</v>
      </c>
      <c r="D1140" s="10"/>
      <c r="E1140" s="10" t="s">
        <v>7601</v>
      </c>
      <c r="F1140" s="10" t="s">
        <v>48</v>
      </c>
      <c r="G1140" s="11" t="s">
        <v>7548</v>
      </c>
      <c r="H1140" s="11" t="s">
        <v>6159</v>
      </c>
      <c r="I1140" s="11" t="s">
        <v>4600</v>
      </c>
      <c r="J1140" s="9" t="str">
        <f>IFERROR(__xludf.DUMMYFUNCTION("""COMPUTED_VALUE"""),"https://www.google.com/search?newwindow=1&amp;ei=2MT0XrvGGM-vytMP1OyDgAY&amp;q=site%3Alinkedin.com+Emily+KB+Hines+Campus+Recruiting+Coordinator")</f>
        <v>https://www.google.com/search?newwindow=1&amp;ei=2MT0XrvGGM-vytMP1OyDgAY&amp;q=site%3Alinkedin.com+Emily+KB+Hines+Campus+Recruiting+Coordinator</v>
      </c>
      <c r="K1140" s="5" t="str">
        <f t="shared" si="1"/>
        <v>Emily KB Hines</v>
      </c>
      <c r="L1140" s="5" t="str">
        <f t="shared" si="2"/>
        <v>Campus Recruiting Coordinator</v>
      </c>
      <c r="M1140" s="5" t="str">
        <f t="shared" si="3"/>
        <v/>
      </c>
      <c r="N1140" s="5" t="str">
        <f t="shared" si="4"/>
        <v>JPMorgan Chase &amp; Co.</v>
      </c>
      <c r="O1140" s="5" t="str">
        <f t="shared" si="5"/>
        <v>1 year 4 months in role and company</v>
      </c>
      <c r="P1140" s="5" t="str">
        <f t="shared" si="6"/>
        <v>Newark</v>
      </c>
      <c r="Q1140" s="5" t="str">
        <f t="shared" si="7"/>
        <v>Delaware</v>
      </c>
      <c r="R1140" s="5" t="str">
        <f t="shared" si="8"/>
        <v>United States</v>
      </c>
    </row>
    <row r="1141">
      <c r="A1141" s="8" t="s">
        <v>7648</v>
      </c>
      <c r="B1141" s="10" t="s">
        <v>7649</v>
      </c>
      <c r="C1141" s="10" t="s">
        <v>7650</v>
      </c>
      <c r="D1141" s="14" t="s">
        <v>4</v>
      </c>
      <c r="E1141" s="10" t="s">
        <v>7651</v>
      </c>
      <c r="F1141" s="10" t="s">
        <v>79</v>
      </c>
      <c r="G1141" s="11" t="s">
        <v>7548</v>
      </c>
      <c r="H1141" s="11" t="s">
        <v>6159</v>
      </c>
      <c r="I1141" s="11" t="s">
        <v>4600</v>
      </c>
      <c r="J1141" s="9" t="str">
        <f>IFERROR(__xludf.DUMMYFUNCTION("""COMPUTED_VALUE"""),"https://www.google.com/search?newwindow=1&amp;ei=2MT0XrvGGM-vytMP1OyDgAY&amp;q=site%3Alinkedin.com+Linnea+Carter+Campus+Recruiting+Coordinator")</f>
        <v>https://www.google.com/search?newwindow=1&amp;ei=2MT0XrvGGM-vytMP1OyDgAY&amp;q=site%3Alinkedin.com+Linnea+Carter+Campus+Recruiting+Coordinator</v>
      </c>
      <c r="K1141" s="5" t="str">
        <f t="shared" si="1"/>
        <v>Linnea Carter</v>
      </c>
      <c r="L1141" s="5" t="str">
        <f t="shared" si="2"/>
        <v>Campus Recruiting Coordinator</v>
      </c>
      <c r="M1141" s="5" t="str">
        <f t="shared" si="3"/>
        <v/>
      </c>
      <c r="N1141" s="5" t="str">
        <f t="shared" si="4"/>
        <v>JPMorgan Chase &amp; Co.</v>
      </c>
      <c r="O1141" s="5" t="str">
        <f t="shared" si="5"/>
        <v>1 year 6 months in role</v>
      </c>
      <c r="P1141" s="5" t="str">
        <f t="shared" si="6"/>
        <v>Newark</v>
      </c>
      <c r="Q1141" s="5" t="str">
        <f t="shared" si="7"/>
        <v>Delaware</v>
      </c>
      <c r="R1141" s="5" t="str">
        <f t="shared" si="8"/>
        <v>United States</v>
      </c>
    </row>
    <row r="1142">
      <c r="A1142" s="8" t="s">
        <v>7606</v>
      </c>
      <c r="B1142" s="10" t="s">
        <v>7607</v>
      </c>
      <c r="C1142" s="10" t="s">
        <v>115</v>
      </c>
      <c r="D1142" s="10"/>
      <c r="E1142" s="10" t="s">
        <v>7608</v>
      </c>
      <c r="F1142" s="10" t="s">
        <v>63</v>
      </c>
      <c r="G1142" s="11" t="s">
        <v>7548</v>
      </c>
      <c r="H1142" s="11" t="s">
        <v>6159</v>
      </c>
      <c r="I1142" s="11" t="s">
        <v>4600</v>
      </c>
      <c r="J1142" s="9" t="str">
        <f>IFERROR(__xludf.DUMMYFUNCTION("""COMPUTED_VALUE"""),"https://www.google.com/search?newwindow=1&amp;ei=2MT0XrvGGM-vytMP1OyDgAY&amp;q=site%3Alinkedin.com+Joseph+Blue+Campus+Recruiting+-+Jr.+Business+Advisor/Analyst")</f>
        <v>https://www.google.com/search?newwindow=1&amp;ei=2MT0XrvGGM-vytMP1OyDgAY&amp;q=site%3Alinkedin.com+Joseph+Blue+Campus+Recruiting+-+Jr.+Business+Advisor/Analyst</v>
      </c>
      <c r="K1142" s="5" t="str">
        <f t="shared" si="1"/>
        <v>Joseph Blue</v>
      </c>
      <c r="L1142" s="5" t="str">
        <f t="shared" si="2"/>
        <v>Campus Recruiting - Jr. Business Advisor/Analyst</v>
      </c>
      <c r="M1142" s="5" t="str">
        <f t="shared" si="3"/>
        <v/>
      </c>
      <c r="N1142" s="5" t="str">
        <f t="shared" si="4"/>
        <v>JPMorgan Chase &amp; Co.</v>
      </c>
      <c r="O1142" s="5" t="str">
        <f t="shared" si="5"/>
        <v>1 year 2 months in role</v>
      </c>
      <c r="P1142" s="5" t="str">
        <f t="shared" si="6"/>
        <v>Newark</v>
      </c>
      <c r="Q1142" s="5" t="str">
        <f t="shared" si="7"/>
        <v>Delaware</v>
      </c>
      <c r="R1142" s="5" t="str">
        <f t="shared" si="8"/>
        <v>United States</v>
      </c>
    </row>
    <row r="1143">
      <c r="A1143" s="8" t="s">
        <v>7602</v>
      </c>
      <c r="B1143" s="10" t="s">
        <v>7603</v>
      </c>
      <c r="C1143" s="10" t="s">
        <v>7604</v>
      </c>
      <c r="D1143" s="10"/>
      <c r="E1143" s="10" t="s">
        <v>7605</v>
      </c>
      <c r="F1143" s="10" t="s">
        <v>1538</v>
      </c>
      <c r="G1143" s="11" t="s">
        <v>7548</v>
      </c>
      <c r="H1143" s="11" t="s">
        <v>6159</v>
      </c>
      <c r="I1143" s="11" t="s">
        <v>4600</v>
      </c>
      <c r="J1143" s="9" t="str">
        <f>IFERROR(__xludf.DUMMYFUNCTION("""COMPUTED_VALUE"""),"https://www.google.com/search?newwindow=1&amp;ei=2MT0XrvGGM-vytMP1OyDgAY&amp;q=site%3Alinkedin.com+Yasmeen+Marques+Campus+Recruiting+Coordinator")</f>
        <v>https://www.google.com/search?newwindow=1&amp;ei=2MT0XrvGGM-vytMP1OyDgAY&amp;q=site%3Alinkedin.com+Yasmeen+Marques+Campus+Recruiting+Coordinator</v>
      </c>
      <c r="K1143" s="5" t="str">
        <f t="shared" si="1"/>
        <v>Yasmeen Marques</v>
      </c>
      <c r="L1143" s="5" t="str">
        <f t="shared" si="2"/>
        <v>Campus Recruiting Coordinator</v>
      </c>
      <c r="M1143" s="5" t="str">
        <f t="shared" si="3"/>
        <v/>
      </c>
      <c r="N1143" s="5" t="str">
        <f t="shared" si="4"/>
        <v>EY</v>
      </c>
      <c r="O1143" s="5" t="str">
        <f t="shared" si="5"/>
        <v>2 years 5 months in role and company</v>
      </c>
      <c r="P1143" s="5" t="str">
        <f t="shared" si="6"/>
        <v>Newark</v>
      </c>
      <c r="Q1143" s="5" t="str">
        <f t="shared" si="7"/>
        <v>New Jersey</v>
      </c>
      <c r="R1143" s="5" t="str">
        <f t="shared" si="8"/>
        <v>United States</v>
      </c>
    </row>
    <row r="1144">
      <c r="A1144" s="8" t="s">
        <v>7652</v>
      </c>
      <c r="B1144" s="12" t="s">
        <v>7653</v>
      </c>
      <c r="C1144" s="10" t="s">
        <v>7654</v>
      </c>
      <c r="D1144" s="14" t="s">
        <v>4</v>
      </c>
      <c r="E1144" s="10" t="s">
        <v>7655</v>
      </c>
      <c r="F1144" s="10" t="s">
        <v>15</v>
      </c>
      <c r="G1144" s="11" t="s">
        <v>7548</v>
      </c>
      <c r="H1144" s="11" t="s">
        <v>6159</v>
      </c>
      <c r="I1144" s="11" t="s">
        <v>4600</v>
      </c>
      <c r="J1144" s="9" t="str">
        <f>IFERROR(__xludf.DUMMYFUNCTION("""COMPUTED_VALUE"""),"https://www.google.com/search?newwindow=1&amp;ei=2MT0XrvGGM-vytMP1OyDgAY&amp;q=site%3Alinkedin.com+Keana+Prisk+Global+Wholesale+Revenue+Campus+Recruiting")</f>
        <v>https://www.google.com/search?newwindow=1&amp;ei=2MT0XrvGGM-vytMP1OyDgAY&amp;q=site%3Alinkedin.com+Keana+Prisk+Global+Wholesale+Revenue+Campus+Recruiting</v>
      </c>
      <c r="K1144" s="5" t="str">
        <f t="shared" si="1"/>
        <v>Keana Prisk</v>
      </c>
      <c r="L1144" s="5" t="str">
        <f t="shared" si="2"/>
        <v>Global Wholesale Revenue Campus Recruiting</v>
      </c>
      <c r="M1144" s="5" t="str">
        <f t="shared" si="3"/>
        <v/>
      </c>
      <c r="N1144" s="5" t="str">
        <f t="shared" si="4"/>
        <v>JPMorgan Chase &amp; Co.</v>
      </c>
      <c r="O1144" s="5" t="str">
        <f t="shared" si="5"/>
        <v>1 year 11 months in role and company</v>
      </c>
      <c r="P1144" s="5" t="str">
        <f t="shared" si="6"/>
        <v>Newark</v>
      </c>
      <c r="Q1144" s="5" t="str">
        <f t="shared" si="7"/>
        <v>Delaware</v>
      </c>
      <c r="R1144" s="5" t="str">
        <f t="shared" si="8"/>
        <v>United States</v>
      </c>
    </row>
    <row r="1145">
      <c r="A1145" s="8" t="s">
        <v>7609</v>
      </c>
      <c r="B1145" s="10" t="s">
        <v>7610</v>
      </c>
      <c r="C1145" s="10" t="s">
        <v>7611</v>
      </c>
      <c r="D1145" s="10"/>
      <c r="E1145" s="10" t="s">
        <v>7612</v>
      </c>
      <c r="F1145" s="10" t="s">
        <v>1570</v>
      </c>
      <c r="G1145" s="11" t="s">
        <v>7548</v>
      </c>
      <c r="H1145" s="11" t="s">
        <v>6159</v>
      </c>
      <c r="I1145" s="11" t="s">
        <v>4600</v>
      </c>
      <c r="J1145" s="9" t="str">
        <f>IFERROR(__xludf.DUMMYFUNCTION("""COMPUTED_VALUE"""),"https://www.google.com/search?newwindow=1&amp;ei=2MT0XrvGGM-vytMP1OyDgAY&amp;q=site%3Alinkedin.com+Nyell+Spicer+Campus+Recruiting+Coordinator")</f>
        <v>https://www.google.com/search?newwindow=1&amp;ei=2MT0XrvGGM-vytMP1OyDgAY&amp;q=site%3Alinkedin.com+Nyell+Spicer+Campus+Recruiting+Coordinator</v>
      </c>
      <c r="K1145" s="5" t="str">
        <f t="shared" si="1"/>
        <v>Nyell Spicer</v>
      </c>
      <c r="L1145" s="5" t="str">
        <f t="shared" si="2"/>
        <v>Campus Recruiting Coordinator</v>
      </c>
      <c r="M1145" s="5" t="str">
        <f t="shared" si="3"/>
        <v/>
      </c>
      <c r="N1145" s="5" t="str">
        <f t="shared" si="4"/>
        <v>JPMorgan Chase &amp; Co.</v>
      </c>
      <c r="O1145" s="5" t="str">
        <f t="shared" si="5"/>
        <v>1 year 3 months in role and company</v>
      </c>
      <c r="P1145" s="5" t="str">
        <f t="shared" si="6"/>
        <v>Newark</v>
      </c>
      <c r="Q1145" s="5" t="str">
        <f t="shared" si="7"/>
        <v>Delaware</v>
      </c>
      <c r="R1145" s="5" t="str">
        <f t="shared" si="8"/>
        <v>United States</v>
      </c>
    </row>
    <row r="1146">
      <c r="A1146" s="8" t="s">
        <v>7613</v>
      </c>
      <c r="B1146" s="10" t="s">
        <v>7614</v>
      </c>
      <c r="C1146" s="10" t="s">
        <v>480</v>
      </c>
      <c r="D1146" s="10"/>
      <c r="E1146" s="10" t="s">
        <v>7615</v>
      </c>
      <c r="F1146" s="10"/>
      <c r="G1146" s="11" t="s">
        <v>7548</v>
      </c>
      <c r="H1146" s="11" t="s">
        <v>6159</v>
      </c>
      <c r="I1146" s="11" t="s">
        <v>4600</v>
      </c>
      <c r="J1146" s="9" t="str">
        <f>IFERROR(__xludf.DUMMYFUNCTION("""COMPUTED_VALUE"""),"https://www.google.com/search?newwindow=1&amp;ei=2MT0XrvGGM-vytMP1OyDgAY&amp;q=site%3Alinkedin.com+Carolyn+Watson+CIB+Campus+Recruiting+Coordinator")</f>
        <v>https://www.google.com/search?newwindow=1&amp;ei=2MT0XrvGGM-vytMP1OyDgAY&amp;q=site%3Alinkedin.com+Carolyn+Watson+CIB+Campus+Recruiting+Coordinator</v>
      </c>
      <c r="K1146" s="5" t="str">
        <f t="shared" si="1"/>
        <v>Carolyn Watson</v>
      </c>
      <c r="L1146" s="5" t="str">
        <f t="shared" si="2"/>
        <v>CIB Campus Recruiting Coordinator</v>
      </c>
      <c r="M1146" s="5" t="str">
        <f t="shared" si="3"/>
        <v/>
      </c>
      <c r="N1146" s="5" t="str">
        <f t="shared" si="4"/>
        <v>JPMorgan Chase &amp; Co.</v>
      </c>
      <c r="O1146" s="5" t="str">
        <f t="shared" si="5"/>
        <v>2 years  in role</v>
      </c>
      <c r="P1146" s="5" t="str">
        <f t="shared" si="6"/>
        <v>Newark</v>
      </c>
      <c r="Q1146" s="5" t="str">
        <f t="shared" si="7"/>
        <v>Delaware</v>
      </c>
      <c r="R1146" s="5" t="str">
        <f t="shared" si="8"/>
        <v>United States</v>
      </c>
    </row>
    <row r="1147">
      <c r="A1147" s="8" t="s">
        <v>7656</v>
      </c>
      <c r="B1147" s="10" t="s">
        <v>7657</v>
      </c>
      <c r="C1147" s="10" t="s">
        <v>480</v>
      </c>
      <c r="D1147" s="10"/>
      <c r="E1147" s="10" t="s">
        <v>7658</v>
      </c>
      <c r="F1147" s="10"/>
      <c r="G1147" s="11" t="s">
        <v>7659</v>
      </c>
      <c r="H1147" s="11" t="s">
        <v>7660</v>
      </c>
      <c r="I1147" s="11" t="s">
        <v>4600</v>
      </c>
      <c r="J1147" s="9" t="str">
        <f>IFERROR(__xludf.DUMMYFUNCTION("""COMPUTED_VALUE"""),"https://www.google.com/search?newwindow=1&amp;ei=2MT0XrvGGM-vytMP1OyDgAY&amp;q=site%3Alinkedin.com+Sophie+Thompson+University+Recruiter")</f>
        <v>https://www.google.com/search?newwindow=1&amp;ei=2MT0XrvGGM-vytMP1OyDgAY&amp;q=site%3Alinkedin.com+Sophie+Thompson+University+Recruiter</v>
      </c>
      <c r="K1147" s="5" t="str">
        <f t="shared" si="1"/>
        <v>Sophie Thompson</v>
      </c>
      <c r="L1147" s="5" t="str">
        <f t="shared" si="2"/>
        <v>University Recruiter</v>
      </c>
      <c r="M1147" s="5" t="str">
        <f t="shared" si="3"/>
        <v/>
      </c>
      <c r="N1147" s="5" t="str">
        <f t="shared" si="4"/>
        <v>Teach First</v>
      </c>
      <c r="O1147" s="5" t="str">
        <f t="shared" si="5"/>
        <v>1 year 3 months in role and company</v>
      </c>
      <c r="P1147" s="5" t="str">
        <f t="shared" si="6"/>
        <v>Newcastle upon Tyne</v>
      </c>
      <c r="Q1147" s="5" t="str">
        <f t="shared" si="7"/>
        <v>England</v>
      </c>
      <c r="R1147" s="5" t="str">
        <f t="shared" si="8"/>
        <v>United Kingdom</v>
      </c>
    </row>
    <row r="1148">
      <c r="A1148" s="8" t="s">
        <v>7661</v>
      </c>
      <c r="B1148" s="10" t="s">
        <v>7662</v>
      </c>
      <c r="C1148" s="10" t="s">
        <v>4674</v>
      </c>
      <c r="D1148" s="10"/>
      <c r="E1148" s="10" t="s">
        <v>1233</v>
      </c>
      <c r="F1148" s="10" t="s">
        <v>48</v>
      </c>
      <c r="G1148" s="11" t="s">
        <v>7663</v>
      </c>
      <c r="H1148" s="11" t="s">
        <v>96</v>
      </c>
      <c r="I1148" s="11" t="s">
        <v>18</v>
      </c>
      <c r="J1148" s="9" t="str">
        <f>IFERROR(__xludf.DUMMYFUNCTION("""COMPUTED_VALUE"""),"https://www.google.com/search?newwindow=1&amp;ei=2MT0XrvGGM-vytMP1OyDgAY&amp;q=site%3Alinkedin.com+Swathi+Priya+Dasari+Student")</f>
        <v>https://www.google.com/search?newwindow=1&amp;ei=2MT0XrvGGM-vytMP1OyDgAY&amp;q=site%3Alinkedin.com+Swathi+Priya+Dasari+Student</v>
      </c>
      <c r="K1148" s="5" t="str">
        <f t="shared" si="1"/>
        <v>Swathi Priya Dasari</v>
      </c>
      <c r="L1148" s="5" t="str">
        <f t="shared" si="2"/>
        <v>Student</v>
      </c>
      <c r="M1148" s="5" t="str">
        <f t="shared" si="3"/>
        <v/>
      </c>
      <c r="N1148" s="5" t="str">
        <f t="shared" si="4"/>
        <v>Northumbria University</v>
      </c>
      <c r="O1148" s="5" t="str">
        <f t="shared" si="5"/>
        <v>2 years 10 months in role and company</v>
      </c>
      <c r="P1148" s="5" t="str">
        <f t="shared" si="6"/>
        <v>Newcastle upon Tyne</v>
      </c>
      <c r="Q1148" s="5" t="str">
        <f t="shared" si="7"/>
        <v>England</v>
      </c>
      <c r="R1148" s="5" t="str">
        <f t="shared" si="8"/>
        <v>United Kingdom</v>
      </c>
    </row>
    <row r="1149">
      <c r="A1149" s="8" t="s">
        <v>7664</v>
      </c>
      <c r="B1149" s="10" t="s">
        <v>7665</v>
      </c>
      <c r="C1149" s="10" t="s">
        <v>7666</v>
      </c>
      <c r="D1149" s="10"/>
      <c r="E1149" s="10" t="s">
        <v>4701</v>
      </c>
      <c r="F1149" s="10" t="s">
        <v>626</v>
      </c>
      <c r="G1149" s="11" t="s">
        <v>7667</v>
      </c>
      <c r="H1149" s="11" t="s">
        <v>184</v>
      </c>
      <c r="I1149" s="11" t="s">
        <v>18</v>
      </c>
      <c r="J1149" s="9" t="str">
        <f>IFERROR(__xludf.DUMMYFUNCTION("""COMPUTED_VALUE"""),"https://www.google.com/search?newwindow=1&amp;ei=2MT0XrvGGM-vytMP1OyDgAY&amp;q=site%3Alinkedin.com+Dan+Dawson+University+Lecturer")</f>
        <v>https://www.google.com/search?newwindow=1&amp;ei=2MT0XrvGGM-vytMP1OyDgAY&amp;q=site%3Alinkedin.com+Dan+Dawson+University+Lecturer</v>
      </c>
      <c r="K1149" s="5" t="str">
        <f t="shared" si="1"/>
        <v>Dan Dawson</v>
      </c>
      <c r="L1149" s="5" t="str">
        <f t="shared" si="2"/>
        <v>University Lecturer</v>
      </c>
      <c r="M1149" s="5" t="str">
        <f t="shared" si="3"/>
        <v/>
      </c>
      <c r="N1149" s="5" t="str">
        <f t="shared" si="4"/>
        <v>Staffordshire University</v>
      </c>
      <c r="O1149" s="5" t="str">
        <f t="shared" si="5"/>
        <v>3 years 2 months in role and company</v>
      </c>
      <c r="P1149" s="5" t="str">
        <f t="shared" si="6"/>
        <v>Newcastle-under-Lyme</v>
      </c>
      <c r="Q1149" s="5" t="str">
        <f t="shared" si="7"/>
        <v>England</v>
      </c>
      <c r="R1149" s="5" t="str">
        <f t="shared" si="8"/>
        <v>United Kingdom</v>
      </c>
    </row>
    <row r="1150">
      <c r="A1150" s="8" t="s">
        <v>7668</v>
      </c>
      <c r="B1150" s="10" t="s">
        <v>2940</v>
      </c>
      <c r="C1150" s="10" t="s">
        <v>2941</v>
      </c>
      <c r="D1150" s="10"/>
      <c r="E1150" s="10" t="s">
        <v>4659</v>
      </c>
      <c r="F1150" s="10" t="s">
        <v>111</v>
      </c>
      <c r="G1150" s="11" t="s">
        <v>2942</v>
      </c>
      <c r="H1150" s="11" t="s">
        <v>154</v>
      </c>
      <c r="I1150" s="11" t="s">
        <v>18</v>
      </c>
      <c r="J1150" s="9" t="str">
        <f>IFERROR(__xludf.DUMMYFUNCTION("""COMPUTED_VALUE"""),"https://www.google.com/search?newwindow=1&amp;ei=2MT0XrvGGM-vytMP1OyDgAY&amp;q=site%3Alinkedin.com+Krista+Navalta+Campus+Recruiter")</f>
        <v>https://www.google.com/search?newwindow=1&amp;ei=2MT0XrvGGM-vytMP1OyDgAY&amp;q=site%3Alinkedin.com+Krista+Navalta+Campus+Recruiter</v>
      </c>
      <c r="K1150" s="5" t="str">
        <f t="shared" si="1"/>
        <v>Krista Navalta</v>
      </c>
      <c r="L1150" s="5" t="str">
        <f t="shared" si="2"/>
        <v>Campus Recruiter</v>
      </c>
      <c r="M1150" s="5" t="str">
        <f t="shared" si="3"/>
        <v/>
      </c>
      <c r="N1150" s="5" t="str">
        <f t="shared" si="4"/>
        <v>York Region (The Regional Municipality of York)</v>
      </c>
      <c r="O1150" s="5" t="str">
        <f t="shared" si="5"/>
        <v>2 years 9 months in role and company</v>
      </c>
      <c r="P1150" s="5" t="str">
        <f t="shared" si="6"/>
        <v>Newmarket</v>
      </c>
      <c r="Q1150" s="5" t="str">
        <f t="shared" si="7"/>
        <v>Ontario</v>
      </c>
      <c r="R1150" s="5" t="str">
        <f t="shared" si="8"/>
        <v>Canada</v>
      </c>
    </row>
    <row r="1151">
      <c r="A1151" s="8" t="s">
        <v>7669</v>
      </c>
      <c r="B1151" s="10" t="s">
        <v>7670</v>
      </c>
      <c r="C1151" s="10" t="s">
        <v>4596</v>
      </c>
      <c r="D1151" s="10"/>
      <c r="E1151" s="10" t="s">
        <v>7671</v>
      </c>
      <c r="F1151" s="10" t="s">
        <v>79</v>
      </c>
      <c r="G1151" s="11" t="s">
        <v>7672</v>
      </c>
      <c r="H1151" s="11" t="s">
        <v>7673</v>
      </c>
      <c r="I1151" s="11" t="s">
        <v>4600</v>
      </c>
      <c r="J1151" s="9" t="str">
        <f>IFERROR(__xludf.DUMMYFUNCTION("""COMPUTED_VALUE"""),"https://www.google.com/search?newwindow=1&amp;ei=2MT0XrvGGM-vytMP1OyDgAY&amp;q=site%3Alinkedin.com+Janet+Downer+Assistant+Head+of+School,+Academics+and+Student+Programs")</f>
        <v>https://www.google.com/search?newwindow=1&amp;ei=2MT0XrvGGM-vytMP1OyDgAY&amp;q=site%3Alinkedin.com+Janet+Downer+Assistant+Head+of+School,+Academics+and+Student+Programs</v>
      </c>
      <c r="K1151" s="5" t="str">
        <f t="shared" si="1"/>
        <v>Janet Downer</v>
      </c>
      <c r="L1151" s="5" t="str">
        <f t="shared" si="2"/>
        <v>Assistant Head of School, Academics and Student Programs</v>
      </c>
      <c r="M1151" s="5" t="str">
        <f t="shared" si="3"/>
        <v/>
      </c>
      <c r="N1151" s="5" t="str">
        <f t="shared" si="4"/>
        <v>Pickering College</v>
      </c>
      <c r="O1151" s="5" t="str">
        <f t="shared" si="5"/>
        <v>1 year 5 months in role and company</v>
      </c>
      <c r="P1151" s="5" t="str">
        <f t="shared" si="6"/>
        <v>Newmarket</v>
      </c>
      <c r="Q1151" s="5" t="str">
        <f t="shared" si="7"/>
        <v>Ontario</v>
      </c>
      <c r="R1151" s="5" t="str">
        <f t="shared" si="8"/>
        <v>Canada</v>
      </c>
    </row>
    <row r="1152">
      <c r="A1152" s="8" t="s">
        <v>7669</v>
      </c>
      <c r="B1152" s="10" t="s">
        <v>7670</v>
      </c>
      <c r="C1152" s="10" t="s">
        <v>4596</v>
      </c>
      <c r="D1152" s="10"/>
      <c r="E1152" s="10" t="s">
        <v>7671</v>
      </c>
      <c r="F1152" s="10" t="s">
        <v>79</v>
      </c>
      <c r="G1152" s="11" t="s">
        <v>7672</v>
      </c>
      <c r="H1152" s="11" t="s">
        <v>7673</v>
      </c>
      <c r="I1152" s="11" t="s">
        <v>4600</v>
      </c>
      <c r="J1152" s="9" t="str">
        <f>IFERROR(__xludf.DUMMYFUNCTION("""COMPUTED_VALUE"""),"https://www.google.com/search?newwindow=1&amp;ei=2MT0XrvGGM-vytMP1OyDgAY&amp;q=site%3Alinkedin.com+Jackson+Borg+Student+Learning+Support+Officer")</f>
        <v>https://www.google.com/search?newwindow=1&amp;ei=2MT0XrvGGM-vytMP1OyDgAY&amp;q=site%3Alinkedin.com+Jackson+Borg+Student+Learning+Support+Officer</v>
      </c>
      <c r="K1152" s="5" t="str">
        <f t="shared" si="1"/>
        <v>Jackson Borg</v>
      </c>
      <c r="L1152" s="5" t="str">
        <f t="shared" si="2"/>
        <v>Student Learning Support Officer</v>
      </c>
      <c r="M1152" s="5" t="str">
        <f t="shared" si="3"/>
        <v/>
      </c>
      <c r="N1152" s="5" t="str">
        <f t="shared" si="4"/>
        <v>ST IVES HIGH SCHOOL</v>
      </c>
      <c r="O1152" s="5" t="str">
        <f t="shared" si="5"/>
        <v>8 months in role and company</v>
      </c>
      <c r="P1152" s="5" t="str">
        <f t="shared" si="6"/>
        <v>Newport</v>
      </c>
      <c r="Q1152" s="5" t="str">
        <f t="shared" si="7"/>
        <v>New South Wales</v>
      </c>
      <c r="R1152" s="5" t="str">
        <f t="shared" si="8"/>
        <v>Australia</v>
      </c>
    </row>
    <row r="1153">
      <c r="A1153" s="8" t="s">
        <v>7674</v>
      </c>
      <c r="B1153" s="12" t="s">
        <v>1789</v>
      </c>
      <c r="C1153" s="10" t="s">
        <v>25</v>
      </c>
      <c r="D1153" s="10"/>
      <c r="E1153" s="10" t="s">
        <v>4701</v>
      </c>
      <c r="F1153" s="10" t="s">
        <v>512</v>
      </c>
      <c r="G1153" s="11" t="s">
        <v>575</v>
      </c>
      <c r="H1153" s="11" t="s">
        <v>137</v>
      </c>
      <c r="I1153" s="11" t="s">
        <v>18</v>
      </c>
      <c r="J1153" s="9" t="str">
        <f>IFERROR(__xludf.DUMMYFUNCTION("""COMPUTED_VALUE"""),"https://www.google.com/search?newwindow=1&amp;ei=2MT0XrvGGM-vytMP1OyDgAY&amp;q=site%3Alinkedin.com+Hugo+Garcia-Gonzalez+Student+Assistant")</f>
        <v>https://www.google.com/search?newwindow=1&amp;ei=2MT0XrvGGM-vytMP1OyDgAY&amp;q=site%3Alinkedin.com+Hugo+Garcia-Gonzalez+Student+Assistant</v>
      </c>
      <c r="K1153" s="5" t="str">
        <f t="shared" si="1"/>
        <v>Hugo Garcia-Gonzalez</v>
      </c>
      <c r="L1153" s="5" t="str">
        <f t="shared" si="2"/>
        <v>Student Assistant</v>
      </c>
      <c r="M1153" s="5" t="str">
        <f t="shared" si="3"/>
        <v/>
      </c>
      <c r="N1153" s="5" t="str">
        <f t="shared" si="4"/>
        <v>Niagara College Canada International Division</v>
      </c>
      <c r="O1153" s="5" t="str">
        <f t="shared" si="5"/>
        <v>4 years 10 months in role and company</v>
      </c>
      <c r="P1153" s="5" t="str">
        <f t="shared" si="6"/>
        <v>Niagara-on-the-Lake</v>
      </c>
      <c r="Q1153" s="5" t="str">
        <f t="shared" si="7"/>
        <v>Ontario</v>
      </c>
      <c r="R1153" s="5" t="str">
        <f t="shared" si="8"/>
        <v>Canada</v>
      </c>
    </row>
    <row r="1154">
      <c r="A1154" s="8" t="s">
        <v>7675</v>
      </c>
      <c r="B1154" s="10" t="s">
        <v>7676</v>
      </c>
      <c r="C1154" s="10" t="s">
        <v>7677</v>
      </c>
      <c r="D1154" s="10"/>
      <c r="E1154" s="10" t="s">
        <v>1233</v>
      </c>
      <c r="F1154" s="10" t="s">
        <v>188</v>
      </c>
      <c r="G1154" s="11" t="s">
        <v>7678</v>
      </c>
      <c r="H1154" s="11" t="s">
        <v>945</v>
      </c>
      <c r="I1154" s="11" t="s">
        <v>18</v>
      </c>
      <c r="J1154" s="9" t="str">
        <f>IFERROR(__xludf.DUMMYFUNCTION("""COMPUTED_VALUE"""),"https://www.google.com/search?newwindow=1&amp;ei=2MT0XrvGGM-vytMP1OyDgAY&amp;q=site%3Alinkedin.com+Derrick+Beggs,+PHR+CDR+KMPG+Campus+Recruiting+Manager")</f>
        <v>https://www.google.com/search?newwindow=1&amp;ei=2MT0XrvGGM-vytMP1OyDgAY&amp;q=site%3Alinkedin.com+Derrick+Beggs,+PHR+CDR+KMPG+Campus+Recruiting+Manager</v>
      </c>
      <c r="K1154" s="5" t="str">
        <f t="shared" si="1"/>
        <v>Derrick Beggs, PHR CDR</v>
      </c>
      <c r="L1154" s="5" t="str">
        <f t="shared" si="2"/>
        <v>KMPG Campus Recruiting Manager</v>
      </c>
      <c r="M1154" s="5" t="str">
        <f t="shared" si="3"/>
        <v/>
      </c>
      <c r="N1154" s="5" t="str">
        <f t="shared" si="4"/>
        <v>KPMG US</v>
      </c>
      <c r="O1154" s="5" t="str">
        <f t="shared" si="5"/>
        <v>3 months in role and company</v>
      </c>
      <c r="P1154" s="5" t="str">
        <f t="shared" si="6"/>
        <v>Norcross</v>
      </c>
      <c r="Q1154" s="5" t="str">
        <f t="shared" si="7"/>
        <v>Georgia</v>
      </c>
      <c r="R1154" s="5" t="str">
        <f t="shared" si="8"/>
        <v>United States</v>
      </c>
    </row>
    <row r="1155">
      <c r="A1155" s="8" t="s">
        <v>7679</v>
      </c>
      <c r="B1155" s="12" t="s">
        <v>7680</v>
      </c>
      <c r="C1155" s="10" t="s">
        <v>7681</v>
      </c>
      <c r="D1155" s="10"/>
      <c r="E1155" s="10" t="s">
        <v>7682</v>
      </c>
      <c r="F1155" s="10" t="s">
        <v>376</v>
      </c>
      <c r="G1155" s="11" t="s">
        <v>7683</v>
      </c>
      <c r="H1155" s="11" t="s">
        <v>4599</v>
      </c>
      <c r="I1155" s="11" t="s">
        <v>4600</v>
      </c>
      <c r="J1155" s="9" t="str">
        <f>IFERROR(__xludf.DUMMYFUNCTION("""COMPUTED_VALUE"""),"https://www.google.com/search?newwindow=1&amp;ei=2MT0XrvGGM-vytMP1OyDgAY&amp;q=site%3Alinkedin.com+Jorgia+Petschack+Student+Recruiter")</f>
        <v>https://www.google.com/search?newwindow=1&amp;ei=2MT0XrvGGM-vytMP1OyDgAY&amp;q=site%3Alinkedin.com+Jorgia+Petschack+Student+Recruiter</v>
      </c>
      <c r="K1155" s="5" t="str">
        <f t="shared" si="1"/>
        <v>Jorgia Petschack</v>
      </c>
      <c r="L1155" s="5" t="str">
        <f t="shared" si="2"/>
        <v>Student Recruiter</v>
      </c>
      <c r="M1155" s="5" t="str">
        <f t="shared" si="3"/>
        <v/>
      </c>
      <c r="N1155" s="5" t="str">
        <f t="shared" si="4"/>
        <v>Alphacrucis College</v>
      </c>
      <c r="O1155" s="5" t="str">
        <f t="shared" si="5"/>
        <v>9 months in role and company</v>
      </c>
      <c r="P1155" s="5" t="str">
        <f t="shared" si="6"/>
        <v>North Parramatta</v>
      </c>
      <c r="Q1155" s="5" t="str">
        <f t="shared" si="7"/>
        <v>New South Wales</v>
      </c>
      <c r="R1155" s="5" t="str">
        <f t="shared" si="8"/>
        <v>Australia</v>
      </c>
    </row>
    <row r="1156">
      <c r="A1156" s="8" t="s">
        <v>7684</v>
      </c>
      <c r="B1156" s="12" t="s">
        <v>7685</v>
      </c>
      <c r="C1156" s="10" t="s">
        <v>7686</v>
      </c>
      <c r="D1156" s="10"/>
      <c r="E1156" s="10" t="s">
        <v>7687</v>
      </c>
      <c r="F1156" s="10" t="s">
        <v>26</v>
      </c>
      <c r="G1156" s="11" t="s">
        <v>7683</v>
      </c>
      <c r="H1156" s="11" t="s">
        <v>4599</v>
      </c>
      <c r="I1156" s="11" t="s">
        <v>4600</v>
      </c>
      <c r="J1156" s="9" t="str">
        <f>IFERROR(__xludf.DUMMYFUNCTION("""COMPUTED_VALUE"""),"https://www.google.com/search?newwindow=1&amp;ei=2MT0XrvGGM-vytMP1OyDgAY&amp;q=site%3Alinkedin.com+Ellie+Woodfield+Campus+Recruiter")</f>
        <v>https://www.google.com/search?newwindow=1&amp;ei=2MT0XrvGGM-vytMP1OyDgAY&amp;q=site%3Alinkedin.com+Ellie+Woodfield+Campus+Recruiter</v>
      </c>
      <c r="K1156" s="5" t="str">
        <f t="shared" si="1"/>
        <v>Ellie Woodfield</v>
      </c>
      <c r="L1156" s="5" t="str">
        <f t="shared" si="2"/>
        <v>Campus Recruiter</v>
      </c>
      <c r="M1156" s="5" t="str">
        <f t="shared" si="3"/>
        <v/>
      </c>
      <c r="N1156" s="5" t="str">
        <f t="shared" si="4"/>
        <v>IMC Trading</v>
      </c>
      <c r="O1156" s="5" t="str">
        <f t="shared" si="5"/>
        <v>2 months in role and company</v>
      </c>
      <c r="P1156" s="5" t="str">
        <f t="shared" si="6"/>
        <v>North Sydney</v>
      </c>
      <c r="Q1156" s="5" t="str">
        <f t="shared" si="7"/>
        <v>New South Wales</v>
      </c>
      <c r="R1156" s="5" t="str">
        <f t="shared" si="8"/>
        <v>Australia</v>
      </c>
    </row>
    <row r="1157">
      <c r="A1157" s="8" t="s">
        <v>7688</v>
      </c>
      <c r="B1157" s="10" t="s">
        <v>7689</v>
      </c>
      <c r="C1157" s="10" t="s">
        <v>4596</v>
      </c>
      <c r="D1157" s="10"/>
      <c r="E1157" s="10" t="s">
        <v>7690</v>
      </c>
      <c r="F1157" s="10" t="s">
        <v>165</v>
      </c>
      <c r="G1157" s="11" t="s">
        <v>7691</v>
      </c>
      <c r="H1157" s="11" t="s">
        <v>4638</v>
      </c>
      <c r="I1157" s="11" t="s">
        <v>4600</v>
      </c>
      <c r="J1157" s="9" t="str">
        <f>IFERROR(__xludf.DUMMYFUNCTION("""COMPUTED_VALUE"""),"https://www.google.com/search?newwindow=1&amp;ei=2MT0XrvGGM-vytMP1OyDgAY&amp;q=site%3Alinkedin.com+Heather+Gawenda+Student+Recruiter")</f>
        <v>https://www.google.com/search?newwindow=1&amp;ei=2MT0XrvGGM-vytMP1OyDgAY&amp;q=site%3Alinkedin.com+Heather+Gawenda+Student+Recruiter</v>
      </c>
      <c r="K1157" s="5" t="str">
        <f t="shared" si="1"/>
        <v>Heather Gawenda</v>
      </c>
      <c r="L1157" s="5" t="str">
        <f t="shared" si="2"/>
        <v>Student Recruiter</v>
      </c>
      <c r="M1157" s="5" t="str">
        <f t="shared" si="3"/>
        <v/>
      </c>
      <c r="N1157" s="5" t="str">
        <f t="shared" si="4"/>
        <v>Simon Fraser University</v>
      </c>
      <c r="O1157" s="5" t="str">
        <f t="shared" si="5"/>
        <v>19 years 7 months in role and company</v>
      </c>
      <c r="P1157" s="5" t="str">
        <f t="shared" si="6"/>
        <v>North Vancouver</v>
      </c>
      <c r="Q1157" s="5" t="str">
        <f t="shared" si="7"/>
        <v>British Columbia</v>
      </c>
      <c r="R1157" s="5" t="str">
        <f t="shared" si="8"/>
        <v>Canada</v>
      </c>
    </row>
    <row r="1158">
      <c r="A1158" s="8" t="s">
        <v>7688</v>
      </c>
      <c r="B1158" s="10" t="s">
        <v>7689</v>
      </c>
      <c r="C1158" s="10" t="s">
        <v>4596</v>
      </c>
      <c r="D1158" s="10"/>
      <c r="E1158" s="10" t="s">
        <v>7690</v>
      </c>
      <c r="F1158" s="10" t="s">
        <v>165</v>
      </c>
      <c r="G1158" s="11" t="s">
        <v>7691</v>
      </c>
      <c r="H1158" s="11" t="s">
        <v>4638</v>
      </c>
      <c r="I1158" s="11" t="s">
        <v>4600</v>
      </c>
      <c r="J1158" s="9" t="str">
        <f>IFERROR(__xludf.DUMMYFUNCTION("""COMPUTED_VALUE"""),"https://www.google.com/search?newwindow=1&amp;ei=2MT0XrvGGM-vytMP1OyDgAY&amp;q=site%3Alinkedin.com+Zinnet+Omidvar+International+student+recruiter+/+counselor")</f>
        <v>https://www.google.com/search?newwindow=1&amp;ei=2MT0XrvGGM-vytMP1OyDgAY&amp;q=site%3Alinkedin.com+Zinnet+Omidvar+International+student+recruiter+/+counselor</v>
      </c>
      <c r="K1158" s="5" t="str">
        <f t="shared" si="1"/>
        <v>Zinnet Omidvar</v>
      </c>
      <c r="L1158" s="5" t="str">
        <f t="shared" si="2"/>
        <v>International student recruiter / counselor</v>
      </c>
      <c r="M1158" s="5" t="str">
        <f t="shared" si="3"/>
        <v/>
      </c>
      <c r="N1158" s="5" t="str">
        <f t="shared" si="4"/>
        <v>FUTURE PLACEMENT AGENCY</v>
      </c>
      <c r="O1158" s="5" t="str">
        <f t="shared" si="5"/>
        <v>12 years 10 months in role and company</v>
      </c>
      <c r="P1158" s="5" t="str">
        <f t="shared" si="6"/>
        <v>North Vancouver</v>
      </c>
      <c r="Q1158" s="5" t="str">
        <f t="shared" si="7"/>
        <v>British Columbia</v>
      </c>
      <c r="R1158" s="5" t="str">
        <f t="shared" si="8"/>
        <v>Canada</v>
      </c>
    </row>
    <row r="1159">
      <c r="A1159" s="8" t="s">
        <v>7692</v>
      </c>
      <c r="B1159" s="10" t="s">
        <v>281</v>
      </c>
      <c r="C1159" s="10" t="s">
        <v>282</v>
      </c>
      <c r="D1159" s="10"/>
      <c r="E1159" s="10" t="s">
        <v>227</v>
      </c>
      <c r="F1159" s="10" t="s">
        <v>283</v>
      </c>
      <c r="G1159" s="11" t="s">
        <v>132</v>
      </c>
      <c r="H1159" s="11" t="s">
        <v>133</v>
      </c>
      <c r="I1159" s="11" t="s">
        <v>18</v>
      </c>
      <c r="J1159" s="9" t="str">
        <f>IFERROR(__xludf.DUMMYFUNCTION("""COMPUTED_VALUE"""),"https://www.google.com/search?newwindow=1&amp;ei=2MT0XrvGGM-vytMP1OyDgAY&amp;q=site%3Alinkedin.com+Ali+Accumanno+Griffin+Lead+Campus+Recruiting+Specialist")</f>
        <v>https://www.google.com/search?newwindow=1&amp;ei=2MT0XrvGGM-vytMP1OyDgAY&amp;q=site%3Alinkedin.com+Ali+Accumanno+Griffin+Lead+Campus+Recruiting+Specialist</v>
      </c>
      <c r="K1159" s="5" t="str">
        <f t="shared" si="1"/>
        <v>Ali Accumanno Griffin</v>
      </c>
      <c r="L1159" s="5" t="str">
        <f t="shared" si="2"/>
        <v>Lead Campus Recruiting Specialist</v>
      </c>
      <c r="M1159" s="5" t="str">
        <f t="shared" si="3"/>
        <v/>
      </c>
      <c r="N1159" s="5" t="str">
        <f t="shared" si="4"/>
        <v>Deloitte</v>
      </c>
      <c r="O1159" s="5" t="str">
        <f t="shared" si="5"/>
        <v>1 year 3 months in role</v>
      </c>
      <c r="P1159" s="5" t="str">
        <f t="shared" si="6"/>
        <v>Norwalk</v>
      </c>
      <c r="Q1159" s="5" t="str">
        <f t="shared" si="7"/>
        <v>Connecticut</v>
      </c>
      <c r="R1159" s="5" t="str">
        <f t="shared" si="8"/>
        <v>United States</v>
      </c>
    </row>
    <row r="1160">
      <c r="A1160" s="8" t="s">
        <v>7693</v>
      </c>
      <c r="B1160" s="10" t="s">
        <v>7694</v>
      </c>
      <c r="C1160" s="10" t="s">
        <v>1378</v>
      </c>
      <c r="D1160" s="10"/>
      <c r="E1160" s="10" t="s">
        <v>1233</v>
      </c>
      <c r="F1160" s="10" t="s">
        <v>15</v>
      </c>
      <c r="G1160" s="11" t="s">
        <v>132</v>
      </c>
      <c r="H1160" s="11" t="s">
        <v>133</v>
      </c>
      <c r="I1160" s="11" t="s">
        <v>18</v>
      </c>
      <c r="J1160" s="9" t="str">
        <f>IFERROR(__xludf.DUMMYFUNCTION("""COMPUTED_VALUE"""),"https://www.google.com/search?newwindow=1&amp;ei=2MT0XrvGGM-vytMP1OyDgAY&amp;q=site%3Alinkedin.com+Joseph+Linley+Student+Recruitment+Officer+-+Nottingham+University+Business+School")</f>
        <v>https://www.google.com/search?newwindow=1&amp;ei=2MT0XrvGGM-vytMP1OyDgAY&amp;q=site%3Alinkedin.com+Joseph+Linley+Student+Recruitment+Officer+-+Nottingham+University+Business+School</v>
      </c>
      <c r="K1160" s="5" t="str">
        <f t="shared" si="1"/>
        <v>Joseph Linley</v>
      </c>
      <c r="L1160" s="5" t="str">
        <f t="shared" si="2"/>
        <v>Student Recruitment Officer - Nottingham University Business School</v>
      </c>
      <c r="M1160" s="5" t="str">
        <f t="shared" si="3"/>
        <v/>
      </c>
      <c r="N1160" s="5" t="str">
        <f t="shared" si="4"/>
        <v>University of Nottingham</v>
      </c>
      <c r="O1160" s="5" t="str">
        <f t="shared" si="5"/>
        <v>1 year 2 months in role</v>
      </c>
      <c r="P1160" s="5" t="str">
        <f t="shared" si="6"/>
        <v>Nottinghamshire</v>
      </c>
      <c r="Q1160" s="5" t="str">
        <f t="shared" si="7"/>
        <v>England</v>
      </c>
      <c r="R1160" s="5" t="str">
        <f t="shared" si="8"/>
        <v>United Kingdom</v>
      </c>
    </row>
    <row r="1161">
      <c r="A1161" s="8" t="s">
        <v>7695</v>
      </c>
      <c r="B1161" s="12" t="s">
        <v>1793</v>
      </c>
      <c r="C1161" s="10" t="s">
        <v>1794</v>
      </c>
      <c r="D1161" s="10"/>
      <c r="E1161" s="10" t="s">
        <v>4701</v>
      </c>
      <c r="F1161" s="10" t="s">
        <v>84</v>
      </c>
      <c r="G1161" s="11" t="s">
        <v>132</v>
      </c>
      <c r="H1161" s="11" t="s">
        <v>133</v>
      </c>
      <c r="I1161" s="11" t="s">
        <v>18</v>
      </c>
      <c r="J1161" s="9" t="str">
        <f>IFERROR(__xludf.DUMMYFUNCTION("""COMPUTED_VALUE"""),"https://www.google.com/search?newwindow=1&amp;ei=2MT0XrvGGM-vytMP1OyDgAY&amp;q=site%3Alinkedin.com+Olwen+Watson+Senior+Campus+Recruiter+-+Talent+Acquisition")</f>
        <v>https://www.google.com/search?newwindow=1&amp;ei=2MT0XrvGGM-vytMP1OyDgAY&amp;q=site%3Alinkedin.com+Olwen+Watson+Senior+Campus+Recruiter+-+Talent+Acquisition</v>
      </c>
      <c r="K1161" s="5" t="str">
        <f t="shared" si="1"/>
        <v>Olwen Watson</v>
      </c>
      <c r="L1161" s="5" t="str">
        <f t="shared" si="2"/>
        <v>Senior Campus Recruiter - Talent Acquisition</v>
      </c>
      <c r="M1161" s="5" t="str">
        <f t="shared" si="3"/>
        <v/>
      </c>
      <c r="N1161" s="5" t="str">
        <f t="shared" si="4"/>
        <v>Capital One</v>
      </c>
      <c r="O1161" s="5" t="str">
        <f t="shared" si="5"/>
        <v>10 years 3 months in role and company</v>
      </c>
      <c r="P1161" s="5" t="str">
        <f t="shared" si="6"/>
        <v>Nottinghamshire</v>
      </c>
      <c r="Q1161" s="5" t="str">
        <f t="shared" si="7"/>
        <v>England</v>
      </c>
      <c r="R1161" s="5" t="str">
        <f t="shared" si="8"/>
        <v>United Kingdom</v>
      </c>
    </row>
    <row r="1162">
      <c r="A1162" s="8" t="s">
        <v>7696</v>
      </c>
      <c r="B1162" s="10" t="s">
        <v>7697</v>
      </c>
      <c r="C1162" s="10" t="s">
        <v>7698</v>
      </c>
      <c r="D1162" s="10"/>
      <c r="E1162" s="10" t="s">
        <v>3055</v>
      </c>
      <c r="F1162" s="10" t="s">
        <v>409</v>
      </c>
      <c r="G1162" s="11" t="s">
        <v>132</v>
      </c>
      <c r="H1162" s="11" t="s">
        <v>133</v>
      </c>
      <c r="I1162" s="11" t="s">
        <v>18</v>
      </c>
      <c r="J1162" s="9" t="str">
        <f>IFERROR(__xludf.DUMMYFUNCTION("""COMPUTED_VALUE"""),"https://www.google.com/search?newwindow=1&amp;ei=2MT0XrvGGM-vytMP1OyDgAY&amp;q=site%3Alinkedin.com+Waasif+Syed+Student+Recruiter")</f>
        <v>https://www.google.com/search?newwindow=1&amp;ei=2MT0XrvGGM-vytMP1OyDgAY&amp;q=site%3Alinkedin.com+Waasif+Syed+Student+Recruiter</v>
      </c>
      <c r="K1162" s="5" t="str">
        <f t="shared" si="1"/>
        <v>Waasif Syed</v>
      </c>
      <c r="L1162" s="5" t="str">
        <f t="shared" si="2"/>
        <v>Student Recruiter</v>
      </c>
      <c r="M1162" s="5" t="str">
        <f t="shared" si="3"/>
        <v/>
      </c>
      <c r="N1162" s="5" t="str">
        <f t="shared" si="4"/>
        <v>The Open University</v>
      </c>
      <c r="O1162" s="5" t="str">
        <f t="shared" si="5"/>
        <v>1 year 4 months in role and company</v>
      </c>
      <c r="P1162" s="5" t="str">
        <f t="shared" si="6"/>
        <v>Nottinghamshire</v>
      </c>
      <c r="Q1162" s="5" t="str">
        <f t="shared" si="7"/>
        <v>England</v>
      </c>
      <c r="R1162" s="5" t="str">
        <f t="shared" si="8"/>
        <v>United Kingdom</v>
      </c>
    </row>
    <row r="1163">
      <c r="A1163" s="8" t="s">
        <v>7699</v>
      </c>
      <c r="B1163" s="10" t="s">
        <v>4551</v>
      </c>
      <c r="C1163" s="10" t="s">
        <v>4552</v>
      </c>
      <c r="D1163" s="10"/>
      <c r="E1163" s="10" t="s">
        <v>4536</v>
      </c>
      <c r="F1163" s="10" t="s">
        <v>207</v>
      </c>
      <c r="G1163" s="11" t="s">
        <v>132</v>
      </c>
      <c r="H1163" s="11" t="s">
        <v>133</v>
      </c>
      <c r="I1163" s="11" t="s">
        <v>18</v>
      </c>
      <c r="J1163" s="9" t="str">
        <f>IFERROR(__xludf.DUMMYFUNCTION("""COMPUTED_VALUE"""),"https://www.google.com/search?newwindow=1&amp;ei=2MT0XrvGGM-vytMP1OyDgAY&amp;q=site%3Alinkedin.com+Lurker+Ding+Student+Recruiter")</f>
        <v>https://www.google.com/search?newwindow=1&amp;ei=2MT0XrvGGM-vytMP1OyDgAY&amp;q=site%3Alinkedin.com+Lurker+Ding+Student+Recruiter</v>
      </c>
      <c r="K1163" s="5" t="str">
        <f t="shared" si="1"/>
        <v>Lurker Ding</v>
      </c>
      <c r="L1163" s="5" t="str">
        <f t="shared" si="2"/>
        <v>Student Recruiter</v>
      </c>
      <c r="M1163" s="5" t="str">
        <f t="shared" si="3"/>
        <v/>
      </c>
      <c r="N1163" s="5" t="str">
        <f t="shared" si="4"/>
        <v>Open University Business School (OUBS)</v>
      </c>
      <c r="O1163" s="5" t="str">
        <f t="shared" si="5"/>
        <v/>
      </c>
      <c r="P1163" s="5" t="str">
        <f t="shared" si="6"/>
        <v>Nottinghamshire</v>
      </c>
      <c r="Q1163" s="5" t="str">
        <f t="shared" si="7"/>
        <v>England</v>
      </c>
      <c r="R1163" s="5" t="str">
        <f t="shared" si="8"/>
        <v>United Kingdom</v>
      </c>
    </row>
    <row r="1164">
      <c r="A1164" s="8" t="s">
        <v>7700</v>
      </c>
      <c r="B1164" s="12" t="s">
        <v>7701</v>
      </c>
      <c r="C1164" s="10" t="s">
        <v>7702</v>
      </c>
      <c r="D1164" s="10"/>
      <c r="E1164" s="10" t="s">
        <v>7703</v>
      </c>
      <c r="F1164" s="10" t="s">
        <v>1809</v>
      </c>
      <c r="G1164" s="13" t="s">
        <v>7704</v>
      </c>
      <c r="H1164" s="11" t="s">
        <v>7705</v>
      </c>
      <c r="I1164" s="11" t="s">
        <v>4600</v>
      </c>
      <c r="J1164" s="9" t="str">
        <f>IFERROR(__xludf.DUMMYFUNCTION("""COMPUTED_VALUE"""),"https://www.google.com/search?newwindow=1&amp;ei=2MT0XrvGGM-vytMP1OyDgAY&amp;q=site%3Alinkedin.com+Darrell+LeBlanc+Director+of+Programs+&amp;+Student+Services")</f>
        <v>https://www.google.com/search?newwindow=1&amp;ei=2MT0XrvGGM-vytMP1OyDgAY&amp;q=site%3Alinkedin.com+Darrell+LeBlanc+Director+of+Programs+&amp;+Student+Services</v>
      </c>
      <c r="K1164" s="5" t="str">
        <f t="shared" si="1"/>
        <v>Darrell LeBlanc</v>
      </c>
      <c r="L1164" s="5" t="str">
        <f t="shared" si="2"/>
        <v>Director of Programs &amp; Student Services</v>
      </c>
      <c r="M1164" s="5" t="str">
        <f t="shared" si="3"/>
        <v/>
      </c>
      <c r="N1164" s="5" t="str">
        <f t="shared" si="4"/>
        <v>Strait Regional Centre for Education</v>
      </c>
      <c r="O1164" s="5" t="str">
        <f t="shared" si="5"/>
        <v>4 months in role and company</v>
      </c>
      <c r="P1164" s="5" t="str">
        <f t="shared" si="6"/>
        <v>Halifax</v>
      </c>
      <c r="Q1164" s="5" t="str">
        <f t="shared" si="7"/>
        <v>Nova Scotia</v>
      </c>
      <c r="R1164" s="5" t="str">
        <f t="shared" si="8"/>
        <v>Canada</v>
      </c>
    </row>
    <row r="1165">
      <c r="A1165" s="8" t="s">
        <v>7706</v>
      </c>
      <c r="B1165" s="10" t="s">
        <v>7707</v>
      </c>
      <c r="C1165" s="10" t="s">
        <v>7708</v>
      </c>
      <c r="D1165" s="10"/>
      <c r="E1165" s="10" t="s">
        <v>7709</v>
      </c>
      <c r="F1165" s="10" t="s">
        <v>488</v>
      </c>
      <c r="G1165" s="13" t="s">
        <v>7704</v>
      </c>
      <c r="H1165" s="11" t="s">
        <v>7705</v>
      </c>
      <c r="I1165" s="11" t="s">
        <v>4600</v>
      </c>
      <c r="J1165" s="9" t="str">
        <f>IFERROR(__xludf.DUMMYFUNCTION("""COMPUTED_VALUE"""),"https://www.google.com/search?newwindow=1&amp;ei=2MT0XrvGGM-vytMP1OyDgAY&amp;q=site%3Alinkedin.com+Aaron+Callaghan+Director+of+Programs+&amp;+Student+Services")</f>
        <v>https://www.google.com/search?newwindow=1&amp;ei=2MT0XrvGGM-vytMP1OyDgAY&amp;q=site%3Alinkedin.com+Aaron+Callaghan+Director+of+Programs+&amp;+Student+Services</v>
      </c>
      <c r="K1165" s="5" t="str">
        <f t="shared" si="1"/>
        <v>Aaron Callaghan</v>
      </c>
      <c r="L1165" s="5" t="str">
        <f t="shared" si="2"/>
        <v>Director of Programs &amp; Student Services</v>
      </c>
      <c r="M1165" s="5" t="str">
        <f t="shared" si="3"/>
        <v/>
      </c>
      <c r="N1165" s="5" t="str">
        <f t="shared" si="4"/>
        <v>Chinecto Central Regional Centre for Education</v>
      </c>
      <c r="O1165" s="5" t="str">
        <f t="shared" si="5"/>
        <v>1 year 4 months in role and company</v>
      </c>
      <c r="P1165" s="5" t="str">
        <f t="shared" si="6"/>
        <v>Halifax</v>
      </c>
      <c r="Q1165" s="5" t="str">
        <f t="shared" si="7"/>
        <v>Nova Scotia</v>
      </c>
      <c r="R1165" s="5" t="str">
        <f t="shared" si="8"/>
        <v>Canada</v>
      </c>
    </row>
    <row r="1166">
      <c r="A1166" s="8" t="s">
        <v>7700</v>
      </c>
      <c r="B1166" s="12" t="s">
        <v>7701</v>
      </c>
      <c r="C1166" s="10" t="s">
        <v>7702</v>
      </c>
      <c r="D1166" s="10"/>
      <c r="E1166" s="10" t="s">
        <v>7703</v>
      </c>
      <c r="F1166" s="10" t="s">
        <v>1809</v>
      </c>
      <c r="G1166" s="13" t="s">
        <v>7704</v>
      </c>
      <c r="H1166" s="11" t="s">
        <v>7705</v>
      </c>
      <c r="I1166" s="11" t="s">
        <v>4600</v>
      </c>
      <c r="J1166" s="9" t="str">
        <f>IFERROR(__xludf.DUMMYFUNCTION("""COMPUTED_VALUE"""),"https://www.google.com/search?newwindow=1&amp;ei=2MT0XrvGGM-vytMP1OyDgAY&amp;q=site%3Alinkedin.com+Sofia+DiPaolo+Campus+Recruiting+Coordinator")</f>
        <v>https://www.google.com/search?newwindow=1&amp;ei=2MT0XrvGGM-vytMP1OyDgAY&amp;q=site%3Alinkedin.com+Sofia+DiPaolo+Campus+Recruiting+Coordinator</v>
      </c>
      <c r="K1166" s="5" t="str">
        <f t="shared" si="1"/>
        <v>Sofia DiPaolo</v>
      </c>
      <c r="L1166" s="5" t="str">
        <f t="shared" si="2"/>
        <v>Campus Recruiting Coordinator</v>
      </c>
      <c r="M1166" s="5" t="str">
        <f t="shared" si="3"/>
        <v/>
      </c>
      <c r="N1166" s="5" t="str">
        <f t="shared" si="4"/>
        <v>LinkedIn</v>
      </c>
      <c r="O1166" s="5" t="str">
        <f t="shared" si="5"/>
        <v>1 year 4 months in role and company</v>
      </c>
      <c r="P1166" s="5" t="str">
        <f t="shared" si="6"/>
        <v>Oakland</v>
      </c>
      <c r="Q1166" s="5" t="str">
        <f t="shared" si="7"/>
        <v>California</v>
      </c>
      <c r="R1166" s="5" t="str">
        <f t="shared" si="8"/>
        <v>United States</v>
      </c>
    </row>
    <row r="1167">
      <c r="A1167" s="8" t="s">
        <v>7710</v>
      </c>
      <c r="B1167" s="12" t="s">
        <v>7711</v>
      </c>
      <c r="C1167" s="10" t="s">
        <v>115</v>
      </c>
      <c r="D1167" s="10"/>
      <c r="E1167" s="10" t="s">
        <v>7712</v>
      </c>
      <c r="F1167" s="10" t="s">
        <v>691</v>
      </c>
      <c r="G1167" s="11" t="s">
        <v>7713</v>
      </c>
      <c r="H1167" s="11" t="s">
        <v>4757</v>
      </c>
      <c r="I1167" s="11" t="s">
        <v>4607</v>
      </c>
      <c r="J1167" s="9" t="str">
        <f>IFERROR(__xludf.DUMMYFUNCTION("""COMPUTED_VALUE"""),"https://www.google.com/search?newwindow=1&amp;ei=2MT0XrvGGM-vytMP1OyDgAY&amp;q=site%3Alinkedin.com+David+Jenner+Director+of+Commercial+Activities,+Director+Student+Elite+Programs")</f>
        <v>https://www.google.com/search?newwindow=1&amp;ei=2MT0XrvGGM-vytMP1OyDgAY&amp;q=site%3Alinkedin.com+David+Jenner+Director+of+Commercial+Activities,+Director+Student+Elite+Programs</v>
      </c>
      <c r="K1167" s="5" t="str">
        <f t="shared" si="1"/>
        <v>David Jenner</v>
      </c>
      <c r="L1167" s="5" t="str">
        <f t="shared" si="2"/>
        <v>Director of Commercial Activities, Director Student Elite Programs</v>
      </c>
      <c r="M1167" s="5" t="str">
        <f t="shared" si="3"/>
        <v/>
      </c>
      <c r="N1167" s="5" t="str">
        <f t="shared" si="4"/>
        <v>Appleby College</v>
      </c>
      <c r="O1167" s="5" t="str">
        <f t="shared" si="5"/>
        <v/>
      </c>
      <c r="P1167" s="5" t="str">
        <f t="shared" si="6"/>
        <v>Oakville</v>
      </c>
      <c r="Q1167" s="5" t="str">
        <f t="shared" si="7"/>
        <v>Ontario</v>
      </c>
      <c r="R1167" s="5" t="str">
        <f t="shared" si="8"/>
        <v>Canada</v>
      </c>
    </row>
    <row r="1168">
      <c r="A1168" s="8" t="s">
        <v>7714</v>
      </c>
      <c r="B1168" s="10" t="s">
        <v>7715</v>
      </c>
      <c r="C1168" s="10" t="s">
        <v>7716</v>
      </c>
      <c r="D1168" s="10"/>
      <c r="E1168" s="10" t="s">
        <v>7717</v>
      </c>
      <c r="F1168" s="10" t="s">
        <v>574</v>
      </c>
      <c r="G1168" s="11" t="s">
        <v>7718</v>
      </c>
      <c r="H1168" s="11" t="s">
        <v>4665</v>
      </c>
      <c r="I1168" s="11" t="s">
        <v>4600</v>
      </c>
      <c r="J1168" s="9" t="str">
        <f>IFERROR(__xludf.DUMMYFUNCTION("""COMPUTED_VALUE"""),"https://www.google.com/search?newwindow=1&amp;ei=2MT0XrvGGM-vytMP1OyDgAY&amp;q=site%3Alinkedin.com+Margaret+Walker+Campus+Recruiting+Rep")</f>
        <v>https://www.google.com/search?newwindow=1&amp;ei=2MT0XrvGGM-vytMP1OyDgAY&amp;q=site%3Alinkedin.com+Margaret+Walker+Campus+Recruiting+Rep</v>
      </c>
      <c r="K1168" s="5" t="str">
        <f t="shared" si="1"/>
        <v>Margaret Walker</v>
      </c>
      <c r="L1168" s="5" t="str">
        <f t="shared" si="2"/>
        <v>Campus Recruiting Rep</v>
      </c>
      <c r="M1168" s="5" t="str">
        <f t="shared" si="3"/>
        <v/>
      </c>
      <c r="N1168" s="5" t="str">
        <f t="shared" si="4"/>
        <v>Lockheed Martin</v>
      </c>
      <c r="O1168" s="5" t="str">
        <f t="shared" si="5"/>
        <v/>
      </c>
      <c r="P1168" s="5" t="str">
        <f t="shared" si="6"/>
        <v>Oceano</v>
      </c>
      <c r="Q1168" s="5" t="str">
        <f t="shared" si="7"/>
        <v>California</v>
      </c>
      <c r="R1168" s="5" t="str">
        <f t="shared" si="8"/>
        <v>United States</v>
      </c>
    </row>
    <row r="1169">
      <c r="A1169" s="8" t="s">
        <v>7719</v>
      </c>
      <c r="B1169" s="12" t="s">
        <v>7720</v>
      </c>
      <c r="C1169" s="10" t="s">
        <v>7721</v>
      </c>
      <c r="D1169" s="10"/>
      <c r="E1169" s="10" t="s">
        <v>4611</v>
      </c>
      <c r="F1169" s="10" t="s">
        <v>399</v>
      </c>
      <c r="G1169" s="13" t="s">
        <v>7722</v>
      </c>
      <c r="H1169" s="11" t="s">
        <v>5566</v>
      </c>
      <c r="I1169" s="11" t="s">
        <v>4619</v>
      </c>
      <c r="J1169" s="9" t="str">
        <f>IFERROR(__xludf.DUMMYFUNCTION("""COMPUTED_VALUE"""),"https://www.google.com/search?newwindow=1&amp;ei=2MT0XrvGGM-vytMP1OyDgAY&amp;q=site%3Alinkedin.com+Margaret+Walker+Campus+Recruiting+Representative")</f>
        <v>https://www.google.com/search?newwindow=1&amp;ei=2MT0XrvGGM-vytMP1OyDgAY&amp;q=site%3Alinkedin.com+Margaret+Walker+Campus+Recruiting+Representative</v>
      </c>
      <c r="K1169" s="5" t="str">
        <f t="shared" si="1"/>
        <v>Margaret Walker</v>
      </c>
      <c r="L1169" s="5" t="str">
        <f t="shared" si="2"/>
        <v>Campus Recruiting Representative</v>
      </c>
      <c r="M1169" s="5" t="str">
        <f t="shared" si="3"/>
        <v/>
      </c>
      <c r="N1169" s="5" t="str">
        <f t="shared" si="4"/>
        <v>Lockheed Martin</v>
      </c>
      <c r="O1169" s="5" t="str">
        <f t="shared" si="5"/>
        <v/>
      </c>
      <c r="P1169" s="5" t="str">
        <f t="shared" si="6"/>
        <v>Oceano</v>
      </c>
      <c r="Q1169" s="5" t="str">
        <f t="shared" si="7"/>
        <v>California</v>
      </c>
      <c r="R1169" s="5" t="str">
        <f t="shared" si="8"/>
        <v>United States</v>
      </c>
    </row>
    <row r="1170">
      <c r="A1170" s="8" t="s">
        <v>7723</v>
      </c>
      <c r="B1170" s="10" t="s">
        <v>7724</v>
      </c>
      <c r="C1170" s="10" t="s">
        <v>7725</v>
      </c>
      <c r="D1170" s="12"/>
      <c r="E1170" s="12" t="s">
        <v>7726</v>
      </c>
      <c r="F1170" s="10"/>
      <c r="G1170" s="13" t="s">
        <v>7722</v>
      </c>
      <c r="H1170" s="11" t="s">
        <v>5566</v>
      </c>
      <c r="I1170" s="11" t="s">
        <v>4619</v>
      </c>
      <c r="J1170" s="9" t="str">
        <f>IFERROR(__xludf.DUMMYFUNCTION("""COMPUTED_VALUE"""),"https://www.google.com/search?newwindow=1&amp;ei=2MT0XrvGGM-vytMP1OyDgAY&amp;q=site%3Alinkedin.com+Megan+Boyer+Campus+Recruiting+Specialist")</f>
        <v>https://www.google.com/search?newwindow=1&amp;ei=2MT0XrvGGM-vytMP1OyDgAY&amp;q=site%3Alinkedin.com+Megan+Boyer+Campus+Recruiting+Specialist</v>
      </c>
      <c r="K1170" s="5" t="str">
        <f t="shared" si="1"/>
        <v>Megan Boyer</v>
      </c>
      <c r="L1170" s="5" t="str">
        <f t="shared" si="2"/>
        <v>Campus Recruiting Specialist</v>
      </c>
      <c r="M1170" s="5" t="str">
        <f t="shared" si="3"/>
        <v/>
      </c>
      <c r="N1170" s="5" t="str">
        <f t="shared" si="4"/>
        <v>Deloitte</v>
      </c>
      <c r="O1170" s="5" t="str">
        <f t="shared" si="5"/>
        <v>1 year 4 months in role and company</v>
      </c>
      <c r="P1170" s="5" t="str">
        <f t="shared" si="6"/>
        <v>Omaha</v>
      </c>
      <c r="Q1170" s="5" t="str">
        <f t="shared" si="7"/>
        <v>Nebraska</v>
      </c>
      <c r="R1170" s="5" t="str">
        <f t="shared" si="8"/>
        <v>United States</v>
      </c>
    </row>
    <row r="1171">
      <c r="A1171" s="8" t="s">
        <v>7727</v>
      </c>
      <c r="B1171" s="12" t="s">
        <v>7728</v>
      </c>
      <c r="C1171" s="10" t="s">
        <v>7729</v>
      </c>
      <c r="D1171" s="10"/>
      <c r="E1171" s="10" t="s">
        <v>5564</v>
      </c>
      <c r="F1171" s="10"/>
      <c r="G1171" s="13" t="s">
        <v>7722</v>
      </c>
      <c r="H1171" s="11" t="s">
        <v>5566</v>
      </c>
      <c r="I1171" s="11" t="s">
        <v>4619</v>
      </c>
      <c r="J1171" s="9" t="str">
        <f>IFERROR(__xludf.DUMMYFUNCTION("""COMPUTED_VALUE"""),"https://www.google.com/search?newwindow=1&amp;ei=2MT0XrvGGM-vytMP1OyDgAY&amp;q=site%3Alinkedin.com+Becky+Paseka,+CPA+Campus+Recruiting+Manager")</f>
        <v>https://www.google.com/search?newwindow=1&amp;ei=2MT0XrvGGM-vytMP1OyDgAY&amp;q=site%3Alinkedin.com+Becky+Paseka,+CPA+Campus+Recruiting+Manager</v>
      </c>
      <c r="K1171" s="5" t="str">
        <f t="shared" si="1"/>
        <v>Becky Paseka, CPA</v>
      </c>
      <c r="L1171" s="5" t="str">
        <f t="shared" si="2"/>
        <v>Campus Recruiting Manager</v>
      </c>
      <c r="M1171" s="5" t="str">
        <f t="shared" si="3"/>
        <v/>
      </c>
      <c r="N1171" s="5" t="str">
        <f t="shared" si="4"/>
        <v>KPMG US</v>
      </c>
      <c r="O1171" s="5" t="str">
        <f t="shared" si="5"/>
        <v>3 years 9 months in role</v>
      </c>
      <c r="P1171" s="5" t="str">
        <f t="shared" si="6"/>
        <v>Omaha</v>
      </c>
      <c r="Q1171" s="5" t="str">
        <f t="shared" si="7"/>
        <v>Nebraska</v>
      </c>
      <c r="R1171" s="5" t="str">
        <f t="shared" si="8"/>
        <v>United States</v>
      </c>
    </row>
    <row r="1172">
      <c r="A1172" s="8" t="s">
        <v>7730</v>
      </c>
      <c r="B1172" s="10" t="s">
        <v>7731</v>
      </c>
      <c r="C1172" s="10" t="s">
        <v>7732</v>
      </c>
      <c r="D1172" s="12"/>
      <c r="E1172" s="12" t="s">
        <v>7733</v>
      </c>
      <c r="F1172" s="10"/>
      <c r="G1172" s="13" t="s">
        <v>7722</v>
      </c>
      <c r="H1172" s="11" t="s">
        <v>5566</v>
      </c>
      <c r="I1172" s="11" t="s">
        <v>4619</v>
      </c>
      <c r="J1172" s="9" t="str">
        <f>IFERROR(__xludf.DUMMYFUNCTION("""COMPUTED_VALUE"""),"https://www.google.com/search?newwindow=1&amp;ei=2MT0XrvGGM-vytMP1OyDgAY&amp;q=site%3Alinkedin.com+Frank+Katradis+Assistant+Student+Recruiter")</f>
        <v>https://www.google.com/search?newwindow=1&amp;ei=2MT0XrvGGM-vytMP1OyDgAY&amp;q=site%3Alinkedin.com+Frank+Katradis+Assistant+Student+Recruiter</v>
      </c>
      <c r="K1172" s="5" t="str">
        <f t="shared" si="1"/>
        <v>Frank Katradis</v>
      </c>
      <c r="L1172" s="5" t="str">
        <f t="shared" si="2"/>
        <v>Assistant Student Recruiter</v>
      </c>
      <c r="M1172" s="5" t="str">
        <f t="shared" si="3"/>
        <v/>
      </c>
      <c r="N1172" s="5" t="str">
        <f t="shared" si="4"/>
        <v>Ontario Tech University</v>
      </c>
      <c r="O1172" s="5" t="str">
        <f t="shared" si="5"/>
        <v>3 months in role and company</v>
      </c>
      <c r="P1172" s="5" t="str">
        <f t="shared" si="6"/>
        <v>Toronto</v>
      </c>
      <c r="Q1172" s="5" t="str">
        <f t="shared" si="7"/>
        <v>Ontario</v>
      </c>
      <c r="R1172" s="5" t="str">
        <f t="shared" si="8"/>
        <v>Canada</v>
      </c>
    </row>
    <row r="1173">
      <c r="A1173" s="8" t="s">
        <v>7734</v>
      </c>
      <c r="B1173" s="10" t="s">
        <v>7735</v>
      </c>
      <c r="C1173" s="10" t="s">
        <v>7736</v>
      </c>
      <c r="D1173" s="10"/>
      <c r="E1173" s="10" t="s">
        <v>7737</v>
      </c>
      <c r="F1173" s="10" t="s">
        <v>418</v>
      </c>
      <c r="G1173" s="11" t="s">
        <v>7738</v>
      </c>
      <c r="H1173" s="11" t="s">
        <v>4599</v>
      </c>
      <c r="I1173" s="11" t="s">
        <v>4600</v>
      </c>
      <c r="J1173" s="9" t="str">
        <f>IFERROR(__xludf.DUMMYFUNCTION("""COMPUTED_VALUE"""),"https://www.google.com/search?newwindow=1&amp;ei=2MT0XrvGGM-vytMP1OyDgAY&amp;q=site%3Alinkedin.com+Heather+Yang+International+Student+Recruiter")</f>
        <v>https://www.google.com/search?newwindow=1&amp;ei=2MT0XrvGGM-vytMP1OyDgAY&amp;q=site%3Alinkedin.com+Heather+Yang+International+Student+Recruiter</v>
      </c>
      <c r="K1173" s="5" t="str">
        <f t="shared" si="1"/>
        <v>Heather Yang</v>
      </c>
      <c r="L1173" s="5" t="str">
        <f t="shared" si="2"/>
        <v>International Student Recruiter</v>
      </c>
      <c r="M1173" s="5" t="str">
        <f t="shared" si="3"/>
        <v/>
      </c>
      <c r="N1173" s="5" t="str">
        <f t="shared" si="4"/>
        <v>Hanson Canada</v>
      </c>
      <c r="O1173" s="5" t="str">
        <f t="shared" si="5"/>
        <v>2 years 8 months in role and company</v>
      </c>
      <c r="P1173" s="5" t="str">
        <f t="shared" si="6"/>
        <v>Toronto</v>
      </c>
      <c r="Q1173" s="5" t="str">
        <f t="shared" si="7"/>
        <v>Ontario</v>
      </c>
      <c r="R1173" s="5" t="str">
        <f t="shared" si="8"/>
        <v>Canada</v>
      </c>
    </row>
    <row r="1174">
      <c r="A1174" s="8" t="s">
        <v>7734</v>
      </c>
      <c r="B1174" s="10" t="s">
        <v>7735</v>
      </c>
      <c r="C1174" s="10" t="s">
        <v>7736</v>
      </c>
      <c r="D1174" s="10"/>
      <c r="E1174" s="10" t="s">
        <v>7737</v>
      </c>
      <c r="F1174" s="10" t="s">
        <v>418</v>
      </c>
      <c r="G1174" s="11" t="s">
        <v>7738</v>
      </c>
      <c r="H1174" s="11" t="s">
        <v>4599</v>
      </c>
      <c r="I1174" s="11" t="s">
        <v>4600</v>
      </c>
      <c r="J1174" s="9" t="str">
        <f>IFERROR(__xludf.DUMMYFUNCTION("""COMPUTED_VALUE"""),"https://www.google.com/search?newwindow=1&amp;ei=2MT0XrvGGM-vytMP1OyDgAY&amp;q=site%3Alinkedin.com+Allison+Brown+College+Recruiter")</f>
        <v>https://www.google.com/search?newwindow=1&amp;ei=2MT0XrvGGM-vytMP1OyDgAY&amp;q=site%3Alinkedin.com+Allison+Brown+College+Recruiter</v>
      </c>
      <c r="K1174" s="5" t="str">
        <f t="shared" si="1"/>
        <v>Allison Brown</v>
      </c>
      <c r="L1174" s="5" t="str">
        <f t="shared" si="2"/>
        <v>College Recruiter</v>
      </c>
      <c r="M1174" s="5" t="str">
        <f t="shared" si="3"/>
        <v/>
      </c>
      <c r="N1174" s="5" t="str">
        <f t="shared" si="4"/>
        <v>University of Guelph, Ridgetown Campus</v>
      </c>
      <c r="O1174" s="5" t="str">
        <f t="shared" si="5"/>
        <v/>
      </c>
      <c r="P1174" s="5" t="str">
        <f t="shared" si="6"/>
        <v>Toronto</v>
      </c>
      <c r="Q1174" s="5" t="str">
        <f t="shared" si="7"/>
        <v>Ontario</v>
      </c>
      <c r="R1174" s="5" t="str">
        <f t="shared" si="8"/>
        <v>Canada</v>
      </c>
    </row>
    <row r="1175">
      <c r="A1175" s="8" t="s">
        <v>7739</v>
      </c>
      <c r="B1175" s="10" t="s">
        <v>7740</v>
      </c>
      <c r="C1175" s="10" t="s">
        <v>7741</v>
      </c>
      <c r="D1175" s="10"/>
      <c r="E1175" s="10" t="s">
        <v>4659</v>
      </c>
      <c r="F1175" s="10" t="s">
        <v>165</v>
      </c>
      <c r="G1175" s="11" t="s">
        <v>137</v>
      </c>
      <c r="H1175" s="11" t="s">
        <v>137</v>
      </c>
      <c r="I1175" s="11" t="s">
        <v>18</v>
      </c>
      <c r="J1175" s="9" t="str">
        <f>IFERROR(__xludf.DUMMYFUNCTION("""COMPUTED_VALUE"""),"https://www.google.com/search?newwindow=1&amp;ei=2MT0XrvGGM-vytMP1OyDgAY&amp;q=site%3Alinkedin.com+Catherine+Corbeil+Student+-+Resource+Planning+and+Student+Programs")</f>
        <v>https://www.google.com/search?newwindow=1&amp;ei=2MT0XrvGGM-vytMP1OyDgAY&amp;q=site%3Alinkedin.com+Catherine+Corbeil+Student+-+Resource+Planning+and+Student+Programs</v>
      </c>
      <c r="K1175" s="5" t="str">
        <f t="shared" si="1"/>
        <v>Catherine Corbeil</v>
      </c>
      <c r="L1175" s="5" t="str">
        <f t="shared" si="2"/>
        <v>Student - Resource Planning and Student Programs</v>
      </c>
      <c r="M1175" s="5" t="str">
        <f t="shared" si="3"/>
        <v/>
      </c>
      <c r="N1175" s="5" t="str">
        <f t="shared" si="4"/>
        <v>Office of the Auditor General of Canada / Bureau du vérificateur général du Canada</v>
      </c>
      <c r="O1175" s="5" t="str">
        <f t="shared" si="5"/>
        <v>1 year 6 months in role and company</v>
      </c>
      <c r="P1175" s="5" t="str">
        <f t="shared" si="6"/>
        <v>Toronto</v>
      </c>
      <c r="Q1175" s="5" t="str">
        <f t="shared" si="7"/>
        <v>Ontario</v>
      </c>
      <c r="R1175" s="5" t="str">
        <f t="shared" si="8"/>
        <v>Canada</v>
      </c>
    </row>
    <row r="1176">
      <c r="A1176" s="8" t="s">
        <v>7742</v>
      </c>
      <c r="B1176" s="10" t="s">
        <v>7743</v>
      </c>
      <c r="C1176" s="10" t="s">
        <v>7744</v>
      </c>
      <c r="D1176" s="10"/>
      <c r="E1176" s="10" t="s">
        <v>702</v>
      </c>
      <c r="F1176" s="10" t="s">
        <v>165</v>
      </c>
      <c r="G1176" s="11" t="s">
        <v>137</v>
      </c>
      <c r="H1176" s="11" t="s">
        <v>137</v>
      </c>
      <c r="I1176" s="11" t="s">
        <v>18</v>
      </c>
      <c r="J1176" s="9" t="str">
        <f>IFERROR(__xludf.DUMMYFUNCTION("""COMPUTED_VALUE"""),"https://www.google.com/search?newwindow=1&amp;ei=2MT0XrvGGM-vytMP1OyDgAY&amp;q=site%3Alinkedin.com+Sarah+Jones+Coordinator,+Professional+Recruiting/Student+Programs")</f>
        <v>https://www.google.com/search?newwindow=1&amp;ei=2MT0XrvGGM-vytMP1OyDgAY&amp;q=site%3Alinkedin.com+Sarah+Jones+Coordinator,+Professional+Recruiting/Student+Programs</v>
      </c>
      <c r="K1176" s="5" t="str">
        <f t="shared" si="1"/>
        <v>Sarah Jones</v>
      </c>
      <c r="L1176" s="5" t="str">
        <f t="shared" si="2"/>
        <v>Coordinator, Professional Recruiting/Student Programs</v>
      </c>
      <c r="M1176" s="5" t="str">
        <f t="shared" si="3"/>
        <v/>
      </c>
      <c r="N1176" s="5" t="str">
        <f t="shared" si="4"/>
        <v>Borden Ladner Gervais LLP (BLG)</v>
      </c>
      <c r="O1176" s="5" t="str">
        <f t="shared" si="5"/>
        <v>3 years 5 months in role</v>
      </c>
      <c r="P1176" s="5" t="str">
        <f t="shared" si="6"/>
        <v>Toronto</v>
      </c>
      <c r="Q1176" s="5" t="str">
        <f t="shared" si="7"/>
        <v>Ontario</v>
      </c>
      <c r="R1176" s="5" t="str">
        <f t="shared" si="8"/>
        <v>Canada</v>
      </c>
    </row>
    <row r="1177">
      <c r="A1177" s="8" t="s">
        <v>7745</v>
      </c>
      <c r="B1177" s="10" t="s">
        <v>7746</v>
      </c>
      <c r="C1177" s="10" t="s">
        <v>4749</v>
      </c>
      <c r="D1177" s="10"/>
      <c r="E1177" s="10" t="s">
        <v>2297</v>
      </c>
      <c r="F1177" s="10" t="s">
        <v>63</v>
      </c>
      <c r="G1177" s="11" t="s">
        <v>137</v>
      </c>
      <c r="H1177" s="11" t="s">
        <v>137</v>
      </c>
      <c r="I1177" s="11" t="s">
        <v>18</v>
      </c>
      <c r="J1177" s="9" t="str">
        <f>IFERROR(__xludf.DUMMYFUNCTION("""COMPUTED_VALUE"""),"https://www.google.com/search?newwindow=1&amp;ei=2MT0XrvGGM-vytMP1OyDgAY&amp;q=site%3Alinkedin.com+Susan+Downey+Student+Placement+Facilitator")</f>
        <v>https://www.google.com/search?newwindow=1&amp;ei=2MT0XrvGGM-vytMP1OyDgAY&amp;q=site%3Alinkedin.com+Susan+Downey+Student+Placement+Facilitator</v>
      </c>
      <c r="K1177" s="5" t="str">
        <f t="shared" si="1"/>
        <v>Susan Downey</v>
      </c>
      <c r="L1177" s="5" t="str">
        <f t="shared" si="2"/>
        <v>Student Placement Facilitator</v>
      </c>
      <c r="M1177" s="5" t="str">
        <f t="shared" si="3"/>
        <v/>
      </c>
      <c r="N1177" s="5" t="str">
        <f t="shared" si="4"/>
        <v>St. Lawrence College</v>
      </c>
      <c r="O1177" s="5" t="str">
        <f t="shared" si="5"/>
        <v>11 months in role and company</v>
      </c>
      <c r="P1177" s="5" t="str">
        <f t="shared" si="6"/>
        <v>Toronto</v>
      </c>
      <c r="Q1177" s="5" t="str">
        <f t="shared" si="7"/>
        <v>Ontario</v>
      </c>
      <c r="R1177" s="5" t="str">
        <f t="shared" si="8"/>
        <v>Canada</v>
      </c>
    </row>
    <row r="1178">
      <c r="A1178" s="8" t="s">
        <v>7747</v>
      </c>
      <c r="B1178" s="10" t="s">
        <v>7748</v>
      </c>
      <c r="C1178" s="10" t="s">
        <v>1378</v>
      </c>
      <c r="D1178" s="10"/>
      <c r="E1178" s="10" t="s">
        <v>1233</v>
      </c>
      <c r="F1178" s="10" t="s">
        <v>207</v>
      </c>
      <c r="G1178" s="11" t="s">
        <v>137</v>
      </c>
      <c r="H1178" s="11" t="s">
        <v>137</v>
      </c>
      <c r="I1178" s="11" t="s">
        <v>18</v>
      </c>
      <c r="J1178" s="9" t="str">
        <f>IFERROR(__xludf.DUMMYFUNCTION("""COMPUTED_VALUE"""),"https://www.google.com/search?newwindow=1&amp;ei=2MT0XrvGGM-vytMP1OyDgAY&amp;q=site%3Alinkedin.com+Kelli+Shimizu+Campus+Recruiting+Specialist")</f>
        <v>https://www.google.com/search?newwindow=1&amp;ei=2MT0XrvGGM-vytMP1OyDgAY&amp;q=site%3Alinkedin.com+Kelli+Shimizu+Campus+Recruiting+Specialist</v>
      </c>
      <c r="K1178" s="5" t="str">
        <f t="shared" si="1"/>
        <v>Kelli Shimizu</v>
      </c>
      <c r="L1178" s="5" t="str">
        <f t="shared" si="2"/>
        <v>Campus Recruiting Specialist</v>
      </c>
      <c r="M1178" s="5" t="str">
        <f t="shared" si="3"/>
        <v/>
      </c>
      <c r="N1178" s="5" t="str">
        <f t="shared" si="4"/>
        <v>Deloitte</v>
      </c>
      <c r="O1178" s="5" t="str">
        <f t="shared" si="5"/>
        <v>2 years 2 months in role and company</v>
      </c>
      <c r="P1178" s="5" t="str">
        <f t="shared" si="6"/>
        <v>Orange County</v>
      </c>
      <c r="Q1178" s="5" t="str">
        <f t="shared" si="7"/>
        <v>California</v>
      </c>
      <c r="R1178" s="5" t="str">
        <f t="shared" si="8"/>
        <v>United States</v>
      </c>
    </row>
    <row r="1179">
      <c r="A1179" s="8" t="s">
        <v>7749</v>
      </c>
      <c r="B1179" s="10" t="s">
        <v>7750</v>
      </c>
      <c r="C1179" s="10" t="s">
        <v>4749</v>
      </c>
      <c r="D1179" s="10"/>
      <c r="E1179" s="10" t="s">
        <v>702</v>
      </c>
      <c r="F1179" s="10" t="s">
        <v>165</v>
      </c>
      <c r="G1179" s="11" t="s">
        <v>137</v>
      </c>
      <c r="H1179" s="11" t="s">
        <v>137</v>
      </c>
      <c r="I1179" s="11" t="s">
        <v>18</v>
      </c>
      <c r="J1179" s="9" t="str">
        <f>IFERROR(__xludf.DUMMYFUNCTION("""COMPUTED_VALUE"""),"https://www.google.com/search?newwindow=1&amp;ei=2MT0XrvGGM-vytMP1OyDgAY&amp;q=site%3Alinkedin.com+Grace+Powers+Campus+Recruiting+Specialist")</f>
        <v>https://www.google.com/search?newwindow=1&amp;ei=2MT0XrvGGM-vytMP1OyDgAY&amp;q=site%3Alinkedin.com+Grace+Powers+Campus+Recruiting+Specialist</v>
      </c>
      <c r="K1179" s="5" t="str">
        <f t="shared" si="1"/>
        <v>Grace Powers</v>
      </c>
      <c r="L1179" s="5" t="str">
        <f t="shared" si="2"/>
        <v>Campus Recruiting Specialist</v>
      </c>
      <c r="M1179" s="5" t="str">
        <f t="shared" si="3"/>
        <v/>
      </c>
      <c r="N1179" s="5" t="str">
        <f t="shared" si="4"/>
        <v>Deloitte</v>
      </c>
      <c r="O1179" s="5" t="str">
        <f t="shared" si="5"/>
        <v>1 year 10 months in role</v>
      </c>
      <c r="P1179" s="5" t="str">
        <f t="shared" si="6"/>
        <v>Orange County</v>
      </c>
      <c r="Q1179" s="5" t="str">
        <f t="shared" si="7"/>
        <v>California</v>
      </c>
      <c r="R1179" s="5" t="str">
        <f t="shared" si="8"/>
        <v>United States</v>
      </c>
    </row>
    <row r="1180">
      <c r="A1180" s="8" t="s">
        <v>7751</v>
      </c>
      <c r="B1180" s="10" t="s">
        <v>7752</v>
      </c>
      <c r="C1180" s="10" t="s">
        <v>4742</v>
      </c>
      <c r="D1180" s="10"/>
      <c r="E1180" s="10" t="s">
        <v>2839</v>
      </c>
      <c r="F1180" s="10" t="s">
        <v>399</v>
      </c>
      <c r="G1180" s="11" t="s">
        <v>137</v>
      </c>
      <c r="H1180" s="11" t="s">
        <v>137</v>
      </c>
      <c r="I1180" s="11" t="s">
        <v>18</v>
      </c>
      <c r="J1180" s="9" t="str">
        <f>IFERROR(__xludf.DUMMYFUNCTION("""COMPUTED_VALUE"""),"https://www.google.com/search?newwindow=1&amp;ei=2MT0XrvGGM-vytMP1OyDgAY&amp;q=site%3Alinkedin.com+Janelle+Huang+Primary+Recruiter,+Campus+Recruiting")</f>
        <v>https://www.google.com/search?newwindow=1&amp;ei=2MT0XrvGGM-vytMP1OyDgAY&amp;q=site%3Alinkedin.com+Janelle+Huang+Primary+Recruiter,+Campus+Recruiting</v>
      </c>
      <c r="K1180" s="5" t="str">
        <f t="shared" si="1"/>
        <v>Janelle Huang</v>
      </c>
      <c r="L1180" s="5" t="str">
        <f t="shared" si="2"/>
        <v>Primary Recruiter, Campus Recruiting</v>
      </c>
      <c r="M1180" s="5" t="str">
        <f t="shared" si="3"/>
        <v/>
      </c>
      <c r="N1180" s="5" t="str">
        <f t="shared" si="4"/>
        <v>KPMG</v>
      </c>
      <c r="O1180" s="5" t="str">
        <f t="shared" si="5"/>
        <v>5 years 10 months in role and company</v>
      </c>
      <c r="P1180" s="5" t="str">
        <f t="shared" si="6"/>
        <v>Orange County</v>
      </c>
      <c r="Q1180" s="5" t="str">
        <f t="shared" si="7"/>
        <v>California</v>
      </c>
      <c r="R1180" s="5" t="str">
        <f t="shared" si="8"/>
        <v>United States</v>
      </c>
    </row>
    <row r="1181">
      <c r="A1181" s="8" t="s">
        <v>7753</v>
      </c>
      <c r="B1181" s="10" t="s">
        <v>7754</v>
      </c>
      <c r="C1181" s="10" t="s">
        <v>212</v>
      </c>
      <c r="D1181" s="10"/>
      <c r="E1181" s="10" t="s">
        <v>4441</v>
      </c>
      <c r="F1181" s="10" t="s">
        <v>233</v>
      </c>
      <c r="G1181" s="11" t="s">
        <v>137</v>
      </c>
      <c r="H1181" s="11" t="s">
        <v>137</v>
      </c>
      <c r="I1181" s="11" t="s">
        <v>18</v>
      </c>
      <c r="J1181" s="9" t="str">
        <f>IFERROR(__xludf.DUMMYFUNCTION("""COMPUTED_VALUE"""),"https://www.google.com/search?newwindow=1&amp;ei=2MT0XrvGGM-vytMP1OyDgAY&amp;q=site%3Alinkedin.com+Kristina+Liphardt+Director;+Campus+Recruiting+Leader")</f>
        <v>https://www.google.com/search?newwindow=1&amp;ei=2MT0XrvGGM-vytMP1OyDgAY&amp;q=site%3Alinkedin.com+Kristina+Liphardt+Director;+Campus+Recruiting+Leader</v>
      </c>
      <c r="K1181" s="5" t="str">
        <f t="shared" si="1"/>
        <v>Kristina Liphardt</v>
      </c>
      <c r="L1181" s="5" t="str">
        <f t="shared" si="2"/>
        <v>Director; Campus Recruiting Leader</v>
      </c>
      <c r="M1181" s="5" t="str">
        <f t="shared" si="3"/>
        <v/>
      </c>
      <c r="N1181" s="5" t="str">
        <f t="shared" si="4"/>
        <v>EY</v>
      </c>
      <c r="O1181" s="5" t="str">
        <f t="shared" si="5"/>
        <v>25 years 10 months in role and company</v>
      </c>
      <c r="P1181" s="5" t="str">
        <f t="shared" si="6"/>
        <v>Orange County</v>
      </c>
      <c r="Q1181" s="5" t="str">
        <f t="shared" si="7"/>
        <v>California</v>
      </c>
      <c r="R1181" s="5" t="str">
        <f t="shared" si="8"/>
        <v>United States</v>
      </c>
    </row>
    <row r="1182">
      <c r="A1182" s="8" t="s">
        <v>7755</v>
      </c>
      <c r="B1182" s="12" t="s">
        <v>7756</v>
      </c>
      <c r="C1182" s="10" t="s">
        <v>4934</v>
      </c>
      <c r="D1182" s="10"/>
      <c r="E1182" s="10" t="s">
        <v>4659</v>
      </c>
      <c r="F1182" s="10" t="s">
        <v>441</v>
      </c>
      <c r="G1182" s="11" t="s">
        <v>137</v>
      </c>
      <c r="H1182" s="11" t="s">
        <v>137</v>
      </c>
      <c r="I1182" s="11" t="s">
        <v>18</v>
      </c>
      <c r="J1182" s="9" t="str">
        <f>IFERROR(__xludf.DUMMYFUNCTION("""COMPUTED_VALUE"""),"https://www.google.com/search?newwindow=1&amp;ei=2MT0XrvGGM-vytMP1OyDgAY&amp;q=site%3Alinkedin.com+Trent+Barwick+Student+Engagement+Coordinator,+Transition+Programs")</f>
        <v>https://www.google.com/search?newwindow=1&amp;ei=2MT0XrvGGM-vytMP1OyDgAY&amp;q=site%3Alinkedin.com+Trent+Barwick+Student+Engagement+Coordinator,+Transition+Programs</v>
      </c>
      <c r="K1182" s="5" t="str">
        <f t="shared" si="1"/>
        <v>Trent Barwick</v>
      </c>
      <c r="L1182" s="5" t="str">
        <f t="shared" si="2"/>
        <v>Student Engagement Coordinator, Transition Programs</v>
      </c>
      <c r="M1182" s="5" t="str">
        <f t="shared" si="3"/>
        <v/>
      </c>
      <c r="N1182" s="5" t="str">
        <f t="shared" si="4"/>
        <v>University of Toronto Mississauga</v>
      </c>
      <c r="O1182" s="5" t="str">
        <f t="shared" si="5"/>
        <v>8 months in role</v>
      </c>
      <c r="P1182" s="5" t="str">
        <f t="shared" si="6"/>
        <v>Orangeville</v>
      </c>
      <c r="Q1182" s="5" t="str">
        <f t="shared" si="7"/>
        <v>Ontario</v>
      </c>
      <c r="R1182" s="5" t="str">
        <f t="shared" si="8"/>
        <v>Canada</v>
      </c>
    </row>
    <row r="1183">
      <c r="A1183" s="8" t="s">
        <v>7757</v>
      </c>
      <c r="B1183" s="10" t="s">
        <v>7758</v>
      </c>
      <c r="C1183" s="10" t="s">
        <v>1378</v>
      </c>
      <c r="D1183" s="10"/>
      <c r="E1183" s="10" t="s">
        <v>1233</v>
      </c>
      <c r="F1183" s="10" t="s">
        <v>42</v>
      </c>
      <c r="G1183" s="11" t="s">
        <v>137</v>
      </c>
      <c r="H1183" s="11" t="s">
        <v>137</v>
      </c>
      <c r="I1183" s="11" t="s">
        <v>18</v>
      </c>
      <c r="J1183" s="9" t="str">
        <f>IFERROR(__xludf.DUMMYFUNCTION("""COMPUTED_VALUE"""),"https://www.google.com/search?newwindow=1&amp;ei=2MT0XrvGGM-vytMP1OyDgAY&amp;q=site%3Alinkedin.com+Hercilia+Teodoro+Human+Resources+Administrator+(Co-op+Student)")</f>
        <v>https://www.google.com/search?newwindow=1&amp;ei=2MT0XrvGGM-vytMP1OyDgAY&amp;q=site%3Alinkedin.com+Hercilia+Teodoro+Human+Resources+Administrator+(Co-op+Student)</v>
      </c>
      <c r="K1183" s="5" t="str">
        <f t="shared" si="1"/>
        <v>Hercilia Teodoro</v>
      </c>
      <c r="L1183" s="5" t="str">
        <f t="shared" si="2"/>
        <v>Human Resources Administrator (Co-op Student)</v>
      </c>
      <c r="M1183" s="5" t="str">
        <f t="shared" si="3"/>
        <v/>
      </c>
      <c r="N1183" s="5" t="str">
        <f t="shared" si="4"/>
        <v>Magna International</v>
      </c>
      <c r="O1183" s="5" t="str">
        <f t="shared" si="5"/>
        <v>5 months in role and company</v>
      </c>
      <c r="P1183" s="5" t="str">
        <f t="shared" si="6"/>
        <v>Orillia</v>
      </c>
      <c r="Q1183" s="5" t="str">
        <f t="shared" si="7"/>
        <v>Ontario</v>
      </c>
      <c r="R1183" s="5" t="str">
        <f t="shared" si="8"/>
        <v>Canada</v>
      </c>
    </row>
    <row r="1184">
      <c r="A1184" s="8" t="s">
        <v>7759</v>
      </c>
      <c r="B1184" s="10" t="s">
        <v>7760</v>
      </c>
      <c r="C1184" s="10" t="s">
        <v>5621</v>
      </c>
      <c r="D1184" s="10"/>
      <c r="E1184" s="10" t="s">
        <v>2297</v>
      </c>
      <c r="F1184" s="10" t="s">
        <v>774</v>
      </c>
      <c r="G1184" s="11" t="s">
        <v>137</v>
      </c>
      <c r="H1184" s="11" t="s">
        <v>137</v>
      </c>
      <c r="I1184" s="11" t="s">
        <v>18</v>
      </c>
      <c r="J1184" s="9" t="str">
        <f>IFERROR(__xludf.DUMMYFUNCTION("""COMPUTED_VALUE"""),"https://www.google.com/search?newwindow=1&amp;ei=2MT0XrvGGM-vytMP1OyDgAY&amp;q=site%3Alinkedin.com+Linzie+Arnett+(Stahl)+Campus+Recruiting+Specialist")</f>
        <v>https://www.google.com/search?newwindow=1&amp;ei=2MT0XrvGGM-vytMP1OyDgAY&amp;q=site%3Alinkedin.com+Linzie+Arnett+(Stahl)+Campus+Recruiting+Specialist</v>
      </c>
      <c r="K1184" s="5" t="str">
        <f t="shared" si="1"/>
        <v>Linzie Arnett (Stahl)</v>
      </c>
      <c r="L1184" s="5" t="str">
        <f t="shared" si="2"/>
        <v>Campus Recruiting Specialist</v>
      </c>
      <c r="M1184" s="5" t="str">
        <f t="shared" si="3"/>
        <v/>
      </c>
      <c r="N1184" s="5" t="str">
        <f t="shared" si="4"/>
        <v>Deloitte</v>
      </c>
      <c r="O1184" s="5" t="str">
        <f t="shared" si="5"/>
        <v>2 years 1 month in role and company</v>
      </c>
      <c r="P1184" s="5" t="str">
        <f t="shared" si="6"/>
        <v>Orlando</v>
      </c>
      <c r="Q1184" s="5" t="str">
        <f t="shared" si="7"/>
        <v>Florida</v>
      </c>
      <c r="R1184" s="5" t="str">
        <f t="shared" si="8"/>
        <v>United States</v>
      </c>
    </row>
    <row r="1185">
      <c r="A1185" s="8" t="s">
        <v>7761</v>
      </c>
      <c r="B1185" s="12" t="s">
        <v>7762</v>
      </c>
      <c r="C1185" s="10" t="s">
        <v>7763</v>
      </c>
      <c r="D1185" s="10"/>
      <c r="E1185" s="10" t="s">
        <v>2297</v>
      </c>
      <c r="F1185" s="10" t="s">
        <v>579</v>
      </c>
      <c r="G1185" s="11" t="s">
        <v>137</v>
      </c>
      <c r="H1185" s="11" t="s">
        <v>137</v>
      </c>
      <c r="I1185" s="11" t="s">
        <v>18</v>
      </c>
      <c r="J1185" s="9" t="str">
        <f>IFERROR(__xludf.DUMMYFUNCTION("""COMPUTED_VALUE"""),"https://www.google.com/search?newwindow=1&amp;ei=2MT0XrvGGM-vytMP1OyDgAY&amp;q=site%3Alinkedin.com+Sheena+Wirth,+SHRM-CP+Senior+Campus+Recruiting+Specialist")</f>
        <v>https://www.google.com/search?newwindow=1&amp;ei=2MT0XrvGGM-vytMP1OyDgAY&amp;q=site%3Alinkedin.com+Sheena+Wirth,+SHRM-CP+Senior+Campus+Recruiting+Specialist</v>
      </c>
      <c r="K1185" s="5" t="str">
        <f t="shared" si="1"/>
        <v>Sheena Wirth, SHRM-CP</v>
      </c>
      <c r="L1185" s="5" t="str">
        <f t="shared" si="2"/>
        <v>Senior Campus Recruiting Specialist</v>
      </c>
      <c r="M1185" s="5" t="str">
        <f t="shared" si="3"/>
        <v/>
      </c>
      <c r="N1185" s="5" t="str">
        <f t="shared" si="4"/>
        <v>Deloitte</v>
      </c>
      <c r="O1185" s="5" t="str">
        <f t="shared" si="5"/>
        <v>1 year 5 months in role</v>
      </c>
      <c r="P1185" s="5" t="str">
        <f t="shared" si="6"/>
        <v>Orlando</v>
      </c>
      <c r="Q1185" s="5" t="str">
        <f t="shared" si="7"/>
        <v>Florida</v>
      </c>
      <c r="R1185" s="5" t="str">
        <f t="shared" si="8"/>
        <v>United States</v>
      </c>
    </row>
    <row r="1186">
      <c r="A1186" s="8" t="s">
        <v>7764</v>
      </c>
      <c r="B1186" s="10" t="s">
        <v>7765</v>
      </c>
      <c r="C1186" s="10" t="s">
        <v>4677</v>
      </c>
      <c r="D1186" s="10"/>
      <c r="E1186" s="10" t="s">
        <v>1233</v>
      </c>
      <c r="F1186" s="10" t="s">
        <v>354</v>
      </c>
      <c r="G1186" s="11" t="s">
        <v>137</v>
      </c>
      <c r="H1186" s="11" t="s">
        <v>137</v>
      </c>
      <c r="I1186" s="11" t="s">
        <v>18</v>
      </c>
      <c r="J1186" s="9" t="str">
        <f>IFERROR(__xludf.DUMMYFUNCTION("""COMPUTED_VALUE"""),"https://www.google.com/search?newwindow=1&amp;ei=2MT0XrvGGM-vytMP1OyDgAY&amp;q=site%3Alinkedin.com+Michael+Flores+Senior+Campus+Recruiting+Coordinator")</f>
        <v>https://www.google.com/search?newwindow=1&amp;ei=2MT0XrvGGM-vytMP1OyDgAY&amp;q=site%3Alinkedin.com+Michael+Flores+Senior+Campus+Recruiting+Coordinator</v>
      </c>
      <c r="K1186" s="5" t="str">
        <f t="shared" si="1"/>
        <v>Michael Flores</v>
      </c>
      <c r="L1186" s="5" t="str">
        <f t="shared" si="2"/>
        <v>Senior Campus Recruiting Coordinator</v>
      </c>
      <c r="M1186" s="5" t="str">
        <f t="shared" si="3"/>
        <v/>
      </c>
      <c r="N1186" s="5" t="str">
        <f t="shared" si="4"/>
        <v>Deloitte</v>
      </c>
      <c r="O1186" s="5" t="str">
        <f t="shared" si="5"/>
        <v>1 year 2 months in role and company</v>
      </c>
      <c r="P1186" s="5" t="str">
        <f t="shared" si="6"/>
        <v>Orlando</v>
      </c>
      <c r="Q1186" s="5" t="str">
        <f t="shared" si="7"/>
        <v>Florida</v>
      </c>
      <c r="R1186" s="5" t="str">
        <f t="shared" si="8"/>
        <v>United States</v>
      </c>
    </row>
    <row r="1187">
      <c r="A1187" s="8" t="s">
        <v>7766</v>
      </c>
      <c r="B1187" s="10" t="s">
        <v>4463</v>
      </c>
      <c r="C1187" s="10" t="s">
        <v>861</v>
      </c>
      <c r="D1187" s="10"/>
      <c r="E1187" s="10" t="s">
        <v>4441</v>
      </c>
      <c r="F1187" s="10" t="s">
        <v>697</v>
      </c>
      <c r="G1187" s="11" t="s">
        <v>137</v>
      </c>
      <c r="H1187" s="11" t="s">
        <v>137</v>
      </c>
      <c r="I1187" s="11" t="s">
        <v>18</v>
      </c>
      <c r="J1187" s="9" t="str">
        <f>IFERROR(__xludf.DUMMYFUNCTION("""COMPUTED_VALUE"""),"https://www.google.com/search?newwindow=1&amp;ei=2MT0XrvGGM-vytMP1OyDgAY&amp;q=site%3Alinkedin.com+Jodee-Ann+W.+Campus+Recruiting+supporting+Goldman+Sachs+via+ADP+RPO")</f>
        <v>https://www.google.com/search?newwindow=1&amp;ei=2MT0XrvGGM-vytMP1OyDgAY&amp;q=site%3Alinkedin.com+Jodee-Ann+W.+Campus+Recruiting+supporting+Goldman+Sachs+via+ADP+RPO</v>
      </c>
      <c r="K1187" s="5" t="str">
        <f t="shared" si="1"/>
        <v>Jodee-Ann W.</v>
      </c>
      <c r="L1187" s="5" t="str">
        <f t="shared" si="2"/>
        <v>Campus Recruiting supporting Goldman Sachs via ADP RPO</v>
      </c>
      <c r="M1187" s="5" t="str">
        <f t="shared" si="3"/>
        <v/>
      </c>
      <c r="N1187" s="5" t="str">
        <f t="shared" si="4"/>
        <v>Goldman Sachs</v>
      </c>
      <c r="O1187" s="5" t="str">
        <f t="shared" si="5"/>
        <v>5 months in role</v>
      </c>
      <c r="P1187" s="5" t="str">
        <f t="shared" si="6"/>
        <v>Orlando</v>
      </c>
      <c r="Q1187" s="5" t="str">
        <f t="shared" si="7"/>
        <v>Florida</v>
      </c>
      <c r="R1187" s="5" t="str">
        <f t="shared" si="8"/>
        <v>United States</v>
      </c>
    </row>
    <row r="1188">
      <c r="A1188" s="8" t="s">
        <v>7767</v>
      </c>
      <c r="B1188" s="12" t="s">
        <v>7768</v>
      </c>
      <c r="C1188" s="10" t="s">
        <v>7769</v>
      </c>
      <c r="D1188" s="10"/>
      <c r="E1188" s="10" t="s">
        <v>3389</v>
      </c>
      <c r="F1188" s="10" t="s">
        <v>192</v>
      </c>
      <c r="G1188" s="11" t="s">
        <v>137</v>
      </c>
      <c r="H1188" s="11" t="s">
        <v>137</v>
      </c>
      <c r="I1188" s="11" t="s">
        <v>18</v>
      </c>
      <c r="J1188" s="9" t="str">
        <f>IFERROR(__xludf.DUMMYFUNCTION("""COMPUTED_VALUE"""),"https://www.google.com/search?newwindow=1&amp;ei=2MT0XrvGGM-vytMP1OyDgAY&amp;q=site%3Alinkedin.com+Laura+Fernandez+Campus+Recruiting+Coordinator")</f>
        <v>https://www.google.com/search?newwindow=1&amp;ei=2MT0XrvGGM-vytMP1OyDgAY&amp;q=site%3Alinkedin.com+Laura+Fernandez+Campus+Recruiting+Coordinator</v>
      </c>
      <c r="K1188" s="5" t="str">
        <f t="shared" si="1"/>
        <v>Laura Fernandez</v>
      </c>
      <c r="L1188" s="5" t="str">
        <f t="shared" si="2"/>
        <v>Campus Recruiting Coordinator</v>
      </c>
      <c r="M1188" s="5" t="str">
        <f t="shared" si="3"/>
        <v/>
      </c>
      <c r="N1188" s="5" t="str">
        <f t="shared" si="4"/>
        <v>Goldman Sachs</v>
      </c>
      <c r="O1188" s="5" t="str">
        <f t="shared" si="5"/>
        <v>1 year 8 months in role and company</v>
      </c>
      <c r="P1188" s="5" t="str">
        <f t="shared" si="6"/>
        <v>Orlando</v>
      </c>
      <c r="Q1188" s="5" t="str">
        <f t="shared" si="7"/>
        <v>Florida</v>
      </c>
      <c r="R1188" s="5" t="str">
        <f t="shared" si="8"/>
        <v>United States</v>
      </c>
    </row>
    <row r="1189">
      <c r="A1189" s="8" t="s">
        <v>7770</v>
      </c>
      <c r="B1189" s="10" t="s">
        <v>4465</v>
      </c>
      <c r="C1189" s="10" t="s">
        <v>371</v>
      </c>
      <c r="D1189" s="10"/>
      <c r="E1189" s="10" t="s">
        <v>4441</v>
      </c>
      <c r="F1189" s="10" t="s">
        <v>207</v>
      </c>
      <c r="G1189" s="11" t="s">
        <v>137</v>
      </c>
      <c r="H1189" s="11" t="s">
        <v>137</v>
      </c>
      <c r="I1189" s="11" t="s">
        <v>18</v>
      </c>
      <c r="J1189" s="9" t="str">
        <f>IFERROR(__xludf.DUMMYFUNCTION("""COMPUTED_VALUE"""),"https://www.google.com/search?newwindow=1&amp;ei=2MT0XrvGGM-vytMP1OyDgAY&amp;q=site%3Alinkedin.com+Gracen+Hawco+Assistant+Student+Recruiter")</f>
        <v>https://www.google.com/search?newwindow=1&amp;ei=2MT0XrvGGM-vytMP1OyDgAY&amp;q=site%3Alinkedin.com+Gracen+Hawco+Assistant+Student+Recruiter</v>
      </c>
      <c r="K1189" s="5" t="str">
        <f t="shared" si="1"/>
        <v>Gracen Hawco</v>
      </c>
      <c r="L1189" s="5" t="str">
        <f t="shared" si="2"/>
        <v>Assistant Student Recruiter</v>
      </c>
      <c r="M1189" s="5" t="str">
        <f t="shared" si="3"/>
        <v/>
      </c>
      <c r="N1189" s="5" t="str">
        <f t="shared" si="4"/>
        <v>Ontario</v>
      </c>
      <c r="O1189" s="5" t="str">
        <f t="shared" si="5"/>
        <v>3 months in role and company</v>
      </c>
      <c r="P1189" s="5" t="str">
        <f t="shared" si="6"/>
        <v>Oshawa</v>
      </c>
      <c r="Q1189" s="5" t="str">
        <f t="shared" si="7"/>
        <v>Ontario</v>
      </c>
      <c r="R1189" s="5" t="str">
        <f t="shared" si="8"/>
        <v>Canada</v>
      </c>
    </row>
    <row r="1190">
      <c r="A1190" s="8" t="s">
        <v>7771</v>
      </c>
      <c r="B1190" s="10" t="s">
        <v>7772</v>
      </c>
      <c r="C1190" s="10" t="s">
        <v>7773</v>
      </c>
      <c r="D1190" s="10"/>
      <c r="E1190" s="10" t="s">
        <v>7774</v>
      </c>
      <c r="F1190" s="10" t="s">
        <v>36</v>
      </c>
      <c r="G1190" s="11" t="s">
        <v>137</v>
      </c>
      <c r="H1190" s="11" t="s">
        <v>137</v>
      </c>
      <c r="I1190" s="11" t="s">
        <v>18</v>
      </c>
      <c r="J1190" s="9" t="str">
        <f>IFERROR(__xludf.DUMMYFUNCTION("""COMPUTED_VALUE"""),"https://www.google.com/search?newwindow=1&amp;ei=2MT0XrvGGM-vytMP1OyDgAY&amp;q=site%3Alinkedin.com+Maddie+Nelles+Assistant+Student+Recruiter")</f>
        <v>https://www.google.com/search?newwindow=1&amp;ei=2MT0XrvGGM-vytMP1OyDgAY&amp;q=site%3Alinkedin.com+Maddie+Nelles+Assistant+Student+Recruiter</v>
      </c>
      <c r="K1190" s="5" t="str">
        <f t="shared" si="1"/>
        <v>Maddie Nelles</v>
      </c>
      <c r="L1190" s="5" t="str">
        <f t="shared" si="2"/>
        <v>Assistant Student Recruiter</v>
      </c>
      <c r="M1190" s="5" t="str">
        <f t="shared" si="3"/>
        <v/>
      </c>
      <c r="N1190" s="5" t="str">
        <f t="shared" si="4"/>
        <v>Ontario Tech University</v>
      </c>
      <c r="O1190" s="5" t="str">
        <f t="shared" si="5"/>
        <v>3 months in role and company</v>
      </c>
      <c r="P1190" s="5" t="str">
        <f t="shared" si="6"/>
        <v>Oshawa</v>
      </c>
      <c r="Q1190" s="5" t="str">
        <f t="shared" si="7"/>
        <v>Ontario</v>
      </c>
      <c r="R1190" s="5" t="str">
        <f t="shared" si="8"/>
        <v>Canada</v>
      </c>
    </row>
    <row r="1191">
      <c r="A1191" s="8" t="s">
        <v>7775</v>
      </c>
      <c r="B1191" s="12" t="s">
        <v>3397</v>
      </c>
      <c r="C1191" s="10" t="s">
        <v>3398</v>
      </c>
      <c r="D1191" s="10"/>
      <c r="E1191" s="10" t="s">
        <v>3389</v>
      </c>
      <c r="F1191" s="10" t="s">
        <v>48</v>
      </c>
      <c r="G1191" s="11" t="s">
        <v>137</v>
      </c>
      <c r="H1191" s="11" t="s">
        <v>137</v>
      </c>
      <c r="I1191" s="11" t="s">
        <v>18</v>
      </c>
      <c r="J1191" s="9" t="str">
        <f>IFERROR(__xludf.DUMMYFUNCTION("""COMPUTED_VALUE"""),"https://www.google.com/search?newwindow=1&amp;ei=2MT0XrvGGM-vytMP1OyDgAY&amp;q=site%3Alinkedin.com+Janine+Mutton+Student")</f>
        <v>https://www.google.com/search?newwindow=1&amp;ei=2MT0XrvGGM-vytMP1OyDgAY&amp;q=site%3Alinkedin.com+Janine+Mutton+Student</v>
      </c>
      <c r="K1191" s="5" t="str">
        <f t="shared" si="1"/>
        <v>Janine Mutton</v>
      </c>
      <c r="L1191" s="5" t="str">
        <f t="shared" si="2"/>
        <v>Student</v>
      </c>
      <c r="M1191" s="5" t="str">
        <f t="shared" si="3"/>
        <v/>
      </c>
      <c r="N1191" s="5" t="str">
        <f t="shared" si="4"/>
        <v>triOS College</v>
      </c>
      <c r="O1191" s="5" t="str">
        <f t="shared" si="5"/>
        <v/>
      </c>
      <c r="P1191" s="5" t="str">
        <f t="shared" si="6"/>
        <v>Oshawa</v>
      </c>
      <c r="Q1191" s="5" t="str">
        <f t="shared" si="7"/>
        <v>Ontario</v>
      </c>
      <c r="R1191" s="5" t="str">
        <f t="shared" si="8"/>
        <v>Canada</v>
      </c>
    </row>
    <row r="1192">
      <c r="A1192" s="8" t="s">
        <v>7776</v>
      </c>
      <c r="B1192" s="10" t="s">
        <v>7777</v>
      </c>
      <c r="C1192" s="10" t="s">
        <v>7778</v>
      </c>
      <c r="D1192" s="10"/>
      <c r="E1192" s="10" t="s">
        <v>14</v>
      </c>
      <c r="F1192" s="10" t="s">
        <v>277</v>
      </c>
      <c r="G1192" s="11" t="s">
        <v>137</v>
      </c>
      <c r="H1192" s="11" t="s">
        <v>137</v>
      </c>
      <c r="I1192" s="11" t="s">
        <v>18</v>
      </c>
      <c r="J1192" s="9" t="str">
        <f>IFERROR(__xludf.DUMMYFUNCTION("""COMPUTED_VALUE"""),"https://www.google.com/search?newwindow=1&amp;ei=2MT0XrvGGM-vytMP1OyDgAY&amp;q=site%3Alinkedin.com+Gloria+Annable+PSI+Student+Recruiter,+Eastern+Ontario")</f>
        <v>https://www.google.com/search?newwindow=1&amp;ei=2MT0XrvGGM-vytMP1OyDgAY&amp;q=site%3Alinkedin.com+Gloria+Annable+PSI+Student+Recruiter,+Eastern+Ontario</v>
      </c>
      <c r="K1192" s="5" t="str">
        <f t="shared" si="1"/>
        <v>Gloria Annable</v>
      </c>
      <c r="L1192" s="5" t="str">
        <f t="shared" si="2"/>
        <v>PSI Student Recruiter, Eastern Ontario</v>
      </c>
      <c r="M1192" s="5" t="str">
        <f t="shared" si="3"/>
        <v/>
      </c>
      <c r="N1192" s="5" t="str">
        <f t="shared" si="4"/>
        <v>Chartered Professional Accountants of Ontario (CPA Ontario)</v>
      </c>
      <c r="O1192" s="5" t="str">
        <f t="shared" si="5"/>
        <v>1 year 1 month in role and company</v>
      </c>
      <c r="P1192" s="5" t="str">
        <f t="shared" si="6"/>
        <v>Ottawa</v>
      </c>
      <c r="Q1192" s="5" t="str">
        <f t="shared" si="7"/>
        <v>Ontario</v>
      </c>
      <c r="R1192" s="5" t="str">
        <f t="shared" si="8"/>
        <v>Canada</v>
      </c>
    </row>
    <row r="1193">
      <c r="A1193" s="8" t="s">
        <v>7779</v>
      </c>
      <c r="B1193" s="10" t="s">
        <v>7780</v>
      </c>
      <c r="C1193" s="10" t="s">
        <v>4674</v>
      </c>
      <c r="D1193" s="10"/>
      <c r="E1193" s="10" t="s">
        <v>1233</v>
      </c>
      <c r="F1193" s="10" t="s">
        <v>192</v>
      </c>
      <c r="G1193" s="11" t="s">
        <v>137</v>
      </c>
      <c r="H1193" s="11" t="s">
        <v>137</v>
      </c>
      <c r="I1193" s="11" t="s">
        <v>18</v>
      </c>
      <c r="J1193" s="9" t="str">
        <f>IFERROR(__xludf.DUMMYFUNCTION("""COMPUTED_VALUE"""),"https://www.google.com/search?newwindow=1&amp;ei=2MT0XrvGGM-vytMP1OyDgAY&amp;q=site%3Alinkedin.com+Jody+Hisko+Recruitment+Coordinator,+University+Relations")</f>
        <v>https://www.google.com/search?newwindow=1&amp;ei=2MT0XrvGGM-vytMP1OyDgAY&amp;q=site%3Alinkedin.com+Jody+Hisko+Recruitment+Coordinator,+University+Relations</v>
      </c>
      <c r="K1193" s="5" t="str">
        <f t="shared" si="1"/>
        <v>Jody Hisko</v>
      </c>
      <c r="L1193" s="5" t="str">
        <f t="shared" si="2"/>
        <v>Recruitment Coordinator, University Relations</v>
      </c>
      <c r="M1193" s="5" t="str">
        <f t="shared" si="3"/>
        <v/>
      </c>
      <c r="N1193" s="5" t="str">
        <f t="shared" si="4"/>
        <v>Kinaxis</v>
      </c>
      <c r="O1193" s="5" t="str">
        <f t="shared" si="5"/>
        <v>3 months in role and company</v>
      </c>
      <c r="P1193" s="5" t="str">
        <f t="shared" si="6"/>
        <v>Ottawa</v>
      </c>
      <c r="Q1193" s="5" t="str">
        <f t="shared" si="7"/>
        <v>Ontario</v>
      </c>
      <c r="R1193" s="5" t="str">
        <f t="shared" si="8"/>
        <v>Canada</v>
      </c>
    </row>
    <row r="1194">
      <c r="A1194" s="8" t="s">
        <v>7781</v>
      </c>
      <c r="B1194" s="10" t="s">
        <v>7782</v>
      </c>
      <c r="C1194" s="10" t="s">
        <v>7744</v>
      </c>
      <c r="D1194" s="10"/>
      <c r="E1194" s="10" t="s">
        <v>702</v>
      </c>
      <c r="F1194" s="10" t="s">
        <v>387</v>
      </c>
      <c r="G1194" s="11" t="s">
        <v>137</v>
      </c>
      <c r="H1194" s="11" t="s">
        <v>137</v>
      </c>
      <c r="I1194" s="11" t="s">
        <v>18</v>
      </c>
      <c r="J1194" s="9" t="str">
        <f>IFERROR(__xludf.DUMMYFUNCTION("""COMPUTED_VALUE"""),"https://www.google.com/search?newwindow=1&amp;ei=2MT0XrvGGM-vytMP1OyDgAY&amp;q=site%3Alinkedin.com+Jeffrey+Pessoa+Student+Ambassador")</f>
        <v>https://www.google.com/search?newwindow=1&amp;ei=2MT0XrvGGM-vytMP1OyDgAY&amp;q=site%3Alinkedin.com+Jeffrey+Pessoa+Student+Ambassador</v>
      </c>
      <c r="K1194" s="5" t="str">
        <f t="shared" si="1"/>
        <v>Jeffrey Pessoa</v>
      </c>
      <c r="L1194" s="5" t="str">
        <f t="shared" si="2"/>
        <v>Student Ambassador</v>
      </c>
      <c r="M1194" s="5" t="str">
        <f t="shared" si="3"/>
        <v/>
      </c>
      <c r="N1194" s="5" t="str">
        <f t="shared" si="4"/>
        <v>Algonquin College of Applied Arts and Technology</v>
      </c>
      <c r="O1194" s="5" t="str">
        <f t="shared" si="5"/>
        <v>3 years 1 month in role and company</v>
      </c>
      <c r="P1194" s="5" t="str">
        <f t="shared" si="6"/>
        <v>Ottawa</v>
      </c>
      <c r="Q1194" s="5" t="str">
        <f t="shared" si="7"/>
        <v>Ontario</v>
      </c>
      <c r="R1194" s="5" t="str">
        <f t="shared" si="8"/>
        <v>Canada</v>
      </c>
    </row>
    <row r="1195">
      <c r="A1195" s="8" t="s">
        <v>7783</v>
      </c>
      <c r="B1195" s="10" t="s">
        <v>1107</v>
      </c>
      <c r="C1195" s="10" t="s">
        <v>1108</v>
      </c>
      <c r="D1195" s="10"/>
      <c r="E1195" s="10" t="s">
        <v>1064</v>
      </c>
      <c r="F1195" s="10" t="s">
        <v>512</v>
      </c>
      <c r="G1195" s="11" t="s">
        <v>137</v>
      </c>
      <c r="H1195" s="11" t="s">
        <v>137</v>
      </c>
      <c r="I1195" s="11" t="s">
        <v>18</v>
      </c>
      <c r="J1195" s="9" t="str">
        <f>IFERROR(__xludf.DUMMYFUNCTION("""COMPUTED_VALUE"""),"https://www.google.com/search?newwindow=1&amp;ei=2MT0XrvGGM-vytMP1OyDgAY&amp;q=site%3Alinkedin.com+Stacey+McMillan+Talent+Attraction+Campus+Recruiter")</f>
        <v>https://www.google.com/search?newwindow=1&amp;ei=2MT0XrvGGM-vytMP1OyDgAY&amp;q=site%3Alinkedin.com+Stacey+McMillan+Talent+Attraction+Campus+Recruiter</v>
      </c>
      <c r="K1195" s="5" t="str">
        <f t="shared" si="1"/>
        <v>Stacey McMillan</v>
      </c>
      <c r="L1195" s="5" t="str">
        <f t="shared" si="2"/>
        <v>Talent Attraction Campus Recruiter</v>
      </c>
      <c r="M1195" s="5" t="str">
        <f t="shared" si="3"/>
        <v/>
      </c>
      <c r="N1195" s="5" t="str">
        <f t="shared" si="4"/>
        <v>KPMG Canada</v>
      </c>
      <c r="O1195" s="5" t="str">
        <f t="shared" si="5"/>
        <v>7 years 2 months in role and company</v>
      </c>
      <c r="P1195" s="5" t="str">
        <f t="shared" si="6"/>
        <v>Ottawa</v>
      </c>
      <c r="Q1195" s="5" t="str">
        <f t="shared" si="7"/>
        <v>Ontario</v>
      </c>
      <c r="R1195" s="5" t="str">
        <f t="shared" si="8"/>
        <v>Canada</v>
      </c>
    </row>
    <row r="1196">
      <c r="A1196" s="8" t="s">
        <v>7784</v>
      </c>
      <c r="B1196" s="10" t="s">
        <v>7785</v>
      </c>
      <c r="C1196" s="10" t="s">
        <v>7786</v>
      </c>
      <c r="D1196" s="10"/>
      <c r="E1196" s="10" t="s">
        <v>3389</v>
      </c>
      <c r="F1196" s="10" t="s">
        <v>136</v>
      </c>
      <c r="G1196" s="11" t="s">
        <v>137</v>
      </c>
      <c r="H1196" s="11" t="s">
        <v>137</v>
      </c>
      <c r="I1196" s="11" t="s">
        <v>18</v>
      </c>
      <c r="J1196" s="9" t="str">
        <f>IFERROR(__xludf.DUMMYFUNCTION("""COMPUTED_VALUE"""),"https://www.google.com/search?newwindow=1&amp;ei=2MT0XrvGGM-vytMP1OyDgAY&amp;q=site%3Alinkedin.com+paz+ribeiro+Student+Recruiter")</f>
        <v>https://www.google.com/search?newwindow=1&amp;ei=2MT0XrvGGM-vytMP1OyDgAY&amp;q=site%3Alinkedin.com+paz+ribeiro+Student+Recruiter</v>
      </c>
      <c r="K1196" s="5" t="str">
        <f t="shared" si="1"/>
        <v>paz ribeiro</v>
      </c>
      <c r="L1196" s="5" t="str">
        <f t="shared" si="2"/>
        <v>Student Recruiter</v>
      </c>
      <c r="M1196" s="5" t="str">
        <f t="shared" si="3"/>
        <v/>
      </c>
      <c r="N1196" s="5" t="str">
        <f t="shared" si="4"/>
        <v>Paz Ribeiro-Brazil</v>
      </c>
      <c r="O1196" s="5" t="str">
        <f t="shared" si="5"/>
        <v>1 year 9 months in role and company</v>
      </c>
      <c r="P1196" s="5" t="str">
        <f t="shared" si="6"/>
        <v>Ottawa</v>
      </c>
      <c r="Q1196" s="5" t="str">
        <f t="shared" si="7"/>
        <v>Ontario</v>
      </c>
      <c r="R1196" s="5" t="str">
        <f t="shared" si="8"/>
        <v>Canada</v>
      </c>
    </row>
    <row r="1197">
      <c r="A1197" s="8" t="s">
        <v>7787</v>
      </c>
      <c r="B1197" s="10" t="s">
        <v>7788</v>
      </c>
      <c r="C1197" s="10" t="s">
        <v>1378</v>
      </c>
      <c r="D1197" s="10"/>
      <c r="E1197" s="10" t="s">
        <v>1233</v>
      </c>
      <c r="F1197" s="10" t="s">
        <v>29</v>
      </c>
      <c r="G1197" s="11" t="s">
        <v>137</v>
      </c>
      <c r="H1197" s="11" t="s">
        <v>137</v>
      </c>
      <c r="I1197" s="11" t="s">
        <v>18</v>
      </c>
      <c r="J1197" s="9" t="str">
        <f>IFERROR(__xludf.DUMMYFUNCTION("""COMPUTED_VALUE"""),"https://www.google.com/search?newwindow=1&amp;ei=2MT0XrvGGM-vytMP1OyDgAY&amp;q=site%3Alinkedin.com+Nicole+Kitchen+Undergraduate+Recruitment+Officer")</f>
        <v>https://www.google.com/search?newwindow=1&amp;ei=2MT0XrvGGM-vytMP1OyDgAY&amp;q=site%3Alinkedin.com+Nicole+Kitchen+Undergraduate+Recruitment+Officer</v>
      </c>
      <c r="K1197" s="5" t="str">
        <f t="shared" si="1"/>
        <v>Nicole Kitchen</v>
      </c>
      <c r="L1197" s="5" t="str">
        <f t="shared" si="2"/>
        <v>Undergraduate Recruitment Officer</v>
      </c>
      <c r="M1197" s="5" t="str">
        <f t="shared" si="3"/>
        <v/>
      </c>
      <c r="N1197" s="5" t="str">
        <f t="shared" si="4"/>
        <v>Carleton University</v>
      </c>
      <c r="O1197" s="5" t="str">
        <f t="shared" si="5"/>
        <v>3 months in role</v>
      </c>
      <c r="P1197" s="5" t="str">
        <f t="shared" si="6"/>
        <v>Ottawa</v>
      </c>
      <c r="Q1197" s="5" t="str">
        <f t="shared" si="7"/>
        <v>Ontario</v>
      </c>
      <c r="R1197" s="5" t="str">
        <f t="shared" si="8"/>
        <v>Canada</v>
      </c>
    </row>
    <row r="1198">
      <c r="A1198" s="8" t="s">
        <v>7789</v>
      </c>
      <c r="B1198" s="10" t="s">
        <v>7790</v>
      </c>
      <c r="C1198" s="10" t="s">
        <v>7791</v>
      </c>
      <c r="D1198" s="10"/>
      <c r="E1198" s="10" t="s">
        <v>4701</v>
      </c>
      <c r="F1198" s="10" t="s">
        <v>1846</v>
      </c>
      <c r="G1198" s="11" t="s">
        <v>137</v>
      </c>
      <c r="H1198" s="11" t="s">
        <v>137</v>
      </c>
      <c r="I1198" s="11" t="s">
        <v>18</v>
      </c>
      <c r="J1198" s="9" t="str">
        <f>IFERROR(__xludf.DUMMYFUNCTION("""COMPUTED_VALUE"""),"https://www.google.com/search?newwindow=1&amp;ei=2MT0XrvGGM-vytMP1OyDgAY&amp;q=site%3Alinkedin.com+Moya+Firth+Campus+Resource+-+Campus+Recruiting")</f>
        <v>https://www.google.com/search?newwindow=1&amp;ei=2MT0XrvGGM-vytMP1OyDgAY&amp;q=site%3Alinkedin.com+Moya+Firth+Campus+Resource+-+Campus+Recruiting</v>
      </c>
      <c r="K1198" s="5" t="str">
        <f t="shared" si="1"/>
        <v>Moya Firth</v>
      </c>
      <c r="L1198" s="5" t="str">
        <f t="shared" si="2"/>
        <v>Campus Resource - Campus Recruiting</v>
      </c>
      <c r="M1198" s="5" t="str">
        <f t="shared" si="3"/>
        <v/>
      </c>
      <c r="N1198" s="5" t="str">
        <f t="shared" si="4"/>
        <v>KPMG Canada</v>
      </c>
      <c r="O1198" s="5" t="str">
        <f t="shared" si="5"/>
        <v>13 years 6 months in role</v>
      </c>
      <c r="P1198" s="5" t="str">
        <f t="shared" si="6"/>
        <v>Ottawa</v>
      </c>
      <c r="Q1198" s="5" t="str">
        <f t="shared" si="7"/>
        <v>Ontario</v>
      </c>
      <c r="R1198" s="5" t="str">
        <f t="shared" si="8"/>
        <v>Canada</v>
      </c>
    </row>
    <row r="1199">
      <c r="A1199" s="8" t="s">
        <v>7792</v>
      </c>
      <c r="B1199" s="10" t="s">
        <v>1119</v>
      </c>
      <c r="C1199" s="10" t="s">
        <v>1120</v>
      </c>
      <c r="D1199" s="10"/>
      <c r="E1199" s="10" t="s">
        <v>1064</v>
      </c>
      <c r="F1199" s="10" t="s">
        <v>441</v>
      </c>
      <c r="G1199" s="11" t="s">
        <v>137</v>
      </c>
      <c r="H1199" s="11" t="s">
        <v>137</v>
      </c>
      <c r="I1199" s="11" t="s">
        <v>18</v>
      </c>
      <c r="J1199" s="9" t="str">
        <f>IFERROR(__xludf.DUMMYFUNCTION("""COMPUTED_VALUE"""),"https://www.google.com/search?newwindow=1&amp;ei=2MT0XrvGGM-vytMP1OyDgAY&amp;q=site%3Alinkedin.com+Jean+Mullan+Former+Director+(Retired),+Undergraduate+Recruitment,+Carleton+University")</f>
        <v>https://www.google.com/search?newwindow=1&amp;ei=2MT0XrvGGM-vytMP1OyDgAY&amp;q=site%3Alinkedin.com+Jean+Mullan+Former+Director+(Retired),+Undergraduate+Recruitment,+Carleton+University</v>
      </c>
      <c r="K1199" s="5" t="str">
        <f t="shared" si="1"/>
        <v>Jean Mullan</v>
      </c>
      <c r="L1199" s="5" t="str">
        <f t="shared" si="2"/>
        <v>Former Director (Retired), Undergraduate Recruitment, Carleton University</v>
      </c>
      <c r="M1199" s="5" t="str">
        <f t="shared" si="3"/>
        <v/>
      </c>
      <c r="N1199" s="5" t="str">
        <f t="shared" si="4"/>
        <v>Carleton University</v>
      </c>
      <c r="O1199" s="5" t="str">
        <f t="shared" si="5"/>
        <v>2 years 1 month in role and company</v>
      </c>
      <c r="P1199" s="5" t="str">
        <f t="shared" si="6"/>
        <v>Ottawa</v>
      </c>
      <c r="Q1199" s="5" t="str">
        <f t="shared" si="7"/>
        <v>Ontario</v>
      </c>
      <c r="R1199" s="5" t="str">
        <f t="shared" si="8"/>
        <v>Canada</v>
      </c>
    </row>
    <row r="1200">
      <c r="A1200" s="8" t="s">
        <v>7793</v>
      </c>
      <c r="B1200" s="10" t="s">
        <v>7794</v>
      </c>
      <c r="C1200" s="10" t="s">
        <v>7795</v>
      </c>
      <c r="D1200" s="10"/>
      <c r="E1200" s="10" t="s">
        <v>3389</v>
      </c>
      <c r="F1200" s="10" t="s">
        <v>1089</v>
      </c>
      <c r="G1200" s="11" t="s">
        <v>137</v>
      </c>
      <c r="H1200" s="11" t="s">
        <v>137</v>
      </c>
      <c r="I1200" s="11" t="s">
        <v>18</v>
      </c>
      <c r="J1200" s="9" t="str">
        <f>IFERROR(__xludf.DUMMYFUNCTION("""COMPUTED_VALUE"""),"https://www.google.com/search?newwindow=1&amp;ei=2MT0XrvGGM-vytMP1OyDgAY&amp;q=site%3Alinkedin.com+Lorraine+Anderson+Student+Employment+Programs,+Co-op+and+Career+Services")</f>
        <v>https://www.google.com/search?newwindow=1&amp;ei=2MT0XrvGGM-vytMP1OyDgAY&amp;q=site%3Alinkedin.com+Lorraine+Anderson+Student+Employment+Programs,+Co-op+and+Career+Services</v>
      </c>
      <c r="K1200" s="5" t="str">
        <f t="shared" si="1"/>
        <v>Lorraine Anderson</v>
      </c>
      <c r="L1200" s="5" t="str">
        <f t="shared" si="2"/>
        <v>Student Employment Programs, Co-op and Career Services</v>
      </c>
      <c r="M1200" s="5" t="str">
        <f t="shared" si="3"/>
        <v/>
      </c>
      <c r="N1200" s="5" t="str">
        <f t="shared" si="4"/>
        <v>Carleton University, Co-op and Career Services</v>
      </c>
      <c r="O1200" s="5" t="str">
        <f t="shared" si="5"/>
        <v>7 years 6 months in role</v>
      </c>
      <c r="P1200" s="5" t="str">
        <f t="shared" si="6"/>
        <v>Ottawa</v>
      </c>
      <c r="Q1200" s="5" t="str">
        <f t="shared" si="7"/>
        <v>Ontario</v>
      </c>
      <c r="R1200" s="5" t="str">
        <f t="shared" si="8"/>
        <v>Canada</v>
      </c>
    </row>
    <row r="1201">
      <c r="A1201" s="8" t="s">
        <v>7796</v>
      </c>
      <c r="B1201" s="10" t="s">
        <v>7797</v>
      </c>
      <c r="C1201" s="10" t="s">
        <v>4934</v>
      </c>
      <c r="D1201" s="10"/>
      <c r="E1201" s="10" t="s">
        <v>3389</v>
      </c>
      <c r="F1201" s="10" t="s">
        <v>63</v>
      </c>
      <c r="G1201" s="11" t="s">
        <v>137</v>
      </c>
      <c r="H1201" s="11" t="s">
        <v>137</v>
      </c>
      <c r="I1201" s="11" t="s">
        <v>18</v>
      </c>
      <c r="J1201" s="9" t="str">
        <f>IFERROR(__xludf.DUMMYFUNCTION("""COMPUTED_VALUE"""),"https://www.google.com/search?newwindow=1&amp;ei=2MT0XrvGGM-vytMP1OyDgAY&amp;q=site%3Alinkedin.com+Carmelle+N'Goran+Student,+Resource+Planning+and+Student+Programs")</f>
        <v>https://www.google.com/search?newwindow=1&amp;ei=2MT0XrvGGM-vytMP1OyDgAY&amp;q=site%3Alinkedin.com+Carmelle+N'Goran+Student,+Resource+Planning+and+Student+Programs</v>
      </c>
      <c r="K1201" s="5" t="str">
        <f t="shared" si="1"/>
        <v>Carmelle N'Goran</v>
      </c>
      <c r="L1201" s="5" t="str">
        <f t="shared" si="2"/>
        <v>Student, Resource Planning and Student Programs</v>
      </c>
      <c r="M1201" s="5" t="str">
        <f t="shared" si="3"/>
        <v/>
      </c>
      <c r="N1201" s="5" t="str">
        <f t="shared" si="4"/>
        <v>Office of the Auditor General of Canada / Bureau du vérificateur général du Canada</v>
      </c>
      <c r="O1201" s="5" t="str">
        <f t="shared" si="5"/>
        <v>2 months in role</v>
      </c>
      <c r="P1201" s="5" t="str">
        <f t="shared" si="6"/>
        <v>Ottawa</v>
      </c>
      <c r="Q1201" s="5" t="str">
        <f t="shared" si="7"/>
        <v>Ontario</v>
      </c>
      <c r="R1201" s="5" t="str">
        <f t="shared" si="8"/>
        <v>Canada</v>
      </c>
    </row>
    <row r="1202">
      <c r="A1202" s="8" t="s">
        <v>7798</v>
      </c>
      <c r="B1202" s="12" t="s">
        <v>7799</v>
      </c>
      <c r="C1202" s="10" t="s">
        <v>7800</v>
      </c>
      <c r="D1202" s="10"/>
      <c r="E1202" s="10" t="s">
        <v>4659</v>
      </c>
      <c r="F1202" s="10" t="s">
        <v>84</v>
      </c>
      <c r="G1202" s="11" t="s">
        <v>137</v>
      </c>
      <c r="H1202" s="11" t="s">
        <v>137</v>
      </c>
      <c r="I1202" s="11" t="s">
        <v>18</v>
      </c>
      <c r="J1202" s="9" t="str">
        <f>IFERROR(__xludf.DUMMYFUNCTION("""COMPUTED_VALUE"""),"https://www.google.com/search?newwindow=1&amp;ei=2MT0XrvGGM-vytMP1OyDgAY&amp;q=site%3Alinkedin.com+Amanda+Hodgson+ACT+to+Employ+and+Student+Employment+Programs+Coordinator")</f>
        <v>https://www.google.com/search?newwindow=1&amp;ei=2MT0XrvGGM-vytMP1OyDgAY&amp;q=site%3Alinkedin.com+Amanda+Hodgson+ACT+to+Employ+and+Student+Employment+Programs+Coordinator</v>
      </c>
      <c r="K1202" s="5" t="str">
        <f t="shared" si="1"/>
        <v>Amanda Hodgson</v>
      </c>
      <c r="L1202" s="5" t="str">
        <f t="shared" si="2"/>
        <v>ACT to Employ and Student Employment Programs Coordinator</v>
      </c>
      <c r="M1202" s="5" t="str">
        <f t="shared" si="3"/>
        <v/>
      </c>
      <c r="N1202" s="5" t="str">
        <f t="shared" si="4"/>
        <v>Carleton University</v>
      </c>
      <c r="O1202" s="5" t="str">
        <f t="shared" si="5"/>
        <v>1 year 4 months in role and company</v>
      </c>
      <c r="P1202" s="5" t="str">
        <f t="shared" si="6"/>
        <v>Ottawa</v>
      </c>
      <c r="Q1202" s="5" t="str">
        <f t="shared" si="7"/>
        <v>Ontario</v>
      </c>
      <c r="R1202" s="5" t="str">
        <f t="shared" si="8"/>
        <v>Canada</v>
      </c>
    </row>
    <row r="1203">
      <c r="A1203" s="8" t="s">
        <v>7801</v>
      </c>
      <c r="B1203" s="12" t="s">
        <v>7802</v>
      </c>
      <c r="C1203" s="10" t="s">
        <v>7803</v>
      </c>
      <c r="D1203" s="10"/>
      <c r="E1203" s="10" t="s">
        <v>492</v>
      </c>
      <c r="F1203" s="10" t="s">
        <v>1300</v>
      </c>
      <c r="G1203" s="11" t="s">
        <v>137</v>
      </c>
      <c r="H1203" s="11" t="s">
        <v>137</v>
      </c>
      <c r="I1203" s="11" t="s">
        <v>18</v>
      </c>
      <c r="J1203" s="9" t="str">
        <f>IFERROR(__xludf.DUMMYFUNCTION("""COMPUTED_VALUE"""),"https://www.google.com/search?newwindow=1&amp;ei=2MT0XrvGGM-vytMP1OyDgAY&amp;q=site%3Alinkedin.com+Amanda+Cauchon+Student+-+Human+Resources+(Resource+Planning+and+Student+Programs)")</f>
        <v>https://www.google.com/search?newwindow=1&amp;ei=2MT0XrvGGM-vytMP1OyDgAY&amp;q=site%3Alinkedin.com+Amanda+Cauchon+Student+-+Human+Resources+(Resource+Planning+and+Student+Programs)</v>
      </c>
      <c r="K1203" s="5" t="str">
        <f t="shared" si="1"/>
        <v>Amanda Cauchon</v>
      </c>
      <c r="L1203" s="5" t="str">
        <f t="shared" si="2"/>
        <v>Student - Human Resources (Resource Planning and Student Programs)</v>
      </c>
      <c r="M1203" s="5" t="str">
        <f t="shared" si="3"/>
        <v/>
      </c>
      <c r="N1203" s="5" t="str">
        <f t="shared" si="4"/>
        <v>Office of the Auditor General of Canada / Bureau du vérificateur général du Canada</v>
      </c>
      <c r="O1203" s="5" t="str">
        <f t="shared" si="5"/>
        <v>5 months in role and company</v>
      </c>
      <c r="P1203" s="5" t="str">
        <f t="shared" si="6"/>
        <v>Ottawa</v>
      </c>
      <c r="Q1203" s="5" t="str">
        <f t="shared" si="7"/>
        <v>Ontario</v>
      </c>
      <c r="R1203" s="5" t="str">
        <f t="shared" si="8"/>
        <v>Canada</v>
      </c>
    </row>
    <row r="1204">
      <c r="A1204" s="8" t="s">
        <v>7804</v>
      </c>
      <c r="B1204" s="10" t="s">
        <v>7805</v>
      </c>
      <c r="C1204" s="10" t="s">
        <v>7806</v>
      </c>
      <c r="D1204" s="10"/>
      <c r="E1204" s="10" t="s">
        <v>2297</v>
      </c>
      <c r="F1204" s="10" t="s">
        <v>909</v>
      </c>
      <c r="G1204" s="11" t="s">
        <v>137</v>
      </c>
      <c r="H1204" s="11" t="s">
        <v>137</v>
      </c>
      <c r="I1204" s="11" t="s">
        <v>18</v>
      </c>
      <c r="J1204" s="9" t="str">
        <f>IFERROR(__xludf.DUMMYFUNCTION("""COMPUTED_VALUE"""),"https://www.google.com/search?newwindow=1&amp;ei=2MT0XrvGGM-vytMP1OyDgAY&amp;q=site%3Alinkedin.com+Jason+Wilson+Resource+Planning+&amp;+Student+Programs+Assistant")</f>
        <v>https://www.google.com/search?newwindow=1&amp;ei=2MT0XrvGGM-vytMP1OyDgAY&amp;q=site%3Alinkedin.com+Jason+Wilson+Resource+Planning+&amp;+Student+Programs+Assistant</v>
      </c>
      <c r="K1204" s="5" t="str">
        <f t="shared" si="1"/>
        <v>Jason Wilson</v>
      </c>
      <c r="L1204" s="5" t="str">
        <f t="shared" si="2"/>
        <v>Resource Planning &amp; Student Programs Assistant</v>
      </c>
      <c r="M1204" s="5" t="str">
        <f t="shared" si="3"/>
        <v/>
      </c>
      <c r="N1204" s="5" t="str">
        <f t="shared" si="4"/>
        <v>Office of the Auditor General of Canada / Bureau du vérificateur général du Canada</v>
      </c>
      <c r="O1204" s="5" t="str">
        <f t="shared" si="5"/>
        <v>2 months in role</v>
      </c>
      <c r="P1204" s="5" t="str">
        <f t="shared" si="6"/>
        <v>Ottawa</v>
      </c>
      <c r="Q1204" s="5" t="str">
        <f t="shared" si="7"/>
        <v>Ontario</v>
      </c>
      <c r="R1204" s="5" t="str">
        <f t="shared" si="8"/>
        <v>Canada</v>
      </c>
    </row>
    <row r="1205">
      <c r="A1205" s="8" t="s">
        <v>7807</v>
      </c>
      <c r="B1205" s="12" t="s">
        <v>7808</v>
      </c>
      <c r="C1205" s="10" t="s">
        <v>1378</v>
      </c>
      <c r="D1205" s="10"/>
      <c r="E1205" s="10" t="s">
        <v>1233</v>
      </c>
      <c r="F1205" s="10" t="s">
        <v>144</v>
      </c>
      <c r="G1205" s="11" t="s">
        <v>137</v>
      </c>
      <c r="H1205" s="11" t="s">
        <v>137</v>
      </c>
      <c r="I1205" s="11" t="s">
        <v>18</v>
      </c>
      <c r="J1205" s="9" t="str">
        <f>IFERROR(__xludf.DUMMYFUNCTION("""COMPUTED_VALUE"""),"https://www.google.com/search?newwindow=1&amp;ei=2MT0XrvGGM-vytMP1OyDgAY&amp;q=site%3Alinkedin.com+Sarah+Mather-Sabourin+Manager+of+Student+Employment+Programs+and+Partnership+Development")</f>
        <v>https://www.google.com/search?newwindow=1&amp;ei=2MT0XrvGGM-vytMP1OyDgAY&amp;q=site%3Alinkedin.com+Sarah+Mather-Sabourin+Manager+of+Student+Employment+Programs+and+Partnership+Development</v>
      </c>
      <c r="K1205" s="5" t="str">
        <f t="shared" si="1"/>
        <v>Sarah Mather-Sabourin</v>
      </c>
      <c r="L1205" s="5" t="str">
        <f t="shared" si="2"/>
        <v>Manager of Student Employment Programs and Partnership Development</v>
      </c>
      <c r="M1205" s="5" t="str">
        <f t="shared" si="3"/>
        <v/>
      </c>
      <c r="N1205" s="5" t="str">
        <f t="shared" si="4"/>
        <v>Carleton University</v>
      </c>
      <c r="O1205" s="5" t="str">
        <f t="shared" si="5"/>
        <v>2 years 2 months in role and company</v>
      </c>
      <c r="P1205" s="5" t="str">
        <f t="shared" si="6"/>
        <v>Ottawa</v>
      </c>
      <c r="Q1205" s="5" t="str">
        <f t="shared" si="7"/>
        <v>Ontario</v>
      </c>
      <c r="R1205" s="5" t="str">
        <f t="shared" si="8"/>
        <v>Canada</v>
      </c>
    </row>
    <row r="1206">
      <c r="A1206" s="8" t="s">
        <v>7809</v>
      </c>
      <c r="B1206" s="12" t="s">
        <v>3400</v>
      </c>
      <c r="C1206" s="10" t="s">
        <v>3401</v>
      </c>
      <c r="D1206" s="10"/>
      <c r="E1206" s="10" t="s">
        <v>3389</v>
      </c>
      <c r="F1206" s="10" t="s">
        <v>339</v>
      </c>
      <c r="G1206" s="11" t="s">
        <v>137</v>
      </c>
      <c r="H1206" s="11" t="s">
        <v>137</v>
      </c>
      <c r="I1206" s="11" t="s">
        <v>18</v>
      </c>
      <c r="J1206" s="9" t="str">
        <f>IFERROR(__xludf.DUMMYFUNCTION("""COMPUTED_VALUE"""),"https://www.google.com/search?newwindow=1&amp;ei=2MT0XrvGGM-vytMP1OyDgAY&amp;q=site%3Alinkedin.com+Sally+Zhao+Research+Programs+Student")</f>
        <v>https://www.google.com/search?newwindow=1&amp;ei=2MT0XrvGGM-vytMP1OyDgAY&amp;q=site%3Alinkedin.com+Sally+Zhao+Research+Programs+Student</v>
      </c>
      <c r="K1206" s="5" t="str">
        <f t="shared" si="1"/>
        <v>Sally Zhao</v>
      </c>
      <c r="L1206" s="5" t="str">
        <f t="shared" si="2"/>
        <v>Research Programs Student</v>
      </c>
      <c r="M1206" s="5" t="str">
        <f t="shared" si="3"/>
        <v/>
      </c>
      <c r="N1206" s="5" t="str">
        <f t="shared" si="4"/>
        <v>Canadian Institutes of Health Research | Instituts de recherche en santé du Canada</v>
      </c>
      <c r="O1206" s="5" t="str">
        <f t="shared" si="5"/>
        <v>1 year 5 months in role and company</v>
      </c>
      <c r="P1206" s="5" t="str">
        <f t="shared" si="6"/>
        <v>Ottawa</v>
      </c>
      <c r="Q1206" s="5" t="str">
        <f t="shared" si="7"/>
        <v>Ontario</v>
      </c>
      <c r="R1206" s="5" t="str">
        <f t="shared" si="8"/>
        <v>Canada</v>
      </c>
    </row>
    <row r="1207">
      <c r="A1207" s="8" t="s">
        <v>7810</v>
      </c>
      <c r="B1207" s="10" t="s">
        <v>7811</v>
      </c>
      <c r="C1207" s="10" t="s">
        <v>7812</v>
      </c>
      <c r="D1207" s="10"/>
      <c r="E1207" s="10" t="s">
        <v>702</v>
      </c>
      <c r="F1207" s="10" t="s">
        <v>1300</v>
      </c>
      <c r="G1207" s="11" t="s">
        <v>137</v>
      </c>
      <c r="H1207" s="11" t="s">
        <v>137</v>
      </c>
      <c r="I1207" s="11" t="s">
        <v>18</v>
      </c>
      <c r="J1207" s="9" t="str">
        <f>IFERROR(__xludf.DUMMYFUNCTION("""COMPUTED_VALUE"""),"https://www.google.com/search?newwindow=1&amp;ei=2MT0XrvGGM-vytMP1OyDgAY&amp;q=site%3Alinkedin.com+Adedoyin+Kolade+International+Internship+and+Student+Employment+Programs+Assistant")</f>
        <v>https://www.google.com/search?newwindow=1&amp;ei=2MT0XrvGGM-vytMP1OyDgAY&amp;q=site%3Alinkedin.com+Adedoyin+Kolade+International+Internship+and+Student+Employment+Programs+Assistant</v>
      </c>
      <c r="K1207" s="5" t="str">
        <f t="shared" si="1"/>
        <v>Adedoyin Kolade</v>
      </c>
      <c r="L1207" s="5" t="str">
        <f t="shared" si="2"/>
        <v>International Internship and Student Employment Programs Assistant</v>
      </c>
      <c r="M1207" s="5" t="str">
        <f t="shared" si="3"/>
        <v/>
      </c>
      <c r="N1207" s="5" t="str">
        <f t="shared" si="4"/>
        <v>Carleton University</v>
      </c>
      <c r="O1207" s="5" t="str">
        <f t="shared" si="5"/>
        <v>1 year 3 months in role and company</v>
      </c>
      <c r="P1207" s="5" t="str">
        <f t="shared" si="6"/>
        <v>Ottawa</v>
      </c>
      <c r="Q1207" s="5" t="str">
        <f t="shared" si="7"/>
        <v>Ontario</v>
      </c>
      <c r="R1207" s="5" t="str">
        <f t="shared" si="8"/>
        <v>Canada</v>
      </c>
    </row>
    <row r="1208">
      <c r="A1208" s="8" t="s">
        <v>7813</v>
      </c>
      <c r="B1208" s="10" t="s">
        <v>7814</v>
      </c>
      <c r="C1208" s="10" t="s">
        <v>2871</v>
      </c>
      <c r="D1208" s="10"/>
      <c r="E1208" s="10" t="s">
        <v>4659</v>
      </c>
      <c r="F1208" s="10" t="s">
        <v>48</v>
      </c>
      <c r="G1208" s="11" t="s">
        <v>137</v>
      </c>
      <c r="H1208" s="11" t="s">
        <v>137</v>
      </c>
      <c r="I1208" s="11" t="s">
        <v>18</v>
      </c>
      <c r="J1208" s="9" t="str">
        <f>IFERROR(__xludf.DUMMYFUNCTION("""COMPUTED_VALUE"""),"https://www.google.com/search?newwindow=1&amp;ei=2MT0XrvGGM-vytMP1OyDgAY&amp;q=site%3Alinkedin.com+Loriann+Joseph+Talent+Coordinator,+Associate+and+Student+Programs")</f>
        <v>https://www.google.com/search?newwindow=1&amp;ei=2MT0XrvGGM-vytMP1OyDgAY&amp;q=site%3Alinkedin.com+Loriann+Joseph+Talent+Coordinator,+Associate+and+Student+Programs</v>
      </c>
      <c r="K1208" s="5" t="str">
        <f t="shared" si="1"/>
        <v>Loriann Joseph</v>
      </c>
      <c r="L1208" s="5" t="str">
        <f t="shared" si="2"/>
        <v>Talent Coordinator, Associate and Student Programs</v>
      </c>
      <c r="M1208" s="5" t="str">
        <f t="shared" si="3"/>
        <v/>
      </c>
      <c r="N1208" s="5" t="str">
        <f t="shared" si="4"/>
        <v>Dentons</v>
      </c>
      <c r="O1208" s="5" t="str">
        <f t="shared" si="5"/>
        <v>4 years 2 months in role</v>
      </c>
      <c r="P1208" s="5" t="str">
        <f t="shared" si="6"/>
        <v>Ottawa</v>
      </c>
      <c r="Q1208" s="5" t="str">
        <f t="shared" si="7"/>
        <v>Ontario</v>
      </c>
      <c r="R1208" s="5" t="str">
        <f t="shared" si="8"/>
        <v>Canada</v>
      </c>
    </row>
    <row r="1209">
      <c r="A1209" s="8" t="s">
        <v>7815</v>
      </c>
      <c r="B1209" s="10" t="s">
        <v>7816</v>
      </c>
      <c r="C1209" s="10" t="s">
        <v>7744</v>
      </c>
      <c r="D1209" s="10"/>
      <c r="E1209" s="10" t="s">
        <v>702</v>
      </c>
      <c r="F1209" s="10" t="s">
        <v>441</v>
      </c>
      <c r="G1209" s="11" t="s">
        <v>137</v>
      </c>
      <c r="H1209" s="11" t="s">
        <v>137</v>
      </c>
      <c r="I1209" s="11" t="s">
        <v>18</v>
      </c>
      <c r="J1209" s="9" t="str">
        <f>IFERROR(__xludf.DUMMYFUNCTION("""COMPUTED_VALUE"""),"https://www.google.com/search?newwindow=1&amp;ei=2MT0XrvGGM-vytMP1OyDgAY&amp;q=site%3Alinkedin.com+Grace+Haime+New+Student+Programs+and+Activities+Coordinator,+Student+Experience+Office")</f>
        <v>https://www.google.com/search?newwindow=1&amp;ei=2MT0XrvGGM-vytMP1OyDgAY&amp;q=site%3Alinkedin.com+Grace+Haime+New+Student+Programs+and+Activities+Coordinator,+Student+Experience+Office</v>
      </c>
      <c r="K1209" s="5" t="str">
        <f t="shared" si="1"/>
        <v>Grace Haime</v>
      </c>
      <c r="L1209" s="5" t="str">
        <f t="shared" si="2"/>
        <v>New Student Programs and Activities Coordinator, Student Experience Office</v>
      </c>
      <c r="M1209" s="5" t="str">
        <f t="shared" si="3"/>
        <v/>
      </c>
      <c r="N1209" s="5" t="str">
        <f t="shared" si="4"/>
        <v>Carleton University</v>
      </c>
      <c r="O1209" s="5" t="str">
        <f t="shared" si="5"/>
        <v>2 years 3 months in role</v>
      </c>
      <c r="P1209" s="5" t="str">
        <f t="shared" si="6"/>
        <v>Ottawa</v>
      </c>
      <c r="Q1209" s="5" t="str">
        <f t="shared" si="7"/>
        <v>Ontario</v>
      </c>
      <c r="R1209" s="5" t="str">
        <f t="shared" si="8"/>
        <v>Canada</v>
      </c>
    </row>
    <row r="1210">
      <c r="A1210" s="8" t="s">
        <v>7817</v>
      </c>
      <c r="B1210" s="10" t="s">
        <v>7818</v>
      </c>
      <c r="C1210" s="10" t="s">
        <v>7819</v>
      </c>
      <c r="D1210" s="10"/>
      <c r="E1210" s="10" t="s">
        <v>4701</v>
      </c>
      <c r="F1210" s="10" t="s">
        <v>106</v>
      </c>
      <c r="G1210" s="11" t="s">
        <v>137</v>
      </c>
      <c r="H1210" s="11" t="s">
        <v>137</v>
      </c>
      <c r="I1210" s="11" t="s">
        <v>18</v>
      </c>
      <c r="J1210" s="9" t="str">
        <f>IFERROR(__xludf.DUMMYFUNCTION("""COMPUTED_VALUE"""),"https://www.google.com/search?newwindow=1&amp;ei=2MT0XrvGGM-vytMP1OyDgAY&amp;q=site%3Alinkedin.com+Lucas+Gergyek+Graduate+Teaching+Assistant")</f>
        <v>https://www.google.com/search?newwindow=1&amp;ei=2MT0XrvGGM-vytMP1OyDgAY&amp;q=site%3Alinkedin.com+Lucas+Gergyek+Graduate+Teaching+Assistant</v>
      </c>
      <c r="K1210" s="5" t="str">
        <f t="shared" si="1"/>
        <v>Lucas Gergyek</v>
      </c>
      <c r="L1210" s="5" t="str">
        <f t="shared" si="2"/>
        <v>Graduate Teaching Assistant</v>
      </c>
      <c r="M1210" s="5" t="str">
        <f t="shared" si="3"/>
        <v/>
      </c>
      <c r="N1210" s="5" t="str">
        <f t="shared" si="4"/>
        <v>Wilfrid Laurier University</v>
      </c>
      <c r="O1210" s="5" t="str">
        <f t="shared" si="5"/>
        <v>2 months in role and company</v>
      </c>
      <c r="P1210" s="5" t="str">
        <f t="shared" si="6"/>
        <v>Ottawa</v>
      </c>
      <c r="Q1210" s="5" t="str">
        <f t="shared" si="7"/>
        <v>Ontario</v>
      </c>
      <c r="R1210" s="5" t="str">
        <f t="shared" si="8"/>
        <v>Canada</v>
      </c>
    </row>
    <row r="1211">
      <c r="A1211" s="8" t="s">
        <v>7820</v>
      </c>
      <c r="B1211" s="12" t="s">
        <v>1081</v>
      </c>
      <c r="C1211" s="10" t="s">
        <v>1082</v>
      </c>
      <c r="D1211" s="10"/>
      <c r="E1211" s="10" t="s">
        <v>1064</v>
      </c>
      <c r="F1211" s="10" t="s">
        <v>42</v>
      </c>
      <c r="G1211" s="11" t="s">
        <v>137</v>
      </c>
      <c r="H1211" s="11" t="s">
        <v>137</v>
      </c>
      <c r="I1211" s="11" t="s">
        <v>18</v>
      </c>
      <c r="J1211" s="9" t="str">
        <f>IFERROR(__xludf.DUMMYFUNCTION("""COMPUTED_VALUE"""),"https://www.google.com/search?newwindow=1&amp;ei=2MT0XrvGGM-vytMP1OyDgAY&amp;q=site%3Alinkedin.com+Malek+Hajri+Program+Officer,+Student+Refugee+Program+-+Overseas+Programming")</f>
        <v>https://www.google.com/search?newwindow=1&amp;ei=2MT0XrvGGM-vytMP1OyDgAY&amp;q=site%3Alinkedin.com+Malek+Hajri+Program+Officer,+Student+Refugee+Program+-+Overseas+Programming</v>
      </c>
      <c r="K1211" s="5" t="str">
        <f t="shared" si="1"/>
        <v>Malek Hajri</v>
      </c>
      <c r="L1211" s="5" t="str">
        <f t="shared" si="2"/>
        <v>Program Officer, Student Refugee Program - Overseas Programming</v>
      </c>
      <c r="M1211" s="5" t="str">
        <f t="shared" si="3"/>
        <v/>
      </c>
      <c r="N1211" s="5" t="str">
        <f t="shared" si="4"/>
        <v>World University Service of Canada (WUSC - EUMC)</v>
      </c>
      <c r="O1211" s="5" t="str">
        <f t="shared" si="5"/>
        <v>2 years 1 month in role</v>
      </c>
      <c r="P1211" s="5" t="str">
        <f t="shared" si="6"/>
        <v>Ottawa</v>
      </c>
      <c r="Q1211" s="5" t="str">
        <f t="shared" si="7"/>
        <v>Ontario</v>
      </c>
      <c r="R1211" s="5" t="str">
        <f t="shared" si="8"/>
        <v>Canada</v>
      </c>
    </row>
    <row r="1212">
      <c r="A1212" s="8" t="s">
        <v>7821</v>
      </c>
      <c r="B1212" s="10" t="s">
        <v>7822</v>
      </c>
      <c r="C1212" s="10" t="s">
        <v>7823</v>
      </c>
      <c r="D1212" s="10"/>
      <c r="E1212" s="10" t="s">
        <v>3389</v>
      </c>
      <c r="F1212" s="10" t="s">
        <v>512</v>
      </c>
      <c r="G1212" s="11" t="s">
        <v>137</v>
      </c>
      <c r="H1212" s="11" t="s">
        <v>137</v>
      </c>
      <c r="I1212" s="11" t="s">
        <v>18</v>
      </c>
      <c r="J1212" s="9" t="str">
        <f>IFERROR(__xludf.DUMMYFUNCTION("""COMPUTED_VALUE"""),"https://www.google.com/search?newwindow=1&amp;ei=2MT0XrvGGM-vytMP1OyDgAY&amp;q=site%3Alinkedin.com+Emeline+Auguste+Administrative+Assistant+-+Diversity,+Equity+and+Community+Programs")</f>
        <v>https://www.google.com/search?newwindow=1&amp;ei=2MT0XrvGGM-vytMP1OyDgAY&amp;q=site%3Alinkedin.com+Emeline+Auguste+Administrative+Assistant+-+Diversity,+Equity+and+Community+Programs</v>
      </c>
      <c r="K1212" s="5" t="str">
        <f t="shared" si="1"/>
        <v>Emeline Auguste</v>
      </c>
      <c r="L1212" s="5" t="str">
        <f t="shared" si="2"/>
        <v>Administrative Assistant - Diversity, Equity and Community Programs</v>
      </c>
      <c r="M1212" s="5" t="str">
        <f t="shared" si="3"/>
        <v/>
      </c>
      <c r="N1212" s="5" t="str">
        <f t="shared" si="4"/>
        <v>Carleton University</v>
      </c>
      <c r="O1212" s="5" t="str">
        <f t="shared" si="5"/>
        <v>2 months in role and company</v>
      </c>
      <c r="P1212" s="5" t="str">
        <f t="shared" si="6"/>
        <v>Ottawa</v>
      </c>
      <c r="Q1212" s="5" t="str">
        <f t="shared" si="7"/>
        <v>Ontario</v>
      </c>
      <c r="R1212" s="5" t="str">
        <f t="shared" si="8"/>
        <v>Canada</v>
      </c>
    </row>
    <row r="1213">
      <c r="A1213" s="8" t="s">
        <v>7824</v>
      </c>
      <c r="B1213" s="10" t="s">
        <v>7825</v>
      </c>
      <c r="C1213" s="10" t="s">
        <v>4749</v>
      </c>
      <c r="D1213" s="10"/>
      <c r="E1213" s="10" t="s">
        <v>2297</v>
      </c>
      <c r="F1213" s="10" t="s">
        <v>339</v>
      </c>
      <c r="G1213" s="11" t="s">
        <v>137</v>
      </c>
      <c r="H1213" s="11" t="s">
        <v>137</v>
      </c>
      <c r="I1213" s="11" t="s">
        <v>18</v>
      </c>
      <c r="J1213" s="9" t="str">
        <f>IFERROR(__xludf.DUMMYFUNCTION("""COMPUTED_VALUE"""),"https://www.google.com/search?newwindow=1&amp;ei=2MT0XrvGGM-vytMP1OyDgAY&amp;q=site%3Alinkedin.com+Fiona+Wright+Student+and+Public+Programs+Coordinator")</f>
        <v>https://www.google.com/search?newwindow=1&amp;ei=2MT0XrvGGM-vytMP1OyDgAY&amp;q=site%3Alinkedin.com+Fiona+Wright+Student+and+Public+Programs+Coordinator</v>
      </c>
      <c r="K1213" s="5" t="str">
        <f t="shared" si="1"/>
        <v>Fiona Wright</v>
      </c>
      <c r="L1213" s="5" t="str">
        <f t="shared" si="2"/>
        <v>Student and Public Programs Coordinator</v>
      </c>
      <c r="M1213" s="5" t="str">
        <f t="shared" si="3"/>
        <v/>
      </c>
      <c r="N1213" s="5" t="str">
        <f t="shared" si="4"/>
        <v>Carleton University Art Gallery</v>
      </c>
      <c r="O1213" s="5" t="str">
        <f t="shared" si="5"/>
        <v>3 years 2 months in role and company</v>
      </c>
      <c r="P1213" s="5" t="str">
        <f t="shared" si="6"/>
        <v>Ottawa</v>
      </c>
      <c r="Q1213" s="5" t="str">
        <f t="shared" si="7"/>
        <v>Ontario</v>
      </c>
      <c r="R1213" s="5" t="str">
        <f t="shared" si="8"/>
        <v>Canada</v>
      </c>
    </row>
    <row r="1214">
      <c r="A1214" s="8" t="s">
        <v>7826</v>
      </c>
      <c r="B1214" s="10" t="s">
        <v>7827</v>
      </c>
      <c r="C1214" s="10" t="s">
        <v>7828</v>
      </c>
      <c r="D1214" s="10"/>
      <c r="E1214" s="10" t="s">
        <v>2297</v>
      </c>
      <c r="F1214" s="10" t="s">
        <v>500</v>
      </c>
      <c r="G1214" s="11" t="s">
        <v>137</v>
      </c>
      <c r="H1214" s="11" t="s">
        <v>137</v>
      </c>
      <c r="I1214" s="11" t="s">
        <v>18</v>
      </c>
      <c r="J1214" s="9" t="str">
        <f>IFERROR(__xludf.DUMMYFUNCTION("""COMPUTED_VALUE"""),"https://www.google.com/search?newwindow=1&amp;ei=2MT0XrvGGM-vytMP1OyDgAY&amp;q=site%3Alinkedin.com+Kira+Geisterfer-Black+Student+Employment+Programs+Assistant")</f>
        <v>https://www.google.com/search?newwindow=1&amp;ei=2MT0XrvGGM-vytMP1OyDgAY&amp;q=site%3Alinkedin.com+Kira+Geisterfer-Black+Student+Employment+Programs+Assistant</v>
      </c>
      <c r="K1214" s="5" t="str">
        <f t="shared" si="1"/>
        <v>Kira Geisterfer-Black</v>
      </c>
      <c r="L1214" s="5" t="str">
        <f t="shared" si="2"/>
        <v>Student Employment Programs Assistant</v>
      </c>
      <c r="M1214" s="5" t="str">
        <f t="shared" si="3"/>
        <v/>
      </c>
      <c r="N1214" s="5" t="str">
        <f t="shared" si="4"/>
        <v>Carleton University, Co-op and Career Services</v>
      </c>
      <c r="O1214" s="5" t="str">
        <f t="shared" si="5"/>
        <v>2 months in role</v>
      </c>
      <c r="P1214" s="5" t="str">
        <f t="shared" si="6"/>
        <v>Ottawa</v>
      </c>
      <c r="Q1214" s="5" t="str">
        <f t="shared" si="7"/>
        <v>Ontario</v>
      </c>
      <c r="R1214" s="5" t="str">
        <f t="shared" si="8"/>
        <v>Canada</v>
      </c>
    </row>
    <row r="1215">
      <c r="A1215" s="8" t="s">
        <v>7829</v>
      </c>
      <c r="B1215" s="10" t="s">
        <v>7830</v>
      </c>
      <c r="C1215" s="10" t="s">
        <v>4749</v>
      </c>
      <c r="D1215" s="10"/>
      <c r="E1215" s="10" t="s">
        <v>4701</v>
      </c>
      <c r="F1215" s="10" t="s">
        <v>79</v>
      </c>
      <c r="G1215" s="11" t="s">
        <v>137</v>
      </c>
      <c r="H1215" s="11" t="s">
        <v>137</v>
      </c>
      <c r="I1215" s="11" t="s">
        <v>18</v>
      </c>
      <c r="J1215" s="9" t="str">
        <f>IFERROR(__xludf.DUMMYFUNCTION("""COMPUTED_VALUE"""),"https://www.google.com/search?newwindow=1&amp;ei=2MT0XrvGGM-vytMP1OyDgAY&amp;q=site%3Alinkedin.com+Karina+Wang+Undergraduate+Research+Assistant+-+Brown+Sports+Injury+Lab")</f>
        <v>https://www.google.com/search?newwindow=1&amp;ei=2MT0XrvGGM-vytMP1OyDgAY&amp;q=site%3Alinkedin.com+Karina+Wang+Undergraduate+Research+Assistant+-+Brown+Sports+Injury+Lab</v>
      </c>
      <c r="K1215" s="5" t="str">
        <f t="shared" si="1"/>
        <v>Karina Wang</v>
      </c>
      <c r="L1215" s="5" t="str">
        <f t="shared" si="2"/>
        <v>Undergraduate Research Assistant - Brown Sports Injury Lab</v>
      </c>
      <c r="M1215" s="5" t="str">
        <f t="shared" si="3"/>
        <v/>
      </c>
      <c r="N1215" s="5" t="str">
        <f t="shared" si="4"/>
        <v>University Orthopedics</v>
      </c>
      <c r="O1215" s="5" t="str">
        <f t="shared" si="5"/>
        <v>1 year 2 months in role and company</v>
      </c>
      <c r="P1215" s="5" t="str">
        <f t="shared" si="6"/>
        <v>Ottawa</v>
      </c>
      <c r="Q1215" s="5" t="str">
        <f t="shared" si="7"/>
        <v>Ontario</v>
      </c>
      <c r="R1215" s="5" t="str">
        <f t="shared" si="8"/>
        <v>Canada</v>
      </c>
    </row>
    <row r="1216">
      <c r="A1216" s="8" t="s">
        <v>7831</v>
      </c>
      <c r="B1216" s="12" t="s">
        <v>7832</v>
      </c>
      <c r="C1216" s="10" t="s">
        <v>4749</v>
      </c>
      <c r="D1216" s="10"/>
      <c r="E1216" s="10" t="s">
        <v>4701</v>
      </c>
      <c r="F1216" s="10" t="s">
        <v>29</v>
      </c>
      <c r="G1216" s="11" t="s">
        <v>137</v>
      </c>
      <c r="H1216" s="11" t="s">
        <v>137</v>
      </c>
      <c r="I1216" s="11" t="s">
        <v>18</v>
      </c>
      <c r="J1216" s="9" t="str">
        <f>IFERROR(__xludf.DUMMYFUNCTION("""COMPUTED_VALUE"""),"https://www.google.com/search?newwindow=1&amp;ei=2MT0XrvGGM-vytMP1OyDgAY&amp;q=site%3Alinkedin.com+Dominique+Romain+Student+Environmental+Programs/Compliance+Officer")</f>
        <v>https://www.google.com/search?newwindow=1&amp;ei=2MT0XrvGGM-vytMP1OyDgAY&amp;q=site%3Alinkedin.com+Dominique+Romain+Student+Environmental+Programs/Compliance+Officer</v>
      </c>
      <c r="K1216" s="5" t="str">
        <f t="shared" si="1"/>
        <v>Dominique Romain</v>
      </c>
      <c r="L1216" s="5" t="str">
        <f t="shared" si="2"/>
        <v>Student Environmental Programs/Compliance Officer</v>
      </c>
      <c r="M1216" s="5" t="str">
        <f t="shared" si="3"/>
        <v/>
      </c>
      <c r="N1216" s="5" t="str">
        <f t="shared" si="4"/>
        <v>Environment and Climate Change Canada</v>
      </c>
      <c r="O1216" s="5" t="str">
        <f t="shared" si="5"/>
        <v>6 months in role and company</v>
      </c>
      <c r="P1216" s="5" t="str">
        <f t="shared" si="6"/>
        <v>Ottawa</v>
      </c>
      <c r="Q1216" s="5" t="str">
        <f t="shared" si="7"/>
        <v>Ontario</v>
      </c>
      <c r="R1216" s="5" t="str">
        <f t="shared" si="8"/>
        <v>Canada</v>
      </c>
    </row>
    <row r="1217">
      <c r="A1217" s="8" t="s">
        <v>7833</v>
      </c>
      <c r="B1217" s="10" t="s">
        <v>3403</v>
      </c>
      <c r="C1217" s="10" t="s">
        <v>3404</v>
      </c>
      <c r="D1217" s="14" t="s">
        <v>4</v>
      </c>
      <c r="E1217" s="10" t="s">
        <v>3389</v>
      </c>
      <c r="F1217" s="10" t="s">
        <v>182</v>
      </c>
      <c r="G1217" s="11" t="s">
        <v>137</v>
      </c>
      <c r="H1217" s="11" t="s">
        <v>137</v>
      </c>
      <c r="I1217" s="11" t="s">
        <v>18</v>
      </c>
      <c r="J1217" s="9" t="str">
        <f>IFERROR(__xludf.DUMMYFUNCTION("""COMPUTED_VALUE"""),"https://www.google.com/search?newwindow=1&amp;ei=2MT0XrvGGM-vytMP1OyDgAY&amp;q=site%3Alinkedin.com+Niamh+O'Shea+Intercultural+Programs+Coordinator,+International+Student+Services+Office")</f>
        <v>https://www.google.com/search?newwindow=1&amp;ei=2MT0XrvGGM-vytMP1OyDgAY&amp;q=site%3Alinkedin.com+Niamh+O'Shea+Intercultural+Programs+Coordinator,+International+Student+Services+Office</v>
      </c>
      <c r="K1217" s="5" t="str">
        <f t="shared" si="1"/>
        <v>Niamh O'Shea</v>
      </c>
      <c r="L1217" s="5" t="str">
        <f t="shared" si="2"/>
        <v>Intercultural Programs Coordinator, International Student Services Office</v>
      </c>
      <c r="M1217" s="5" t="str">
        <f t="shared" si="3"/>
        <v/>
      </c>
      <c r="N1217" s="5" t="str">
        <f t="shared" si="4"/>
        <v>Carleton University</v>
      </c>
      <c r="O1217" s="5" t="str">
        <f t="shared" si="5"/>
        <v>1 year  in role</v>
      </c>
      <c r="P1217" s="5" t="str">
        <f t="shared" si="6"/>
        <v>Ottawa</v>
      </c>
      <c r="Q1217" s="5" t="str">
        <f t="shared" si="7"/>
        <v>Ontario</v>
      </c>
      <c r="R1217" s="5" t="str">
        <f t="shared" si="8"/>
        <v>Canada</v>
      </c>
    </row>
    <row r="1218">
      <c r="A1218" s="8" t="s">
        <v>7834</v>
      </c>
      <c r="B1218" s="10" t="s">
        <v>7835</v>
      </c>
      <c r="C1218" s="10" t="s">
        <v>7836</v>
      </c>
      <c r="D1218" s="10"/>
      <c r="E1218" s="10" t="s">
        <v>4659</v>
      </c>
      <c r="F1218" s="10" t="s">
        <v>2265</v>
      </c>
      <c r="G1218" s="11" t="s">
        <v>137</v>
      </c>
      <c r="H1218" s="11" t="s">
        <v>137</v>
      </c>
      <c r="I1218" s="11" t="s">
        <v>18</v>
      </c>
      <c r="J1218" s="9" t="str">
        <f>IFERROR(__xludf.DUMMYFUNCTION("""COMPUTED_VALUE"""),"https://www.google.com/search?newwindow=1&amp;ei=2MT0XrvGGM-vytMP1OyDgAY&amp;q=site%3Alinkedin.com+Jennifer+Hum+Student+Programs+Coordinator")</f>
        <v>https://www.google.com/search?newwindow=1&amp;ei=2MT0XrvGGM-vytMP1OyDgAY&amp;q=site%3Alinkedin.com+Jennifer+Hum+Student+Programs+Coordinator</v>
      </c>
      <c r="K1218" s="5" t="str">
        <f t="shared" si="1"/>
        <v>Jennifer Hum</v>
      </c>
      <c r="L1218" s="5" t="str">
        <f t="shared" si="2"/>
        <v>Student Programs Coordinator</v>
      </c>
      <c r="M1218" s="5" t="str">
        <f t="shared" si="3"/>
        <v/>
      </c>
      <c r="N1218" s="5" t="str">
        <f t="shared" si="4"/>
        <v>Office of the Auditor General of Canada / Bureau du vérificateur général du Canada</v>
      </c>
      <c r="O1218" s="5" t="str">
        <f t="shared" si="5"/>
        <v>2 years 10 months in role</v>
      </c>
      <c r="P1218" s="5" t="str">
        <f t="shared" si="6"/>
        <v>Ottawa</v>
      </c>
      <c r="Q1218" s="5" t="str">
        <f t="shared" si="7"/>
        <v>Ontario</v>
      </c>
      <c r="R1218" s="5" t="str">
        <f t="shared" si="8"/>
        <v>Canada</v>
      </c>
    </row>
    <row r="1219">
      <c r="A1219" s="8" t="s">
        <v>7837</v>
      </c>
      <c r="B1219" s="10" t="s">
        <v>2710</v>
      </c>
      <c r="C1219" s="10" t="s">
        <v>371</v>
      </c>
      <c r="D1219" s="10"/>
      <c r="E1219" s="10" t="s">
        <v>4611</v>
      </c>
      <c r="F1219" s="10" t="s">
        <v>455</v>
      </c>
      <c r="G1219" s="11" t="s">
        <v>137</v>
      </c>
      <c r="H1219" s="11" t="s">
        <v>137</v>
      </c>
      <c r="I1219" s="11" t="s">
        <v>18</v>
      </c>
      <c r="J1219" s="9" t="str">
        <f>IFERROR(__xludf.DUMMYFUNCTION("""COMPUTED_VALUE"""),"https://www.google.com/search?newwindow=1&amp;ei=2MT0XrvGGM-vytMP1OyDgAY&amp;q=site%3Alinkedin.com+Jasmine+Iyengar+Student+-+HR+Planning,+Programs+and+Reporting")</f>
        <v>https://www.google.com/search?newwindow=1&amp;ei=2MT0XrvGGM-vytMP1OyDgAY&amp;q=site%3Alinkedin.com+Jasmine+Iyengar+Student+-+HR+Planning,+Programs+and+Reporting</v>
      </c>
      <c r="K1219" s="5" t="str">
        <f t="shared" si="1"/>
        <v>Jasmine Iyengar</v>
      </c>
      <c r="L1219" s="5" t="str">
        <f t="shared" si="2"/>
        <v>Student - HR Planning, Programs and Reporting</v>
      </c>
      <c r="M1219" s="5" t="str">
        <f t="shared" si="3"/>
        <v/>
      </c>
      <c r="N1219" s="5" t="str">
        <f t="shared" si="4"/>
        <v>Office of the Auditor General of Canada / Bureau du vérificateur général du Canada</v>
      </c>
      <c r="O1219" s="5" t="str">
        <f t="shared" si="5"/>
        <v>1 year 6 months in role and company</v>
      </c>
      <c r="P1219" s="5" t="str">
        <f t="shared" si="6"/>
        <v>Ottawa</v>
      </c>
      <c r="Q1219" s="5" t="str">
        <f t="shared" si="7"/>
        <v>Ontario</v>
      </c>
      <c r="R1219" s="5" t="str">
        <f t="shared" si="8"/>
        <v>Canada</v>
      </c>
    </row>
    <row r="1220">
      <c r="A1220" s="8" t="s">
        <v>7838</v>
      </c>
      <c r="B1220" s="10" t="s">
        <v>392</v>
      </c>
      <c r="C1220" s="10" t="s">
        <v>393</v>
      </c>
      <c r="D1220" s="10"/>
      <c r="E1220" s="10" t="s">
        <v>386</v>
      </c>
      <c r="F1220" s="10" t="s">
        <v>63</v>
      </c>
      <c r="G1220" s="11" t="s">
        <v>137</v>
      </c>
      <c r="H1220" s="11" t="s">
        <v>137</v>
      </c>
      <c r="I1220" s="11" t="s">
        <v>18</v>
      </c>
      <c r="J1220" s="9" t="str">
        <f>IFERROR(__xludf.DUMMYFUNCTION("""COMPUTED_VALUE"""),"https://www.google.com/search?newwindow=1&amp;ei=2MT0XrvGGM-vytMP1OyDgAY&amp;q=site%3Alinkedin.com+Chiara+Webb+New+Student+Programs+and+Activites+Coorindator+at+Carleton+University")</f>
        <v>https://www.google.com/search?newwindow=1&amp;ei=2MT0XrvGGM-vytMP1OyDgAY&amp;q=site%3Alinkedin.com+Chiara+Webb+New+Student+Programs+and+Activites+Coorindator+at+Carleton+University</v>
      </c>
      <c r="K1220" s="5" t="str">
        <f t="shared" si="1"/>
        <v>Chiara Webb</v>
      </c>
      <c r="L1220" s="5" t="str">
        <f t="shared" si="2"/>
        <v>New Student Programs and Activites Coorindator at Carleton University</v>
      </c>
      <c r="M1220" s="5" t="str">
        <f t="shared" si="3"/>
        <v/>
      </c>
      <c r="N1220" s="5" t="str">
        <f t="shared" si="4"/>
        <v>Carleton University</v>
      </c>
      <c r="O1220" s="5" t="str">
        <f t="shared" si="5"/>
        <v>1 year 2 months in role and company</v>
      </c>
      <c r="P1220" s="5" t="str">
        <f t="shared" si="6"/>
        <v>Ottawa</v>
      </c>
      <c r="Q1220" s="5" t="str">
        <f t="shared" si="7"/>
        <v>Ontario</v>
      </c>
      <c r="R1220" s="5" t="str">
        <f t="shared" si="8"/>
        <v>Canada</v>
      </c>
    </row>
    <row r="1221">
      <c r="A1221" s="8" t="s">
        <v>7839</v>
      </c>
      <c r="B1221" s="12" t="s">
        <v>1334</v>
      </c>
      <c r="C1221" s="10" t="s">
        <v>371</v>
      </c>
      <c r="D1221" s="10"/>
      <c r="E1221" s="10" t="s">
        <v>1233</v>
      </c>
      <c r="F1221" s="10" t="s">
        <v>60</v>
      </c>
      <c r="G1221" s="11" t="s">
        <v>137</v>
      </c>
      <c r="H1221" s="11" t="s">
        <v>137</v>
      </c>
      <c r="I1221" s="11" t="s">
        <v>18</v>
      </c>
      <c r="J1221" s="9" t="str">
        <f>IFERROR(__xludf.DUMMYFUNCTION("""COMPUTED_VALUE"""),"https://www.google.com/search?newwindow=1&amp;ei=2MT0XrvGGM-vytMP1OyDgAY&amp;q=site%3Alinkedin.com+Kaitlyn+McLeod+Programs+Officer")</f>
        <v>https://www.google.com/search?newwindow=1&amp;ei=2MT0XrvGGM-vytMP1OyDgAY&amp;q=site%3Alinkedin.com+Kaitlyn+McLeod+Programs+Officer</v>
      </c>
      <c r="K1221" s="5" t="str">
        <f t="shared" si="1"/>
        <v>Kaitlyn McLeod</v>
      </c>
      <c r="L1221" s="5" t="str">
        <f t="shared" si="2"/>
        <v>Programs Officer</v>
      </c>
      <c r="M1221" s="5" t="str">
        <f t="shared" si="3"/>
        <v/>
      </c>
      <c r="N1221" s="5" t="str">
        <f t="shared" si="4"/>
        <v>Government of Canada</v>
      </c>
      <c r="O1221" s="5" t="str">
        <f t="shared" si="5"/>
        <v>3 years 10 months in role</v>
      </c>
      <c r="P1221" s="5" t="str">
        <f t="shared" si="6"/>
        <v>Ottawa</v>
      </c>
      <c r="Q1221" s="5" t="str">
        <f t="shared" si="7"/>
        <v>Ontario</v>
      </c>
      <c r="R1221" s="5" t="str">
        <f t="shared" si="8"/>
        <v>Canada</v>
      </c>
    </row>
    <row r="1222">
      <c r="A1222" s="8" t="s">
        <v>7840</v>
      </c>
      <c r="B1222" s="10" t="s">
        <v>7841</v>
      </c>
      <c r="C1222" s="10" t="s">
        <v>4749</v>
      </c>
      <c r="D1222" s="10"/>
      <c r="E1222" s="10" t="s">
        <v>4701</v>
      </c>
      <c r="F1222" s="10" t="s">
        <v>574</v>
      </c>
      <c r="G1222" s="11" t="s">
        <v>137</v>
      </c>
      <c r="H1222" s="11" t="s">
        <v>137</v>
      </c>
      <c r="I1222" s="11" t="s">
        <v>18</v>
      </c>
      <c r="J1222" s="9" t="str">
        <f>IFERROR(__xludf.DUMMYFUNCTION("""COMPUTED_VALUE"""),"https://www.google.com/search?newwindow=1&amp;ei=2MT0XrvGGM-vytMP1OyDgAY&amp;q=site%3Alinkedin.com+Sue+Boudreau+Project+Lead+(Summer+Student+Programs)")</f>
        <v>https://www.google.com/search?newwindow=1&amp;ei=2MT0XrvGGM-vytMP1OyDgAY&amp;q=site%3Alinkedin.com+Sue+Boudreau+Project+Lead+(Summer+Student+Programs)</v>
      </c>
      <c r="K1222" s="5" t="str">
        <f t="shared" si="1"/>
        <v>Sue Boudreau</v>
      </c>
      <c r="L1222" s="5" t="str">
        <f t="shared" si="2"/>
        <v>Project Lead (Summer Student Programs)</v>
      </c>
      <c r="M1222" s="5" t="str">
        <f t="shared" si="3"/>
        <v/>
      </c>
      <c r="N1222" s="5" t="str">
        <f t="shared" si="4"/>
        <v>Ottawa-Carleton Education Network (OCENET)</v>
      </c>
      <c r="O1222" s="5" t="str">
        <f t="shared" si="5"/>
        <v>19 years 5 months in role and company</v>
      </c>
      <c r="P1222" s="5" t="str">
        <f t="shared" si="6"/>
        <v>Ottawa</v>
      </c>
      <c r="Q1222" s="5" t="str">
        <f t="shared" si="7"/>
        <v>Ontario</v>
      </c>
      <c r="R1222" s="5" t="str">
        <f t="shared" si="8"/>
        <v>Canada</v>
      </c>
    </row>
    <row r="1223">
      <c r="A1223" s="8" t="s">
        <v>7842</v>
      </c>
      <c r="B1223" s="10" t="s">
        <v>1331</v>
      </c>
      <c r="C1223" s="10" t="s">
        <v>1332</v>
      </c>
      <c r="D1223" s="10"/>
      <c r="E1223" s="10" t="s">
        <v>1233</v>
      </c>
      <c r="F1223" s="10" t="s">
        <v>570</v>
      </c>
      <c r="G1223" s="11" t="s">
        <v>137</v>
      </c>
      <c r="H1223" s="11" t="s">
        <v>137</v>
      </c>
      <c r="I1223" s="11" t="s">
        <v>18</v>
      </c>
      <c r="J1223" s="9" t="str">
        <f>IFERROR(__xludf.DUMMYFUNCTION("""COMPUTED_VALUE"""),"https://www.google.com/search?newwindow=1&amp;ei=2MT0XrvGGM-vytMP1OyDgAY&amp;q=site%3Alinkedin.com+Aurora+O.+Indigenous+Student+Programs+Assistant")</f>
        <v>https://www.google.com/search?newwindow=1&amp;ei=2MT0XrvGGM-vytMP1OyDgAY&amp;q=site%3Alinkedin.com+Aurora+O.+Indigenous+Student+Programs+Assistant</v>
      </c>
      <c r="K1223" s="5" t="str">
        <f t="shared" si="1"/>
        <v>Aurora O.</v>
      </c>
      <c r="L1223" s="5" t="str">
        <f t="shared" si="2"/>
        <v>Indigenous Student Programs Assistant</v>
      </c>
      <c r="M1223" s="5" t="str">
        <f t="shared" si="3"/>
        <v/>
      </c>
      <c r="N1223" s="5" t="str">
        <f t="shared" si="4"/>
        <v>Carleton University</v>
      </c>
      <c r="O1223" s="5" t="str">
        <f t="shared" si="5"/>
        <v>1 year 5 months in role and company</v>
      </c>
      <c r="P1223" s="5" t="str">
        <f t="shared" si="6"/>
        <v>Ottawa</v>
      </c>
      <c r="Q1223" s="5" t="str">
        <f t="shared" si="7"/>
        <v>Ontario</v>
      </c>
      <c r="R1223" s="5" t="str">
        <f t="shared" si="8"/>
        <v>Canada</v>
      </c>
    </row>
    <row r="1224">
      <c r="A1224" s="8" t="s">
        <v>7843</v>
      </c>
      <c r="B1224" s="10" t="s">
        <v>7844</v>
      </c>
      <c r="C1224" s="10" t="s">
        <v>7845</v>
      </c>
      <c r="D1224" s="10"/>
      <c r="E1224" s="10" t="s">
        <v>4701</v>
      </c>
      <c r="F1224" s="10" t="s">
        <v>277</v>
      </c>
      <c r="G1224" s="11" t="s">
        <v>137</v>
      </c>
      <c r="H1224" s="11" t="s">
        <v>137</v>
      </c>
      <c r="I1224" s="11" t="s">
        <v>18</v>
      </c>
      <c r="J1224" s="9" t="str">
        <f>IFERROR(__xludf.DUMMYFUNCTION("""COMPUTED_VALUE"""),"https://www.google.com/search?newwindow=1&amp;ei=2MT0XrvGGM-vytMP1OyDgAY&amp;q=site%3Alinkedin.com+Johanne+Brownrigg+Project+Manager+-+Student+Programs")</f>
        <v>https://www.google.com/search?newwindow=1&amp;ei=2MT0XrvGGM-vytMP1OyDgAY&amp;q=site%3Alinkedin.com+Johanne+Brownrigg+Project+Manager+-+Student+Programs</v>
      </c>
      <c r="K1224" s="5" t="str">
        <f t="shared" si="1"/>
        <v>Johanne Brownrigg</v>
      </c>
      <c r="L1224" s="5" t="str">
        <f t="shared" si="2"/>
        <v>Project Manager - Student Programs</v>
      </c>
      <c r="M1224" s="5" t="str">
        <f t="shared" si="3"/>
        <v/>
      </c>
      <c r="N1224" s="5" t="str">
        <f t="shared" si="4"/>
        <v>Canadian Physicians for Life</v>
      </c>
      <c r="O1224" s="5" t="str">
        <f t="shared" si="5"/>
        <v>2 years 8 months in role and company</v>
      </c>
      <c r="P1224" s="5" t="str">
        <f t="shared" si="6"/>
        <v>Ottawa</v>
      </c>
      <c r="Q1224" s="5" t="str">
        <f t="shared" si="7"/>
        <v>Ontario</v>
      </c>
      <c r="R1224" s="5" t="str">
        <f t="shared" si="8"/>
        <v>Canada</v>
      </c>
    </row>
    <row r="1225">
      <c r="A1225" s="8" t="s">
        <v>7846</v>
      </c>
      <c r="B1225" s="12" t="s">
        <v>7847</v>
      </c>
      <c r="C1225" s="10" t="s">
        <v>7848</v>
      </c>
      <c r="D1225" s="10"/>
      <c r="E1225" s="10" t="s">
        <v>3389</v>
      </c>
      <c r="F1225" s="10" t="s">
        <v>188</v>
      </c>
      <c r="G1225" s="11" t="s">
        <v>137</v>
      </c>
      <c r="H1225" s="11" t="s">
        <v>137</v>
      </c>
      <c r="I1225" s="11" t="s">
        <v>18</v>
      </c>
      <c r="J1225" s="9" t="str">
        <f>IFERROR(__xludf.DUMMYFUNCTION("""COMPUTED_VALUE"""),"https://www.google.com/search?newwindow=1&amp;ei=2MT0XrvGGM-vytMP1OyDgAY&amp;q=site%3Alinkedin.com+Madison+MacLachlan+Student+Mentor")</f>
        <v>https://www.google.com/search?newwindow=1&amp;ei=2MT0XrvGGM-vytMP1OyDgAY&amp;q=site%3Alinkedin.com+Madison+MacLachlan+Student+Mentor</v>
      </c>
      <c r="K1225" s="5" t="str">
        <f t="shared" si="1"/>
        <v>Madison MacLachlan</v>
      </c>
      <c r="L1225" s="5" t="str">
        <f t="shared" si="2"/>
        <v>Student Mentor</v>
      </c>
      <c r="M1225" s="5" t="str">
        <f t="shared" si="3"/>
        <v/>
      </c>
      <c r="N1225" s="5" t="str">
        <f t="shared" si="4"/>
        <v>University of Ottawa (Department of French Immersion Studies, Rez-Housing Services)</v>
      </c>
      <c r="O1225" s="5" t="str">
        <f t="shared" si="5"/>
        <v>4 years 2 months in role and company</v>
      </c>
      <c r="P1225" s="5" t="str">
        <f t="shared" si="6"/>
        <v>Ottawa</v>
      </c>
      <c r="Q1225" s="5" t="str">
        <f t="shared" si="7"/>
        <v>Ontario</v>
      </c>
      <c r="R1225" s="5" t="str">
        <f t="shared" si="8"/>
        <v>Canada</v>
      </c>
    </row>
    <row r="1226">
      <c r="A1226" s="8" t="s">
        <v>7849</v>
      </c>
      <c r="B1226" s="10" t="s">
        <v>3431</v>
      </c>
      <c r="C1226" s="10" t="s">
        <v>3432</v>
      </c>
      <c r="D1226" s="10"/>
      <c r="E1226" s="10" t="s">
        <v>3389</v>
      </c>
      <c r="F1226" s="10" t="s">
        <v>121</v>
      </c>
      <c r="G1226" s="11" t="s">
        <v>137</v>
      </c>
      <c r="H1226" s="11" t="s">
        <v>137</v>
      </c>
      <c r="I1226" s="11" t="s">
        <v>18</v>
      </c>
      <c r="J1226" s="9" t="str">
        <f>IFERROR(__xludf.DUMMYFUNCTION("""COMPUTED_VALUE"""),"https://www.google.com/search?newwindow=1&amp;ei=2MT0XrvGGM-vytMP1OyDgAY&amp;q=site%3Alinkedin.com+Hannah+Griffiths+MBA+Recruitment+and+Admissions+Manager+(Global+Regions),+Saïd+Business+School,+University+of+Oxford")</f>
        <v>https://www.google.com/search?newwindow=1&amp;ei=2MT0XrvGGM-vytMP1OyDgAY&amp;q=site%3Alinkedin.com+Hannah+Griffiths+MBA+Recruitment+and+Admissions+Manager+(Global+Regions),+Saïd+Business+School,+University+of+Oxford</v>
      </c>
      <c r="K1226" s="5" t="str">
        <f t="shared" si="1"/>
        <v>Hannah Griffiths</v>
      </c>
      <c r="L1226" s="5" t="str">
        <f t="shared" si="2"/>
        <v>MBA Recruitment and Admissions Manager (Global Regions), Saïd Business School, University of Oxford</v>
      </c>
      <c r="M1226" s="5" t="str">
        <f t="shared" si="3"/>
        <v>MBA</v>
      </c>
      <c r="N1226" s="5" t="str">
        <f t="shared" si="4"/>
        <v>Saïd Business School, University of Oxford</v>
      </c>
      <c r="O1226" s="5" t="str">
        <f t="shared" si="5"/>
        <v>1 year  in role and company</v>
      </c>
      <c r="P1226" s="5" t="str">
        <f t="shared" si="6"/>
        <v>Oxford</v>
      </c>
      <c r="Q1226" s="5" t="str">
        <f t="shared" si="7"/>
        <v>England</v>
      </c>
      <c r="R1226" s="5" t="str">
        <f t="shared" si="8"/>
        <v>United Kingdom</v>
      </c>
    </row>
    <row r="1227">
      <c r="A1227" s="8" t="s">
        <v>7850</v>
      </c>
      <c r="B1227" s="12" t="s">
        <v>7851</v>
      </c>
      <c r="C1227" s="10" t="s">
        <v>5294</v>
      </c>
      <c r="D1227" s="10"/>
      <c r="E1227" s="10" t="s">
        <v>1233</v>
      </c>
      <c r="F1227" s="10" t="s">
        <v>283</v>
      </c>
      <c r="G1227" s="11" t="s">
        <v>137</v>
      </c>
      <c r="H1227" s="11" t="s">
        <v>137</v>
      </c>
      <c r="I1227" s="11" t="s">
        <v>18</v>
      </c>
      <c r="J1227" s="9" t="str">
        <f>IFERROR(__xludf.DUMMYFUNCTION("""COMPUTED_VALUE"""),"https://www.google.com/search?newwindow=1&amp;ei=2MT0XrvGGM-vytMP1OyDgAY&amp;q=site%3Alinkedin.com+Krystyna+Anderson+Recruiter+(Future+Talent)")</f>
        <v>https://www.google.com/search?newwindow=1&amp;ei=2MT0XrvGGM-vytMP1OyDgAY&amp;q=site%3Alinkedin.com+Krystyna+Anderson+Recruiter+(Future+Talent)</v>
      </c>
      <c r="K1227" s="5" t="str">
        <f t="shared" si="1"/>
        <v>Krystyna Anderson</v>
      </c>
      <c r="L1227" s="5" t="str">
        <f t="shared" si="2"/>
        <v>Recruiter (Future Talent)</v>
      </c>
      <c r="M1227" s="5" t="str">
        <f t="shared" si="3"/>
        <v/>
      </c>
      <c r="N1227" s="5" t="str">
        <f t="shared" si="4"/>
        <v>BMW Group</v>
      </c>
      <c r="O1227" s="5" t="str">
        <f t="shared" si="5"/>
        <v>2 months in role and company</v>
      </c>
      <c r="P1227" s="5" t="str">
        <f t="shared" si="6"/>
        <v>Oxford</v>
      </c>
      <c r="Q1227" s="5" t="str">
        <f t="shared" si="7"/>
        <v>England</v>
      </c>
      <c r="R1227" s="5" t="str">
        <f t="shared" si="8"/>
        <v>United Kingdom</v>
      </c>
    </row>
    <row r="1228">
      <c r="A1228" s="8" t="s">
        <v>7852</v>
      </c>
      <c r="B1228" s="12" t="s">
        <v>7853</v>
      </c>
      <c r="C1228" s="10" t="s">
        <v>7854</v>
      </c>
      <c r="D1228" s="10"/>
      <c r="E1228" s="10" t="s">
        <v>1233</v>
      </c>
      <c r="F1228" s="10" t="s">
        <v>455</v>
      </c>
      <c r="G1228" s="11" t="s">
        <v>137</v>
      </c>
      <c r="H1228" s="11" t="s">
        <v>137</v>
      </c>
      <c r="I1228" s="11" t="s">
        <v>18</v>
      </c>
      <c r="J1228" s="9" t="str">
        <f>IFERROR(__xludf.DUMMYFUNCTION("""COMPUTED_VALUE"""),"https://www.google.com/search?newwindow=1&amp;ei=2MT0XrvGGM-vytMP1OyDgAY&amp;q=site%3Alinkedin.com+Ashley+Green+Campus+Recruiting+Coordinator")</f>
        <v>https://www.google.com/search?newwindow=1&amp;ei=2MT0XrvGGM-vytMP1OyDgAY&amp;q=site%3Alinkedin.com+Ashley+Green+Campus+Recruiting+Coordinator</v>
      </c>
      <c r="K1228" s="5" t="str">
        <f t="shared" si="1"/>
        <v>Ashley Green</v>
      </c>
      <c r="L1228" s="5" t="str">
        <f t="shared" si="2"/>
        <v>Campus Recruiting Coordinator</v>
      </c>
      <c r="M1228" s="5" t="str">
        <f t="shared" si="3"/>
        <v/>
      </c>
      <c r="N1228" s="5" t="str">
        <f t="shared" si="4"/>
        <v>EY</v>
      </c>
      <c r="O1228" s="5" t="str">
        <f t="shared" si="5"/>
        <v>1 year  in role and company</v>
      </c>
      <c r="P1228" s="5" t="str">
        <f t="shared" si="6"/>
        <v>Palo Alto</v>
      </c>
      <c r="Q1228" s="5" t="str">
        <f t="shared" si="7"/>
        <v>California</v>
      </c>
      <c r="R1228" s="5" t="str">
        <f t="shared" si="8"/>
        <v>United States</v>
      </c>
    </row>
    <row r="1229">
      <c r="A1229" s="8" t="s">
        <v>7855</v>
      </c>
      <c r="B1229" s="10" t="s">
        <v>7856</v>
      </c>
      <c r="C1229" s="10" t="s">
        <v>1378</v>
      </c>
      <c r="D1229" s="10"/>
      <c r="E1229" s="10" t="s">
        <v>14</v>
      </c>
      <c r="F1229" s="10" t="s">
        <v>3110</v>
      </c>
      <c r="G1229" s="11" t="s">
        <v>137</v>
      </c>
      <c r="H1229" s="11" t="s">
        <v>137</v>
      </c>
      <c r="I1229" s="11" t="s">
        <v>18</v>
      </c>
      <c r="J1229" s="9" t="str">
        <f>IFERROR(__xludf.DUMMYFUNCTION("""COMPUTED_VALUE"""),"https://www.google.com/search?newwindow=1&amp;ei=2MT0XrvGGM-vytMP1OyDgAY&amp;q=site%3Alinkedin.com+Justin+Wilkey+Indigenous+Student+Mentor+&amp;+Education+Consultant")</f>
        <v>https://www.google.com/search?newwindow=1&amp;ei=2MT0XrvGGM-vytMP1OyDgAY&amp;q=site%3Alinkedin.com+Justin+Wilkey+Indigenous+Student+Mentor+&amp;+Education+Consultant</v>
      </c>
      <c r="K1229" s="5" t="str">
        <f t="shared" si="1"/>
        <v>Justin Wilkey</v>
      </c>
      <c r="L1229" s="5" t="str">
        <f t="shared" si="2"/>
        <v>Indigenous Student Mentor &amp; Education Consultant</v>
      </c>
      <c r="M1229" s="5" t="str">
        <f t="shared" si="3"/>
        <v/>
      </c>
      <c r="N1229" s="5" t="str">
        <f t="shared" si="4"/>
        <v>Association of Independent Schools of SA</v>
      </c>
      <c r="O1229" s="5" t="str">
        <f t="shared" si="5"/>
        <v>5 years 4 months in role and company</v>
      </c>
      <c r="P1229" s="5" t="str">
        <f t="shared" si="6"/>
        <v>Panorama</v>
      </c>
      <c r="Q1229" s="5" t="str">
        <f t="shared" si="7"/>
        <v>South Australia</v>
      </c>
      <c r="R1229" s="5" t="str">
        <f t="shared" si="8"/>
        <v>Australia</v>
      </c>
    </row>
    <row r="1230">
      <c r="A1230" s="8" t="s">
        <v>7857</v>
      </c>
      <c r="B1230" s="12" t="s">
        <v>142</v>
      </c>
      <c r="C1230" s="10" t="s">
        <v>143</v>
      </c>
      <c r="D1230" s="10"/>
      <c r="E1230" s="10" t="s">
        <v>14</v>
      </c>
      <c r="F1230" s="10" t="s">
        <v>144</v>
      </c>
      <c r="G1230" s="11" t="s">
        <v>137</v>
      </c>
      <c r="H1230" s="11" t="s">
        <v>137</v>
      </c>
      <c r="I1230" s="11" t="s">
        <v>18</v>
      </c>
      <c r="J1230" s="9" t="str">
        <f>IFERROR(__xludf.DUMMYFUNCTION("""COMPUTED_VALUE"""),"https://www.google.com/search?newwindow=1&amp;ei=2MT0XrvGGM-vytMP1OyDgAY&amp;q=site%3Alinkedin.com+Vickie+Dawli+Campus+Recruiting+Coordinator")</f>
        <v>https://www.google.com/search?newwindow=1&amp;ei=2MT0XrvGGM-vytMP1OyDgAY&amp;q=site%3Alinkedin.com+Vickie+Dawli+Campus+Recruiting+Coordinator</v>
      </c>
      <c r="K1230" s="5" t="str">
        <f t="shared" si="1"/>
        <v>Vickie Dawli</v>
      </c>
      <c r="L1230" s="5" t="str">
        <f t="shared" si="2"/>
        <v>Campus Recruiting Coordinator</v>
      </c>
      <c r="M1230" s="5" t="str">
        <f t="shared" si="3"/>
        <v/>
      </c>
      <c r="N1230" s="5" t="str">
        <f t="shared" si="4"/>
        <v>Deloitte</v>
      </c>
      <c r="O1230" s="5" t="str">
        <f t="shared" si="5"/>
        <v>7 years 3 months in role and company</v>
      </c>
      <c r="P1230" s="5" t="str">
        <f t="shared" si="6"/>
        <v>Paramus</v>
      </c>
      <c r="Q1230" s="5" t="str">
        <f t="shared" si="7"/>
        <v>New Jersey</v>
      </c>
      <c r="R1230" s="5" t="str">
        <f t="shared" si="8"/>
        <v>United States</v>
      </c>
    </row>
    <row r="1231">
      <c r="A1231" s="8" t="s">
        <v>7858</v>
      </c>
      <c r="B1231" s="12" t="s">
        <v>7859</v>
      </c>
      <c r="C1231" s="10" t="s">
        <v>7860</v>
      </c>
      <c r="D1231" s="10"/>
      <c r="E1231" s="10" t="s">
        <v>4611</v>
      </c>
      <c r="F1231" s="10" t="s">
        <v>63</v>
      </c>
      <c r="G1231" s="11" t="s">
        <v>137</v>
      </c>
      <c r="H1231" s="11" t="s">
        <v>137</v>
      </c>
      <c r="I1231" s="11" t="s">
        <v>18</v>
      </c>
      <c r="J1231" s="9" t="str">
        <f>IFERROR(__xludf.DUMMYFUNCTION("""COMPUTED_VALUE"""),"https://www.google.com/search?newwindow=1&amp;ei=2MT0XrvGGM-vytMP1OyDgAY&amp;q=site%3Alinkedin.com+Jonathan+Mahn+Chair,+Membership+Services+and+Programs+Advisory+Committee")</f>
        <v>https://www.google.com/search?newwindow=1&amp;ei=2MT0XrvGGM-vytMP1OyDgAY&amp;q=site%3Alinkedin.com+Jonathan+Mahn+Chair,+Membership+Services+and+Programs+Advisory+Committee</v>
      </c>
      <c r="K1231" s="5" t="str">
        <f t="shared" si="1"/>
        <v>Jonathan Mahn</v>
      </c>
      <c r="L1231" s="5" t="str">
        <f t="shared" si="2"/>
        <v>Chair, Membership Services and Programs Advisory Committee</v>
      </c>
      <c r="M1231" s="5" t="str">
        <f t="shared" si="3"/>
        <v/>
      </c>
      <c r="N1231" s="5" t="str">
        <f t="shared" si="4"/>
        <v>Ontario Dental Association</v>
      </c>
      <c r="O1231" s="5" t="str">
        <f t="shared" si="5"/>
        <v>2 years 10 months in role</v>
      </c>
      <c r="P1231" s="5" t="str">
        <f t="shared" si="6"/>
        <v>Paris</v>
      </c>
      <c r="Q1231" s="5" t="str">
        <f t="shared" si="7"/>
        <v>Ontario</v>
      </c>
      <c r="R1231" s="5" t="str">
        <f t="shared" si="8"/>
        <v>Canada</v>
      </c>
    </row>
    <row r="1232">
      <c r="A1232" s="8" t="s">
        <v>7861</v>
      </c>
      <c r="B1232" s="12" t="s">
        <v>7862</v>
      </c>
      <c r="C1232" s="10" t="s">
        <v>7863</v>
      </c>
      <c r="D1232" s="10"/>
      <c r="E1232" s="10" t="s">
        <v>14</v>
      </c>
      <c r="F1232" s="10" t="s">
        <v>26</v>
      </c>
      <c r="G1232" s="11" t="s">
        <v>137</v>
      </c>
      <c r="H1232" s="11" t="s">
        <v>137</v>
      </c>
      <c r="I1232" s="11" t="s">
        <v>18</v>
      </c>
      <c r="J1232" s="9" t="str">
        <f>IFERROR(__xludf.DUMMYFUNCTION("""COMPUTED_VALUE"""),"https://www.google.com/search?newwindow=1&amp;ei=2MT0XrvGGM-vytMP1OyDgAY&amp;q=site%3Alinkedin.com+Michael+Openshaw+Co-Founder+and+Chief+Education+Officer:+Programs+and+Student+Outcomes")</f>
        <v>https://www.google.com/search?newwindow=1&amp;ei=2MT0XrvGGM-vytMP1OyDgAY&amp;q=site%3Alinkedin.com+Michael+Openshaw+Co-Founder+and+Chief+Education+Officer:+Programs+and+Student+Outcomes</v>
      </c>
      <c r="K1232" s="5" t="str">
        <f t="shared" si="1"/>
        <v>Michael Openshaw</v>
      </c>
      <c r="L1232" s="5" t="str">
        <f t="shared" si="2"/>
        <v>Co-Founder and Chief Education Officer: Programs and Student Outcomes</v>
      </c>
      <c r="M1232" s="5" t="str">
        <f t="shared" si="3"/>
        <v/>
      </c>
      <c r="N1232" s="5" t="str">
        <f t="shared" si="4"/>
        <v>IDEA: Innovation Design Entrepreneurship Academy</v>
      </c>
      <c r="O1232" s="5" t="str">
        <f t="shared" si="5"/>
        <v>10 months in role and company</v>
      </c>
      <c r="P1232" s="5" t="str">
        <f t="shared" si="6"/>
        <v>Perth</v>
      </c>
      <c r="Q1232" s="5" t="str">
        <f t="shared" si="7"/>
        <v>Western Australia</v>
      </c>
      <c r="R1232" s="5" t="str">
        <f t="shared" si="8"/>
        <v>Australia</v>
      </c>
    </row>
    <row r="1233">
      <c r="A1233" s="8" t="s">
        <v>7864</v>
      </c>
      <c r="B1233" s="12" t="s">
        <v>7865</v>
      </c>
      <c r="C1233" s="10" t="s">
        <v>7866</v>
      </c>
      <c r="D1233" s="10"/>
      <c r="E1233" s="10" t="s">
        <v>3389</v>
      </c>
      <c r="F1233" s="10" t="s">
        <v>84</v>
      </c>
      <c r="G1233" s="11" t="s">
        <v>137</v>
      </c>
      <c r="H1233" s="11" t="s">
        <v>137</v>
      </c>
      <c r="I1233" s="11" t="s">
        <v>18</v>
      </c>
      <c r="J1233" s="9" t="str">
        <f>IFERROR(__xludf.DUMMYFUNCTION("""COMPUTED_VALUE"""),"https://www.google.com/search?newwindow=1&amp;ei=2MT0XrvGGM-vytMP1OyDgAY&amp;q=site%3Alinkedin.com+Catherine+McKellar+Campus+Recruiter")</f>
        <v>https://www.google.com/search?newwindow=1&amp;ei=2MT0XrvGGM-vytMP1OyDgAY&amp;q=site%3Alinkedin.com+Catherine+McKellar+Campus+Recruiter</v>
      </c>
      <c r="K1233" s="5" t="str">
        <f t="shared" si="1"/>
        <v>Catherine McKellar</v>
      </c>
      <c r="L1233" s="5" t="str">
        <f t="shared" si="2"/>
        <v>Campus Recruiter</v>
      </c>
      <c r="M1233" s="5" t="str">
        <f t="shared" si="3"/>
        <v/>
      </c>
      <c r="N1233" s="5" t="str">
        <f t="shared" si="4"/>
        <v>EY</v>
      </c>
      <c r="O1233" s="5" t="str">
        <f t="shared" si="5"/>
        <v>1 year 4 months in role and company</v>
      </c>
      <c r="P1233" s="5" t="str">
        <f t="shared" si="6"/>
        <v>Perth</v>
      </c>
      <c r="Q1233" s="5" t="str">
        <f t="shared" si="7"/>
        <v>Western Australia</v>
      </c>
      <c r="R1233" s="5" t="str">
        <f t="shared" si="8"/>
        <v>Australia</v>
      </c>
    </row>
    <row r="1234">
      <c r="A1234" s="8" t="s">
        <v>7867</v>
      </c>
      <c r="B1234" s="10" t="s">
        <v>7868</v>
      </c>
      <c r="C1234" s="10" t="s">
        <v>7869</v>
      </c>
      <c r="D1234" s="10"/>
      <c r="E1234" s="10" t="s">
        <v>702</v>
      </c>
      <c r="F1234" s="10" t="s">
        <v>654</v>
      </c>
      <c r="G1234" s="11" t="s">
        <v>137</v>
      </c>
      <c r="H1234" s="11" t="s">
        <v>137</v>
      </c>
      <c r="I1234" s="11" t="s">
        <v>18</v>
      </c>
      <c r="J1234" s="9" t="str">
        <f>IFERROR(__xludf.DUMMYFUNCTION("""COMPUTED_VALUE"""),"https://www.google.com/search?newwindow=1&amp;ei=2MT0XrvGGM-vytMP1OyDgAY&amp;q=site%3Alinkedin.com+Sam+Cousens+Recruiting+Officer")</f>
        <v>https://www.google.com/search?newwindow=1&amp;ei=2MT0XrvGGM-vytMP1OyDgAY&amp;q=site%3Alinkedin.com+Sam+Cousens+Recruiting+Officer</v>
      </c>
      <c r="K1234" s="5" t="str">
        <f t="shared" si="1"/>
        <v>Sam Cousens</v>
      </c>
      <c r="L1234" s="5" t="str">
        <f t="shared" si="2"/>
        <v>Recruiting Officer</v>
      </c>
      <c r="M1234" s="5" t="str">
        <f t="shared" si="3"/>
        <v/>
      </c>
      <c r="N1234" s="5" t="str">
        <f t="shared" si="4"/>
        <v>Richmond Football Club</v>
      </c>
      <c r="O1234" s="5" t="str">
        <f t="shared" si="5"/>
        <v>1 year 8 months in role</v>
      </c>
      <c r="P1234" s="5" t="str">
        <f t="shared" si="6"/>
        <v>Perth</v>
      </c>
      <c r="Q1234" s="5" t="str">
        <f t="shared" si="7"/>
        <v>Western Australia</v>
      </c>
      <c r="R1234" s="5" t="str">
        <f t="shared" si="8"/>
        <v>Australia</v>
      </c>
    </row>
    <row r="1235">
      <c r="A1235" s="8" t="s">
        <v>7870</v>
      </c>
      <c r="B1235" s="10" t="s">
        <v>7871</v>
      </c>
      <c r="C1235" s="10" t="s">
        <v>7872</v>
      </c>
      <c r="D1235" s="10"/>
      <c r="E1235" s="10" t="s">
        <v>845</v>
      </c>
      <c r="F1235" s="10" t="s">
        <v>192</v>
      </c>
      <c r="G1235" s="11" t="s">
        <v>137</v>
      </c>
      <c r="H1235" s="11" t="s">
        <v>137</v>
      </c>
      <c r="I1235" s="11" t="s">
        <v>18</v>
      </c>
      <c r="J1235" s="9" t="str">
        <f>IFERROR(__xludf.DUMMYFUNCTION("""COMPUTED_VALUE"""),"https://www.google.com/search?newwindow=1&amp;ei=2MT0XrvGGM-vytMP1OyDgAY&amp;q=site%3Alinkedin.com+Genene+Ringelstein+Recruitment+Officer+at+Murdoch+University")</f>
        <v>https://www.google.com/search?newwindow=1&amp;ei=2MT0XrvGGM-vytMP1OyDgAY&amp;q=site%3Alinkedin.com+Genene+Ringelstein+Recruitment+Officer+at+Murdoch+University</v>
      </c>
      <c r="K1235" s="5" t="str">
        <f t="shared" si="1"/>
        <v>Genene Ringelstein</v>
      </c>
      <c r="L1235" s="5" t="str">
        <f t="shared" si="2"/>
        <v>Recruitment Officer at Murdoch University</v>
      </c>
      <c r="M1235" s="5" t="str">
        <f t="shared" si="3"/>
        <v/>
      </c>
      <c r="N1235" s="5" t="str">
        <f t="shared" si="4"/>
        <v>Murdoch University</v>
      </c>
      <c r="O1235" s="5" t="str">
        <f t="shared" si="5"/>
        <v>22 years 7 months in role and company</v>
      </c>
      <c r="P1235" s="5" t="str">
        <f t="shared" si="6"/>
        <v>Perth</v>
      </c>
      <c r="Q1235" s="5" t="str">
        <f t="shared" si="7"/>
        <v>Western Australia</v>
      </c>
      <c r="R1235" s="5" t="str">
        <f t="shared" si="8"/>
        <v>Australia</v>
      </c>
    </row>
    <row r="1236">
      <c r="A1236" s="8" t="s">
        <v>7873</v>
      </c>
      <c r="B1236" s="10" t="s">
        <v>7874</v>
      </c>
      <c r="C1236" s="10" t="s">
        <v>7875</v>
      </c>
      <c r="D1236" s="10"/>
      <c r="E1236" s="10" t="s">
        <v>4611</v>
      </c>
      <c r="F1236" s="10" t="s">
        <v>774</v>
      </c>
      <c r="G1236" s="11" t="s">
        <v>137</v>
      </c>
      <c r="H1236" s="11" t="s">
        <v>137</v>
      </c>
      <c r="I1236" s="11" t="s">
        <v>18</v>
      </c>
      <c r="J1236" s="9" t="str">
        <f>IFERROR(__xludf.DUMMYFUNCTION("""COMPUTED_VALUE"""),"https://www.google.com/search?newwindow=1&amp;ei=2MT0XrvGGM-vytMP1OyDgAY&amp;q=site%3Alinkedin.com+Jessica+Evans+International+Student+Programs+Assistant")</f>
        <v>https://www.google.com/search?newwindow=1&amp;ei=2MT0XrvGGM-vytMP1OyDgAY&amp;q=site%3Alinkedin.com+Jessica+Evans+International+Student+Programs+Assistant</v>
      </c>
      <c r="K1236" s="5" t="str">
        <f t="shared" si="1"/>
        <v>Jessica Evans</v>
      </c>
      <c r="L1236" s="5" t="str">
        <f t="shared" si="2"/>
        <v>International Student Programs Assistant</v>
      </c>
      <c r="M1236" s="5" t="str">
        <f t="shared" si="3"/>
        <v/>
      </c>
      <c r="N1236" s="5" t="str">
        <f t="shared" si="4"/>
        <v>Trent University</v>
      </c>
      <c r="O1236" s="5" t="str">
        <f t="shared" si="5"/>
        <v>1 year 5 months in role and company</v>
      </c>
      <c r="P1236" s="5" t="str">
        <f t="shared" si="6"/>
        <v>Peterborough</v>
      </c>
      <c r="Q1236" s="5" t="str">
        <f t="shared" si="7"/>
        <v>Ontario</v>
      </c>
      <c r="R1236" s="5" t="str">
        <f t="shared" si="8"/>
        <v>Canada</v>
      </c>
    </row>
    <row r="1237">
      <c r="A1237" s="8" t="s">
        <v>7876</v>
      </c>
      <c r="B1237" s="10" t="s">
        <v>3726</v>
      </c>
      <c r="C1237" s="10" t="s">
        <v>371</v>
      </c>
      <c r="D1237" s="10"/>
      <c r="E1237" s="10" t="s">
        <v>3649</v>
      </c>
      <c r="F1237" s="10" t="s">
        <v>339</v>
      </c>
      <c r="G1237" s="11" t="s">
        <v>137</v>
      </c>
      <c r="H1237" s="11" t="s">
        <v>137</v>
      </c>
      <c r="I1237" s="11" t="s">
        <v>18</v>
      </c>
      <c r="J1237" s="9" t="str">
        <f>IFERROR(__xludf.DUMMYFUNCTION("""COMPUTED_VALUE"""),"https://www.google.com/search?newwindow=1&amp;ei=2MT0XrvGGM-vytMP1OyDgAY&amp;q=site%3Alinkedin.com+Gemma+Mickleborough+Business+Lecturer+-+BSc+Business+Management+in+Partnership+with+Anglian+Rusking+University")</f>
        <v>https://www.google.com/search?newwindow=1&amp;ei=2MT0XrvGGM-vytMP1OyDgAY&amp;q=site%3Alinkedin.com+Gemma+Mickleborough+Business+Lecturer+-+BSc+Business+Management+in+Partnership+with+Anglian+Rusking+University</v>
      </c>
      <c r="K1237" s="5" t="str">
        <f t="shared" si="1"/>
        <v>Gemma Mickleborough</v>
      </c>
      <c r="L1237" s="5" t="str">
        <f t="shared" si="2"/>
        <v>Business Lecturer - BSc Business Management in Partnership with Anglian Rusking University</v>
      </c>
      <c r="M1237" s="5" t="str">
        <f t="shared" si="3"/>
        <v/>
      </c>
      <c r="N1237" s="5" t="str">
        <f t="shared" si="4"/>
        <v>The College of West Anglia</v>
      </c>
      <c r="O1237" s="5" t="str">
        <f t="shared" si="5"/>
        <v>7 years 9 months in role</v>
      </c>
      <c r="P1237" s="5" t="str">
        <f t="shared" si="6"/>
        <v>Peterborough</v>
      </c>
      <c r="Q1237" s="5" t="str">
        <f t="shared" si="7"/>
        <v>England</v>
      </c>
      <c r="R1237" s="5" t="str">
        <f t="shared" si="8"/>
        <v>United Kingdom</v>
      </c>
    </row>
    <row r="1238">
      <c r="A1238" s="8" t="s">
        <v>7877</v>
      </c>
      <c r="B1238" s="10" t="s">
        <v>7878</v>
      </c>
      <c r="C1238" s="10" t="s">
        <v>7879</v>
      </c>
      <c r="D1238" s="10"/>
      <c r="E1238" s="10" t="s">
        <v>2297</v>
      </c>
      <c r="F1238" s="10" t="s">
        <v>268</v>
      </c>
      <c r="G1238" s="11" t="s">
        <v>137</v>
      </c>
      <c r="H1238" s="11" t="s">
        <v>137</v>
      </c>
      <c r="I1238" s="11" t="s">
        <v>18</v>
      </c>
      <c r="J1238" s="9" t="str">
        <f>IFERROR(__xludf.DUMMYFUNCTION("""COMPUTED_VALUE"""),"https://www.google.com/search?newwindow=1&amp;ei=2MT0XrvGGM-vytMP1OyDgAY&amp;q=site%3Alinkedin.com+Kofoworola+Osomo+Volunteer+Student+Career+Center")</f>
        <v>https://www.google.com/search?newwindow=1&amp;ei=2MT0XrvGGM-vytMP1OyDgAY&amp;q=site%3Alinkedin.com+Kofoworola+Osomo+Volunteer+Student+Career+Center</v>
      </c>
      <c r="K1238" s="5" t="str">
        <f t="shared" si="1"/>
        <v>Kofoworola Osomo</v>
      </c>
      <c r="L1238" s="5" t="str">
        <f t="shared" si="2"/>
        <v>Volunteer Student Career Center</v>
      </c>
      <c r="M1238" s="5" t="str">
        <f t="shared" si="3"/>
        <v/>
      </c>
      <c r="N1238" s="5" t="str">
        <f t="shared" si="4"/>
        <v>Trent University</v>
      </c>
      <c r="O1238" s="5" t="str">
        <f t="shared" si="5"/>
        <v>11 years 2 months in role and company</v>
      </c>
      <c r="P1238" s="5" t="str">
        <f t="shared" si="6"/>
        <v>Peterborough</v>
      </c>
      <c r="Q1238" s="5" t="str">
        <f t="shared" si="7"/>
        <v>Ontario</v>
      </c>
      <c r="R1238" s="5" t="str">
        <f t="shared" si="8"/>
        <v>Canada</v>
      </c>
    </row>
    <row r="1239">
      <c r="A1239" s="8" t="s">
        <v>7880</v>
      </c>
      <c r="B1239" s="10" t="s">
        <v>7881</v>
      </c>
      <c r="C1239" s="10" t="s">
        <v>7882</v>
      </c>
      <c r="D1239" s="10"/>
      <c r="E1239" s="10" t="s">
        <v>2297</v>
      </c>
      <c r="F1239" s="10" t="s">
        <v>512</v>
      </c>
      <c r="G1239" s="11" t="s">
        <v>137</v>
      </c>
      <c r="H1239" s="11" t="s">
        <v>137</v>
      </c>
      <c r="I1239" s="11" t="s">
        <v>18</v>
      </c>
      <c r="J1239" s="9" t="str">
        <f>IFERROR(__xludf.DUMMYFUNCTION("""COMPUTED_VALUE"""),"https://www.google.com/search?newwindow=1&amp;ei=2MT0XrvGGM-vytMP1OyDgAY&amp;q=site%3Alinkedin.com+Maggie+Bott+Technical+Recruiter+-+Student+Veterans+++Security+Clearance+Opportunities+for+University+Students")</f>
        <v>https://www.google.com/search?newwindow=1&amp;ei=2MT0XrvGGM-vytMP1OyDgAY&amp;q=site%3Alinkedin.com+Maggie+Bott+Technical+Recruiter+-+Student+Veterans+++Security+Clearance+Opportunities+for+University+Students</v>
      </c>
      <c r="K1239" s="5" t="str">
        <f t="shared" si="1"/>
        <v>Maggie Bott</v>
      </c>
      <c r="L1239" s="5" t="str">
        <f t="shared" si="2"/>
        <v>Technical Recruiter - Student Veterans + Security Clearance Opportunities for University Students</v>
      </c>
      <c r="M1239" s="5" t="str">
        <f t="shared" si="3"/>
        <v/>
      </c>
      <c r="N1239" s="5" t="str">
        <f t="shared" si="4"/>
        <v>Microsoft</v>
      </c>
      <c r="O1239" s="5" t="str">
        <f t="shared" si="5"/>
        <v>4 months in role</v>
      </c>
      <c r="P1239" s="5" t="str">
        <f t="shared" si="6"/>
        <v>Peyton</v>
      </c>
      <c r="Q1239" s="5" t="str">
        <f t="shared" si="7"/>
        <v>Colorado</v>
      </c>
      <c r="R1239" s="5" t="str">
        <f t="shared" si="8"/>
        <v>United States</v>
      </c>
    </row>
    <row r="1240">
      <c r="A1240" s="8" t="s">
        <v>7883</v>
      </c>
      <c r="B1240" s="12" t="s">
        <v>7884</v>
      </c>
      <c r="C1240" s="10" t="s">
        <v>7885</v>
      </c>
      <c r="D1240" s="10"/>
      <c r="E1240" s="10" t="s">
        <v>3389</v>
      </c>
      <c r="F1240" s="10" t="s">
        <v>512</v>
      </c>
      <c r="G1240" s="11" t="s">
        <v>137</v>
      </c>
      <c r="H1240" s="11" t="s">
        <v>137</v>
      </c>
      <c r="I1240" s="11" t="s">
        <v>18</v>
      </c>
      <c r="J1240" s="9" t="str">
        <f>IFERROR(__xludf.DUMMYFUNCTION("""COMPUTED_VALUE"""),"https://www.google.com/search?newwindow=1&amp;ei=2MT0XrvGGM-vytMP1OyDgAY&amp;q=site%3Alinkedin.com+Brian+Kroll+🔹+Campus+Recruiter+with+University+Relations+&amp;+Recruiting")</f>
        <v>https://www.google.com/search?newwindow=1&amp;ei=2MT0XrvGGM-vytMP1OyDgAY&amp;q=site%3Alinkedin.com+Brian+Kroll+🔹+Campus+Recruiter+with+University+Relations+&amp;+Recruiting</v>
      </c>
      <c r="K1240" s="5" t="str">
        <f t="shared" si="1"/>
        <v>Brian Kroll 🔹</v>
      </c>
      <c r="L1240" s="5" t="str">
        <f t="shared" si="2"/>
        <v>Campus Recruiter with University Relations &amp; Recruiting</v>
      </c>
      <c r="M1240" s="5" t="str">
        <f t="shared" si="3"/>
        <v/>
      </c>
      <c r="N1240" s="5" t="str">
        <f t="shared" si="4"/>
        <v>Lockheed Martin</v>
      </c>
      <c r="O1240" s="5" t="str">
        <f t="shared" si="5"/>
        <v>11 months in role</v>
      </c>
      <c r="P1240" s="5" t="str">
        <f t="shared" si="6"/>
        <v>Philadelphia</v>
      </c>
      <c r="Q1240" s="5" t="str">
        <f t="shared" si="7"/>
        <v>Pennsylvania</v>
      </c>
      <c r="R1240" s="5" t="str">
        <f t="shared" si="8"/>
        <v>United States</v>
      </c>
    </row>
    <row r="1241">
      <c r="A1241" s="8" t="s">
        <v>7886</v>
      </c>
      <c r="B1241" s="10" t="s">
        <v>7887</v>
      </c>
      <c r="C1241" s="10" t="s">
        <v>4749</v>
      </c>
      <c r="D1241" s="10"/>
      <c r="E1241" s="10" t="s">
        <v>1233</v>
      </c>
      <c r="F1241" s="10" t="s">
        <v>909</v>
      </c>
      <c r="G1241" s="11" t="s">
        <v>137</v>
      </c>
      <c r="H1241" s="11" t="s">
        <v>137</v>
      </c>
      <c r="I1241" s="11" t="s">
        <v>18</v>
      </c>
      <c r="J1241" s="9" t="str">
        <f>IFERROR(__xludf.DUMMYFUNCTION("""COMPUTED_VALUE"""),"https://www.google.com/search?newwindow=1&amp;ei=2MT0XrvGGM-vytMP1OyDgAY&amp;q=site%3Alinkedin.com+Anthony+Giannetta+Senior+Campus+Recruiting+Specialist")</f>
        <v>https://www.google.com/search?newwindow=1&amp;ei=2MT0XrvGGM-vytMP1OyDgAY&amp;q=site%3Alinkedin.com+Anthony+Giannetta+Senior+Campus+Recruiting+Specialist</v>
      </c>
      <c r="K1241" s="5" t="str">
        <f t="shared" si="1"/>
        <v>Anthony Giannetta</v>
      </c>
      <c r="L1241" s="5" t="str">
        <f t="shared" si="2"/>
        <v>Senior Campus Recruiting Specialist</v>
      </c>
      <c r="M1241" s="5" t="str">
        <f t="shared" si="3"/>
        <v/>
      </c>
      <c r="N1241" s="5" t="str">
        <f t="shared" si="4"/>
        <v>Deloitte</v>
      </c>
      <c r="O1241" s="5" t="str">
        <f t="shared" si="5"/>
        <v>1 year 3 months in role</v>
      </c>
      <c r="P1241" s="5" t="str">
        <f t="shared" si="6"/>
        <v>Philadelphia</v>
      </c>
      <c r="Q1241" s="5" t="str">
        <f t="shared" si="7"/>
        <v>Pennsylvania</v>
      </c>
      <c r="R1241" s="5" t="str">
        <f t="shared" si="8"/>
        <v>United States</v>
      </c>
    </row>
    <row r="1242">
      <c r="A1242" s="8" t="s">
        <v>7888</v>
      </c>
      <c r="B1242" s="12" t="s">
        <v>1110</v>
      </c>
      <c r="C1242" s="10" t="s">
        <v>1111</v>
      </c>
      <c r="D1242" s="10"/>
      <c r="E1242" s="10" t="s">
        <v>1064</v>
      </c>
      <c r="F1242" s="10" t="s">
        <v>712</v>
      </c>
      <c r="G1242" s="11" t="s">
        <v>137</v>
      </c>
      <c r="H1242" s="11" t="s">
        <v>137</v>
      </c>
      <c r="I1242" s="11" t="s">
        <v>18</v>
      </c>
      <c r="J1242" s="9" t="str">
        <f>IFERROR(__xludf.DUMMYFUNCTION("""COMPUTED_VALUE"""),"https://www.google.com/search?newwindow=1&amp;ei=2MT0XrvGGM-vytMP1OyDgAY&amp;q=site%3Alinkedin.com+Hailey+Kaunert+Campus+Recruiting+Associate")</f>
        <v>https://www.google.com/search?newwindow=1&amp;ei=2MT0XrvGGM-vytMP1OyDgAY&amp;q=site%3Alinkedin.com+Hailey+Kaunert+Campus+Recruiting+Associate</v>
      </c>
      <c r="K1242" s="5" t="str">
        <f t="shared" si="1"/>
        <v>Hailey Kaunert</v>
      </c>
      <c r="L1242" s="5" t="str">
        <f t="shared" si="2"/>
        <v>Campus Recruiting Associate</v>
      </c>
      <c r="M1242" s="5" t="str">
        <f t="shared" si="3"/>
        <v/>
      </c>
      <c r="N1242" s="5" t="str">
        <f t="shared" si="4"/>
        <v>KPMG</v>
      </c>
      <c r="O1242" s="5" t="str">
        <f t="shared" si="5"/>
        <v>10 months in role</v>
      </c>
      <c r="P1242" s="5" t="str">
        <f t="shared" si="6"/>
        <v>Philadelphia</v>
      </c>
      <c r="Q1242" s="5" t="str">
        <f t="shared" si="7"/>
        <v>Pennsylvania</v>
      </c>
      <c r="R1242" s="5" t="str">
        <f t="shared" si="8"/>
        <v>United States</v>
      </c>
    </row>
    <row r="1243">
      <c r="A1243" s="8" t="s">
        <v>7889</v>
      </c>
      <c r="B1243" s="10" t="s">
        <v>7890</v>
      </c>
      <c r="C1243" s="10" t="s">
        <v>4749</v>
      </c>
      <c r="D1243" s="10"/>
      <c r="E1243" s="10" t="s">
        <v>3389</v>
      </c>
      <c r="F1243" s="10" t="s">
        <v>694</v>
      </c>
      <c r="G1243" s="11" t="s">
        <v>137</v>
      </c>
      <c r="H1243" s="11" t="s">
        <v>137</v>
      </c>
      <c r="I1243" s="11" t="s">
        <v>18</v>
      </c>
      <c r="J1243" s="9" t="str">
        <f>IFERROR(__xludf.DUMMYFUNCTION("""COMPUTED_VALUE"""),"https://www.google.com/search?newwindow=1&amp;ei=2MT0XrvGGM-vytMP1OyDgAY&amp;q=site%3Alinkedin.com+Allison+Monkman+Campus+Recruiting+Senior+Associate")</f>
        <v>https://www.google.com/search?newwindow=1&amp;ei=2MT0XrvGGM-vytMP1OyDgAY&amp;q=site%3Alinkedin.com+Allison+Monkman+Campus+Recruiting+Senior+Associate</v>
      </c>
      <c r="K1243" s="5" t="str">
        <f t="shared" si="1"/>
        <v>Allison Monkman</v>
      </c>
      <c r="L1243" s="5" t="str">
        <f t="shared" si="2"/>
        <v>Campus Recruiting Senior Associate</v>
      </c>
      <c r="M1243" s="5" t="str">
        <f t="shared" si="3"/>
        <v/>
      </c>
      <c r="N1243" s="5" t="str">
        <f t="shared" si="4"/>
        <v>KPMG US</v>
      </c>
      <c r="O1243" s="5" t="str">
        <f t="shared" si="5"/>
        <v>1 year 7 months in role</v>
      </c>
      <c r="P1243" s="5" t="str">
        <f t="shared" si="6"/>
        <v>Philadelphia</v>
      </c>
      <c r="Q1243" s="5" t="str">
        <f t="shared" si="7"/>
        <v>Pennsylvania</v>
      </c>
      <c r="R1243" s="5" t="str">
        <f t="shared" si="8"/>
        <v>United States</v>
      </c>
    </row>
    <row r="1244">
      <c r="A1244" s="8" t="s">
        <v>7891</v>
      </c>
      <c r="B1244" s="10" t="s">
        <v>7892</v>
      </c>
      <c r="C1244" s="10" t="s">
        <v>7893</v>
      </c>
      <c r="D1244" s="10"/>
      <c r="E1244" s="10" t="s">
        <v>2297</v>
      </c>
      <c r="F1244" s="10" t="s">
        <v>339</v>
      </c>
      <c r="G1244" s="11" t="s">
        <v>137</v>
      </c>
      <c r="H1244" s="11" t="s">
        <v>137</v>
      </c>
      <c r="I1244" s="11" t="s">
        <v>18</v>
      </c>
      <c r="J1244" s="9" t="str">
        <f>IFERROR(__xludf.DUMMYFUNCTION("""COMPUTED_VALUE"""),"https://www.google.com/search?newwindow=1&amp;ei=2MT0XrvGGM-vytMP1OyDgAY&amp;q=site%3Alinkedin.com+Emilie+Patterson+Campus+Recruiting+Specialist")</f>
        <v>https://www.google.com/search?newwindow=1&amp;ei=2MT0XrvGGM-vytMP1OyDgAY&amp;q=site%3Alinkedin.com+Emilie+Patterson+Campus+Recruiting+Specialist</v>
      </c>
      <c r="K1244" s="5" t="str">
        <f t="shared" si="1"/>
        <v>Emilie Patterson</v>
      </c>
      <c r="L1244" s="5" t="str">
        <f t="shared" si="2"/>
        <v>Campus Recruiting Specialist</v>
      </c>
      <c r="M1244" s="5" t="str">
        <f t="shared" si="3"/>
        <v/>
      </c>
      <c r="N1244" s="5" t="str">
        <f t="shared" si="4"/>
        <v>Deloitte</v>
      </c>
      <c r="O1244" s="5" t="str">
        <f t="shared" si="5"/>
        <v>3 years 2 months in role and company</v>
      </c>
      <c r="P1244" s="5" t="str">
        <f t="shared" si="6"/>
        <v>Philadelphia</v>
      </c>
      <c r="Q1244" s="5" t="str">
        <f t="shared" si="7"/>
        <v>Pennsylvania</v>
      </c>
      <c r="R1244" s="5" t="str">
        <f t="shared" si="8"/>
        <v>United States</v>
      </c>
    </row>
    <row r="1245">
      <c r="A1245" s="8" t="s">
        <v>7894</v>
      </c>
      <c r="B1245" s="10" t="s">
        <v>7895</v>
      </c>
      <c r="C1245" s="10" t="s">
        <v>7896</v>
      </c>
      <c r="D1245" s="10"/>
      <c r="E1245" s="10" t="s">
        <v>1064</v>
      </c>
      <c r="F1245" s="10" t="s">
        <v>331</v>
      </c>
      <c r="G1245" s="11" t="s">
        <v>137</v>
      </c>
      <c r="H1245" s="11" t="s">
        <v>137</v>
      </c>
      <c r="I1245" s="11" t="s">
        <v>18</v>
      </c>
      <c r="J1245" s="9" t="str">
        <f>IFERROR(__xludf.DUMMYFUNCTION("""COMPUTED_VALUE"""),"https://www.google.com/search?newwindow=1&amp;ei=2MT0XrvGGM-vytMP1OyDgAY&amp;q=site%3Alinkedin.com+Robert+Leonetti,+MBA+MFC+BA+Portfolio+Team+Lead+-+Talent+Acquisition+-+University+Relations+&amp;+Recruitment+Partner")</f>
        <v>https://www.google.com/search?newwindow=1&amp;ei=2MT0XrvGGM-vytMP1OyDgAY&amp;q=site%3Alinkedin.com+Robert+Leonetti,+MBA+MFC+BA+Portfolio+Team+Lead+-+Talent+Acquisition+-+University+Relations+&amp;+Recruitment+Partner</v>
      </c>
      <c r="K1245" s="5" t="str">
        <f t="shared" si="1"/>
        <v>Robert Leonetti, MBA</v>
      </c>
      <c r="L1245" s="5" t="str">
        <f t="shared" si="2"/>
        <v>MFC BA Portfolio Team Lead - Talent Acquisition - University Relations &amp; Recruitment Partner</v>
      </c>
      <c r="M1245" s="5" t="str">
        <f t="shared" si="3"/>
        <v/>
      </c>
      <c r="N1245" s="5" t="str">
        <f t="shared" si="4"/>
        <v>Lockheed Martin</v>
      </c>
      <c r="O1245" s="5" t="str">
        <f t="shared" si="5"/>
        <v>1 year 10 months in role and company</v>
      </c>
      <c r="P1245" s="5" t="str">
        <f t="shared" si="6"/>
        <v>Philadelphia</v>
      </c>
      <c r="Q1245" s="5" t="str">
        <f t="shared" si="7"/>
        <v>Pennsylvania</v>
      </c>
      <c r="R1245" s="5" t="str">
        <f t="shared" si="8"/>
        <v>United States</v>
      </c>
    </row>
    <row r="1246">
      <c r="A1246" s="8" t="s">
        <v>7897</v>
      </c>
      <c r="B1246" s="12" t="s">
        <v>7898</v>
      </c>
      <c r="C1246" s="10" t="s">
        <v>7899</v>
      </c>
      <c r="D1246" s="10"/>
      <c r="E1246" s="10" t="s">
        <v>3389</v>
      </c>
      <c r="F1246" s="10" t="s">
        <v>512</v>
      </c>
      <c r="G1246" s="11" t="s">
        <v>137</v>
      </c>
      <c r="H1246" s="11" t="s">
        <v>137</v>
      </c>
      <c r="I1246" s="11" t="s">
        <v>18</v>
      </c>
      <c r="J1246" s="9" t="str">
        <f>IFERROR(__xludf.DUMMYFUNCTION("""COMPUTED_VALUE"""),"https://www.google.com/search?newwindow=1&amp;ei=2MT0XrvGGM-vytMP1OyDgAY&amp;q=site%3Alinkedin.com+Kristen+Spiridon+Campus+Recruiting")</f>
        <v>https://www.google.com/search?newwindow=1&amp;ei=2MT0XrvGGM-vytMP1OyDgAY&amp;q=site%3Alinkedin.com+Kristen+Spiridon+Campus+Recruiting</v>
      </c>
      <c r="K1246" s="5" t="str">
        <f t="shared" si="1"/>
        <v>Kristen Spiridon</v>
      </c>
      <c r="L1246" s="5" t="str">
        <f t="shared" si="2"/>
        <v>Campus Recruiting</v>
      </c>
      <c r="M1246" s="5" t="str">
        <f t="shared" si="3"/>
        <v/>
      </c>
      <c r="N1246" s="5" t="str">
        <f t="shared" si="4"/>
        <v>EY</v>
      </c>
      <c r="O1246" s="5" t="str">
        <f t="shared" si="5"/>
        <v>3 years 2 months in role and company</v>
      </c>
      <c r="P1246" s="5" t="str">
        <f t="shared" si="6"/>
        <v>Philadelphia</v>
      </c>
      <c r="Q1246" s="5" t="str">
        <f t="shared" si="7"/>
        <v>Pennsylvania</v>
      </c>
      <c r="R1246" s="5" t="str">
        <f t="shared" si="8"/>
        <v>United States</v>
      </c>
    </row>
    <row r="1247">
      <c r="A1247" s="8" t="s">
        <v>7900</v>
      </c>
      <c r="B1247" s="12" t="s">
        <v>7901</v>
      </c>
      <c r="C1247" s="10" t="s">
        <v>7902</v>
      </c>
      <c r="D1247" s="10"/>
      <c r="E1247" s="10" t="s">
        <v>2839</v>
      </c>
      <c r="F1247" s="10" t="s">
        <v>376</v>
      </c>
      <c r="G1247" s="11" t="s">
        <v>137</v>
      </c>
      <c r="H1247" s="11" t="s">
        <v>137</v>
      </c>
      <c r="I1247" s="11" t="s">
        <v>18</v>
      </c>
      <c r="J1247" s="9" t="str">
        <f>IFERROR(__xludf.DUMMYFUNCTION("""COMPUTED_VALUE"""),"https://www.google.com/search?newwindow=1&amp;ei=2MT0XrvGGM-vytMP1OyDgAY&amp;q=site%3Alinkedin.com+Alexandra+Barbacane+Campus+Recruiting")</f>
        <v>https://www.google.com/search?newwindow=1&amp;ei=2MT0XrvGGM-vytMP1OyDgAY&amp;q=site%3Alinkedin.com+Alexandra+Barbacane+Campus+Recruiting</v>
      </c>
      <c r="K1247" s="5" t="str">
        <f t="shared" si="1"/>
        <v>Alexandra Barbacane</v>
      </c>
      <c r="L1247" s="5" t="str">
        <f t="shared" si="2"/>
        <v>Campus Recruiting</v>
      </c>
      <c r="M1247" s="5" t="str">
        <f t="shared" si="3"/>
        <v/>
      </c>
      <c r="N1247" s="5" t="str">
        <f t="shared" si="4"/>
        <v>EY</v>
      </c>
      <c r="O1247" s="5" t="str">
        <f t="shared" si="5"/>
        <v>1 year 4 months in role and company</v>
      </c>
      <c r="P1247" s="5" t="str">
        <f t="shared" si="6"/>
        <v>Philadelphia</v>
      </c>
      <c r="Q1247" s="5" t="str">
        <f t="shared" si="7"/>
        <v>Pennsylvania</v>
      </c>
      <c r="R1247" s="5" t="str">
        <f t="shared" si="8"/>
        <v>United States</v>
      </c>
    </row>
    <row r="1248">
      <c r="A1248" s="8" t="s">
        <v>7903</v>
      </c>
      <c r="B1248" s="12" t="s">
        <v>7904</v>
      </c>
      <c r="C1248" s="10" t="s">
        <v>7905</v>
      </c>
      <c r="D1248" s="10"/>
      <c r="E1248" s="10" t="s">
        <v>2297</v>
      </c>
      <c r="F1248" s="10" t="s">
        <v>63</v>
      </c>
      <c r="G1248" s="11" t="s">
        <v>137</v>
      </c>
      <c r="H1248" s="11" t="s">
        <v>137</v>
      </c>
      <c r="I1248" s="11" t="s">
        <v>18</v>
      </c>
      <c r="J1248" s="9" t="str">
        <f>IFERROR(__xludf.DUMMYFUNCTION("""COMPUTED_VALUE"""),"https://www.google.com/search?newwindow=1&amp;ei=2MT0XrvGGM-vytMP1OyDgAY&amp;q=site%3Alinkedin.com+Chris+D.+Vice+President,+NAMR+Campus+Recruiting+Ops+Manager")</f>
        <v>https://www.google.com/search?newwindow=1&amp;ei=2MT0XrvGGM-vytMP1OyDgAY&amp;q=site%3Alinkedin.com+Chris+D.+Vice+President,+NAMR+Campus+Recruiting+Ops+Manager</v>
      </c>
      <c r="K1248" s="5" t="str">
        <f t="shared" si="1"/>
        <v>Chris D.</v>
      </c>
      <c r="L1248" s="5" t="str">
        <f t="shared" si="2"/>
        <v>Vice President, NAMR Campus Recruiting Ops Manager</v>
      </c>
      <c r="M1248" s="5" t="str">
        <f t="shared" si="3"/>
        <v/>
      </c>
      <c r="N1248" s="5" t="str">
        <f t="shared" si="4"/>
        <v>JPMorgan Chase &amp; Co.</v>
      </c>
      <c r="O1248" s="5" t="str">
        <f t="shared" si="5"/>
        <v>6 months in role</v>
      </c>
      <c r="P1248" s="5" t="str">
        <f t="shared" si="6"/>
        <v>Philadelphia</v>
      </c>
      <c r="Q1248" s="5" t="str">
        <f t="shared" si="7"/>
        <v>Pennsylvania</v>
      </c>
      <c r="R1248" s="5" t="str">
        <f t="shared" si="8"/>
        <v>United States</v>
      </c>
    </row>
    <row r="1249">
      <c r="A1249" s="8" t="s">
        <v>7906</v>
      </c>
      <c r="B1249" s="12" t="s">
        <v>3406</v>
      </c>
      <c r="C1249" s="10" t="s">
        <v>3407</v>
      </c>
      <c r="D1249" s="10"/>
      <c r="E1249" s="10" t="s">
        <v>3389</v>
      </c>
      <c r="F1249" s="10" t="s">
        <v>523</v>
      </c>
      <c r="G1249" s="11" t="s">
        <v>137</v>
      </c>
      <c r="H1249" s="11" t="s">
        <v>137</v>
      </c>
      <c r="I1249" s="11" t="s">
        <v>18</v>
      </c>
      <c r="J1249" s="9" t="str">
        <f>IFERROR(__xludf.DUMMYFUNCTION("""COMPUTED_VALUE"""),"https://www.google.com/search?newwindow=1&amp;ei=2MT0XrvGGM-vytMP1OyDgAY&amp;q=site%3Alinkedin.com+Mary+Bongart+Campus+Recruiter")</f>
        <v>https://www.google.com/search?newwindow=1&amp;ei=2MT0XrvGGM-vytMP1OyDgAY&amp;q=site%3Alinkedin.com+Mary+Bongart+Campus+Recruiter</v>
      </c>
      <c r="K1249" s="5" t="str">
        <f t="shared" si="1"/>
        <v>Mary Bongart</v>
      </c>
      <c r="L1249" s="5" t="str">
        <f t="shared" si="2"/>
        <v>Campus Recruiter</v>
      </c>
      <c r="M1249" s="5" t="str">
        <f t="shared" si="3"/>
        <v/>
      </c>
      <c r="N1249" s="5" t="str">
        <f t="shared" si="4"/>
        <v>EY</v>
      </c>
      <c r="O1249" s="5" t="str">
        <f t="shared" si="5"/>
        <v>3 years 8 months in role</v>
      </c>
      <c r="P1249" s="5" t="str">
        <f t="shared" si="6"/>
        <v>Philadelphia</v>
      </c>
      <c r="Q1249" s="5" t="str">
        <f t="shared" si="7"/>
        <v>Pennsylvania</v>
      </c>
      <c r="R1249" s="5" t="str">
        <f t="shared" si="8"/>
        <v>United States</v>
      </c>
    </row>
    <row r="1250">
      <c r="A1250" s="8" t="s">
        <v>7907</v>
      </c>
      <c r="B1250" s="10" t="s">
        <v>7908</v>
      </c>
      <c r="C1250" s="10" t="s">
        <v>1896</v>
      </c>
      <c r="D1250" s="10"/>
      <c r="E1250" s="10" t="s">
        <v>4701</v>
      </c>
      <c r="F1250" s="10" t="s">
        <v>26</v>
      </c>
      <c r="G1250" s="11" t="s">
        <v>137</v>
      </c>
      <c r="H1250" s="11" t="s">
        <v>137</v>
      </c>
      <c r="I1250" s="11" t="s">
        <v>18</v>
      </c>
      <c r="J1250" s="9" t="str">
        <f>IFERROR(__xludf.DUMMYFUNCTION("""COMPUTED_VALUE"""),"https://www.google.com/search?newwindow=1&amp;ei=2MT0XrvGGM-vytMP1OyDgAY&amp;q=site%3Alinkedin.com+Melyssa+Rothstein+Campus+Recruiting+Coordinator")</f>
        <v>https://www.google.com/search?newwindow=1&amp;ei=2MT0XrvGGM-vytMP1OyDgAY&amp;q=site%3Alinkedin.com+Melyssa+Rothstein+Campus+Recruiting+Coordinator</v>
      </c>
      <c r="K1250" s="5" t="str">
        <f t="shared" si="1"/>
        <v>Melyssa Rothstein</v>
      </c>
      <c r="L1250" s="5" t="str">
        <f t="shared" si="2"/>
        <v>Campus Recruiting Coordinator</v>
      </c>
      <c r="M1250" s="5" t="str">
        <f t="shared" si="3"/>
        <v/>
      </c>
      <c r="N1250" s="5" t="str">
        <f t="shared" si="4"/>
        <v>KPMG</v>
      </c>
      <c r="O1250" s="5" t="str">
        <f t="shared" si="5"/>
        <v>2 years 10 months in role and company</v>
      </c>
      <c r="P1250" s="5" t="str">
        <f t="shared" si="6"/>
        <v>Philadelphia</v>
      </c>
      <c r="Q1250" s="5" t="str">
        <f t="shared" si="7"/>
        <v>Pennsylvania</v>
      </c>
      <c r="R1250" s="5" t="str">
        <f t="shared" si="8"/>
        <v>United States</v>
      </c>
    </row>
    <row r="1251">
      <c r="A1251" s="8" t="s">
        <v>7909</v>
      </c>
      <c r="B1251" s="10" t="s">
        <v>7910</v>
      </c>
      <c r="C1251" s="10" t="s">
        <v>7911</v>
      </c>
      <c r="D1251" s="10"/>
      <c r="E1251" s="10" t="s">
        <v>2297</v>
      </c>
      <c r="F1251" s="10" t="s">
        <v>909</v>
      </c>
      <c r="G1251" s="11" t="s">
        <v>137</v>
      </c>
      <c r="H1251" s="11" t="s">
        <v>137</v>
      </c>
      <c r="I1251" s="11" t="s">
        <v>18</v>
      </c>
      <c r="J1251" s="9" t="str">
        <f>IFERROR(__xludf.DUMMYFUNCTION("""COMPUTED_VALUE"""),"https://www.google.com/search?newwindow=1&amp;ei=2MT0XrvGGM-vytMP1OyDgAY&amp;q=site%3Alinkedin.com+Jessica+Cracchiolo+Firmwide+Diversity+Campus+Recruiting")</f>
        <v>https://www.google.com/search?newwindow=1&amp;ei=2MT0XrvGGM-vytMP1OyDgAY&amp;q=site%3Alinkedin.com+Jessica+Cracchiolo+Firmwide+Diversity+Campus+Recruiting</v>
      </c>
      <c r="K1251" s="5" t="str">
        <f t="shared" si="1"/>
        <v>Jessica Cracchiolo</v>
      </c>
      <c r="L1251" s="5" t="str">
        <f t="shared" si="2"/>
        <v>Firmwide Diversity Campus Recruiting</v>
      </c>
      <c r="M1251" s="5" t="str">
        <f t="shared" si="3"/>
        <v/>
      </c>
      <c r="N1251" s="5" t="str">
        <f t="shared" si="4"/>
        <v>JPMorgan Chase &amp; Co.</v>
      </c>
      <c r="O1251" s="5" t="str">
        <f t="shared" si="5"/>
        <v>7 months in role and company</v>
      </c>
      <c r="P1251" s="5" t="str">
        <f t="shared" si="6"/>
        <v>Philadelphia</v>
      </c>
      <c r="Q1251" s="5" t="str">
        <f t="shared" si="7"/>
        <v>Pennsylvania</v>
      </c>
      <c r="R1251" s="5" t="str">
        <f t="shared" si="8"/>
        <v>United States</v>
      </c>
    </row>
    <row r="1252">
      <c r="A1252" s="8" t="s">
        <v>7912</v>
      </c>
      <c r="B1252" s="10" t="s">
        <v>7913</v>
      </c>
      <c r="C1252" s="10" t="s">
        <v>2911</v>
      </c>
      <c r="D1252" s="10"/>
      <c r="E1252" s="10" t="s">
        <v>1560</v>
      </c>
      <c r="F1252" s="10" t="s">
        <v>7914</v>
      </c>
      <c r="G1252" s="11" t="s">
        <v>137</v>
      </c>
      <c r="H1252" s="11" t="s">
        <v>137</v>
      </c>
      <c r="I1252" s="11" t="s">
        <v>18</v>
      </c>
      <c r="J1252" s="9" t="str">
        <f>IFERROR(__xludf.DUMMYFUNCTION("""COMPUTED_VALUE"""),"https://www.google.com/search?newwindow=1&amp;ei=2MT0XrvGGM-vytMP1OyDgAY&amp;q=site%3Alinkedin.com+Bette+Kozlowski+Director+Campus+Recruiting")</f>
        <v>https://www.google.com/search?newwindow=1&amp;ei=2MT0XrvGGM-vytMP1OyDgAY&amp;q=site%3Alinkedin.com+Bette+Kozlowski+Director+Campus+Recruiting</v>
      </c>
      <c r="K1252" s="5" t="str">
        <f t="shared" si="1"/>
        <v>Bette Kozlowski</v>
      </c>
      <c r="L1252" s="5" t="str">
        <f t="shared" si="2"/>
        <v>Director Campus Recruiting</v>
      </c>
      <c r="M1252" s="5" t="str">
        <f t="shared" si="3"/>
        <v/>
      </c>
      <c r="N1252" s="5" t="str">
        <f t="shared" si="4"/>
        <v>KPMG LLP</v>
      </c>
      <c r="O1252" s="5" t="str">
        <f t="shared" si="5"/>
        <v/>
      </c>
      <c r="P1252" s="5" t="str">
        <f t="shared" si="6"/>
        <v>Philadelphia</v>
      </c>
      <c r="Q1252" s="5" t="str">
        <f t="shared" si="7"/>
        <v>Pennsylvania</v>
      </c>
      <c r="R1252" s="5" t="str">
        <f t="shared" si="8"/>
        <v>United States</v>
      </c>
    </row>
    <row r="1253">
      <c r="A1253" s="8" t="s">
        <v>7915</v>
      </c>
      <c r="B1253" s="12" t="s">
        <v>2878</v>
      </c>
      <c r="C1253" s="10" t="s">
        <v>2879</v>
      </c>
      <c r="D1253" s="10"/>
      <c r="E1253" s="10" t="s">
        <v>2839</v>
      </c>
      <c r="F1253" s="10" t="s">
        <v>2288</v>
      </c>
      <c r="G1253" s="11" t="s">
        <v>137</v>
      </c>
      <c r="H1253" s="11" t="s">
        <v>137</v>
      </c>
      <c r="I1253" s="11" t="s">
        <v>18</v>
      </c>
      <c r="J1253" s="9" t="str">
        <f>IFERROR(__xludf.DUMMYFUNCTION("""COMPUTED_VALUE"""),"https://www.google.com/search?newwindow=1&amp;ei=2MT0XrvGGM-vytMP1OyDgAY&amp;q=site%3Alinkedin.com+Oscar+Ventura+Penalo+Campus+Recruiting")</f>
        <v>https://www.google.com/search?newwindow=1&amp;ei=2MT0XrvGGM-vytMP1OyDgAY&amp;q=site%3Alinkedin.com+Oscar+Ventura+Penalo+Campus+Recruiting</v>
      </c>
      <c r="K1253" s="5" t="str">
        <f t="shared" si="1"/>
        <v>Oscar Ventura Penalo</v>
      </c>
      <c r="L1253" s="5" t="str">
        <f t="shared" si="2"/>
        <v>Campus Recruiting</v>
      </c>
      <c r="M1253" s="5" t="str">
        <f t="shared" si="3"/>
        <v/>
      </c>
      <c r="N1253" s="5" t="str">
        <f t="shared" si="4"/>
        <v>KPMG US</v>
      </c>
      <c r="O1253" s="5" t="str">
        <f t="shared" si="5"/>
        <v>1 year 2 months in role and company</v>
      </c>
      <c r="P1253" s="5" t="str">
        <f t="shared" si="6"/>
        <v>Philadelphia</v>
      </c>
      <c r="Q1253" s="5" t="str">
        <f t="shared" si="7"/>
        <v>Pennsylvania</v>
      </c>
      <c r="R1253" s="5" t="str">
        <f t="shared" si="8"/>
        <v>United States</v>
      </c>
    </row>
    <row r="1254">
      <c r="A1254" s="8" t="s">
        <v>7916</v>
      </c>
      <c r="B1254" s="12" t="s">
        <v>2720</v>
      </c>
      <c r="C1254" s="10" t="s">
        <v>2721</v>
      </c>
      <c r="D1254" s="10"/>
      <c r="E1254" s="10" t="s">
        <v>4611</v>
      </c>
      <c r="F1254" s="10" t="s">
        <v>496</v>
      </c>
      <c r="G1254" s="11" t="s">
        <v>137</v>
      </c>
      <c r="H1254" s="11" t="s">
        <v>137</v>
      </c>
      <c r="I1254" s="11" t="s">
        <v>18</v>
      </c>
      <c r="J1254" s="9" t="str">
        <f>IFERROR(__xludf.DUMMYFUNCTION("""COMPUTED_VALUE"""),"https://www.google.com/search?newwindow=1&amp;ei=2MT0XrvGGM-vytMP1OyDgAY&amp;q=site%3Alinkedin.com+Lisa+Earley+Campus+Recruiting+Coordinator")</f>
        <v>https://www.google.com/search?newwindow=1&amp;ei=2MT0XrvGGM-vytMP1OyDgAY&amp;q=site%3Alinkedin.com+Lisa+Earley+Campus+Recruiting+Coordinator</v>
      </c>
      <c r="K1254" s="5" t="str">
        <f t="shared" si="1"/>
        <v>Lisa Earley</v>
      </c>
      <c r="L1254" s="5" t="str">
        <f t="shared" si="2"/>
        <v>Campus Recruiting Coordinator</v>
      </c>
      <c r="M1254" s="5" t="str">
        <f t="shared" si="3"/>
        <v/>
      </c>
      <c r="N1254" s="5" t="str">
        <f t="shared" si="4"/>
        <v>JPMorgan Chase &amp; Co.</v>
      </c>
      <c r="O1254" s="5" t="str">
        <f t="shared" si="5"/>
        <v>1 year 2 months in role and company</v>
      </c>
      <c r="P1254" s="5" t="str">
        <f t="shared" si="6"/>
        <v>Philadelphia</v>
      </c>
      <c r="Q1254" s="5" t="str">
        <f t="shared" si="7"/>
        <v>Pennsylvania</v>
      </c>
      <c r="R1254" s="5" t="str">
        <f t="shared" si="8"/>
        <v>United States</v>
      </c>
    </row>
    <row r="1255">
      <c r="A1255" s="8" t="s">
        <v>7917</v>
      </c>
      <c r="B1255" s="10" t="s">
        <v>3723</v>
      </c>
      <c r="C1255" s="10" t="s">
        <v>3724</v>
      </c>
      <c r="D1255" s="10"/>
      <c r="E1255" s="10" t="s">
        <v>3649</v>
      </c>
      <c r="F1255" s="10" t="s">
        <v>365</v>
      </c>
      <c r="G1255" s="11" t="s">
        <v>137</v>
      </c>
      <c r="H1255" s="11" t="s">
        <v>137</v>
      </c>
      <c r="I1255" s="11" t="s">
        <v>18</v>
      </c>
      <c r="J1255" s="9" t="str">
        <f>IFERROR(__xludf.DUMMYFUNCTION("""COMPUTED_VALUE"""),"https://www.google.com/search?newwindow=1&amp;ei=2MT0XrvGGM-vytMP1OyDgAY&amp;q=site%3Alinkedin.com+Kaitlin+McDermott+Hopkins,+SHRM-SCP+Mid-Atlantic+Campus+Recruiting+Lead+|+Senior+Manager")</f>
        <v>https://www.google.com/search?newwindow=1&amp;ei=2MT0XrvGGM-vytMP1OyDgAY&amp;q=site%3Alinkedin.com+Kaitlin+McDermott+Hopkins,+SHRM-SCP+Mid-Atlantic+Campus+Recruiting+Lead+|+Senior+Manager</v>
      </c>
      <c r="K1255" s="5" t="str">
        <f t="shared" si="1"/>
        <v>Kaitlin McDermott Hopkins, SHRM-SCP</v>
      </c>
      <c r="L1255" s="5" t="str">
        <f t="shared" si="2"/>
        <v>Mid-Atlantic Campus Recruiting Lead | Senior Manager</v>
      </c>
      <c r="M1255" s="5" t="str">
        <f t="shared" si="3"/>
        <v/>
      </c>
      <c r="N1255" s="5" t="str">
        <f t="shared" si="4"/>
        <v>PwC</v>
      </c>
      <c r="O1255" s="5" t="str">
        <f t="shared" si="5"/>
        <v>2 years  in role</v>
      </c>
      <c r="P1255" s="5" t="str">
        <f t="shared" si="6"/>
        <v>Philadelphia</v>
      </c>
      <c r="Q1255" s="5" t="str">
        <f t="shared" si="7"/>
        <v>Pennsylvania</v>
      </c>
      <c r="R1255" s="5" t="str">
        <f t="shared" si="8"/>
        <v>United States</v>
      </c>
    </row>
    <row r="1256">
      <c r="A1256" s="8" t="s">
        <v>7918</v>
      </c>
      <c r="B1256" s="10" t="s">
        <v>3409</v>
      </c>
      <c r="C1256" s="10" t="s">
        <v>2155</v>
      </c>
      <c r="D1256" s="10"/>
      <c r="E1256" s="10" t="s">
        <v>3389</v>
      </c>
      <c r="F1256" s="10" t="s">
        <v>512</v>
      </c>
      <c r="G1256" s="11" t="s">
        <v>137</v>
      </c>
      <c r="H1256" s="11" t="s">
        <v>137</v>
      </c>
      <c r="I1256" s="11" t="s">
        <v>18</v>
      </c>
      <c r="J1256" s="9" t="str">
        <f>IFERROR(__xludf.DUMMYFUNCTION("""COMPUTED_VALUE"""),"https://www.google.com/search?newwindow=1&amp;ei=2MT0XrvGGM-vytMP1OyDgAY&amp;q=site%3Alinkedin.com+Gore+Kamara+Jr.+Campus+Tax+Business+Recruiting+Associate")</f>
        <v>https://www.google.com/search?newwindow=1&amp;ei=2MT0XrvGGM-vytMP1OyDgAY&amp;q=site%3Alinkedin.com+Gore+Kamara+Jr.+Campus+Tax+Business+Recruiting+Associate</v>
      </c>
      <c r="K1256" s="5" t="str">
        <f t="shared" si="1"/>
        <v>Gore Kamara Jr.</v>
      </c>
      <c r="L1256" s="5" t="str">
        <f t="shared" si="2"/>
        <v>Campus Tax Business Recruiting Associate</v>
      </c>
      <c r="M1256" s="5" t="str">
        <f t="shared" si="3"/>
        <v/>
      </c>
      <c r="N1256" s="5" t="str">
        <f t="shared" si="4"/>
        <v>PwC</v>
      </c>
      <c r="O1256" s="5" t="str">
        <f t="shared" si="5"/>
        <v>2 years 3 months in role</v>
      </c>
      <c r="P1256" s="5" t="str">
        <f t="shared" si="6"/>
        <v>Philadelphia</v>
      </c>
      <c r="Q1256" s="5" t="str">
        <f t="shared" si="7"/>
        <v>Pennsylvania</v>
      </c>
      <c r="R1256" s="5" t="str">
        <f t="shared" si="8"/>
        <v>United States</v>
      </c>
    </row>
    <row r="1257">
      <c r="A1257" s="8" t="s">
        <v>7919</v>
      </c>
      <c r="B1257" s="12" t="s">
        <v>7920</v>
      </c>
      <c r="C1257" s="10" t="s">
        <v>1378</v>
      </c>
      <c r="D1257" s="10"/>
      <c r="E1257" s="10" t="s">
        <v>1233</v>
      </c>
      <c r="F1257" s="10" t="s">
        <v>106</v>
      </c>
      <c r="G1257" s="11" t="s">
        <v>137</v>
      </c>
      <c r="H1257" s="11" t="s">
        <v>137</v>
      </c>
      <c r="I1257" s="11" t="s">
        <v>18</v>
      </c>
      <c r="J1257" s="9" t="str">
        <f>IFERROR(__xludf.DUMMYFUNCTION("""COMPUTED_VALUE"""),"https://www.google.com/search?newwindow=1&amp;ei=2MT0XrvGGM-vytMP1OyDgAY&amp;q=site%3Alinkedin.com+Melissa+(Uhniat)+Sweeney+Manager,+Experienced+Hire+Recruiting")</f>
        <v>https://www.google.com/search?newwindow=1&amp;ei=2MT0XrvGGM-vytMP1OyDgAY&amp;q=site%3Alinkedin.com+Melissa+(Uhniat)+Sweeney+Manager,+Experienced+Hire+Recruiting</v>
      </c>
      <c r="K1257" s="5" t="str">
        <f t="shared" si="1"/>
        <v>Melissa (Uhniat) Sweeney</v>
      </c>
      <c r="L1257" s="5" t="str">
        <f t="shared" si="2"/>
        <v>Manager, Experienced Hire Recruiting</v>
      </c>
      <c r="M1257" s="5" t="str">
        <f t="shared" si="3"/>
        <v/>
      </c>
      <c r="N1257" s="5" t="str">
        <f t="shared" si="4"/>
        <v>Deloitte</v>
      </c>
      <c r="O1257" s="5" t="str">
        <f t="shared" si="5"/>
        <v>1 year 5 months in role</v>
      </c>
      <c r="P1257" s="5" t="str">
        <f t="shared" si="6"/>
        <v>Philadelphia</v>
      </c>
      <c r="Q1257" s="5" t="str">
        <f t="shared" si="7"/>
        <v>Pennsylvania</v>
      </c>
      <c r="R1257" s="5" t="str">
        <f t="shared" si="8"/>
        <v>United States</v>
      </c>
    </row>
    <row r="1258">
      <c r="A1258" s="8" t="s">
        <v>7921</v>
      </c>
      <c r="B1258" s="12" t="s">
        <v>3411</v>
      </c>
      <c r="C1258" s="10" t="s">
        <v>2155</v>
      </c>
      <c r="D1258" s="10"/>
      <c r="E1258" s="10" t="s">
        <v>3389</v>
      </c>
      <c r="F1258" s="10" t="s">
        <v>3110</v>
      </c>
      <c r="G1258" s="11" t="s">
        <v>137</v>
      </c>
      <c r="H1258" s="11" t="s">
        <v>137</v>
      </c>
      <c r="I1258" s="11" t="s">
        <v>18</v>
      </c>
      <c r="J1258" s="9" t="str">
        <f>IFERROR(__xludf.DUMMYFUNCTION("""COMPUTED_VALUE"""),"https://www.google.com/search?newwindow=1&amp;ei=2MT0XrvGGM-vytMP1OyDgAY&amp;q=site%3Alinkedin.com+Porsha+Alexander+Strategy+Campus+Recruiting+Associate+Manager")</f>
        <v>https://www.google.com/search?newwindow=1&amp;ei=2MT0XrvGGM-vytMP1OyDgAY&amp;q=site%3Alinkedin.com+Porsha+Alexander+Strategy+Campus+Recruiting+Associate+Manager</v>
      </c>
      <c r="K1258" s="5" t="str">
        <f t="shared" si="1"/>
        <v>Porsha Alexander</v>
      </c>
      <c r="L1258" s="5" t="str">
        <f t="shared" si="2"/>
        <v>Strategy Campus Recruiting Associate Manager</v>
      </c>
      <c r="M1258" s="5" t="str">
        <f t="shared" si="3"/>
        <v/>
      </c>
      <c r="N1258" s="5" t="str">
        <f t="shared" si="4"/>
        <v>Accenture</v>
      </c>
      <c r="O1258" s="5" t="str">
        <f t="shared" si="5"/>
        <v>2 years 4 months in role</v>
      </c>
      <c r="P1258" s="5" t="str">
        <f t="shared" si="6"/>
        <v>Philadelphia</v>
      </c>
      <c r="Q1258" s="5" t="str">
        <f t="shared" si="7"/>
        <v>Pennsylvania</v>
      </c>
      <c r="R1258" s="5" t="str">
        <f t="shared" si="8"/>
        <v>United States</v>
      </c>
    </row>
    <row r="1259">
      <c r="A1259" s="8" t="s">
        <v>7922</v>
      </c>
      <c r="B1259" s="12" t="s">
        <v>7923</v>
      </c>
      <c r="C1259" s="10" t="s">
        <v>5102</v>
      </c>
      <c r="D1259" s="10"/>
      <c r="E1259" s="10" t="s">
        <v>2297</v>
      </c>
      <c r="F1259" s="10" t="s">
        <v>144</v>
      </c>
      <c r="G1259" s="11" t="s">
        <v>137</v>
      </c>
      <c r="H1259" s="11" t="s">
        <v>137</v>
      </c>
      <c r="I1259" s="11" t="s">
        <v>18</v>
      </c>
      <c r="J1259" s="9" t="str">
        <f>IFERROR(__xludf.DUMMYFUNCTION("""COMPUTED_VALUE"""),"https://www.google.com/search?newwindow=1&amp;ei=2MT0XrvGGM-vytMP1OyDgAY&amp;q=site%3Alinkedin.com+Bridget+O'Malley+Campus+Recruiting+Associate")</f>
        <v>https://www.google.com/search?newwindow=1&amp;ei=2MT0XrvGGM-vytMP1OyDgAY&amp;q=site%3Alinkedin.com+Bridget+O'Malley+Campus+Recruiting+Associate</v>
      </c>
      <c r="K1259" s="5" t="str">
        <f t="shared" si="1"/>
        <v>Bridget O'Malley</v>
      </c>
      <c r="L1259" s="5" t="str">
        <f t="shared" si="2"/>
        <v>Campus Recruiting Associate</v>
      </c>
      <c r="M1259" s="5" t="str">
        <f t="shared" si="3"/>
        <v/>
      </c>
      <c r="N1259" s="5" t="str">
        <f t="shared" si="4"/>
        <v>Accenture</v>
      </c>
      <c r="O1259" s="5" t="str">
        <f t="shared" si="5"/>
        <v>1 year  in role and company</v>
      </c>
      <c r="P1259" s="5" t="str">
        <f t="shared" si="6"/>
        <v>Philadelphia</v>
      </c>
      <c r="Q1259" s="5" t="str">
        <f t="shared" si="7"/>
        <v>Pennsylvania</v>
      </c>
      <c r="R1259" s="5" t="str">
        <f t="shared" si="8"/>
        <v>United States</v>
      </c>
    </row>
    <row r="1260">
      <c r="A1260" s="8" t="s">
        <v>7924</v>
      </c>
      <c r="B1260" s="12" t="s">
        <v>7925</v>
      </c>
      <c r="C1260" s="10" t="s">
        <v>7926</v>
      </c>
      <c r="D1260" s="10"/>
      <c r="E1260" s="10" t="s">
        <v>7927</v>
      </c>
      <c r="F1260" s="10" t="s">
        <v>121</v>
      </c>
      <c r="G1260" s="11" t="s">
        <v>137</v>
      </c>
      <c r="H1260" s="11" t="s">
        <v>137</v>
      </c>
      <c r="I1260" s="11" t="s">
        <v>18</v>
      </c>
      <c r="J1260" s="9" t="str">
        <f>IFERROR(__xludf.DUMMYFUNCTION("""COMPUTED_VALUE"""),"https://www.google.com/search?newwindow=1&amp;ei=2MT0XrvGGM-vytMP1OyDgAY&amp;q=site%3Alinkedin.com+Alicia+Mucci+(she/her/hers)+Manager,+Campus+Recruiting")</f>
        <v>https://www.google.com/search?newwindow=1&amp;ei=2MT0XrvGGM-vytMP1OyDgAY&amp;q=site%3Alinkedin.com+Alicia+Mucci+(she/her/hers)+Manager,+Campus+Recruiting</v>
      </c>
      <c r="K1260" s="5" t="str">
        <f t="shared" si="1"/>
        <v>Alicia Mucci (she/her/hers)</v>
      </c>
      <c r="L1260" s="5" t="str">
        <f t="shared" si="2"/>
        <v>Manager, Campus Recruiting</v>
      </c>
      <c r="M1260" s="5" t="str">
        <f t="shared" si="3"/>
        <v/>
      </c>
      <c r="N1260" s="5" t="str">
        <f t="shared" si="4"/>
        <v>KPMG US</v>
      </c>
      <c r="O1260" s="5" t="str">
        <f t="shared" si="5"/>
        <v>1 year 4 months in role</v>
      </c>
      <c r="P1260" s="5" t="str">
        <f t="shared" si="6"/>
        <v>Philadelphia</v>
      </c>
      <c r="Q1260" s="5" t="str">
        <f t="shared" si="7"/>
        <v>Pennsylvania</v>
      </c>
      <c r="R1260" s="5" t="str">
        <f t="shared" si="8"/>
        <v>United States</v>
      </c>
    </row>
    <row r="1261">
      <c r="A1261" s="8" t="s">
        <v>7928</v>
      </c>
      <c r="B1261" s="12" t="s">
        <v>3413</v>
      </c>
      <c r="C1261" s="10" t="s">
        <v>3414</v>
      </c>
      <c r="D1261" s="10"/>
      <c r="E1261" s="10" t="s">
        <v>3389</v>
      </c>
      <c r="F1261" s="10" t="s">
        <v>106</v>
      </c>
      <c r="G1261" s="11" t="s">
        <v>137</v>
      </c>
      <c r="H1261" s="11" t="s">
        <v>137</v>
      </c>
      <c r="I1261" s="11" t="s">
        <v>18</v>
      </c>
      <c r="J1261" s="9" t="str">
        <f>IFERROR(__xludf.DUMMYFUNCTION("""COMPUTED_VALUE"""),"https://www.google.com/search?newwindow=1&amp;ei=2MT0XrvGGM-vytMP1OyDgAY&amp;q=site%3Alinkedin.com+Kelly+Nolan+Campus+Recruiting+Coordinator")</f>
        <v>https://www.google.com/search?newwindow=1&amp;ei=2MT0XrvGGM-vytMP1OyDgAY&amp;q=site%3Alinkedin.com+Kelly+Nolan+Campus+Recruiting+Coordinator</v>
      </c>
      <c r="K1261" s="5" t="str">
        <f t="shared" si="1"/>
        <v>Kelly Nolan</v>
      </c>
      <c r="L1261" s="5" t="str">
        <f t="shared" si="2"/>
        <v>Campus Recruiting Coordinator</v>
      </c>
      <c r="M1261" s="5" t="str">
        <f t="shared" si="3"/>
        <v/>
      </c>
      <c r="N1261" s="5" t="str">
        <f t="shared" si="4"/>
        <v>EY</v>
      </c>
      <c r="O1261" s="5" t="str">
        <f t="shared" si="5"/>
        <v>1 year  in role and company</v>
      </c>
      <c r="P1261" s="5" t="str">
        <f t="shared" si="6"/>
        <v>Philadelphia</v>
      </c>
      <c r="Q1261" s="5" t="str">
        <f t="shared" si="7"/>
        <v>Pennsylvania</v>
      </c>
      <c r="R1261" s="5" t="str">
        <f t="shared" si="8"/>
        <v>United States</v>
      </c>
    </row>
    <row r="1262">
      <c r="A1262" s="8" t="s">
        <v>7929</v>
      </c>
      <c r="B1262" s="10" t="s">
        <v>7930</v>
      </c>
      <c r="C1262" s="10" t="s">
        <v>7931</v>
      </c>
      <c r="D1262" s="10"/>
      <c r="E1262" s="10" t="s">
        <v>3649</v>
      </c>
      <c r="F1262" s="10" t="s">
        <v>958</v>
      </c>
      <c r="G1262" s="11" t="s">
        <v>137</v>
      </c>
      <c r="H1262" s="11" t="s">
        <v>137</v>
      </c>
      <c r="I1262" s="11" t="s">
        <v>18</v>
      </c>
      <c r="J1262" s="9" t="str">
        <f>IFERROR(__xludf.DUMMYFUNCTION("""COMPUTED_VALUE"""),"https://www.google.com/search?newwindow=1&amp;ei=2MT0XrvGGM-vytMP1OyDgAY&amp;q=site%3Alinkedin.com+Elizabeth+Agravante,+CPA+Advisory+Campus+Business+Recruiting+Experienced+Associate")</f>
        <v>https://www.google.com/search?newwindow=1&amp;ei=2MT0XrvGGM-vytMP1OyDgAY&amp;q=site%3Alinkedin.com+Elizabeth+Agravante,+CPA+Advisory+Campus+Business+Recruiting+Experienced+Associate</v>
      </c>
      <c r="K1262" s="5" t="str">
        <f t="shared" si="1"/>
        <v>Elizabeth Agravante, CPA</v>
      </c>
      <c r="L1262" s="5" t="str">
        <f t="shared" si="2"/>
        <v>Advisory Campus Business Recruiting Experienced Associate</v>
      </c>
      <c r="M1262" s="5" t="str">
        <f t="shared" si="3"/>
        <v/>
      </c>
      <c r="N1262" s="5" t="str">
        <f t="shared" si="4"/>
        <v>PwC</v>
      </c>
      <c r="O1262" s="5" t="str">
        <f t="shared" si="5"/>
        <v>3 years 6 months in role</v>
      </c>
      <c r="P1262" s="5" t="str">
        <f t="shared" si="6"/>
        <v>Philadelphia</v>
      </c>
      <c r="Q1262" s="5" t="str">
        <f t="shared" si="7"/>
        <v>Pennsylvania</v>
      </c>
      <c r="R1262" s="5" t="str">
        <f t="shared" si="8"/>
        <v>United States</v>
      </c>
    </row>
    <row r="1263">
      <c r="A1263" s="8" t="s">
        <v>7932</v>
      </c>
      <c r="B1263" s="12" t="s">
        <v>2944</v>
      </c>
      <c r="C1263" s="10" t="s">
        <v>2155</v>
      </c>
      <c r="D1263" s="10"/>
      <c r="E1263" s="10" t="s">
        <v>4659</v>
      </c>
      <c r="F1263" s="10" t="s">
        <v>579</v>
      </c>
      <c r="G1263" s="11" t="s">
        <v>137</v>
      </c>
      <c r="H1263" s="11" t="s">
        <v>137</v>
      </c>
      <c r="I1263" s="11" t="s">
        <v>18</v>
      </c>
      <c r="J1263" s="9" t="str">
        <f>IFERROR(__xludf.DUMMYFUNCTION("""COMPUTED_VALUE"""),"https://www.google.com/search?newwindow=1&amp;ei=2MT0XrvGGM-vytMP1OyDgAY&amp;q=site%3Alinkedin.com+Kelly+Farrell,+MBA+Tax+Business+Recruiting+Manager")</f>
        <v>https://www.google.com/search?newwindow=1&amp;ei=2MT0XrvGGM-vytMP1OyDgAY&amp;q=site%3Alinkedin.com+Kelly+Farrell,+MBA+Tax+Business+Recruiting+Manager</v>
      </c>
      <c r="K1263" s="5" t="str">
        <f t="shared" si="1"/>
        <v>Kelly Farrell, MBA</v>
      </c>
      <c r="L1263" s="5" t="str">
        <f t="shared" si="2"/>
        <v>Tax Business Recruiting Manager</v>
      </c>
      <c r="M1263" s="5" t="str">
        <f t="shared" si="3"/>
        <v/>
      </c>
      <c r="N1263" s="5" t="str">
        <f t="shared" si="4"/>
        <v>PwC</v>
      </c>
      <c r="O1263" s="5" t="str">
        <f t="shared" si="5"/>
        <v>2 years 8 months in role</v>
      </c>
      <c r="P1263" s="5" t="str">
        <f t="shared" si="6"/>
        <v>Philadelphia</v>
      </c>
      <c r="Q1263" s="5" t="str">
        <f t="shared" si="7"/>
        <v>Pennsylvania</v>
      </c>
      <c r="R1263" s="5" t="str">
        <f t="shared" si="8"/>
        <v>United States</v>
      </c>
    </row>
    <row r="1264">
      <c r="A1264" s="8" t="s">
        <v>7933</v>
      </c>
      <c r="B1264" s="10" t="s">
        <v>7934</v>
      </c>
      <c r="C1264" s="10" t="s">
        <v>7935</v>
      </c>
      <c r="D1264" s="10"/>
      <c r="E1264" s="10" t="s">
        <v>4701</v>
      </c>
      <c r="F1264" s="10" t="s">
        <v>7936</v>
      </c>
      <c r="G1264" s="11" t="s">
        <v>137</v>
      </c>
      <c r="H1264" s="11" t="s">
        <v>137</v>
      </c>
      <c r="I1264" s="11" t="s">
        <v>18</v>
      </c>
      <c r="J1264" s="9" t="str">
        <f>IFERROR(__xludf.DUMMYFUNCTION("""COMPUTED_VALUE"""),"https://www.google.com/search?newwindow=1&amp;ei=2MT0XrvGGM-vytMP1OyDgAY&amp;q=site%3Alinkedin.com+Kirsten+Lohrbach+Campus+Recruiting+Manager")</f>
        <v>https://www.google.com/search?newwindow=1&amp;ei=2MT0XrvGGM-vytMP1OyDgAY&amp;q=site%3Alinkedin.com+Kirsten+Lohrbach+Campus+Recruiting+Manager</v>
      </c>
      <c r="K1264" s="5" t="str">
        <f t="shared" si="1"/>
        <v>Kirsten Lohrbach</v>
      </c>
      <c r="L1264" s="5" t="str">
        <f t="shared" si="2"/>
        <v>Campus Recruiting Manager</v>
      </c>
      <c r="M1264" s="5" t="str">
        <f t="shared" si="3"/>
        <v/>
      </c>
      <c r="N1264" s="5" t="str">
        <f t="shared" si="4"/>
        <v>Ernst &amp; Young</v>
      </c>
      <c r="O1264" s="5" t="str">
        <f t="shared" si="5"/>
        <v/>
      </c>
      <c r="P1264" s="5" t="str">
        <f t="shared" si="6"/>
        <v>Philadelphia</v>
      </c>
      <c r="Q1264" s="5" t="str">
        <f t="shared" si="7"/>
        <v>Pennsylvania</v>
      </c>
      <c r="R1264" s="5" t="str">
        <f t="shared" si="8"/>
        <v>United States</v>
      </c>
    </row>
    <row r="1265">
      <c r="A1265" s="8" t="s">
        <v>7937</v>
      </c>
      <c r="B1265" s="12" t="s">
        <v>7938</v>
      </c>
      <c r="C1265" s="10" t="s">
        <v>7939</v>
      </c>
      <c r="D1265" s="10"/>
      <c r="E1265" s="10" t="s">
        <v>1233</v>
      </c>
      <c r="F1265" s="10" t="s">
        <v>2975</v>
      </c>
      <c r="G1265" s="11" t="s">
        <v>137</v>
      </c>
      <c r="H1265" s="11" t="s">
        <v>137</v>
      </c>
      <c r="I1265" s="11" t="s">
        <v>18</v>
      </c>
      <c r="J1265" s="9" t="str">
        <f>IFERROR(__xludf.DUMMYFUNCTION("""COMPUTED_VALUE"""),"https://www.google.com/search?newwindow=1&amp;ei=2MT0XrvGGM-vytMP1OyDgAY&amp;q=site%3Alinkedin.com+Jen+Trudnak+Student+Veteran+Recruiter+-+Operations")</f>
        <v>https://www.google.com/search?newwindow=1&amp;ei=2MT0XrvGGM-vytMP1OyDgAY&amp;q=site%3Alinkedin.com+Jen+Trudnak+Student+Veteran+Recruiter+-+Operations</v>
      </c>
      <c r="K1265" s="5" t="str">
        <f t="shared" si="1"/>
        <v>Jen Trudnak</v>
      </c>
      <c r="L1265" s="5" t="str">
        <f t="shared" si="2"/>
        <v>Student Veteran Recruiter - Operations</v>
      </c>
      <c r="M1265" s="5" t="str">
        <f t="shared" si="3"/>
        <v/>
      </c>
      <c r="N1265" s="5" t="str">
        <f t="shared" si="4"/>
        <v>Amazon</v>
      </c>
      <c r="O1265" s="5" t="str">
        <f t="shared" si="5"/>
        <v>3 months in role</v>
      </c>
      <c r="P1265" s="5" t="str">
        <f t="shared" si="6"/>
        <v>Phoenix</v>
      </c>
      <c r="Q1265" s="5" t="str">
        <f t="shared" si="7"/>
        <v>Arizona</v>
      </c>
      <c r="R1265" s="5" t="str">
        <f t="shared" si="8"/>
        <v>United States</v>
      </c>
    </row>
    <row r="1266">
      <c r="A1266" s="8" t="s">
        <v>7940</v>
      </c>
      <c r="B1266" s="10" t="s">
        <v>2334</v>
      </c>
      <c r="C1266" s="10" t="s">
        <v>2335</v>
      </c>
      <c r="D1266" s="10"/>
      <c r="E1266" s="10" t="s">
        <v>2297</v>
      </c>
      <c r="F1266" s="10" t="s">
        <v>74</v>
      </c>
      <c r="G1266" s="11" t="s">
        <v>137</v>
      </c>
      <c r="H1266" s="11" t="s">
        <v>137</v>
      </c>
      <c r="I1266" s="11" t="s">
        <v>18</v>
      </c>
      <c r="J1266" s="9" t="str">
        <f>IFERROR(__xludf.DUMMYFUNCTION("""COMPUTED_VALUE"""),"https://www.google.com/search?newwindow=1&amp;ei=2MT0XrvGGM-vytMP1OyDgAY&amp;q=site%3Alinkedin.com+Tracy+Carneal+Campus+Recruiting+Specialist")</f>
        <v>https://www.google.com/search?newwindow=1&amp;ei=2MT0XrvGGM-vytMP1OyDgAY&amp;q=site%3Alinkedin.com+Tracy+Carneal+Campus+Recruiting+Specialist</v>
      </c>
      <c r="K1266" s="5" t="str">
        <f t="shared" si="1"/>
        <v>Tracy Carneal</v>
      </c>
      <c r="L1266" s="5" t="str">
        <f t="shared" si="2"/>
        <v>Campus Recruiting Specialist</v>
      </c>
      <c r="M1266" s="5" t="str">
        <f t="shared" si="3"/>
        <v/>
      </c>
      <c r="N1266" s="5" t="str">
        <f t="shared" si="4"/>
        <v>Deloitte</v>
      </c>
      <c r="O1266" s="5" t="str">
        <f t="shared" si="5"/>
        <v>1 year 3 months in role</v>
      </c>
      <c r="P1266" s="5" t="str">
        <f t="shared" si="6"/>
        <v>Phoenix</v>
      </c>
      <c r="Q1266" s="5" t="str">
        <f t="shared" si="7"/>
        <v>Arizona</v>
      </c>
      <c r="R1266" s="5" t="str">
        <f t="shared" si="8"/>
        <v>United States</v>
      </c>
    </row>
    <row r="1267">
      <c r="A1267" s="8" t="s">
        <v>7941</v>
      </c>
      <c r="B1267" s="12" t="s">
        <v>3416</v>
      </c>
      <c r="C1267" s="10" t="s">
        <v>2155</v>
      </c>
      <c r="D1267" s="10"/>
      <c r="E1267" s="10" t="s">
        <v>3389</v>
      </c>
      <c r="F1267" s="10" t="s">
        <v>26</v>
      </c>
      <c r="G1267" s="11" t="s">
        <v>137</v>
      </c>
      <c r="H1267" s="11" t="s">
        <v>137</v>
      </c>
      <c r="I1267" s="11" t="s">
        <v>18</v>
      </c>
      <c r="J1267" s="9" t="str">
        <f>IFERROR(__xludf.DUMMYFUNCTION("""COMPUTED_VALUE"""),"https://www.google.com/search?newwindow=1&amp;ei=2MT0XrvGGM-vytMP1OyDgAY&amp;q=site%3Alinkedin.com+Sofia+Barela+Sr+Experienced+Recruiting+Coordinator")</f>
        <v>https://www.google.com/search?newwindow=1&amp;ei=2MT0XrvGGM-vytMP1OyDgAY&amp;q=site%3Alinkedin.com+Sofia+Barela+Sr+Experienced+Recruiting+Coordinator</v>
      </c>
      <c r="K1267" s="5" t="str">
        <f t="shared" si="1"/>
        <v>Sofia Barela</v>
      </c>
      <c r="L1267" s="5" t="str">
        <f t="shared" si="2"/>
        <v>Sr Experienced Recruiting Coordinator</v>
      </c>
      <c r="M1267" s="5" t="str">
        <f t="shared" si="3"/>
        <v/>
      </c>
      <c r="N1267" s="5" t="str">
        <f t="shared" si="4"/>
        <v>Deloitte Consulting</v>
      </c>
      <c r="O1267" s="5" t="str">
        <f t="shared" si="5"/>
        <v>10 months in role and company</v>
      </c>
      <c r="P1267" s="5" t="str">
        <f t="shared" si="6"/>
        <v>Phoenix</v>
      </c>
      <c r="Q1267" s="5" t="str">
        <f t="shared" si="7"/>
        <v>Arizona</v>
      </c>
      <c r="R1267" s="5" t="str">
        <f t="shared" si="8"/>
        <v>United States</v>
      </c>
    </row>
    <row r="1268">
      <c r="A1268" s="8" t="s">
        <v>7942</v>
      </c>
      <c r="B1268" s="10" t="s">
        <v>3418</v>
      </c>
      <c r="C1268" s="10" t="s">
        <v>3419</v>
      </c>
      <c r="D1268" s="10"/>
      <c r="E1268" s="10" t="s">
        <v>3389</v>
      </c>
      <c r="F1268" s="10" t="s">
        <v>121</v>
      </c>
      <c r="G1268" s="11" t="s">
        <v>137</v>
      </c>
      <c r="H1268" s="11" t="s">
        <v>137</v>
      </c>
      <c r="I1268" s="11" t="s">
        <v>18</v>
      </c>
      <c r="J1268" s="9" t="str">
        <f>IFERROR(__xludf.DUMMYFUNCTION("""COMPUTED_VALUE"""),"https://www.google.com/search?newwindow=1&amp;ei=2MT0XrvGGM-vytMP1OyDgAY&amp;q=site%3Alinkedin.com+Kate+McClain+Campus+Recruiting+Manager")</f>
        <v>https://www.google.com/search?newwindow=1&amp;ei=2MT0XrvGGM-vytMP1OyDgAY&amp;q=site%3Alinkedin.com+Kate+McClain+Campus+Recruiting+Manager</v>
      </c>
      <c r="K1268" s="5" t="str">
        <f t="shared" si="1"/>
        <v>Kate McClain</v>
      </c>
      <c r="L1268" s="5" t="str">
        <f t="shared" si="2"/>
        <v>Campus Recruiting Manager</v>
      </c>
      <c r="M1268" s="5" t="str">
        <f t="shared" si="3"/>
        <v/>
      </c>
      <c r="N1268" s="5" t="str">
        <f t="shared" si="4"/>
        <v>KPMG US</v>
      </c>
      <c r="O1268" s="5" t="str">
        <f t="shared" si="5"/>
        <v>10 months in role and company</v>
      </c>
      <c r="P1268" s="5" t="str">
        <f t="shared" si="6"/>
        <v>Phoenix</v>
      </c>
      <c r="Q1268" s="5" t="str">
        <f t="shared" si="7"/>
        <v>Arizona</v>
      </c>
      <c r="R1268" s="5" t="str">
        <f t="shared" si="8"/>
        <v>United States</v>
      </c>
    </row>
    <row r="1269">
      <c r="A1269" s="8" t="s">
        <v>7943</v>
      </c>
      <c r="B1269" s="12" t="s">
        <v>7944</v>
      </c>
      <c r="C1269" s="10" t="s">
        <v>7945</v>
      </c>
      <c r="D1269" s="10"/>
      <c r="E1269" s="10" t="s">
        <v>3389</v>
      </c>
      <c r="F1269" s="10" t="s">
        <v>63</v>
      </c>
      <c r="G1269" s="11" t="s">
        <v>137</v>
      </c>
      <c r="H1269" s="11" t="s">
        <v>137</v>
      </c>
      <c r="I1269" s="11" t="s">
        <v>18</v>
      </c>
      <c r="J1269" s="9" t="str">
        <f>IFERROR(__xludf.DUMMYFUNCTION("""COMPUTED_VALUE"""),"https://www.google.com/search?newwindow=1&amp;ei=2MT0XrvGGM-vytMP1OyDgAY&amp;q=site%3Alinkedin.com+Angela+Helbing+Manager+of+Campus+Recruiting")</f>
        <v>https://www.google.com/search?newwindow=1&amp;ei=2MT0XrvGGM-vytMP1OyDgAY&amp;q=site%3Alinkedin.com+Angela+Helbing+Manager+of+Campus+Recruiting</v>
      </c>
      <c r="K1269" s="5" t="str">
        <f t="shared" si="1"/>
        <v>Angela Helbing</v>
      </c>
      <c r="L1269" s="5" t="str">
        <f t="shared" si="2"/>
        <v>Manager of Campus Recruiting</v>
      </c>
      <c r="M1269" s="5" t="str">
        <f t="shared" si="3"/>
        <v/>
      </c>
      <c r="N1269" s="5" t="str">
        <f t="shared" si="4"/>
        <v>PricewaterhouseCoopers</v>
      </c>
      <c r="O1269" s="5" t="str">
        <f t="shared" si="5"/>
        <v/>
      </c>
      <c r="P1269" s="5" t="str">
        <f t="shared" si="6"/>
        <v>Phoenix</v>
      </c>
      <c r="Q1269" s="5" t="str">
        <f t="shared" si="7"/>
        <v>Arizona</v>
      </c>
      <c r="R1269" s="5" t="str">
        <f t="shared" si="8"/>
        <v>United States</v>
      </c>
    </row>
    <row r="1270">
      <c r="A1270" s="8" t="s">
        <v>7946</v>
      </c>
      <c r="B1270" s="12" t="s">
        <v>7947</v>
      </c>
      <c r="C1270" s="10" t="s">
        <v>7948</v>
      </c>
      <c r="D1270" s="10"/>
      <c r="E1270" s="10" t="s">
        <v>7949</v>
      </c>
      <c r="F1270" s="10" t="s">
        <v>2035</v>
      </c>
      <c r="G1270" s="11" t="s">
        <v>137</v>
      </c>
      <c r="H1270" s="11" t="s">
        <v>137</v>
      </c>
      <c r="I1270" s="11" t="s">
        <v>18</v>
      </c>
      <c r="J1270" s="9" t="str">
        <f>IFERROR(__xludf.DUMMYFUNCTION("""COMPUTED_VALUE"""),"https://www.google.com/search?newwindow=1&amp;ei=2MT0XrvGGM-vytMP1OyDgAY&amp;q=site%3Alinkedin.com+Roger+Ragoonath+Assistant+Student+Recruiter")</f>
        <v>https://www.google.com/search?newwindow=1&amp;ei=2MT0XrvGGM-vytMP1OyDgAY&amp;q=site%3Alinkedin.com+Roger+Ragoonath+Assistant+Student+Recruiter</v>
      </c>
      <c r="K1270" s="5" t="str">
        <f t="shared" si="1"/>
        <v>Roger Ragoonath</v>
      </c>
      <c r="L1270" s="5" t="str">
        <f t="shared" si="2"/>
        <v>Assistant Student Recruiter</v>
      </c>
      <c r="M1270" s="5" t="str">
        <f t="shared" si="3"/>
        <v/>
      </c>
      <c r="N1270" s="5" t="str">
        <f t="shared" si="4"/>
        <v>Ontario Tech University</v>
      </c>
      <c r="O1270" s="5" t="str">
        <f t="shared" si="5"/>
        <v>3 months in role and company</v>
      </c>
      <c r="P1270" s="5" t="str">
        <f t="shared" si="6"/>
        <v>Pickering</v>
      </c>
      <c r="Q1270" s="5" t="str">
        <f t="shared" si="7"/>
        <v>Ontario</v>
      </c>
      <c r="R1270" s="5" t="str">
        <f t="shared" si="8"/>
        <v>Canada</v>
      </c>
    </row>
    <row r="1271">
      <c r="A1271" s="8" t="s">
        <v>7950</v>
      </c>
      <c r="B1271" s="12" t="s">
        <v>7951</v>
      </c>
      <c r="C1271" s="10" t="s">
        <v>7952</v>
      </c>
      <c r="D1271" s="10"/>
      <c r="E1271" s="10" t="s">
        <v>4701</v>
      </c>
      <c r="F1271" s="10" t="s">
        <v>7472</v>
      </c>
      <c r="G1271" s="11" t="s">
        <v>137</v>
      </c>
      <c r="H1271" s="11" t="s">
        <v>137</v>
      </c>
      <c r="I1271" s="11" t="s">
        <v>18</v>
      </c>
      <c r="J1271" s="9" t="str">
        <f>IFERROR(__xludf.DUMMYFUNCTION("""COMPUTED_VALUE"""),"https://www.google.com/search?newwindow=1&amp;ei=2MT0XrvGGM-vytMP1OyDgAY&amp;q=site%3Alinkedin.com+Laura+Chapman+Campus+Recruiting+Senior+Manager")</f>
        <v>https://www.google.com/search?newwindow=1&amp;ei=2MT0XrvGGM-vytMP1OyDgAY&amp;q=site%3Alinkedin.com+Laura+Chapman+Campus+Recruiting+Senior+Manager</v>
      </c>
      <c r="K1271" s="5" t="str">
        <f t="shared" si="1"/>
        <v>Laura Chapman</v>
      </c>
      <c r="L1271" s="5" t="str">
        <f t="shared" si="2"/>
        <v>Campus Recruiting Senior Manager</v>
      </c>
      <c r="M1271" s="5" t="str">
        <f t="shared" si="3"/>
        <v/>
      </c>
      <c r="N1271" s="5" t="str">
        <f t="shared" si="4"/>
        <v>PwC</v>
      </c>
      <c r="O1271" s="5" t="str">
        <f t="shared" si="5"/>
        <v>2 years 10 months in role</v>
      </c>
      <c r="P1271" s="5" t="str">
        <f t="shared" si="6"/>
        <v>Piscataway Township</v>
      </c>
      <c r="Q1271" s="5" t="str">
        <f t="shared" si="7"/>
        <v>New Jersey</v>
      </c>
      <c r="R1271" s="5" t="str">
        <f t="shared" si="8"/>
        <v>United States</v>
      </c>
    </row>
    <row r="1272">
      <c r="A1272" s="8" t="s">
        <v>7953</v>
      </c>
      <c r="B1272" s="12" t="s">
        <v>7954</v>
      </c>
      <c r="C1272" s="10" t="s">
        <v>7955</v>
      </c>
      <c r="D1272" s="10"/>
      <c r="E1272" s="10" t="s">
        <v>492</v>
      </c>
      <c r="F1272" s="10" t="s">
        <v>697</v>
      </c>
      <c r="G1272" s="11" t="s">
        <v>137</v>
      </c>
      <c r="H1272" s="11" t="s">
        <v>137</v>
      </c>
      <c r="I1272" s="11" t="s">
        <v>18</v>
      </c>
      <c r="J1272" s="9" t="str">
        <f>IFERROR(__xludf.DUMMYFUNCTION("""COMPUTED_VALUE"""),"https://www.google.com/search?newwindow=1&amp;ei=2MT0XrvGGM-vytMP1OyDgAY&amp;q=site%3Alinkedin.com+Kirsten+Berger+Campus+Recruiting+Specialist")</f>
        <v>https://www.google.com/search?newwindow=1&amp;ei=2MT0XrvGGM-vytMP1OyDgAY&amp;q=site%3Alinkedin.com+Kirsten+Berger+Campus+Recruiting+Specialist</v>
      </c>
      <c r="K1272" s="5" t="str">
        <f t="shared" si="1"/>
        <v>Kirsten Berger</v>
      </c>
      <c r="L1272" s="5" t="str">
        <f t="shared" si="2"/>
        <v>Campus Recruiting Specialist</v>
      </c>
      <c r="M1272" s="5" t="str">
        <f t="shared" si="3"/>
        <v/>
      </c>
      <c r="N1272" s="5" t="str">
        <f t="shared" si="4"/>
        <v>Deloitte</v>
      </c>
      <c r="O1272" s="5" t="str">
        <f t="shared" si="5"/>
        <v>5 years 9 months in role and company</v>
      </c>
      <c r="P1272" s="5" t="str">
        <f t="shared" si="6"/>
        <v>Pittsburgh</v>
      </c>
      <c r="Q1272" s="5" t="str">
        <f t="shared" si="7"/>
        <v>Pennsylvania</v>
      </c>
      <c r="R1272" s="5" t="str">
        <f t="shared" si="8"/>
        <v>United States</v>
      </c>
    </row>
    <row r="1273">
      <c r="A1273" s="8" t="s">
        <v>7956</v>
      </c>
      <c r="B1273" s="12" t="s">
        <v>7957</v>
      </c>
      <c r="C1273" s="10" t="s">
        <v>7958</v>
      </c>
      <c r="D1273" s="10"/>
      <c r="E1273" s="10" t="s">
        <v>3389</v>
      </c>
      <c r="F1273" s="10" t="s">
        <v>651</v>
      </c>
      <c r="G1273" s="11" t="s">
        <v>137</v>
      </c>
      <c r="H1273" s="11" t="s">
        <v>137</v>
      </c>
      <c r="I1273" s="11" t="s">
        <v>18</v>
      </c>
      <c r="J1273" s="9" t="str">
        <f>IFERROR(__xludf.DUMMYFUNCTION("""COMPUTED_VALUE"""),"https://www.google.com/search?newwindow=1&amp;ei=2MT0XrvGGM-vytMP1OyDgAY&amp;q=site%3Alinkedin.com+Katie+Campbell+Senior+Campus+Recruiting+Coordinator")</f>
        <v>https://www.google.com/search?newwindow=1&amp;ei=2MT0XrvGGM-vytMP1OyDgAY&amp;q=site%3Alinkedin.com+Katie+Campbell+Senior+Campus+Recruiting+Coordinator</v>
      </c>
      <c r="K1273" s="5" t="str">
        <f t="shared" si="1"/>
        <v>Katie Campbell</v>
      </c>
      <c r="L1273" s="5" t="str">
        <f t="shared" si="2"/>
        <v>Senior Campus Recruiting Coordinator</v>
      </c>
      <c r="M1273" s="5" t="str">
        <f t="shared" si="3"/>
        <v/>
      </c>
      <c r="N1273" s="5" t="str">
        <f t="shared" si="4"/>
        <v>Deloitte</v>
      </c>
      <c r="O1273" s="5" t="str">
        <f t="shared" si="5"/>
        <v>6 years 2 months in role and company</v>
      </c>
      <c r="P1273" s="5" t="str">
        <f t="shared" si="6"/>
        <v>Pittsburgh</v>
      </c>
      <c r="Q1273" s="5" t="str">
        <f t="shared" si="7"/>
        <v>Pennsylvania</v>
      </c>
      <c r="R1273" s="5" t="str">
        <f t="shared" si="8"/>
        <v>United States</v>
      </c>
    </row>
    <row r="1274">
      <c r="A1274" s="8" t="s">
        <v>7959</v>
      </c>
      <c r="B1274" s="10" t="s">
        <v>7960</v>
      </c>
      <c r="C1274" s="10" t="s">
        <v>7961</v>
      </c>
      <c r="D1274" s="10"/>
      <c r="E1274" s="10" t="s">
        <v>702</v>
      </c>
      <c r="F1274" s="10" t="s">
        <v>727</v>
      </c>
      <c r="G1274" s="11" t="s">
        <v>137</v>
      </c>
      <c r="H1274" s="11" t="s">
        <v>137</v>
      </c>
      <c r="I1274" s="11" t="s">
        <v>18</v>
      </c>
      <c r="J1274" s="9" t="str">
        <f>IFERROR(__xludf.DUMMYFUNCTION("""COMPUTED_VALUE"""),"https://www.google.com/search?newwindow=1&amp;ei=2MT0XrvGGM-vytMP1OyDgAY&amp;q=site%3Alinkedin.com+Abby+Cooper,+PHR+National+Project+Controller+Campus+Recruiting+Account+Lead")</f>
        <v>https://www.google.com/search?newwindow=1&amp;ei=2MT0XrvGGM-vytMP1OyDgAY&amp;q=site%3Alinkedin.com+Abby+Cooper,+PHR+National+Project+Controller+Campus+Recruiting+Account+Lead</v>
      </c>
      <c r="K1274" s="5" t="str">
        <f t="shared" si="1"/>
        <v>Abby Cooper, PHR</v>
      </c>
      <c r="L1274" s="5" t="str">
        <f t="shared" si="2"/>
        <v>National Project Controller Campus Recruiting Account Lead</v>
      </c>
      <c r="M1274" s="5" t="str">
        <f t="shared" si="3"/>
        <v/>
      </c>
      <c r="N1274" s="5" t="str">
        <f t="shared" si="4"/>
        <v>Deloitte</v>
      </c>
      <c r="O1274" s="5" t="str">
        <f t="shared" si="5"/>
        <v>3 years 7 months in role</v>
      </c>
      <c r="P1274" s="5" t="str">
        <f t="shared" si="6"/>
        <v>Pittsburgh</v>
      </c>
      <c r="Q1274" s="5" t="str">
        <f t="shared" si="7"/>
        <v>Pennsylvania</v>
      </c>
      <c r="R1274" s="5" t="str">
        <f t="shared" si="8"/>
        <v>United States</v>
      </c>
    </row>
    <row r="1275">
      <c r="A1275" s="8" t="s">
        <v>7962</v>
      </c>
      <c r="B1275" s="12" t="s">
        <v>7963</v>
      </c>
      <c r="C1275" s="10" t="s">
        <v>4749</v>
      </c>
      <c r="D1275" s="10"/>
      <c r="E1275" s="10" t="s">
        <v>2297</v>
      </c>
      <c r="F1275" s="10" t="s">
        <v>500</v>
      </c>
      <c r="G1275" s="11" t="s">
        <v>137</v>
      </c>
      <c r="H1275" s="11" t="s">
        <v>137</v>
      </c>
      <c r="I1275" s="11" t="s">
        <v>18</v>
      </c>
      <c r="J1275" s="9" t="str">
        <f>IFERROR(__xludf.DUMMYFUNCTION("""COMPUTED_VALUE"""),"https://www.google.com/search?newwindow=1&amp;ei=2MT0XrvGGM-vytMP1OyDgAY&amp;q=site%3Alinkedin.com+Courtney+McLemore,+CDR+Campus+DIB+Recruiting+Strategy+Lead,+First+Generation+College+Students")</f>
        <v>https://www.google.com/search?newwindow=1&amp;ei=2MT0XrvGGM-vytMP1OyDgAY&amp;q=site%3Alinkedin.com+Courtney+McLemore,+CDR+Campus+DIB+Recruiting+Strategy+Lead,+First+Generation+College+Students</v>
      </c>
      <c r="K1275" s="5" t="str">
        <f t="shared" si="1"/>
        <v>Courtney McLemore, CDR</v>
      </c>
      <c r="L1275" s="5" t="str">
        <f t="shared" si="2"/>
        <v>Campus DIB Recruiting Strategy Lead, First Generation College Students</v>
      </c>
      <c r="M1275" s="5" t="str">
        <f t="shared" si="3"/>
        <v/>
      </c>
      <c r="N1275" s="5" t="str">
        <f t="shared" si="4"/>
        <v>Capital One</v>
      </c>
      <c r="O1275" s="5" t="str">
        <f t="shared" si="5"/>
        <v>4 months in role</v>
      </c>
      <c r="P1275" s="5" t="str">
        <f t="shared" si="6"/>
        <v>Plano</v>
      </c>
      <c r="Q1275" s="5" t="str">
        <f t="shared" si="7"/>
        <v>Texas</v>
      </c>
      <c r="R1275" s="5" t="str">
        <f t="shared" si="8"/>
        <v>United States</v>
      </c>
    </row>
    <row r="1276">
      <c r="A1276" s="8" t="s">
        <v>7964</v>
      </c>
      <c r="B1276" s="10" t="s">
        <v>2946</v>
      </c>
      <c r="C1276" s="10" t="s">
        <v>371</v>
      </c>
      <c r="D1276" s="10"/>
      <c r="E1276" s="10" t="s">
        <v>4659</v>
      </c>
      <c r="F1276" s="10" t="s">
        <v>1321</v>
      </c>
      <c r="G1276" s="11" t="s">
        <v>137</v>
      </c>
      <c r="H1276" s="11" t="s">
        <v>137</v>
      </c>
      <c r="I1276" s="11" t="s">
        <v>18</v>
      </c>
      <c r="J1276" s="9" t="str">
        <f>IFERROR(__xludf.DUMMYFUNCTION("""COMPUTED_VALUE"""),"https://www.google.com/search?newwindow=1&amp;ei=2MT0XrvGGM-vytMP1OyDgAY&amp;q=site%3Alinkedin.com+Tim+Gutsell+Director+of+Marketing+and+Recruitment+Operations+University+Partnerships+Europe")</f>
        <v>https://www.google.com/search?newwindow=1&amp;ei=2MT0XrvGGM-vytMP1OyDgAY&amp;q=site%3Alinkedin.com+Tim+Gutsell+Director+of+Marketing+and+Recruitment+Operations+University+Partnerships+Europe</v>
      </c>
      <c r="K1276" s="5" t="str">
        <f t="shared" si="1"/>
        <v>Tim Gutsell</v>
      </c>
      <c r="L1276" s="5" t="str">
        <f t="shared" si="2"/>
        <v>Director of Marketing and Recruitment Operations University Partnerships Europe</v>
      </c>
      <c r="M1276" s="5" t="str">
        <f t="shared" si="3"/>
        <v/>
      </c>
      <c r="N1276" s="5" t="str">
        <f t="shared" si="4"/>
        <v>Navitas</v>
      </c>
      <c r="O1276" s="5" t="str">
        <f t="shared" si="5"/>
        <v>1 year 8 months in role and company</v>
      </c>
      <c r="P1276" s="5" t="str">
        <f t="shared" si="6"/>
        <v>Plymouth</v>
      </c>
      <c r="Q1276" s="5" t="str">
        <f t="shared" si="7"/>
        <v>England</v>
      </c>
      <c r="R1276" s="5" t="str">
        <f t="shared" si="8"/>
        <v>United Kingdom</v>
      </c>
    </row>
    <row r="1277">
      <c r="A1277" s="8" t="s">
        <v>7965</v>
      </c>
      <c r="B1277" s="10" t="s">
        <v>7966</v>
      </c>
      <c r="C1277" s="10" t="s">
        <v>7967</v>
      </c>
      <c r="D1277" s="10"/>
      <c r="E1277" s="10" t="s">
        <v>1064</v>
      </c>
      <c r="F1277" s="10" t="s">
        <v>7968</v>
      </c>
      <c r="G1277" s="11" t="s">
        <v>137</v>
      </c>
      <c r="H1277" s="11" t="s">
        <v>137</v>
      </c>
      <c r="I1277" s="11" t="s">
        <v>18</v>
      </c>
      <c r="J1277" s="9" t="str">
        <f>IFERROR(__xludf.DUMMYFUNCTION("""COMPUTED_VALUE"""),"https://www.google.com/search?newwindow=1&amp;ei=2MT0XrvGGM-vytMP1OyDgAY&amp;q=site%3Alinkedin.com+Johanne+Chapman+Cornwall+College")</f>
        <v>https://www.google.com/search?newwindow=1&amp;ei=2MT0XrvGGM-vytMP1OyDgAY&amp;q=site%3Alinkedin.com+Johanne+Chapman+Cornwall+College</v>
      </c>
      <c r="K1277" s="5" t="str">
        <f t="shared" si="1"/>
        <v>Johanne Chapman</v>
      </c>
      <c r="L1277" s="5" t="str">
        <f t="shared" si="2"/>
        <v>Cornwall College</v>
      </c>
      <c r="M1277" s="5" t="str">
        <f t="shared" si="3"/>
        <v/>
      </c>
      <c r="N1277" s="5" t="str">
        <f t="shared" si="4"/>
        <v>Camborne</v>
      </c>
      <c r="O1277" s="5" t="str">
        <f t="shared" si="5"/>
        <v>8 years 9 months in role and company</v>
      </c>
      <c r="P1277" s="5" t="str">
        <f t="shared" si="6"/>
        <v>Plymouth</v>
      </c>
      <c r="Q1277" s="5" t="str">
        <f t="shared" si="7"/>
        <v>England</v>
      </c>
      <c r="R1277" s="5" t="str">
        <f t="shared" si="8"/>
        <v>United Kingdom</v>
      </c>
    </row>
    <row r="1278">
      <c r="A1278" s="8" t="s">
        <v>7969</v>
      </c>
      <c r="B1278" s="10" t="s">
        <v>7970</v>
      </c>
      <c r="C1278" s="10" t="s">
        <v>7971</v>
      </c>
      <c r="D1278" s="10"/>
      <c r="E1278" s="10" t="s">
        <v>3389</v>
      </c>
      <c r="F1278" s="10" t="s">
        <v>512</v>
      </c>
      <c r="G1278" s="11" t="s">
        <v>137</v>
      </c>
      <c r="H1278" s="11" t="s">
        <v>137</v>
      </c>
      <c r="I1278" s="11" t="s">
        <v>18</v>
      </c>
      <c r="J1278" s="9" t="str">
        <f>IFERROR(__xludf.DUMMYFUNCTION("""COMPUTED_VALUE"""),"https://www.google.com/search?newwindow=1&amp;ei=2MT0XrvGGM-vytMP1OyDgAY&amp;q=site%3Alinkedin.com+Claire+de+Lisser+Coordinator,+Undergraduate+Advising,+Recruitment,+and+Retention+at+Simon+Fraser+University")</f>
        <v>https://www.google.com/search?newwindow=1&amp;ei=2MT0XrvGGM-vytMP1OyDgAY&amp;q=site%3Alinkedin.com+Claire+de+Lisser+Coordinator,+Undergraduate+Advising,+Recruitment,+and+Retention+at+Simon+Fraser+University</v>
      </c>
      <c r="K1278" s="5" t="str">
        <f t="shared" si="1"/>
        <v>Claire de Lisser</v>
      </c>
      <c r="L1278" s="5" t="str">
        <f t="shared" si="2"/>
        <v>Coordinator, Undergraduate Advising, Recruitment, and Retention at Simon Fraser University</v>
      </c>
      <c r="M1278" s="5" t="str">
        <f t="shared" si="3"/>
        <v/>
      </c>
      <c r="N1278" s="5" t="str">
        <f t="shared" si="4"/>
        <v>SFU Faculty of Arts and Social Sciences</v>
      </c>
      <c r="O1278" s="5" t="str">
        <f t="shared" si="5"/>
        <v>14 years 6 months in role and company</v>
      </c>
      <c r="P1278" s="5" t="str">
        <f t="shared" si="6"/>
        <v>Port Moody</v>
      </c>
      <c r="Q1278" s="5" t="str">
        <f t="shared" si="7"/>
        <v>British Columbia</v>
      </c>
      <c r="R1278" s="5" t="str">
        <f t="shared" si="8"/>
        <v>Canada</v>
      </c>
    </row>
    <row r="1279">
      <c r="A1279" s="8" t="s">
        <v>7972</v>
      </c>
      <c r="B1279" s="12" t="s">
        <v>7973</v>
      </c>
      <c r="C1279" s="10" t="s">
        <v>7974</v>
      </c>
      <c r="D1279" s="10"/>
      <c r="E1279" s="10" t="s">
        <v>4611</v>
      </c>
      <c r="F1279" s="10" t="s">
        <v>446</v>
      </c>
      <c r="G1279" s="11" t="s">
        <v>137</v>
      </c>
      <c r="H1279" s="11" t="s">
        <v>137</v>
      </c>
      <c r="I1279" s="11" t="s">
        <v>18</v>
      </c>
      <c r="J1279" s="9" t="str">
        <f>IFERROR(__xludf.DUMMYFUNCTION("""COMPUTED_VALUE"""),"https://www.google.com/search?newwindow=1&amp;ei=2MT0XrvGGM-vytMP1OyDgAY&amp;q=site%3Alinkedin.com+Megan+Gustafson+Senior+Campus+Recruiting+Specialist")</f>
        <v>https://www.google.com/search?newwindow=1&amp;ei=2MT0XrvGGM-vytMP1OyDgAY&amp;q=site%3Alinkedin.com+Megan+Gustafson+Senior+Campus+Recruiting+Specialist</v>
      </c>
      <c r="K1279" s="5" t="str">
        <f t="shared" si="1"/>
        <v>Megan Gustafson</v>
      </c>
      <c r="L1279" s="5" t="str">
        <f t="shared" si="2"/>
        <v>Senior Campus Recruiting Specialist</v>
      </c>
      <c r="M1279" s="5" t="str">
        <f t="shared" si="3"/>
        <v/>
      </c>
      <c r="N1279" s="5" t="str">
        <f t="shared" si="4"/>
        <v>Deloitte</v>
      </c>
      <c r="O1279" s="5" t="str">
        <f t="shared" si="5"/>
        <v>4 years 3 months in role</v>
      </c>
      <c r="P1279" s="5" t="str">
        <f t="shared" si="6"/>
        <v>Portland</v>
      </c>
      <c r="Q1279" s="5" t="str">
        <f t="shared" si="7"/>
        <v>Oregon</v>
      </c>
      <c r="R1279" s="5" t="str">
        <f t="shared" si="8"/>
        <v>United States</v>
      </c>
    </row>
    <row r="1280">
      <c r="A1280" s="8" t="s">
        <v>7975</v>
      </c>
      <c r="B1280" s="12" t="s">
        <v>7976</v>
      </c>
      <c r="C1280" s="10" t="s">
        <v>7977</v>
      </c>
      <c r="D1280" s="10"/>
      <c r="E1280" s="10" t="s">
        <v>2297</v>
      </c>
      <c r="F1280" s="10" t="s">
        <v>7978</v>
      </c>
      <c r="G1280" s="11" t="s">
        <v>137</v>
      </c>
      <c r="H1280" s="11" t="s">
        <v>137</v>
      </c>
      <c r="I1280" s="11" t="s">
        <v>18</v>
      </c>
      <c r="J1280" s="9" t="str">
        <f>IFERROR(__xludf.DUMMYFUNCTION("""COMPUTED_VALUE"""),"https://www.google.com/search?newwindow=1&amp;ei=2MT0XrvGGM-vytMP1OyDgAY&amp;q=site%3Alinkedin.com+Candela+Theobald+Associate+Campus+Recruiting")</f>
        <v>https://www.google.com/search?newwindow=1&amp;ei=2MT0XrvGGM-vytMP1OyDgAY&amp;q=site%3Alinkedin.com+Candela+Theobald+Associate+Campus+Recruiting</v>
      </c>
      <c r="K1280" s="5" t="str">
        <f t="shared" si="1"/>
        <v>Candela Theobald</v>
      </c>
      <c r="L1280" s="5" t="str">
        <f t="shared" si="2"/>
        <v>Associate Campus Recruiting</v>
      </c>
      <c r="M1280" s="5" t="str">
        <f t="shared" si="3"/>
        <v/>
      </c>
      <c r="N1280" s="5" t="str">
        <f t="shared" si="4"/>
        <v>KPMG US</v>
      </c>
      <c r="O1280" s="5" t="str">
        <f t="shared" si="5"/>
        <v>2 years 2 months in role</v>
      </c>
      <c r="P1280" s="5" t="str">
        <f t="shared" si="6"/>
        <v>Portland</v>
      </c>
      <c r="Q1280" s="5" t="str">
        <f t="shared" si="7"/>
        <v>Oregon</v>
      </c>
      <c r="R1280" s="5" t="str">
        <f t="shared" si="8"/>
        <v>United States</v>
      </c>
    </row>
    <row r="1281">
      <c r="A1281" s="8" t="s">
        <v>7979</v>
      </c>
      <c r="B1281" s="12" t="s">
        <v>1336</v>
      </c>
      <c r="C1281" s="10" t="s">
        <v>1337</v>
      </c>
      <c r="D1281" s="10"/>
      <c r="E1281" s="10" t="s">
        <v>1233</v>
      </c>
      <c r="F1281" s="10" t="s">
        <v>15</v>
      </c>
      <c r="G1281" s="11" t="s">
        <v>137</v>
      </c>
      <c r="H1281" s="11" t="s">
        <v>137</v>
      </c>
      <c r="I1281" s="11" t="s">
        <v>18</v>
      </c>
      <c r="J1281" s="9" t="str">
        <f>IFERROR(__xludf.DUMMYFUNCTION("""COMPUTED_VALUE"""),"https://www.google.com/search?newwindow=1&amp;ei=2MT0XrvGGM-vytMP1OyDgAY&amp;q=site%3Alinkedin.com+Kassie+'Schlegel'+Plummer,+CPA+Missouri+Market+Campus+Recruiting+Manager")</f>
        <v>https://www.google.com/search?newwindow=1&amp;ei=2MT0XrvGGM-vytMP1OyDgAY&amp;q=site%3Alinkedin.com+Kassie+'Schlegel'+Plummer,+CPA+Missouri+Market+Campus+Recruiting+Manager</v>
      </c>
      <c r="K1281" s="5" t="str">
        <f t="shared" si="1"/>
        <v>Kassie 'Schlegel' Plummer, CPA</v>
      </c>
      <c r="L1281" s="5" t="str">
        <f t="shared" si="2"/>
        <v>Missouri Market Campus Recruiting Manager</v>
      </c>
      <c r="M1281" s="5" t="str">
        <f t="shared" si="3"/>
        <v/>
      </c>
      <c r="N1281" s="5" t="str">
        <f t="shared" si="4"/>
        <v>PwC</v>
      </c>
      <c r="O1281" s="5" t="str">
        <f t="shared" si="5"/>
        <v>6 years 1 month in role</v>
      </c>
      <c r="P1281" s="5" t="str">
        <f t="shared" si="6"/>
        <v>Prairie Village</v>
      </c>
      <c r="Q1281" s="5" t="str">
        <f t="shared" si="7"/>
        <v>Kansas</v>
      </c>
      <c r="R1281" s="5" t="str">
        <f t="shared" si="8"/>
        <v>United States</v>
      </c>
    </row>
    <row r="1282">
      <c r="A1282" s="8" t="s">
        <v>7980</v>
      </c>
      <c r="B1282" s="10" t="s">
        <v>1343</v>
      </c>
      <c r="C1282" s="10" t="s">
        <v>1344</v>
      </c>
      <c r="D1282" s="10"/>
      <c r="E1282" s="10" t="s">
        <v>1233</v>
      </c>
      <c r="F1282" s="10" t="s">
        <v>192</v>
      </c>
      <c r="G1282" s="11" t="s">
        <v>137</v>
      </c>
      <c r="H1282" s="11" t="s">
        <v>137</v>
      </c>
      <c r="I1282" s="11" t="s">
        <v>18</v>
      </c>
      <c r="J1282" s="9" t="str">
        <f>IFERROR(__xludf.DUMMYFUNCTION("""COMPUTED_VALUE"""),"https://www.google.com/search?newwindow=1&amp;ei=2MT0XrvGGM-vytMP1OyDgAY&amp;q=site%3Alinkedin.com+Rebecca+Dawson+Student+Recruiter+&amp;+Advisor")</f>
        <v>https://www.google.com/search?newwindow=1&amp;ei=2MT0XrvGGM-vytMP1OyDgAY&amp;q=site%3Alinkedin.com+Rebecca+Dawson+Student+Recruiter+&amp;+Advisor</v>
      </c>
      <c r="K1282" s="5" t="str">
        <f t="shared" si="1"/>
        <v>Rebecca Dawson</v>
      </c>
      <c r="L1282" s="5" t="str">
        <f t="shared" si="2"/>
        <v>Student Recruiter &amp; Advisor</v>
      </c>
      <c r="M1282" s="5" t="str">
        <f t="shared" si="3"/>
        <v/>
      </c>
      <c r="N1282" s="5" t="str">
        <f t="shared" si="4"/>
        <v>University of Prince Edward Island</v>
      </c>
      <c r="O1282" s="5" t="str">
        <f t="shared" si="5"/>
        <v>3 years 1 month in role and company</v>
      </c>
      <c r="P1282" s="5" t="str">
        <f t="shared" si="6"/>
        <v>Prince Edward Island</v>
      </c>
      <c r="Q1282" s="5" t="str">
        <f t="shared" si="7"/>
        <v>Prince Edward Island</v>
      </c>
      <c r="R1282" s="5" t="str">
        <f t="shared" si="8"/>
        <v>Canada</v>
      </c>
    </row>
    <row r="1283">
      <c r="A1283" s="8" t="s">
        <v>7981</v>
      </c>
      <c r="B1283" s="12" t="s">
        <v>2712</v>
      </c>
      <c r="C1283" s="10" t="s">
        <v>371</v>
      </c>
      <c r="D1283" s="10"/>
      <c r="E1283" s="10" t="s">
        <v>4611</v>
      </c>
      <c r="F1283" s="10" t="s">
        <v>774</v>
      </c>
      <c r="G1283" s="11" t="s">
        <v>137</v>
      </c>
      <c r="H1283" s="11" t="s">
        <v>137</v>
      </c>
      <c r="I1283" s="11" t="s">
        <v>18</v>
      </c>
      <c r="J1283" s="9" t="str">
        <f>IFERROR(__xludf.DUMMYFUNCTION("""COMPUTED_VALUE"""),"https://www.google.com/search?newwindow=1&amp;ei=2MT0XrvGGM-vytMP1OyDgAY&amp;q=site%3Alinkedin.com+Freya+Qi+International+Recruiter+and+Student+Advisor")</f>
        <v>https://www.google.com/search?newwindow=1&amp;ei=2MT0XrvGGM-vytMP1OyDgAY&amp;q=site%3Alinkedin.com+Freya+Qi+International+Recruiter+and+Student+Advisor</v>
      </c>
      <c r="K1283" s="5" t="str">
        <f t="shared" si="1"/>
        <v>Freya Qi</v>
      </c>
      <c r="L1283" s="5" t="str">
        <f t="shared" si="2"/>
        <v>International Recruiter and Student Advisor</v>
      </c>
      <c r="M1283" s="5" t="str">
        <f t="shared" si="3"/>
        <v/>
      </c>
      <c r="N1283" s="5" t="str">
        <f t="shared" si="4"/>
        <v>University of Prince Edward Island</v>
      </c>
      <c r="O1283" s="5" t="str">
        <f t="shared" si="5"/>
        <v>5 years 5 months in role</v>
      </c>
      <c r="P1283" s="5" t="str">
        <f t="shared" si="6"/>
        <v>Prince Edward Island</v>
      </c>
      <c r="Q1283" s="5" t="str">
        <f t="shared" si="7"/>
        <v>Prince Edward Island</v>
      </c>
      <c r="R1283" s="5" t="str">
        <f t="shared" si="8"/>
        <v>Canada</v>
      </c>
    </row>
    <row r="1284">
      <c r="A1284" s="8" t="s">
        <v>7982</v>
      </c>
      <c r="B1284" s="10" t="s">
        <v>7983</v>
      </c>
      <c r="C1284" s="10" t="s">
        <v>2911</v>
      </c>
      <c r="D1284" s="10"/>
      <c r="E1284" s="10" t="s">
        <v>2839</v>
      </c>
      <c r="F1284" s="10"/>
      <c r="G1284" s="11" t="s">
        <v>137</v>
      </c>
      <c r="H1284" s="11" t="s">
        <v>137</v>
      </c>
      <c r="I1284" s="11" t="s">
        <v>18</v>
      </c>
      <c r="J1284" s="9" t="str">
        <f>IFERROR(__xludf.DUMMYFUNCTION("""COMPUTED_VALUE"""),"https://www.google.com/search?newwindow=1&amp;ei=2MT0XrvGGM-vytMP1OyDgAY&amp;q=site%3Alinkedin.com+Shannon+MacKay+Indigenous+Student+Recruiter")</f>
        <v>https://www.google.com/search?newwindow=1&amp;ei=2MT0XrvGGM-vytMP1OyDgAY&amp;q=site%3Alinkedin.com+Shannon+MacKay+Indigenous+Student+Recruiter</v>
      </c>
      <c r="K1284" s="5" t="str">
        <f t="shared" si="1"/>
        <v>Shannon MacKay</v>
      </c>
      <c r="L1284" s="5" t="str">
        <f t="shared" si="2"/>
        <v>Indigenous Student Recruiter</v>
      </c>
      <c r="M1284" s="5" t="str">
        <f t="shared" si="3"/>
        <v/>
      </c>
      <c r="N1284" s="5" t="str">
        <f t="shared" si="4"/>
        <v>University of Northern British Columbia (UNBC)</v>
      </c>
      <c r="O1284" s="5" t="str">
        <f t="shared" si="5"/>
        <v>1 year 7 months in role and company</v>
      </c>
      <c r="P1284" s="5" t="str">
        <f t="shared" si="6"/>
        <v>Prince George</v>
      </c>
      <c r="Q1284" s="5" t="str">
        <f t="shared" si="7"/>
        <v>British Columbia</v>
      </c>
      <c r="R1284" s="5" t="str">
        <f t="shared" si="8"/>
        <v>Canada</v>
      </c>
    </row>
    <row r="1285">
      <c r="A1285" s="8" t="s">
        <v>7984</v>
      </c>
      <c r="B1285" s="10" t="s">
        <v>7985</v>
      </c>
      <c r="C1285" s="10" t="s">
        <v>7986</v>
      </c>
      <c r="D1285" s="10"/>
      <c r="E1285" s="10" t="s">
        <v>2839</v>
      </c>
      <c r="F1285" s="10" t="s">
        <v>2322</v>
      </c>
      <c r="G1285" s="11" t="s">
        <v>137</v>
      </c>
      <c r="H1285" s="11" t="s">
        <v>137</v>
      </c>
      <c r="I1285" s="11" t="s">
        <v>18</v>
      </c>
      <c r="J1285" s="9" t="str">
        <f>IFERROR(__xludf.DUMMYFUNCTION("""COMPUTED_VALUE"""),"https://www.google.com/search?newwindow=1&amp;ei=2MT0XrvGGM-vytMP1OyDgAY&amp;q=site%3Alinkedin.com+Abigail+Murray+MA,+LAC,+NCC+Campus+Recruiting")</f>
        <v>https://www.google.com/search?newwindow=1&amp;ei=2MT0XrvGGM-vytMP1OyDgAY&amp;q=site%3Alinkedin.com+Abigail+Murray+MA,+LAC,+NCC+Campus+Recruiting</v>
      </c>
      <c r="K1285" s="5" t="str">
        <f t="shared" si="1"/>
        <v>Abigail Murray MA, LAC, NCC</v>
      </c>
      <c r="L1285" s="5" t="str">
        <f t="shared" si="2"/>
        <v>Campus Recruiting</v>
      </c>
      <c r="M1285" s="5" t="str">
        <f t="shared" si="3"/>
        <v/>
      </c>
      <c r="N1285" s="5" t="str">
        <f t="shared" si="4"/>
        <v>Goldman Sachs</v>
      </c>
      <c r="O1285" s="5" t="str">
        <f t="shared" si="5"/>
        <v>9 months in role and company</v>
      </c>
      <c r="P1285" s="5" t="str">
        <f t="shared" si="6"/>
        <v>Princeton</v>
      </c>
      <c r="Q1285" s="5" t="str">
        <f t="shared" si="7"/>
        <v>New Jersey</v>
      </c>
      <c r="R1285" s="5" t="str">
        <f t="shared" si="8"/>
        <v>United States</v>
      </c>
    </row>
    <row r="1286">
      <c r="A1286" s="8" t="s">
        <v>7987</v>
      </c>
      <c r="B1286" s="12" t="s">
        <v>7988</v>
      </c>
      <c r="C1286" s="10" t="s">
        <v>7989</v>
      </c>
      <c r="D1286" s="10"/>
      <c r="E1286" s="10" t="s">
        <v>702</v>
      </c>
      <c r="F1286" s="10" t="s">
        <v>1676</v>
      </c>
      <c r="G1286" s="11" t="s">
        <v>137</v>
      </c>
      <c r="H1286" s="11" t="s">
        <v>137</v>
      </c>
      <c r="I1286" s="11" t="s">
        <v>18</v>
      </c>
      <c r="J1286" s="9" t="str">
        <f>IFERROR(__xludf.DUMMYFUNCTION("""COMPUTED_VALUE"""),"https://www.google.com/search?newwindow=1&amp;ei=2MT0XrvGGM-vytMP1OyDgAY&amp;q=site%3Alinkedin.com+Meg+Struble+National+Consulting+Campus+Recruiting+Lead,+Assistant+Director")</f>
        <v>https://www.google.com/search?newwindow=1&amp;ei=2MT0XrvGGM-vytMP1OyDgAY&amp;q=site%3Alinkedin.com+Meg+Struble+National+Consulting+Campus+Recruiting+Lead,+Assistant+Director</v>
      </c>
      <c r="K1286" s="5" t="str">
        <f t="shared" si="1"/>
        <v>Meg Struble</v>
      </c>
      <c r="L1286" s="5" t="str">
        <f t="shared" si="2"/>
        <v>National Consulting Campus Recruiting Lead, Assistant Director</v>
      </c>
      <c r="M1286" s="5" t="str">
        <f t="shared" si="3"/>
        <v/>
      </c>
      <c r="N1286" s="5" t="str">
        <f t="shared" si="4"/>
        <v>EY</v>
      </c>
      <c r="O1286" s="5" t="str">
        <f t="shared" si="5"/>
        <v>1 year 4 months in role</v>
      </c>
      <c r="P1286" s="5" t="str">
        <f t="shared" si="6"/>
        <v>Providence County</v>
      </c>
      <c r="Q1286" s="5" t="str">
        <f t="shared" si="7"/>
        <v>Rhode Island</v>
      </c>
      <c r="R1286" s="5" t="str">
        <f t="shared" si="8"/>
        <v>United States</v>
      </c>
    </row>
    <row r="1287">
      <c r="A1287" s="8" t="s">
        <v>7990</v>
      </c>
      <c r="B1287" s="12" t="s">
        <v>7991</v>
      </c>
      <c r="C1287" s="10" t="s">
        <v>7992</v>
      </c>
      <c r="D1287" s="10"/>
      <c r="E1287" s="10" t="s">
        <v>2646</v>
      </c>
      <c r="F1287" s="10" t="s">
        <v>1570</v>
      </c>
      <c r="G1287" s="11" t="s">
        <v>137</v>
      </c>
      <c r="H1287" s="11" t="s">
        <v>137</v>
      </c>
      <c r="I1287" s="11" t="s">
        <v>18</v>
      </c>
      <c r="J1287" s="9" t="str">
        <f>IFERROR(__xludf.DUMMYFUNCTION("""COMPUTED_VALUE"""),"https://www.google.com/search?newwindow=1&amp;ei=2MT0XrvGGM-vytMP1OyDgAY&amp;q=site%3Alinkedin.com+Lis+Miller+Campus+Recruiting+Specialist")</f>
        <v>https://www.google.com/search?newwindow=1&amp;ei=2MT0XrvGGM-vytMP1OyDgAY&amp;q=site%3Alinkedin.com+Lis+Miller+Campus+Recruiting+Specialist</v>
      </c>
      <c r="K1287" s="5" t="str">
        <f t="shared" si="1"/>
        <v>Lis Miller</v>
      </c>
      <c r="L1287" s="5" t="str">
        <f t="shared" si="2"/>
        <v>Campus Recruiting Specialist</v>
      </c>
      <c r="M1287" s="5" t="str">
        <f t="shared" si="3"/>
        <v/>
      </c>
      <c r="N1287" s="5" t="str">
        <f t="shared" si="4"/>
        <v>Deloitte</v>
      </c>
      <c r="O1287" s="5" t="str">
        <f t="shared" si="5"/>
        <v>2 years 4 months in role and company</v>
      </c>
      <c r="P1287" s="5" t="str">
        <f t="shared" si="6"/>
        <v>Provo</v>
      </c>
      <c r="Q1287" s="5" t="str">
        <f t="shared" si="7"/>
        <v>Utah</v>
      </c>
      <c r="R1287" s="5" t="str">
        <f t="shared" si="8"/>
        <v>United States</v>
      </c>
    </row>
    <row r="1288">
      <c r="A1288" s="8" t="s">
        <v>7993</v>
      </c>
      <c r="B1288" s="10" t="s">
        <v>7994</v>
      </c>
      <c r="C1288" s="10" t="s">
        <v>4709</v>
      </c>
      <c r="D1288" s="10"/>
      <c r="E1288" s="10" t="s">
        <v>1424</v>
      </c>
      <c r="F1288" s="10" t="s">
        <v>691</v>
      </c>
      <c r="G1288" s="11" t="s">
        <v>137</v>
      </c>
      <c r="H1288" s="11" t="s">
        <v>137</v>
      </c>
      <c r="I1288" s="11" t="s">
        <v>18</v>
      </c>
      <c r="J1288" s="9" t="str">
        <f>IFERROR(__xludf.DUMMYFUNCTION("""COMPUTED_VALUE"""),"https://www.google.com/search?newwindow=1&amp;ei=2MT0XrvGGM-vytMP1OyDgAY&amp;q=site%3Alinkedin.com+McKay+Luu+Recruiting+and+Admissions+Officer")</f>
        <v>https://www.google.com/search?newwindow=1&amp;ei=2MT0XrvGGM-vytMP1OyDgAY&amp;q=site%3Alinkedin.com+McKay+Luu+Recruiting+and+Admissions+Officer</v>
      </c>
      <c r="K1288" s="5" t="str">
        <f t="shared" si="1"/>
        <v>McKay Luu</v>
      </c>
      <c r="L1288" s="5" t="str">
        <f t="shared" si="2"/>
        <v>Recruiting and Admissions Officer</v>
      </c>
      <c r="M1288" s="5" t="str">
        <f t="shared" si="3"/>
        <v/>
      </c>
      <c r="N1288" s="5" t="str">
        <f t="shared" si="4"/>
        <v>Mountainland Technical College</v>
      </c>
      <c r="O1288" s="5" t="str">
        <f t="shared" si="5"/>
        <v>2 years 3 months in role and company</v>
      </c>
      <c r="P1288" s="5" t="str">
        <f t="shared" si="6"/>
        <v>Provo</v>
      </c>
      <c r="Q1288" s="5" t="str">
        <f t="shared" si="7"/>
        <v>Utah</v>
      </c>
      <c r="R1288" s="5" t="str">
        <f t="shared" si="8"/>
        <v>United States</v>
      </c>
    </row>
    <row r="1289">
      <c r="A1289" s="8" t="s">
        <v>7995</v>
      </c>
      <c r="B1289" s="12" t="s">
        <v>7996</v>
      </c>
      <c r="C1289" s="10" t="s">
        <v>7997</v>
      </c>
      <c r="D1289" s="10"/>
      <c r="E1289" s="10" t="s">
        <v>14</v>
      </c>
      <c r="F1289" s="10" t="s">
        <v>277</v>
      </c>
      <c r="G1289" s="11" t="s">
        <v>137</v>
      </c>
      <c r="H1289" s="11" t="s">
        <v>137</v>
      </c>
      <c r="I1289" s="11" t="s">
        <v>18</v>
      </c>
      <c r="J1289" s="9" t="str">
        <f>IFERROR(__xludf.DUMMYFUNCTION("""COMPUTED_VALUE"""),"https://www.google.com/search?newwindow=1&amp;ei=2MT0XrvGGM-vytMP1OyDgAY&amp;q=site%3Alinkedin.com+Myrna+Kelly+Assistant+to+Global+Heads+of+Diversity+and+Campus+Recruiting")</f>
        <v>https://www.google.com/search?newwindow=1&amp;ei=2MT0XrvGGM-vytMP1OyDgAY&amp;q=site%3Alinkedin.com+Myrna+Kelly+Assistant+to+Global+Heads+of+Diversity+and+Campus+Recruiting</v>
      </c>
      <c r="K1289" s="5" t="str">
        <f t="shared" si="1"/>
        <v>Myrna Kelly</v>
      </c>
      <c r="L1289" s="5" t="str">
        <f t="shared" si="2"/>
        <v>Assistant to Global Heads of Diversity and Campus Recruiting</v>
      </c>
      <c r="M1289" s="5" t="str">
        <f t="shared" si="3"/>
        <v/>
      </c>
      <c r="N1289" s="5" t="str">
        <f t="shared" si="4"/>
        <v>Goldman Sachs</v>
      </c>
      <c r="O1289" s="5" t="str">
        <f t="shared" si="5"/>
        <v>6 months in role and company</v>
      </c>
      <c r="P1289" s="5" t="str">
        <f t="shared" si="6"/>
        <v>Queens County</v>
      </c>
      <c r="Q1289" s="5" t="str">
        <f t="shared" si="7"/>
        <v>New York</v>
      </c>
      <c r="R1289" s="5" t="str">
        <f t="shared" si="8"/>
        <v>United States</v>
      </c>
    </row>
    <row r="1290">
      <c r="A1290" s="8" t="s">
        <v>7998</v>
      </c>
      <c r="B1290" s="10" t="s">
        <v>7999</v>
      </c>
      <c r="C1290" s="10" t="s">
        <v>1896</v>
      </c>
      <c r="D1290" s="10"/>
      <c r="E1290" s="10" t="s">
        <v>4611</v>
      </c>
      <c r="F1290" s="10" t="s">
        <v>585</v>
      </c>
      <c r="G1290" s="11" t="s">
        <v>137</v>
      </c>
      <c r="H1290" s="11" t="s">
        <v>137</v>
      </c>
      <c r="I1290" s="11" t="s">
        <v>18</v>
      </c>
      <c r="J1290" s="9" t="str">
        <f>IFERROR(__xludf.DUMMYFUNCTION("""COMPUTED_VALUE"""),"https://www.google.com/search?newwindow=1&amp;ei=2MT0XrvGGM-vytMP1OyDgAY&amp;q=site%3Alinkedin.com+Arlene+S.+Transaction+Services+/+Advisory+Campus+Recruiting")</f>
        <v>https://www.google.com/search?newwindow=1&amp;ei=2MT0XrvGGM-vytMP1OyDgAY&amp;q=site%3Alinkedin.com+Arlene+S.+Transaction+Services+/+Advisory+Campus+Recruiting</v>
      </c>
      <c r="K1290" s="5" t="str">
        <f t="shared" si="1"/>
        <v>Arlene S.</v>
      </c>
      <c r="L1290" s="5" t="str">
        <f t="shared" si="2"/>
        <v>Transaction Services / Advisory Campus Recruiting</v>
      </c>
      <c r="M1290" s="5" t="str">
        <f t="shared" si="3"/>
        <v/>
      </c>
      <c r="N1290" s="5" t="str">
        <f t="shared" si="4"/>
        <v>PricewaterhouseCoopers</v>
      </c>
      <c r="O1290" s="5" t="str">
        <f t="shared" si="5"/>
        <v>12 years 10 months in role and company</v>
      </c>
      <c r="P1290" s="5" t="str">
        <f t="shared" si="6"/>
        <v>Queens County</v>
      </c>
      <c r="Q1290" s="5" t="str">
        <f t="shared" si="7"/>
        <v>New York</v>
      </c>
      <c r="R1290" s="5" t="str">
        <f t="shared" si="8"/>
        <v>United States</v>
      </c>
    </row>
    <row r="1291">
      <c r="A1291" s="8" t="s">
        <v>8000</v>
      </c>
      <c r="B1291" s="10" t="s">
        <v>8001</v>
      </c>
      <c r="C1291" s="10" t="s">
        <v>4749</v>
      </c>
      <c r="D1291" s="10"/>
      <c r="E1291" s="10" t="s">
        <v>4611</v>
      </c>
      <c r="F1291" s="10" t="s">
        <v>651</v>
      </c>
      <c r="G1291" s="11" t="s">
        <v>2725</v>
      </c>
      <c r="H1291" s="11" t="s">
        <v>609</v>
      </c>
      <c r="I1291" s="11" t="s">
        <v>18</v>
      </c>
      <c r="J1291" s="9" t="str">
        <f>IFERROR(__xludf.DUMMYFUNCTION("""COMPUTED_VALUE"""),"https://www.google.com/search?newwindow=1&amp;ei=2MT0XrvGGM-vytMP1OyDgAY&amp;q=site%3Alinkedin.com+Jane+Duckworth+Student+Recruitment+and+Marketing+Team+Leader+at+Edge+Hill+University")</f>
        <v>https://www.google.com/search?newwindow=1&amp;ei=2MT0XrvGGM-vytMP1OyDgAY&amp;q=site%3Alinkedin.com+Jane+Duckworth+Student+Recruitment+and+Marketing+Team+Leader+at+Edge+Hill+University</v>
      </c>
      <c r="K1291" s="5" t="str">
        <f t="shared" si="1"/>
        <v>Jane Duckworth</v>
      </c>
      <c r="L1291" s="5" t="str">
        <f t="shared" si="2"/>
        <v>Student Recruitment and Marketing Team Leader at Edge Hill University</v>
      </c>
      <c r="M1291" s="5" t="str">
        <f t="shared" si="3"/>
        <v/>
      </c>
      <c r="N1291" s="5" t="str">
        <f t="shared" si="4"/>
        <v>Edge Hill University</v>
      </c>
      <c r="O1291" s="5" t="str">
        <f t="shared" si="5"/>
        <v>20 years 4 months in role and company</v>
      </c>
      <c r="P1291" s="5" t="str">
        <f t="shared" si="6"/>
        <v>Rainford</v>
      </c>
      <c r="Q1291" s="5" t="str">
        <f t="shared" si="7"/>
        <v>England</v>
      </c>
      <c r="R1291" s="5" t="str">
        <f t="shared" si="8"/>
        <v>United Kingdom</v>
      </c>
    </row>
    <row r="1292">
      <c r="A1292" s="8" t="s">
        <v>8002</v>
      </c>
      <c r="B1292" s="10" t="s">
        <v>8003</v>
      </c>
      <c r="C1292" s="10" t="s">
        <v>4749</v>
      </c>
      <c r="D1292" s="10"/>
      <c r="E1292" s="10" t="s">
        <v>4611</v>
      </c>
      <c r="F1292" s="10" t="s">
        <v>217</v>
      </c>
      <c r="G1292" s="11" t="s">
        <v>2725</v>
      </c>
      <c r="H1292" s="11" t="s">
        <v>609</v>
      </c>
      <c r="I1292" s="11" t="s">
        <v>18</v>
      </c>
      <c r="J1292" s="9" t="str">
        <f>IFERROR(__xludf.DUMMYFUNCTION("""COMPUTED_VALUE"""),"https://www.google.com/search?newwindow=1&amp;ei=2MT0XrvGGM-vytMP1OyDgAY&amp;q=site%3Alinkedin.com+Katie+Howland+Resource+Manager")</f>
        <v>https://www.google.com/search?newwindow=1&amp;ei=2MT0XrvGGM-vytMP1OyDgAY&amp;q=site%3Alinkedin.com+Katie+Howland+Resource+Manager</v>
      </c>
      <c r="K1292" s="5" t="str">
        <f t="shared" si="1"/>
        <v>Katie Howland</v>
      </c>
      <c r="L1292" s="5" t="str">
        <f t="shared" si="2"/>
        <v>Resource Manager</v>
      </c>
      <c r="M1292" s="5" t="str">
        <f t="shared" si="3"/>
        <v/>
      </c>
      <c r="N1292" s="5" t="str">
        <f t="shared" si="4"/>
        <v>KPMG</v>
      </c>
      <c r="O1292" s="5" t="str">
        <f t="shared" si="5"/>
        <v>13 years 10 months in role and company</v>
      </c>
      <c r="P1292" s="5" t="str">
        <f t="shared" si="6"/>
        <v>Raleigh</v>
      </c>
      <c r="Q1292" s="5" t="str">
        <f t="shared" si="7"/>
        <v>North Carolina</v>
      </c>
      <c r="R1292" s="5" t="str">
        <f t="shared" si="8"/>
        <v>United States</v>
      </c>
    </row>
    <row r="1293">
      <c r="A1293" s="8" t="s">
        <v>8004</v>
      </c>
      <c r="B1293" s="10" t="s">
        <v>8005</v>
      </c>
      <c r="C1293" s="10" t="s">
        <v>8006</v>
      </c>
      <c r="D1293" s="10"/>
      <c r="E1293" s="10" t="s">
        <v>4611</v>
      </c>
      <c r="F1293" s="10" t="s">
        <v>26</v>
      </c>
      <c r="G1293" s="11" t="s">
        <v>2725</v>
      </c>
      <c r="H1293" s="11" t="s">
        <v>609</v>
      </c>
      <c r="I1293" s="11" t="s">
        <v>18</v>
      </c>
      <c r="J1293" s="9" t="str">
        <f>IFERROR(__xludf.DUMMYFUNCTION("""COMPUTED_VALUE"""),"https://www.google.com/search?newwindow=1&amp;ei=2MT0XrvGGM-vytMP1OyDgAY&amp;q=site%3Alinkedin.com+Paige+Kelley+Business+Analyst+Recruiting+Lead")</f>
        <v>https://www.google.com/search?newwindow=1&amp;ei=2MT0XrvGGM-vytMP1OyDgAY&amp;q=site%3Alinkedin.com+Paige+Kelley+Business+Analyst+Recruiting+Lead</v>
      </c>
      <c r="K1293" s="5" t="str">
        <f t="shared" si="1"/>
        <v>Paige Kelley</v>
      </c>
      <c r="L1293" s="5" t="str">
        <f t="shared" si="2"/>
        <v>Business Analyst Recruiting Lead</v>
      </c>
      <c r="M1293" s="5" t="str">
        <f t="shared" si="3"/>
        <v/>
      </c>
      <c r="N1293" s="5" t="str">
        <f t="shared" si="4"/>
        <v>Capital One</v>
      </c>
      <c r="O1293" s="5" t="str">
        <f t="shared" si="5"/>
        <v>1 year 9 months in role</v>
      </c>
      <c r="P1293" s="5" t="str">
        <f t="shared" si="6"/>
        <v>Raleigh</v>
      </c>
      <c r="Q1293" s="5" t="str">
        <f t="shared" si="7"/>
        <v>North Carolina</v>
      </c>
      <c r="R1293" s="5" t="str">
        <f t="shared" si="8"/>
        <v>United States</v>
      </c>
    </row>
    <row r="1294">
      <c r="A1294" s="8" t="s">
        <v>8007</v>
      </c>
      <c r="B1294" s="12" t="s">
        <v>8008</v>
      </c>
      <c r="C1294" s="10" t="s">
        <v>4749</v>
      </c>
      <c r="D1294" s="10"/>
      <c r="E1294" s="10" t="s">
        <v>4701</v>
      </c>
      <c r="F1294" s="10" t="s">
        <v>694</v>
      </c>
      <c r="G1294" s="11" t="s">
        <v>2725</v>
      </c>
      <c r="H1294" s="11" t="s">
        <v>96</v>
      </c>
      <c r="I1294" s="11" t="s">
        <v>18</v>
      </c>
      <c r="J1294" s="9" t="str">
        <f>IFERROR(__xludf.DUMMYFUNCTION("""COMPUTED_VALUE"""),"https://www.google.com/search?newwindow=1&amp;ei=2MT0XrvGGM-vytMP1OyDgAY&amp;q=site%3Alinkedin.com+Kayley+Istace+Student+Recruiter")</f>
        <v>https://www.google.com/search?newwindow=1&amp;ei=2MT0XrvGGM-vytMP1OyDgAY&amp;q=site%3Alinkedin.com+Kayley+Istace+Student+Recruiter</v>
      </c>
      <c r="K1294" s="5" t="str">
        <f t="shared" si="1"/>
        <v>Kayley Istace</v>
      </c>
      <c r="L1294" s="5" t="str">
        <f t="shared" si="2"/>
        <v>Student Recruiter</v>
      </c>
      <c r="M1294" s="5" t="str">
        <f t="shared" si="3"/>
        <v/>
      </c>
      <c r="N1294" s="5" t="str">
        <f t="shared" si="4"/>
        <v>Alberta University of the Arts</v>
      </c>
      <c r="O1294" s="5" t="str">
        <f t="shared" si="5"/>
        <v>5 months in role</v>
      </c>
      <c r="P1294" s="5" t="str">
        <f t="shared" si="6"/>
        <v>Regina</v>
      </c>
      <c r="Q1294" s="5" t="str">
        <f t="shared" si="7"/>
        <v>Saskatchewan</v>
      </c>
      <c r="R1294" s="5" t="str">
        <f t="shared" si="8"/>
        <v>Canada</v>
      </c>
    </row>
    <row r="1295">
      <c r="A1295" s="8" t="s">
        <v>8009</v>
      </c>
      <c r="B1295" s="10" t="s">
        <v>8010</v>
      </c>
      <c r="C1295" s="10" t="s">
        <v>8011</v>
      </c>
      <c r="D1295" s="10"/>
      <c r="E1295" s="10" t="s">
        <v>4611</v>
      </c>
      <c r="F1295" s="10" t="s">
        <v>3110</v>
      </c>
      <c r="G1295" s="11" t="s">
        <v>2725</v>
      </c>
      <c r="H1295" s="11" t="s">
        <v>609</v>
      </c>
      <c r="I1295" s="11" t="s">
        <v>18</v>
      </c>
      <c r="J1295" s="9" t="str">
        <f>IFERROR(__xludf.DUMMYFUNCTION("""COMPUTED_VALUE"""),"https://www.google.com/search?newwindow=1&amp;ei=2MT0XrvGGM-vytMP1OyDgAY&amp;q=site%3Alinkedin.com+Emily+Weekes+International+Student+Advisor+&amp;+Recruiter")</f>
        <v>https://www.google.com/search?newwindow=1&amp;ei=2MT0XrvGGM-vytMP1OyDgAY&amp;q=site%3Alinkedin.com+Emily+Weekes+International+Student+Advisor+&amp;+Recruiter</v>
      </c>
      <c r="K1295" s="5" t="str">
        <f t="shared" si="1"/>
        <v>Emily Weekes</v>
      </c>
      <c r="L1295" s="5" t="str">
        <f t="shared" si="2"/>
        <v>International Student Advisor &amp; Recruiter</v>
      </c>
      <c r="M1295" s="5" t="str">
        <f t="shared" si="3"/>
        <v/>
      </c>
      <c r="N1295" s="5" t="str">
        <f t="shared" si="4"/>
        <v>Saskatchewan Polytechnic</v>
      </c>
      <c r="O1295" s="5" t="str">
        <f t="shared" si="5"/>
        <v>2 years 10 months in role and company</v>
      </c>
      <c r="P1295" s="5" t="str">
        <f t="shared" si="6"/>
        <v>Regina</v>
      </c>
      <c r="Q1295" s="5" t="str">
        <f t="shared" si="7"/>
        <v>Saskatchewan</v>
      </c>
      <c r="R1295" s="5" t="str">
        <f t="shared" si="8"/>
        <v>Canada</v>
      </c>
    </row>
    <row r="1296">
      <c r="A1296" s="8" t="s">
        <v>8012</v>
      </c>
      <c r="B1296" s="10" t="s">
        <v>8013</v>
      </c>
      <c r="C1296" s="10" t="s">
        <v>4749</v>
      </c>
      <c r="D1296" s="10"/>
      <c r="E1296" s="10" t="s">
        <v>4611</v>
      </c>
      <c r="F1296" s="10" t="s">
        <v>79</v>
      </c>
      <c r="G1296" s="11" t="s">
        <v>2725</v>
      </c>
      <c r="H1296" s="11" t="s">
        <v>609</v>
      </c>
      <c r="I1296" s="11" t="s">
        <v>18</v>
      </c>
      <c r="J1296" s="9" t="str">
        <f>IFERROR(__xludf.DUMMYFUNCTION("""COMPUTED_VALUE"""),"https://www.google.com/search?newwindow=1&amp;ei=2MT0XrvGGM-vytMP1OyDgAY&amp;q=site%3Alinkedin.com+Erica+Chan+Coordinator+of+Student+Recruitment+&amp;+Marketing")</f>
        <v>https://www.google.com/search?newwindow=1&amp;ei=2MT0XrvGGM-vytMP1OyDgAY&amp;q=site%3Alinkedin.com+Erica+Chan+Coordinator+of+Student+Recruitment+&amp;+Marketing</v>
      </c>
      <c r="K1296" s="5" t="str">
        <f t="shared" si="1"/>
        <v>Erica Chan</v>
      </c>
      <c r="L1296" s="5" t="str">
        <f t="shared" si="2"/>
        <v>Coordinator of Student Recruitment &amp; Marketing</v>
      </c>
      <c r="M1296" s="5" t="str">
        <f t="shared" si="3"/>
        <v/>
      </c>
      <c r="N1296" s="5" t="str">
        <f t="shared" si="4"/>
        <v>University of Regina</v>
      </c>
      <c r="O1296" s="5" t="str">
        <f t="shared" si="5"/>
        <v>1 year 7 months in role</v>
      </c>
      <c r="P1296" s="5" t="str">
        <f t="shared" si="6"/>
        <v>Regina</v>
      </c>
      <c r="Q1296" s="5" t="str">
        <f t="shared" si="7"/>
        <v>Saskatchewan</v>
      </c>
      <c r="R1296" s="5" t="str">
        <f t="shared" si="8"/>
        <v>Canada</v>
      </c>
    </row>
    <row r="1297">
      <c r="A1297" s="8" t="s">
        <v>8014</v>
      </c>
      <c r="B1297" s="12" t="s">
        <v>8015</v>
      </c>
      <c r="C1297" s="10" t="s">
        <v>8016</v>
      </c>
      <c r="D1297" s="10"/>
      <c r="E1297" s="10" t="s">
        <v>4611</v>
      </c>
      <c r="F1297" s="10" t="s">
        <v>365</v>
      </c>
      <c r="G1297" s="11" t="s">
        <v>2725</v>
      </c>
      <c r="H1297" s="11" t="s">
        <v>609</v>
      </c>
      <c r="I1297" s="11" t="s">
        <v>18</v>
      </c>
      <c r="J1297" s="9" t="str">
        <f>IFERROR(__xludf.DUMMYFUNCTION("""COMPUTED_VALUE"""),"https://www.google.com/search?newwindow=1&amp;ei=2MT0XrvGGM-vytMP1OyDgAY&amp;q=site%3Alinkedin.com+Katelyn+Major+Student+Recruiter+and+Enrolment+Counsellor")</f>
        <v>https://www.google.com/search?newwindow=1&amp;ei=2MT0XrvGGM-vytMP1OyDgAY&amp;q=site%3Alinkedin.com+Katelyn+Major+Student+Recruiter+and+Enrolment+Counsellor</v>
      </c>
      <c r="K1297" s="5" t="str">
        <f t="shared" si="1"/>
        <v>Katelyn Major</v>
      </c>
      <c r="L1297" s="5" t="str">
        <f t="shared" si="2"/>
        <v>Student Recruiter and Enrolment Counsellor</v>
      </c>
      <c r="M1297" s="5" t="str">
        <f t="shared" si="3"/>
        <v/>
      </c>
      <c r="N1297" s="5" t="str">
        <f t="shared" si="4"/>
        <v>Campion College at the University of Regina</v>
      </c>
      <c r="O1297" s="5" t="str">
        <f t="shared" si="5"/>
        <v>2 years 2 months in role and company</v>
      </c>
      <c r="P1297" s="5" t="str">
        <f t="shared" si="6"/>
        <v>Regina</v>
      </c>
      <c r="Q1297" s="5" t="str">
        <f t="shared" si="7"/>
        <v>Saskatchewan</v>
      </c>
      <c r="R1297" s="5" t="str">
        <f t="shared" si="8"/>
        <v>Canada</v>
      </c>
    </row>
    <row r="1298">
      <c r="A1298" s="8" t="s">
        <v>8017</v>
      </c>
      <c r="B1298" s="12" t="s">
        <v>8018</v>
      </c>
      <c r="C1298" s="10" t="s">
        <v>110</v>
      </c>
      <c r="D1298" s="10"/>
      <c r="E1298" s="10" t="s">
        <v>4836</v>
      </c>
      <c r="F1298" s="10" t="s">
        <v>79</v>
      </c>
      <c r="G1298" s="11" t="s">
        <v>8019</v>
      </c>
      <c r="H1298" s="11" t="s">
        <v>4757</v>
      </c>
      <c r="I1298" s="11" t="s">
        <v>4607</v>
      </c>
      <c r="J1298" s="9" t="str">
        <f>IFERROR(__xludf.DUMMYFUNCTION("""COMPUTED_VALUE"""),"https://www.google.com/search?newwindow=1&amp;ei=2MT0XrvGGM-vytMP1OyDgAY&amp;q=site%3Alinkedin.com+Kendra+Strong-Garcia+Manager+Student+Experience")</f>
        <v>https://www.google.com/search?newwindow=1&amp;ei=2MT0XrvGGM-vytMP1OyDgAY&amp;q=site%3Alinkedin.com+Kendra+Strong-Garcia+Manager+Student+Experience</v>
      </c>
      <c r="K1298" s="5" t="str">
        <f t="shared" si="1"/>
        <v>Kendra Strong-Garcia</v>
      </c>
      <c r="L1298" s="5" t="str">
        <f t="shared" si="2"/>
        <v>Manager Student Experience</v>
      </c>
      <c r="M1298" s="5" t="str">
        <f t="shared" si="3"/>
        <v/>
      </c>
      <c r="N1298" s="5" t="str">
        <f t="shared" si="4"/>
        <v>Saskatchewan Polytechnic</v>
      </c>
      <c r="O1298" s="5" t="str">
        <f t="shared" si="5"/>
        <v>2 years 1 month in role and company</v>
      </c>
      <c r="P1298" s="5" t="str">
        <f t="shared" si="6"/>
        <v>Regina</v>
      </c>
      <c r="Q1298" s="5" t="str">
        <f t="shared" si="7"/>
        <v>Saskatchewan</v>
      </c>
      <c r="R1298" s="5" t="str">
        <f t="shared" si="8"/>
        <v>Canada</v>
      </c>
    </row>
    <row r="1299">
      <c r="A1299" s="8" t="s">
        <v>8020</v>
      </c>
      <c r="B1299" s="12" t="s">
        <v>8021</v>
      </c>
      <c r="C1299" s="10" t="s">
        <v>5270</v>
      </c>
      <c r="D1299" s="10"/>
      <c r="E1299" s="10" t="s">
        <v>8022</v>
      </c>
      <c r="F1299" s="10" t="s">
        <v>125</v>
      </c>
      <c r="G1299" s="11" t="s">
        <v>8019</v>
      </c>
      <c r="H1299" s="11" t="s">
        <v>4757</v>
      </c>
      <c r="I1299" s="11" t="s">
        <v>4607</v>
      </c>
      <c r="J1299" s="9" t="str">
        <f>IFERROR(__xludf.DUMMYFUNCTION("""COMPUTED_VALUE"""),"https://www.google.com/search?newwindow=1&amp;ei=2MT0XrvGGM-vytMP1OyDgAY&amp;q=site%3Alinkedin.com+Victoria+Johnson+Student+Engagement+Programs+Coordinator")</f>
        <v>https://www.google.com/search?newwindow=1&amp;ei=2MT0XrvGGM-vytMP1OyDgAY&amp;q=site%3Alinkedin.com+Victoria+Johnson+Student+Engagement+Programs+Coordinator</v>
      </c>
      <c r="K1299" s="5" t="str">
        <f t="shared" si="1"/>
        <v>Victoria Johnson</v>
      </c>
      <c r="L1299" s="5" t="str">
        <f t="shared" si="2"/>
        <v>Student Engagement Programs Coordinator</v>
      </c>
      <c r="M1299" s="5" t="str">
        <f t="shared" si="3"/>
        <v/>
      </c>
      <c r="N1299" s="5" t="str">
        <f t="shared" si="4"/>
        <v>University of Regina</v>
      </c>
      <c r="O1299" s="5" t="str">
        <f t="shared" si="5"/>
        <v>2 years 11 months in role</v>
      </c>
      <c r="P1299" s="5" t="str">
        <f t="shared" si="6"/>
        <v>Regina</v>
      </c>
      <c r="Q1299" s="5" t="str">
        <f t="shared" si="7"/>
        <v>Saskatchewan</v>
      </c>
      <c r="R1299" s="5" t="str">
        <f t="shared" si="8"/>
        <v>Canada</v>
      </c>
    </row>
    <row r="1300">
      <c r="A1300" s="8" t="s">
        <v>8023</v>
      </c>
      <c r="B1300" s="10" t="s">
        <v>8024</v>
      </c>
      <c r="C1300" s="10" t="s">
        <v>8025</v>
      </c>
      <c r="D1300" s="10"/>
      <c r="E1300" s="10" t="s">
        <v>8026</v>
      </c>
      <c r="F1300" s="10" t="s">
        <v>691</v>
      </c>
      <c r="G1300" s="11" t="s">
        <v>8027</v>
      </c>
      <c r="H1300" s="11" t="s">
        <v>4757</v>
      </c>
      <c r="I1300" s="11" t="s">
        <v>4607</v>
      </c>
      <c r="J1300" s="9" t="str">
        <f>IFERROR(__xludf.DUMMYFUNCTION("""COMPUTED_VALUE"""),"https://www.google.com/search?newwindow=1&amp;ei=2MT0XrvGGM-vytMP1OyDgAY&amp;q=site%3Alinkedin.com+Pamela+Osmond-Johnson+Associate+Dean,+Student+Services+and+Undergraduate+Programs")</f>
        <v>https://www.google.com/search?newwindow=1&amp;ei=2MT0XrvGGM-vytMP1OyDgAY&amp;q=site%3Alinkedin.com+Pamela+Osmond-Johnson+Associate+Dean,+Student+Services+and+Undergraduate+Programs</v>
      </c>
      <c r="K1300" s="5" t="str">
        <f t="shared" si="1"/>
        <v>Pamela Osmond-Johnson</v>
      </c>
      <c r="L1300" s="5" t="str">
        <f t="shared" si="2"/>
        <v>Associate Dean, Student Services and Undergraduate Programs</v>
      </c>
      <c r="M1300" s="5" t="str">
        <f t="shared" si="3"/>
        <v/>
      </c>
      <c r="N1300" s="5" t="str">
        <f t="shared" si="4"/>
        <v>University of Regina</v>
      </c>
      <c r="O1300" s="5" t="str">
        <f t="shared" si="5"/>
        <v>1 year 4 months in role and company</v>
      </c>
      <c r="P1300" s="5" t="str">
        <f t="shared" si="6"/>
        <v>Regina</v>
      </c>
      <c r="Q1300" s="5" t="str">
        <f t="shared" si="7"/>
        <v>Saskatchewan</v>
      </c>
      <c r="R1300" s="5" t="str">
        <f t="shared" si="8"/>
        <v>Canada</v>
      </c>
    </row>
    <row r="1301">
      <c r="A1301" s="8" t="s">
        <v>8028</v>
      </c>
      <c r="B1301" s="10" t="s">
        <v>8029</v>
      </c>
      <c r="C1301" s="10" t="s">
        <v>25</v>
      </c>
      <c r="D1301" s="10"/>
      <c r="E1301" s="10" t="s">
        <v>8030</v>
      </c>
      <c r="F1301" s="10" t="s">
        <v>213</v>
      </c>
      <c r="G1301" s="11" t="s">
        <v>8031</v>
      </c>
      <c r="H1301" s="11" t="s">
        <v>4638</v>
      </c>
      <c r="I1301" s="11" t="s">
        <v>4600</v>
      </c>
      <c r="J1301" s="9" t="str">
        <f>IFERROR(__xludf.DUMMYFUNCTION("""COMPUTED_VALUE"""),"https://www.google.com/search?newwindow=1&amp;ei=2MT0XrvGGM-vytMP1OyDgAY&amp;q=site%3Alinkedin.com+Stephanie+Paul+Director,+Campus+Recruiting")</f>
        <v>https://www.google.com/search?newwindow=1&amp;ei=2MT0XrvGGM-vytMP1OyDgAY&amp;q=site%3Alinkedin.com+Stephanie+Paul+Director,+Campus+Recruiting</v>
      </c>
      <c r="K1301" s="5" t="str">
        <f t="shared" si="1"/>
        <v>Stephanie Paul</v>
      </c>
      <c r="L1301" s="5" t="str">
        <f t="shared" si="2"/>
        <v>Director, Campus Recruiting</v>
      </c>
      <c r="M1301" s="5" t="str">
        <f t="shared" si="3"/>
        <v/>
      </c>
      <c r="N1301" s="5" t="str">
        <f t="shared" si="4"/>
        <v>Capital One</v>
      </c>
      <c r="O1301" s="5" t="str">
        <f t="shared" si="5"/>
        <v>3 years 8 months in role</v>
      </c>
      <c r="P1301" s="5" t="str">
        <f t="shared" si="6"/>
        <v>Reston</v>
      </c>
      <c r="Q1301" s="5" t="str">
        <f t="shared" si="7"/>
        <v>Virginia</v>
      </c>
      <c r="R1301" s="5" t="str">
        <f t="shared" si="8"/>
        <v>United States</v>
      </c>
    </row>
    <row r="1302">
      <c r="A1302" s="8" t="s">
        <v>8028</v>
      </c>
      <c r="B1302" s="10" t="s">
        <v>8029</v>
      </c>
      <c r="C1302" s="10" t="s">
        <v>25</v>
      </c>
      <c r="D1302" s="10"/>
      <c r="E1302" s="10" t="s">
        <v>8030</v>
      </c>
      <c r="F1302" s="10" t="s">
        <v>213</v>
      </c>
      <c r="G1302" s="11" t="s">
        <v>8031</v>
      </c>
      <c r="H1302" s="11" t="s">
        <v>4638</v>
      </c>
      <c r="I1302" s="11" t="s">
        <v>4600</v>
      </c>
      <c r="J1302" s="9" t="str">
        <f>IFERROR(__xludf.DUMMYFUNCTION("""COMPUTED_VALUE"""),"https://www.google.com/search?newwindow=1&amp;ei=2MT0XrvGGM-vytMP1OyDgAY&amp;q=site%3Alinkedin.com+Jess+Bailey+Campus+Recruiting+Manager")</f>
        <v>https://www.google.com/search?newwindow=1&amp;ei=2MT0XrvGGM-vytMP1OyDgAY&amp;q=site%3Alinkedin.com+Jess+Bailey+Campus+Recruiting+Manager</v>
      </c>
      <c r="K1302" s="5" t="str">
        <f t="shared" si="1"/>
        <v>Jess Bailey</v>
      </c>
      <c r="L1302" s="5" t="str">
        <f t="shared" si="2"/>
        <v>Campus Recruiting Manager</v>
      </c>
      <c r="M1302" s="5" t="str">
        <f t="shared" si="3"/>
        <v/>
      </c>
      <c r="N1302" s="5" t="str">
        <f t="shared" si="4"/>
        <v>PwC</v>
      </c>
      <c r="O1302" s="5" t="str">
        <f t="shared" si="5"/>
        <v>4 years 5 months in role</v>
      </c>
      <c r="P1302" s="5" t="str">
        <f t="shared" si="6"/>
        <v>Richmond</v>
      </c>
      <c r="Q1302" s="5" t="str">
        <f t="shared" si="7"/>
        <v>Virginia</v>
      </c>
      <c r="R1302" s="5" t="str">
        <f t="shared" si="8"/>
        <v>United States</v>
      </c>
    </row>
    <row r="1303">
      <c r="A1303" s="8" t="s">
        <v>8032</v>
      </c>
      <c r="B1303" s="10" t="s">
        <v>8033</v>
      </c>
      <c r="C1303" s="10" t="s">
        <v>8034</v>
      </c>
      <c r="D1303" s="10"/>
      <c r="E1303" s="10" t="s">
        <v>8035</v>
      </c>
      <c r="F1303" s="10" t="s">
        <v>15</v>
      </c>
      <c r="G1303" s="11" t="s">
        <v>8031</v>
      </c>
      <c r="H1303" s="11" t="s">
        <v>4638</v>
      </c>
      <c r="I1303" s="11" t="s">
        <v>4600</v>
      </c>
      <c r="J1303" s="9" t="str">
        <f>IFERROR(__xludf.DUMMYFUNCTION("""COMPUTED_VALUE"""),"https://www.google.com/search?newwindow=1&amp;ei=2MT0XrvGGM-vytMP1OyDgAY&amp;q=site%3Alinkedin.com+Kate+Schade+Senior+HR+Associate+|+Campus+Recruiting+Lead+-+Strategy+Consulting+Group")</f>
        <v>https://www.google.com/search?newwindow=1&amp;ei=2MT0XrvGGM-vytMP1OyDgAY&amp;q=site%3Alinkedin.com+Kate+Schade+Senior+HR+Associate+|+Campus+Recruiting+Lead+-+Strategy+Consulting+Group</v>
      </c>
      <c r="K1303" s="5" t="str">
        <f t="shared" si="1"/>
        <v>Kate Schade</v>
      </c>
      <c r="L1303" s="5" t="str">
        <f t="shared" si="2"/>
        <v>Senior HR Associate | Campus Recruiting Lead - Strategy Consulting Group</v>
      </c>
      <c r="M1303" s="5" t="str">
        <f t="shared" si="3"/>
        <v/>
      </c>
      <c r="N1303" s="5" t="str">
        <f t="shared" si="4"/>
        <v>Capital One</v>
      </c>
      <c r="O1303" s="5" t="str">
        <f t="shared" si="5"/>
        <v>10 months in role</v>
      </c>
      <c r="P1303" s="5" t="str">
        <f t="shared" si="6"/>
        <v>Richmond</v>
      </c>
      <c r="Q1303" s="5" t="str">
        <f t="shared" si="7"/>
        <v>Virginia</v>
      </c>
      <c r="R1303" s="5" t="str">
        <f t="shared" si="8"/>
        <v>United States</v>
      </c>
    </row>
    <row r="1304">
      <c r="A1304" s="8" t="s">
        <v>8036</v>
      </c>
      <c r="B1304" s="10" t="s">
        <v>8037</v>
      </c>
      <c r="C1304" s="10" t="s">
        <v>8038</v>
      </c>
      <c r="D1304" s="10"/>
      <c r="E1304" s="10" t="s">
        <v>8039</v>
      </c>
      <c r="F1304" s="10" t="s">
        <v>222</v>
      </c>
      <c r="G1304" s="11" t="s">
        <v>8040</v>
      </c>
      <c r="H1304" s="11" t="s">
        <v>5566</v>
      </c>
      <c r="I1304" s="11" t="s">
        <v>4619</v>
      </c>
      <c r="J1304" s="9" t="str">
        <f>IFERROR(__xludf.DUMMYFUNCTION("""COMPUTED_VALUE"""),"https://www.google.com/search?newwindow=1&amp;ei=2MT0XrvGGM-vytMP1OyDgAY&amp;q=site%3Alinkedin.com+Ryan+Ruiz+VP,+Campus+Recruiting+Manager")</f>
        <v>https://www.google.com/search?newwindow=1&amp;ei=2MT0XrvGGM-vytMP1OyDgAY&amp;q=site%3Alinkedin.com+Ryan+Ruiz+VP,+Campus+Recruiting+Manager</v>
      </c>
      <c r="K1304" s="5" t="str">
        <f t="shared" si="1"/>
        <v>Ryan Ruiz</v>
      </c>
      <c r="L1304" s="5" t="str">
        <f t="shared" si="2"/>
        <v>VP, Campus Recruiting Manager</v>
      </c>
      <c r="M1304" s="5" t="str">
        <f t="shared" si="3"/>
        <v/>
      </c>
      <c r="N1304" s="5" t="str">
        <f t="shared" si="4"/>
        <v>Wells Fargo</v>
      </c>
      <c r="O1304" s="5" t="str">
        <f t="shared" si="5"/>
        <v>6 years 6 months in role</v>
      </c>
      <c r="P1304" s="5" t="str">
        <f t="shared" si="6"/>
        <v>Richmond</v>
      </c>
      <c r="Q1304" s="5" t="str">
        <f t="shared" si="7"/>
        <v>Texas</v>
      </c>
      <c r="R1304" s="5" t="str">
        <f t="shared" si="8"/>
        <v>United States</v>
      </c>
    </row>
    <row r="1305">
      <c r="A1305" s="8" t="s">
        <v>8041</v>
      </c>
      <c r="B1305" s="12" t="s">
        <v>8042</v>
      </c>
      <c r="C1305" s="10" t="s">
        <v>8043</v>
      </c>
      <c r="D1305" s="10"/>
      <c r="E1305" s="10" t="s">
        <v>8044</v>
      </c>
      <c r="F1305" s="10" t="s">
        <v>430</v>
      </c>
      <c r="G1305" s="11" t="s">
        <v>8045</v>
      </c>
      <c r="H1305" s="11" t="s">
        <v>4638</v>
      </c>
      <c r="I1305" s="11" t="s">
        <v>4600</v>
      </c>
      <c r="J1305" s="9" t="str">
        <f>IFERROR(__xludf.DUMMYFUNCTION("""COMPUTED_VALUE"""),"https://www.google.com/search?newwindow=1&amp;ei=2MT0XrvGGM-vytMP1OyDgAY&amp;q=site%3Alinkedin.com+Carolyn+Holman+Campus+Recruiting")</f>
        <v>https://www.google.com/search?newwindow=1&amp;ei=2MT0XrvGGM-vytMP1OyDgAY&amp;q=site%3Alinkedin.com+Carolyn+Holman+Campus+Recruiting</v>
      </c>
      <c r="K1305" s="5" t="str">
        <f t="shared" si="1"/>
        <v>Carolyn Holman</v>
      </c>
      <c r="L1305" s="5" t="str">
        <f t="shared" si="2"/>
        <v>Campus Recruiting</v>
      </c>
      <c r="M1305" s="5" t="str">
        <f t="shared" si="3"/>
        <v/>
      </c>
      <c r="N1305" s="5" t="str">
        <f t="shared" si="4"/>
        <v>Capital One</v>
      </c>
      <c r="O1305" s="5" t="str">
        <f t="shared" si="5"/>
        <v>1 year 8 months in role and company</v>
      </c>
      <c r="P1305" s="5" t="str">
        <f t="shared" si="6"/>
        <v>Richmond</v>
      </c>
      <c r="Q1305" s="5" t="str">
        <f t="shared" si="7"/>
        <v>Virginia</v>
      </c>
      <c r="R1305" s="5" t="str">
        <f t="shared" si="8"/>
        <v>United States</v>
      </c>
    </row>
    <row r="1306">
      <c r="A1306" s="8" t="s">
        <v>8041</v>
      </c>
      <c r="B1306" s="12" t="s">
        <v>8042</v>
      </c>
      <c r="C1306" s="10" t="s">
        <v>8043</v>
      </c>
      <c r="D1306" s="10"/>
      <c r="E1306" s="10" t="s">
        <v>8044</v>
      </c>
      <c r="F1306" s="10" t="s">
        <v>430</v>
      </c>
      <c r="G1306" s="11" t="s">
        <v>8045</v>
      </c>
      <c r="H1306" s="11" t="s">
        <v>4638</v>
      </c>
      <c r="I1306" s="11" t="s">
        <v>4600</v>
      </c>
      <c r="J1306" s="9" t="str">
        <f>IFERROR(__xludf.DUMMYFUNCTION("""COMPUTED_VALUE"""),"https://www.google.com/search?newwindow=1&amp;ei=2MT0XrvGGM-vytMP1OyDgAY&amp;q=site%3Alinkedin.com+Christina+Mitchell+Principal+HR+Coordinator,+Campus+Recruiting")</f>
        <v>https://www.google.com/search?newwindow=1&amp;ei=2MT0XrvGGM-vytMP1OyDgAY&amp;q=site%3Alinkedin.com+Christina+Mitchell+Principal+HR+Coordinator,+Campus+Recruiting</v>
      </c>
      <c r="K1306" s="5" t="str">
        <f t="shared" si="1"/>
        <v>Christina Mitchell</v>
      </c>
      <c r="L1306" s="5" t="str">
        <f t="shared" si="2"/>
        <v>Principal HR Coordinator, Campus Recruiting</v>
      </c>
      <c r="M1306" s="5" t="str">
        <f t="shared" si="3"/>
        <v/>
      </c>
      <c r="N1306" s="5" t="str">
        <f t="shared" si="4"/>
        <v>Capital One</v>
      </c>
      <c r="O1306" s="5" t="str">
        <f t="shared" si="5"/>
        <v>1 year 7 months in role</v>
      </c>
      <c r="P1306" s="5" t="str">
        <f t="shared" si="6"/>
        <v>Richmond</v>
      </c>
      <c r="Q1306" s="5" t="str">
        <f t="shared" si="7"/>
        <v>Virginia</v>
      </c>
      <c r="R1306" s="5" t="str">
        <f t="shared" si="8"/>
        <v>United States</v>
      </c>
    </row>
    <row r="1307">
      <c r="A1307" s="8" t="s">
        <v>8046</v>
      </c>
      <c r="B1307" s="12" t="s">
        <v>2948</v>
      </c>
      <c r="C1307" s="10" t="s">
        <v>2949</v>
      </c>
      <c r="D1307" s="10"/>
      <c r="E1307" s="10" t="s">
        <v>4659</v>
      </c>
      <c r="F1307" s="10" t="s">
        <v>233</v>
      </c>
      <c r="G1307" s="11" t="s">
        <v>2950</v>
      </c>
      <c r="H1307" s="11" t="s">
        <v>17</v>
      </c>
      <c r="I1307" s="11" t="s">
        <v>18</v>
      </c>
      <c r="J1307" s="9" t="str">
        <f>IFERROR(__xludf.DUMMYFUNCTION("""COMPUTED_VALUE"""),"https://www.google.com/search?newwindow=1&amp;ei=2MT0XrvGGM-vytMP1OyDgAY&amp;q=site%3Alinkedin.com+Mary+Kate+Duncan+Campus+Recruiter")</f>
        <v>https://www.google.com/search?newwindow=1&amp;ei=2MT0XrvGGM-vytMP1OyDgAY&amp;q=site%3Alinkedin.com+Mary+Kate+Duncan+Campus+Recruiter</v>
      </c>
      <c r="K1307" s="5" t="str">
        <f t="shared" si="1"/>
        <v>Mary Kate Duncan</v>
      </c>
      <c r="L1307" s="5" t="str">
        <f t="shared" si="2"/>
        <v>Campus Recruiter</v>
      </c>
      <c r="M1307" s="5" t="str">
        <f t="shared" si="3"/>
        <v/>
      </c>
      <c r="N1307" s="5" t="str">
        <f t="shared" si="4"/>
        <v>Capital One</v>
      </c>
      <c r="O1307" s="5" t="str">
        <f t="shared" si="5"/>
        <v>4 years 6 months in role</v>
      </c>
      <c r="P1307" s="5" t="str">
        <f t="shared" si="6"/>
        <v>Richmond</v>
      </c>
      <c r="Q1307" s="5" t="str">
        <f t="shared" si="7"/>
        <v>Virginia</v>
      </c>
      <c r="R1307" s="5" t="str">
        <f t="shared" si="8"/>
        <v>United States</v>
      </c>
    </row>
    <row r="1308">
      <c r="A1308" s="8" t="s">
        <v>8047</v>
      </c>
      <c r="B1308" s="12" t="s">
        <v>8048</v>
      </c>
      <c r="C1308" s="10" t="s">
        <v>4596</v>
      </c>
      <c r="D1308" s="10"/>
      <c r="E1308" s="10" t="s">
        <v>8049</v>
      </c>
      <c r="F1308" s="10" t="s">
        <v>441</v>
      </c>
      <c r="G1308" s="11" t="s">
        <v>8050</v>
      </c>
      <c r="H1308" s="11" t="s">
        <v>5566</v>
      </c>
      <c r="I1308" s="11" t="s">
        <v>4619</v>
      </c>
      <c r="J1308" s="9" t="str">
        <f>IFERROR(__xludf.DUMMYFUNCTION("""COMPUTED_VALUE"""),"https://www.google.com/search?newwindow=1&amp;ei=2MT0XrvGGM-vytMP1OyDgAY&amp;q=site%3Alinkedin.com+Chris+Giacchi+Human+Resource+Consultant+for+Brand,+Workplace+Solutions,+Supplier+Management+and+Security")</f>
        <v>https://www.google.com/search?newwindow=1&amp;ei=2MT0XrvGGM-vytMP1OyDgAY&amp;q=site%3Alinkedin.com+Chris+Giacchi+Human+Resource+Consultant+for+Brand,+Workplace+Solutions,+Supplier+Management+and+Security</v>
      </c>
      <c r="K1308" s="5" t="str">
        <f t="shared" si="1"/>
        <v>Chris Giacchi</v>
      </c>
      <c r="L1308" s="5" t="str">
        <f t="shared" si="2"/>
        <v>Human Resource Consultant for Brand, Workplace Solutions, Supplier Management and Security</v>
      </c>
      <c r="M1308" s="5" t="str">
        <f t="shared" si="3"/>
        <v/>
      </c>
      <c r="N1308" s="5" t="str">
        <f t="shared" si="4"/>
        <v>Capital One</v>
      </c>
      <c r="O1308" s="5" t="str">
        <f t="shared" si="5"/>
        <v>2 years 5 months in role</v>
      </c>
      <c r="P1308" s="5" t="str">
        <f t="shared" si="6"/>
        <v>Richmond</v>
      </c>
      <c r="Q1308" s="5" t="str">
        <f t="shared" si="7"/>
        <v>Virginia</v>
      </c>
      <c r="R1308" s="5" t="str">
        <f t="shared" si="8"/>
        <v>United States</v>
      </c>
    </row>
    <row r="1309">
      <c r="A1309" s="8" t="s">
        <v>8051</v>
      </c>
      <c r="B1309" s="10" t="s">
        <v>8052</v>
      </c>
      <c r="C1309" s="10" t="s">
        <v>25</v>
      </c>
      <c r="D1309" s="10"/>
      <c r="E1309" s="10" t="s">
        <v>8053</v>
      </c>
      <c r="F1309" s="10" t="s">
        <v>237</v>
      </c>
      <c r="G1309" s="11" t="s">
        <v>8054</v>
      </c>
      <c r="H1309" s="11" t="s">
        <v>5566</v>
      </c>
      <c r="I1309" s="11" t="s">
        <v>4619</v>
      </c>
      <c r="J1309" s="9" t="str">
        <f>IFERROR(__xludf.DUMMYFUNCTION("""COMPUTED_VALUE"""),"https://www.google.com/search?newwindow=1&amp;ei=2MT0XrvGGM-vytMP1OyDgAY&amp;q=site%3Alinkedin.com+Peter+Bartok+Campus+Recruiting+Manager")</f>
        <v>https://www.google.com/search?newwindow=1&amp;ei=2MT0XrvGGM-vytMP1OyDgAY&amp;q=site%3Alinkedin.com+Peter+Bartok+Campus+Recruiting+Manager</v>
      </c>
      <c r="K1309" s="5" t="str">
        <f t="shared" si="1"/>
        <v>Peter Bartok</v>
      </c>
      <c r="L1309" s="5" t="str">
        <f t="shared" si="2"/>
        <v>Campus Recruiting Manager</v>
      </c>
      <c r="M1309" s="5" t="str">
        <f t="shared" si="3"/>
        <v/>
      </c>
      <c r="N1309" s="5" t="str">
        <f t="shared" si="4"/>
        <v>KPMG LLP</v>
      </c>
      <c r="O1309" s="5" t="str">
        <f t="shared" si="5"/>
        <v>12 years 7 months in role</v>
      </c>
      <c r="P1309" s="5" t="str">
        <f t="shared" si="6"/>
        <v>Richmond</v>
      </c>
      <c r="Q1309" s="5" t="str">
        <f t="shared" si="7"/>
        <v>Virginia</v>
      </c>
      <c r="R1309" s="5" t="str">
        <f t="shared" si="8"/>
        <v>United States</v>
      </c>
    </row>
    <row r="1310">
      <c r="A1310" s="8" t="s">
        <v>8055</v>
      </c>
      <c r="B1310" s="12" t="s">
        <v>8056</v>
      </c>
      <c r="C1310" s="10" t="s">
        <v>4596</v>
      </c>
      <c r="D1310" s="10"/>
      <c r="E1310" s="10" t="s">
        <v>5132</v>
      </c>
      <c r="F1310" s="10" t="s">
        <v>4158</v>
      </c>
      <c r="G1310" s="11" t="s">
        <v>8057</v>
      </c>
      <c r="H1310" s="11" t="s">
        <v>4599</v>
      </c>
      <c r="I1310" s="11" t="s">
        <v>4600</v>
      </c>
      <c r="J1310" s="9" t="str">
        <f>IFERROR(__xludf.DUMMYFUNCTION("""COMPUTED_VALUE"""),"https://www.google.com/search?newwindow=1&amp;ei=2MT0XrvGGM-vytMP1OyDgAY&amp;q=site%3Alinkedin.com+Julia+Christakos+Process+Manager,+Campus+Recruiting")</f>
        <v>https://www.google.com/search?newwindow=1&amp;ei=2MT0XrvGGM-vytMP1OyDgAY&amp;q=site%3Alinkedin.com+Julia+Christakos+Process+Manager,+Campus+Recruiting</v>
      </c>
      <c r="K1310" s="5" t="str">
        <f t="shared" si="1"/>
        <v>Julia Christakos</v>
      </c>
      <c r="L1310" s="5" t="str">
        <f t="shared" si="2"/>
        <v>Process Manager, Campus Recruiting</v>
      </c>
      <c r="M1310" s="5" t="str">
        <f t="shared" si="3"/>
        <v/>
      </c>
      <c r="N1310" s="5" t="str">
        <f t="shared" si="4"/>
        <v>Capital One</v>
      </c>
      <c r="O1310" s="5" t="str">
        <f t="shared" si="5"/>
        <v>2 years 7 months in role</v>
      </c>
      <c r="P1310" s="5" t="str">
        <f t="shared" si="6"/>
        <v>Richmond</v>
      </c>
      <c r="Q1310" s="5" t="str">
        <f t="shared" si="7"/>
        <v>Virginia</v>
      </c>
      <c r="R1310" s="5" t="str">
        <f t="shared" si="8"/>
        <v>United States</v>
      </c>
    </row>
    <row r="1311">
      <c r="A1311" s="8" t="s">
        <v>8058</v>
      </c>
      <c r="B1311" s="12" t="s">
        <v>8059</v>
      </c>
      <c r="C1311" s="10" t="s">
        <v>8060</v>
      </c>
      <c r="D1311" s="10"/>
      <c r="E1311" s="10" t="s">
        <v>8061</v>
      </c>
      <c r="F1311" s="10" t="s">
        <v>626</v>
      </c>
      <c r="G1311" s="11" t="s">
        <v>8057</v>
      </c>
      <c r="H1311" s="11" t="s">
        <v>4599</v>
      </c>
      <c r="I1311" s="11" t="s">
        <v>4600</v>
      </c>
      <c r="J1311" s="9" t="str">
        <f>IFERROR(__xludf.DUMMYFUNCTION("""COMPUTED_VALUE"""),"https://www.google.com/search?newwindow=1&amp;ei=2MT0XrvGGM-vytMP1OyDgAY&amp;q=site%3Alinkedin.com+Laura+Valentine+Campus+Recruiting+Coordinator")</f>
        <v>https://www.google.com/search?newwindow=1&amp;ei=2MT0XrvGGM-vytMP1OyDgAY&amp;q=site%3Alinkedin.com+Laura+Valentine+Campus+Recruiting+Coordinator</v>
      </c>
      <c r="K1311" s="5" t="str">
        <f t="shared" si="1"/>
        <v>Laura Valentine</v>
      </c>
      <c r="L1311" s="5" t="str">
        <f t="shared" si="2"/>
        <v>Campus Recruiting Coordinator</v>
      </c>
      <c r="M1311" s="5" t="str">
        <f t="shared" si="3"/>
        <v/>
      </c>
      <c r="N1311" s="5" t="str">
        <f t="shared" si="4"/>
        <v>Deloitte</v>
      </c>
      <c r="O1311" s="5" t="str">
        <f t="shared" si="5"/>
        <v>1 year 3 months in role and company</v>
      </c>
      <c r="P1311" s="5" t="str">
        <f t="shared" si="6"/>
        <v>Richmond</v>
      </c>
      <c r="Q1311" s="5" t="str">
        <f t="shared" si="7"/>
        <v>Virginia</v>
      </c>
      <c r="R1311" s="5" t="str">
        <f t="shared" si="8"/>
        <v>United States</v>
      </c>
    </row>
    <row r="1312">
      <c r="A1312" s="8" t="s">
        <v>8055</v>
      </c>
      <c r="B1312" s="12" t="s">
        <v>8056</v>
      </c>
      <c r="C1312" s="10" t="s">
        <v>4596</v>
      </c>
      <c r="D1312" s="10"/>
      <c r="E1312" s="10" t="s">
        <v>5132</v>
      </c>
      <c r="F1312" s="10" t="s">
        <v>4158</v>
      </c>
      <c r="G1312" s="11" t="s">
        <v>8057</v>
      </c>
      <c r="H1312" s="11" t="s">
        <v>4599</v>
      </c>
      <c r="I1312" s="11" t="s">
        <v>4600</v>
      </c>
      <c r="J1312" s="9" t="str">
        <f>IFERROR(__xludf.DUMMYFUNCTION("""COMPUTED_VALUE"""),"https://www.google.com/search?newwindow=1&amp;ei=2MT0XrvGGM-vytMP1OyDgAY&amp;q=site%3Alinkedin.com+Tasneem+Damji+Student+Recruiter+&amp;+Mentor")</f>
        <v>https://www.google.com/search?newwindow=1&amp;ei=2MT0XrvGGM-vytMP1OyDgAY&amp;q=site%3Alinkedin.com+Tasneem+Damji+Student+Recruiter+&amp;+Mentor</v>
      </c>
      <c r="K1312" s="5" t="str">
        <f t="shared" si="1"/>
        <v>Tasneem Damji</v>
      </c>
      <c r="L1312" s="5" t="str">
        <f t="shared" si="2"/>
        <v>Student Recruiter &amp; Mentor</v>
      </c>
      <c r="M1312" s="5" t="str">
        <f t="shared" si="3"/>
        <v/>
      </c>
      <c r="N1312" s="5" t="str">
        <f t="shared" si="4"/>
        <v>The Spark of Hope Foundation</v>
      </c>
      <c r="O1312" s="5" t="str">
        <f t="shared" si="5"/>
        <v>3 years 9 months in role and company</v>
      </c>
      <c r="P1312" s="5" t="str">
        <f t="shared" si="6"/>
        <v>Richmond</v>
      </c>
      <c r="Q1312" s="5" t="str">
        <f t="shared" si="7"/>
        <v>British Columbia</v>
      </c>
      <c r="R1312" s="5" t="str">
        <f t="shared" si="8"/>
        <v>Canada</v>
      </c>
    </row>
    <row r="1313">
      <c r="A1313" s="8" t="s">
        <v>8058</v>
      </c>
      <c r="B1313" s="12" t="s">
        <v>8059</v>
      </c>
      <c r="C1313" s="10" t="s">
        <v>8060</v>
      </c>
      <c r="D1313" s="10"/>
      <c r="E1313" s="10" t="s">
        <v>8061</v>
      </c>
      <c r="F1313" s="10" t="s">
        <v>626</v>
      </c>
      <c r="G1313" s="11" t="s">
        <v>8057</v>
      </c>
      <c r="H1313" s="11" t="s">
        <v>4599</v>
      </c>
      <c r="I1313" s="11" t="s">
        <v>4600</v>
      </c>
      <c r="J1313" s="9" t="str">
        <f>IFERROR(__xludf.DUMMYFUNCTION("""COMPUTED_VALUE"""),"https://www.google.com/search?newwindow=1&amp;ei=2MT0XrvGGM-vytMP1OyDgAY&amp;q=site%3Alinkedin.com+Anna+Reithmeier+Manager,+International+Recruitment,+eRecruitment+and+Client+Services")</f>
        <v>https://www.google.com/search?newwindow=1&amp;ei=2MT0XrvGGM-vytMP1OyDgAY&amp;q=site%3Alinkedin.com+Anna+Reithmeier+Manager,+International+Recruitment,+eRecruitment+and+Client+Services</v>
      </c>
      <c r="K1313" s="5" t="str">
        <f t="shared" si="1"/>
        <v>Anna Reithmeier</v>
      </c>
      <c r="L1313" s="5" t="str">
        <f t="shared" si="2"/>
        <v>Manager, International Recruitment, eRecruitment and Client Services</v>
      </c>
      <c r="M1313" s="5" t="str">
        <f t="shared" si="3"/>
        <v/>
      </c>
      <c r="N1313" s="5" t="str">
        <f t="shared" si="4"/>
        <v>The University of British Columbia</v>
      </c>
      <c r="O1313" s="5" t="str">
        <f t="shared" si="5"/>
        <v>4 years 5 months in role</v>
      </c>
      <c r="P1313" s="5" t="str">
        <f t="shared" si="6"/>
        <v>Richmond</v>
      </c>
      <c r="Q1313" s="5" t="str">
        <f t="shared" si="7"/>
        <v>British Columbia</v>
      </c>
      <c r="R1313" s="5" t="str">
        <f t="shared" si="8"/>
        <v>Canada</v>
      </c>
    </row>
    <row r="1314">
      <c r="A1314" s="8" t="s">
        <v>8062</v>
      </c>
      <c r="B1314" s="12" t="s">
        <v>8063</v>
      </c>
      <c r="C1314" s="10" t="s">
        <v>4709</v>
      </c>
      <c r="D1314" s="10"/>
      <c r="E1314" s="10" t="s">
        <v>1233</v>
      </c>
      <c r="F1314" s="10" t="s">
        <v>192</v>
      </c>
      <c r="G1314" s="11" t="s">
        <v>8064</v>
      </c>
      <c r="H1314" s="11" t="s">
        <v>1305</v>
      </c>
      <c r="I1314" s="11" t="s">
        <v>18</v>
      </c>
      <c r="J1314" s="9" t="str">
        <f>IFERROR(__xludf.DUMMYFUNCTION("""COMPUTED_VALUE"""),"https://www.google.com/search?newwindow=1&amp;ei=2MT0XrvGGM-vytMP1OyDgAY&amp;q=site%3Alinkedin.com+Felipe+Moreira+International+Student+Coordinator,+LSM-PDD+Programs")</f>
        <v>https://www.google.com/search?newwindow=1&amp;ei=2MT0XrvGGM-vytMP1OyDgAY&amp;q=site%3Alinkedin.com+Felipe+Moreira+International+Student+Coordinator,+LSM-PDD+Programs</v>
      </c>
      <c r="K1314" s="5" t="str">
        <f t="shared" si="1"/>
        <v>Felipe Moreira</v>
      </c>
      <c r="L1314" s="5" t="str">
        <f t="shared" si="2"/>
        <v>International Student Coordinator, LSM-PDD Programs</v>
      </c>
      <c r="M1314" s="5" t="str">
        <f t="shared" si="3"/>
        <v/>
      </c>
      <c r="N1314" s="5" t="str">
        <f t="shared" si="4"/>
        <v>Langara College</v>
      </c>
      <c r="O1314" s="5" t="str">
        <f t="shared" si="5"/>
        <v>1 year 4 months in role</v>
      </c>
      <c r="P1314" s="5" t="str">
        <f t="shared" si="6"/>
        <v>Richmond</v>
      </c>
      <c r="Q1314" s="5" t="str">
        <f t="shared" si="7"/>
        <v>British Columbia</v>
      </c>
      <c r="R1314" s="5" t="str">
        <f t="shared" si="8"/>
        <v>Canada</v>
      </c>
    </row>
    <row r="1315">
      <c r="A1315" s="8" t="s">
        <v>8065</v>
      </c>
      <c r="B1315" s="10" t="s">
        <v>8066</v>
      </c>
      <c r="C1315" s="10" t="s">
        <v>8067</v>
      </c>
      <c r="D1315" s="10"/>
      <c r="E1315" s="10" t="s">
        <v>8068</v>
      </c>
      <c r="F1315" s="10" t="s">
        <v>26</v>
      </c>
      <c r="G1315" s="11" t="s">
        <v>8069</v>
      </c>
      <c r="H1315" s="11" t="s">
        <v>4757</v>
      </c>
      <c r="I1315" s="11" t="s">
        <v>4607</v>
      </c>
      <c r="J1315" s="9" t="str">
        <f>IFERROR(__xludf.DUMMYFUNCTION("""COMPUTED_VALUE"""),"https://www.google.com/search?newwindow=1&amp;ei=2MT0XrvGGM-vytMP1OyDgAY&amp;q=site%3Alinkedin.com+Jessica+J.+Undergraduate+Academic+Assistant")</f>
        <v>https://www.google.com/search?newwindow=1&amp;ei=2MT0XrvGGM-vytMP1OyDgAY&amp;q=site%3Alinkedin.com+Jessica+J.+Undergraduate+Academic+Assistant</v>
      </c>
      <c r="K1315" s="5" t="str">
        <f t="shared" si="1"/>
        <v>Jessica J.</v>
      </c>
      <c r="L1315" s="5" t="str">
        <f t="shared" si="2"/>
        <v>Undergraduate Academic Assistant</v>
      </c>
      <c r="M1315" s="5" t="str">
        <f t="shared" si="3"/>
        <v/>
      </c>
      <c r="N1315" s="5" t="str">
        <f t="shared" si="4"/>
        <v>UBC Faculty of Pharmaceutical Sciences</v>
      </c>
      <c r="O1315" s="5" t="str">
        <f t="shared" si="5"/>
        <v>3 months in role</v>
      </c>
      <c r="P1315" s="5" t="str">
        <f t="shared" si="6"/>
        <v>Richmond</v>
      </c>
      <c r="Q1315" s="5" t="str">
        <f t="shared" si="7"/>
        <v>British Columbia</v>
      </c>
      <c r="R1315" s="5" t="str">
        <f t="shared" si="8"/>
        <v>Canada</v>
      </c>
    </row>
    <row r="1316">
      <c r="A1316" s="8" t="s">
        <v>8070</v>
      </c>
      <c r="B1316" s="10" t="s">
        <v>8071</v>
      </c>
      <c r="C1316" s="10" t="s">
        <v>8072</v>
      </c>
      <c r="D1316" s="10"/>
      <c r="E1316" s="10" t="s">
        <v>845</v>
      </c>
      <c r="F1316" s="10" t="s">
        <v>4250</v>
      </c>
      <c r="G1316" s="11" t="s">
        <v>8069</v>
      </c>
      <c r="H1316" s="11" t="s">
        <v>4757</v>
      </c>
      <c r="I1316" s="11" t="s">
        <v>4607</v>
      </c>
      <c r="J1316" s="9" t="str">
        <f>IFERROR(__xludf.DUMMYFUNCTION("""COMPUTED_VALUE"""),"https://www.google.com/search?newwindow=1&amp;ei=2MT0XrvGGM-vytMP1OyDgAY&amp;q=site%3Alinkedin.com+Eileen+Lim+Program+Assistant+-+International+Student+Programs")</f>
        <v>https://www.google.com/search?newwindow=1&amp;ei=2MT0XrvGGM-vytMP1OyDgAY&amp;q=site%3Alinkedin.com+Eileen+Lim+Program+Assistant+-+International+Student+Programs</v>
      </c>
      <c r="K1316" s="5" t="str">
        <f t="shared" si="1"/>
        <v>Eileen Lim</v>
      </c>
      <c r="L1316" s="5" t="str">
        <f t="shared" si="2"/>
        <v>Program Assistant - International Student Programs</v>
      </c>
      <c r="M1316" s="5" t="str">
        <f t="shared" si="3"/>
        <v/>
      </c>
      <c r="N1316" s="5" t="str">
        <f t="shared" si="4"/>
        <v>Richmond School District No. 38</v>
      </c>
      <c r="O1316" s="5" t="str">
        <f t="shared" si="5"/>
        <v>9 years 1 month in role and company</v>
      </c>
      <c r="P1316" s="5" t="str">
        <f t="shared" si="6"/>
        <v>Richmond</v>
      </c>
      <c r="Q1316" s="5" t="str">
        <f t="shared" si="7"/>
        <v>British Columbia</v>
      </c>
      <c r="R1316" s="5" t="str">
        <f t="shared" si="8"/>
        <v>Canada</v>
      </c>
    </row>
    <row r="1317">
      <c r="A1317" s="8" t="s">
        <v>8073</v>
      </c>
      <c r="B1317" s="10" t="s">
        <v>8074</v>
      </c>
      <c r="C1317" s="10" t="s">
        <v>4596</v>
      </c>
      <c r="D1317" s="10"/>
      <c r="E1317" s="10" t="s">
        <v>7248</v>
      </c>
      <c r="F1317" s="10" t="s">
        <v>651</v>
      </c>
      <c r="G1317" s="11" t="s">
        <v>8069</v>
      </c>
      <c r="H1317" s="11" t="s">
        <v>4757</v>
      </c>
      <c r="I1317" s="11" t="s">
        <v>4607</v>
      </c>
      <c r="J1317" s="9" t="str">
        <f>IFERROR(__xludf.DUMMYFUNCTION("""COMPUTED_VALUE"""),"https://www.google.com/search?newwindow=1&amp;ei=2MT0XrvGGM-vytMP1OyDgAY&amp;q=site%3Alinkedin.com+Emily+Durham+Senior+Campus+Recruiter")</f>
        <v>https://www.google.com/search?newwindow=1&amp;ei=2MT0XrvGGM-vytMP1OyDgAY&amp;q=site%3Alinkedin.com+Emily+Durham+Senior+Campus+Recruiter</v>
      </c>
      <c r="K1317" s="5" t="str">
        <f t="shared" si="1"/>
        <v>Emily Durham</v>
      </c>
      <c r="L1317" s="5" t="str">
        <f t="shared" si="2"/>
        <v>Senior Campus Recruiter</v>
      </c>
      <c r="M1317" s="5" t="str">
        <f t="shared" si="3"/>
        <v/>
      </c>
      <c r="N1317" s="5" t="str">
        <f t="shared" si="4"/>
        <v>Intuit</v>
      </c>
      <c r="O1317" s="5" t="str">
        <f t="shared" si="5"/>
        <v>1 year 2 months in role and company</v>
      </c>
      <c r="P1317" s="5" t="str">
        <f t="shared" si="6"/>
        <v>Richmond Hill</v>
      </c>
      <c r="Q1317" s="5" t="str">
        <f t="shared" si="7"/>
        <v>Ontario</v>
      </c>
      <c r="R1317" s="5" t="str">
        <f t="shared" si="8"/>
        <v>Canada</v>
      </c>
    </row>
    <row r="1318">
      <c r="A1318" s="8" t="s">
        <v>8075</v>
      </c>
      <c r="B1318" s="10" t="s">
        <v>8076</v>
      </c>
      <c r="C1318" s="10" t="s">
        <v>4596</v>
      </c>
      <c r="D1318" s="12"/>
      <c r="E1318" s="12" t="s">
        <v>7476</v>
      </c>
      <c r="F1318" s="10"/>
      <c r="G1318" s="11" t="s">
        <v>8069</v>
      </c>
      <c r="H1318" s="11" t="s">
        <v>4757</v>
      </c>
      <c r="I1318" s="11" t="s">
        <v>4607</v>
      </c>
      <c r="J1318" s="9" t="str">
        <f>IFERROR(__xludf.DUMMYFUNCTION("""COMPUTED_VALUE"""),"https://www.google.com/search?newwindow=1&amp;ei=2MT0XrvGGM-vytMP1OyDgAY&amp;q=site%3Alinkedin.com+Stephanie+Liu+Campus+Recruiter")</f>
        <v>https://www.google.com/search?newwindow=1&amp;ei=2MT0XrvGGM-vytMP1OyDgAY&amp;q=site%3Alinkedin.com+Stephanie+Liu+Campus+Recruiter</v>
      </c>
      <c r="K1318" s="5" t="str">
        <f t="shared" si="1"/>
        <v>Stephanie Liu</v>
      </c>
      <c r="L1318" s="5" t="str">
        <f t="shared" si="2"/>
        <v>Campus Recruiter</v>
      </c>
      <c r="M1318" s="5" t="str">
        <f t="shared" si="3"/>
        <v/>
      </c>
      <c r="N1318" s="5" t="str">
        <f t="shared" si="4"/>
        <v>York Region (The Regional Municipality of York)</v>
      </c>
      <c r="O1318" s="5" t="str">
        <f t="shared" si="5"/>
        <v>10 months in role and company</v>
      </c>
      <c r="P1318" s="5" t="str">
        <f t="shared" si="6"/>
        <v>Richmond Hill</v>
      </c>
      <c r="Q1318" s="5" t="str">
        <f t="shared" si="7"/>
        <v>Ontario</v>
      </c>
      <c r="R1318" s="5" t="str">
        <f t="shared" si="8"/>
        <v>Canada</v>
      </c>
    </row>
    <row r="1319">
      <c r="A1319" s="8" t="s">
        <v>8077</v>
      </c>
      <c r="B1319" s="10" t="s">
        <v>8078</v>
      </c>
      <c r="C1319" s="10" t="s">
        <v>8079</v>
      </c>
      <c r="D1319" s="10"/>
      <c r="E1319" s="10" t="s">
        <v>8080</v>
      </c>
      <c r="F1319" s="10" t="s">
        <v>351</v>
      </c>
      <c r="G1319" s="13" t="s">
        <v>6233</v>
      </c>
      <c r="H1319" s="11" t="s">
        <v>4665</v>
      </c>
      <c r="I1319" s="11" t="s">
        <v>4600</v>
      </c>
      <c r="J1319" s="9" t="str">
        <f>IFERROR(__xludf.DUMMYFUNCTION("""COMPUTED_VALUE"""),"https://www.google.com/search?newwindow=1&amp;ei=2MT0XrvGGM-vytMP1OyDgAY&amp;q=site%3Alinkedin.com+Kayla+C.+International+Student+Advisor/Guidance+Counselor/Student+Recruiter")</f>
        <v>https://www.google.com/search?newwindow=1&amp;ei=2MT0XrvGGM-vytMP1OyDgAY&amp;q=site%3Alinkedin.com+Kayla+C.+International+Student+Advisor/Guidance+Counselor/Student+Recruiter</v>
      </c>
      <c r="K1319" s="5" t="str">
        <f t="shared" si="1"/>
        <v>Kayla C.</v>
      </c>
      <c r="L1319" s="5" t="str">
        <f t="shared" si="2"/>
        <v>International Student Advisor/Guidance Counselor/Student Recruiter</v>
      </c>
      <c r="M1319" s="5" t="str">
        <f t="shared" si="3"/>
        <v/>
      </c>
      <c r="N1319" s="5" t="str">
        <f t="shared" si="4"/>
        <v>AddPlus International Education Institute</v>
      </c>
      <c r="O1319" s="5" t="str">
        <f t="shared" si="5"/>
        <v>3 years 4 months in role and company</v>
      </c>
      <c r="P1319" s="5" t="str">
        <f t="shared" si="6"/>
        <v>Richmond Hill</v>
      </c>
      <c r="Q1319" s="5" t="str">
        <f t="shared" si="7"/>
        <v>Ontario</v>
      </c>
      <c r="R1319" s="5" t="str">
        <f t="shared" si="8"/>
        <v>Canada</v>
      </c>
    </row>
    <row r="1320">
      <c r="A1320" s="8" t="s">
        <v>8081</v>
      </c>
      <c r="B1320" s="12" t="s">
        <v>8082</v>
      </c>
      <c r="C1320" s="10" t="s">
        <v>8079</v>
      </c>
      <c r="D1320" s="10"/>
      <c r="E1320" s="10" t="s">
        <v>8083</v>
      </c>
      <c r="F1320" s="10" t="s">
        <v>651</v>
      </c>
      <c r="G1320" s="13" t="s">
        <v>6233</v>
      </c>
      <c r="H1320" s="11" t="s">
        <v>4665</v>
      </c>
      <c r="I1320" s="11" t="s">
        <v>4600</v>
      </c>
      <c r="J1320" s="9" t="str">
        <f>IFERROR(__xludf.DUMMYFUNCTION("""COMPUTED_VALUE"""),"https://www.google.com/search?newwindow=1&amp;ei=2MT0XrvGGM-vytMP1OyDgAY&amp;q=site%3Alinkedin.com+SANDY+LIU+REALTOR,+INTERNATIONAL+STUDENT+RECRUITER")</f>
        <v>https://www.google.com/search?newwindow=1&amp;ei=2MT0XrvGGM-vytMP1OyDgAY&amp;q=site%3Alinkedin.com+SANDY+LIU+REALTOR,+INTERNATIONAL+STUDENT+RECRUITER</v>
      </c>
      <c r="K1320" s="5" t="str">
        <f t="shared" si="1"/>
        <v>SANDY LIU</v>
      </c>
      <c r="L1320" s="5" t="str">
        <f t="shared" si="2"/>
        <v>REALTOR, INTERNATIONAL STUDENT RECRUITER</v>
      </c>
      <c r="M1320" s="5" t="str">
        <f t="shared" si="3"/>
        <v/>
      </c>
      <c r="N1320" s="5" t="str">
        <f t="shared" si="4"/>
        <v>Jdl Realty; TCDSB</v>
      </c>
      <c r="O1320" s="5" t="str">
        <f t="shared" si="5"/>
        <v>5 years 9 months in role and company</v>
      </c>
      <c r="P1320" s="5" t="str">
        <f t="shared" si="6"/>
        <v>Richmond Hill</v>
      </c>
      <c r="Q1320" s="5" t="str">
        <f t="shared" si="7"/>
        <v>Ontario</v>
      </c>
      <c r="R1320" s="5" t="str">
        <f t="shared" si="8"/>
        <v>Canada</v>
      </c>
    </row>
    <row r="1321">
      <c r="A1321" s="8" t="s">
        <v>8084</v>
      </c>
      <c r="B1321" s="10" t="s">
        <v>8085</v>
      </c>
      <c r="C1321" s="10" t="s">
        <v>4749</v>
      </c>
      <c r="D1321" s="10"/>
      <c r="E1321" s="10" t="s">
        <v>3055</v>
      </c>
      <c r="F1321" s="10" t="s">
        <v>651</v>
      </c>
      <c r="G1321" s="11" t="s">
        <v>150</v>
      </c>
      <c r="H1321" s="11" t="s">
        <v>44</v>
      </c>
      <c r="I1321" s="11" t="s">
        <v>18</v>
      </c>
      <c r="J1321" s="9" t="str">
        <f>IFERROR(__xludf.DUMMYFUNCTION("""COMPUTED_VALUE"""),"https://www.google.com/search?newwindow=1&amp;ei=2MT0XrvGGM-vytMP1OyDgAY&amp;q=site%3Alinkedin.com+Chiara+Arch+Campus+Recruiting+Strategist,+D&amp;I+&amp;+National+Partnerships+at+Capital+One")</f>
        <v>https://www.google.com/search?newwindow=1&amp;ei=2MT0XrvGGM-vytMP1OyDgAY&amp;q=site%3Alinkedin.com+Chiara+Arch+Campus+Recruiting+Strategist,+D&amp;I+&amp;+National+Partnerships+at+Capital+One</v>
      </c>
      <c r="K1321" s="5" t="str">
        <f t="shared" si="1"/>
        <v>Chiara Arch</v>
      </c>
      <c r="L1321" s="5" t="str">
        <f t="shared" si="2"/>
        <v>Campus Recruiting Strategist, D&amp;I &amp; National Partnerships at Capital One</v>
      </c>
      <c r="M1321" s="5" t="str">
        <f t="shared" si="3"/>
        <v/>
      </c>
      <c r="N1321" s="5" t="str">
        <f t="shared" si="4"/>
        <v>Capital One</v>
      </c>
      <c r="O1321" s="5" t="str">
        <f t="shared" si="5"/>
        <v>4 months in role</v>
      </c>
      <c r="P1321" s="5" t="str">
        <f t="shared" si="6"/>
        <v>Richmond Hill</v>
      </c>
      <c r="Q1321" s="5" t="str">
        <f t="shared" si="7"/>
        <v>Ontario</v>
      </c>
      <c r="R1321" s="5" t="str">
        <f t="shared" si="8"/>
        <v>Canada</v>
      </c>
    </row>
    <row r="1322">
      <c r="A1322" s="8" t="s">
        <v>8086</v>
      </c>
      <c r="B1322" s="10" t="s">
        <v>8087</v>
      </c>
      <c r="C1322" s="10" t="s">
        <v>8088</v>
      </c>
      <c r="D1322" s="12"/>
      <c r="E1322" s="12" t="s">
        <v>8089</v>
      </c>
      <c r="F1322" s="10"/>
      <c r="G1322" s="11" t="s">
        <v>8090</v>
      </c>
      <c r="H1322" s="11" t="s">
        <v>4638</v>
      </c>
      <c r="I1322" s="11" t="s">
        <v>4600</v>
      </c>
      <c r="J1322" s="9" t="str">
        <f>IFERROR(__xludf.DUMMYFUNCTION("""COMPUTED_VALUE"""),"https://www.google.com/search?newwindow=1&amp;ei=2MT0XrvGGM-vytMP1OyDgAY&amp;q=site%3Alinkedin.com+Lisa+Crouse,+CPA,+SHRM-CP+Senior+Manager+Recruiting")</f>
        <v>https://www.google.com/search?newwindow=1&amp;ei=2MT0XrvGGM-vytMP1OyDgAY&amp;q=site%3Alinkedin.com+Lisa+Crouse,+CPA,+SHRM-CP+Senior+Manager+Recruiting</v>
      </c>
      <c r="K1322" s="5" t="str">
        <f t="shared" si="1"/>
        <v>Lisa Crouse, CPA, SHRM-CP</v>
      </c>
      <c r="L1322" s="5" t="str">
        <f t="shared" si="2"/>
        <v>Senior Manager Recruiting</v>
      </c>
      <c r="M1322" s="5" t="str">
        <f t="shared" si="3"/>
        <v/>
      </c>
      <c r="N1322" s="5" t="str">
        <f t="shared" si="4"/>
        <v>Capital One</v>
      </c>
      <c r="O1322" s="5" t="str">
        <f t="shared" si="5"/>
        <v>1 year 9 months in role and company</v>
      </c>
      <c r="P1322" s="5" t="str">
        <f t="shared" si="6"/>
        <v>Richmond Hill</v>
      </c>
      <c r="Q1322" s="5" t="str">
        <f t="shared" si="7"/>
        <v>Ontario</v>
      </c>
      <c r="R1322" s="5" t="str">
        <f t="shared" si="8"/>
        <v>Canada</v>
      </c>
    </row>
    <row r="1323">
      <c r="A1323" s="8" t="s">
        <v>8091</v>
      </c>
      <c r="B1323" s="12" t="s">
        <v>8092</v>
      </c>
      <c r="C1323" s="10" t="s">
        <v>8093</v>
      </c>
      <c r="D1323" s="12"/>
      <c r="E1323" s="12" t="s">
        <v>3090</v>
      </c>
      <c r="F1323" s="10"/>
      <c r="G1323" s="11" t="s">
        <v>8094</v>
      </c>
      <c r="H1323" s="11" t="s">
        <v>44</v>
      </c>
      <c r="I1323" s="11" t="s">
        <v>18</v>
      </c>
      <c r="J1323" s="9" t="str">
        <f>IFERROR(__xludf.DUMMYFUNCTION("""COMPUTED_VALUE"""),"https://www.google.com/search?newwindow=1&amp;ei=2MT0XrvGGM-vytMP1OyDgAY&amp;q=site%3Alinkedin.com+Darlene+Kipphut+Senior+Associate,+Campus+Recruiting+Data+Analysis")</f>
        <v>https://www.google.com/search?newwindow=1&amp;ei=2MT0XrvGGM-vytMP1OyDgAY&amp;q=site%3Alinkedin.com+Darlene+Kipphut+Senior+Associate,+Campus+Recruiting+Data+Analysis</v>
      </c>
      <c r="K1323" s="5" t="str">
        <f t="shared" si="1"/>
        <v>Darlene Kipphut</v>
      </c>
      <c r="L1323" s="5" t="str">
        <f t="shared" si="2"/>
        <v>Senior Associate, Campus Recruiting Data Analysis</v>
      </c>
      <c r="M1323" s="5" t="str">
        <f t="shared" si="3"/>
        <v/>
      </c>
      <c r="N1323" s="5" t="str">
        <f t="shared" si="4"/>
        <v>Capital One</v>
      </c>
      <c r="O1323" s="5" t="str">
        <f t="shared" si="5"/>
        <v>2 years  in role</v>
      </c>
      <c r="P1323" s="5" t="str">
        <f t="shared" si="6"/>
        <v>Richmond Hill</v>
      </c>
      <c r="Q1323" s="5" t="str">
        <f t="shared" si="7"/>
        <v>Ontario</v>
      </c>
      <c r="R1323" s="5" t="str">
        <f t="shared" si="8"/>
        <v>Canada</v>
      </c>
    </row>
    <row r="1324">
      <c r="A1324" s="8" t="s">
        <v>8095</v>
      </c>
      <c r="B1324" s="12" t="s">
        <v>8092</v>
      </c>
      <c r="C1324" s="10" t="s">
        <v>7277</v>
      </c>
      <c r="D1324" s="12"/>
      <c r="E1324" s="12" t="s">
        <v>3090</v>
      </c>
      <c r="F1324" s="10"/>
      <c r="G1324" s="11" t="s">
        <v>8094</v>
      </c>
      <c r="H1324" s="11" t="s">
        <v>44</v>
      </c>
      <c r="I1324" s="11" t="s">
        <v>18</v>
      </c>
      <c r="J1324" s="9" t="str">
        <f>IFERROR(__xludf.DUMMYFUNCTION("""COMPUTED_VALUE"""),"https://www.google.com/search?newwindow=1&amp;ei=2MT0XrvGGM-vytMP1OyDgAY&amp;q=site%3Alinkedin.com+Nadege+Oluikpe+Global+Head+of+Corporate+&amp;+Strategy+Campus+Recruiting")</f>
        <v>https://www.google.com/search?newwindow=1&amp;ei=2MT0XrvGGM-vytMP1OyDgAY&amp;q=site%3Alinkedin.com+Nadege+Oluikpe+Global+Head+of+Corporate+&amp;+Strategy+Campus+Recruiting</v>
      </c>
      <c r="K1324" s="5" t="str">
        <f t="shared" si="1"/>
        <v>Nadege Oluikpe</v>
      </c>
      <c r="L1324" s="5" t="str">
        <f t="shared" si="2"/>
        <v>Global Head of Corporate &amp; Strategy Campus Recruiting</v>
      </c>
      <c r="M1324" s="5" t="str">
        <f t="shared" si="3"/>
        <v/>
      </c>
      <c r="N1324" s="5" t="str">
        <f t="shared" si="4"/>
        <v>JPMorgan Chase &amp; Co.</v>
      </c>
      <c r="O1324" s="5" t="str">
        <f t="shared" si="5"/>
        <v>7 months in role</v>
      </c>
      <c r="P1324" s="5" t="str">
        <f t="shared" si="6"/>
        <v>Rochester</v>
      </c>
      <c r="Q1324" s="5" t="str">
        <f t="shared" si="7"/>
        <v>New York</v>
      </c>
      <c r="R1324" s="5" t="str">
        <f t="shared" si="8"/>
        <v>United States</v>
      </c>
    </row>
    <row r="1325">
      <c r="A1325" s="8" t="s">
        <v>8096</v>
      </c>
      <c r="B1325" s="10" t="s">
        <v>8097</v>
      </c>
      <c r="C1325" s="10" t="s">
        <v>1378</v>
      </c>
      <c r="D1325" s="10"/>
      <c r="E1325" s="10" t="s">
        <v>1233</v>
      </c>
      <c r="F1325" s="10" t="s">
        <v>651</v>
      </c>
      <c r="G1325" s="11" t="s">
        <v>1960</v>
      </c>
      <c r="H1325" s="11" t="s">
        <v>1961</v>
      </c>
      <c r="I1325" s="11" t="s">
        <v>18</v>
      </c>
      <c r="J1325" s="9" t="str">
        <f>IFERROR(__xludf.DUMMYFUNCTION("""COMPUTED_VALUE"""),"https://www.google.com/search?newwindow=1&amp;ei=2MT0XrvGGM-vytMP1OyDgAY&amp;q=site%3Alinkedin.com+Rachel+Kleinsmith+campus+recruiting+coordinator")</f>
        <v>https://www.google.com/search?newwindow=1&amp;ei=2MT0XrvGGM-vytMP1OyDgAY&amp;q=site%3Alinkedin.com+Rachel+Kleinsmith+campus+recruiting+coordinator</v>
      </c>
      <c r="K1325" s="5" t="str">
        <f t="shared" si="1"/>
        <v>Rachel Kleinsmith</v>
      </c>
      <c r="L1325" s="5" t="str">
        <f t="shared" si="2"/>
        <v>campus recruiting coordinator</v>
      </c>
      <c r="M1325" s="5" t="str">
        <f t="shared" si="3"/>
        <v/>
      </c>
      <c r="N1325" s="5" t="str">
        <f t="shared" si="4"/>
        <v>Ernst &amp; Young</v>
      </c>
      <c r="O1325" s="5" t="str">
        <f t="shared" si="5"/>
        <v/>
      </c>
      <c r="P1325" s="5" t="str">
        <f t="shared" si="6"/>
        <v>Rocky River</v>
      </c>
      <c r="Q1325" s="5" t="str">
        <f t="shared" si="7"/>
        <v>Ohio</v>
      </c>
      <c r="R1325" s="5" t="str">
        <f t="shared" si="8"/>
        <v>United States</v>
      </c>
    </row>
    <row r="1326">
      <c r="A1326" s="8" t="s">
        <v>8098</v>
      </c>
      <c r="B1326" s="12" t="s">
        <v>2952</v>
      </c>
      <c r="C1326" s="10" t="s">
        <v>371</v>
      </c>
      <c r="D1326" s="10"/>
      <c r="E1326" s="10" t="s">
        <v>4659</v>
      </c>
      <c r="F1326" s="10" t="s">
        <v>2544</v>
      </c>
      <c r="G1326" s="11" t="s">
        <v>1960</v>
      </c>
      <c r="H1326" s="11" t="s">
        <v>1961</v>
      </c>
      <c r="I1326" s="11" t="s">
        <v>18</v>
      </c>
      <c r="J1326" s="9" t="str">
        <f>IFERROR(__xludf.DUMMYFUNCTION("""COMPUTED_VALUE"""),"https://www.google.com/search?newwindow=1&amp;ei=2MT0XrvGGM-vytMP1OyDgAY&amp;q=site%3Alinkedin.com+Nagi+Manpreet+Kaur+Spall+(ACMI)+Student+Recruiter")</f>
        <v>https://www.google.com/search?newwindow=1&amp;ei=2MT0XrvGGM-vytMP1OyDgAY&amp;q=site%3Alinkedin.com+Nagi+Manpreet+Kaur+Spall+(ACMI)+Student+Recruiter</v>
      </c>
      <c r="K1326" s="5" t="str">
        <f t="shared" si="1"/>
        <v>Nagi Manpreet Kaur Spall (ACMI)</v>
      </c>
      <c r="L1326" s="5" t="str">
        <f t="shared" si="2"/>
        <v>Student Recruiter</v>
      </c>
      <c r="M1326" s="5" t="str">
        <f t="shared" si="3"/>
        <v/>
      </c>
      <c r="N1326" s="5" t="str">
        <f t="shared" si="4"/>
        <v>Khan Associates (UK) Ltd (T/A: StudyUni)</v>
      </c>
      <c r="O1326" s="5" t="str">
        <f t="shared" si="5"/>
        <v>1 year 11 months in role and company</v>
      </c>
      <c r="P1326" s="5" t="str">
        <f t="shared" si="6"/>
        <v>Romford</v>
      </c>
      <c r="Q1326" s="5" t="str">
        <f t="shared" si="7"/>
        <v>England</v>
      </c>
      <c r="R1326" s="5" t="str">
        <f t="shared" si="8"/>
        <v>United Kingdom</v>
      </c>
    </row>
    <row r="1327">
      <c r="A1327" s="8" t="s">
        <v>8099</v>
      </c>
      <c r="B1327" s="10" t="s">
        <v>8100</v>
      </c>
      <c r="C1327" s="10" t="s">
        <v>5309</v>
      </c>
      <c r="D1327" s="10"/>
      <c r="E1327" s="10" t="s">
        <v>5310</v>
      </c>
      <c r="F1327" s="10" t="s">
        <v>233</v>
      </c>
      <c r="G1327" s="13" t="s">
        <v>5280</v>
      </c>
      <c r="H1327" s="11" t="s">
        <v>4638</v>
      </c>
      <c r="I1327" s="11" t="s">
        <v>4600</v>
      </c>
      <c r="J1327" s="9" t="str">
        <f>IFERROR(__xludf.DUMMYFUNCTION("""COMPUTED_VALUE"""),"https://www.google.com/search?newwindow=1&amp;ei=2MT0XrvGGM-vytMP1OyDgAY&amp;q=site%3Alinkedin.com+Mahadi+Macauley+Recruiter")</f>
        <v>https://www.google.com/search?newwindow=1&amp;ei=2MT0XrvGGM-vytMP1OyDgAY&amp;q=site%3Alinkedin.com+Mahadi+Macauley+Recruiter</v>
      </c>
      <c r="K1327" s="5" t="str">
        <f t="shared" si="1"/>
        <v>Mahadi Macauley</v>
      </c>
      <c r="L1327" s="5" t="str">
        <f t="shared" si="2"/>
        <v>Recruiter</v>
      </c>
      <c r="M1327" s="5" t="str">
        <f t="shared" si="3"/>
        <v/>
      </c>
      <c r="N1327" s="5" t="str">
        <f t="shared" si="4"/>
        <v>LSBF - London School of Business &amp; Finance (LSBF)</v>
      </c>
      <c r="O1327" s="5" t="str">
        <f t="shared" si="5"/>
        <v/>
      </c>
      <c r="P1327" s="5" t="str">
        <f t="shared" si="6"/>
        <v>Romford</v>
      </c>
      <c r="Q1327" s="5" t="str">
        <f t="shared" si="7"/>
        <v>England</v>
      </c>
      <c r="R1327" s="5" t="str">
        <f t="shared" si="8"/>
        <v>United Kingdom</v>
      </c>
    </row>
    <row r="1328">
      <c r="A1328" s="8" t="s">
        <v>8101</v>
      </c>
      <c r="B1328" s="10" t="s">
        <v>8102</v>
      </c>
      <c r="C1328" s="10" t="s">
        <v>5068</v>
      </c>
      <c r="D1328" s="10"/>
      <c r="E1328" s="10" t="s">
        <v>8103</v>
      </c>
      <c r="F1328" s="10" t="s">
        <v>68</v>
      </c>
      <c r="G1328" s="13" t="s">
        <v>5280</v>
      </c>
      <c r="H1328" s="11" t="s">
        <v>4638</v>
      </c>
      <c r="I1328" s="11" t="s">
        <v>4600</v>
      </c>
      <c r="J1328" s="9" t="str">
        <f>IFERROR(__xludf.DUMMYFUNCTION("""COMPUTED_VALUE"""),"https://www.google.com/search?newwindow=1&amp;ei=2MT0XrvGGM-vytMP1OyDgAY&amp;q=site%3Alinkedin.com+Jonathan+Ramirez+LeadGen+Recruiter")</f>
        <v>https://www.google.com/search?newwindow=1&amp;ei=2MT0XrvGGM-vytMP1OyDgAY&amp;q=site%3Alinkedin.com+Jonathan+Ramirez+LeadGen+Recruiter</v>
      </c>
      <c r="K1328" s="5" t="str">
        <f t="shared" si="1"/>
        <v>Jonathan Ramirez</v>
      </c>
      <c r="L1328" s="5" t="str">
        <f t="shared" si="2"/>
        <v>LeadGen Recruiter</v>
      </c>
      <c r="M1328" s="5" t="str">
        <f t="shared" si="3"/>
        <v/>
      </c>
      <c r="N1328" s="5" t="str">
        <f t="shared" si="4"/>
        <v>Project Everest - Impact Ventures</v>
      </c>
      <c r="O1328" s="5" t="str">
        <f t="shared" si="5"/>
        <v>3 years 2 months in role and company</v>
      </c>
      <c r="P1328" s="5" t="str">
        <f t="shared" si="6"/>
        <v>Rosemeadow</v>
      </c>
      <c r="Q1328" s="5" t="str">
        <f t="shared" si="7"/>
        <v>New South Wales</v>
      </c>
      <c r="R1328" s="5" t="str">
        <f t="shared" si="8"/>
        <v>Australia</v>
      </c>
    </row>
    <row r="1329">
      <c r="A1329" s="8" t="s">
        <v>8104</v>
      </c>
      <c r="B1329" s="10" t="s">
        <v>8105</v>
      </c>
      <c r="C1329" s="10" t="s">
        <v>480</v>
      </c>
      <c r="D1329" s="12"/>
      <c r="E1329" s="12" t="s">
        <v>8106</v>
      </c>
      <c r="F1329" s="10"/>
      <c r="G1329" s="13" t="s">
        <v>5280</v>
      </c>
      <c r="H1329" s="11" t="s">
        <v>4638</v>
      </c>
      <c r="I1329" s="11" t="s">
        <v>4600</v>
      </c>
      <c r="J1329" s="9" t="str">
        <f>IFERROR(__xludf.DUMMYFUNCTION("""COMPUTED_VALUE"""),"https://www.google.com/search?newwindow=1&amp;ei=2MT0XrvGGM-vytMP1OyDgAY&amp;q=site%3Alinkedin.com+Renee+Blonde+Campus+Recruiting+Manager")</f>
        <v>https://www.google.com/search?newwindow=1&amp;ei=2MT0XrvGGM-vytMP1OyDgAY&amp;q=site%3Alinkedin.com+Renee+Blonde+Campus+Recruiting+Manager</v>
      </c>
      <c r="K1329" s="5" t="str">
        <f t="shared" si="1"/>
        <v>Renee Blonde</v>
      </c>
      <c r="L1329" s="5" t="str">
        <f t="shared" si="2"/>
        <v>Campus Recruiting Manager</v>
      </c>
      <c r="M1329" s="5" t="str">
        <f t="shared" si="3"/>
        <v/>
      </c>
      <c r="N1329" s="5" t="str">
        <f t="shared" si="4"/>
        <v>KPMG global</v>
      </c>
      <c r="O1329" s="5" t="str">
        <f t="shared" si="5"/>
        <v>20 years 10 months in role and company</v>
      </c>
      <c r="P1329" s="5" t="str">
        <f t="shared" si="6"/>
        <v>Roseville</v>
      </c>
      <c r="Q1329" s="5" t="str">
        <f t="shared" si="7"/>
        <v>Michigan</v>
      </c>
      <c r="R1329" s="5" t="str">
        <f t="shared" si="8"/>
        <v>United States</v>
      </c>
    </row>
    <row r="1330">
      <c r="A1330" s="8" t="s">
        <v>8099</v>
      </c>
      <c r="B1330" s="10" t="s">
        <v>8100</v>
      </c>
      <c r="C1330" s="10" t="s">
        <v>5309</v>
      </c>
      <c r="D1330" s="10"/>
      <c r="E1330" s="10" t="s">
        <v>5310</v>
      </c>
      <c r="F1330" s="10" t="s">
        <v>233</v>
      </c>
      <c r="G1330" s="13" t="s">
        <v>5280</v>
      </c>
      <c r="H1330" s="11" t="s">
        <v>4638</v>
      </c>
      <c r="I1330" s="11" t="s">
        <v>4600</v>
      </c>
      <c r="J1330" s="9" t="str">
        <f>IFERROR(__xludf.DUMMYFUNCTION("""COMPUTED_VALUE"""),"https://www.google.com/search?newwindow=1&amp;ei=2MT0XrvGGM-vytMP1OyDgAY&amp;q=site%3Alinkedin.com+Dana+Catania+Campus+Recruiting+Manager")</f>
        <v>https://www.google.com/search?newwindow=1&amp;ei=2MT0XrvGGM-vytMP1OyDgAY&amp;q=site%3Alinkedin.com+Dana+Catania+Campus+Recruiting+Manager</v>
      </c>
      <c r="K1330" s="5" t="str">
        <f t="shared" si="1"/>
        <v>Dana Catania</v>
      </c>
      <c r="L1330" s="5" t="str">
        <f t="shared" si="2"/>
        <v>Campus Recruiting Manager</v>
      </c>
      <c r="M1330" s="5" t="str">
        <f t="shared" si="3"/>
        <v/>
      </c>
      <c r="N1330" s="5" t="str">
        <f t="shared" si="4"/>
        <v>Deloitte</v>
      </c>
      <c r="O1330" s="5" t="str">
        <f t="shared" si="5"/>
        <v>19 years 10 months in role and company</v>
      </c>
      <c r="P1330" s="5" t="str">
        <f t="shared" si="6"/>
        <v>Royal Oak</v>
      </c>
      <c r="Q1330" s="5" t="str">
        <f t="shared" si="7"/>
        <v>Michigan</v>
      </c>
      <c r="R1330" s="5" t="str">
        <f t="shared" si="8"/>
        <v>United States</v>
      </c>
    </row>
    <row r="1331">
      <c r="A1331" s="8" t="s">
        <v>8107</v>
      </c>
      <c r="B1331" s="12" t="s">
        <v>8108</v>
      </c>
      <c r="C1331" s="10" t="s">
        <v>8109</v>
      </c>
      <c r="D1331" s="10"/>
      <c r="E1331" s="10" t="s">
        <v>8110</v>
      </c>
      <c r="F1331" s="10" t="s">
        <v>574</v>
      </c>
      <c r="G1331" s="13" t="s">
        <v>5280</v>
      </c>
      <c r="H1331" s="11" t="s">
        <v>4638</v>
      </c>
      <c r="I1331" s="11" t="s">
        <v>4600</v>
      </c>
      <c r="J1331" s="9" t="str">
        <f>IFERROR(__xludf.DUMMYFUNCTION("""COMPUTED_VALUE"""),"https://www.google.com/search?newwindow=1&amp;ei=2MT0XrvGGM-vytMP1OyDgAY&amp;q=site%3Alinkedin.com+Chase,+Jeanne+Campus+Recruiting+Associate")</f>
        <v>https://www.google.com/search?newwindow=1&amp;ei=2MT0XrvGGM-vytMP1OyDgAY&amp;q=site%3Alinkedin.com+Chase,+Jeanne+Campus+Recruiting+Associate</v>
      </c>
      <c r="K1331" s="5" t="str">
        <f t="shared" si="1"/>
        <v>Chase, Jeanne</v>
      </c>
      <c r="L1331" s="5" t="str">
        <f t="shared" si="2"/>
        <v>Campus Recruiting Associate</v>
      </c>
      <c r="M1331" s="5" t="str">
        <f t="shared" si="3"/>
        <v/>
      </c>
      <c r="N1331" s="5" t="str">
        <f t="shared" si="4"/>
        <v>KPMG</v>
      </c>
      <c r="O1331" s="5" t="str">
        <f t="shared" si="5"/>
        <v>21 years 10 months in role and company</v>
      </c>
      <c r="P1331" s="5" t="str">
        <f t="shared" si="6"/>
        <v>Rumford</v>
      </c>
      <c r="Q1331" s="5" t="str">
        <f t="shared" si="7"/>
        <v>Rhode Island</v>
      </c>
      <c r="R1331" s="5" t="str">
        <f t="shared" si="8"/>
        <v>United States</v>
      </c>
    </row>
    <row r="1332">
      <c r="A1332" s="8" t="s">
        <v>8111</v>
      </c>
      <c r="B1332" s="10" t="s">
        <v>8112</v>
      </c>
      <c r="C1332" s="10" t="s">
        <v>8113</v>
      </c>
      <c r="D1332" s="10"/>
      <c r="E1332" s="10" t="s">
        <v>8114</v>
      </c>
      <c r="F1332" s="10" t="s">
        <v>1950</v>
      </c>
      <c r="G1332" s="13" t="s">
        <v>5280</v>
      </c>
      <c r="H1332" s="11" t="s">
        <v>4638</v>
      </c>
      <c r="I1332" s="11" t="s">
        <v>4600</v>
      </c>
      <c r="J1332" s="9" t="str">
        <f>IFERROR(__xludf.DUMMYFUNCTION("""COMPUTED_VALUE"""),"https://www.google.com/search?newwindow=1&amp;ei=2MT0XrvGGM-vytMP1OyDgAY&amp;q=site%3Alinkedin.com+Kendra+Stanfill+Graduate+Campus+Recruiter")</f>
        <v>https://www.google.com/search?newwindow=1&amp;ei=2MT0XrvGGM-vytMP1OyDgAY&amp;q=site%3Alinkedin.com+Kendra+Stanfill+Graduate+Campus+Recruiter</v>
      </c>
      <c r="K1332" s="5" t="str">
        <f t="shared" si="1"/>
        <v>Kendra Stanfill</v>
      </c>
      <c r="L1332" s="5" t="str">
        <f t="shared" si="2"/>
        <v>Graduate Campus Recruiter</v>
      </c>
      <c r="M1332" s="5" t="str">
        <f t="shared" si="3"/>
        <v/>
      </c>
      <c r="N1332" s="5" t="str">
        <f t="shared" si="4"/>
        <v>EY</v>
      </c>
      <c r="O1332" s="5" t="str">
        <f t="shared" si="5"/>
        <v>1 year 9 months in role</v>
      </c>
      <c r="P1332" s="5" t="str">
        <f t="shared" si="6"/>
        <v>Sacramento</v>
      </c>
      <c r="Q1332" s="5" t="str">
        <f t="shared" si="7"/>
        <v>California</v>
      </c>
      <c r="R1332" s="5" t="str">
        <f t="shared" si="8"/>
        <v>United States</v>
      </c>
    </row>
    <row r="1333">
      <c r="A1333" s="8" t="s">
        <v>8115</v>
      </c>
      <c r="B1333" s="10" t="s">
        <v>8116</v>
      </c>
      <c r="C1333" s="10" t="s">
        <v>8117</v>
      </c>
      <c r="D1333" s="10"/>
      <c r="E1333" s="10" t="s">
        <v>7690</v>
      </c>
      <c r="F1333" s="10" t="s">
        <v>339</v>
      </c>
      <c r="G1333" s="13" t="s">
        <v>5280</v>
      </c>
      <c r="H1333" s="11" t="s">
        <v>4638</v>
      </c>
      <c r="I1333" s="11" t="s">
        <v>4600</v>
      </c>
      <c r="J1333" s="9" t="str">
        <f>IFERROR(__xludf.DUMMYFUNCTION("""COMPUTED_VALUE"""),"https://www.google.com/search?newwindow=1&amp;ei=2MT0XrvGGM-vytMP1OyDgAY&amp;q=site%3Alinkedin.com+Jie+Jiang,+MA+MBA+International+student+recruiter")</f>
        <v>https://www.google.com/search?newwindow=1&amp;ei=2MT0XrvGGM-vytMP1OyDgAY&amp;q=site%3Alinkedin.com+Jie+Jiang,+MA+MBA+International+student+recruiter</v>
      </c>
      <c r="K1333" s="5" t="str">
        <f t="shared" si="1"/>
        <v>Jie Jiang, MA MBA</v>
      </c>
      <c r="L1333" s="5" t="str">
        <f t="shared" si="2"/>
        <v>International student recruiter</v>
      </c>
      <c r="M1333" s="5" t="str">
        <f t="shared" si="3"/>
        <v/>
      </c>
      <c r="N1333" s="5" t="str">
        <f t="shared" si="4"/>
        <v>Unversity of New Brunswick</v>
      </c>
      <c r="O1333" s="5" t="str">
        <f t="shared" si="5"/>
        <v>2 years 1 month in role and company</v>
      </c>
      <c r="P1333" s="5" t="str">
        <f t="shared" si="6"/>
        <v>Saint John</v>
      </c>
      <c r="Q1333" s="5" t="str">
        <f t="shared" si="7"/>
        <v>New Brunswick</v>
      </c>
      <c r="R1333" s="5" t="str">
        <f t="shared" si="8"/>
        <v>Canada</v>
      </c>
    </row>
    <row r="1334">
      <c r="A1334" s="8" t="s">
        <v>8101</v>
      </c>
      <c r="B1334" s="10" t="s">
        <v>8102</v>
      </c>
      <c r="C1334" s="10" t="s">
        <v>5068</v>
      </c>
      <c r="D1334" s="10"/>
      <c r="E1334" s="10" t="s">
        <v>8103</v>
      </c>
      <c r="F1334" s="10" t="s">
        <v>68</v>
      </c>
      <c r="G1334" s="13" t="s">
        <v>5280</v>
      </c>
      <c r="H1334" s="11" t="s">
        <v>4638</v>
      </c>
      <c r="I1334" s="11" t="s">
        <v>4600</v>
      </c>
      <c r="J1334" s="9" t="str">
        <f>IFERROR(__xludf.DUMMYFUNCTION("""COMPUTED_VALUE"""),"https://www.google.com/search?newwindow=1&amp;ei=2MT0XrvGGM-vytMP1OyDgAY&amp;q=site%3Alinkedin.com+beverly+walker+Campus+Recruiting+Representative")</f>
        <v>https://www.google.com/search?newwindow=1&amp;ei=2MT0XrvGGM-vytMP1OyDgAY&amp;q=site%3Alinkedin.com+beverly+walker+Campus+Recruiting+Representative</v>
      </c>
      <c r="K1334" s="5" t="str">
        <f t="shared" si="1"/>
        <v>beverly walker</v>
      </c>
      <c r="L1334" s="5" t="str">
        <f t="shared" si="2"/>
        <v>Campus Recruiting Representative</v>
      </c>
      <c r="M1334" s="5" t="str">
        <f t="shared" si="3"/>
        <v/>
      </c>
      <c r="N1334" s="5" t="str">
        <f t="shared" si="4"/>
        <v>Lockheed Martin</v>
      </c>
      <c r="O1334" s="5" t="str">
        <f t="shared" si="5"/>
        <v>14 years 1 month in company</v>
      </c>
      <c r="P1334" s="5" t="str">
        <f t="shared" si="6"/>
        <v>Salem</v>
      </c>
      <c r="Q1334" s="5" t="str">
        <f t="shared" si="7"/>
        <v>New Jersey</v>
      </c>
      <c r="R1334" s="5" t="str">
        <f t="shared" si="8"/>
        <v>United States</v>
      </c>
    </row>
    <row r="1335">
      <c r="A1335" s="8" t="s">
        <v>8104</v>
      </c>
      <c r="B1335" s="10" t="s">
        <v>8105</v>
      </c>
      <c r="C1335" s="10" t="s">
        <v>480</v>
      </c>
      <c r="D1335" s="12"/>
      <c r="E1335" s="12" t="s">
        <v>8106</v>
      </c>
      <c r="F1335" s="10"/>
      <c r="G1335" s="13" t="s">
        <v>6220</v>
      </c>
      <c r="H1335" s="11" t="s">
        <v>4638</v>
      </c>
      <c r="I1335" s="11" t="s">
        <v>4600</v>
      </c>
      <c r="J1335" s="9" t="str">
        <f>IFERROR(__xludf.DUMMYFUNCTION("""COMPUTED_VALUE"""),"https://www.google.com/search?newwindow=1&amp;ei=2MT0XrvGGM-vytMP1OyDgAY&amp;q=site%3Alinkedin.com+Matthew+Colecchia+physician+Recruiter")</f>
        <v>https://www.google.com/search?newwindow=1&amp;ei=2MT0XrvGGM-vytMP1OyDgAY&amp;q=site%3Alinkedin.com+Matthew+Colecchia+physician+Recruiter</v>
      </c>
      <c r="K1335" s="5" t="str">
        <f t="shared" si="1"/>
        <v>Matthew Colecchia</v>
      </c>
      <c r="L1335" s="5" t="str">
        <f t="shared" si="2"/>
        <v>physician Recruiter</v>
      </c>
      <c r="M1335" s="5" t="str">
        <f t="shared" si="3"/>
        <v/>
      </c>
      <c r="N1335" s="5" t="str">
        <f t="shared" si="4"/>
        <v>Medicus</v>
      </c>
      <c r="O1335" s="5" t="str">
        <f t="shared" si="5"/>
        <v>2 years  in role and company</v>
      </c>
      <c r="P1335" s="5" t="str">
        <f t="shared" si="6"/>
        <v>Salem</v>
      </c>
      <c r="Q1335" s="5" t="str">
        <f t="shared" si="7"/>
        <v>New Hampshire</v>
      </c>
      <c r="R1335" s="5" t="str">
        <f t="shared" si="8"/>
        <v>United States</v>
      </c>
    </row>
    <row r="1336">
      <c r="A1336" s="8" t="s">
        <v>8118</v>
      </c>
      <c r="B1336" s="10" t="s">
        <v>8119</v>
      </c>
      <c r="C1336" s="10" t="s">
        <v>1378</v>
      </c>
      <c r="D1336" s="10"/>
      <c r="E1336" s="10" t="s">
        <v>1233</v>
      </c>
      <c r="F1336" s="10" t="s">
        <v>48</v>
      </c>
      <c r="G1336" s="11" t="s">
        <v>2491</v>
      </c>
      <c r="H1336" s="11" t="s">
        <v>44</v>
      </c>
      <c r="I1336" s="11" t="s">
        <v>18</v>
      </c>
      <c r="J1336" s="9" t="str">
        <f>IFERROR(__xludf.DUMMYFUNCTION("""COMPUTED_VALUE"""),"https://www.google.com/search?newwindow=1&amp;ei=2MT0XrvGGM-vytMP1OyDgAY&amp;q=site%3Alinkedin.com+Austin+El-Bakri+Campus+Recruiting+Coordinator")</f>
        <v>https://www.google.com/search?newwindow=1&amp;ei=2MT0XrvGGM-vytMP1OyDgAY&amp;q=site%3Alinkedin.com+Austin+El-Bakri+Campus+Recruiting+Coordinator</v>
      </c>
      <c r="K1336" s="5" t="str">
        <f t="shared" si="1"/>
        <v>Austin El-Bakri</v>
      </c>
      <c r="L1336" s="5" t="str">
        <f t="shared" si="2"/>
        <v>Campus Recruiting Coordinator</v>
      </c>
      <c r="M1336" s="5" t="str">
        <f t="shared" si="3"/>
        <v/>
      </c>
      <c r="N1336" s="5" t="str">
        <f t="shared" si="4"/>
        <v>Goldman Sachs</v>
      </c>
      <c r="O1336" s="5" t="str">
        <f t="shared" si="5"/>
        <v>1 year 1 month in role and company</v>
      </c>
      <c r="P1336" s="5" t="str">
        <f t="shared" si="6"/>
        <v>Salt Lake City</v>
      </c>
      <c r="Q1336" s="5" t="str">
        <f t="shared" si="7"/>
        <v>Utah</v>
      </c>
      <c r="R1336" s="5" t="str">
        <f t="shared" si="8"/>
        <v>United States</v>
      </c>
    </row>
    <row r="1337">
      <c r="A1337" s="8" t="s">
        <v>8120</v>
      </c>
      <c r="B1337" s="10" t="s">
        <v>8121</v>
      </c>
      <c r="C1337" s="10" t="s">
        <v>1378</v>
      </c>
      <c r="D1337" s="10"/>
      <c r="E1337" s="10" t="s">
        <v>1233</v>
      </c>
      <c r="F1337" s="10" t="s">
        <v>121</v>
      </c>
      <c r="G1337" s="11" t="s">
        <v>2491</v>
      </c>
      <c r="H1337" s="11" t="s">
        <v>44</v>
      </c>
      <c r="I1337" s="11" t="s">
        <v>18</v>
      </c>
      <c r="J1337" s="9" t="str">
        <f>IFERROR(__xludf.DUMMYFUNCTION("""COMPUTED_VALUE"""),"https://www.google.com/search?newwindow=1&amp;ei=2MT0XrvGGM-vytMP1OyDgAY&amp;q=site%3Alinkedin.com+Claire+Sonksen+Campus+Recruiting+Coordinator")</f>
        <v>https://www.google.com/search?newwindow=1&amp;ei=2MT0XrvGGM-vytMP1OyDgAY&amp;q=site%3Alinkedin.com+Claire+Sonksen+Campus+Recruiting+Coordinator</v>
      </c>
      <c r="K1337" s="5" t="str">
        <f t="shared" si="1"/>
        <v>Claire Sonksen</v>
      </c>
      <c r="L1337" s="5" t="str">
        <f t="shared" si="2"/>
        <v>Campus Recruiting Coordinator</v>
      </c>
      <c r="M1337" s="5" t="str">
        <f t="shared" si="3"/>
        <v/>
      </c>
      <c r="N1337" s="5" t="str">
        <f t="shared" si="4"/>
        <v>Goldman Sachs</v>
      </c>
      <c r="O1337" s="5" t="str">
        <f t="shared" si="5"/>
        <v>1 year 11 months in role and company</v>
      </c>
      <c r="P1337" s="5" t="str">
        <f t="shared" si="6"/>
        <v>Salt Lake City</v>
      </c>
      <c r="Q1337" s="5" t="str">
        <f t="shared" si="7"/>
        <v>Utah</v>
      </c>
      <c r="R1337" s="5" t="str">
        <f t="shared" si="8"/>
        <v>United States</v>
      </c>
    </row>
    <row r="1338">
      <c r="A1338" s="8" t="s">
        <v>8122</v>
      </c>
      <c r="B1338" s="10" t="s">
        <v>2881</v>
      </c>
      <c r="C1338" s="10" t="s">
        <v>2882</v>
      </c>
      <c r="D1338" s="10"/>
      <c r="E1338" s="10" t="s">
        <v>2839</v>
      </c>
      <c r="F1338" s="10" t="s">
        <v>22</v>
      </c>
      <c r="G1338" s="11" t="s">
        <v>2491</v>
      </c>
      <c r="H1338" s="11" t="s">
        <v>44</v>
      </c>
      <c r="I1338" s="11" t="s">
        <v>18</v>
      </c>
      <c r="J1338" s="9" t="str">
        <f>IFERROR(__xludf.DUMMYFUNCTION("""COMPUTED_VALUE"""),"https://www.google.com/search?newwindow=1&amp;ei=2MT0XrvGGM-vytMP1OyDgAY&amp;q=site%3Alinkedin.com+Teresa+Pond+Associate,+Campus+Recruiting")</f>
        <v>https://www.google.com/search?newwindow=1&amp;ei=2MT0XrvGGM-vytMP1OyDgAY&amp;q=site%3Alinkedin.com+Teresa+Pond+Associate,+Campus+Recruiting</v>
      </c>
      <c r="K1338" s="5" t="str">
        <f t="shared" si="1"/>
        <v>Teresa Pond</v>
      </c>
      <c r="L1338" s="5" t="str">
        <f t="shared" si="2"/>
        <v>Associate, Campus Recruiting</v>
      </c>
      <c r="M1338" s="5" t="str">
        <f t="shared" si="3"/>
        <v/>
      </c>
      <c r="N1338" s="5" t="str">
        <f t="shared" si="4"/>
        <v>Goldman Sachs</v>
      </c>
      <c r="O1338" s="5" t="str">
        <f t="shared" si="5"/>
        <v>9 months in role and company</v>
      </c>
      <c r="P1338" s="5" t="str">
        <f t="shared" si="6"/>
        <v>Salt Lake City</v>
      </c>
      <c r="Q1338" s="5" t="str">
        <f t="shared" si="7"/>
        <v>Utah</v>
      </c>
      <c r="R1338" s="5" t="str">
        <f t="shared" si="8"/>
        <v>United States</v>
      </c>
    </row>
    <row r="1339">
      <c r="A1339" s="8" t="s">
        <v>8123</v>
      </c>
      <c r="B1339" s="12" t="s">
        <v>8124</v>
      </c>
      <c r="C1339" s="10" t="s">
        <v>8125</v>
      </c>
      <c r="D1339" s="10"/>
      <c r="E1339" s="10" t="s">
        <v>4701</v>
      </c>
      <c r="F1339" s="10" t="s">
        <v>8126</v>
      </c>
      <c r="G1339" s="11" t="s">
        <v>2491</v>
      </c>
      <c r="H1339" s="11" t="s">
        <v>44</v>
      </c>
      <c r="I1339" s="11" t="s">
        <v>18</v>
      </c>
      <c r="J1339" s="9" t="str">
        <f>IFERROR(__xludf.DUMMYFUNCTION("""COMPUTED_VALUE"""),"https://www.google.com/search?newwindow=1&amp;ei=2MT0XrvGGM-vytMP1OyDgAY&amp;q=site%3Alinkedin.com+Jim+Andrus+-++SPHR,SHRM-SCP+Southwest+Market+Campus+Recruiting+Lead")</f>
        <v>https://www.google.com/search?newwindow=1&amp;ei=2MT0XrvGGM-vytMP1OyDgAY&amp;q=site%3Alinkedin.com+Jim+Andrus+-++SPHR,SHRM-SCP+Southwest+Market+Campus+Recruiting+Lead</v>
      </c>
      <c r="K1339" s="5" t="str">
        <f t="shared" si="1"/>
        <v>Jim Andrus -  SPHR,SHRM-SCP</v>
      </c>
      <c r="L1339" s="5" t="str">
        <f t="shared" si="2"/>
        <v>Southwest Market Campus Recruiting Lead</v>
      </c>
      <c r="M1339" s="5" t="str">
        <f t="shared" si="3"/>
        <v/>
      </c>
      <c r="N1339" s="5" t="str">
        <f t="shared" si="4"/>
        <v>PwC</v>
      </c>
      <c r="O1339" s="5" t="str">
        <f t="shared" si="5"/>
        <v>3 years 10 months in role</v>
      </c>
      <c r="P1339" s="5" t="str">
        <f t="shared" si="6"/>
        <v>Salt Lake City</v>
      </c>
      <c r="Q1339" s="5" t="str">
        <f t="shared" si="7"/>
        <v>Utah</v>
      </c>
      <c r="R1339" s="5" t="str">
        <f t="shared" si="8"/>
        <v>United States</v>
      </c>
    </row>
    <row r="1340">
      <c r="A1340" s="8" t="s">
        <v>8127</v>
      </c>
      <c r="B1340" s="10" t="s">
        <v>8128</v>
      </c>
      <c r="C1340" s="10" t="s">
        <v>8129</v>
      </c>
      <c r="D1340" s="10"/>
      <c r="E1340" s="10" t="s">
        <v>4923</v>
      </c>
      <c r="F1340" s="10" t="s">
        <v>455</v>
      </c>
      <c r="G1340" s="11" t="s">
        <v>8130</v>
      </c>
      <c r="H1340" s="11" t="s">
        <v>4638</v>
      </c>
      <c r="I1340" s="11" t="s">
        <v>4600</v>
      </c>
      <c r="J1340" s="9" t="str">
        <f>IFERROR(__xludf.DUMMYFUNCTION("""COMPUTED_VALUE"""),"https://www.google.com/search?newwindow=1&amp;ei=2MT0XrvGGM-vytMP1OyDgAY&amp;q=site%3Alinkedin.com+Joni+Fisher+Campus+Recruiting+Field+Operations+Lead")</f>
        <v>https://www.google.com/search?newwindow=1&amp;ei=2MT0XrvGGM-vytMP1OyDgAY&amp;q=site%3Alinkedin.com+Joni+Fisher+Campus+Recruiting+Field+Operations+Lead</v>
      </c>
      <c r="K1340" s="5" t="str">
        <f t="shared" si="1"/>
        <v>Joni Fisher</v>
      </c>
      <c r="L1340" s="5" t="str">
        <f t="shared" si="2"/>
        <v>Campus Recruiting Field Operations Lead</v>
      </c>
      <c r="M1340" s="5" t="str">
        <f t="shared" si="3"/>
        <v/>
      </c>
      <c r="N1340" s="5" t="str">
        <f t="shared" si="4"/>
        <v>EY</v>
      </c>
      <c r="O1340" s="5" t="str">
        <f t="shared" si="5"/>
        <v>9 months in role and company</v>
      </c>
      <c r="P1340" s="5" t="str">
        <f t="shared" si="6"/>
        <v>Salt Lake City</v>
      </c>
      <c r="Q1340" s="5" t="str">
        <f t="shared" si="7"/>
        <v>Utah</v>
      </c>
      <c r="R1340" s="5" t="str">
        <f t="shared" si="8"/>
        <v>United States</v>
      </c>
    </row>
    <row r="1341">
      <c r="A1341" s="8" t="s">
        <v>8131</v>
      </c>
      <c r="B1341" s="12" t="s">
        <v>8132</v>
      </c>
      <c r="C1341" s="10" t="s">
        <v>8133</v>
      </c>
      <c r="D1341" s="10"/>
      <c r="E1341" s="10" t="s">
        <v>8134</v>
      </c>
      <c r="F1341" s="10" t="s">
        <v>727</v>
      </c>
      <c r="G1341" s="11" t="s">
        <v>8135</v>
      </c>
      <c r="H1341" s="11" t="s">
        <v>4638</v>
      </c>
      <c r="I1341" s="11" t="s">
        <v>4600</v>
      </c>
      <c r="J1341" s="9" t="str">
        <f>IFERROR(__xludf.DUMMYFUNCTION("""COMPUTED_VALUE"""),"https://www.google.com/search?newwindow=1&amp;ei=2MT0XrvGGM-vytMP1OyDgAY&amp;q=site%3Alinkedin.com+Richelle+Medellin+Vice+President,+Head+of+Campus+Recruiting,+Salt+Lake+City")</f>
        <v>https://www.google.com/search?newwindow=1&amp;ei=2MT0XrvGGM-vytMP1OyDgAY&amp;q=site%3Alinkedin.com+Richelle+Medellin+Vice+President,+Head+of+Campus+Recruiting,+Salt+Lake+City</v>
      </c>
      <c r="K1341" s="5" t="str">
        <f t="shared" si="1"/>
        <v>Richelle Medellin</v>
      </c>
      <c r="L1341" s="5" t="str">
        <f t="shared" si="2"/>
        <v>Vice President, Head of Campus Recruiting, Salt Lake City</v>
      </c>
      <c r="M1341" s="5" t="str">
        <f t="shared" si="3"/>
        <v/>
      </c>
      <c r="N1341" s="5" t="str">
        <f t="shared" si="4"/>
        <v>Goldman Sachs</v>
      </c>
      <c r="O1341" s="5" t="str">
        <f t="shared" si="5"/>
        <v>6 months in role and company</v>
      </c>
      <c r="P1341" s="5" t="str">
        <f t="shared" si="6"/>
        <v>Salt Lake City</v>
      </c>
      <c r="Q1341" s="5" t="str">
        <f t="shared" si="7"/>
        <v>Utah</v>
      </c>
      <c r="R1341" s="5" t="str">
        <f t="shared" si="8"/>
        <v>United States</v>
      </c>
    </row>
    <row r="1342">
      <c r="A1342" s="8" t="s">
        <v>8131</v>
      </c>
      <c r="B1342" s="12" t="s">
        <v>8132</v>
      </c>
      <c r="C1342" s="10" t="s">
        <v>8133</v>
      </c>
      <c r="D1342" s="10"/>
      <c r="E1342" s="10" t="s">
        <v>8134</v>
      </c>
      <c r="F1342" s="10" t="s">
        <v>727</v>
      </c>
      <c r="G1342" s="11" t="s">
        <v>8135</v>
      </c>
      <c r="H1342" s="11" t="s">
        <v>4638</v>
      </c>
      <c r="I1342" s="11" t="s">
        <v>4600</v>
      </c>
      <c r="J1342" s="9" t="str">
        <f>IFERROR(__xludf.DUMMYFUNCTION("""COMPUTED_VALUE"""),"https://www.google.com/search?newwindow=1&amp;ei=2MT0XrvGGM-vytMP1OyDgAY&amp;q=site%3Alinkedin.com+Caroline+Allison+Schools+College+Partnership+team")</f>
        <v>https://www.google.com/search?newwindow=1&amp;ei=2MT0XrvGGM-vytMP1OyDgAY&amp;q=site%3Alinkedin.com+Caroline+Allison+Schools+College+Partnership+team</v>
      </c>
      <c r="K1342" s="5" t="str">
        <f t="shared" si="1"/>
        <v>Caroline Allison</v>
      </c>
      <c r="L1342" s="5" t="str">
        <f t="shared" si="2"/>
        <v>Schools College Partnership team</v>
      </c>
      <c r="M1342" s="5" t="str">
        <f t="shared" si="3"/>
        <v/>
      </c>
      <c r="N1342" s="5" t="str">
        <f t="shared" si="4"/>
        <v>Ayrshire College</v>
      </c>
      <c r="O1342" s="5" t="str">
        <f t="shared" si="5"/>
        <v>3 years 11 months in role and company</v>
      </c>
      <c r="P1342" s="5" t="str">
        <f t="shared" si="6"/>
        <v>Saltcoats</v>
      </c>
      <c r="Q1342" s="5" t="str">
        <f t="shared" si="7"/>
        <v>Scotland</v>
      </c>
      <c r="R1342" s="5" t="str">
        <f t="shared" si="8"/>
        <v>United Kingdom</v>
      </c>
    </row>
    <row r="1343">
      <c r="A1343" s="8" t="s">
        <v>8136</v>
      </c>
      <c r="B1343" s="12" t="s">
        <v>8137</v>
      </c>
      <c r="C1343" s="10" t="s">
        <v>1378</v>
      </c>
      <c r="D1343" s="10"/>
      <c r="E1343" s="10" t="s">
        <v>1233</v>
      </c>
      <c r="F1343" s="10" t="s">
        <v>207</v>
      </c>
      <c r="G1343" s="11" t="s">
        <v>1437</v>
      </c>
      <c r="H1343" s="11" t="s">
        <v>203</v>
      </c>
      <c r="I1343" s="11" t="s">
        <v>18</v>
      </c>
      <c r="J1343" s="9" t="str">
        <f>IFERROR(__xludf.DUMMYFUNCTION("""COMPUTED_VALUE"""),"https://www.google.com/search?newwindow=1&amp;ei=2MT0XrvGGM-vytMP1OyDgAY&amp;q=site%3Alinkedin.com+Dawn+West+Senior+Administrative+Assistant")</f>
        <v>https://www.google.com/search?newwindow=1&amp;ei=2MT0XrvGGM-vytMP1OyDgAY&amp;q=site%3Alinkedin.com+Dawn+West+Senior+Administrative+Assistant</v>
      </c>
      <c r="K1343" s="5" t="str">
        <f t="shared" si="1"/>
        <v>Dawn West</v>
      </c>
      <c r="L1343" s="5" t="str">
        <f t="shared" si="2"/>
        <v>Senior Administrative Assistant</v>
      </c>
      <c r="M1343" s="5" t="str">
        <f t="shared" si="3"/>
        <v/>
      </c>
      <c r="N1343" s="5" t="str">
        <f t="shared" si="4"/>
        <v>KPMG</v>
      </c>
      <c r="O1343" s="5" t="str">
        <f t="shared" si="5"/>
        <v>38 years  in role and company</v>
      </c>
      <c r="P1343" s="5" t="str">
        <f t="shared" si="6"/>
        <v>San Antonio</v>
      </c>
      <c r="Q1343" s="5" t="str">
        <f t="shared" si="7"/>
        <v>Texas</v>
      </c>
      <c r="R1343" s="5" t="str">
        <f t="shared" si="8"/>
        <v>United States</v>
      </c>
    </row>
    <row r="1344">
      <c r="A1344" s="8" t="s">
        <v>8138</v>
      </c>
      <c r="B1344" s="12" t="s">
        <v>8139</v>
      </c>
      <c r="C1344" s="10" t="s">
        <v>4674</v>
      </c>
      <c r="D1344" s="10"/>
      <c r="E1344" s="10" t="s">
        <v>1233</v>
      </c>
      <c r="F1344" s="10" t="s">
        <v>106</v>
      </c>
      <c r="G1344" s="11" t="s">
        <v>1437</v>
      </c>
      <c r="H1344" s="11" t="s">
        <v>203</v>
      </c>
      <c r="I1344" s="11" t="s">
        <v>18</v>
      </c>
      <c r="J1344" s="9" t="str">
        <f>IFERROR(__xludf.DUMMYFUNCTION("""COMPUTED_VALUE"""),"https://www.google.com/search?newwindow=1&amp;ei=2MT0XrvGGM-vytMP1OyDgAY&amp;q=site%3Alinkedin.com+Jerry+Alvarez+Fraud+Specialist")</f>
        <v>https://www.google.com/search?newwindow=1&amp;ei=2MT0XrvGGM-vytMP1OyDgAY&amp;q=site%3Alinkedin.com+Jerry+Alvarez+Fraud+Specialist</v>
      </c>
      <c r="K1344" s="5" t="str">
        <f t="shared" si="1"/>
        <v>Jerry Alvarez</v>
      </c>
      <c r="L1344" s="5" t="str">
        <f t="shared" si="2"/>
        <v>Fraud Specialist</v>
      </c>
      <c r="M1344" s="5" t="str">
        <f t="shared" si="3"/>
        <v/>
      </c>
      <c r="N1344" s="5" t="str">
        <f t="shared" si="4"/>
        <v>JPMorgan Chase &amp; Co.</v>
      </c>
      <c r="O1344" s="5" t="str">
        <f t="shared" si="5"/>
        <v>2 years 3 months in role and company</v>
      </c>
      <c r="P1344" s="5" t="str">
        <f t="shared" si="6"/>
        <v>San Antonio</v>
      </c>
      <c r="Q1344" s="5" t="str">
        <f t="shared" si="7"/>
        <v>Texas</v>
      </c>
      <c r="R1344" s="5" t="str">
        <f t="shared" si="8"/>
        <v>United States</v>
      </c>
    </row>
    <row r="1345">
      <c r="A1345" s="8" t="s">
        <v>8140</v>
      </c>
      <c r="B1345" s="10" t="s">
        <v>8141</v>
      </c>
      <c r="C1345" s="10" t="s">
        <v>4677</v>
      </c>
      <c r="D1345" s="10"/>
      <c r="E1345" s="10" t="s">
        <v>1233</v>
      </c>
      <c r="F1345" s="10" t="s">
        <v>144</v>
      </c>
      <c r="G1345" s="11" t="s">
        <v>1437</v>
      </c>
      <c r="H1345" s="11" t="s">
        <v>203</v>
      </c>
      <c r="I1345" s="11" t="s">
        <v>18</v>
      </c>
      <c r="J1345" s="9" t="str">
        <f>IFERROR(__xludf.DUMMYFUNCTION("""COMPUTED_VALUE"""),"https://www.google.com/search?newwindow=1&amp;ei=2MT0XrvGGM-vytMP1OyDgAY&amp;q=site%3Alinkedin.com+Sean+O'Connor+Campus+Recruiting+Coordinator,+Software+Engineering")</f>
        <v>https://www.google.com/search?newwindow=1&amp;ei=2MT0XrvGGM-vytMP1OyDgAY&amp;q=site%3Alinkedin.com+Sean+O'Connor+Campus+Recruiting+Coordinator,+Software+Engineering</v>
      </c>
      <c r="K1345" s="5" t="str">
        <f t="shared" si="1"/>
        <v>Sean O'Connor</v>
      </c>
      <c r="L1345" s="5" t="str">
        <f t="shared" si="2"/>
        <v>Campus Recruiting Coordinator, Software Engineering</v>
      </c>
      <c r="M1345" s="5" t="str">
        <f t="shared" si="3"/>
        <v/>
      </c>
      <c r="N1345" s="5" t="str">
        <f t="shared" si="4"/>
        <v>Bloomberg LP</v>
      </c>
      <c r="O1345" s="5" t="str">
        <f t="shared" si="5"/>
        <v>5 months in role and company</v>
      </c>
      <c r="P1345" s="5" t="str">
        <f t="shared" si="6"/>
        <v>San Diego</v>
      </c>
      <c r="Q1345" s="5" t="str">
        <f t="shared" si="7"/>
        <v>California</v>
      </c>
      <c r="R1345" s="5" t="str">
        <f t="shared" si="8"/>
        <v>United States</v>
      </c>
    </row>
    <row r="1346">
      <c r="A1346" s="8" t="s">
        <v>8142</v>
      </c>
      <c r="B1346" s="10" t="s">
        <v>8143</v>
      </c>
      <c r="C1346" s="10" t="s">
        <v>8144</v>
      </c>
      <c r="D1346" s="10"/>
      <c r="E1346" s="10" t="s">
        <v>2297</v>
      </c>
      <c r="F1346" s="10" t="s">
        <v>60</v>
      </c>
      <c r="G1346" s="11" t="s">
        <v>1437</v>
      </c>
      <c r="H1346" s="11" t="s">
        <v>203</v>
      </c>
      <c r="I1346" s="11" t="s">
        <v>18</v>
      </c>
      <c r="J1346" s="9" t="str">
        <f>IFERROR(__xludf.DUMMYFUNCTION("""COMPUTED_VALUE"""),"https://www.google.com/search?newwindow=1&amp;ei=2MT0XrvGGM-vytMP1OyDgAY&amp;q=site%3Alinkedin.com+Allison+Reams+Newman+Primary+Recruiter,+Campus+Recruiting")</f>
        <v>https://www.google.com/search?newwindow=1&amp;ei=2MT0XrvGGM-vytMP1OyDgAY&amp;q=site%3Alinkedin.com+Allison+Reams+Newman+Primary+Recruiter,+Campus+Recruiting</v>
      </c>
      <c r="K1346" s="5" t="str">
        <f t="shared" si="1"/>
        <v>Allison Reams Newman</v>
      </c>
      <c r="L1346" s="5" t="str">
        <f t="shared" si="2"/>
        <v>Primary Recruiter, Campus Recruiting</v>
      </c>
      <c r="M1346" s="5" t="str">
        <f t="shared" si="3"/>
        <v/>
      </c>
      <c r="N1346" s="5" t="str">
        <f t="shared" si="4"/>
        <v>KPMG US</v>
      </c>
      <c r="O1346" s="5" t="str">
        <f t="shared" si="5"/>
        <v>7 years 10 months in role</v>
      </c>
      <c r="P1346" s="5" t="str">
        <f t="shared" si="6"/>
        <v>San Diego</v>
      </c>
      <c r="Q1346" s="5" t="str">
        <f t="shared" si="7"/>
        <v>California</v>
      </c>
      <c r="R1346" s="5" t="str">
        <f t="shared" si="8"/>
        <v>United States</v>
      </c>
    </row>
    <row r="1347">
      <c r="A1347" s="8" t="s">
        <v>8145</v>
      </c>
      <c r="B1347" s="12" t="s">
        <v>8146</v>
      </c>
      <c r="C1347" s="10" t="s">
        <v>4749</v>
      </c>
      <c r="D1347" s="10"/>
      <c r="E1347" s="10" t="s">
        <v>2297</v>
      </c>
      <c r="F1347" s="10" t="s">
        <v>686</v>
      </c>
      <c r="G1347" s="11" t="s">
        <v>1437</v>
      </c>
      <c r="H1347" s="11" t="s">
        <v>203</v>
      </c>
      <c r="I1347" s="11" t="s">
        <v>18</v>
      </c>
      <c r="J1347" s="9" t="str">
        <f>IFERROR(__xludf.DUMMYFUNCTION("""COMPUTED_VALUE"""),"https://www.google.com/search?newwindow=1&amp;ei=2MT0XrvGGM-vytMP1OyDgAY&amp;q=site%3Alinkedin.com+Nicole+Rosario+Senior+Campus+Recruiting+Specialist")</f>
        <v>https://www.google.com/search?newwindow=1&amp;ei=2MT0XrvGGM-vytMP1OyDgAY&amp;q=site%3Alinkedin.com+Nicole+Rosario+Senior+Campus+Recruiting+Specialist</v>
      </c>
      <c r="K1347" s="5" t="str">
        <f t="shared" si="1"/>
        <v>Nicole Rosario</v>
      </c>
      <c r="L1347" s="5" t="str">
        <f t="shared" si="2"/>
        <v>Senior Campus Recruiting Specialist</v>
      </c>
      <c r="M1347" s="5" t="str">
        <f t="shared" si="3"/>
        <v/>
      </c>
      <c r="N1347" s="5" t="str">
        <f t="shared" si="4"/>
        <v>Deloitte</v>
      </c>
      <c r="O1347" s="5" t="str">
        <f t="shared" si="5"/>
        <v>3 months in role</v>
      </c>
      <c r="P1347" s="5" t="str">
        <f t="shared" si="6"/>
        <v>San Diego</v>
      </c>
      <c r="Q1347" s="5" t="str">
        <f t="shared" si="7"/>
        <v>California</v>
      </c>
      <c r="R1347" s="5" t="str">
        <f t="shared" si="8"/>
        <v>United States</v>
      </c>
    </row>
    <row r="1348">
      <c r="A1348" s="8" t="s">
        <v>8147</v>
      </c>
      <c r="B1348" s="10" t="s">
        <v>8148</v>
      </c>
      <c r="C1348" s="10" t="s">
        <v>5309</v>
      </c>
      <c r="D1348" s="10"/>
      <c r="E1348" s="10" t="s">
        <v>4638</v>
      </c>
      <c r="F1348" s="10" t="s">
        <v>233</v>
      </c>
      <c r="G1348" s="11" t="s">
        <v>8149</v>
      </c>
      <c r="H1348" s="11" t="s">
        <v>4638</v>
      </c>
      <c r="I1348" s="11" t="s">
        <v>4600</v>
      </c>
      <c r="J1348" s="9" t="str">
        <f>IFERROR(__xludf.DUMMYFUNCTION("""COMPUTED_VALUE"""),"https://www.google.com/search?newwindow=1&amp;ei=2MT0XrvGGM-vytMP1OyDgAY&amp;q=site%3Alinkedin.com+Mike+Goodman+Sourcing+Recruiter")</f>
        <v>https://www.google.com/search?newwindow=1&amp;ei=2MT0XrvGGM-vytMP1OyDgAY&amp;q=site%3Alinkedin.com+Mike+Goodman+Sourcing+Recruiter</v>
      </c>
      <c r="K1348" s="5" t="str">
        <f t="shared" si="1"/>
        <v>Mike Goodman</v>
      </c>
      <c r="L1348" s="5" t="str">
        <f t="shared" si="2"/>
        <v>Sourcing Recruiter</v>
      </c>
      <c r="M1348" s="5" t="str">
        <f t="shared" si="3"/>
        <v/>
      </c>
      <c r="N1348" s="5" t="str">
        <f t="shared" si="4"/>
        <v>Amazon</v>
      </c>
      <c r="O1348" s="5" t="str">
        <f t="shared" si="5"/>
        <v>5 months in role and company</v>
      </c>
      <c r="P1348" s="5" t="str">
        <f t="shared" si="6"/>
        <v>San Diego</v>
      </c>
      <c r="Q1348" s="5" t="str">
        <f t="shared" si="7"/>
        <v>California</v>
      </c>
      <c r="R1348" s="5" t="str">
        <f t="shared" si="8"/>
        <v>United States</v>
      </c>
    </row>
    <row r="1349">
      <c r="A1349" s="8" t="s">
        <v>8150</v>
      </c>
      <c r="B1349" s="10" t="s">
        <v>8151</v>
      </c>
      <c r="C1349" s="10" t="s">
        <v>5309</v>
      </c>
      <c r="D1349" s="10"/>
      <c r="E1349" s="10" t="s">
        <v>5310</v>
      </c>
      <c r="F1349" s="10" t="s">
        <v>233</v>
      </c>
      <c r="G1349" s="11" t="s">
        <v>8149</v>
      </c>
      <c r="H1349" s="11" t="s">
        <v>4638</v>
      </c>
      <c r="I1349" s="11" t="s">
        <v>4600</v>
      </c>
      <c r="J1349" s="9" t="str">
        <f>IFERROR(__xludf.DUMMYFUNCTION("""COMPUTED_VALUE"""),"https://www.google.com/search?newwindow=1&amp;ei=2MT0XrvGGM-vytMP1OyDgAY&amp;q=site%3Alinkedin.com+Sarah+Moynier+Campus+Recruiting+Specialist")</f>
        <v>https://www.google.com/search?newwindow=1&amp;ei=2MT0XrvGGM-vytMP1OyDgAY&amp;q=site%3Alinkedin.com+Sarah+Moynier+Campus+Recruiting+Specialist</v>
      </c>
      <c r="K1349" s="5" t="str">
        <f t="shared" si="1"/>
        <v>Sarah Moynier</v>
      </c>
      <c r="L1349" s="5" t="str">
        <f t="shared" si="2"/>
        <v>Campus Recruiting Specialist</v>
      </c>
      <c r="M1349" s="5" t="str">
        <f t="shared" si="3"/>
        <v/>
      </c>
      <c r="N1349" s="5" t="str">
        <f t="shared" si="4"/>
        <v>Deloitte</v>
      </c>
      <c r="O1349" s="5" t="str">
        <f t="shared" si="5"/>
        <v>1 year 5 months in role</v>
      </c>
      <c r="P1349" s="5" t="str">
        <f t="shared" si="6"/>
        <v>San Diego</v>
      </c>
      <c r="Q1349" s="5" t="str">
        <f t="shared" si="7"/>
        <v>California</v>
      </c>
      <c r="R1349" s="5" t="str">
        <f t="shared" si="8"/>
        <v>United States</v>
      </c>
    </row>
    <row r="1350">
      <c r="A1350" s="8" t="s">
        <v>8147</v>
      </c>
      <c r="B1350" s="10" t="s">
        <v>8148</v>
      </c>
      <c r="C1350" s="10" t="s">
        <v>5309</v>
      </c>
      <c r="D1350" s="10"/>
      <c r="E1350" s="10" t="s">
        <v>4638</v>
      </c>
      <c r="F1350" s="10" t="s">
        <v>233</v>
      </c>
      <c r="G1350" s="11" t="s">
        <v>8149</v>
      </c>
      <c r="H1350" s="11" t="s">
        <v>4638</v>
      </c>
      <c r="I1350" s="11" t="s">
        <v>4600</v>
      </c>
      <c r="J1350" s="9" t="str">
        <f>IFERROR(__xludf.DUMMYFUNCTION("""COMPUTED_VALUE"""),"https://www.google.com/search?newwindow=1&amp;ei=2MT0XrvGGM-vytMP1OyDgAY&amp;q=site%3Alinkedin.com+Kathleen+Schaum+Executive+Director-+Campus+Recruiting+and+University+Relations")</f>
        <v>https://www.google.com/search?newwindow=1&amp;ei=2MT0XrvGGM-vytMP1OyDgAY&amp;q=site%3Alinkedin.com+Kathleen+Schaum+Executive+Director-+Campus+Recruiting+and+University+Relations</v>
      </c>
      <c r="K1350" s="5" t="str">
        <f t="shared" si="1"/>
        <v>Kathleen Schaum</v>
      </c>
      <c r="L1350" s="5" t="str">
        <f t="shared" si="2"/>
        <v>Executive Director- Campus Recruiting and University Relations</v>
      </c>
      <c r="M1350" s="5" t="str">
        <f t="shared" si="3"/>
        <v/>
      </c>
      <c r="N1350" s="5" t="str">
        <f t="shared" si="4"/>
        <v>KPMG</v>
      </c>
      <c r="O1350" s="5" t="str">
        <f t="shared" si="5"/>
        <v>10 months in role and company</v>
      </c>
      <c r="P1350" s="5" t="str">
        <f t="shared" si="6"/>
        <v>San Francisco</v>
      </c>
      <c r="Q1350" s="5" t="str">
        <f t="shared" si="7"/>
        <v>California</v>
      </c>
      <c r="R1350" s="5" t="str">
        <f t="shared" si="8"/>
        <v>United States</v>
      </c>
    </row>
    <row r="1351">
      <c r="A1351" s="8" t="s">
        <v>8150</v>
      </c>
      <c r="B1351" s="10" t="s">
        <v>8151</v>
      </c>
      <c r="C1351" s="10" t="s">
        <v>5309</v>
      </c>
      <c r="D1351" s="10"/>
      <c r="E1351" s="10" t="s">
        <v>5310</v>
      </c>
      <c r="F1351" s="10" t="s">
        <v>233</v>
      </c>
      <c r="G1351" s="11" t="s">
        <v>8149</v>
      </c>
      <c r="H1351" s="11" t="s">
        <v>4638</v>
      </c>
      <c r="I1351" s="11" t="s">
        <v>4600</v>
      </c>
      <c r="J1351" s="9" t="str">
        <f>IFERROR(__xludf.DUMMYFUNCTION("""COMPUTED_VALUE"""),"https://www.google.com/search?newwindow=1&amp;ei=2MT0XrvGGM-vytMP1OyDgAY&amp;q=site%3Alinkedin.com+Janine+""Nina""+Morton+Director,+Head+of+Graduate+Campus+Recruiting+&amp;+Development+Programs")</f>
        <v>https://www.google.com/search?newwindow=1&amp;ei=2MT0XrvGGM-vytMP1OyDgAY&amp;q=site%3Alinkedin.com+Janine+"Nina"+Morton+Director,+Head+of+Graduate+Campus+Recruiting+&amp;+Development+Programs</v>
      </c>
      <c r="K1351" s="5" t="str">
        <f t="shared" si="1"/>
        <v>Janine "Nina" Morton</v>
      </c>
      <c r="L1351" s="5" t="str">
        <f t="shared" si="2"/>
        <v>Director, Head of Graduate Campus Recruiting &amp; Development Programs</v>
      </c>
      <c r="M1351" s="5" t="str">
        <f t="shared" si="3"/>
        <v/>
      </c>
      <c r="N1351" s="5" t="str">
        <f t="shared" si="4"/>
        <v>Capital One</v>
      </c>
      <c r="O1351" s="5" t="str">
        <f t="shared" si="5"/>
        <v>1 year 6 months in role and company</v>
      </c>
      <c r="P1351" s="5" t="str">
        <f t="shared" si="6"/>
        <v>San Francisco</v>
      </c>
      <c r="Q1351" s="5" t="str">
        <f t="shared" si="7"/>
        <v>California</v>
      </c>
      <c r="R1351" s="5" t="str">
        <f t="shared" si="8"/>
        <v>United States</v>
      </c>
    </row>
    <row r="1352">
      <c r="A1352" s="8" t="s">
        <v>8152</v>
      </c>
      <c r="B1352" s="10" t="s">
        <v>8153</v>
      </c>
      <c r="C1352" s="10" t="s">
        <v>5270</v>
      </c>
      <c r="D1352" s="10"/>
      <c r="E1352" s="10" t="s">
        <v>8154</v>
      </c>
      <c r="F1352" s="10"/>
      <c r="G1352" s="11" t="s">
        <v>8149</v>
      </c>
      <c r="H1352" s="11" t="s">
        <v>4638</v>
      </c>
      <c r="I1352" s="11" t="s">
        <v>4600</v>
      </c>
      <c r="J1352" s="9" t="str">
        <f>IFERROR(__xludf.DUMMYFUNCTION("""COMPUTED_VALUE"""),"https://www.google.com/search?newwindow=1&amp;ei=2MT0XrvGGM-vytMP1OyDgAY&amp;q=site%3Alinkedin.com+Lauren+Yu+Campus+Recruiting+Specialist")</f>
        <v>https://www.google.com/search?newwindow=1&amp;ei=2MT0XrvGGM-vytMP1OyDgAY&amp;q=site%3Alinkedin.com+Lauren+Yu+Campus+Recruiting+Specialist</v>
      </c>
      <c r="K1352" s="5" t="str">
        <f t="shared" si="1"/>
        <v>Lauren Yu</v>
      </c>
      <c r="L1352" s="5" t="str">
        <f t="shared" si="2"/>
        <v>Campus Recruiting Specialist</v>
      </c>
      <c r="M1352" s="5" t="str">
        <f t="shared" si="3"/>
        <v/>
      </c>
      <c r="N1352" s="5" t="str">
        <f t="shared" si="4"/>
        <v>Deloitte</v>
      </c>
      <c r="O1352" s="5" t="str">
        <f t="shared" si="5"/>
        <v>1 year 2 months in role</v>
      </c>
      <c r="P1352" s="5" t="str">
        <f t="shared" si="6"/>
        <v>San Francisco</v>
      </c>
      <c r="Q1352" s="5" t="str">
        <f t="shared" si="7"/>
        <v>California</v>
      </c>
      <c r="R1352" s="5" t="str">
        <f t="shared" si="8"/>
        <v>United States</v>
      </c>
    </row>
    <row r="1353">
      <c r="A1353" s="8" t="s">
        <v>8155</v>
      </c>
      <c r="B1353" s="10" t="s">
        <v>8156</v>
      </c>
      <c r="C1353" s="10" t="s">
        <v>8157</v>
      </c>
      <c r="D1353" s="10"/>
      <c r="E1353" s="10" t="s">
        <v>6576</v>
      </c>
      <c r="F1353" s="10" t="s">
        <v>188</v>
      </c>
      <c r="G1353" s="11" t="s">
        <v>8158</v>
      </c>
      <c r="H1353" s="11" t="s">
        <v>4638</v>
      </c>
      <c r="I1353" s="11" t="s">
        <v>4600</v>
      </c>
      <c r="J1353" s="9" t="str">
        <f>IFERROR(__xludf.DUMMYFUNCTION("""COMPUTED_VALUE"""),"https://www.google.com/search?newwindow=1&amp;ei=2MT0XrvGGM-vytMP1OyDgAY&amp;q=site%3Alinkedin.com+Tamara+Enriquez,+M.A.+(She/Her)+Campus+Recruiting+|+Intern+Programs+&amp;+Operations+-+Event+Coordinator")</f>
        <v>https://www.google.com/search?newwindow=1&amp;ei=2MT0XrvGGM-vytMP1OyDgAY&amp;q=site%3Alinkedin.com+Tamara+Enriquez,+M.A.+(She/Her)+Campus+Recruiting+|+Intern+Programs+&amp;+Operations+-+Event+Coordinator</v>
      </c>
      <c r="K1353" s="5" t="str">
        <f t="shared" si="1"/>
        <v>Tamara Enriquez, M.A. (She/Her)</v>
      </c>
      <c r="L1353" s="5" t="str">
        <f t="shared" si="2"/>
        <v>Campus Recruiting | Intern Programs &amp; Operations - Event Coordinator</v>
      </c>
      <c r="M1353" s="5" t="str">
        <f t="shared" si="3"/>
        <v/>
      </c>
      <c r="N1353" s="5" t="str">
        <f t="shared" si="4"/>
        <v>LinkedIn</v>
      </c>
      <c r="O1353" s="5" t="str">
        <f t="shared" si="5"/>
        <v>7 months in role</v>
      </c>
      <c r="P1353" s="5" t="str">
        <f t="shared" si="6"/>
        <v>San Francisco</v>
      </c>
      <c r="Q1353" s="5" t="str">
        <f t="shared" si="7"/>
        <v>California</v>
      </c>
      <c r="R1353" s="5" t="str">
        <f t="shared" si="8"/>
        <v>United States</v>
      </c>
    </row>
    <row r="1354">
      <c r="A1354" s="8" t="s">
        <v>8159</v>
      </c>
      <c r="B1354" s="10" t="s">
        <v>8160</v>
      </c>
      <c r="C1354" s="10" t="s">
        <v>8161</v>
      </c>
      <c r="D1354" s="10"/>
      <c r="E1354" s="10" t="s">
        <v>5287</v>
      </c>
      <c r="F1354" s="10" t="s">
        <v>233</v>
      </c>
      <c r="G1354" s="11" t="s">
        <v>8158</v>
      </c>
      <c r="H1354" s="11" t="s">
        <v>4638</v>
      </c>
      <c r="I1354" s="11" t="s">
        <v>4600</v>
      </c>
      <c r="J1354" s="9" t="str">
        <f>IFERROR(__xludf.DUMMYFUNCTION("""COMPUTED_VALUE"""),"https://www.google.com/search?newwindow=1&amp;ei=2MT0XrvGGM-vytMP1OyDgAY&amp;q=site%3Alinkedin.com+Bri+Casner+Senior+Manager,+Global+Campus+Recruiting")</f>
        <v>https://www.google.com/search?newwindow=1&amp;ei=2MT0XrvGGM-vytMP1OyDgAY&amp;q=site%3Alinkedin.com+Bri+Casner+Senior+Manager,+Global+Campus+Recruiting</v>
      </c>
      <c r="K1354" s="5" t="str">
        <f t="shared" si="1"/>
        <v>Bri Casner</v>
      </c>
      <c r="L1354" s="5" t="str">
        <f t="shared" si="2"/>
        <v>Senior Manager, Global Campus Recruiting</v>
      </c>
      <c r="M1354" s="5" t="str">
        <f t="shared" si="3"/>
        <v/>
      </c>
      <c r="N1354" s="5" t="str">
        <f t="shared" si="4"/>
        <v>LinkedIn</v>
      </c>
      <c r="O1354" s="5" t="str">
        <f t="shared" si="5"/>
        <v>2 years 5 months in role and company</v>
      </c>
      <c r="P1354" s="5" t="str">
        <f t="shared" si="6"/>
        <v>San Francisco</v>
      </c>
      <c r="Q1354" s="5" t="str">
        <f t="shared" si="7"/>
        <v>California</v>
      </c>
      <c r="R1354" s="5" t="str">
        <f t="shared" si="8"/>
        <v>United States</v>
      </c>
    </row>
    <row r="1355">
      <c r="A1355" s="8" t="s">
        <v>8162</v>
      </c>
      <c r="B1355" s="10" t="s">
        <v>8163</v>
      </c>
      <c r="C1355" s="10" t="s">
        <v>8164</v>
      </c>
      <c r="D1355" s="10"/>
      <c r="E1355" s="10" t="s">
        <v>8165</v>
      </c>
      <c r="F1355" s="10" t="s">
        <v>697</v>
      </c>
      <c r="G1355" s="11" t="s">
        <v>8158</v>
      </c>
      <c r="H1355" s="11" t="s">
        <v>4638</v>
      </c>
      <c r="I1355" s="11" t="s">
        <v>4600</v>
      </c>
      <c r="J1355" s="9" t="str">
        <f>IFERROR(__xludf.DUMMYFUNCTION("""COMPUTED_VALUE"""),"https://www.google.com/search?newwindow=1&amp;ei=2MT0XrvGGM-vytMP1OyDgAY&amp;q=site%3Alinkedin.com+Vicky+Chang+Campus+Recruiting+Manager")</f>
        <v>https://www.google.com/search?newwindow=1&amp;ei=2MT0XrvGGM-vytMP1OyDgAY&amp;q=site%3Alinkedin.com+Vicky+Chang+Campus+Recruiting+Manager</v>
      </c>
      <c r="K1355" s="5" t="str">
        <f t="shared" si="1"/>
        <v>Vicky Chang</v>
      </c>
      <c r="L1355" s="5" t="str">
        <f t="shared" si="2"/>
        <v>Campus Recruiting Manager</v>
      </c>
      <c r="M1355" s="5" t="str">
        <f t="shared" si="3"/>
        <v/>
      </c>
      <c r="N1355" s="5" t="str">
        <f t="shared" si="4"/>
        <v>Deloitte</v>
      </c>
      <c r="O1355" s="5" t="str">
        <f t="shared" si="5"/>
        <v>4 years  in role</v>
      </c>
      <c r="P1355" s="5" t="str">
        <f t="shared" si="6"/>
        <v>San Francisco</v>
      </c>
      <c r="Q1355" s="5" t="str">
        <f t="shared" si="7"/>
        <v>California</v>
      </c>
      <c r="R1355" s="5" t="str">
        <f t="shared" si="8"/>
        <v>United States</v>
      </c>
    </row>
    <row r="1356">
      <c r="A1356" s="8" t="s">
        <v>8166</v>
      </c>
      <c r="B1356" s="12" t="s">
        <v>8167</v>
      </c>
      <c r="C1356" s="10" t="s">
        <v>8168</v>
      </c>
      <c r="D1356" s="10"/>
      <c r="E1356" s="10" t="s">
        <v>4914</v>
      </c>
      <c r="F1356" s="10" t="s">
        <v>1282</v>
      </c>
      <c r="G1356" s="11" t="s">
        <v>8158</v>
      </c>
      <c r="H1356" s="11" t="s">
        <v>4638</v>
      </c>
      <c r="I1356" s="11" t="s">
        <v>4600</v>
      </c>
      <c r="J1356" s="9" t="str">
        <f>IFERROR(__xludf.DUMMYFUNCTION("""COMPUTED_VALUE"""),"https://www.google.com/search?newwindow=1&amp;ei=2MT0XrvGGM-vytMP1OyDgAY&amp;q=site%3Alinkedin.com+Casey+Richard+Senior+Campus+Recruiting+Associate,+Talent+Attraction+and+Acquisition")</f>
        <v>https://www.google.com/search?newwindow=1&amp;ei=2MT0XrvGGM-vytMP1OyDgAY&amp;q=site%3Alinkedin.com+Casey+Richard+Senior+Campus+Recruiting+Associate,+Talent+Attraction+and+Acquisition</v>
      </c>
      <c r="K1356" s="5" t="str">
        <f t="shared" si="1"/>
        <v>Casey Richard</v>
      </c>
      <c r="L1356" s="5" t="str">
        <f t="shared" si="2"/>
        <v>Senior Campus Recruiting Associate, Talent Attraction and Acquisition</v>
      </c>
      <c r="M1356" s="5" t="str">
        <f t="shared" si="3"/>
        <v/>
      </c>
      <c r="N1356" s="5" t="str">
        <f t="shared" si="4"/>
        <v>EY</v>
      </c>
      <c r="O1356" s="5" t="str">
        <f t="shared" si="5"/>
        <v>1 year 1 month in role and company</v>
      </c>
      <c r="P1356" s="5" t="str">
        <f t="shared" si="6"/>
        <v>San Francisco</v>
      </c>
      <c r="Q1356" s="5" t="str">
        <f t="shared" si="7"/>
        <v>California</v>
      </c>
      <c r="R1356" s="5" t="str">
        <f t="shared" si="8"/>
        <v>United States</v>
      </c>
    </row>
    <row r="1357">
      <c r="A1357" s="8" t="s">
        <v>8169</v>
      </c>
      <c r="B1357" s="10" t="s">
        <v>8170</v>
      </c>
      <c r="C1357" s="10" t="s">
        <v>4596</v>
      </c>
      <c r="D1357" s="10"/>
      <c r="E1357" s="10" t="s">
        <v>8171</v>
      </c>
      <c r="F1357" s="10" t="s">
        <v>29</v>
      </c>
      <c r="G1357" s="11" t="s">
        <v>8158</v>
      </c>
      <c r="H1357" s="11" t="s">
        <v>4638</v>
      </c>
      <c r="I1357" s="11" t="s">
        <v>4600</v>
      </c>
      <c r="J1357" s="9" t="str">
        <f>IFERROR(__xludf.DUMMYFUNCTION("""COMPUTED_VALUE"""),"https://www.google.com/search?newwindow=1&amp;ei=2MT0XrvGGM-vytMP1OyDgAY&amp;q=site%3Alinkedin.com+Eric+Yeung+Program+Manager,+University+Recruitment")</f>
        <v>https://www.google.com/search?newwindow=1&amp;ei=2MT0XrvGGM-vytMP1OyDgAY&amp;q=site%3Alinkedin.com+Eric+Yeung+Program+Manager,+University+Recruitment</v>
      </c>
      <c r="K1357" s="5" t="str">
        <f t="shared" si="1"/>
        <v>Eric Yeung</v>
      </c>
      <c r="L1357" s="5" t="str">
        <f t="shared" si="2"/>
        <v>Program Manager, University Recruitment</v>
      </c>
      <c r="M1357" s="5" t="str">
        <f t="shared" si="3"/>
        <v/>
      </c>
      <c r="N1357" s="5" t="str">
        <f t="shared" si="4"/>
        <v>Keysight Technologies</v>
      </c>
      <c r="O1357" s="5" t="str">
        <f t="shared" si="5"/>
        <v>5 months in role and company</v>
      </c>
      <c r="P1357" s="5" t="str">
        <f t="shared" si="6"/>
        <v>San Francisco</v>
      </c>
      <c r="Q1357" s="5" t="str">
        <f t="shared" si="7"/>
        <v>California</v>
      </c>
      <c r="R1357" s="5" t="str">
        <f t="shared" si="8"/>
        <v>United States</v>
      </c>
    </row>
    <row r="1358">
      <c r="A1358" s="8" t="s">
        <v>8172</v>
      </c>
      <c r="B1358" s="10" t="s">
        <v>8173</v>
      </c>
      <c r="C1358" s="10" t="s">
        <v>8174</v>
      </c>
      <c r="D1358" s="10"/>
      <c r="E1358" s="10" t="s">
        <v>8175</v>
      </c>
      <c r="F1358" s="10" t="s">
        <v>228</v>
      </c>
      <c r="G1358" s="11" t="s">
        <v>8158</v>
      </c>
      <c r="H1358" s="11" t="s">
        <v>4638</v>
      </c>
      <c r="I1358" s="11" t="s">
        <v>4600</v>
      </c>
      <c r="J1358" s="9" t="str">
        <f>IFERROR(__xludf.DUMMYFUNCTION("""COMPUTED_VALUE"""),"https://www.google.com/search?newwindow=1&amp;ei=2MT0XrvGGM-vytMP1OyDgAY&amp;q=site%3Alinkedin.com+Jennifer+Voss+Campus+Recruiting+Manager")</f>
        <v>https://www.google.com/search?newwindow=1&amp;ei=2MT0XrvGGM-vytMP1OyDgAY&amp;q=site%3Alinkedin.com+Jennifer+Voss+Campus+Recruiting+Manager</v>
      </c>
      <c r="K1358" s="5" t="str">
        <f t="shared" si="1"/>
        <v>Jennifer Voss</v>
      </c>
      <c r="L1358" s="5" t="str">
        <f t="shared" si="2"/>
        <v>Campus Recruiting Manager</v>
      </c>
      <c r="M1358" s="5" t="str">
        <f t="shared" si="3"/>
        <v/>
      </c>
      <c r="N1358" s="5" t="str">
        <f t="shared" si="4"/>
        <v>EY</v>
      </c>
      <c r="O1358" s="5" t="str">
        <f t="shared" si="5"/>
        <v>1 year 6 months in role</v>
      </c>
      <c r="P1358" s="5" t="str">
        <f t="shared" si="6"/>
        <v>San Francisco</v>
      </c>
      <c r="Q1358" s="5" t="str">
        <f t="shared" si="7"/>
        <v>California</v>
      </c>
      <c r="R1358" s="5" t="str">
        <f t="shared" si="8"/>
        <v>United States</v>
      </c>
    </row>
    <row r="1359">
      <c r="A1359" s="8" t="s">
        <v>8176</v>
      </c>
      <c r="B1359" s="10" t="s">
        <v>8177</v>
      </c>
      <c r="C1359" s="10" t="s">
        <v>8178</v>
      </c>
      <c r="D1359" s="10"/>
      <c r="E1359" s="10" t="s">
        <v>4914</v>
      </c>
      <c r="F1359" s="10" t="s">
        <v>8179</v>
      </c>
      <c r="G1359" s="11" t="s">
        <v>8158</v>
      </c>
      <c r="H1359" s="11" t="s">
        <v>4638</v>
      </c>
      <c r="I1359" s="11" t="s">
        <v>4600</v>
      </c>
      <c r="J1359" s="9" t="str">
        <f>IFERROR(__xludf.DUMMYFUNCTION("""COMPUTED_VALUE"""),"https://www.google.com/search?newwindow=1&amp;ei=2MT0XrvGGM-vytMP1OyDgAY&amp;q=site%3Alinkedin.com+Jared+Jusi+Campus+Recruiting+Coordinator")</f>
        <v>https://www.google.com/search?newwindow=1&amp;ei=2MT0XrvGGM-vytMP1OyDgAY&amp;q=site%3Alinkedin.com+Jared+Jusi+Campus+Recruiting+Coordinator</v>
      </c>
      <c r="K1359" s="5" t="str">
        <f t="shared" si="1"/>
        <v>Jared Jusi</v>
      </c>
      <c r="L1359" s="5" t="str">
        <f t="shared" si="2"/>
        <v>Campus Recruiting Coordinator</v>
      </c>
      <c r="M1359" s="5" t="str">
        <f t="shared" si="3"/>
        <v/>
      </c>
      <c r="N1359" s="5" t="str">
        <f t="shared" si="4"/>
        <v>LinkedIn</v>
      </c>
      <c r="O1359" s="5" t="str">
        <f t="shared" si="5"/>
        <v>1 year 4 months in role and company</v>
      </c>
      <c r="P1359" s="5" t="str">
        <f t="shared" si="6"/>
        <v>San Francisco</v>
      </c>
      <c r="Q1359" s="5" t="str">
        <f t="shared" si="7"/>
        <v>California</v>
      </c>
      <c r="R1359" s="5" t="str">
        <f t="shared" si="8"/>
        <v>United States</v>
      </c>
    </row>
    <row r="1360">
      <c r="A1360" s="8" t="s">
        <v>8180</v>
      </c>
      <c r="B1360" s="10" t="s">
        <v>8181</v>
      </c>
      <c r="C1360" s="10" t="s">
        <v>8182</v>
      </c>
      <c r="D1360" s="10"/>
      <c r="E1360" s="10" t="s">
        <v>8175</v>
      </c>
      <c r="F1360" s="10" t="s">
        <v>207</v>
      </c>
      <c r="G1360" s="11" t="s">
        <v>8158</v>
      </c>
      <c r="H1360" s="11" t="s">
        <v>4638</v>
      </c>
      <c r="I1360" s="11" t="s">
        <v>4600</v>
      </c>
      <c r="J1360" s="9" t="str">
        <f>IFERROR(__xludf.DUMMYFUNCTION("""COMPUTED_VALUE"""),"https://www.google.com/search?newwindow=1&amp;ei=2MT0XrvGGM-vytMP1OyDgAY&amp;q=site%3Alinkedin.com+Caroline+Grosso+Campus+Recruiter")</f>
        <v>https://www.google.com/search?newwindow=1&amp;ei=2MT0XrvGGM-vytMP1OyDgAY&amp;q=site%3Alinkedin.com+Caroline+Grosso+Campus+Recruiter</v>
      </c>
      <c r="K1360" s="5" t="str">
        <f t="shared" si="1"/>
        <v>Caroline Grosso</v>
      </c>
      <c r="L1360" s="5" t="str">
        <f t="shared" si="2"/>
        <v>Campus Recruiter</v>
      </c>
      <c r="M1360" s="5" t="str">
        <f t="shared" si="3"/>
        <v/>
      </c>
      <c r="N1360" s="5" t="str">
        <f t="shared" si="4"/>
        <v>Deloitte</v>
      </c>
      <c r="O1360" s="5" t="str">
        <f t="shared" si="5"/>
        <v>5 years  in role</v>
      </c>
      <c r="P1360" s="5" t="str">
        <f t="shared" si="6"/>
        <v>San Francisco</v>
      </c>
      <c r="Q1360" s="5" t="str">
        <f t="shared" si="7"/>
        <v>California</v>
      </c>
      <c r="R1360" s="5" t="str">
        <f t="shared" si="8"/>
        <v>United States</v>
      </c>
    </row>
    <row r="1361">
      <c r="A1361" s="8" t="s">
        <v>8183</v>
      </c>
      <c r="B1361" s="10" t="s">
        <v>8184</v>
      </c>
      <c r="C1361" s="10" t="s">
        <v>8185</v>
      </c>
      <c r="D1361" s="10"/>
      <c r="E1361" s="10" t="s">
        <v>8186</v>
      </c>
      <c r="F1361" s="10" t="s">
        <v>4141</v>
      </c>
      <c r="G1361" s="11" t="s">
        <v>8158</v>
      </c>
      <c r="H1361" s="11" t="s">
        <v>4638</v>
      </c>
      <c r="I1361" s="11" t="s">
        <v>4600</v>
      </c>
      <c r="J1361" s="9" t="str">
        <f>IFERROR(__xludf.DUMMYFUNCTION("""COMPUTED_VALUE"""),"https://www.google.com/search?newwindow=1&amp;ei=2MT0XrvGGM-vytMP1OyDgAY&amp;q=site%3Alinkedin.com+Rachel+Bruce+Project+Manager,+Campus+Recruiting,+Talent+Acquisition")</f>
        <v>https://www.google.com/search?newwindow=1&amp;ei=2MT0XrvGGM-vytMP1OyDgAY&amp;q=site%3Alinkedin.com+Rachel+Bruce+Project+Manager,+Campus+Recruiting,+Talent+Acquisition</v>
      </c>
      <c r="K1361" s="5" t="str">
        <f t="shared" si="1"/>
        <v>Rachel Bruce</v>
      </c>
      <c r="L1361" s="5" t="str">
        <f t="shared" si="2"/>
        <v>Project Manager, Campus Recruiting, Talent Acquisition</v>
      </c>
      <c r="M1361" s="5" t="str">
        <f t="shared" si="3"/>
        <v/>
      </c>
      <c r="N1361" s="5" t="str">
        <f t="shared" si="4"/>
        <v>Wells Fargo Bank</v>
      </c>
      <c r="O1361" s="5" t="str">
        <f t="shared" si="5"/>
        <v>9 years 11 months in role</v>
      </c>
      <c r="P1361" s="5" t="str">
        <f t="shared" si="6"/>
        <v>San Francisco</v>
      </c>
      <c r="Q1361" s="5" t="str">
        <f t="shared" si="7"/>
        <v>California</v>
      </c>
      <c r="R1361" s="5" t="str">
        <f t="shared" si="8"/>
        <v>United States</v>
      </c>
    </row>
    <row r="1362">
      <c r="A1362" s="8" t="s">
        <v>8187</v>
      </c>
      <c r="B1362" s="12" t="s">
        <v>8188</v>
      </c>
      <c r="C1362" s="10" t="s">
        <v>8189</v>
      </c>
      <c r="D1362" s="10"/>
      <c r="E1362" s="10" t="s">
        <v>8110</v>
      </c>
      <c r="F1362" s="10" t="s">
        <v>257</v>
      </c>
      <c r="G1362" s="11" t="s">
        <v>8158</v>
      </c>
      <c r="H1362" s="11" t="s">
        <v>4638</v>
      </c>
      <c r="I1362" s="11" t="s">
        <v>4600</v>
      </c>
      <c r="J1362" s="9" t="str">
        <f>IFERROR(__xludf.DUMMYFUNCTION("""COMPUTED_VALUE"""),"https://www.google.com/search?newwindow=1&amp;ei=2MT0XrvGGM-vytMP1OyDgAY&amp;q=site%3Alinkedin.com+Lindsey+Stewart+Americas+Recruiting+Manager+(Campus+and+Entry-level)")</f>
        <v>https://www.google.com/search?newwindow=1&amp;ei=2MT0XrvGGM-vytMP1OyDgAY&amp;q=site%3Alinkedin.com+Lindsey+Stewart+Americas+Recruiting+Manager+(Campus+and+Entry-level)</v>
      </c>
      <c r="K1362" s="5" t="str">
        <f t="shared" si="1"/>
        <v>Lindsey Stewart</v>
      </c>
      <c r="L1362" s="5" t="str">
        <f t="shared" si="2"/>
        <v>Americas Recruiting Manager (Campus and Entry-level)</v>
      </c>
      <c r="M1362" s="5" t="str">
        <f t="shared" si="3"/>
        <v/>
      </c>
      <c r="N1362" s="5" t="str">
        <f t="shared" si="4"/>
        <v>Google</v>
      </c>
      <c r="O1362" s="5" t="str">
        <f t="shared" si="5"/>
        <v>10 years 5 months in role and company</v>
      </c>
      <c r="P1362" s="5" t="str">
        <f t="shared" si="6"/>
        <v>San Francisco</v>
      </c>
      <c r="Q1362" s="5" t="str">
        <f t="shared" si="7"/>
        <v>California</v>
      </c>
      <c r="R1362" s="5" t="str">
        <f t="shared" si="8"/>
        <v>United States</v>
      </c>
    </row>
    <row r="1363">
      <c r="A1363" s="8" t="s">
        <v>8155</v>
      </c>
      <c r="B1363" s="10" t="s">
        <v>8156</v>
      </c>
      <c r="C1363" s="10" t="s">
        <v>8157</v>
      </c>
      <c r="D1363" s="10"/>
      <c r="E1363" s="10" t="s">
        <v>6576</v>
      </c>
      <c r="F1363" s="10" t="s">
        <v>188</v>
      </c>
      <c r="G1363" s="11" t="s">
        <v>8158</v>
      </c>
      <c r="H1363" s="11" t="s">
        <v>4638</v>
      </c>
      <c r="I1363" s="11" t="s">
        <v>4600</v>
      </c>
      <c r="J1363" s="9" t="str">
        <f>IFERROR(__xludf.DUMMYFUNCTION("""COMPUTED_VALUE"""),"https://www.google.com/search?newwindow=1&amp;ei=2MT0XrvGGM-vytMP1OyDgAY&amp;q=site%3Alinkedin.com+Erin+Riley+Campus+Recruiting+Manager")</f>
        <v>https://www.google.com/search?newwindow=1&amp;ei=2MT0XrvGGM-vytMP1OyDgAY&amp;q=site%3Alinkedin.com+Erin+Riley+Campus+Recruiting+Manager</v>
      </c>
      <c r="K1363" s="5" t="str">
        <f t="shared" si="1"/>
        <v>Erin Riley</v>
      </c>
      <c r="L1363" s="5" t="str">
        <f t="shared" si="2"/>
        <v>Campus Recruiting Manager</v>
      </c>
      <c r="M1363" s="5" t="str">
        <f t="shared" si="3"/>
        <v/>
      </c>
      <c r="N1363" s="5" t="str">
        <f t="shared" si="4"/>
        <v>KPMG, LLP</v>
      </c>
      <c r="O1363" s="5" t="str">
        <f t="shared" si="5"/>
        <v>9 years 6 months in role and company</v>
      </c>
      <c r="P1363" s="5" t="str">
        <f t="shared" si="6"/>
        <v>San Francisco</v>
      </c>
      <c r="Q1363" s="5" t="str">
        <f t="shared" si="7"/>
        <v>California</v>
      </c>
      <c r="R1363" s="5" t="str">
        <f t="shared" si="8"/>
        <v>United States</v>
      </c>
    </row>
    <row r="1364">
      <c r="A1364" s="8" t="s">
        <v>8159</v>
      </c>
      <c r="B1364" s="10" t="s">
        <v>8160</v>
      </c>
      <c r="C1364" s="10" t="s">
        <v>8161</v>
      </c>
      <c r="D1364" s="10"/>
      <c r="E1364" s="10" t="s">
        <v>5287</v>
      </c>
      <c r="F1364" s="10" t="s">
        <v>233</v>
      </c>
      <c r="G1364" s="11" t="s">
        <v>8158</v>
      </c>
      <c r="H1364" s="11" t="s">
        <v>4638</v>
      </c>
      <c r="I1364" s="11" t="s">
        <v>4600</v>
      </c>
      <c r="J1364" s="9" t="str">
        <f>IFERROR(__xludf.DUMMYFUNCTION("""COMPUTED_VALUE"""),"https://www.google.com/search?newwindow=1&amp;ei=2MT0XrvGGM-vytMP1OyDgAY&amp;q=site%3Alinkedin.com+Ashley+Naughton,+CIR+Campus+Recruiting")</f>
        <v>https://www.google.com/search?newwindow=1&amp;ei=2MT0XrvGGM-vytMP1OyDgAY&amp;q=site%3Alinkedin.com+Ashley+Naughton,+CIR+Campus+Recruiting</v>
      </c>
      <c r="K1364" s="5" t="str">
        <f t="shared" si="1"/>
        <v>Ashley Naughton, CIR</v>
      </c>
      <c r="L1364" s="5" t="str">
        <f t="shared" si="2"/>
        <v>Campus Recruiting</v>
      </c>
      <c r="M1364" s="5" t="str">
        <f t="shared" si="3"/>
        <v/>
      </c>
      <c r="N1364" s="5" t="str">
        <f t="shared" si="4"/>
        <v>KPMG</v>
      </c>
      <c r="O1364" s="5" t="str">
        <f t="shared" si="5"/>
        <v>12 years 3 months in role and company</v>
      </c>
      <c r="P1364" s="5" t="str">
        <f t="shared" si="6"/>
        <v>San Francisco</v>
      </c>
      <c r="Q1364" s="5" t="str">
        <f t="shared" si="7"/>
        <v>California</v>
      </c>
      <c r="R1364" s="5" t="str">
        <f t="shared" si="8"/>
        <v>United States</v>
      </c>
    </row>
    <row r="1365">
      <c r="A1365" s="8" t="s">
        <v>8190</v>
      </c>
      <c r="B1365" s="12" t="s">
        <v>8191</v>
      </c>
      <c r="C1365" s="10" t="s">
        <v>8192</v>
      </c>
      <c r="D1365" s="10"/>
      <c r="E1365" s="10" t="s">
        <v>8175</v>
      </c>
      <c r="F1365" s="10" t="s">
        <v>651</v>
      </c>
      <c r="G1365" s="11" t="s">
        <v>8158</v>
      </c>
      <c r="H1365" s="11" t="s">
        <v>4638</v>
      </c>
      <c r="I1365" s="11" t="s">
        <v>4600</v>
      </c>
      <c r="J1365" s="9" t="str">
        <f>IFERROR(__xludf.DUMMYFUNCTION("""COMPUTED_VALUE"""),"https://www.google.com/search?newwindow=1&amp;ei=2MT0XrvGGM-vytMP1OyDgAY&amp;q=site%3Alinkedin.com+Britney+(Us+Campus+Recruiting+Manager")</f>
        <v>https://www.google.com/search?newwindow=1&amp;ei=2MT0XrvGGM-vytMP1OyDgAY&amp;q=site%3Alinkedin.com+Britney+(Us+Campus+Recruiting+Manager</v>
      </c>
      <c r="K1365" s="5" t="str">
        <f t="shared" si="1"/>
        <v>Britney (Us</v>
      </c>
      <c r="L1365" s="5" t="str">
        <f t="shared" si="2"/>
        <v>Campus Recruiting Manager</v>
      </c>
      <c r="M1365" s="5" t="str">
        <f t="shared" si="3"/>
        <v/>
      </c>
      <c r="N1365" s="5" t="str">
        <f t="shared" si="4"/>
        <v>Deloitte</v>
      </c>
      <c r="O1365" s="5" t="str">
        <f t="shared" si="5"/>
        <v/>
      </c>
      <c r="P1365" s="5" t="str">
        <f t="shared" si="6"/>
        <v>San Francisco</v>
      </c>
      <c r="Q1365" s="5" t="str">
        <f t="shared" si="7"/>
        <v>California</v>
      </c>
      <c r="R1365" s="5" t="str">
        <f t="shared" si="8"/>
        <v>United States</v>
      </c>
    </row>
    <row r="1366">
      <c r="A1366" s="8" t="s">
        <v>8193</v>
      </c>
      <c r="B1366" s="12" t="s">
        <v>8194</v>
      </c>
      <c r="C1366" s="10" t="s">
        <v>8195</v>
      </c>
      <c r="D1366" s="10"/>
      <c r="E1366" s="10" t="s">
        <v>8110</v>
      </c>
      <c r="F1366" s="10" t="s">
        <v>727</v>
      </c>
      <c r="G1366" s="11" t="s">
        <v>8158</v>
      </c>
      <c r="H1366" s="11" t="s">
        <v>4638</v>
      </c>
      <c r="I1366" s="11" t="s">
        <v>4600</v>
      </c>
      <c r="J1366" s="9" t="str">
        <f>IFERROR(__xludf.DUMMYFUNCTION("""COMPUTED_VALUE"""),"https://www.google.com/search?newwindow=1&amp;ei=2MT0XrvGGM-vytMP1OyDgAY&amp;q=site%3Alinkedin.com+Margaret+Murphy+Senior+Assurance+Associate+and+Campus+Recruiting")</f>
        <v>https://www.google.com/search?newwindow=1&amp;ei=2MT0XrvGGM-vytMP1OyDgAY&amp;q=site%3Alinkedin.com+Margaret+Murphy+Senior+Assurance+Associate+and+Campus+Recruiting</v>
      </c>
      <c r="K1366" s="5" t="str">
        <f t="shared" si="1"/>
        <v>Margaret Murphy</v>
      </c>
      <c r="L1366" s="5" t="str">
        <f t="shared" si="2"/>
        <v>Senior Assurance Associate and Campus Recruiting</v>
      </c>
      <c r="M1366" s="5" t="str">
        <f t="shared" si="3"/>
        <v/>
      </c>
      <c r="N1366" s="5" t="str">
        <f t="shared" si="4"/>
        <v>PricewaterhouseCoopers</v>
      </c>
      <c r="O1366" s="5" t="str">
        <f t="shared" si="5"/>
        <v>13 years 2 months in role and company</v>
      </c>
      <c r="P1366" s="5" t="str">
        <f t="shared" si="6"/>
        <v>San Francisco</v>
      </c>
      <c r="Q1366" s="5" t="str">
        <f t="shared" si="7"/>
        <v>California</v>
      </c>
      <c r="R1366" s="5" t="str">
        <f t="shared" si="8"/>
        <v>United States</v>
      </c>
    </row>
    <row r="1367">
      <c r="A1367" s="8" t="s">
        <v>8196</v>
      </c>
      <c r="B1367" s="10" t="s">
        <v>8197</v>
      </c>
      <c r="C1367" s="10" t="s">
        <v>8198</v>
      </c>
      <c r="D1367" s="10"/>
      <c r="E1367" s="10" t="s">
        <v>8110</v>
      </c>
      <c r="F1367" s="10" t="s">
        <v>257</v>
      </c>
      <c r="G1367" s="11" t="s">
        <v>8158</v>
      </c>
      <c r="H1367" s="11" t="s">
        <v>4638</v>
      </c>
      <c r="I1367" s="11" t="s">
        <v>4600</v>
      </c>
      <c r="J1367" s="9" t="str">
        <f>IFERROR(__xludf.DUMMYFUNCTION("""COMPUTED_VALUE"""),"https://www.google.com/search?newwindow=1&amp;ei=2MT0XrvGGM-vytMP1OyDgAY&amp;q=site%3Alinkedin.com+Patrick+Payne+Campus+Recruiting+Manager")</f>
        <v>https://www.google.com/search?newwindow=1&amp;ei=2MT0XrvGGM-vytMP1OyDgAY&amp;q=site%3Alinkedin.com+Patrick+Payne+Campus+Recruiting+Manager</v>
      </c>
      <c r="K1367" s="5" t="str">
        <f t="shared" si="1"/>
        <v>Patrick Payne</v>
      </c>
      <c r="L1367" s="5" t="str">
        <f t="shared" si="2"/>
        <v>Campus Recruiting Manager</v>
      </c>
      <c r="M1367" s="5" t="str">
        <f t="shared" si="3"/>
        <v/>
      </c>
      <c r="N1367" s="5" t="str">
        <f t="shared" si="4"/>
        <v>Deloitte</v>
      </c>
      <c r="O1367" s="5" t="str">
        <f t="shared" si="5"/>
        <v/>
      </c>
      <c r="P1367" s="5" t="str">
        <f t="shared" si="6"/>
        <v>San Francisco</v>
      </c>
      <c r="Q1367" s="5" t="str">
        <f t="shared" si="7"/>
        <v>California</v>
      </c>
      <c r="R1367" s="5" t="str">
        <f t="shared" si="8"/>
        <v>United States</v>
      </c>
    </row>
    <row r="1368">
      <c r="A1368" s="8" t="s">
        <v>8199</v>
      </c>
      <c r="B1368" s="12" t="s">
        <v>8200</v>
      </c>
      <c r="C1368" s="10" t="s">
        <v>8201</v>
      </c>
      <c r="D1368" s="10"/>
      <c r="E1368" s="10" t="s">
        <v>8175</v>
      </c>
      <c r="F1368" s="10" t="s">
        <v>48</v>
      </c>
      <c r="G1368" s="11" t="s">
        <v>8158</v>
      </c>
      <c r="H1368" s="11" t="s">
        <v>4638</v>
      </c>
      <c r="I1368" s="11" t="s">
        <v>4600</v>
      </c>
      <c r="J1368" s="9" t="str">
        <f>IFERROR(__xludf.DUMMYFUNCTION("""COMPUTED_VALUE"""),"https://www.google.com/search?newwindow=1&amp;ei=2MT0XrvGGM-vytMP1OyDgAY&amp;q=site%3Alinkedin.com+Trixie+Cordova+(she/her)+Campus+Recruiting+Global+Program+Manager")</f>
        <v>https://www.google.com/search?newwindow=1&amp;ei=2MT0XrvGGM-vytMP1OyDgAY&amp;q=site%3Alinkedin.com+Trixie+Cordova+(she/her)+Campus+Recruiting+Global+Program+Manager</v>
      </c>
      <c r="K1368" s="5" t="str">
        <f t="shared" si="1"/>
        <v>Trixie Cordova (she/her)</v>
      </c>
      <c r="L1368" s="5" t="str">
        <f t="shared" si="2"/>
        <v>Campus Recruiting Global Program Manager</v>
      </c>
      <c r="M1368" s="5" t="str">
        <f t="shared" si="3"/>
        <v/>
      </c>
      <c r="N1368" s="5" t="str">
        <f t="shared" si="4"/>
        <v>LinkedIn</v>
      </c>
      <c r="O1368" s="5" t="str">
        <f t="shared" si="5"/>
        <v>2 years 4 months in role and company</v>
      </c>
      <c r="P1368" s="5" t="str">
        <f t="shared" si="6"/>
        <v>San Francisco</v>
      </c>
      <c r="Q1368" s="5" t="str">
        <f t="shared" si="7"/>
        <v>California</v>
      </c>
      <c r="R1368" s="5" t="str">
        <f t="shared" si="8"/>
        <v>United States</v>
      </c>
    </row>
    <row r="1369">
      <c r="A1369" s="8" t="s">
        <v>8202</v>
      </c>
      <c r="B1369" s="10" t="s">
        <v>8203</v>
      </c>
      <c r="C1369" s="10" t="s">
        <v>8204</v>
      </c>
      <c r="D1369" s="10"/>
      <c r="E1369" s="10" t="s">
        <v>8205</v>
      </c>
      <c r="F1369" s="10" t="s">
        <v>15</v>
      </c>
      <c r="G1369" s="11" t="s">
        <v>8158</v>
      </c>
      <c r="H1369" s="11" t="s">
        <v>4638</v>
      </c>
      <c r="I1369" s="11" t="s">
        <v>4600</v>
      </c>
      <c r="J1369" s="9" t="str">
        <f>IFERROR(__xludf.DUMMYFUNCTION("""COMPUTED_VALUE"""),"https://www.google.com/search?newwindow=1&amp;ei=2MT0XrvGGM-vytMP1OyDgAY&amp;q=site%3Alinkedin.com+Wendell+Tull+Campus+Recruiting+Manager")</f>
        <v>https://www.google.com/search?newwindow=1&amp;ei=2MT0XrvGGM-vytMP1OyDgAY&amp;q=site%3Alinkedin.com+Wendell+Tull+Campus+Recruiting+Manager</v>
      </c>
      <c r="K1369" s="5" t="str">
        <f t="shared" si="1"/>
        <v>Wendell Tull</v>
      </c>
      <c r="L1369" s="5" t="str">
        <f t="shared" si="2"/>
        <v>Campus Recruiting Manager</v>
      </c>
      <c r="M1369" s="5" t="str">
        <f t="shared" si="3"/>
        <v/>
      </c>
      <c r="N1369" s="5" t="str">
        <f t="shared" si="4"/>
        <v>NVIDIA</v>
      </c>
      <c r="O1369" s="5" t="str">
        <f t="shared" si="5"/>
        <v>3 months in role and company</v>
      </c>
      <c r="P1369" s="5" t="str">
        <f t="shared" si="6"/>
        <v>San Francisco</v>
      </c>
      <c r="Q1369" s="5" t="str">
        <f t="shared" si="7"/>
        <v>California</v>
      </c>
      <c r="R1369" s="5" t="str">
        <f t="shared" si="8"/>
        <v>United States</v>
      </c>
    </row>
    <row r="1370">
      <c r="A1370" s="8" t="s">
        <v>8206</v>
      </c>
      <c r="B1370" s="12" t="s">
        <v>8207</v>
      </c>
      <c r="C1370" s="10" t="s">
        <v>8208</v>
      </c>
      <c r="D1370" s="10"/>
      <c r="E1370" s="10" t="s">
        <v>8175</v>
      </c>
      <c r="F1370" s="10" t="s">
        <v>79</v>
      </c>
      <c r="G1370" s="11" t="s">
        <v>8158</v>
      </c>
      <c r="H1370" s="11" t="s">
        <v>4638</v>
      </c>
      <c r="I1370" s="11" t="s">
        <v>4600</v>
      </c>
      <c r="J1370" s="9" t="str">
        <f>IFERROR(__xludf.DUMMYFUNCTION("""COMPUTED_VALUE"""),"https://www.google.com/search?newwindow=1&amp;ei=2MT0XrvGGM-vytMP1OyDgAY&amp;q=site%3Alinkedin.com+Travarus+Fauntleroy+Global+Program+Manager,+Campus+Recruiting")</f>
        <v>https://www.google.com/search?newwindow=1&amp;ei=2MT0XrvGGM-vytMP1OyDgAY&amp;q=site%3Alinkedin.com+Travarus+Fauntleroy+Global+Program+Manager,+Campus+Recruiting</v>
      </c>
      <c r="K1370" s="5" t="str">
        <f t="shared" si="1"/>
        <v>Travarus Fauntleroy</v>
      </c>
      <c r="L1370" s="5" t="str">
        <f t="shared" si="2"/>
        <v>Global Program Manager, Campus Recruiting</v>
      </c>
      <c r="M1370" s="5" t="str">
        <f t="shared" si="3"/>
        <v/>
      </c>
      <c r="N1370" s="5" t="str">
        <f t="shared" si="4"/>
        <v>LinkedIn</v>
      </c>
      <c r="O1370" s="5" t="str">
        <f t="shared" si="5"/>
        <v>1 year 1 month in role and company</v>
      </c>
      <c r="P1370" s="5" t="str">
        <f t="shared" si="6"/>
        <v>San Francisco</v>
      </c>
      <c r="Q1370" s="5" t="str">
        <f t="shared" si="7"/>
        <v>California</v>
      </c>
      <c r="R1370" s="5" t="str">
        <f t="shared" si="8"/>
        <v>United States</v>
      </c>
    </row>
    <row r="1371">
      <c r="A1371" s="8" t="s">
        <v>8162</v>
      </c>
      <c r="B1371" s="10" t="s">
        <v>8163</v>
      </c>
      <c r="C1371" s="10" t="s">
        <v>8164</v>
      </c>
      <c r="D1371" s="10"/>
      <c r="E1371" s="10" t="s">
        <v>8165</v>
      </c>
      <c r="F1371" s="10" t="s">
        <v>697</v>
      </c>
      <c r="G1371" s="11" t="s">
        <v>8158</v>
      </c>
      <c r="H1371" s="11" t="s">
        <v>4638</v>
      </c>
      <c r="I1371" s="11" t="s">
        <v>4600</v>
      </c>
      <c r="J1371" s="9" t="str">
        <f>IFERROR(__xludf.DUMMYFUNCTION("""COMPUTED_VALUE"""),"https://www.google.com/search?newwindow=1&amp;ei=2MT0XrvGGM-vytMP1OyDgAY&amp;q=site%3Alinkedin.com+Kevin+Chirino+Campus+Recruiting+Lead")</f>
        <v>https://www.google.com/search?newwindow=1&amp;ei=2MT0XrvGGM-vytMP1OyDgAY&amp;q=site%3Alinkedin.com+Kevin+Chirino+Campus+Recruiting+Lead</v>
      </c>
      <c r="K1371" s="5" t="str">
        <f t="shared" si="1"/>
        <v>Kevin Chirino</v>
      </c>
      <c r="L1371" s="5" t="str">
        <f t="shared" si="2"/>
        <v>Campus Recruiting Lead</v>
      </c>
      <c r="M1371" s="5" t="str">
        <f t="shared" si="3"/>
        <v/>
      </c>
      <c r="N1371" s="5" t="str">
        <f t="shared" si="4"/>
        <v>Walmart</v>
      </c>
      <c r="O1371" s="5" t="str">
        <f t="shared" si="5"/>
        <v>3 months in role and company</v>
      </c>
      <c r="P1371" s="5" t="str">
        <f t="shared" si="6"/>
        <v>San Francisco</v>
      </c>
      <c r="Q1371" s="5" t="str">
        <f t="shared" si="7"/>
        <v>California</v>
      </c>
      <c r="R1371" s="5" t="str">
        <f t="shared" si="8"/>
        <v>United States</v>
      </c>
    </row>
    <row r="1372">
      <c r="A1372" s="8" t="s">
        <v>8209</v>
      </c>
      <c r="B1372" s="10" t="s">
        <v>8210</v>
      </c>
      <c r="C1372" s="10" t="s">
        <v>6081</v>
      </c>
      <c r="D1372" s="10"/>
      <c r="E1372" s="10" t="s">
        <v>8211</v>
      </c>
      <c r="F1372" s="10" t="s">
        <v>2288</v>
      </c>
      <c r="G1372" s="11" t="s">
        <v>8158</v>
      </c>
      <c r="H1372" s="11" t="s">
        <v>4638</v>
      </c>
      <c r="I1372" s="11" t="s">
        <v>4600</v>
      </c>
      <c r="J1372" s="9" t="str">
        <f>IFERROR(__xludf.DUMMYFUNCTION("""COMPUTED_VALUE"""),"https://www.google.com/search?newwindow=1&amp;ei=2MT0XrvGGM-vytMP1OyDgAY&amp;q=site%3Alinkedin.com+Cierra+Lam+Campus+Recruiting+Specialist")</f>
        <v>https://www.google.com/search?newwindow=1&amp;ei=2MT0XrvGGM-vytMP1OyDgAY&amp;q=site%3Alinkedin.com+Cierra+Lam+Campus+Recruiting+Specialist</v>
      </c>
      <c r="K1372" s="5" t="str">
        <f t="shared" si="1"/>
        <v>Cierra Lam</v>
      </c>
      <c r="L1372" s="5" t="str">
        <f t="shared" si="2"/>
        <v>Campus Recruiting Specialist</v>
      </c>
      <c r="M1372" s="5" t="str">
        <f t="shared" si="3"/>
        <v/>
      </c>
      <c r="N1372" s="5" t="str">
        <f t="shared" si="4"/>
        <v>Deloitte</v>
      </c>
      <c r="O1372" s="5" t="str">
        <f t="shared" si="5"/>
        <v>1 year 10 months in role</v>
      </c>
      <c r="P1372" s="5" t="str">
        <f t="shared" si="6"/>
        <v>San Francisco</v>
      </c>
      <c r="Q1372" s="5" t="str">
        <f t="shared" si="7"/>
        <v>California</v>
      </c>
      <c r="R1372" s="5" t="str">
        <f t="shared" si="8"/>
        <v>United States</v>
      </c>
    </row>
    <row r="1373">
      <c r="A1373" s="8" t="s">
        <v>8166</v>
      </c>
      <c r="B1373" s="12" t="s">
        <v>8167</v>
      </c>
      <c r="C1373" s="10" t="s">
        <v>8168</v>
      </c>
      <c r="D1373" s="10"/>
      <c r="E1373" s="10" t="s">
        <v>4914</v>
      </c>
      <c r="F1373" s="10" t="s">
        <v>1282</v>
      </c>
      <c r="G1373" s="11" t="s">
        <v>8158</v>
      </c>
      <c r="H1373" s="11" t="s">
        <v>4638</v>
      </c>
      <c r="I1373" s="11" t="s">
        <v>4600</v>
      </c>
      <c r="J1373" s="9" t="str">
        <f>IFERROR(__xludf.DUMMYFUNCTION("""COMPUTED_VALUE"""),"https://www.google.com/search?newwindow=1&amp;ei=2MT0XrvGGM-vytMP1OyDgAY&amp;q=site%3Alinkedin.com+Cristina+Smith+Senior+Campus+Recruiting+Specialist")</f>
        <v>https://www.google.com/search?newwindow=1&amp;ei=2MT0XrvGGM-vytMP1OyDgAY&amp;q=site%3Alinkedin.com+Cristina+Smith+Senior+Campus+Recruiting+Specialist</v>
      </c>
      <c r="K1373" s="5" t="str">
        <f t="shared" si="1"/>
        <v>Cristina Smith</v>
      </c>
      <c r="L1373" s="5" t="str">
        <f t="shared" si="2"/>
        <v>Senior Campus Recruiting Specialist</v>
      </c>
      <c r="M1373" s="5" t="str">
        <f t="shared" si="3"/>
        <v/>
      </c>
      <c r="N1373" s="5" t="str">
        <f t="shared" si="4"/>
        <v>Deloitte</v>
      </c>
      <c r="O1373" s="5" t="str">
        <f t="shared" si="5"/>
        <v>3 months in role</v>
      </c>
      <c r="P1373" s="5" t="str">
        <f t="shared" si="6"/>
        <v>San Francisco</v>
      </c>
      <c r="Q1373" s="5" t="str">
        <f t="shared" si="7"/>
        <v>California</v>
      </c>
      <c r="R1373" s="5" t="str">
        <f t="shared" si="8"/>
        <v>United States</v>
      </c>
    </row>
    <row r="1374">
      <c r="A1374" s="8" t="s">
        <v>8212</v>
      </c>
      <c r="B1374" s="10" t="s">
        <v>8213</v>
      </c>
      <c r="C1374" s="10" t="s">
        <v>8214</v>
      </c>
      <c r="D1374" s="10"/>
      <c r="E1374" s="10" t="s">
        <v>8175</v>
      </c>
      <c r="F1374" s="10" t="s">
        <v>345</v>
      </c>
      <c r="G1374" s="11" t="s">
        <v>8158</v>
      </c>
      <c r="H1374" s="11" t="s">
        <v>4638</v>
      </c>
      <c r="I1374" s="11" t="s">
        <v>4600</v>
      </c>
      <c r="J1374" s="9" t="str">
        <f>IFERROR(__xludf.DUMMYFUNCTION("""COMPUTED_VALUE"""),"https://www.google.com/search?newwindow=1&amp;ei=2MT0XrvGGM-vytMP1OyDgAY&amp;q=site%3Alinkedin.com+Molly+Gregware+Head+of+Tech+Campus+Recruiting")</f>
        <v>https://www.google.com/search?newwindow=1&amp;ei=2MT0XrvGGM-vytMP1OyDgAY&amp;q=site%3Alinkedin.com+Molly+Gregware+Head+of+Tech+Campus+Recruiting</v>
      </c>
      <c r="K1374" s="5" t="str">
        <f t="shared" si="1"/>
        <v>Molly Gregware</v>
      </c>
      <c r="L1374" s="5" t="str">
        <f t="shared" si="2"/>
        <v>Head of Tech Campus Recruiting</v>
      </c>
      <c r="M1374" s="5" t="str">
        <f t="shared" si="3"/>
        <v/>
      </c>
      <c r="N1374" s="5" t="str">
        <f t="shared" si="4"/>
        <v>Walmart</v>
      </c>
      <c r="O1374" s="5" t="str">
        <f t="shared" si="5"/>
        <v>4 months in role and company</v>
      </c>
      <c r="P1374" s="5" t="str">
        <f t="shared" si="6"/>
        <v>San Francisco</v>
      </c>
      <c r="Q1374" s="5" t="str">
        <f t="shared" si="7"/>
        <v>California</v>
      </c>
      <c r="R1374" s="5" t="str">
        <f t="shared" si="8"/>
        <v>United States</v>
      </c>
    </row>
    <row r="1375">
      <c r="A1375" s="8" t="s">
        <v>8215</v>
      </c>
      <c r="B1375" s="10" t="s">
        <v>8216</v>
      </c>
      <c r="C1375" s="10" t="s">
        <v>8217</v>
      </c>
      <c r="D1375" s="10"/>
      <c r="E1375" s="10" t="s">
        <v>5512</v>
      </c>
      <c r="F1375" s="10" t="s">
        <v>237</v>
      </c>
      <c r="G1375" s="11" t="s">
        <v>8158</v>
      </c>
      <c r="H1375" s="11" t="s">
        <v>4638</v>
      </c>
      <c r="I1375" s="11" t="s">
        <v>4600</v>
      </c>
      <c r="J1375" s="9" t="str">
        <f>IFERROR(__xludf.DUMMYFUNCTION("""COMPUTED_VALUE"""),"https://www.google.com/search?newwindow=1&amp;ei=2MT0XrvGGM-vytMP1OyDgAY&amp;q=site%3Alinkedin.com+Regina+Manansala+Campus+Recruiting+Manager")</f>
        <v>https://www.google.com/search?newwindow=1&amp;ei=2MT0XrvGGM-vytMP1OyDgAY&amp;q=site%3Alinkedin.com+Regina+Manansala+Campus+Recruiting+Manager</v>
      </c>
      <c r="K1375" s="5" t="str">
        <f t="shared" si="1"/>
        <v>Regina Manansala</v>
      </c>
      <c r="L1375" s="5" t="str">
        <f t="shared" si="2"/>
        <v>Campus Recruiting Manager</v>
      </c>
      <c r="M1375" s="5" t="str">
        <f t="shared" si="3"/>
        <v/>
      </c>
      <c r="N1375" s="5" t="str">
        <f t="shared" si="4"/>
        <v>KPMG</v>
      </c>
      <c r="O1375" s="5" t="str">
        <f t="shared" si="5"/>
        <v>6 years 1 month in role</v>
      </c>
      <c r="P1375" s="5" t="str">
        <f t="shared" si="6"/>
        <v>San Francisco</v>
      </c>
      <c r="Q1375" s="5" t="str">
        <f t="shared" si="7"/>
        <v>California</v>
      </c>
      <c r="R1375" s="5" t="str">
        <f t="shared" si="8"/>
        <v>United States</v>
      </c>
    </row>
    <row r="1376">
      <c r="A1376" s="8" t="s">
        <v>8218</v>
      </c>
      <c r="B1376" s="10" t="s">
        <v>8219</v>
      </c>
      <c r="C1376" s="10" t="s">
        <v>8220</v>
      </c>
      <c r="D1376" s="10"/>
      <c r="E1376" s="10" t="s">
        <v>8221</v>
      </c>
      <c r="F1376" s="10" t="s">
        <v>84</v>
      </c>
      <c r="G1376" s="11" t="s">
        <v>8158</v>
      </c>
      <c r="H1376" s="11" t="s">
        <v>4638</v>
      </c>
      <c r="I1376" s="11" t="s">
        <v>4600</v>
      </c>
      <c r="J1376" s="9" t="str">
        <f>IFERROR(__xludf.DUMMYFUNCTION("""COMPUTED_VALUE"""),"https://www.google.com/search?newwindow=1&amp;ei=2MT0XrvGGM-vytMP1OyDgAY&amp;q=site%3Alinkedin.com+Cynthia+Le+University+Recruiting+Campus+Manager")</f>
        <v>https://www.google.com/search?newwindow=1&amp;ei=2MT0XrvGGM-vytMP1OyDgAY&amp;q=site%3Alinkedin.com+Cynthia+Le+University+Recruiting+Campus+Manager</v>
      </c>
      <c r="K1376" s="5" t="str">
        <f t="shared" si="1"/>
        <v>Cynthia Le</v>
      </c>
      <c r="L1376" s="5" t="str">
        <f t="shared" si="2"/>
        <v>University Recruiting Campus Manager</v>
      </c>
      <c r="M1376" s="5" t="str">
        <f t="shared" si="3"/>
        <v/>
      </c>
      <c r="N1376" s="5" t="str">
        <f t="shared" si="4"/>
        <v>NVIDIA</v>
      </c>
      <c r="O1376" s="5" t="str">
        <f t="shared" si="5"/>
        <v>4 years 3 months in role</v>
      </c>
      <c r="P1376" s="5" t="str">
        <f t="shared" si="6"/>
        <v>San Francisco</v>
      </c>
      <c r="Q1376" s="5" t="str">
        <f t="shared" si="7"/>
        <v>California</v>
      </c>
      <c r="R1376" s="5" t="str">
        <f t="shared" si="8"/>
        <v>United States</v>
      </c>
    </row>
    <row r="1377">
      <c r="A1377" s="8" t="s">
        <v>8222</v>
      </c>
      <c r="B1377" s="12" t="s">
        <v>8223</v>
      </c>
      <c r="C1377" s="10" t="s">
        <v>8224</v>
      </c>
      <c r="D1377" s="10"/>
      <c r="E1377" s="10" t="s">
        <v>8175</v>
      </c>
      <c r="F1377" s="10" t="s">
        <v>237</v>
      </c>
      <c r="G1377" s="11" t="s">
        <v>8158</v>
      </c>
      <c r="H1377" s="11" t="s">
        <v>4638</v>
      </c>
      <c r="I1377" s="11" t="s">
        <v>4600</v>
      </c>
      <c r="J1377" s="9" t="str">
        <f>IFERROR(__xludf.DUMMYFUNCTION("""COMPUTED_VALUE"""),"https://www.google.com/search?newwindow=1&amp;ei=2MT0XrvGGM-vytMP1OyDgAY&amp;q=site%3Alinkedin.com+Genna+McGrath+Senior+Campus+Recruiting+Coordinator")</f>
        <v>https://www.google.com/search?newwindow=1&amp;ei=2MT0XrvGGM-vytMP1OyDgAY&amp;q=site%3Alinkedin.com+Genna+McGrath+Senior+Campus+Recruiting+Coordinator</v>
      </c>
      <c r="K1377" s="5" t="str">
        <f t="shared" si="1"/>
        <v>Genna McGrath</v>
      </c>
      <c r="L1377" s="5" t="str">
        <f t="shared" si="2"/>
        <v>Senior Campus Recruiting Coordinator</v>
      </c>
      <c r="M1377" s="5" t="str">
        <f t="shared" si="3"/>
        <v/>
      </c>
      <c r="N1377" s="5" t="str">
        <f t="shared" si="4"/>
        <v>Deloitte</v>
      </c>
      <c r="O1377" s="5" t="str">
        <f t="shared" si="5"/>
        <v>1 year 5 months in role</v>
      </c>
      <c r="P1377" s="5" t="str">
        <f t="shared" si="6"/>
        <v>San Francisco</v>
      </c>
      <c r="Q1377" s="5" t="str">
        <f t="shared" si="7"/>
        <v>California</v>
      </c>
      <c r="R1377" s="5" t="str">
        <f t="shared" si="8"/>
        <v>United States</v>
      </c>
    </row>
    <row r="1378">
      <c r="A1378" s="8" t="s">
        <v>8225</v>
      </c>
      <c r="B1378" s="10" t="s">
        <v>8226</v>
      </c>
      <c r="C1378" s="10" t="s">
        <v>8227</v>
      </c>
      <c r="D1378" s="10"/>
      <c r="E1378" s="10" t="s">
        <v>8228</v>
      </c>
      <c r="F1378" s="10" t="s">
        <v>691</v>
      </c>
      <c r="G1378" s="11" t="s">
        <v>8158</v>
      </c>
      <c r="H1378" s="11" t="s">
        <v>4638</v>
      </c>
      <c r="I1378" s="11" t="s">
        <v>4600</v>
      </c>
      <c r="J1378" s="9" t="str">
        <f>IFERROR(__xludf.DUMMYFUNCTION("""COMPUTED_VALUE"""),"https://www.google.com/search?newwindow=1&amp;ei=2MT0XrvGGM-vytMP1OyDgAY&amp;q=site%3Alinkedin.com+Cortney+Brazil+Campus+Recruiting")</f>
        <v>https://www.google.com/search?newwindow=1&amp;ei=2MT0XrvGGM-vytMP1OyDgAY&amp;q=site%3Alinkedin.com+Cortney+Brazil+Campus+Recruiting</v>
      </c>
      <c r="K1378" s="5" t="str">
        <f t="shared" si="1"/>
        <v>Cortney Brazil</v>
      </c>
      <c r="L1378" s="5" t="str">
        <f t="shared" si="2"/>
        <v>Campus Recruiting</v>
      </c>
      <c r="M1378" s="5" t="str">
        <f t="shared" si="3"/>
        <v/>
      </c>
      <c r="N1378" s="5" t="str">
        <f t="shared" si="4"/>
        <v>KPMG US</v>
      </c>
      <c r="O1378" s="5" t="str">
        <f t="shared" si="5"/>
        <v>5 years 6 months in role</v>
      </c>
      <c r="P1378" s="5" t="str">
        <f t="shared" si="6"/>
        <v>San Francisco</v>
      </c>
      <c r="Q1378" s="5" t="str">
        <f t="shared" si="7"/>
        <v>California</v>
      </c>
      <c r="R1378" s="5" t="str">
        <f t="shared" si="8"/>
        <v>United States</v>
      </c>
    </row>
    <row r="1379">
      <c r="A1379" s="8" t="s">
        <v>8172</v>
      </c>
      <c r="B1379" s="10" t="s">
        <v>8173</v>
      </c>
      <c r="C1379" s="10" t="s">
        <v>8174</v>
      </c>
      <c r="D1379" s="10"/>
      <c r="E1379" s="10" t="s">
        <v>8175</v>
      </c>
      <c r="F1379" s="10" t="s">
        <v>228</v>
      </c>
      <c r="G1379" s="11" t="s">
        <v>8158</v>
      </c>
      <c r="H1379" s="11" t="s">
        <v>4638</v>
      </c>
      <c r="I1379" s="11" t="s">
        <v>4600</v>
      </c>
      <c r="J1379" s="9" t="str">
        <f>IFERROR(__xludf.DUMMYFUNCTION("""COMPUTED_VALUE"""),"https://www.google.com/search?newwindow=1&amp;ei=2MT0XrvGGM-vytMP1OyDgAY&amp;q=site%3Alinkedin.com+Sydney+Horner+Senior+Recruiter,+University+Recruitment,+Full+Life-Cycle")</f>
        <v>https://www.google.com/search?newwindow=1&amp;ei=2MT0XrvGGM-vytMP1OyDgAY&amp;q=site%3Alinkedin.com+Sydney+Horner+Senior+Recruiter,+University+Recruitment,+Full+Life-Cycle</v>
      </c>
      <c r="K1379" s="5" t="str">
        <f t="shared" si="1"/>
        <v>Sydney Horner</v>
      </c>
      <c r="L1379" s="5" t="str">
        <f t="shared" si="2"/>
        <v>Senior Recruiter, University Recruitment, Full Life-Cycle</v>
      </c>
      <c r="M1379" s="5" t="str">
        <f t="shared" si="3"/>
        <v/>
      </c>
      <c r="N1379" s="5" t="str">
        <f t="shared" si="4"/>
        <v>Facebook</v>
      </c>
      <c r="O1379" s="5" t="str">
        <f t="shared" si="5"/>
        <v>2 years 5 months in role and company</v>
      </c>
      <c r="P1379" s="5" t="str">
        <f t="shared" si="6"/>
        <v>San Francisco</v>
      </c>
      <c r="Q1379" s="5" t="str">
        <f t="shared" si="7"/>
        <v>California</v>
      </c>
      <c r="R1379" s="5" t="str">
        <f t="shared" si="8"/>
        <v>United States</v>
      </c>
    </row>
    <row r="1380">
      <c r="A1380" s="8" t="s">
        <v>8229</v>
      </c>
      <c r="B1380" s="12" t="s">
        <v>8230</v>
      </c>
      <c r="C1380" s="10" t="s">
        <v>8231</v>
      </c>
      <c r="D1380" s="10"/>
      <c r="E1380" s="10" t="s">
        <v>8186</v>
      </c>
      <c r="F1380" s="10" t="s">
        <v>257</v>
      </c>
      <c r="G1380" s="11" t="s">
        <v>8158</v>
      </c>
      <c r="H1380" s="11" t="s">
        <v>4638</v>
      </c>
      <c r="I1380" s="11" t="s">
        <v>4600</v>
      </c>
      <c r="J1380" s="9" t="str">
        <f>IFERROR(__xludf.DUMMYFUNCTION("""COMPUTED_VALUE"""),"https://www.google.com/search?newwindow=1&amp;ei=2MT0XrvGGM-vytMP1OyDgAY&amp;q=site%3Alinkedin.com+Marissa+Shimada+Campus+Recruiting+Consultant")</f>
        <v>https://www.google.com/search?newwindow=1&amp;ei=2MT0XrvGGM-vytMP1OyDgAY&amp;q=site%3Alinkedin.com+Marissa+Shimada+Campus+Recruiting+Consultant</v>
      </c>
      <c r="K1380" s="5" t="str">
        <f t="shared" si="1"/>
        <v>Marissa Shimada</v>
      </c>
      <c r="L1380" s="5" t="str">
        <f t="shared" si="2"/>
        <v>Campus Recruiting Consultant</v>
      </c>
      <c r="M1380" s="5" t="str">
        <f t="shared" si="3"/>
        <v/>
      </c>
      <c r="N1380" s="5" t="str">
        <f t="shared" si="4"/>
        <v>Wells Fargo</v>
      </c>
      <c r="O1380" s="5" t="str">
        <f t="shared" si="5"/>
        <v>2 years 10 months in role and company</v>
      </c>
      <c r="P1380" s="5" t="str">
        <f t="shared" si="6"/>
        <v>San Francisco</v>
      </c>
      <c r="Q1380" s="5" t="str">
        <f t="shared" si="7"/>
        <v>California</v>
      </c>
      <c r="R1380" s="5" t="str">
        <f t="shared" si="8"/>
        <v>United States</v>
      </c>
    </row>
    <row r="1381">
      <c r="A1381" s="8" t="s">
        <v>8232</v>
      </c>
      <c r="B1381" s="10" t="s">
        <v>8233</v>
      </c>
      <c r="C1381" s="10" t="s">
        <v>8234</v>
      </c>
      <c r="D1381" s="10"/>
      <c r="E1381" s="10" t="s">
        <v>8235</v>
      </c>
      <c r="F1381" s="10" t="s">
        <v>144</v>
      </c>
      <c r="G1381" s="11" t="s">
        <v>8158</v>
      </c>
      <c r="H1381" s="11" t="s">
        <v>4638</v>
      </c>
      <c r="I1381" s="11" t="s">
        <v>4600</v>
      </c>
      <c r="J1381" s="9" t="str">
        <f>IFERROR(__xludf.DUMMYFUNCTION("""COMPUTED_VALUE"""),"https://www.google.com/search?newwindow=1&amp;ei=2MT0XrvGGM-vytMP1OyDgAY&amp;q=site%3Alinkedin.com+Jen+McGregor+Campus+Ambassador")</f>
        <v>https://www.google.com/search?newwindow=1&amp;ei=2MT0XrvGGM-vytMP1OyDgAY&amp;q=site%3Alinkedin.com+Jen+McGregor+Campus+Ambassador</v>
      </c>
      <c r="K1381" s="5" t="str">
        <f t="shared" si="1"/>
        <v>Jen McGregor</v>
      </c>
      <c r="L1381" s="5" t="str">
        <f t="shared" si="2"/>
        <v>Campus Ambassador</v>
      </c>
      <c r="M1381" s="5" t="str">
        <f t="shared" si="3"/>
        <v/>
      </c>
      <c r="N1381" s="5" t="str">
        <f t="shared" si="4"/>
        <v>KPMG</v>
      </c>
      <c r="O1381" s="5" t="str">
        <f t="shared" si="5"/>
        <v>3 months in role</v>
      </c>
      <c r="P1381" s="5" t="str">
        <f t="shared" si="6"/>
        <v>San Francisco</v>
      </c>
      <c r="Q1381" s="5" t="str">
        <f t="shared" si="7"/>
        <v>California</v>
      </c>
      <c r="R1381" s="5" t="str">
        <f t="shared" si="8"/>
        <v>United States</v>
      </c>
    </row>
    <row r="1382">
      <c r="A1382" s="8" t="s">
        <v>8236</v>
      </c>
      <c r="B1382" s="12" t="s">
        <v>8237</v>
      </c>
      <c r="C1382" s="10" t="s">
        <v>8238</v>
      </c>
      <c r="D1382" s="10"/>
      <c r="E1382" s="10" t="s">
        <v>8239</v>
      </c>
      <c r="F1382" s="10" t="s">
        <v>1089</v>
      </c>
      <c r="G1382" s="11" t="s">
        <v>8158</v>
      </c>
      <c r="H1382" s="11" t="s">
        <v>4638</v>
      </c>
      <c r="I1382" s="11" t="s">
        <v>4600</v>
      </c>
      <c r="J1382" s="9" t="str">
        <f>IFERROR(__xludf.DUMMYFUNCTION("""COMPUTED_VALUE"""),"https://www.google.com/search?newwindow=1&amp;ei=2MT0XrvGGM-vytMP1OyDgAY&amp;q=site%3Alinkedin.com+Edward+Hernandez+Campus+Recruiting+Intern")</f>
        <v>https://www.google.com/search?newwindow=1&amp;ei=2MT0XrvGGM-vytMP1OyDgAY&amp;q=site%3Alinkedin.com+Edward+Hernandez+Campus+Recruiting+Intern</v>
      </c>
      <c r="K1382" s="5" t="str">
        <f t="shared" si="1"/>
        <v>Edward Hernandez</v>
      </c>
      <c r="L1382" s="5" t="str">
        <f t="shared" si="2"/>
        <v>Campus Recruiting Intern</v>
      </c>
      <c r="M1382" s="5" t="str">
        <f t="shared" si="3"/>
        <v/>
      </c>
      <c r="N1382" s="5" t="str">
        <f t="shared" si="4"/>
        <v>PwC</v>
      </c>
      <c r="O1382" s="5" t="str">
        <f t="shared" si="5"/>
        <v>2 years 3 months in role and company</v>
      </c>
      <c r="P1382" s="5" t="str">
        <f t="shared" si="6"/>
        <v>San Francisco</v>
      </c>
      <c r="Q1382" s="5" t="str">
        <f t="shared" si="7"/>
        <v>California</v>
      </c>
      <c r="R1382" s="5" t="str">
        <f t="shared" si="8"/>
        <v>United States</v>
      </c>
    </row>
    <row r="1383">
      <c r="A1383" s="8" t="s">
        <v>8240</v>
      </c>
      <c r="B1383" s="10" t="s">
        <v>8241</v>
      </c>
      <c r="C1383" s="10" t="s">
        <v>8242</v>
      </c>
      <c r="D1383" s="10"/>
      <c r="E1383" s="10" t="s">
        <v>8175</v>
      </c>
      <c r="F1383" s="10" t="s">
        <v>1123</v>
      </c>
      <c r="G1383" s="11" t="s">
        <v>8158</v>
      </c>
      <c r="H1383" s="11" t="s">
        <v>4638</v>
      </c>
      <c r="I1383" s="11" t="s">
        <v>4600</v>
      </c>
      <c r="J1383" s="9" t="str">
        <f>IFERROR(__xludf.DUMMYFUNCTION("""COMPUTED_VALUE"""),"https://www.google.com/search?newwindow=1&amp;ei=2MT0XrvGGM-vytMP1OyDgAY&amp;q=site%3Alinkedin.com+Alexandria+Richardson+HR+Career+Advisor")</f>
        <v>https://www.google.com/search?newwindow=1&amp;ei=2MT0XrvGGM-vytMP1OyDgAY&amp;q=site%3Alinkedin.com+Alexandria+Richardson+HR+Career+Advisor</v>
      </c>
      <c r="K1383" s="5" t="str">
        <f t="shared" si="1"/>
        <v>Alexandria Richardson</v>
      </c>
      <c r="L1383" s="5" t="str">
        <f t="shared" si="2"/>
        <v>HR Career Advisor</v>
      </c>
      <c r="M1383" s="5" t="str">
        <f t="shared" si="3"/>
        <v/>
      </c>
      <c r="N1383" s="5" t="str">
        <f t="shared" si="4"/>
        <v>Accenture</v>
      </c>
      <c r="O1383" s="5" t="str">
        <f t="shared" si="5"/>
        <v>3 years 9 months in role</v>
      </c>
      <c r="P1383" s="5" t="str">
        <f t="shared" si="6"/>
        <v>San Francisco</v>
      </c>
      <c r="Q1383" s="5" t="str">
        <f t="shared" si="7"/>
        <v>California</v>
      </c>
      <c r="R1383" s="5" t="str">
        <f t="shared" si="8"/>
        <v>United States</v>
      </c>
    </row>
    <row r="1384">
      <c r="A1384" s="8" t="s">
        <v>8243</v>
      </c>
      <c r="B1384" s="10" t="s">
        <v>8244</v>
      </c>
      <c r="C1384" s="10" t="s">
        <v>4929</v>
      </c>
      <c r="D1384" s="10"/>
      <c r="E1384" s="10" t="s">
        <v>8110</v>
      </c>
      <c r="F1384" s="10" t="s">
        <v>832</v>
      </c>
      <c r="G1384" s="11" t="s">
        <v>8158</v>
      </c>
      <c r="H1384" s="11" t="s">
        <v>4638</v>
      </c>
      <c r="I1384" s="11" t="s">
        <v>4600</v>
      </c>
      <c r="J1384" s="9" t="str">
        <f>IFERROR(__xludf.DUMMYFUNCTION("""COMPUTED_VALUE"""),"https://www.google.com/search?newwindow=1&amp;ei=2MT0XrvGGM-vytMP1OyDgAY&amp;q=site%3Alinkedin.com+Susan+Te+Campus+Recruiting+Specialist")</f>
        <v>https://www.google.com/search?newwindow=1&amp;ei=2MT0XrvGGM-vytMP1OyDgAY&amp;q=site%3Alinkedin.com+Susan+Te+Campus+Recruiting+Specialist</v>
      </c>
      <c r="K1384" s="5" t="str">
        <f t="shared" si="1"/>
        <v>Susan Te</v>
      </c>
      <c r="L1384" s="5" t="str">
        <f t="shared" si="2"/>
        <v>Campus Recruiting Specialist</v>
      </c>
      <c r="M1384" s="5" t="str">
        <f t="shared" si="3"/>
        <v/>
      </c>
      <c r="N1384" s="5" t="str">
        <f t="shared" si="4"/>
        <v>Deloitte</v>
      </c>
      <c r="O1384" s="5" t="str">
        <f t="shared" si="5"/>
        <v>2 years 9 months in role</v>
      </c>
      <c r="P1384" s="5" t="str">
        <f t="shared" si="6"/>
        <v>San Jose</v>
      </c>
      <c r="Q1384" s="5" t="str">
        <f t="shared" si="7"/>
        <v>California</v>
      </c>
      <c r="R1384" s="5" t="str">
        <f t="shared" si="8"/>
        <v>United States</v>
      </c>
    </row>
    <row r="1385">
      <c r="A1385" s="8" t="s">
        <v>8169</v>
      </c>
      <c r="B1385" s="10" t="s">
        <v>8170</v>
      </c>
      <c r="C1385" s="10" t="s">
        <v>4596</v>
      </c>
      <c r="D1385" s="10"/>
      <c r="E1385" s="10" t="s">
        <v>8171</v>
      </c>
      <c r="F1385" s="10" t="s">
        <v>29</v>
      </c>
      <c r="G1385" s="11" t="s">
        <v>8158</v>
      </c>
      <c r="H1385" s="11" t="s">
        <v>4638</v>
      </c>
      <c r="I1385" s="11" t="s">
        <v>4600</v>
      </c>
      <c r="J1385" s="9" t="str">
        <f>IFERROR(__xludf.DUMMYFUNCTION("""COMPUTED_VALUE"""),"https://www.google.com/search?newwindow=1&amp;ei=2MT0XrvGGM-vytMP1OyDgAY&amp;q=site%3Alinkedin.com+Emily+Ho+Project+Manager+II,+Campus+Recruiting+Operations")</f>
        <v>https://www.google.com/search?newwindow=1&amp;ei=2MT0XrvGGM-vytMP1OyDgAY&amp;q=site%3Alinkedin.com+Emily+Ho+Project+Manager+II,+Campus+Recruiting+Operations</v>
      </c>
      <c r="K1385" s="5" t="str">
        <f t="shared" si="1"/>
        <v>Emily Ho</v>
      </c>
      <c r="L1385" s="5" t="str">
        <f t="shared" si="2"/>
        <v>Project Manager II, Campus Recruiting Operations</v>
      </c>
      <c r="M1385" s="5" t="str">
        <f t="shared" si="3"/>
        <v/>
      </c>
      <c r="N1385" s="5" t="str">
        <f t="shared" si="4"/>
        <v>LinkedIn</v>
      </c>
      <c r="O1385" s="5" t="str">
        <f t="shared" si="5"/>
        <v>2 years 7 months in role</v>
      </c>
      <c r="P1385" s="5" t="str">
        <f t="shared" si="6"/>
        <v>San Jose</v>
      </c>
      <c r="Q1385" s="5" t="str">
        <f t="shared" si="7"/>
        <v>California</v>
      </c>
      <c r="R1385" s="5" t="str">
        <f t="shared" si="8"/>
        <v>United States</v>
      </c>
    </row>
    <row r="1386">
      <c r="A1386" s="8" t="s">
        <v>8245</v>
      </c>
      <c r="B1386" s="12" t="s">
        <v>8246</v>
      </c>
      <c r="C1386" s="10" t="s">
        <v>8247</v>
      </c>
      <c r="D1386" s="10"/>
      <c r="E1386" s="10" t="s">
        <v>8110</v>
      </c>
      <c r="F1386" s="10" t="s">
        <v>574</v>
      </c>
      <c r="G1386" s="11" t="s">
        <v>8158</v>
      </c>
      <c r="H1386" s="11" t="s">
        <v>4638</v>
      </c>
      <c r="I1386" s="11" t="s">
        <v>4600</v>
      </c>
      <c r="J1386" s="9" t="str">
        <f>IFERROR(__xludf.DUMMYFUNCTION("""COMPUTED_VALUE"""),"https://www.google.com/search?newwindow=1&amp;ei=2MT0XrvGGM-vytMP1OyDgAY&amp;q=site%3Alinkedin.com+Julia+Silvestre+West+Campus+Lead+Recruiting+Coordinator")</f>
        <v>https://www.google.com/search?newwindow=1&amp;ei=2MT0XrvGGM-vytMP1OyDgAY&amp;q=site%3Alinkedin.com+Julia+Silvestre+West+Campus+Lead+Recruiting+Coordinator</v>
      </c>
      <c r="K1386" s="5" t="str">
        <f t="shared" si="1"/>
        <v>Julia Silvestre</v>
      </c>
      <c r="L1386" s="5" t="str">
        <f t="shared" si="2"/>
        <v>West Campus Lead Recruiting Coordinator</v>
      </c>
      <c r="M1386" s="5" t="str">
        <f t="shared" si="3"/>
        <v/>
      </c>
      <c r="N1386" s="5" t="str">
        <f t="shared" si="4"/>
        <v>EY</v>
      </c>
      <c r="O1386" s="5" t="str">
        <f t="shared" si="5"/>
        <v/>
      </c>
      <c r="P1386" s="5" t="str">
        <f t="shared" si="6"/>
        <v>San Jose</v>
      </c>
      <c r="Q1386" s="5" t="str">
        <f t="shared" si="7"/>
        <v>California</v>
      </c>
      <c r="R1386" s="5" t="str">
        <f t="shared" si="8"/>
        <v>United States</v>
      </c>
    </row>
    <row r="1387">
      <c r="A1387" s="8" t="s">
        <v>8176</v>
      </c>
      <c r="B1387" s="10" t="s">
        <v>8177</v>
      </c>
      <c r="C1387" s="10" t="s">
        <v>8178</v>
      </c>
      <c r="D1387" s="10"/>
      <c r="E1387" s="10" t="s">
        <v>4914</v>
      </c>
      <c r="F1387" s="10" t="s">
        <v>8179</v>
      </c>
      <c r="G1387" s="11" t="s">
        <v>8158</v>
      </c>
      <c r="H1387" s="11" t="s">
        <v>4638</v>
      </c>
      <c r="I1387" s="11" t="s">
        <v>4600</v>
      </c>
      <c r="J1387" s="9" t="str">
        <f>IFERROR(__xludf.DUMMYFUNCTION("""COMPUTED_VALUE"""),"https://www.google.com/search?newwindow=1&amp;ei=2MT0XrvGGM-vytMP1OyDgAY&amp;q=site%3Alinkedin.com+Lauren+Silveira+Campus+Manager,+University+Recruiting")</f>
        <v>https://www.google.com/search?newwindow=1&amp;ei=2MT0XrvGGM-vytMP1OyDgAY&amp;q=site%3Alinkedin.com+Lauren+Silveira+Campus+Manager,+University+Recruiting</v>
      </c>
      <c r="K1387" s="5" t="str">
        <f t="shared" si="1"/>
        <v>Lauren Silveira</v>
      </c>
      <c r="L1387" s="5" t="str">
        <f t="shared" si="2"/>
        <v>Campus Manager, University Recruiting</v>
      </c>
      <c r="M1387" s="5" t="str">
        <f t="shared" si="3"/>
        <v/>
      </c>
      <c r="N1387" s="5" t="str">
        <f t="shared" si="4"/>
        <v>NVIDIA</v>
      </c>
      <c r="O1387" s="5" t="str">
        <f t="shared" si="5"/>
        <v>3 years 4 months in role and company</v>
      </c>
      <c r="P1387" s="5" t="str">
        <f t="shared" si="6"/>
        <v>San Jose</v>
      </c>
      <c r="Q1387" s="5" t="str">
        <f t="shared" si="7"/>
        <v>California</v>
      </c>
      <c r="R1387" s="5" t="str">
        <f t="shared" si="8"/>
        <v>United States</v>
      </c>
    </row>
    <row r="1388">
      <c r="A1388" s="8" t="s">
        <v>8248</v>
      </c>
      <c r="B1388" s="10" t="s">
        <v>8249</v>
      </c>
      <c r="C1388" s="10" t="s">
        <v>8250</v>
      </c>
      <c r="D1388" s="10"/>
      <c r="E1388" s="10" t="s">
        <v>8175</v>
      </c>
      <c r="F1388" s="10" t="s">
        <v>144</v>
      </c>
      <c r="G1388" s="11" t="s">
        <v>8158</v>
      </c>
      <c r="H1388" s="11" t="s">
        <v>4638</v>
      </c>
      <c r="I1388" s="11" t="s">
        <v>4600</v>
      </c>
      <c r="J1388" s="9" t="str">
        <f>IFERROR(__xludf.DUMMYFUNCTION("""COMPUTED_VALUE"""),"https://www.google.com/search?newwindow=1&amp;ei=2MT0XrvGGM-vytMP1OyDgAY&amp;q=site%3Alinkedin.com+Jessica+Gonzalez+Campus+Recruiting+Coordinator")</f>
        <v>https://www.google.com/search?newwindow=1&amp;ei=2MT0XrvGGM-vytMP1OyDgAY&amp;q=site%3Alinkedin.com+Jessica+Gonzalez+Campus+Recruiting+Coordinator</v>
      </c>
      <c r="K1388" s="5" t="str">
        <f t="shared" si="1"/>
        <v>Jessica Gonzalez</v>
      </c>
      <c r="L1388" s="5" t="str">
        <f t="shared" si="2"/>
        <v>Campus Recruiting Coordinator</v>
      </c>
      <c r="M1388" s="5" t="str">
        <f t="shared" si="3"/>
        <v/>
      </c>
      <c r="N1388" s="5" t="str">
        <f t="shared" si="4"/>
        <v>EY</v>
      </c>
      <c r="O1388" s="5" t="str">
        <f t="shared" si="5"/>
        <v>3 years 7 months in role and company</v>
      </c>
      <c r="P1388" s="5" t="str">
        <f t="shared" si="6"/>
        <v>San Jose</v>
      </c>
      <c r="Q1388" s="5" t="str">
        <f t="shared" si="7"/>
        <v>California</v>
      </c>
      <c r="R1388" s="5" t="str">
        <f t="shared" si="8"/>
        <v>United States</v>
      </c>
    </row>
    <row r="1389">
      <c r="A1389" s="8" t="s">
        <v>8251</v>
      </c>
      <c r="B1389" s="12" t="s">
        <v>8252</v>
      </c>
      <c r="C1389" s="10" t="s">
        <v>5160</v>
      </c>
      <c r="D1389" s="10"/>
      <c r="E1389" s="10" t="s">
        <v>6208</v>
      </c>
      <c r="F1389" s="10" t="s">
        <v>848</v>
      </c>
      <c r="G1389" s="11" t="s">
        <v>8158</v>
      </c>
      <c r="H1389" s="11" t="s">
        <v>4638</v>
      </c>
      <c r="I1389" s="11" t="s">
        <v>4600</v>
      </c>
      <c r="J1389" s="9" t="str">
        <f>IFERROR(__xludf.DUMMYFUNCTION("""COMPUTED_VALUE"""),"https://www.google.com/search?newwindow=1&amp;ei=2MT0XrvGGM-vytMP1OyDgAY&amp;q=site%3Alinkedin.com+Sumner+Ashley+Campus+Recruiting+Coordinator")</f>
        <v>https://www.google.com/search?newwindow=1&amp;ei=2MT0XrvGGM-vytMP1OyDgAY&amp;q=site%3Alinkedin.com+Sumner+Ashley+Campus+Recruiting+Coordinator</v>
      </c>
      <c r="K1389" s="5" t="str">
        <f t="shared" si="1"/>
        <v>Sumner Ashley</v>
      </c>
      <c r="L1389" s="5" t="str">
        <f t="shared" si="2"/>
        <v>Campus Recruiting Coordinator</v>
      </c>
      <c r="M1389" s="5" t="str">
        <f t="shared" si="3"/>
        <v/>
      </c>
      <c r="N1389" s="5" t="str">
        <f t="shared" si="4"/>
        <v>KPMG</v>
      </c>
      <c r="O1389" s="5" t="str">
        <f t="shared" si="5"/>
        <v/>
      </c>
      <c r="P1389" s="5" t="str">
        <f t="shared" si="6"/>
        <v>Sandy</v>
      </c>
      <c r="Q1389" s="5" t="str">
        <f t="shared" si="7"/>
        <v>Utah</v>
      </c>
      <c r="R1389" s="5" t="str">
        <f t="shared" si="8"/>
        <v>United States</v>
      </c>
    </row>
    <row r="1390">
      <c r="A1390" s="8" t="s">
        <v>8253</v>
      </c>
      <c r="B1390" s="10" t="s">
        <v>8254</v>
      </c>
      <c r="C1390" s="10" t="s">
        <v>8255</v>
      </c>
      <c r="D1390" s="10"/>
      <c r="E1390" s="10" t="s">
        <v>8256</v>
      </c>
      <c r="F1390" s="10" t="s">
        <v>8257</v>
      </c>
      <c r="G1390" s="11" t="s">
        <v>8158</v>
      </c>
      <c r="H1390" s="11" t="s">
        <v>4638</v>
      </c>
      <c r="I1390" s="11" t="s">
        <v>4600</v>
      </c>
      <c r="J1390" s="9" t="str">
        <f>IFERROR(__xludf.DUMMYFUNCTION("""COMPUTED_VALUE"""),"https://www.google.com/search?newwindow=1&amp;ei=2MT0XrvGGM-vytMP1OyDgAY&amp;q=site%3Alinkedin.com+Avery+Ching+Senior+Associate+-+Campus+Recruiter")</f>
        <v>https://www.google.com/search?newwindow=1&amp;ei=2MT0XrvGGM-vytMP1OyDgAY&amp;q=site%3Alinkedin.com+Avery+Ching+Senior+Associate+-+Campus+Recruiter</v>
      </c>
      <c r="K1390" s="5" t="str">
        <f t="shared" si="1"/>
        <v>Avery Ching</v>
      </c>
      <c r="L1390" s="5" t="str">
        <f t="shared" si="2"/>
        <v>Senior Associate - Campus Recruiter</v>
      </c>
      <c r="M1390" s="5" t="str">
        <f t="shared" si="3"/>
        <v/>
      </c>
      <c r="N1390" s="5" t="str">
        <f t="shared" si="4"/>
        <v>KPMG US</v>
      </c>
      <c r="O1390" s="5" t="str">
        <f t="shared" si="5"/>
        <v>2 years 3 months in role</v>
      </c>
      <c r="P1390" s="5" t="str">
        <f t="shared" si="6"/>
        <v>Santa Clara</v>
      </c>
      <c r="Q1390" s="5" t="str">
        <f t="shared" si="7"/>
        <v>California</v>
      </c>
      <c r="R1390" s="5" t="str">
        <f t="shared" si="8"/>
        <v>United States</v>
      </c>
    </row>
    <row r="1391">
      <c r="A1391" s="8" t="s">
        <v>8180</v>
      </c>
      <c r="B1391" s="10" t="s">
        <v>8181</v>
      </c>
      <c r="C1391" s="10" t="s">
        <v>8182</v>
      </c>
      <c r="D1391" s="10"/>
      <c r="E1391" s="10" t="s">
        <v>8175</v>
      </c>
      <c r="F1391" s="10" t="s">
        <v>207</v>
      </c>
      <c r="G1391" s="11" t="s">
        <v>8158</v>
      </c>
      <c r="H1391" s="11" t="s">
        <v>4638</v>
      </c>
      <c r="I1391" s="11" t="s">
        <v>4600</v>
      </c>
      <c r="J1391" s="9" t="str">
        <f>IFERROR(__xludf.DUMMYFUNCTION("""COMPUTED_VALUE"""),"https://www.google.com/search?newwindow=1&amp;ei=2MT0XrvGGM-vytMP1OyDgAY&amp;q=site%3Alinkedin.com+Ameen+Bery+International+Student+Advisor/+Recruiter")</f>
        <v>https://www.google.com/search?newwindow=1&amp;ei=2MT0XrvGGM-vytMP1OyDgAY&amp;q=site%3Alinkedin.com+Ameen+Bery+International+Student+Advisor/+Recruiter</v>
      </c>
      <c r="K1391" s="5" t="str">
        <f t="shared" si="1"/>
        <v>Ameen Bery</v>
      </c>
      <c r="L1391" s="5" t="str">
        <f t="shared" si="2"/>
        <v>International Student Advisor/ Recruiter</v>
      </c>
      <c r="M1391" s="5" t="str">
        <f t="shared" si="3"/>
        <v/>
      </c>
      <c r="N1391" s="5" t="str">
        <f t="shared" si="4"/>
        <v>Saskatchewan Polytechnic</v>
      </c>
      <c r="O1391" s="5" t="str">
        <f t="shared" si="5"/>
        <v>10 months in role</v>
      </c>
      <c r="P1391" s="5" t="str">
        <f t="shared" si="6"/>
        <v>Saskatoon</v>
      </c>
      <c r="Q1391" s="5" t="str">
        <f t="shared" si="7"/>
        <v>Saskatchewan</v>
      </c>
      <c r="R1391" s="5" t="str">
        <f t="shared" si="8"/>
        <v>Canada</v>
      </c>
    </row>
    <row r="1392">
      <c r="A1392" s="8" t="s">
        <v>8258</v>
      </c>
      <c r="B1392" s="10" t="s">
        <v>8259</v>
      </c>
      <c r="C1392" s="10" t="s">
        <v>8260</v>
      </c>
      <c r="D1392" s="10"/>
      <c r="E1392" s="10" t="s">
        <v>8175</v>
      </c>
      <c r="F1392" s="10" t="s">
        <v>15</v>
      </c>
      <c r="G1392" s="11" t="s">
        <v>8158</v>
      </c>
      <c r="H1392" s="11" t="s">
        <v>4638</v>
      </c>
      <c r="I1392" s="11" t="s">
        <v>4600</v>
      </c>
      <c r="J1392" s="9" t="str">
        <f>IFERROR(__xludf.DUMMYFUNCTION("""COMPUTED_VALUE"""),"https://www.google.com/search?newwindow=1&amp;ei=2MT0XrvGGM-vytMP1OyDgAY&amp;q=site%3Alinkedin.com+Halley+Toth+Academic+Advisor/Coordinator+of+Credit+Programs+and+Student+Services")</f>
        <v>https://www.google.com/search?newwindow=1&amp;ei=2MT0XrvGGM-vytMP1OyDgAY&amp;q=site%3Alinkedin.com+Halley+Toth+Academic+Advisor/Coordinator+of+Credit+Programs+and+Student+Services</v>
      </c>
      <c r="K1392" s="5" t="str">
        <f t="shared" si="1"/>
        <v>Halley Toth</v>
      </c>
      <c r="L1392" s="5" t="str">
        <f t="shared" si="2"/>
        <v>Academic Advisor/Coordinator of Credit Programs and Student Services</v>
      </c>
      <c r="M1392" s="5" t="str">
        <f t="shared" si="3"/>
        <v/>
      </c>
      <c r="N1392" s="5" t="str">
        <f t="shared" si="4"/>
        <v>University of Regina</v>
      </c>
      <c r="O1392" s="5" t="str">
        <f t="shared" si="5"/>
        <v>5 years 3 months in role and company</v>
      </c>
      <c r="P1392" s="5" t="str">
        <f t="shared" si="6"/>
        <v>Saskatoon</v>
      </c>
      <c r="Q1392" s="5" t="str">
        <f t="shared" si="7"/>
        <v>Saskatchewan</v>
      </c>
      <c r="R1392" s="5" t="str">
        <f t="shared" si="8"/>
        <v>Canada</v>
      </c>
    </row>
    <row r="1393">
      <c r="A1393" s="8" t="s">
        <v>8261</v>
      </c>
      <c r="B1393" s="12" t="s">
        <v>8262</v>
      </c>
      <c r="C1393" s="10" t="s">
        <v>8263</v>
      </c>
      <c r="D1393" s="10"/>
      <c r="E1393" s="10" t="s">
        <v>8264</v>
      </c>
      <c r="F1393" s="10" t="s">
        <v>68</v>
      </c>
      <c r="G1393" s="11" t="s">
        <v>8158</v>
      </c>
      <c r="H1393" s="11" t="s">
        <v>4638</v>
      </c>
      <c r="I1393" s="11" t="s">
        <v>4600</v>
      </c>
      <c r="J1393" s="9" t="str">
        <f>IFERROR(__xludf.DUMMYFUNCTION("""COMPUTED_VALUE"""),"https://www.google.com/search?newwindow=1&amp;ei=2MT0XrvGGM-vytMP1OyDgAY&amp;q=site%3Alinkedin.com+Melissa+Haugrud,+CPA,+CA+Campus+Recruiter")</f>
        <v>https://www.google.com/search?newwindow=1&amp;ei=2MT0XrvGGM-vytMP1OyDgAY&amp;q=site%3Alinkedin.com+Melissa+Haugrud,+CPA,+CA+Campus+Recruiter</v>
      </c>
      <c r="K1393" s="5" t="str">
        <f t="shared" si="1"/>
        <v>Melissa Haugrud, CPA, CA</v>
      </c>
      <c r="L1393" s="5" t="str">
        <f t="shared" si="2"/>
        <v>Campus Recruiter</v>
      </c>
      <c r="M1393" s="5" t="str">
        <f t="shared" si="3"/>
        <v/>
      </c>
      <c r="N1393" s="5" t="str">
        <f t="shared" si="4"/>
        <v>EY</v>
      </c>
      <c r="O1393" s="5" t="str">
        <f t="shared" si="5"/>
        <v>6 years 10 months in role and company</v>
      </c>
      <c r="P1393" s="5" t="str">
        <f t="shared" si="6"/>
        <v>Saskatoon</v>
      </c>
      <c r="Q1393" s="5" t="str">
        <f t="shared" si="7"/>
        <v>Saskatchewan</v>
      </c>
      <c r="R1393" s="5" t="str">
        <f t="shared" si="8"/>
        <v>Canada</v>
      </c>
    </row>
    <row r="1394">
      <c r="A1394" s="8" t="s">
        <v>8265</v>
      </c>
      <c r="B1394" s="12" t="s">
        <v>8266</v>
      </c>
      <c r="C1394" s="10" t="s">
        <v>8267</v>
      </c>
      <c r="D1394" s="10"/>
      <c r="E1394" s="10" t="s">
        <v>8268</v>
      </c>
      <c r="F1394" s="10" t="s">
        <v>734</v>
      </c>
      <c r="G1394" s="11" t="s">
        <v>8158</v>
      </c>
      <c r="H1394" s="11" t="s">
        <v>4638</v>
      </c>
      <c r="I1394" s="11" t="s">
        <v>4600</v>
      </c>
      <c r="J1394" s="9" t="str">
        <f>IFERROR(__xludf.DUMMYFUNCTION("""COMPUTED_VALUE"""),"https://www.google.com/search?newwindow=1&amp;ei=2MT0XrvGGM-vytMP1OyDgAY&amp;q=site%3Alinkedin.com+Sierra+Sealy+Domestic+Student+Recruiter+Assistant")</f>
        <v>https://www.google.com/search?newwindow=1&amp;ei=2MT0XrvGGM-vytMP1OyDgAY&amp;q=site%3Alinkedin.com+Sierra+Sealy+Domestic+Student+Recruiter+Assistant</v>
      </c>
      <c r="K1394" s="5" t="str">
        <f t="shared" si="1"/>
        <v>Sierra Sealy</v>
      </c>
      <c r="L1394" s="5" t="str">
        <f t="shared" si="2"/>
        <v>Domestic Student Recruiter Assistant</v>
      </c>
      <c r="M1394" s="5" t="str">
        <f t="shared" si="3"/>
        <v/>
      </c>
      <c r="N1394" s="5" t="str">
        <f t="shared" si="4"/>
        <v>Saskatchewan Polytechnic</v>
      </c>
      <c r="O1394" s="5" t="str">
        <f t="shared" si="5"/>
        <v>1 year 1 month in role and company</v>
      </c>
      <c r="P1394" s="5" t="str">
        <f t="shared" si="6"/>
        <v>Saskatoon</v>
      </c>
      <c r="Q1394" s="5" t="str">
        <f t="shared" si="7"/>
        <v>Saskatchewan</v>
      </c>
      <c r="R1394" s="5" t="str">
        <f t="shared" si="8"/>
        <v>Canada</v>
      </c>
    </row>
    <row r="1395">
      <c r="A1395" s="8" t="s">
        <v>8269</v>
      </c>
      <c r="B1395" s="10" t="s">
        <v>8270</v>
      </c>
      <c r="C1395" s="10" t="s">
        <v>8271</v>
      </c>
      <c r="D1395" s="14" t="s">
        <v>4</v>
      </c>
      <c r="E1395" s="10" t="s">
        <v>8272</v>
      </c>
      <c r="F1395" s="10" t="s">
        <v>136</v>
      </c>
      <c r="G1395" s="11" t="s">
        <v>8273</v>
      </c>
      <c r="H1395" s="11" t="s">
        <v>4757</v>
      </c>
      <c r="I1395" s="11" t="s">
        <v>4607</v>
      </c>
      <c r="J1395" s="9" t="str">
        <f>IFERROR(__xludf.DUMMYFUNCTION("""COMPUTED_VALUE"""),"https://www.google.com/search?newwindow=1&amp;ei=2MT0XrvGGM-vytMP1OyDgAY&amp;q=site%3Alinkedin.com+Ray+Escasa+Student+Recruiter")</f>
        <v>https://www.google.com/search?newwindow=1&amp;ei=2MT0XrvGGM-vytMP1OyDgAY&amp;q=site%3Alinkedin.com+Ray+Escasa+Student+Recruiter</v>
      </c>
      <c r="K1395" s="5" t="str">
        <f t="shared" si="1"/>
        <v>Ray Escasa</v>
      </c>
      <c r="L1395" s="5" t="str">
        <f t="shared" si="2"/>
        <v>Student Recruiter</v>
      </c>
      <c r="M1395" s="5" t="str">
        <f t="shared" si="3"/>
        <v/>
      </c>
      <c r="N1395" s="5" t="str">
        <f t="shared" si="4"/>
        <v>Sault College of Applied Arts &amp; Technology</v>
      </c>
      <c r="O1395" s="5" t="str">
        <f t="shared" si="5"/>
        <v>13 years 3 months in role and company</v>
      </c>
      <c r="P1395" s="5" t="str">
        <f t="shared" si="6"/>
        <v>Sault Ste. Marie</v>
      </c>
      <c r="Q1395" s="5" t="str">
        <f t="shared" si="7"/>
        <v>Ontario</v>
      </c>
      <c r="R1395" s="5" t="str">
        <f t="shared" si="8"/>
        <v>Canada</v>
      </c>
    </row>
    <row r="1396">
      <c r="A1396" s="8" t="s">
        <v>8274</v>
      </c>
      <c r="B1396" s="12" t="s">
        <v>8275</v>
      </c>
      <c r="C1396" s="10" t="s">
        <v>8276</v>
      </c>
      <c r="D1396" s="10"/>
      <c r="E1396" s="10" t="s">
        <v>8277</v>
      </c>
      <c r="F1396" s="10" t="s">
        <v>237</v>
      </c>
      <c r="G1396" s="11" t="s">
        <v>8273</v>
      </c>
      <c r="H1396" s="11" t="s">
        <v>4757</v>
      </c>
      <c r="I1396" s="11" t="s">
        <v>4607</v>
      </c>
      <c r="J1396" s="9" t="str">
        <f>IFERROR(__xludf.DUMMYFUNCTION("""COMPUTED_VALUE"""),"https://www.google.com/search?newwindow=1&amp;ei=2MT0XrvGGM-vytMP1OyDgAY&amp;q=site%3Alinkedin.com+Michael+Wager+Front+End+Supervisor")</f>
        <v>https://www.google.com/search?newwindow=1&amp;ei=2MT0XrvGGM-vytMP1OyDgAY&amp;q=site%3Alinkedin.com+Michael+Wager+Front+End+Supervisor</v>
      </c>
      <c r="K1396" s="5" t="str">
        <f t="shared" si="1"/>
        <v>Michael Wager</v>
      </c>
      <c r="L1396" s="5" t="str">
        <f t="shared" si="2"/>
        <v>Front End Supervisor</v>
      </c>
      <c r="M1396" s="5" t="str">
        <f t="shared" si="3"/>
        <v/>
      </c>
      <c r="N1396" s="5" t="str">
        <f t="shared" si="4"/>
        <v>Target</v>
      </c>
      <c r="O1396" s="5" t="str">
        <f t="shared" si="5"/>
        <v>2 years 4 months in role and company</v>
      </c>
      <c r="P1396" s="5" t="str">
        <f t="shared" si="6"/>
        <v>Schenectady</v>
      </c>
      <c r="Q1396" s="5" t="str">
        <f t="shared" si="7"/>
        <v>New York</v>
      </c>
      <c r="R1396" s="5" t="str">
        <f t="shared" si="8"/>
        <v>United States</v>
      </c>
    </row>
    <row r="1397">
      <c r="A1397" s="8" t="s">
        <v>8278</v>
      </c>
      <c r="B1397" s="10" t="s">
        <v>8279</v>
      </c>
      <c r="C1397" s="10" t="s">
        <v>4749</v>
      </c>
      <c r="D1397" s="10"/>
      <c r="E1397" s="10" t="s">
        <v>4701</v>
      </c>
      <c r="F1397" s="10" t="s">
        <v>136</v>
      </c>
      <c r="G1397" s="11" t="s">
        <v>1965</v>
      </c>
      <c r="H1397" s="11" t="s">
        <v>44</v>
      </c>
      <c r="I1397" s="11" t="s">
        <v>18</v>
      </c>
      <c r="J1397" s="9" t="str">
        <f>IFERROR(__xludf.DUMMYFUNCTION("""COMPUTED_VALUE"""),"https://www.google.com/search?newwindow=1&amp;ei=2MT0XrvGGM-vytMP1OyDgAY&amp;q=site%3Alinkedin.com+Jade+Gingras+Campus+Recruiting+Specialist")</f>
        <v>https://www.google.com/search?newwindow=1&amp;ei=2MT0XrvGGM-vytMP1OyDgAY&amp;q=site%3Alinkedin.com+Jade+Gingras+Campus+Recruiting+Specialist</v>
      </c>
      <c r="K1397" s="5" t="str">
        <f t="shared" si="1"/>
        <v>Jade Gingras</v>
      </c>
      <c r="L1397" s="5" t="str">
        <f t="shared" si="2"/>
        <v>Campus Recruiting Specialist</v>
      </c>
      <c r="M1397" s="5" t="str">
        <f t="shared" si="3"/>
        <v/>
      </c>
      <c r="N1397" s="5" t="str">
        <f t="shared" si="4"/>
        <v>Deloitte</v>
      </c>
      <c r="O1397" s="5" t="str">
        <f t="shared" si="5"/>
        <v>1 year 4 months in role and company</v>
      </c>
      <c r="P1397" s="5" t="str">
        <f t="shared" si="6"/>
        <v>Scottsdale</v>
      </c>
      <c r="Q1397" s="5" t="str">
        <f t="shared" si="7"/>
        <v>Arizona</v>
      </c>
      <c r="R1397" s="5" t="str">
        <f t="shared" si="8"/>
        <v>United States</v>
      </c>
    </row>
    <row r="1398">
      <c r="A1398" s="8" t="s">
        <v>8280</v>
      </c>
      <c r="B1398" s="10" t="s">
        <v>8281</v>
      </c>
      <c r="C1398" s="10" t="s">
        <v>8282</v>
      </c>
      <c r="D1398" s="10"/>
      <c r="E1398" s="10" t="s">
        <v>8283</v>
      </c>
      <c r="F1398" s="10" t="s">
        <v>418</v>
      </c>
      <c r="G1398" s="11" t="s">
        <v>8284</v>
      </c>
      <c r="H1398" s="11" t="s">
        <v>4618</v>
      </c>
      <c r="I1398" s="11" t="s">
        <v>4619</v>
      </c>
      <c r="J1398" s="9" t="str">
        <f>IFERROR(__xludf.DUMMYFUNCTION("""COMPUTED_VALUE"""),"https://www.google.com/search?newwindow=1&amp;ei=2MT0XrvGGM-vytMP1OyDgAY&amp;q=site%3Alinkedin.com+Naomi+Kim+Campus+Recruiting+Manager")</f>
        <v>https://www.google.com/search?newwindow=1&amp;ei=2MT0XrvGGM-vytMP1OyDgAY&amp;q=site%3Alinkedin.com+Naomi+Kim+Campus+Recruiting+Manager</v>
      </c>
      <c r="K1398" s="5" t="str">
        <f t="shared" si="1"/>
        <v>Naomi Kim</v>
      </c>
      <c r="L1398" s="5" t="str">
        <f t="shared" si="2"/>
        <v>Campus Recruiting Manager</v>
      </c>
      <c r="M1398" s="5" t="str">
        <f t="shared" si="3"/>
        <v/>
      </c>
      <c r="N1398" s="5" t="str">
        <f t="shared" si="4"/>
        <v>KPMG US</v>
      </c>
      <c r="O1398" s="5" t="str">
        <f t="shared" si="5"/>
        <v>1 year 10 months in role</v>
      </c>
      <c r="P1398" s="5" t="str">
        <f t="shared" si="6"/>
        <v>Seattle</v>
      </c>
      <c r="Q1398" s="5" t="str">
        <f t="shared" si="7"/>
        <v>Washington</v>
      </c>
      <c r="R1398" s="5" t="str">
        <f t="shared" si="8"/>
        <v>United States</v>
      </c>
    </row>
    <row r="1399">
      <c r="A1399" s="8" t="s">
        <v>8285</v>
      </c>
      <c r="B1399" s="10" t="s">
        <v>8286</v>
      </c>
      <c r="C1399" s="10" t="s">
        <v>4749</v>
      </c>
      <c r="D1399" s="10"/>
      <c r="E1399" s="10" t="s">
        <v>1233</v>
      </c>
      <c r="F1399" s="10" t="s">
        <v>7195</v>
      </c>
      <c r="G1399" s="11" t="s">
        <v>8287</v>
      </c>
      <c r="H1399" s="11" t="s">
        <v>96</v>
      </c>
      <c r="I1399" s="11" t="s">
        <v>18</v>
      </c>
      <c r="J1399" s="9" t="str">
        <f>IFERROR(__xludf.DUMMYFUNCTION("""COMPUTED_VALUE"""),"https://www.google.com/search?newwindow=1&amp;ei=2MT0XrvGGM-vytMP1OyDgAY&amp;q=site%3Alinkedin.com+Siobhan+Loyd+Lead+Campus+Recruiting+Specialist")</f>
        <v>https://www.google.com/search?newwindow=1&amp;ei=2MT0XrvGGM-vytMP1OyDgAY&amp;q=site%3Alinkedin.com+Siobhan+Loyd+Lead+Campus+Recruiting+Specialist</v>
      </c>
      <c r="K1399" s="5" t="str">
        <f t="shared" si="1"/>
        <v>Siobhan Loyd</v>
      </c>
      <c r="L1399" s="5" t="str">
        <f t="shared" si="2"/>
        <v>Lead Campus Recruiting Specialist</v>
      </c>
      <c r="M1399" s="5" t="str">
        <f t="shared" si="3"/>
        <v/>
      </c>
      <c r="N1399" s="5" t="str">
        <f t="shared" si="4"/>
        <v>Deloitte</v>
      </c>
      <c r="O1399" s="5" t="str">
        <f t="shared" si="5"/>
        <v>1 year 3 months in role</v>
      </c>
      <c r="P1399" s="5" t="str">
        <f t="shared" si="6"/>
        <v>Seattle</v>
      </c>
      <c r="Q1399" s="5" t="str">
        <f t="shared" si="7"/>
        <v>Washington</v>
      </c>
      <c r="R1399" s="5" t="str">
        <f t="shared" si="8"/>
        <v>United States</v>
      </c>
    </row>
    <row r="1400">
      <c r="A1400" s="8" t="s">
        <v>8288</v>
      </c>
      <c r="B1400" s="12" t="s">
        <v>8289</v>
      </c>
      <c r="C1400" s="10" t="s">
        <v>8290</v>
      </c>
      <c r="D1400" s="10"/>
      <c r="E1400" s="10" t="s">
        <v>8291</v>
      </c>
      <c r="F1400" s="10" t="s">
        <v>832</v>
      </c>
      <c r="G1400" s="11" t="s">
        <v>8292</v>
      </c>
      <c r="H1400" s="11" t="s">
        <v>4638</v>
      </c>
      <c r="I1400" s="11" t="s">
        <v>4600</v>
      </c>
      <c r="J1400" s="9" t="str">
        <f>IFERROR(__xludf.DUMMYFUNCTION("""COMPUTED_VALUE"""),"https://www.google.com/search?newwindow=1&amp;ei=2MT0XrvGGM-vytMP1OyDgAY&amp;q=site%3Alinkedin.com+Katey+Thomson+Recruiter,+Student+Programs")</f>
        <v>https://www.google.com/search?newwindow=1&amp;ei=2MT0XrvGGM-vytMP1OyDgAY&amp;q=site%3Alinkedin.com+Katey+Thomson+Recruiter,+Student+Programs</v>
      </c>
      <c r="K1400" s="5" t="str">
        <f t="shared" si="1"/>
        <v>Katey Thomson</v>
      </c>
      <c r="L1400" s="5" t="str">
        <f t="shared" si="2"/>
        <v>Recruiter, Student Programs</v>
      </c>
      <c r="M1400" s="5" t="str">
        <f t="shared" si="3"/>
        <v/>
      </c>
      <c r="N1400" s="5" t="str">
        <f t="shared" si="4"/>
        <v>Amazon</v>
      </c>
      <c r="O1400" s="5" t="str">
        <f t="shared" si="5"/>
        <v>11 months in role and company</v>
      </c>
      <c r="P1400" s="5" t="str">
        <f t="shared" si="6"/>
        <v>Seattle</v>
      </c>
      <c r="Q1400" s="5" t="str">
        <f t="shared" si="7"/>
        <v>Washington</v>
      </c>
      <c r="R1400" s="5" t="str">
        <f t="shared" si="8"/>
        <v>United States</v>
      </c>
    </row>
    <row r="1401">
      <c r="A1401" s="8" t="s">
        <v>8293</v>
      </c>
      <c r="B1401" s="12" t="s">
        <v>8294</v>
      </c>
      <c r="C1401" s="10" t="s">
        <v>8295</v>
      </c>
      <c r="D1401" s="10"/>
      <c r="E1401" s="10" t="s">
        <v>8296</v>
      </c>
      <c r="F1401" s="10" t="s">
        <v>165</v>
      </c>
      <c r="G1401" s="13" t="s">
        <v>8297</v>
      </c>
      <c r="H1401" s="13" t="s">
        <v>8298</v>
      </c>
      <c r="I1401" s="13" t="s">
        <v>4619</v>
      </c>
      <c r="J1401" s="9" t="str">
        <f>IFERROR(__xludf.DUMMYFUNCTION("""COMPUTED_VALUE"""),"https://www.google.com/search?newwindow=1&amp;ei=2MT0XrvGGM-vytMP1OyDgAY&amp;q=site%3Alinkedin.com+Eddie+Garcilazo+Technical+Recruiter+l+University+Recruitment")</f>
        <v>https://www.google.com/search?newwindow=1&amp;ei=2MT0XrvGGM-vytMP1OyDgAY&amp;q=site%3Alinkedin.com+Eddie+Garcilazo+Technical+Recruiter+l+University+Recruitment</v>
      </c>
      <c r="K1401" s="5" t="str">
        <f t="shared" si="1"/>
        <v>Eddie Garcilazo</v>
      </c>
      <c r="L1401" s="5" t="str">
        <f t="shared" si="2"/>
        <v>Technical Recruiter l University Recruitment</v>
      </c>
      <c r="M1401" s="5" t="str">
        <f t="shared" si="3"/>
        <v/>
      </c>
      <c r="N1401" s="5" t="str">
        <f t="shared" si="4"/>
        <v>Microsoft</v>
      </c>
      <c r="O1401" s="5" t="str">
        <f t="shared" si="5"/>
        <v>3 months in role and company</v>
      </c>
      <c r="P1401" s="5" t="str">
        <f t="shared" si="6"/>
        <v>Seattle</v>
      </c>
      <c r="Q1401" s="5" t="str">
        <f t="shared" si="7"/>
        <v>Washington</v>
      </c>
      <c r="R1401" s="5" t="str">
        <f t="shared" si="8"/>
        <v>United States</v>
      </c>
    </row>
    <row r="1402">
      <c r="A1402" s="8" t="s">
        <v>8299</v>
      </c>
      <c r="B1402" s="12" t="s">
        <v>8300</v>
      </c>
      <c r="C1402" s="10" t="s">
        <v>25</v>
      </c>
      <c r="D1402" s="10"/>
      <c r="E1402" s="10" t="s">
        <v>4701</v>
      </c>
      <c r="F1402" s="10" t="s">
        <v>651</v>
      </c>
      <c r="G1402" s="13" t="s">
        <v>8297</v>
      </c>
      <c r="H1402" s="13" t="s">
        <v>8298</v>
      </c>
      <c r="I1402" s="13" t="s">
        <v>4619</v>
      </c>
      <c r="J1402" s="9" t="str">
        <f>IFERROR(__xludf.DUMMYFUNCTION("""COMPUTED_VALUE"""),"https://www.google.com/search?newwindow=1&amp;ei=2MT0XrvGGM-vytMP1OyDgAY&amp;q=site%3Alinkedin.com+Lidia+Hernandez+Recruiter+|+Student+Programs")</f>
        <v>https://www.google.com/search?newwindow=1&amp;ei=2MT0XrvGGM-vytMP1OyDgAY&amp;q=site%3Alinkedin.com+Lidia+Hernandez+Recruiter+|+Student+Programs</v>
      </c>
      <c r="K1402" s="5" t="str">
        <f t="shared" si="1"/>
        <v>Lidia Hernandez</v>
      </c>
      <c r="L1402" s="5" t="str">
        <f t="shared" si="2"/>
        <v>Recruiter | Student Programs</v>
      </c>
      <c r="M1402" s="5" t="str">
        <f t="shared" si="3"/>
        <v/>
      </c>
      <c r="N1402" s="5" t="str">
        <f t="shared" si="4"/>
        <v>Amazon</v>
      </c>
      <c r="O1402" s="5" t="str">
        <f t="shared" si="5"/>
        <v>1 year 7 months in role and company</v>
      </c>
      <c r="P1402" s="5" t="str">
        <f t="shared" si="6"/>
        <v>Seattle</v>
      </c>
      <c r="Q1402" s="5" t="str">
        <f t="shared" si="7"/>
        <v>Washington</v>
      </c>
      <c r="R1402" s="5" t="str">
        <f t="shared" si="8"/>
        <v>United States</v>
      </c>
    </row>
    <row r="1403">
      <c r="A1403" s="8" t="s">
        <v>8301</v>
      </c>
      <c r="B1403" s="10" t="s">
        <v>8302</v>
      </c>
      <c r="C1403" s="10" t="s">
        <v>8303</v>
      </c>
      <c r="D1403" s="10"/>
      <c r="E1403" s="10" t="s">
        <v>8304</v>
      </c>
      <c r="F1403" s="10" t="s">
        <v>74</v>
      </c>
      <c r="G1403" s="13" t="s">
        <v>8297</v>
      </c>
      <c r="H1403" s="13" t="s">
        <v>8298</v>
      </c>
      <c r="I1403" s="13" t="s">
        <v>4619</v>
      </c>
      <c r="J1403" s="9" t="str">
        <f>IFERROR(__xludf.DUMMYFUNCTION("""COMPUTED_VALUE"""),"https://www.google.com/search?newwindow=1&amp;ei=2MT0XrvGGM-vytMP1OyDgAY&amp;q=site%3Alinkedin.com+Alexandria+Balivet-Brown+Graduate+Research+Recruiter,+Student+Programs")</f>
        <v>https://www.google.com/search?newwindow=1&amp;ei=2MT0XrvGGM-vytMP1OyDgAY&amp;q=site%3Alinkedin.com+Alexandria+Balivet-Brown+Graduate+Research+Recruiter,+Student+Programs</v>
      </c>
      <c r="K1403" s="5" t="str">
        <f t="shared" si="1"/>
        <v>Alexandria Balivet-Brown</v>
      </c>
      <c r="L1403" s="5" t="str">
        <f t="shared" si="2"/>
        <v>Graduate Research Recruiter, Student Programs</v>
      </c>
      <c r="M1403" s="5" t="str">
        <f t="shared" si="3"/>
        <v/>
      </c>
      <c r="N1403" s="5" t="str">
        <f t="shared" si="4"/>
        <v>Amazon</v>
      </c>
      <c r="O1403" s="5" t="str">
        <f t="shared" si="5"/>
        <v>1 year 3 months in role</v>
      </c>
      <c r="P1403" s="5" t="str">
        <f t="shared" si="6"/>
        <v>Seattle</v>
      </c>
      <c r="Q1403" s="5" t="str">
        <f t="shared" si="7"/>
        <v>Washington</v>
      </c>
      <c r="R1403" s="5" t="str">
        <f t="shared" si="8"/>
        <v>United States</v>
      </c>
    </row>
    <row r="1404">
      <c r="A1404" s="8" t="s">
        <v>8305</v>
      </c>
      <c r="B1404" s="12" t="s">
        <v>8306</v>
      </c>
      <c r="C1404" s="10" t="s">
        <v>8307</v>
      </c>
      <c r="D1404" s="10"/>
      <c r="E1404" s="10" t="s">
        <v>8308</v>
      </c>
      <c r="F1404" s="10" t="s">
        <v>8309</v>
      </c>
      <c r="G1404" s="13" t="s">
        <v>8297</v>
      </c>
      <c r="H1404" s="13" t="s">
        <v>8298</v>
      </c>
      <c r="I1404" s="13" t="s">
        <v>4619</v>
      </c>
      <c r="J1404" s="9" t="str">
        <f>IFERROR(__xludf.DUMMYFUNCTION("""COMPUTED_VALUE"""),"https://www.google.com/search?newwindow=1&amp;ei=2MT0XrvGGM-vytMP1OyDgAY&amp;q=site%3Alinkedin.com+Erin+Waldschmidt+Recruiter,+Student+Programs")</f>
        <v>https://www.google.com/search?newwindow=1&amp;ei=2MT0XrvGGM-vytMP1OyDgAY&amp;q=site%3Alinkedin.com+Erin+Waldschmidt+Recruiter,+Student+Programs</v>
      </c>
      <c r="K1404" s="5" t="str">
        <f t="shared" si="1"/>
        <v>Erin Waldschmidt</v>
      </c>
      <c r="L1404" s="5" t="str">
        <f t="shared" si="2"/>
        <v>Recruiter, Student Programs</v>
      </c>
      <c r="M1404" s="5" t="str">
        <f t="shared" si="3"/>
        <v/>
      </c>
      <c r="N1404" s="5" t="str">
        <f t="shared" si="4"/>
        <v>Amazon</v>
      </c>
      <c r="O1404" s="5" t="str">
        <f t="shared" si="5"/>
        <v>1 year 1 month in role and company</v>
      </c>
      <c r="P1404" s="5" t="str">
        <f t="shared" si="6"/>
        <v>Seattle</v>
      </c>
      <c r="Q1404" s="5" t="str">
        <f t="shared" si="7"/>
        <v>Washington</v>
      </c>
      <c r="R1404" s="5" t="str">
        <f t="shared" si="8"/>
        <v>United States</v>
      </c>
    </row>
    <row r="1405">
      <c r="A1405" s="8" t="s">
        <v>8310</v>
      </c>
      <c r="B1405" s="10" t="s">
        <v>8311</v>
      </c>
      <c r="C1405" s="10" t="s">
        <v>7288</v>
      </c>
      <c r="D1405" s="10"/>
      <c r="E1405" s="10" t="s">
        <v>5367</v>
      </c>
      <c r="F1405" s="10" t="s">
        <v>15</v>
      </c>
      <c r="G1405" s="11" t="s">
        <v>8312</v>
      </c>
      <c r="H1405" s="11" t="s">
        <v>4638</v>
      </c>
      <c r="I1405" s="11" t="s">
        <v>4600</v>
      </c>
      <c r="J1405" s="9" t="str">
        <f>IFERROR(__xludf.DUMMYFUNCTION("""COMPUTED_VALUE"""),"https://www.google.com/search?newwindow=1&amp;ei=2MT0XrvGGM-vytMP1OyDgAY&amp;q=site%3Alinkedin.com+Kristina+Young+Recruiter,+Student+Programs")</f>
        <v>https://www.google.com/search?newwindow=1&amp;ei=2MT0XrvGGM-vytMP1OyDgAY&amp;q=site%3Alinkedin.com+Kristina+Young+Recruiter,+Student+Programs</v>
      </c>
      <c r="K1405" s="5" t="str">
        <f t="shared" si="1"/>
        <v>Kristina Young</v>
      </c>
      <c r="L1405" s="5" t="str">
        <f t="shared" si="2"/>
        <v>Recruiter, Student Programs</v>
      </c>
      <c r="M1405" s="5" t="str">
        <f t="shared" si="3"/>
        <v/>
      </c>
      <c r="N1405" s="5" t="str">
        <f t="shared" si="4"/>
        <v>Amazon</v>
      </c>
      <c r="O1405" s="5" t="str">
        <f t="shared" si="5"/>
        <v>1 year 1 month in role and company</v>
      </c>
      <c r="P1405" s="5" t="str">
        <f t="shared" si="6"/>
        <v>Seattle</v>
      </c>
      <c r="Q1405" s="5" t="str">
        <f t="shared" si="7"/>
        <v>Washington</v>
      </c>
      <c r="R1405" s="5" t="str">
        <f t="shared" si="8"/>
        <v>United States</v>
      </c>
    </row>
    <row r="1406">
      <c r="A1406" s="8" t="s">
        <v>8313</v>
      </c>
      <c r="B1406" s="12" t="s">
        <v>8314</v>
      </c>
      <c r="C1406" s="10" t="s">
        <v>8315</v>
      </c>
      <c r="D1406" s="10"/>
      <c r="E1406" s="10" t="s">
        <v>8316</v>
      </c>
      <c r="F1406" s="10" t="s">
        <v>5038</v>
      </c>
      <c r="G1406" s="11" t="s">
        <v>8312</v>
      </c>
      <c r="H1406" s="11" t="s">
        <v>4757</v>
      </c>
      <c r="I1406" s="11" t="s">
        <v>4607</v>
      </c>
      <c r="J1406" s="9" t="str">
        <f>IFERROR(__xludf.DUMMYFUNCTION("""COMPUTED_VALUE"""),"https://www.google.com/search?newwindow=1&amp;ei=2MT0XrvGGM-vytMP1OyDgAY&amp;q=site%3Alinkedin.com+Sarah+Chun-Hoon+Recruiter,+Student+Programs")</f>
        <v>https://www.google.com/search?newwindow=1&amp;ei=2MT0XrvGGM-vytMP1OyDgAY&amp;q=site%3Alinkedin.com+Sarah+Chun-Hoon+Recruiter,+Student+Programs</v>
      </c>
      <c r="K1406" s="5" t="str">
        <f t="shared" si="1"/>
        <v>Sarah Chun-Hoon</v>
      </c>
      <c r="L1406" s="5" t="str">
        <f t="shared" si="2"/>
        <v>Recruiter, Student Programs</v>
      </c>
      <c r="M1406" s="5" t="str">
        <f t="shared" si="3"/>
        <v/>
      </c>
      <c r="N1406" s="5" t="str">
        <f t="shared" si="4"/>
        <v>Amazon</v>
      </c>
      <c r="O1406" s="5" t="str">
        <f t="shared" si="5"/>
        <v>10 months in role and company</v>
      </c>
      <c r="P1406" s="5" t="str">
        <f t="shared" si="6"/>
        <v>Seattle</v>
      </c>
      <c r="Q1406" s="5" t="str">
        <f t="shared" si="7"/>
        <v>Washington</v>
      </c>
      <c r="R1406" s="5" t="str">
        <f t="shared" si="8"/>
        <v>United States</v>
      </c>
    </row>
    <row r="1407">
      <c r="A1407" s="8" t="s">
        <v>8317</v>
      </c>
      <c r="B1407" s="12" t="s">
        <v>8318</v>
      </c>
      <c r="C1407" s="10" t="s">
        <v>8319</v>
      </c>
      <c r="D1407" s="10"/>
      <c r="E1407" s="10" t="s">
        <v>5367</v>
      </c>
      <c r="F1407" s="10" t="s">
        <v>2757</v>
      </c>
      <c r="G1407" s="11" t="s">
        <v>8312</v>
      </c>
      <c r="H1407" s="11" t="s">
        <v>4638</v>
      </c>
      <c r="I1407" s="11" t="s">
        <v>4600</v>
      </c>
      <c r="J1407" s="9" t="str">
        <f>IFERROR(__xludf.DUMMYFUNCTION("""COMPUTED_VALUE"""),"https://www.google.com/search?newwindow=1&amp;ei=2MT0XrvGGM-vytMP1OyDgAY&amp;q=site%3Alinkedin.com+Erin+Creighton+Technical+University+Recruiter")</f>
        <v>https://www.google.com/search?newwindow=1&amp;ei=2MT0XrvGGM-vytMP1OyDgAY&amp;q=site%3Alinkedin.com+Erin+Creighton+Technical+University+Recruiter</v>
      </c>
      <c r="K1407" s="5" t="str">
        <f t="shared" si="1"/>
        <v>Erin Creighton</v>
      </c>
      <c r="L1407" s="5" t="str">
        <f t="shared" si="2"/>
        <v>Technical University Recruiter</v>
      </c>
      <c r="M1407" s="5" t="str">
        <f t="shared" si="3"/>
        <v/>
      </c>
      <c r="N1407" s="5" t="str">
        <f t="shared" si="4"/>
        <v>Microsoft</v>
      </c>
      <c r="O1407" s="5" t="str">
        <f t="shared" si="5"/>
        <v>3 years 10 months in role</v>
      </c>
      <c r="P1407" s="5" t="str">
        <f t="shared" si="6"/>
        <v>Seattle</v>
      </c>
      <c r="Q1407" s="5" t="str">
        <f t="shared" si="7"/>
        <v>Washington</v>
      </c>
      <c r="R1407" s="5" t="str">
        <f t="shared" si="8"/>
        <v>United States</v>
      </c>
    </row>
    <row r="1408">
      <c r="A1408" s="8" t="s">
        <v>8320</v>
      </c>
      <c r="B1408" s="10" t="s">
        <v>3251</v>
      </c>
      <c r="C1408" s="10" t="s">
        <v>3252</v>
      </c>
      <c r="D1408" s="10"/>
      <c r="E1408" s="10" t="s">
        <v>3208</v>
      </c>
      <c r="F1408" s="10" t="s">
        <v>149</v>
      </c>
      <c r="G1408" s="11" t="s">
        <v>3253</v>
      </c>
      <c r="H1408" s="11" t="s">
        <v>86</v>
      </c>
      <c r="I1408" s="11" t="s">
        <v>18</v>
      </c>
      <c r="J1408" s="9" t="str">
        <f>IFERROR(__xludf.DUMMYFUNCTION("""COMPUTED_VALUE"""),"https://www.google.com/search?newwindow=1&amp;ei=2MT0XrvGGM-vytMP1OyDgAY&amp;q=site%3Alinkedin.com+Channa+Palmer+Program+Manager,+Student+Programs")</f>
        <v>https://www.google.com/search?newwindow=1&amp;ei=2MT0XrvGGM-vytMP1OyDgAY&amp;q=site%3Alinkedin.com+Channa+Palmer+Program+Manager,+Student+Programs</v>
      </c>
      <c r="K1408" s="5" t="str">
        <f t="shared" si="1"/>
        <v>Channa Palmer</v>
      </c>
      <c r="L1408" s="5" t="str">
        <f t="shared" si="2"/>
        <v>Program Manager, Student Programs</v>
      </c>
      <c r="M1408" s="5" t="str">
        <f t="shared" si="3"/>
        <v/>
      </c>
      <c r="N1408" s="5" t="str">
        <f t="shared" si="4"/>
        <v>Amazon</v>
      </c>
      <c r="O1408" s="5" t="str">
        <f t="shared" si="5"/>
        <v>2 years 3 months in role</v>
      </c>
      <c r="P1408" s="5" t="str">
        <f t="shared" si="6"/>
        <v>Seattle</v>
      </c>
      <c r="Q1408" s="5" t="str">
        <f t="shared" si="7"/>
        <v>Washington</v>
      </c>
      <c r="R1408" s="5" t="str">
        <f t="shared" si="8"/>
        <v>United States</v>
      </c>
    </row>
    <row r="1409">
      <c r="A1409" s="8" t="s">
        <v>8321</v>
      </c>
      <c r="B1409" s="10" t="s">
        <v>3128</v>
      </c>
      <c r="C1409" s="10" t="s">
        <v>3129</v>
      </c>
      <c r="D1409" s="10"/>
      <c r="E1409" s="10" t="s">
        <v>3090</v>
      </c>
      <c r="F1409" s="10" t="s">
        <v>579</v>
      </c>
      <c r="G1409" s="11" t="s">
        <v>153</v>
      </c>
      <c r="H1409" s="11" t="s">
        <v>154</v>
      </c>
      <c r="I1409" s="11" t="s">
        <v>18</v>
      </c>
      <c r="J1409" s="9" t="str">
        <f>IFERROR(__xludf.DUMMYFUNCTION("""COMPUTED_VALUE"""),"https://www.google.com/search?newwindow=1&amp;ei=2MT0XrvGGM-vytMP1OyDgAY&amp;q=site%3Alinkedin.com+Megan+Taylor,+SHRM-CP+Recruiter,+Student+Programs")</f>
        <v>https://www.google.com/search?newwindow=1&amp;ei=2MT0XrvGGM-vytMP1OyDgAY&amp;q=site%3Alinkedin.com+Megan+Taylor,+SHRM-CP+Recruiter,+Student+Programs</v>
      </c>
      <c r="K1409" s="5" t="str">
        <f t="shared" si="1"/>
        <v>Megan Taylor, SHRM-CP</v>
      </c>
      <c r="L1409" s="5" t="str">
        <f t="shared" si="2"/>
        <v>Recruiter, Student Programs</v>
      </c>
      <c r="M1409" s="5" t="str">
        <f t="shared" si="3"/>
        <v/>
      </c>
      <c r="N1409" s="5" t="str">
        <f t="shared" si="4"/>
        <v>Amazon</v>
      </c>
      <c r="O1409" s="5" t="str">
        <f t="shared" si="5"/>
        <v>11 months in role and company</v>
      </c>
      <c r="P1409" s="5" t="str">
        <f t="shared" si="6"/>
        <v>Seattle</v>
      </c>
      <c r="Q1409" s="5" t="str">
        <f t="shared" si="7"/>
        <v>Washington</v>
      </c>
      <c r="R1409" s="5" t="str">
        <f t="shared" si="8"/>
        <v>United States</v>
      </c>
    </row>
    <row r="1410">
      <c r="A1410" s="8" t="s">
        <v>8322</v>
      </c>
      <c r="B1410" s="12" t="s">
        <v>8323</v>
      </c>
      <c r="C1410" s="10" t="s">
        <v>4674</v>
      </c>
      <c r="D1410" s="10"/>
      <c r="E1410" s="10" t="s">
        <v>1233</v>
      </c>
      <c r="F1410" s="10" t="s">
        <v>192</v>
      </c>
      <c r="G1410" s="11" t="s">
        <v>153</v>
      </c>
      <c r="H1410" s="11" t="s">
        <v>154</v>
      </c>
      <c r="I1410" s="11" t="s">
        <v>18</v>
      </c>
      <c r="J1410" s="9" t="str">
        <f>IFERROR(__xludf.DUMMYFUNCTION("""COMPUTED_VALUE"""),"https://www.google.com/search?newwindow=1&amp;ei=2MT0XrvGGM-vytMP1OyDgAY&amp;q=site%3Alinkedin.com+Amy+Siebenthaler+Technical+PhD+Recruiter+|+University+Recruitment")</f>
        <v>https://www.google.com/search?newwindow=1&amp;ei=2MT0XrvGGM-vytMP1OyDgAY&amp;q=site%3Alinkedin.com+Amy+Siebenthaler+Technical+PhD+Recruiter+|+University+Recruitment</v>
      </c>
      <c r="K1410" s="5" t="str">
        <f t="shared" si="1"/>
        <v>Amy Siebenthaler</v>
      </c>
      <c r="L1410" s="5" t="str">
        <f t="shared" si="2"/>
        <v>Technical PhD Recruiter | University Recruitment</v>
      </c>
      <c r="M1410" s="5" t="str">
        <f t="shared" si="3"/>
        <v/>
      </c>
      <c r="N1410" s="5" t="str">
        <f t="shared" si="4"/>
        <v>Microsoft</v>
      </c>
      <c r="O1410" s="5" t="str">
        <f t="shared" si="5"/>
        <v>2 years 11 months in role</v>
      </c>
      <c r="P1410" s="5" t="str">
        <f t="shared" si="6"/>
        <v>Seattle</v>
      </c>
      <c r="Q1410" s="5" t="str">
        <f t="shared" si="7"/>
        <v>Washington</v>
      </c>
      <c r="R1410" s="5" t="str">
        <f t="shared" si="8"/>
        <v>United States</v>
      </c>
    </row>
    <row r="1411">
      <c r="A1411" s="8" t="s">
        <v>8324</v>
      </c>
      <c r="B1411" s="10" t="s">
        <v>8325</v>
      </c>
      <c r="C1411" s="10" t="s">
        <v>4934</v>
      </c>
      <c r="D1411" s="10"/>
      <c r="E1411" s="10" t="s">
        <v>2839</v>
      </c>
      <c r="F1411" s="10" t="s">
        <v>512</v>
      </c>
      <c r="G1411" s="11" t="s">
        <v>153</v>
      </c>
      <c r="H1411" s="11" t="s">
        <v>154</v>
      </c>
      <c r="I1411" s="11" t="s">
        <v>18</v>
      </c>
      <c r="J1411" s="9" t="str">
        <f>IFERROR(__xludf.DUMMYFUNCTION("""COMPUTED_VALUE"""),"https://www.google.com/search?newwindow=1&amp;ei=2MT0XrvGGM-vytMP1OyDgAY&amp;q=site%3Alinkedin.com+Sophie+DiDonato+Recruiter+II+-+Student+Programs")</f>
        <v>https://www.google.com/search?newwindow=1&amp;ei=2MT0XrvGGM-vytMP1OyDgAY&amp;q=site%3Alinkedin.com+Sophie+DiDonato+Recruiter+II+-+Student+Programs</v>
      </c>
      <c r="K1411" s="5" t="str">
        <f t="shared" si="1"/>
        <v>Sophie DiDonato</v>
      </c>
      <c r="L1411" s="5" t="str">
        <f t="shared" si="2"/>
        <v>Recruiter II - Student Programs</v>
      </c>
      <c r="M1411" s="5" t="str">
        <f t="shared" si="3"/>
        <v/>
      </c>
      <c r="N1411" s="5" t="str">
        <f t="shared" si="4"/>
        <v>Amazon</v>
      </c>
      <c r="O1411" s="5" t="str">
        <f t="shared" si="5"/>
        <v>4 months in role</v>
      </c>
      <c r="P1411" s="5" t="str">
        <f t="shared" si="6"/>
        <v>Seattle</v>
      </c>
      <c r="Q1411" s="5" t="str">
        <f t="shared" si="7"/>
        <v>Washington</v>
      </c>
      <c r="R1411" s="5" t="str">
        <f t="shared" si="8"/>
        <v>United States</v>
      </c>
    </row>
    <row r="1412">
      <c r="A1412" s="8" t="s">
        <v>8326</v>
      </c>
      <c r="B1412" s="12" t="s">
        <v>8327</v>
      </c>
      <c r="C1412" s="10" t="s">
        <v>4879</v>
      </c>
      <c r="D1412" s="10"/>
      <c r="E1412" s="10" t="s">
        <v>4659</v>
      </c>
      <c r="F1412" s="10" t="s">
        <v>283</v>
      </c>
      <c r="G1412" s="11" t="s">
        <v>153</v>
      </c>
      <c r="H1412" s="11" t="s">
        <v>154</v>
      </c>
      <c r="I1412" s="11" t="s">
        <v>18</v>
      </c>
      <c r="J1412" s="9" t="str">
        <f>IFERROR(__xludf.DUMMYFUNCTION("""COMPUTED_VALUE"""),"https://www.google.com/search?newwindow=1&amp;ei=2MT0XrvGGM-vytMP1OyDgAY&amp;q=site%3Alinkedin.com+Jake+Johnson+Client+Lead+Recruiter")</f>
        <v>https://www.google.com/search?newwindow=1&amp;ei=2MT0XrvGGM-vytMP1OyDgAY&amp;q=site%3Alinkedin.com+Jake+Johnson+Client+Lead+Recruiter</v>
      </c>
      <c r="K1412" s="5" t="str">
        <f t="shared" si="1"/>
        <v>Jake Johnson</v>
      </c>
      <c r="L1412" s="5" t="str">
        <f t="shared" si="2"/>
        <v>Client Lead Recruiter</v>
      </c>
      <c r="M1412" s="5" t="str">
        <f t="shared" si="3"/>
        <v/>
      </c>
      <c r="N1412" s="5" t="str">
        <f t="shared" si="4"/>
        <v>Amazon</v>
      </c>
      <c r="O1412" s="5" t="str">
        <f t="shared" si="5"/>
        <v>5 months in role</v>
      </c>
      <c r="P1412" s="5" t="str">
        <f t="shared" si="6"/>
        <v>Seattle</v>
      </c>
      <c r="Q1412" s="5" t="str">
        <f t="shared" si="7"/>
        <v>Washington</v>
      </c>
      <c r="R1412" s="5" t="str">
        <f t="shared" si="8"/>
        <v>United States</v>
      </c>
    </row>
    <row r="1413">
      <c r="A1413" s="8" t="s">
        <v>8328</v>
      </c>
      <c r="B1413" s="12" t="s">
        <v>8329</v>
      </c>
      <c r="C1413" s="10" t="s">
        <v>1378</v>
      </c>
      <c r="D1413" s="10"/>
      <c r="E1413" s="10" t="s">
        <v>1233</v>
      </c>
      <c r="F1413" s="10" t="s">
        <v>691</v>
      </c>
      <c r="G1413" s="11" t="s">
        <v>153</v>
      </c>
      <c r="H1413" s="11" t="s">
        <v>154</v>
      </c>
      <c r="I1413" s="11" t="s">
        <v>18</v>
      </c>
      <c r="J1413" s="9" t="str">
        <f>IFERROR(__xludf.DUMMYFUNCTION("""COMPUTED_VALUE"""),"https://www.google.com/search?newwindow=1&amp;ei=2MT0XrvGGM-vytMP1OyDgAY&amp;q=site%3Alinkedin.com+Cassie+Crealock+Senior+Campus+Recruiting+Specialist")</f>
        <v>https://www.google.com/search?newwindow=1&amp;ei=2MT0XrvGGM-vytMP1OyDgAY&amp;q=site%3Alinkedin.com+Cassie+Crealock+Senior+Campus+Recruiting+Specialist</v>
      </c>
      <c r="K1413" s="5" t="str">
        <f t="shared" si="1"/>
        <v>Cassie Crealock</v>
      </c>
      <c r="L1413" s="5" t="str">
        <f t="shared" si="2"/>
        <v>Senior Campus Recruiting Specialist</v>
      </c>
      <c r="M1413" s="5" t="str">
        <f t="shared" si="3"/>
        <v/>
      </c>
      <c r="N1413" s="5" t="str">
        <f t="shared" si="4"/>
        <v>Deloitte</v>
      </c>
      <c r="O1413" s="5" t="str">
        <f t="shared" si="5"/>
        <v>1 year 3 months in role</v>
      </c>
      <c r="P1413" s="5" t="str">
        <f t="shared" si="6"/>
        <v>Seattle</v>
      </c>
      <c r="Q1413" s="5" t="str">
        <f t="shared" si="7"/>
        <v>Washington</v>
      </c>
      <c r="R1413" s="5" t="str">
        <f t="shared" si="8"/>
        <v>United States</v>
      </c>
    </row>
    <row r="1414">
      <c r="A1414" s="8" t="s">
        <v>8330</v>
      </c>
      <c r="B1414" s="12" t="s">
        <v>8331</v>
      </c>
      <c r="C1414" s="10" t="s">
        <v>8332</v>
      </c>
      <c r="D1414" s="10"/>
      <c r="E1414" s="10" t="s">
        <v>3090</v>
      </c>
      <c r="F1414" s="10" t="s">
        <v>63</v>
      </c>
      <c r="G1414" s="11" t="s">
        <v>153</v>
      </c>
      <c r="H1414" s="11" t="s">
        <v>154</v>
      </c>
      <c r="I1414" s="11" t="s">
        <v>18</v>
      </c>
      <c r="J1414" s="9" t="str">
        <f>IFERROR(__xludf.DUMMYFUNCTION("""COMPUTED_VALUE"""),"https://www.google.com/search?newwindow=1&amp;ei=2MT0XrvGGM-vytMP1OyDgAY&amp;q=site%3Alinkedin.com+Danielle+DeShields+Lead+Recruiter+for+Undergraduate+Sales+Internships+&amp;+Diversity+NonTech+Recruiter")</f>
        <v>https://www.google.com/search?newwindow=1&amp;ei=2MT0XrvGGM-vytMP1OyDgAY&amp;q=site%3Alinkedin.com+Danielle+DeShields+Lead+Recruiter+for+Undergraduate+Sales+Internships+&amp;+Diversity+NonTech+Recruiter</v>
      </c>
      <c r="K1414" s="5" t="str">
        <f t="shared" si="1"/>
        <v>Danielle DeShields</v>
      </c>
      <c r="L1414" s="5" t="str">
        <f t="shared" si="2"/>
        <v>Lead Recruiter for Undergraduate Sales Internships &amp; Diversity NonTech Recruiter</v>
      </c>
      <c r="M1414" s="5" t="str">
        <f t="shared" si="3"/>
        <v/>
      </c>
      <c r="N1414" s="5" t="str">
        <f t="shared" si="4"/>
        <v>Amazon</v>
      </c>
      <c r="O1414" s="5" t="str">
        <f t="shared" si="5"/>
        <v>2 months in role</v>
      </c>
      <c r="P1414" s="5" t="str">
        <f t="shared" si="6"/>
        <v>Seattle</v>
      </c>
      <c r="Q1414" s="5" t="str">
        <f t="shared" si="7"/>
        <v>Washington</v>
      </c>
      <c r="R1414" s="5" t="str">
        <f t="shared" si="8"/>
        <v>United States</v>
      </c>
    </row>
    <row r="1415">
      <c r="A1415" s="8" t="s">
        <v>8333</v>
      </c>
      <c r="B1415" s="12" t="s">
        <v>8334</v>
      </c>
      <c r="C1415" s="10" t="s">
        <v>1896</v>
      </c>
      <c r="D1415" s="10"/>
      <c r="E1415" s="10" t="s">
        <v>4701</v>
      </c>
      <c r="F1415" s="10" t="s">
        <v>691</v>
      </c>
      <c r="G1415" s="11" t="s">
        <v>153</v>
      </c>
      <c r="H1415" s="11" t="s">
        <v>154</v>
      </c>
      <c r="I1415" s="11" t="s">
        <v>18</v>
      </c>
      <c r="J1415" s="9" t="str">
        <f>IFERROR(__xludf.DUMMYFUNCTION("""COMPUTED_VALUE"""),"https://www.google.com/search?newwindow=1&amp;ei=2MT0XrvGGM-vytMP1OyDgAY&amp;q=site%3Alinkedin.com+Jordan+Gobble+Student+Programs,+Recruiter+II")</f>
        <v>https://www.google.com/search?newwindow=1&amp;ei=2MT0XrvGGM-vytMP1OyDgAY&amp;q=site%3Alinkedin.com+Jordan+Gobble+Student+Programs,+Recruiter+II</v>
      </c>
      <c r="K1415" s="5" t="str">
        <f t="shared" si="1"/>
        <v>Jordan Gobble</v>
      </c>
      <c r="L1415" s="5" t="str">
        <f t="shared" si="2"/>
        <v>Student Programs, Recruiter II</v>
      </c>
      <c r="M1415" s="5" t="str">
        <f t="shared" si="3"/>
        <v/>
      </c>
      <c r="N1415" s="5" t="str">
        <f t="shared" si="4"/>
        <v>Amazon</v>
      </c>
      <c r="O1415" s="5" t="str">
        <f t="shared" si="5"/>
        <v>4 months in role</v>
      </c>
      <c r="P1415" s="5" t="str">
        <f t="shared" si="6"/>
        <v>Seattle</v>
      </c>
      <c r="Q1415" s="5" t="str">
        <f t="shared" si="7"/>
        <v>Washington</v>
      </c>
      <c r="R1415" s="5" t="str">
        <f t="shared" si="8"/>
        <v>United States</v>
      </c>
    </row>
    <row r="1416">
      <c r="A1416" s="8" t="s">
        <v>8335</v>
      </c>
      <c r="B1416" s="12" t="s">
        <v>8336</v>
      </c>
      <c r="C1416" s="10" t="s">
        <v>1896</v>
      </c>
      <c r="D1416" s="10"/>
      <c r="E1416" s="10" t="s">
        <v>4701</v>
      </c>
      <c r="F1416" s="10" t="s">
        <v>651</v>
      </c>
      <c r="G1416" s="11" t="s">
        <v>153</v>
      </c>
      <c r="H1416" s="11" t="s">
        <v>154</v>
      </c>
      <c r="I1416" s="11" t="s">
        <v>18</v>
      </c>
      <c r="J1416" s="9" t="str">
        <f>IFERROR(__xludf.DUMMYFUNCTION("""COMPUTED_VALUE"""),"https://www.google.com/search?newwindow=1&amp;ei=2MT0XrvGGM-vytMP1OyDgAY&amp;q=site%3Alinkedin.com+Lydia+Gustafson,+MBA+Membership+Recruitment+Director+-+Board+Member")</f>
        <v>https://www.google.com/search?newwindow=1&amp;ei=2MT0XrvGGM-vytMP1OyDgAY&amp;q=site%3Alinkedin.com+Lydia+Gustafson,+MBA+Membership+Recruitment+Director+-+Board+Member</v>
      </c>
      <c r="K1416" s="5" t="str">
        <f t="shared" si="1"/>
        <v>Lydia Gustafson, MBA</v>
      </c>
      <c r="L1416" s="5" t="str">
        <f t="shared" si="2"/>
        <v>Membership Recruitment Director - Board Member</v>
      </c>
      <c r="M1416" s="5" t="str">
        <f t="shared" si="3"/>
        <v/>
      </c>
      <c r="N1416" s="5" t="str">
        <f t="shared" si="4"/>
        <v>LPGA Amateur Golf Association - Seattle Chapter</v>
      </c>
      <c r="O1416" s="5" t="str">
        <f t="shared" si="5"/>
        <v>1 year 1 month in role and company</v>
      </c>
      <c r="P1416" s="5" t="str">
        <f t="shared" si="6"/>
        <v>Seattle</v>
      </c>
      <c r="Q1416" s="5" t="str">
        <f t="shared" si="7"/>
        <v>Washington</v>
      </c>
      <c r="R1416" s="5" t="str">
        <f t="shared" si="8"/>
        <v>United States</v>
      </c>
    </row>
    <row r="1417">
      <c r="A1417" s="8" t="s">
        <v>8337</v>
      </c>
      <c r="B1417" s="10" t="s">
        <v>2733</v>
      </c>
      <c r="C1417" s="10" t="s">
        <v>2734</v>
      </c>
      <c r="D1417" s="10"/>
      <c r="E1417" s="10" t="s">
        <v>4611</v>
      </c>
      <c r="F1417" s="10" t="s">
        <v>387</v>
      </c>
      <c r="G1417" s="11" t="s">
        <v>153</v>
      </c>
      <c r="H1417" s="11" t="s">
        <v>154</v>
      </c>
      <c r="I1417" s="11" t="s">
        <v>18</v>
      </c>
      <c r="J1417" s="9" t="str">
        <f>IFERROR(__xludf.DUMMYFUNCTION("""COMPUTED_VALUE"""),"https://www.google.com/search?newwindow=1&amp;ei=2MT0XrvGGM-vytMP1OyDgAY&amp;q=site%3Alinkedin.com+Eddie+Verhulst+Recruiter+-+Student+Programs")</f>
        <v>https://www.google.com/search?newwindow=1&amp;ei=2MT0XrvGGM-vytMP1OyDgAY&amp;q=site%3Alinkedin.com+Eddie+Verhulst+Recruiter+-+Student+Programs</v>
      </c>
      <c r="K1417" s="5" t="str">
        <f t="shared" si="1"/>
        <v>Eddie Verhulst</v>
      </c>
      <c r="L1417" s="5" t="str">
        <f t="shared" si="2"/>
        <v>Recruiter - Student Programs</v>
      </c>
      <c r="M1417" s="5" t="str">
        <f t="shared" si="3"/>
        <v/>
      </c>
      <c r="N1417" s="5" t="str">
        <f t="shared" si="4"/>
        <v>Amazon</v>
      </c>
      <c r="O1417" s="5" t="str">
        <f t="shared" si="5"/>
        <v>1 year 2 months in role and company</v>
      </c>
      <c r="P1417" s="5" t="str">
        <f t="shared" si="6"/>
        <v>Seattle</v>
      </c>
      <c r="Q1417" s="5" t="str">
        <f t="shared" si="7"/>
        <v>Washington</v>
      </c>
      <c r="R1417" s="5" t="str">
        <f t="shared" si="8"/>
        <v>United States</v>
      </c>
    </row>
    <row r="1418">
      <c r="A1418" s="8" t="s">
        <v>8338</v>
      </c>
      <c r="B1418" s="10" t="s">
        <v>1832</v>
      </c>
      <c r="C1418" s="10" t="s">
        <v>25</v>
      </c>
      <c r="D1418" s="10"/>
      <c r="E1418" s="10" t="s">
        <v>4701</v>
      </c>
      <c r="F1418" s="10" t="s">
        <v>1300</v>
      </c>
      <c r="G1418" s="11" t="s">
        <v>153</v>
      </c>
      <c r="H1418" s="11" t="s">
        <v>154</v>
      </c>
      <c r="I1418" s="11" t="s">
        <v>18</v>
      </c>
      <c r="J1418" s="9" t="str">
        <f>IFERROR(__xludf.DUMMYFUNCTION("""COMPUTED_VALUE"""),"https://www.google.com/search?newwindow=1&amp;ei=2MT0XrvGGM-vytMP1OyDgAY&amp;q=site%3Alinkedin.com+Alicia+Massey+Campus+Recruiting+Coordinator")</f>
        <v>https://www.google.com/search?newwindow=1&amp;ei=2MT0XrvGGM-vytMP1OyDgAY&amp;q=site%3Alinkedin.com+Alicia+Massey+Campus+Recruiting+Coordinator</v>
      </c>
      <c r="K1418" s="5" t="str">
        <f t="shared" si="1"/>
        <v>Alicia Massey</v>
      </c>
      <c r="L1418" s="5" t="str">
        <f t="shared" si="2"/>
        <v>Campus Recruiting Coordinator</v>
      </c>
      <c r="M1418" s="5" t="str">
        <f t="shared" si="3"/>
        <v/>
      </c>
      <c r="N1418" s="5" t="str">
        <f t="shared" si="4"/>
        <v>EY</v>
      </c>
      <c r="O1418" s="5" t="str">
        <f t="shared" si="5"/>
        <v>3 years 7 months in role</v>
      </c>
      <c r="P1418" s="5" t="str">
        <f t="shared" si="6"/>
        <v>Seattle</v>
      </c>
      <c r="Q1418" s="5" t="str">
        <f t="shared" si="7"/>
        <v>Washington</v>
      </c>
      <c r="R1418" s="5" t="str">
        <f t="shared" si="8"/>
        <v>United States</v>
      </c>
    </row>
    <row r="1419">
      <c r="A1419" s="8" t="s">
        <v>8339</v>
      </c>
      <c r="B1419" s="10" t="s">
        <v>8340</v>
      </c>
      <c r="C1419" s="10" t="s">
        <v>4749</v>
      </c>
      <c r="D1419" s="10"/>
      <c r="E1419" s="10" t="s">
        <v>2839</v>
      </c>
      <c r="F1419" s="10" t="s">
        <v>125</v>
      </c>
      <c r="G1419" s="11" t="s">
        <v>153</v>
      </c>
      <c r="H1419" s="11" t="s">
        <v>154</v>
      </c>
      <c r="I1419" s="11" t="s">
        <v>18</v>
      </c>
      <c r="J1419" s="9" t="str">
        <f>IFERROR(__xludf.DUMMYFUNCTION("""COMPUTED_VALUE"""),"https://www.google.com/search?newwindow=1&amp;ei=2MT0XrvGGM-vytMP1OyDgAY&amp;q=site%3Alinkedin.com+Bri+O'Connell+Sr.+Program+Manager+Global+Demand+Collection+&amp;+Forecasting+-+Student+Programs")</f>
        <v>https://www.google.com/search?newwindow=1&amp;ei=2MT0XrvGGM-vytMP1OyDgAY&amp;q=site%3Alinkedin.com+Bri+O'Connell+Sr.+Program+Manager+Global+Demand+Collection+&amp;+Forecasting+-+Student+Programs</v>
      </c>
      <c r="K1419" s="5" t="str">
        <f t="shared" si="1"/>
        <v>Bri O'Connell</v>
      </c>
      <c r="L1419" s="5" t="str">
        <f t="shared" si="2"/>
        <v>Sr. Program Manager Global Demand Collection &amp; Forecasting - Student Programs</v>
      </c>
      <c r="M1419" s="5" t="str">
        <f t="shared" si="3"/>
        <v/>
      </c>
      <c r="N1419" s="5" t="str">
        <f t="shared" si="4"/>
        <v>Amazon</v>
      </c>
      <c r="O1419" s="5" t="str">
        <f t="shared" si="5"/>
        <v>7 months in role</v>
      </c>
      <c r="P1419" s="5" t="str">
        <f t="shared" si="6"/>
        <v>Seattle</v>
      </c>
      <c r="Q1419" s="5" t="str">
        <f t="shared" si="7"/>
        <v>Washington</v>
      </c>
      <c r="R1419" s="5" t="str">
        <f t="shared" si="8"/>
        <v>United States</v>
      </c>
    </row>
    <row r="1420">
      <c r="A1420" s="8" t="s">
        <v>8341</v>
      </c>
      <c r="B1420" s="12" t="s">
        <v>8342</v>
      </c>
      <c r="C1420" s="10" t="s">
        <v>2675</v>
      </c>
      <c r="D1420" s="10"/>
      <c r="E1420" s="10" t="s">
        <v>4611</v>
      </c>
      <c r="F1420" s="10" t="s">
        <v>399</v>
      </c>
      <c r="G1420" s="11" t="s">
        <v>153</v>
      </c>
      <c r="H1420" s="11" t="s">
        <v>154</v>
      </c>
      <c r="I1420" s="11" t="s">
        <v>18</v>
      </c>
      <c r="J1420" s="9" t="str">
        <f>IFERROR(__xludf.DUMMYFUNCTION("""COMPUTED_VALUE"""),"https://www.google.com/search?newwindow=1&amp;ei=2MT0XrvGGM-vytMP1OyDgAY&amp;q=site%3Alinkedin.com+Ali+Garcia+Recruiter,+Student+Programs")</f>
        <v>https://www.google.com/search?newwindow=1&amp;ei=2MT0XrvGGM-vytMP1OyDgAY&amp;q=site%3Alinkedin.com+Ali+Garcia+Recruiter,+Student+Programs</v>
      </c>
      <c r="K1420" s="5" t="str">
        <f t="shared" si="1"/>
        <v>Ali Garcia</v>
      </c>
      <c r="L1420" s="5" t="str">
        <f t="shared" si="2"/>
        <v>Recruiter, Student Programs</v>
      </c>
      <c r="M1420" s="5" t="str">
        <f t="shared" si="3"/>
        <v/>
      </c>
      <c r="N1420" s="5" t="str">
        <f t="shared" si="4"/>
        <v>Amazon</v>
      </c>
      <c r="O1420" s="5" t="str">
        <f t="shared" si="5"/>
        <v>10 months in role and company</v>
      </c>
      <c r="P1420" s="5" t="str">
        <f t="shared" si="6"/>
        <v>Seattle</v>
      </c>
      <c r="Q1420" s="5" t="str">
        <f t="shared" si="7"/>
        <v>Washington</v>
      </c>
      <c r="R1420" s="5" t="str">
        <f t="shared" si="8"/>
        <v>United States</v>
      </c>
    </row>
    <row r="1421">
      <c r="A1421" s="8" t="s">
        <v>8343</v>
      </c>
      <c r="B1421" s="12" t="s">
        <v>8344</v>
      </c>
      <c r="C1421" s="10" t="s">
        <v>8345</v>
      </c>
      <c r="D1421" s="10"/>
      <c r="E1421" s="10" t="s">
        <v>5889</v>
      </c>
      <c r="F1421" s="10"/>
      <c r="G1421" s="11" t="s">
        <v>153</v>
      </c>
      <c r="H1421" s="11" t="s">
        <v>154</v>
      </c>
      <c r="I1421" s="11" t="s">
        <v>18</v>
      </c>
      <c r="J1421" s="9" t="str">
        <f>IFERROR(__xludf.DUMMYFUNCTION("""COMPUTED_VALUE"""),"https://www.google.com/search?newwindow=1&amp;ei=2MT0XrvGGM-vytMP1OyDgAY&amp;q=site%3Alinkedin.com+Lindsay+Lavin,+PHR+(she/her)+Sr.+Associate,+Campus+Recruiting")</f>
        <v>https://www.google.com/search?newwindow=1&amp;ei=2MT0XrvGGM-vytMP1OyDgAY&amp;q=site%3Alinkedin.com+Lindsay+Lavin,+PHR+(she/her)+Sr.+Associate,+Campus+Recruiting</v>
      </c>
      <c r="K1421" s="5" t="str">
        <f t="shared" si="1"/>
        <v>Lindsay Lavin, PHR (she/her)</v>
      </c>
      <c r="L1421" s="5" t="str">
        <f t="shared" si="2"/>
        <v>Sr. Associate, Campus Recruiting</v>
      </c>
      <c r="M1421" s="5" t="str">
        <f t="shared" si="3"/>
        <v/>
      </c>
      <c r="N1421" s="5" t="str">
        <f t="shared" si="4"/>
        <v>KPMG US</v>
      </c>
      <c r="O1421" s="5" t="str">
        <f t="shared" si="5"/>
        <v>1 year 1 month in role</v>
      </c>
      <c r="P1421" s="5" t="str">
        <f t="shared" si="6"/>
        <v>Seattle</v>
      </c>
      <c r="Q1421" s="5" t="str">
        <f t="shared" si="7"/>
        <v>Washington</v>
      </c>
      <c r="R1421" s="5" t="str">
        <f t="shared" si="8"/>
        <v>United States</v>
      </c>
    </row>
    <row r="1422">
      <c r="A1422" s="8" t="s">
        <v>8346</v>
      </c>
      <c r="B1422" s="12" t="s">
        <v>8347</v>
      </c>
      <c r="C1422" s="10" t="s">
        <v>1896</v>
      </c>
      <c r="D1422" s="10"/>
      <c r="E1422" s="10" t="s">
        <v>4659</v>
      </c>
      <c r="F1422" s="10" t="s">
        <v>144</v>
      </c>
      <c r="G1422" s="11" t="s">
        <v>153</v>
      </c>
      <c r="H1422" s="11" t="s">
        <v>154</v>
      </c>
      <c r="I1422" s="11" t="s">
        <v>18</v>
      </c>
      <c r="J1422" s="9" t="str">
        <f>IFERROR(__xludf.DUMMYFUNCTION("""COMPUTED_VALUE"""),"https://www.google.com/search?newwindow=1&amp;ei=2MT0XrvGGM-vytMP1OyDgAY&amp;q=site%3Alinkedin.com+Megan+Campbell+Recruiter,+Student+Programs")</f>
        <v>https://www.google.com/search?newwindow=1&amp;ei=2MT0XrvGGM-vytMP1OyDgAY&amp;q=site%3Alinkedin.com+Megan+Campbell+Recruiter,+Student+Programs</v>
      </c>
      <c r="K1422" s="5" t="str">
        <f t="shared" si="1"/>
        <v>Megan Campbell</v>
      </c>
      <c r="L1422" s="5" t="str">
        <f t="shared" si="2"/>
        <v>Recruiter, Student Programs</v>
      </c>
      <c r="M1422" s="5" t="str">
        <f t="shared" si="3"/>
        <v/>
      </c>
      <c r="N1422" s="5" t="str">
        <f t="shared" si="4"/>
        <v>Amazon</v>
      </c>
      <c r="O1422" s="5" t="str">
        <f t="shared" si="5"/>
        <v>2 years  in role</v>
      </c>
      <c r="P1422" s="5" t="str">
        <f t="shared" si="6"/>
        <v>Seattle</v>
      </c>
      <c r="Q1422" s="5" t="str">
        <f t="shared" si="7"/>
        <v>Washington</v>
      </c>
      <c r="R1422" s="5" t="str">
        <f t="shared" si="8"/>
        <v>United States</v>
      </c>
    </row>
    <row r="1423">
      <c r="A1423" s="8" t="s">
        <v>8348</v>
      </c>
      <c r="B1423" s="10" t="s">
        <v>8349</v>
      </c>
      <c r="C1423" s="10" t="s">
        <v>4749</v>
      </c>
      <c r="D1423" s="10"/>
      <c r="E1423" s="10" t="s">
        <v>4611</v>
      </c>
      <c r="F1423" s="10" t="s">
        <v>144</v>
      </c>
      <c r="G1423" s="11" t="s">
        <v>153</v>
      </c>
      <c r="H1423" s="11" t="s">
        <v>154</v>
      </c>
      <c r="I1423" s="11" t="s">
        <v>18</v>
      </c>
      <c r="J1423" s="9" t="str">
        <f>IFERROR(__xludf.DUMMYFUNCTION("""COMPUTED_VALUE"""),"https://www.google.com/search?newwindow=1&amp;ei=2MT0XrvGGM-vytMP1OyDgAY&amp;q=site%3Alinkedin.com+Sharon+Lim+Recruiter,+Student+Programs")</f>
        <v>https://www.google.com/search?newwindow=1&amp;ei=2MT0XrvGGM-vytMP1OyDgAY&amp;q=site%3Alinkedin.com+Sharon+Lim+Recruiter,+Student+Programs</v>
      </c>
      <c r="K1423" s="5" t="str">
        <f t="shared" si="1"/>
        <v>Sharon Lim</v>
      </c>
      <c r="L1423" s="5" t="str">
        <f t="shared" si="2"/>
        <v>Recruiter, Student Programs</v>
      </c>
      <c r="M1423" s="5" t="str">
        <f t="shared" si="3"/>
        <v/>
      </c>
      <c r="N1423" s="5" t="str">
        <f t="shared" si="4"/>
        <v>Amazon</v>
      </c>
      <c r="O1423" s="5" t="str">
        <f t="shared" si="5"/>
        <v>1 year 2 months in role and company</v>
      </c>
      <c r="P1423" s="5" t="str">
        <f t="shared" si="6"/>
        <v>Seattle</v>
      </c>
      <c r="Q1423" s="5" t="str">
        <f t="shared" si="7"/>
        <v>Washington</v>
      </c>
      <c r="R1423" s="5" t="str">
        <f t="shared" si="8"/>
        <v>United States</v>
      </c>
    </row>
    <row r="1424">
      <c r="A1424" s="8" t="s">
        <v>8350</v>
      </c>
      <c r="B1424" s="10" t="s">
        <v>3728</v>
      </c>
      <c r="C1424" s="10" t="s">
        <v>3729</v>
      </c>
      <c r="D1424" s="10"/>
      <c r="E1424" s="10" t="s">
        <v>3649</v>
      </c>
      <c r="F1424" s="10" t="s">
        <v>365</v>
      </c>
      <c r="G1424" s="11" t="s">
        <v>153</v>
      </c>
      <c r="H1424" s="11" t="s">
        <v>154</v>
      </c>
      <c r="I1424" s="11" t="s">
        <v>18</v>
      </c>
      <c r="J1424" s="9" t="str">
        <f>IFERROR(__xludf.DUMMYFUNCTION("""COMPUTED_VALUE"""),"https://www.google.com/search?newwindow=1&amp;ei=2MT0XrvGGM-vytMP1OyDgAY&amp;q=site%3Alinkedin.com+Stephanie+Park+Senior+Science+Recruiter+-+Strategic+Recruiting+Team")</f>
        <v>https://www.google.com/search?newwindow=1&amp;ei=2MT0XrvGGM-vytMP1OyDgAY&amp;q=site%3Alinkedin.com+Stephanie+Park+Senior+Science+Recruiter+-+Strategic+Recruiting+Team</v>
      </c>
      <c r="K1424" s="5" t="str">
        <f t="shared" si="1"/>
        <v>Stephanie Park</v>
      </c>
      <c r="L1424" s="5" t="str">
        <f t="shared" si="2"/>
        <v>Senior Science Recruiter - Strategic Recruiting Team</v>
      </c>
      <c r="M1424" s="5" t="str">
        <f t="shared" si="3"/>
        <v/>
      </c>
      <c r="N1424" s="5" t="str">
        <f t="shared" si="4"/>
        <v>Amazon</v>
      </c>
      <c r="O1424" s="5" t="str">
        <f t="shared" si="5"/>
        <v>1 year 9 months in role</v>
      </c>
      <c r="P1424" s="5" t="str">
        <f t="shared" si="6"/>
        <v>Seattle</v>
      </c>
      <c r="Q1424" s="5" t="str">
        <f t="shared" si="7"/>
        <v>Washington</v>
      </c>
      <c r="R1424" s="5" t="str">
        <f t="shared" si="8"/>
        <v>United States</v>
      </c>
    </row>
    <row r="1425">
      <c r="A1425" s="8" t="s">
        <v>8351</v>
      </c>
      <c r="B1425" s="12" t="s">
        <v>8352</v>
      </c>
      <c r="C1425" s="10" t="s">
        <v>8353</v>
      </c>
      <c r="D1425" s="10"/>
      <c r="E1425" s="10" t="s">
        <v>3649</v>
      </c>
      <c r="F1425" s="10" t="s">
        <v>345</v>
      </c>
      <c r="G1425" s="11" t="s">
        <v>153</v>
      </c>
      <c r="H1425" s="11" t="s">
        <v>154</v>
      </c>
      <c r="I1425" s="11" t="s">
        <v>18</v>
      </c>
      <c r="J1425" s="9" t="str">
        <f>IFERROR(__xludf.DUMMYFUNCTION("""COMPUTED_VALUE"""),"https://www.google.com/search?newwindow=1&amp;ei=2MT0XrvGGM-vytMP1OyDgAY&amp;q=site%3Alinkedin.com+Lauren+S.+Recruiter+II,+Student+Programs")</f>
        <v>https://www.google.com/search?newwindow=1&amp;ei=2MT0XrvGGM-vytMP1OyDgAY&amp;q=site%3Alinkedin.com+Lauren+S.+Recruiter+II,+Student+Programs</v>
      </c>
      <c r="K1425" s="5" t="str">
        <f t="shared" si="1"/>
        <v>Lauren S.</v>
      </c>
      <c r="L1425" s="5" t="str">
        <f t="shared" si="2"/>
        <v>Recruiter II, Student Programs</v>
      </c>
      <c r="M1425" s="5" t="str">
        <f t="shared" si="3"/>
        <v/>
      </c>
      <c r="N1425" s="5" t="str">
        <f t="shared" si="4"/>
        <v>Amazon</v>
      </c>
      <c r="O1425" s="5" t="str">
        <f t="shared" si="5"/>
        <v>7 months in role</v>
      </c>
      <c r="P1425" s="5" t="str">
        <f t="shared" si="6"/>
        <v>Seattle</v>
      </c>
      <c r="Q1425" s="5" t="str">
        <f t="shared" si="7"/>
        <v>Washington</v>
      </c>
      <c r="R1425" s="5" t="str">
        <f t="shared" si="8"/>
        <v>United States</v>
      </c>
    </row>
    <row r="1426">
      <c r="A1426" s="8" t="s">
        <v>8354</v>
      </c>
      <c r="B1426" s="12" t="s">
        <v>1346</v>
      </c>
      <c r="C1426" s="10" t="s">
        <v>1347</v>
      </c>
      <c r="D1426" s="10"/>
      <c r="E1426" s="10" t="s">
        <v>1233</v>
      </c>
      <c r="F1426" s="10" t="s">
        <v>106</v>
      </c>
      <c r="G1426" s="11" t="s">
        <v>153</v>
      </c>
      <c r="H1426" s="11" t="s">
        <v>154</v>
      </c>
      <c r="I1426" s="11" t="s">
        <v>18</v>
      </c>
      <c r="J1426" s="9" t="str">
        <f>IFERROR(__xludf.DUMMYFUNCTION("""COMPUTED_VALUE"""),"https://www.google.com/search?newwindow=1&amp;ei=2MT0XrvGGM-vytMP1OyDgAY&amp;q=site%3Alinkedin.com+Carly+Porter+Student+Programs,+Campus+Recruiter")</f>
        <v>https://www.google.com/search?newwindow=1&amp;ei=2MT0XrvGGM-vytMP1OyDgAY&amp;q=site%3Alinkedin.com+Carly+Porter+Student+Programs,+Campus+Recruiter</v>
      </c>
      <c r="K1426" s="5" t="str">
        <f t="shared" si="1"/>
        <v>Carly Porter</v>
      </c>
      <c r="L1426" s="5" t="str">
        <f t="shared" si="2"/>
        <v>Student Programs, Campus Recruiter</v>
      </c>
      <c r="M1426" s="5" t="str">
        <f t="shared" si="3"/>
        <v/>
      </c>
      <c r="N1426" s="5" t="str">
        <f t="shared" si="4"/>
        <v>Amazon</v>
      </c>
      <c r="O1426" s="5" t="str">
        <f t="shared" si="5"/>
        <v>2 years  in role</v>
      </c>
      <c r="P1426" s="5" t="str">
        <f t="shared" si="6"/>
        <v>Seattle</v>
      </c>
      <c r="Q1426" s="5" t="str">
        <f t="shared" si="7"/>
        <v>Washington</v>
      </c>
      <c r="R1426" s="5" t="str">
        <f t="shared" si="8"/>
        <v>United States</v>
      </c>
    </row>
    <row r="1427">
      <c r="A1427" s="8" t="s">
        <v>8355</v>
      </c>
      <c r="B1427" s="10" t="s">
        <v>156</v>
      </c>
      <c r="C1427" s="10" t="s">
        <v>157</v>
      </c>
      <c r="D1427" s="10"/>
      <c r="E1427" s="10" t="s">
        <v>14</v>
      </c>
      <c r="F1427" s="10" t="s">
        <v>94</v>
      </c>
      <c r="G1427" s="11" t="s">
        <v>153</v>
      </c>
      <c r="H1427" s="11" t="s">
        <v>154</v>
      </c>
      <c r="I1427" s="11" t="s">
        <v>18</v>
      </c>
      <c r="J1427" s="9" t="str">
        <f>IFERROR(__xludf.DUMMYFUNCTION("""COMPUTED_VALUE"""),"https://www.google.com/search?newwindow=1&amp;ei=2MT0XrvGGM-vytMP1OyDgAY&amp;q=site%3Alinkedin.com+Hannah+Smith+University+Recruiter+-+Northern+England,+the+Midlands+&amp;+Ireland")</f>
        <v>https://www.google.com/search?newwindow=1&amp;ei=2MT0XrvGGM-vytMP1OyDgAY&amp;q=site%3Alinkedin.com+Hannah+Smith+University+Recruiter+-+Northern+England,+the+Midlands+&amp;+Ireland</v>
      </c>
      <c r="K1427" s="5" t="str">
        <f t="shared" si="1"/>
        <v>Hannah Smith</v>
      </c>
      <c r="L1427" s="5" t="str">
        <f t="shared" si="2"/>
        <v>University Recruiter - Northern England, the Midlands &amp; Ireland</v>
      </c>
      <c r="M1427" s="5" t="str">
        <f t="shared" si="3"/>
        <v/>
      </c>
      <c r="N1427" s="5" t="str">
        <f t="shared" si="4"/>
        <v>Teach First</v>
      </c>
      <c r="O1427" s="5" t="str">
        <f t="shared" si="5"/>
        <v>1 year 3 months in role</v>
      </c>
      <c r="P1427" s="5" t="str">
        <f t="shared" si="6"/>
        <v>Shenfield</v>
      </c>
      <c r="Q1427" s="5" t="str">
        <f t="shared" si="7"/>
        <v>England</v>
      </c>
      <c r="R1427" s="5" t="str">
        <f t="shared" si="8"/>
        <v>United Kingdom</v>
      </c>
    </row>
    <row r="1428">
      <c r="A1428" s="8" t="s">
        <v>8356</v>
      </c>
      <c r="B1428" s="12" t="s">
        <v>8357</v>
      </c>
      <c r="C1428" s="10" t="s">
        <v>4934</v>
      </c>
      <c r="D1428" s="10"/>
      <c r="E1428" s="10" t="s">
        <v>14</v>
      </c>
      <c r="F1428" s="10" t="s">
        <v>136</v>
      </c>
      <c r="G1428" s="11" t="s">
        <v>153</v>
      </c>
      <c r="H1428" s="11" t="s">
        <v>154</v>
      </c>
      <c r="I1428" s="11" t="s">
        <v>18</v>
      </c>
      <c r="J1428" s="9" t="str">
        <f>IFERROR(__xludf.DUMMYFUNCTION("""COMPUTED_VALUE"""),"https://www.google.com/search?newwindow=1&amp;ei=2MT0XrvGGM-vytMP1OyDgAY&amp;q=site%3Alinkedin.com+Albert+Suh+University+and+College+Students+Recruiter")</f>
        <v>https://www.google.com/search?newwindow=1&amp;ei=2MT0XrvGGM-vytMP1OyDgAY&amp;q=site%3Alinkedin.com+Albert+Suh+University+and+College+Students+Recruiter</v>
      </c>
      <c r="K1428" s="5" t="str">
        <f t="shared" si="1"/>
        <v>Albert Suh</v>
      </c>
      <c r="L1428" s="5" t="str">
        <f t="shared" si="2"/>
        <v>University and College Students Recruiter</v>
      </c>
      <c r="M1428" s="5" t="str">
        <f t="shared" si="3"/>
        <v/>
      </c>
      <c r="N1428" s="5" t="str">
        <f t="shared" si="4"/>
        <v>Ngwinsuhnjwi Consultants LTD, Sunhjwi Academic Facilitators International (SAFI)</v>
      </c>
      <c r="O1428" s="5" t="str">
        <f t="shared" si="5"/>
        <v>3 years 2 months in role and company</v>
      </c>
      <c r="P1428" s="5" t="str">
        <f t="shared" si="6"/>
        <v>Shenfield</v>
      </c>
      <c r="Q1428" s="5" t="str">
        <f t="shared" si="7"/>
        <v>England</v>
      </c>
      <c r="R1428" s="5" t="str">
        <f t="shared" si="8"/>
        <v>United Kingdom</v>
      </c>
    </row>
    <row r="1429">
      <c r="A1429" s="8" t="s">
        <v>8358</v>
      </c>
      <c r="B1429" s="12" t="s">
        <v>2954</v>
      </c>
      <c r="C1429" s="10" t="s">
        <v>2155</v>
      </c>
      <c r="D1429" s="10"/>
      <c r="E1429" s="10" t="s">
        <v>4659</v>
      </c>
      <c r="F1429" s="10" t="s">
        <v>268</v>
      </c>
      <c r="G1429" s="11" t="s">
        <v>153</v>
      </c>
      <c r="H1429" s="11" t="s">
        <v>154</v>
      </c>
      <c r="I1429" s="11" t="s">
        <v>18</v>
      </c>
      <c r="J1429" s="9" t="str">
        <f>IFERROR(__xludf.DUMMYFUNCTION("""COMPUTED_VALUE"""),"https://www.google.com/search?newwindow=1&amp;ei=2MT0XrvGGM-vytMP1OyDgAY&amp;q=site%3Alinkedin.com+Holly+Rezaie+Student+Recruitment+Officer+(Events)+at+The+University+of+Sheffield")</f>
        <v>https://www.google.com/search?newwindow=1&amp;ei=2MT0XrvGGM-vytMP1OyDgAY&amp;q=site%3Alinkedin.com+Holly+Rezaie+Student+Recruitment+Officer+(Events)+at+The+University+of+Sheffield</v>
      </c>
      <c r="K1429" s="5" t="str">
        <f t="shared" si="1"/>
        <v>Holly Rezaie</v>
      </c>
      <c r="L1429" s="5" t="str">
        <f t="shared" si="2"/>
        <v>Student Recruitment Officer (Events) at The University of Sheffield</v>
      </c>
      <c r="M1429" s="5" t="str">
        <f t="shared" si="3"/>
        <v/>
      </c>
      <c r="N1429" s="5" t="str">
        <f t="shared" si="4"/>
        <v>The University of Sheffield</v>
      </c>
      <c r="O1429" s="5" t="str">
        <f t="shared" si="5"/>
        <v>5 months in role</v>
      </c>
      <c r="P1429" s="5" t="str">
        <f t="shared" si="6"/>
        <v>Shenfield</v>
      </c>
      <c r="Q1429" s="5" t="str">
        <f t="shared" si="7"/>
        <v>England</v>
      </c>
      <c r="R1429" s="5" t="str">
        <f t="shared" si="8"/>
        <v>United Kingdom</v>
      </c>
    </row>
    <row r="1430">
      <c r="A1430" s="8" t="s">
        <v>8359</v>
      </c>
      <c r="B1430" s="10" t="s">
        <v>8360</v>
      </c>
      <c r="C1430" s="10" t="s">
        <v>4749</v>
      </c>
      <c r="D1430" s="10"/>
      <c r="E1430" s="10" t="s">
        <v>4701</v>
      </c>
      <c r="F1430" s="10" t="s">
        <v>136</v>
      </c>
      <c r="G1430" s="11" t="s">
        <v>153</v>
      </c>
      <c r="H1430" s="11" t="s">
        <v>154</v>
      </c>
      <c r="I1430" s="11" t="s">
        <v>18</v>
      </c>
      <c r="J1430" s="9" t="str">
        <f>IFERROR(__xludf.DUMMYFUNCTION("""COMPUTED_VALUE"""),"https://www.google.com/search?newwindow=1&amp;ei=2MT0XrvGGM-vytMP1OyDgAY&amp;q=site%3Alinkedin.com+Millie+Hodges+Graduate+Recruiter")</f>
        <v>https://www.google.com/search?newwindow=1&amp;ei=2MT0XrvGGM-vytMP1OyDgAY&amp;q=site%3Alinkedin.com+Millie+Hodges+Graduate+Recruiter</v>
      </c>
      <c r="K1430" s="5" t="str">
        <f t="shared" si="1"/>
        <v>Millie Hodges</v>
      </c>
      <c r="L1430" s="5" t="str">
        <f t="shared" si="2"/>
        <v>Graduate Recruiter</v>
      </c>
      <c r="M1430" s="5" t="str">
        <f t="shared" si="3"/>
        <v/>
      </c>
      <c r="N1430" s="5" t="str">
        <f t="shared" si="4"/>
        <v>Bloomberg LP</v>
      </c>
      <c r="O1430" s="5" t="str">
        <f t="shared" si="5"/>
        <v>1 year 1 month in role and company</v>
      </c>
      <c r="P1430" s="5" t="str">
        <f t="shared" si="6"/>
        <v>Shenfield</v>
      </c>
      <c r="Q1430" s="5" t="str">
        <f t="shared" si="7"/>
        <v>England</v>
      </c>
      <c r="R1430" s="5" t="str">
        <f t="shared" si="8"/>
        <v>United Kingdom</v>
      </c>
    </row>
    <row r="1431">
      <c r="A1431" s="8" t="s">
        <v>8361</v>
      </c>
      <c r="B1431" s="12" t="s">
        <v>8362</v>
      </c>
      <c r="C1431" s="10" t="s">
        <v>8363</v>
      </c>
      <c r="D1431" s="10"/>
      <c r="E1431" s="10" t="s">
        <v>3649</v>
      </c>
      <c r="F1431" s="10" t="s">
        <v>409</v>
      </c>
      <c r="G1431" s="11" t="s">
        <v>153</v>
      </c>
      <c r="H1431" s="11" t="s">
        <v>154</v>
      </c>
      <c r="I1431" s="11" t="s">
        <v>18</v>
      </c>
      <c r="J1431" s="9" t="str">
        <f>IFERROR(__xludf.DUMMYFUNCTION("""COMPUTED_VALUE"""),"https://www.google.com/search?newwindow=1&amp;ei=2MT0XrvGGM-vytMP1OyDgAY&amp;q=site%3Alinkedin.com+Gavin+Palmer+Student+Engagement+Programs+Coordinator")</f>
        <v>https://www.google.com/search?newwindow=1&amp;ei=2MT0XrvGGM-vytMP1OyDgAY&amp;q=site%3Alinkedin.com+Gavin+Palmer+Student+Engagement+Programs+Coordinator</v>
      </c>
      <c r="K1431" s="5" t="str">
        <f t="shared" si="1"/>
        <v>Gavin Palmer</v>
      </c>
      <c r="L1431" s="5" t="str">
        <f t="shared" si="2"/>
        <v>Student Engagement Programs Coordinator</v>
      </c>
      <c r="M1431" s="5" t="str">
        <f t="shared" si="3"/>
        <v/>
      </c>
      <c r="N1431" s="5" t="str">
        <f t="shared" si="4"/>
        <v>University of Alberta</v>
      </c>
      <c r="O1431" s="5" t="str">
        <f t="shared" si="5"/>
        <v>4 years 1 month in role and company</v>
      </c>
      <c r="P1431" s="5" t="str">
        <f t="shared" si="6"/>
        <v>Sherwood Park</v>
      </c>
      <c r="Q1431" s="5" t="str">
        <f t="shared" si="7"/>
        <v>Alberta</v>
      </c>
      <c r="R1431" s="5" t="str">
        <f t="shared" si="8"/>
        <v>Canada</v>
      </c>
    </row>
    <row r="1432">
      <c r="A1432" s="8" t="s">
        <v>8364</v>
      </c>
      <c r="B1432" s="12" t="s">
        <v>3731</v>
      </c>
      <c r="C1432" s="10" t="s">
        <v>3732</v>
      </c>
      <c r="D1432" s="10"/>
      <c r="E1432" s="10" t="s">
        <v>3649</v>
      </c>
      <c r="F1432" s="10" t="s">
        <v>1098</v>
      </c>
      <c r="G1432" s="11" t="s">
        <v>153</v>
      </c>
      <c r="H1432" s="11" t="s">
        <v>154</v>
      </c>
      <c r="I1432" s="11" t="s">
        <v>18</v>
      </c>
      <c r="J1432" s="9" t="str">
        <f>IFERROR(__xludf.DUMMYFUNCTION("""COMPUTED_VALUE"""),"https://www.google.com/search?newwindow=1&amp;ei=2MT0XrvGGM-vytMP1OyDgAY&amp;q=site%3Alinkedin.com+Sydney+Leischner+Manager,+Campus+Recruiting")</f>
        <v>https://www.google.com/search?newwindow=1&amp;ei=2MT0XrvGGM-vytMP1OyDgAY&amp;q=site%3Alinkedin.com+Sydney+Leischner+Manager,+Campus+Recruiting</v>
      </c>
      <c r="K1432" s="5" t="str">
        <f t="shared" si="1"/>
        <v>Sydney Leischner</v>
      </c>
      <c r="L1432" s="5" t="str">
        <f t="shared" si="2"/>
        <v>Manager, Campus Recruiting</v>
      </c>
      <c r="M1432" s="5" t="str">
        <f t="shared" si="3"/>
        <v/>
      </c>
      <c r="N1432" s="5" t="str">
        <f t="shared" si="4"/>
        <v>KPMG US</v>
      </c>
      <c r="O1432" s="5" t="str">
        <f t="shared" si="5"/>
        <v>9 months in role</v>
      </c>
      <c r="P1432" s="5" t="str">
        <f t="shared" si="6"/>
        <v>Short Hills</v>
      </c>
      <c r="Q1432" s="5" t="str">
        <f t="shared" si="7"/>
        <v>New Jersey</v>
      </c>
      <c r="R1432" s="5" t="str">
        <f t="shared" si="8"/>
        <v>United States</v>
      </c>
    </row>
    <row r="1433">
      <c r="A1433" s="8" t="s">
        <v>8365</v>
      </c>
      <c r="B1433" s="12" t="s">
        <v>8366</v>
      </c>
      <c r="C1433" s="10" t="s">
        <v>371</v>
      </c>
      <c r="D1433" s="10"/>
      <c r="E1433" s="10" t="s">
        <v>1560</v>
      </c>
      <c r="F1433" s="10"/>
      <c r="G1433" s="11" t="s">
        <v>153</v>
      </c>
      <c r="H1433" s="11" t="s">
        <v>154</v>
      </c>
      <c r="I1433" s="11" t="s">
        <v>18</v>
      </c>
      <c r="J1433" s="9" t="str">
        <f>IFERROR(__xludf.DUMMYFUNCTION("""COMPUTED_VALUE"""),"https://www.google.com/search?newwindow=1&amp;ei=2MT0XrvGGM-vytMP1OyDgAY&amp;q=site%3Alinkedin.com+Navdeep+Bahia+Graduate+Recruiter")</f>
        <v>https://www.google.com/search?newwindow=1&amp;ei=2MT0XrvGGM-vytMP1OyDgAY&amp;q=site%3Alinkedin.com+Navdeep+Bahia+Graduate+Recruiter</v>
      </c>
      <c r="K1433" s="5" t="str">
        <f t="shared" si="1"/>
        <v>Navdeep Bahia</v>
      </c>
      <c r="L1433" s="5" t="str">
        <f t="shared" si="2"/>
        <v>Graduate Recruiter</v>
      </c>
      <c r="M1433" s="5" t="str">
        <f t="shared" si="3"/>
        <v/>
      </c>
      <c r="N1433" s="5" t="str">
        <f t="shared" si="4"/>
        <v>Accenture</v>
      </c>
      <c r="O1433" s="5" t="str">
        <f t="shared" si="5"/>
        <v>3 years 2 months in role and company</v>
      </c>
      <c r="P1433" s="5" t="str">
        <f t="shared" si="6"/>
        <v>Slough</v>
      </c>
      <c r="Q1433" s="5" t="str">
        <f t="shared" si="7"/>
        <v>England</v>
      </c>
      <c r="R1433" s="5" t="str">
        <f t="shared" si="8"/>
        <v>United Kingdom</v>
      </c>
    </row>
    <row r="1434">
      <c r="A1434" s="8" t="s">
        <v>8367</v>
      </c>
      <c r="B1434" s="10" t="s">
        <v>8368</v>
      </c>
      <c r="C1434" s="10" t="s">
        <v>8369</v>
      </c>
      <c r="D1434" s="10"/>
      <c r="E1434" s="10" t="s">
        <v>227</v>
      </c>
      <c r="F1434" s="10" t="s">
        <v>228</v>
      </c>
      <c r="G1434" s="11" t="s">
        <v>223</v>
      </c>
      <c r="H1434" s="11" t="s">
        <v>224</v>
      </c>
      <c r="I1434" s="11" t="s">
        <v>18</v>
      </c>
      <c r="J1434" s="9" t="str">
        <f>IFERROR(__xludf.DUMMYFUNCTION("""COMPUTED_VALUE"""),"https://www.google.com/search?newwindow=1&amp;ei=2MT0XrvGGM-vytMP1OyDgAY&amp;q=site%3Alinkedin.com+Marisa+DiRocco+Manager,+Campus+Recruiting")</f>
        <v>https://www.google.com/search?newwindow=1&amp;ei=2MT0XrvGGM-vytMP1OyDgAY&amp;q=site%3Alinkedin.com+Marisa+DiRocco+Manager,+Campus+Recruiting</v>
      </c>
      <c r="K1434" s="5" t="str">
        <f t="shared" si="1"/>
        <v>Marisa DiRocco</v>
      </c>
      <c r="L1434" s="5" t="str">
        <f t="shared" si="2"/>
        <v>Manager, Campus Recruiting</v>
      </c>
      <c r="M1434" s="5" t="str">
        <f t="shared" si="3"/>
        <v/>
      </c>
      <c r="N1434" s="5" t="str">
        <f t="shared" si="4"/>
        <v>KPMG US</v>
      </c>
      <c r="O1434" s="5" t="str">
        <f t="shared" si="5"/>
        <v>3 years 6 months in role</v>
      </c>
      <c r="P1434" s="5" t="str">
        <f t="shared" si="6"/>
        <v>Smithtown</v>
      </c>
      <c r="Q1434" s="5" t="str">
        <f t="shared" si="7"/>
        <v>New York</v>
      </c>
      <c r="R1434" s="5" t="str">
        <f t="shared" si="8"/>
        <v>United States</v>
      </c>
    </row>
    <row r="1435">
      <c r="A1435" s="8" t="s">
        <v>8370</v>
      </c>
      <c r="B1435" s="10" t="s">
        <v>8371</v>
      </c>
      <c r="C1435" s="10" t="s">
        <v>1378</v>
      </c>
      <c r="D1435" s="10"/>
      <c r="E1435" s="10" t="s">
        <v>1233</v>
      </c>
      <c r="F1435" s="10" t="s">
        <v>192</v>
      </c>
      <c r="G1435" s="11" t="s">
        <v>223</v>
      </c>
      <c r="H1435" s="11" t="s">
        <v>224</v>
      </c>
      <c r="I1435" s="11" t="s">
        <v>18</v>
      </c>
      <c r="J1435" s="9" t="str">
        <f>IFERROR(__xludf.DUMMYFUNCTION("""COMPUTED_VALUE"""),"https://www.google.com/search?newwindow=1&amp;ei=2MT0XrvGGM-vytMP1OyDgAY&amp;q=site%3Alinkedin.com+Palmer+Mayer+Associate+Director,+Campus+Recruiting")</f>
        <v>https://www.google.com/search?newwindow=1&amp;ei=2MT0XrvGGM-vytMP1OyDgAY&amp;q=site%3Alinkedin.com+Palmer+Mayer+Associate+Director,+Campus+Recruiting</v>
      </c>
      <c r="K1435" s="5" t="str">
        <f t="shared" si="1"/>
        <v>Palmer Mayer</v>
      </c>
      <c r="L1435" s="5" t="str">
        <f t="shared" si="2"/>
        <v>Associate Director, Campus Recruiting</v>
      </c>
      <c r="M1435" s="5" t="str">
        <f t="shared" si="3"/>
        <v/>
      </c>
      <c r="N1435" s="5" t="str">
        <f t="shared" si="4"/>
        <v>KPMG</v>
      </c>
      <c r="O1435" s="5" t="str">
        <f t="shared" si="5"/>
        <v>15 years 3 months in role</v>
      </c>
      <c r="P1435" s="5" t="str">
        <f t="shared" si="6"/>
        <v>Smyrna</v>
      </c>
      <c r="Q1435" s="5" t="str">
        <f t="shared" si="7"/>
        <v>Georgia</v>
      </c>
      <c r="R1435" s="5" t="str">
        <f t="shared" si="8"/>
        <v>United States</v>
      </c>
    </row>
    <row r="1436">
      <c r="A1436" s="8" t="s">
        <v>8372</v>
      </c>
      <c r="B1436" s="10" t="s">
        <v>8373</v>
      </c>
      <c r="C1436" s="10" t="s">
        <v>8374</v>
      </c>
      <c r="D1436" s="10"/>
      <c r="E1436" s="10" t="s">
        <v>1424</v>
      </c>
      <c r="F1436" s="10" t="s">
        <v>165</v>
      </c>
      <c r="G1436" s="11" t="s">
        <v>223</v>
      </c>
      <c r="H1436" s="11" t="s">
        <v>224</v>
      </c>
      <c r="I1436" s="11" t="s">
        <v>18</v>
      </c>
      <c r="J1436" s="9" t="str">
        <f>IFERROR(__xludf.DUMMYFUNCTION("""COMPUTED_VALUE"""),"https://www.google.com/search?newwindow=1&amp;ei=2MT0XrvGGM-vytMP1OyDgAY&amp;q=site%3Alinkedin.com+Melissa+Varkoly+Senior+Manager+-+Audit+Talent+Business+Advisor")</f>
        <v>https://www.google.com/search?newwindow=1&amp;ei=2MT0XrvGGM-vytMP1OyDgAY&amp;q=site%3Alinkedin.com+Melissa+Varkoly+Senior+Manager+-+Audit+Talent+Business+Advisor</v>
      </c>
      <c r="K1436" s="5" t="str">
        <f t="shared" si="1"/>
        <v>Melissa Varkoly</v>
      </c>
      <c r="L1436" s="5" t="str">
        <f t="shared" si="2"/>
        <v>Senior Manager - Audit Talent Business Advisor</v>
      </c>
      <c r="M1436" s="5" t="str">
        <f t="shared" si="3"/>
        <v/>
      </c>
      <c r="N1436" s="5" t="str">
        <f t="shared" si="4"/>
        <v>Deloitte</v>
      </c>
      <c r="O1436" s="5" t="str">
        <f t="shared" si="5"/>
        <v>4 years  in role</v>
      </c>
      <c r="P1436" s="5" t="str">
        <f t="shared" si="6"/>
        <v>Smyrna</v>
      </c>
      <c r="Q1436" s="5" t="str">
        <f t="shared" si="7"/>
        <v>Georgia</v>
      </c>
      <c r="R1436" s="5" t="str">
        <f t="shared" si="8"/>
        <v>United States</v>
      </c>
    </row>
    <row r="1437">
      <c r="A1437" s="8" t="s">
        <v>8375</v>
      </c>
      <c r="B1437" s="10" t="s">
        <v>2956</v>
      </c>
      <c r="C1437" s="10" t="s">
        <v>371</v>
      </c>
      <c r="D1437" s="10"/>
      <c r="E1437" s="10" t="s">
        <v>4659</v>
      </c>
      <c r="F1437" s="10" t="s">
        <v>165</v>
      </c>
      <c r="G1437" s="11" t="s">
        <v>223</v>
      </c>
      <c r="H1437" s="11" t="s">
        <v>224</v>
      </c>
      <c r="I1437" s="11" t="s">
        <v>18</v>
      </c>
      <c r="J1437" s="9" t="str">
        <f>IFERROR(__xludf.DUMMYFUNCTION("""COMPUTED_VALUE"""),"https://www.google.com/search?newwindow=1&amp;ei=2MT0XrvGGM-vytMP1OyDgAY&amp;q=site%3Alinkedin.com+Emily+Boston+Recruitment+Manager")</f>
        <v>https://www.google.com/search?newwindow=1&amp;ei=2MT0XrvGGM-vytMP1OyDgAY&amp;q=site%3Alinkedin.com+Emily+Boston+Recruitment+Manager</v>
      </c>
      <c r="K1437" s="5" t="str">
        <f t="shared" si="1"/>
        <v>Emily Boston</v>
      </c>
      <c r="L1437" s="5" t="str">
        <f t="shared" si="2"/>
        <v>Recruitment Manager</v>
      </c>
      <c r="M1437" s="5" t="str">
        <f t="shared" si="3"/>
        <v/>
      </c>
      <c r="N1437" s="5" t="str">
        <f t="shared" si="4"/>
        <v>PJT RESTAURANTS LIMITED</v>
      </c>
      <c r="O1437" s="5" t="str">
        <f t="shared" si="5"/>
        <v>4 years 9 months in role and company</v>
      </c>
      <c r="P1437" s="5" t="str">
        <f t="shared" si="6"/>
        <v>South Benfleet</v>
      </c>
      <c r="Q1437" s="5" t="str">
        <f t="shared" si="7"/>
        <v>England</v>
      </c>
      <c r="R1437" s="5" t="str">
        <f t="shared" si="8"/>
        <v>United Kingdom</v>
      </c>
    </row>
    <row r="1438">
      <c r="A1438" s="8" t="s">
        <v>8376</v>
      </c>
      <c r="B1438" s="10" t="s">
        <v>3666</v>
      </c>
      <c r="C1438" s="10" t="s">
        <v>3667</v>
      </c>
      <c r="D1438" s="12"/>
      <c r="E1438" s="12" t="s">
        <v>4935</v>
      </c>
      <c r="F1438" s="10"/>
      <c r="G1438" s="11" t="s">
        <v>223</v>
      </c>
      <c r="H1438" s="11" t="s">
        <v>224</v>
      </c>
      <c r="I1438" s="11" t="s">
        <v>18</v>
      </c>
      <c r="J1438" s="9" t="str">
        <f>IFERROR(__xludf.DUMMYFUNCTION("""COMPUTED_VALUE"""),"https://www.google.com/search?newwindow=1&amp;ei=2MT0XrvGGM-vytMP1OyDgAY&amp;q=site%3Alinkedin.com+Leah+Williams+Student+Programs+Support+Officer")</f>
        <v>https://www.google.com/search?newwindow=1&amp;ei=2MT0XrvGGM-vytMP1OyDgAY&amp;q=site%3Alinkedin.com+Leah+Williams+Student+Programs+Support+Officer</v>
      </c>
      <c r="K1438" s="5" t="str">
        <f t="shared" si="1"/>
        <v>Leah Williams</v>
      </c>
      <c r="L1438" s="5" t="str">
        <f t="shared" si="2"/>
        <v>Student Programs Support Officer</v>
      </c>
      <c r="M1438" s="5" t="str">
        <f t="shared" si="3"/>
        <v/>
      </c>
      <c r="N1438" s="5" t="str">
        <f t="shared" si="4"/>
        <v>Broken Hill University Department of Rural Health</v>
      </c>
      <c r="O1438" s="5" t="str">
        <f t="shared" si="5"/>
        <v>7 years 10 months in role and company</v>
      </c>
      <c r="P1438" s="5" t="str">
        <f t="shared" si="6"/>
        <v>South Broken Hill</v>
      </c>
      <c r="Q1438" s="5" t="str">
        <f t="shared" si="7"/>
        <v>New South Wales</v>
      </c>
      <c r="R1438" s="5" t="str">
        <f t="shared" si="8"/>
        <v>Australia</v>
      </c>
    </row>
    <row r="1439">
      <c r="A1439" s="8" t="s">
        <v>8377</v>
      </c>
      <c r="B1439" s="12" t="s">
        <v>8378</v>
      </c>
      <c r="C1439" s="10" t="s">
        <v>5309</v>
      </c>
      <c r="D1439" s="10"/>
      <c r="E1439" s="10" t="s">
        <v>5310</v>
      </c>
      <c r="F1439" s="10" t="s">
        <v>233</v>
      </c>
      <c r="G1439" s="11" t="s">
        <v>8379</v>
      </c>
      <c r="H1439" s="11" t="s">
        <v>4638</v>
      </c>
      <c r="I1439" s="11" t="s">
        <v>4600</v>
      </c>
      <c r="J1439" s="9" t="str">
        <f>IFERROR(__xludf.DUMMYFUNCTION("""COMPUTED_VALUE"""),"https://www.google.com/search?newwindow=1&amp;ei=2MT0XrvGGM-vytMP1OyDgAY&amp;q=site%3Alinkedin.com+Katherine+Dong+Campus+Recruiting+Intern")</f>
        <v>https://www.google.com/search?newwindow=1&amp;ei=2MT0XrvGGM-vytMP1OyDgAY&amp;q=site%3Alinkedin.com+Katherine+Dong+Campus+Recruiting+Intern</v>
      </c>
      <c r="K1439" s="5" t="str">
        <f t="shared" si="1"/>
        <v>Katherine Dong</v>
      </c>
      <c r="L1439" s="5" t="str">
        <f t="shared" si="2"/>
        <v>Campus Recruiting Intern</v>
      </c>
      <c r="M1439" s="5" t="str">
        <f t="shared" si="3"/>
        <v/>
      </c>
      <c r="N1439" s="5" t="str">
        <f t="shared" si="4"/>
        <v>KPMG</v>
      </c>
      <c r="O1439" s="5" t="str">
        <f t="shared" si="5"/>
        <v>2 months in role and company</v>
      </c>
      <c r="P1439" s="5" t="str">
        <f t="shared" si="6"/>
        <v>South Hadley</v>
      </c>
      <c r="Q1439" s="5" t="str">
        <f t="shared" si="7"/>
        <v>Massachusetts</v>
      </c>
      <c r="R1439" s="5" t="str">
        <f t="shared" si="8"/>
        <v>United States</v>
      </c>
    </row>
    <row r="1440">
      <c r="A1440" s="8" t="s">
        <v>8377</v>
      </c>
      <c r="B1440" s="12" t="s">
        <v>8378</v>
      </c>
      <c r="C1440" s="10" t="s">
        <v>5309</v>
      </c>
      <c r="D1440" s="10"/>
      <c r="E1440" s="10" t="s">
        <v>5310</v>
      </c>
      <c r="F1440" s="10" t="s">
        <v>233</v>
      </c>
      <c r="G1440" s="11" t="s">
        <v>8379</v>
      </c>
      <c r="H1440" s="11" t="s">
        <v>4638</v>
      </c>
      <c r="I1440" s="11" t="s">
        <v>4600</v>
      </c>
      <c r="J1440" s="9" t="str">
        <f>IFERROR(__xludf.DUMMYFUNCTION("""COMPUTED_VALUE"""),"https://www.google.com/search?newwindow=1&amp;ei=2MT0XrvGGM-vytMP1OyDgAY&amp;q=site%3Alinkedin.com+Deborah+Leach+Director,+Medical+Student+Programs")</f>
        <v>https://www.google.com/search?newwindow=1&amp;ei=2MT0XrvGGM-vytMP1OyDgAY&amp;q=site%3Alinkedin.com+Deborah+Leach+Director,+Medical+Student+Programs</v>
      </c>
      <c r="K1440" s="5" t="str">
        <f t="shared" si="1"/>
        <v>Deborah Leach</v>
      </c>
      <c r="L1440" s="5" t="str">
        <f t="shared" si="2"/>
        <v>Director, Medical Student Programs</v>
      </c>
      <c r="M1440" s="5" t="str">
        <f t="shared" si="3"/>
        <v/>
      </c>
      <c r="N1440" s="5" t="str">
        <f t="shared" si="4"/>
        <v>Eastern Health Clinical School</v>
      </c>
      <c r="O1440" s="5" t="str">
        <f t="shared" si="5"/>
        <v>2 years 3 months in role and company</v>
      </c>
      <c r="P1440" s="5" t="str">
        <f t="shared" si="6"/>
        <v>Southbank</v>
      </c>
      <c r="Q1440" s="5" t="str">
        <f t="shared" si="7"/>
        <v>Victoria</v>
      </c>
      <c r="R1440" s="5" t="str">
        <f t="shared" si="8"/>
        <v>Australia</v>
      </c>
    </row>
    <row r="1441">
      <c r="A1441" s="8" t="s">
        <v>8380</v>
      </c>
      <c r="B1441" s="12" t="s">
        <v>3736</v>
      </c>
      <c r="C1441" s="10" t="s">
        <v>919</v>
      </c>
      <c r="D1441" s="10"/>
      <c r="E1441" s="10" t="s">
        <v>3649</v>
      </c>
      <c r="F1441" s="10" t="s">
        <v>832</v>
      </c>
      <c r="G1441" s="11" t="s">
        <v>3737</v>
      </c>
      <c r="H1441" s="11" t="s">
        <v>96</v>
      </c>
      <c r="I1441" s="11" t="s">
        <v>18</v>
      </c>
      <c r="J1441" s="9" t="str">
        <f>IFERROR(__xludf.DUMMYFUNCTION("""COMPUTED_VALUE"""),"https://www.google.com/search?newwindow=1&amp;ei=2MT0XrvGGM-vytMP1OyDgAY&amp;q=site%3Alinkedin.com+Anja+Roberts+Student+Equity+Programs+Officer/+Career+Development+Practitioner")</f>
        <v>https://www.google.com/search?newwindow=1&amp;ei=2MT0XrvGGM-vytMP1OyDgAY&amp;q=site%3Alinkedin.com+Anja+Roberts+Student+Equity+Programs+Officer/+Career+Development+Practitioner</v>
      </c>
      <c r="K1441" s="5" t="str">
        <f t="shared" si="1"/>
        <v>Anja Roberts</v>
      </c>
      <c r="L1441" s="5" t="str">
        <f t="shared" si="2"/>
        <v>Student Equity Programs Officer/ Career Development Practitioner</v>
      </c>
      <c r="M1441" s="5" t="str">
        <f t="shared" si="3"/>
        <v/>
      </c>
      <c r="N1441" s="5" t="str">
        <f t="shared" si="4"/>
        <v>Griffith University</v>
      </c>
      <c r="O1441" s="5" t="str">
        <f t="shared" si="5"/>
        <v>2 years 8 months in role and company</v>
      </c>
      <c r="P1441" s="5" t="str">
        <f t="shared" si="6"/>
        <v>Southport</v>
      </c>
      <c r="Q1441" s="5" t="str">
        <f t="shared" si="7"/>
        <v>Queensland</v>
      </c>
      <c r="R1441" s="5" t="str">
        <f t="shared" si="8"/>
        <v>Australia</v>
      </c>
    </row>
    <row r="1442">
      <c r="A1442" s="8" t="s">
        <v>8381</v>
      </c>
      <c r="B1442" s="10" t="s">
        <v>8382</v>
      </c>
      <c r="C1442" s="10" t="s">
        <v>1378</v>
      </c>
      <c r="D1442" s="10"/>
      <c r="E1442" s="10" t="s">
        <v>1233</v>
      </c>
      <c r="F1442" s="10" t="s">
        <v>1993</v>
      </c>
      <c r="G1442" s="11" t="s">
        <v>295</v>
      </c>
      <c r="H1442" s="11" t="s">
        <v>154</v>
      </c>
      <c r="I1442" s="11" t="s">
        <v>18</v>
      </c>
      <c r="J1442" s="9" t="str">
        <f>IFERROR(__xludf.DUMMYFUNCTION("""COMPUTED_VALUE"""),"https://www.google.com/search?newwindow=1&amp;ei=2MT0XrvGGM-vytMP1OyDgAY&amp;q=site%3Alinkedin.com+Janet+Bachtel+Campus+Manager+-+University+Relations+&amp;+Recruiting")</f>
        <v>https://www.google.com/search?newwindow=1&amp;ei=2MT0XrvGGM-vytMP1OyDgAY&amp;q=site%3Alinkedin.com+Janet+Bachtel+Campus+Manager+-+University+Relations+&amp;+Recruiting</v>
      </c>
      <c r="K1442" s="5" t="str">
        <f t="shared" si="1"/>
        <v>Janet Bachtel</v>
      </c>
      <c r="L1442" s="5" t="str">
        <f t="shared" si="2"/>
        <v>Campus Manager - University Relations &amp; Recruiting</v>
      </c>
      <c r="M1442" s="5" t="str">
        <f t="shared" si="3"/>
        <v/>
      </c>
      <c r="N1442" s="5" t="str">
        <f t="shared" si="4"/>
        <v>Lockheed Martin</v>
      </c>
      <c r="O1442" s="5" t="str">
        <f t="shared" si="5"/>
        <v>2 years  in role and company</v>
      </c>
      <c r="P1442" s="5" t="str">
        <f t="shared" si="6"/>
        <v>Springfield-Branson</v>
      </c>
      <c r="Q1442" s="5" t="str">
        <f t="shared" si="7"/>
        <v>Missouri</v>
      </c>
      <c r="R1442" s="5" t="str">
        <f t="shared" si="8"/>
        <v>United States</v>
      </c>
    </row>
    <row r="1443">
      <c r="A1443" s="8" t="s">
        <v>8383</v>
      </c>
      <c r="B1443" s="10" t="s">
        <v>8384</v>
      </c>
      <c r="C1443" s="10" t="s">
        <v>4677</v>
      </c>
      <c r="D1443" s="10"/>
      <c r="E1443" s="10" t="s">
        <v>1233</v>
      </c>
      <c r="F1443" s="10" t="s">
        <v>1637</v>
      </c>
      <c r="G1443" s="11" t="s">
        <v>295</v>
      </c>
      <c r="H1443" s="11" t="s">
        <v>154</v>
      </c>
      <c r="I1443" s="11" t="s">
        <v>18</v>
      </c>
      <c r="J1443" s="9" t="str">
        <f>IFERROR(__xludf.DUMMYFUNCTION("""COMPUTED_VALUE"""),"https://www.google.com/search?newwindow=1&amp;ei=2MT0XrvGGM-vytMP1OyDgAY&amp;q=site%3Alinkedin.com+Emily+Holden+Master+of+Science+Student")</f>
        <v>https://www.google.com/search?newwindow=1&amp;ei=2MT0XrvGGM-vytMP1OyDgAY&amp;q=site%3Alinkedin.com+Emily+Holden+Master+of+Science+Student</v>
      </c>
      <c r="K1443" s="5" t="str">
        <f t="shared" si="1"/>
        <v>Emily Holden</v>
      </c>
      <c r="L1443" s="5" t="str">
        <f t="shared" si="2"/>
        <v>Master of Science Student</v>
      </c>
      <c r="M1443" s="5" t="str">
        <f t="shared" si="3"/>
        <v/>
      </c>
      <c r="N1443" s="5" t="str">
        <f t="shared" si="4"/>
        <v>University of Alberta</v>
      </c>
      <c r="O1443" s="5" t="str">
        <f t="shared" si="5"/>
        <v>1 year 2 months in role and company</v>
      </c>
      <c r="P1443" s="5" t="str">
        <f t="shared" si="6"/>
        <v>Spruce Grove</v>
      </c>
      <c r="Q1443" s="5" t="str">
        <f t="shared" si="7"/>
        <v>Alberta</v>
      </c>
      <c r="R1443" s="5" t="str">
        <f t="shared" si="8"/>
        <v>Canada</v>
      </c>
    </row>
    <row r="1444">
      <c r="A1444" s="8" t="s">
        <v>8385</v>
      </c>
      <c r="B1444" s="12" t="s">
        <v>8386</v>
      </c>
      <c r="C1444" s="10" t="s">
        <v>8387</v>
      </c>
      <c r="D1444" s="10"/>
      <c r="E1444" s="10" t="s">
        <v>1233</v>
      </c>
      <c r="F1444" s="10" t="s">
        <v>958</v>
      </c>
      <c r="G1444" s="11" t="s">
        <v>295</v>
      </c>
      <c r="H1444" s="11" t="s">
        <v>154</v>
      </c>
      <c r="I1444" s="11" t="s">
        <v>18</v>
      </c>
      <c r="J1444" s="9" t="str">
        <f>IFERROR(__xludf.DUMMYFUNCTION("""COMPUTED_VALUE"""),"https://www.google.com/search?newwindow=1&amp;ei=2MT0XrvGGM-vytMP1OyDgAY&amp;q=site%3Alinkedin.com+Maria+Jose+Ledesma+Cardenas+International+Student+Recruiter")</f>
        <v>https://www.google.com/search?newwindow=1&amp;ei=2MT0XrvGGM-vytMP1OyDgAY&amp;q=site%3Alinkedin.com+Maria+Jose+Ledesma+Cardenas+International+Student+Recruiter</v>
      </c>
      <c r="K1444" s="5" t="str">
        <f t="shared" si="1"/>
        <v>Maria Jose Ledesma Cardenas</v>
      </c>
      <c r="L1444" s="5" t="str">
        <f t="shared" si="2"/>
        <v>International Student Recruiter</v>
      </c>
      <c r="M1444" s="5" t="str">
        <f t="shared" si="3"/>
        <v/>
      </c>
      <c r="N1444" s="5" t="str">
        <f t="shared" si="4"/>
        <v>English Learning Canada</v>
      </c>
      <c r="O1444" s="5" t="str">
        <f t="shared" si="5"/>
        <v>4 years 2 months in role and company</v>
      </c>
      <c r="P1444" s="5" t="str">
        <f t="shared" si="6"/>
        <v>St Catharines</v>
      </c>
      <c r="Q1444" s="5" t="str">
        <f t="shared" si="7"/>
        <v>Ontario</v>
      </c>
      <c r="R1444" s="5" t="str">
        <f t="shared" si="8"/>
        <v>Canada</v>
      </c>
    </row>
    <row r="1445">
      <c r="A1445" s="8" t="s">
        <v>8388</v>
      </c>
      <c r="B1445" s="10" t="s">
        <v>8389</v>
      </c>
      <c r="C1445" s="10" t="s">
        <v>8390</v>
      </c>
      <c r="D1445" s="10"/>
      <c r="E1445" s="10" t="s">
        <v>845</v>
      </c>
      <c r="F1445" s="10" t="s">
        <v>149</v>
      </c>
      <c r="G1445" s="11" t="s">
        <v>1852</v>
      </c>
      <c r="H1445" s="11" t="s">
        <v>38</v>
      </c>
      <c r="I1445" s="11" t="s">
        <v>18</v>
      </c>
      <c r="J1445" s="9" t="str">
        <f>IFERROR(__xludf.DUMMYFUNCTION("""COMPUTED_VALUE"""),"https://www.google.com/search?newwindow=1&amp;ei=2MT0XrvGGM-vytMP1OyDgAY&amp;q=site%3Alinkedin.com+Kent+Whitten+Co-op+Student,+Academic+Programs+Office")</f>
        <v>https://www.google.com/search?newwindow=1&amp;ei=2MT0XrvGGM-vytMP1OyDgAY&amp;q=site%3Alinkedin.com+Kent+Whitten+Co-op+Student,+Academic+Programs+Office</v>
      </c>
      <c r="K1445" s="5" t="str">
        <f t="shared" si="1"/>
        <v>Kent Whitten</v>
      </c>
      <c r="L1445" s="5" t="str">
        <f t="shared" si="2"/>
        <v>Co-op Student, Academic Programs Office</v>
      </c>
      <c r="M1445" s="5" t="str">
        <f t="shared" si="3"/>
        <v/>
      </c>
      <c r="N1445" s="5" t="str">
        <f t="shared" si="4"/>
        <v>Faculty of Business Administration at Memorial University of Newfoundland</v>
      </c>
      <c r="O1445" s="5" t="str">
        <f t="shared" si="5"/>
        <v>6 months in role and company</v>
      </c>
      <c r="P1445" s="5" t="str">
        <f t="shared" si="6"/>
        <v>St John’s</v>
      </c>
      <c r="Q1445" s="5" t="str">
        <f t="shared" si="7"/>
        <v>Newfoundland and Labrador</v>
      </c>
      <c r="R1445" s="5" t="str">
        <f t="shared" si="8"/>
        <v>Canada</v>
      </c>
    </row>
    <row r="1446">
      <c r="A1446" s="8" t="s">
        <v>8391</v>
      </c>
      <c r="B1446" s="10" t="s">
        <v>8392</v>
      </c>
      <c r="C1446" s="10" t="s">
        <v>8393</v>
      </c>
      <c r="D1446" s="10"/>
      <c r="E1446" s="10" t="s">
        <v>4958</v>
      </c>
      <c r="F1446" s="10" t="s">
        <v>686</v>
      </c>
      <c r="G1446" s="11" t="s">
        <v>8394</v>
      </c>
      <c r="H1446" s="11" t="s">
        <v>4757</v>
      </c>
      <c r="I1446" s="11" t="s">
        <v>4607</v>
      </c>
      <c r="J1446" s="9" t="str">
        <f>IFERROR(__xludf.DUMMYFUNCTION("""COMPUTED_VALUE"""),"https://www.google.com/search?newwindow=1&amp;ei=2MT0XrvGGM-vytMP1OyDgAY&amp;q=site%3Alinkedin.com+Carmel+Doyle+Bishop+Mullock+Chair+of+Roman+Catholic+Studies+and+Director+of+Student+Programs")</f>
        <v>https://www.google.com/search?newwindow=1&amp;ei=2MT0XrvGGM-vytMP1OyDgAY&amp;q=site%3Alinkedin.com+Carmel+Doyle+Bishop+Mullock+Chair+of+Roman+Catholic+Studies+and+Director+of+Student+Programs</v>
      </c>
      <c r="K1446" s="5" t="str">
        <f t="shared" si="1"/>
        <v>Carmel Doyle</v>
      </c>
      <c r="L1446" s="5" t="str">
        <f t="shared" si="2"/>
        <v>Bishop Mullock Chair of Roman Catholic Studies and Director of Student Programs</v>
      </c>
      <c r="M1446" s="5" t="str">
        <f t="shared" si="3"/>
        <v/>
      </c>
      <c r="N1446" s="5" t="str">
        <f t="shared" si="4"/>
        <v>Queen's College</v>
      </c>
      <c r="O1446" s="5" t="str">
        <f t="shared" si="5"/>
        <v>5 years 2 months in role and company</v>
      </c>
      <c r="P1446" s="5" t="str">
        <f t="shared" si="6"/>
        <v>St John’s</v>
      </c>
      <c r="Q1446" s="5" t="str">
        <f t="shared" si="7"/>
        <v>Newfoundland and Labrador</v>
      </c>
      <c r="R1446" s="5" t="str">
        <f t="shared" si="8"/>
        <v>Canada</v>
      </c>
    </row>
    <row r="1447">
      <c r="A1447" s="8" t="s">
        <v>8395</v>
      </c>
      <c r="B1447" s="12" t="s">
        <v>8396</v>
      </c>
      <c r="C1447" s="10" t="s">
        <v>8397</v>
      </c>
      <c r="D1447" s="10"/>
      <c r="E1447" s="10" t="s">
        <v>8398</v>
      </c>
      <c r="F1447" s="10" t="s">
        <v>1564</v>
      </c>
      <c r="G1447" s="11" t="s">
        <v>8394</v>
      </c>
      <c r="H1447" s="11" t="s">
        <v>4757</v>
      </c>
      <c r="I1447" s="11" t="s">
        <v>4607</v>
      </c>
      <c r="J1447" s="9" t="str">
        <f>IFERROR(__xludf.DUMMYFUNCTION("""COMPUTED_VALUE"""),"https://www.google.com/search?newwindow=1&amp;ei=2MT0XrvGGM-vytMP1OyDgAY&amp;q=site%3Alinkedin.com+Jody+Rotchford+Student+Recruiter+for+the+Faculty+of+Engineering+and+Applied+Sciences")</f>
        <v>https://www.google.com/search?newwindow=1&amp;ei=2MT0XrvGGM-vytMP1OyDgAY&amp;q=site%3Alinkedin.com+Jody+Rotchford+Student+Recruiter+for+the+Faculty+of+Engineering+and+Applied+Sciences</v>
      </c>
      <c r="K1447" s="5" t="str">
        <f t="shared" si="1"/>
        <v>Jody Rotchford</v>
      </c>
      <c r="L1447" s="5" t="str">
        <f t="shared" si="2"/>
        <v>Student Recruiter for the Faculty of Engineering and Applied Sciences</v>
      </c>
      <c r="M1447" s="5" t="str">
        <f t="shared" si="3"/>
        <v/>
      </c>
      <c r="N1447" s="5" t="str">
        <f t="shared" si="4"/>
        <v>Memorial University of Newfoundland</v>
      </c>
      <c r="O1447" s="5" t="str">
        <f t="shared" si="5"/>
        <v/>
      </c>
      <c r="P1447" s="5" t="str">
        <f t="shared" si="6"/>
        <v>St John’s</v>
      </c>
      <c r="Q1447" s="5" t="str">
        <f t="shared" si="7"/>
        <v>Newfoundland and Labrador</v>
      </c>
      <c r="R1447" s="5" t="str">
        <f t="shared" si="8"/>
        <v>Canada</v>
      </c>
    </row>
    <row r="1448">
      <c r="A1448" s="8" t="s">
        <v>8399</v>
      </c>
      <c r="B1448" s="10" t="s">
        <v>8400</v>
      </c>
      <c r="C1448" s="10" t="s">
        <v>8401</v>
      </c>
      <c r="D1448" s="10"/>
      <c r="E1448" s="10" t="s">
        <v>8402</v>
      </c>
      <c r="F1448" s="10" t="s">
        <v>1561</v>
      </c>
      <c r="G1448" s="11" t="s">
        <v>8403</v>
      </c>
      <c r="H1448" s="11" t="s">
        <v>4599</v>
      </c>
      <c r="I1448" s="11" t="s">
        <v>4600</v>
      </c>
      <c r="J1448" s="9" t="str">
        <f>IFERROR(__xludf.DUMMYFUNCTION("""COMPUTED_VALUE"""),"https://www.google.com/search?newwindow=1&amp;ei=2MT0XrvGGM-vytMP1OyDgAY&amp;q=site%3Alinkedin.com+Kelly+James+Campus+Recruiting+Specialist")</f>
        <v>https://www.google.com/search?newwindow=1&amp;ei=2MT0XrvGGM-vytMP1OyDgAY&amp;q=site%3Alinkedin.com+Kelly+James+Campus+Recruiting+Specialist</v>
      </c>
      <c r="K1448" s="5" t="str">
        <f t="shared" si="1"/>
        <v>Kelly James</v>
      </c>
      <c r="L1448" s="5" t="str">
        <f t="shared" si="2"/>
        <v>Campus Recruiting Specialist</v>
      </c>
      <c r="M1448" s="5" t="str">
        <f t="shared" si="3"/>
        <v/>
      </c>
      <c r="N1448" s="5" t="str">
        <f t="shared" si="4"/>
        <v>Deloitte</v>
      </c>
      <c r="O1448" s="5" t="str">
        <f t="shared" si="5"/>
        <v>2 years 10 months in role and company</v>
      </c>
      <c r="P1448" s="5" t="str">
        <f t="shared" si="6"/>
        <v>St Louis</v>
      </c>
      <c r="Q1448" s="5" t="str">
        <f t="shared" si="7"/>
        <v>Missouri</v>
      </c>
      <c r="R1448" s="5" t="str">
        <f t="shared" si="8"/>
        <v>United States</v>
      </c>
    </row>
    <row r="1449">
      <c r="A1449" s="8" t="s">
        <v>8399</v>
      </c>
      <c r="B1449" s="10" t="s">
        <v>8400</v>
      </c>
      <c r="C1449" s="10" t="s">
        <v>8401</v>
      </c>
      <c r="D1449" s="10"/>
      <c r="E1449" s="10" t="s">
        <v>8402</v>
      </c>
      <c r="F1449" s="10" t="s">
        <v>1561</v>
      </c>
      <c r="G1449" s="11" t="s">
        <v>8403</v>
      </c>
      <c r="H1449" s="11" t="s">
        <v>4599</v>
      </c>
      <c r="I1449" s="11" t="s">
        <v>4600</v>
      </c>
      <c r="J1449" s="9" t="str">
        <f>IFERROR(__xludf.DUMMYFUNCTION("""COMPUTED_VALUE"""),"https://www.google.com/search?newwindow=1&amp;ei=2MT0XrvGGM-vytMP1OyDgAY&amp;q=site%3Alinkedin.com+Holly+Hoette+Assistant+Director+-+Campus+Recruiting")</f>
        <v>https://www.google.com/search?newwindow=1&amp;ei=2MT0XrvGGM-vytMP1OyDgAY&amp;q=site%3Alinkedin.com+Holly+Hoette+Assistant+Director+-+Campus+Recruiting</v>
      </c>
      <c r="K1449" s="5" t="str">
        <f t="shared" si="1"/>
        <v>Holly Hoette</v>
      </c>
      <c r="L1449" s="5" t="str">
        <f t="shared" si="2"/>
        <v>Assistant Director - Campus Recruiting</v>
      </c>
      <c r="M1449" s="5" t="str">
        <f t="shared" si="3"/>
        <v/>
      </c>
      <c r="N1449" s="5" t="str">
        <f t="shared" si="4"/>
        <v>Ernst &amp; Young</v>
      </c>
      <c r="O1449" s="5" t="str">
        <f t="shared" si="5"/>
        <v>8 years 10 months in role and company</v>
      </c>
      <c r="P1449" s="5" t="str">
        <f t="shared" si="6"/>
        <v>St Louis</v>
      </c>
      <c r="Q1449" s="5" t="str">
        <f t="shared" si="7"/>
        <v>Missouri</v>
      </c>
      <c r="R1449" s="5" t="str">
        <f t="shared" si="8"/>
        <v>United States</v>
      </c>
    </row>
    <row r="1450">
      <c r="A1450" s="8" t="s">
        <v>8404</v>
      </c>
      <c r="B1450" s="12" t="s">
        <v>8405</v>
      </c>
      <c r="C1450" s="10" t="s">
        <v>4674</v>
      </c>
      <c r="D1450" s="10"/>
      <c r="E1450" s="10" t="s">
        <v>1233</v>
      </c>
      <c r="F1450" s="10" t="s">
        <v>472</v>
      </c>
      <c r="G1450" s="11" t="s">
        <v>1353</v>
      </c>
      <c r="H1450" s="11" t="s">
        <v>1354</v>
      </c>
      <c r="I1450" s="11" t="s">
        <v>18</v>
      </c>
      <c r="J1450" s="9" t="str">
        <f>IFERROR(__xludf.DUMMYFUNCTION("""COMPUTED_VALUE"""),"https://www.google.com/search?newwindow=1&amp;ei=2MT0XrvGGM-vytMP1OyDgAY&amp;q=site%3Alinkedin.com+Ashley+Josephson+Campus+Recruiting+Manager+-+Consulting")</f>
        <v>https://www.google.com/search?newwindow=1&amp;ei=2MT0XrvGGM-vytMP1OyDgAY&amp;q=site%3Alinkedin.com+Ashley+Josephson+Campus+Recruiting+Manager+-+Consulting</v>
      </c>
      <c r="K1450" s="5" t="str">
        <f t="shared" si="1"/>
        <v>Ashley Josephson</v>
      </c>
      <c r="L1450" s="5" t="str">
        <f t="shared" si="2"/>
        <v>Campus Recruiting Manager - Consulting</v>
      </c>
      <c r="M1450" s="5" t="str">
        <f t="shared" si="3"/>
        <v/>
      </c>
      <c r="N1450" s="5" t="str">
        <f t="shared" si="4"/>
        <v>Deloitte</v>
      </c>
      <c r="O1450" s="5" t="str">
        <f t="shared" si="5"/>
        <v>1 year 5 months in role</v>
      </c>
      <c r="P1450" s="5" t="str">
        <f t="shared" si="6"/>
        <v>St Paul</v>
      </c>
      <c r="Q1450" s="5" t="str">
        <f t="shared" si="7"/>
        <v>Minnesota</v>
      </c>
      <c r="R1450" s="5" t="str">
        <f t="shared" si="8"/>
        <v>United States</v>
      </c>
    </row>
    <row r="1451">
      <c r="A1451" s="8" t="s">
        <v>8406</v>
      </c>
      <c r="B1451" s="12" t="s">
        <v>8407</v>
      </c>
      <c r="C1451" s="10" t="s">
        <v>8408</v>
      </c>
      <c r="D1451" s="10"/>
      <c r="E1451" s="10" t="s">
        <v>4659</v>
      </c>
      <c r="F1451" s="10" t="s">
        <v>42</v>
      </c>
      <c r="G1451" s="11" t="s">
        <v>1353</v>
      </c>
      <c r="H1451" s="11" t="s">
        <v>1354</v>
      </c>
      <c r="I1451" s="11" t="s">
        <v>18</v>
      </c>
      <c r="J1451" s="9" t="str">
        <f>IFERROR(__xludf.DUMMYFUNCTION("""COMPUTED_VALUE"""),"https://www.google.com/search?newwindow=1&amp;ei=2MT0XrvGGM-vytMP1OyDgAY&amp;q=site%3Alinkedin.com+Katy+Williams+Graduate+Recruiter")</f>
        <v>https://www.google.com/search?newwindow=1&amp;ei=2MT0XrvGGM-vytMP1OyDgAY&amp;q=site%3Alinkedin.com+Katy+Williams+Graduate+Recruiter</v>
      </c>
      <c r="K1451" s="5" t="str">
        <f t="shared" si="1"/>
        <v>Katy Williams</v>
      </c>
      <c r="L1451" s="5" t="str">
        <f t="shared" si="2"/>
        <v>Graduate Recruiter</v>
      </c>
      <c r="M1451" s="5" t="str">
        <f t="shared" si="3"/>
        <v/>
      </c>
      <c r="N1451" s="5" t="str">
        <f t="shared" si="4"/>
        <v>Sellafield Ltd</v>
      </c>
      <c r="O1451" s="5" t="str">
        <f t="shared" si="5"/>
        <v>13 years 8 months in role and company</v>
      </c>
      <c r="P1451" s="5" t="str">
        <f t="shared" si="6"/>
        <v>St. Bees</v>
      </c>
      <c r="Q1451" s="5" t="str">
        <f t="shared" si="7"/>
        <v>England</v>
      </c>
      <c r="R1451" s="5" t="str">
        <f t="shared" si="8"/>
        <v>United Kingdom</v>
      </c>
    </row>
    <row r="1452">
      <c r="A1452" s="8" t="s">
        <v>8409</v>
      </c>
      <c r="B1452" s="12" t="s">
        <v>3739</v>
      </c>
      <c r="C1452" s="10" t="s">
        <v>3740</v>
      </c>
      <c r="D1452" s="10"/>
      <c r="E1452" s="10" t="s">
        <v>3649</v>
      </c>
      <c r="F1452" s="10" t="s">
        <v>2890</v>
      </c>
      <c r="G1452" s="11" t="s">
        <v>3741</v>
      </c>
      <c r="H1452" s="11" t="s">
        <v>962</v>
      </c>
      <c r="I1452" s="11" t="s">
        <v>18</v>
      </c>
      <c r="J1452" s="9" t="str">
        <f>IFERROR(__xludf.DUMMYFUNCTION("""COMPUTED_VALUE"""),"https://www.google.com/search?newwindow=1&amp;ei=2MT0XrvGGM-vytMP1OyDgAY&amp;q=site%3Alinkedin.com+Raza+Shah+Student+Recruiter")</f>
        <v>https://www.google.com/search?newwindow=1&amp;ei=2MT0XrvGGM-vytMP1OyDgAY&amp;q=site%3Alinkedin.com+Raza+Shah+Student+Recruiter</v>
      </c>
      <c r="K1452" s="5" t="str">
        <f t="shared" si="1"/>
        <v>Raza Shah</v>
      </c>
      <c r="L1452" s="5" t="str">
        <f t="shared" si="2"/>
        <v>Student Recruiter</v>
      </c>
      <c r="M1452" s="5" t="str">
        <f t="shared" si="3"/>
        <v/>
      </c>
      <c r="N1452" s="5" t="str">
        <f t="shared" si="4"/>
        <v>Canadian College of Naturopathic Medicine</v>
      </c>
      <c r="O1452" s="5" t="str">
        <f t="shared" si="5"/>
        <v>18 years 10 months in role and company</v>
      </c>
      <c r="P1452" s="5" t="str">
        <f t="shared" si="6"/>
        <v>St. Jacobs</v>
      </c>
      <c r="Q1452" s="5" t="str">
        <f t="shared" si="7"/>
        <v>Ontario</v>
      </c>
      <c r="R1452" s="5" t="str">
        <f t="shared" si="8"/>
        <v>Canada</v>
      </c>
    </row>
    <row r="1453">
      <c r="A1453" s="8" t="s">
        <v>8410</v>
      </c>
      <c r="B1453" s="12" t="s">
        <v>8411</v>
      </c>
      <c r="C1453" s="10" t="s">
        <v>8412</v>
      </c>
      <c r="D1453" s="10"/>
      <c r="E1453" s="10" t="s">
        <v>8413</v>
      </c>
      <c r="F1453" s="10" t="s">
        <v>697</v>
      </c>
      <c r="G1453" s="11" t="s">
        <v>8414</v>
      </c>
      <c r="H1453" s="11" t="s">
        <v>8414</v>
      </c>
      <c r="I1453" s="11" t="s">
        <v>4600</v>
      </c>
      <c r="J1453" s="9" t="str">
        <f>IFERROR(__xludf.DUMMYFUNCTION("""COMPUTED_VALUE"""),"https://www.google.com/search?newwindow=1&amp;ei=2MT0XrvGGM-vytMP1OyDgAY&amp;q=site%3Alinkedin.com+Jim+Sheridan+Managing+Director,+Global+Head+of+Tech+Campus+Recruiting")</f>
        <v>https://www.google.com/search?newwindow=1&amp;ei=2MT0XrvGGM-vytMP1OyDgAY&amp;q=site%3Alinkedin.com+Jim+Sheridan+Managing+Director,+Global+Head+of+Tech+Campus+Recruiting</v>
      </c>
      <c r="K1453" s="5" t="str">
        <f t="shared" si="1"/>
        <v>Jim Sheridan</v>
      </c>
      <c r="L1453" s="5" t="str">
        <f t="shared" si="2"/>
        <v>Managing Director, Global Head of Tech Campus Recruiting</v>
      </c>
      <c r="M1453" s="5" t="str">
        <f t="shared" si="3"/>
        <v/>
      </c>
      <c r="N1453" s="5" t="str">
        <f t="shared" si="4"/>
        <v>JPMorgan Chase &amp; Co.</v>
      </c>
      <c r="O1453" s="5" t="str">
        <f t="shared" si="5"/>
        <v>2 years 5 months in role and company</v>
      </c>
      <c r="P1453" s="5" t="str">
        <f t="shared" si="6"/>
        <v>Stamford</v>
      </c>
      <c r="Q1453" s="5" t="str">
        <f t="shared" si="7"/>
        <v>Connecticut</v>
      </c>
      <c r="R1453" s="5" t="str">
        <f t="shared" si="8"/>
        <v>United States</v>
      </c>
    </row>
    <row r="1454">
      <c r="A1454" s="8" t="s">
        <v>8415</v>
      </c>
      <c r="B1454" s="10" t="s">
        <v>8416</v>
      </c>
      <c r="C1454" s="10" t="s">
        <v>8417</v>
      </c>
      <c r="D1454" s="10"/>
      <c r="E1454" s="10" t="s">
        <v>8413</v>
      </c>
      <c r="F1454" s="10" t="s">
        <v>3214</v>
      </c>
      <c r="G1454" s="11" t="s">
        <v>8414</v>
      </c>
      <c r="H1454" s="11" t="s">
        <v>8414</v>
      </c>
      <c r="I1454" s="11" t="s">
        <v>4600</v>
      </c>
      <c r="J1454" s="9" t="str">
        <f>IFERROR(__xludf.DUMMYFUNCTION("""COMPUTED_VALUE"""),"https://www.google.com/search?newwindow=1&amp;ei=2MT0XrvGGM-vytMP1OyDgAY&amp;q=site%3Alinkedin.com+Kimberly+Czarnecki+Assistant+Director,+Campus+Recruiting")</f>
        <v>https://www.google.com/search?newwindow=1&amp;ei=2MT0XrvGGM-vytMP1OyDgAY&amp;q=site%3Alinkedin.com+Kimberly+Czarnecki+Assistant+Director,+Campus+Recruiting</v>
      </c>
      <c r="K1454" s="5" t="str">
        <f t="shared" si="1"/>
        <v>Kimberly Czarnecki</v>
      </c>
      <c r="L1454" s="5" t="str">
        <f t="shared" si="2"/>
        <v>Assistant Director, Campus Recruiting</v>
      </c>
      <c r="M1454" s="5" t="str">
        <f t="shared" si="3"/>
        <v/>
      </c>
      <c r="N1454" s="5" t="str">
        <f t="shared" si="4"/>
        <v>EY</v>
      </c>
      <c r="O1454" s="5" t="str">
        <f t="shared" si="5"/>
        <v>2 years 1 month in role</v>
      </c>
      <c r="P1454" s="5" t="str">
        <f t="shared" si="6"/>
        <v>Stamford</v>
      </c>
      <c r="Q1454" s="5" t="str">
        <f t="shared" si="7"/>
        <v>Connecticut</v>
      </c>
      <c r="R1454" s="5" t="str">
        <f t="shared" si="8"/>
        <v>United States</v>
      </c>
    </row>
    <row r="1455">
      <c r="A1455" s="8" t="s">
        <v>8410</v>
      </c>
      <c r="B1455" s="12" t="s">
        <v>8411</v>
      </c>
      <c r="C1455" s="10" t="s">
        <v>8412</v>
      </c>
      <c r="D1455" s="10"/>
      <c r="E1455" s="10" t="s">
        <v>8413</v>
      </c>
      <c r="F1455" s="10" t="s">
        <v>697</v>
      </c>
      <c r="G1455" s="11" t="s">
        <v>8414</v>
      </c>
      <c r="H1455" s="11" t="s">
        <v>8414</v>
      </c>
      <c r="I1455" s="11" t="s">
        <v>4600</v>
      </c>
      <c r="J1455" s="9" t="str">
        <f>IFERROR(__xludf.DUMMYFUNCTION("""COMPUTED_VALUE"""),"https://www.google.com/search?newwindow=1&amp;ei=2MT0XrvGGM-vytMP1OyDgAY&amp;q=site%3Alinkedin.com+Caitlin+Toohey+Associate+Director,+Campus+Recruiting")</f>
        <v>https://www.google.com/search?newwindow=1&amp;ei=2MT0XrvGGM-vytMP1OyDgAY&amp;q=site%3Alinkedin.com+Caitlin+Toohey+Associate+Director,+Campus+Recruiting</v>
      </c>
      <c r="K1455" s="5" t="str">
        <f t="shared" si="1"/>
        <v>Caitlin Toohey</v>
      </c>
      <c r="L1455" s="5" t="str">
        <f t="shared" si="2"/>
        <v>Associate Director, Campus Recruiting</v>
      </c>
      <c r="M1455" s="5" t="str">
        <f t="shared" si="3"/>
        <v/>
      </c>
      <c r="N1455" s="5" t="str">
        <f t="shared" si="4"/>
        <v>KPMG</v>
      </c>
      <c r="O1455" s="5" t="str">
        <f t="shared" si="5"/>
        <v>4 years 1 month in role and company</v>
      </c>
      <c r="P1455" s="5" t="str">
        <f t="shared" si="6"/>
        <v>Stamford</v>
      </c>
      <c r="Q1455" s="5" t="str">
        <f t="shared" si="7"/>
        <v>Connecticut</v>
      </c>
      <c r="R1455" s="5" t="str">
        <f t="shared" si="8"/>
        <v>United States</v>
      </c>
    </row>
    <row r="1456">
      <c r="A1456" s="8" t="s">
        <v>8415</v>
      </c>
      <c r="B1456" s="10" t="s">
        <v>8416</v>
      </c>
      <c r="C1456" s="10" t="s">
        <v>8417</v>
      </c>
      <c r="D1456" s="10"/>
      <c r="E1456" s="10" t="s">
        <v>8413</v>
      </c>
      <c r="F1456" s="10" t="s">
        <v>3214</v>
      </c>
      <c r="G1456" s="11" t="s">
        <v>8414</v>
      </c>
      <c r="H1456" s="11" t="s">
        <v>8414</v>
      </c>
      <c r="I1456" s="11" t="s">
        <v>4600</v>
      </c>
      <c r="J1456" s="9" t="str">
        <f>IFERROR(__xludf.DUMMYFUNCTION("""COMPUTED_VALUE"""),"https://www.google.com/search?newwindow=1&amp;ei=2MT0XrvGGM-vytMP1OyDgAY&amp;q=site%3Alinkedin.com+Lynda+Jackson+Apprenticeship+and+Graduate+Recruitment+Manager")</f>
        <v>https://www.google.com/search?newwindow=1&amp;ei=2MT0XrvGGM-vytMP1OyDgAY&amp;q=site%3Alinkedin.com+Lynda+Jackson+Apprenticeship+and+Graduate+Recruitment+Manager</v>
      </c>
      <c r="K1456" s="5" t="str">
        <f t="shared" si="1"/>
        <v>Lynda Jackson</v>
      </c>
      <c r="L1456" s="5" t="str">
        <f t="shared" si="2"/>
        <v>Apprenticeship and Graduate Recruitment Manager</v>
      </c>
      <c r="M1456" s="5" t="str">
        <f t="shared" si="3"/>
        <v/>
      </c>
      <c r="N1456" s="5" t="str">
        <f t="shared" si="4"/>
        <v>Tesco Plc</v>
      </c>
      <c r="O1456" s="5" t="str">
        <f t="shared" si="5"/>
        <v>2 years 3 months in role and company</v>
      </c>
      <c r="P1456" s="5" t="str">
        <f t="shared" si="6"/>
        <v>Stevenage</v>
      </c>
      <c r="Q1456" s="5" t="str">
        <f t="shared" si="7"/>
        <v>England</v>
      </c>
      <c r="R1456" s="5" t="str">
        <f t="shared" si="8"/>
        <v>United Kingdom</v>
      </c>
    </row>
    <row r="1457">
      <c r="A1457" s="8" t="s">
        <v>8418</v>
      </c>
      <c r="B1457" s="12" t="s">
        <v>8419</v>
      </c>
      <c r="C1457" s="10" t="s">
        <v>8420</v>
      </c>
      <c r="D1457" s="10"/>
      <c r="E1457" s="10" t="s">
        <v>8421</v>
      </c>
      <c r="F1457" s="10" t="s">
        <v>100</v>
      </c>
      <c r="G1457" s="11" t="s">
        <v>8422</v>
      </c>
      <c r="H1457" s="11" t="s">
        <v>4599</v>
      </c>
      <c r="I1457" s="11" t="s">
        <v>4600</v>
      </c>
      <c r="J1457" s="9" t="str">
        <f>IFERROR(__xludf.DUMMYFUNCTION("""COMPUTED_VALUE"""),"https://www.google.com/search?newwindow=1&amp;ei=2MT0XrvGGM-vytMP1OyDgAY&amp;q=site%3Alinkedin.com+Olivia+Jaworski+Programs+Officer")</f>
        <v>https://www.google.com/search?newwindow=1&amp;ei=2MT0XrvGGM-vytMP1OyDgAY&amp;q=site%3Alinkedin.com+Olivia+Jaworski+Programs+Officer</v>
      </c>
      <c r="K1457" s="5" t="str">
        <f t="shared" si="1"/>
        <v>Olivia Jaworski</v>
      </c>
      <c r="L1457" s="5" t="str">
        <f t="shared" si="2"/>
        <v>Programs Officer</v>
      </c>
      <c r="M1457" s="5" t="str">
        <f t="shared" si="3"/>
        <v/>
      </c>
      <c r="N1457" s="5" t="str">
        <f t="shared" si="4"/>
        <v>Florida State University</v>
      </c>
      <c r="O1457" s="5" t="str">
        <f t="shared" si="5"/>
        <v>2 years 3 months in role and company</v>
      </c>
      <c r="P1457" s="5" t="str">
        <f t="shared" si="6"/>
        <v>Stevenage</v>
      </c>
      <c r="Q1457" s="5" t="str">
        <f t="shared" si="7"/>
        <v>England</v>
      </c>
      <c r="R1457" s="5" t="str">
        <f t="shared" si="8"/>
        <v>United Kingdom</v>
      </c>
    </row>
    <row r="1458">
      <c r="A1458" s="8" t="s">
        <v>8418</v>
      </c>
      <c r="B1458" s="12" t="s">
        <v>8419</v>
      </c>
      <c r="C1458" s="10" t="s">
        <v>8420</v>
      </c>
      <c r="D1458" s="10"/>
      <c r="E1458" s="10" t="s">
        <v>8421</v>
      </c>
      <c r="F1458" s="10" t="s">
        <v>100</v>
      </c>
      <c r="G1458" s="11" t="s">
        <v>8422</v>
      </c>
      <c r="H1458" s="11" t="s">
        <v>4599</v>
      </c>
      <c r="I1458" s="11" t="s">
        <v>4600</v>
      </c>
      <c r="J1458" s="9" t="str">
        <f>IFERROR(__xludf.DUMMYFUNCTION("""COMPUTED_VALUE"""),"https://www.google.com/search?newwindow=1&amp;ei=2MT0XrvGGM-vytMP1OyDgAY&amp;q=site%3Alinkedin.com+John+Hopkinson+Graduate+Recruiter")</f>
        <v>https://www.google.com/search?newwindow=1&amp;ei=2MT0XrvGGM-vytMP1OyDgAY&amp;q=site%3Alinkedin.com+John+Hopkinson+Graduate+Recruiter</v>
      </c>
      <c r="K1458" s="5" t="str">
        <f t="shared" si="1"/>
        <v>John Hopkinson</v>
      </c>
      <c r="L1458" s="5" t="str">
        <f t="shared" si="2"/>
        <v>Graduate Recruiter</v>
      </c>
      <c r="M1458" s="5" t="str">
        <f t="shared" si="3"/>
        <v/>
      </c>
      <c r="N1458" s="5" t="str">
        <f t="shared" si="4"/>
        <v>Royal Bank of Scotland</v>
      </c>
      <c r="O1458" s="5" t="str">
        <f t="shared" si="5"/>
        <v>7 years 2 months in role</v>
      </c>
      <c r="P1458" s="5" t="str">
        <f t="shared" si="6"/>
        <v>Stockport</v>
      </c>
      <c r="Q1458" s="5" t="str">
        <f t="shared" si="7"/>
        <v>England</v>
      </c>
      <c r="R1458" s="5" t="str">
        <f t="shared" si="8"/>
        <v>United Kingdom</v>
      </c>
    </row>
    <row r="1459">
      <c r="A1459" s="8" t="s">
        <v>8423</v>
      </c>
      <c r="B1459" s="12" t="s">
        <v>8424</v>
      </c>
      <c r="C1459" s="10" t="s">
        <v>1896</v>
      </c>
      <c r="D1459" s="10"/>
      <c r="E1459" s="10" t="s">
        <v>2297</v>
      </c>
      <c r="F1459" s="10" t="s">
        <v>441</v>
      </c>
      <c r="G1459" s="11" t="s">
        <v>8425</v>
      </c>
      <c r="H1459" s="11" t="s">
        <v>96</v>
      </c>
      <c r="I1459" s="11" t="s">
        <v>18</v>
      </c>
      <c r="J1459" s="9" t="str">
        <f>IFERROR(__xludf.DUMMYFUNCTION("""COMPUTED_VALUE"""),"https://www.google.com/search?newwindow=1&amp;ei=2MT0XrvGGM-vytMP1OyDgAY&amp;q=site%3Alinkedin.com+Marsha+Smith+PA+to+Director+of+Global+Student+Recruitment+&amp;+Admissions,+at+Keele+University")</f>
        <v>https://www.google.com/search?newwindow=1&amp;ei=2MT0XrvGGM-vytMP1OyDgAY&amp;q=site%3Alinkedin.com+Marsha+Smith+PA+to+Director+of+Global+Student+Recruitment+&amp;+Admissions,+at+Keele+University</v>
      </c>
      <c r="K1459" s="5" t="str">
        <f t="shared" si="1"/>
        <v>Marsha Smith</v>
      </c>
      <c r="L1459" s="5" t="str">
        <f t="shared" si="2"/>
        <v>PA to Director of Global Student Recruitment &amp; Admissions, at Keele University</v>
      </c>
      <c r="M1459" s="5" t="str">
        <f t="shared" si="3"/>
        <v/>
      </c>
      <c r="N1459" s="5" t="str">
        <f t="shared" si="4"/>
        <v>Keele University</v>
      </c>
      <c r="O1459" s="5" t="str">
        <f t="shared" si="5"/>
        <v>1 month in role</v>
      </c>
      <c r="P1459" s="5" t="str">
        <f t="shared" si="6"/>
        <v>Stoke-on-Trent</v>
      </c>
      <c r="Q1459" s="5" t="str">
        <f t="shared" si="7"/>
        <v>England</v>
      </c>
      <c r="R1459" s="5" t="str">
        <f t="shared" si="8"/>
        <v>United Kingdom</v>
      </c>
    </row>
    <row r="1460">
      <c r="A1460" s="8" t="s">
        <v>8426</v>
      </c>
      <c r="B1460" s="10" t="s">
        <v>8427</v>
      </c>
      <c r="C1460" s="10" t="s">
        <v>8428</v>
      </c>
      <c r="D1460" s="10"/>
      <c r="E1460" s="10" t="s">
        <v>4701</v>
      </c>
      <c r="F1460" s="10" t="s">
        <v>268</v>
      </c>
      <c r="G1460" s="11" t="s">
        <v>8429</v>
      </c>
      <c r="H1460" s="11" t="s">
        <v>8430</v>
      </c>
      <c r="I1460" s="11" t="s">
        <v>18</v>
      </c>
      <c r="J1460" s="9" t="str">
        <f>IFERROR(__xludf.DUMMYFUNCTION("""COMPUTED_VALUE"""),"https://www.google.com/search?newwindow=1&amp;ei=2MT0XrvGGM-vytMP1OyDgAY&amp;q=site%3Alinkedin.com+Ramone+Davis+International+Student+Recruiter")</f>
        <v>https://www.google.com/search?newwindow=1&amp;ei=2MT0XrvGGM-vytMP1OyDgAY&amp;q=site%3Alinkedin.com+Ramone+Davis+International+Student+Recruiter</v>
      </c>
      <c r="K1460" s="5" t="str">
        <f t="shared" si="1"/>
        <v>Ramone Davis</v>
      </c>
      <c r="L1460" s="5" t="str">
        <f t="shared" si="2"/>
        <v>International Student Recruiter</v>
      </c>
      <c r="M1460" s="5" t="str">
        <f t="shared" si="3"/>
        <v/>
      </c>
      <c r="N1460" s="5" t="str">
        <f t="shared" si="4"/>
        <v>RDA Recruitment (Ramone Davis Academic Recruitment)</v>
      </c>
      <c r="O1460" s="5" t="str">
        <f t="shared" si="5"/>
        <v>1 year 5 months in role and company</v>
      </c>
      <c r="P1460" s="5" t="str">
        <f t="shared" si="6"/>
        <v>Sudbury</v>
      </c>
      <c r="Q1460" s="5" t="str">
        <f t="shared" si="7"/>
        <v>Ontario</v>
      </c>
      <c r="R1460" s="5" t="str">
        <f t="shared" si="8"/>
        <v>Canada</v>
      </c>
    </row>
    <row r="1461">
      <c r="A1461" s="8" t="s">
        <v>8431</v>
      </c>
      <c r="B1461" s="10" t="s">
        <v>8432</v>
      </c>
      <c r="C1461" s="10" t="s">
        <v>1378</v>
      </c>
      <c r="D1461" s="10"/>
      <c r="E1461" s="10" t="s">
        <v>1233</v>
      </c>
      <c r="F1461" s="10" t="s">
        <v>36</v>
      </c>
      <c r="G1461" s="11" t="s">
        <v>2339</v>
      </c>
      <c r="H1461" s="11" t="s">
        <v>781</v>
      </c>
      <c r="I1461" s="11" t="s">
        <v>18</v>
      </c>
      <c r="J1461" s="9" t="str">
        <f>IFERROR(__xludf.DUMMYFUNCTION("""COMPUTED_VALUE"""),"https://www.google.com/search?newwindow=1&amp;ei=2MT0XrvGGM-vytMP1OyDgAY&amp;q=site%3Alinkedin.com+Jennifer+Sullivan+Senior+Manager,+National+Technology+Campus+Recruiting+Leader")</f>
        <v>https://www.google.com/search?newwindow=1&amp;ei=2MT0XrvGGM-vytMP1OyDgAY&amp;q=site%3Alinkedin.com+Jennifer+Sullivan+Senior+Manager,+National+Technology+Campus+Recruiting+Leader</v>
      </c>
      <c r="K1461" s="5" t="str">
        <f t="shared" si="1"/>
        <v>Jennifer Sullivan</v>
      </c>
      <c r="L1461" s="5" t="str">
        <f t="shared" si="2"/>
        <v>Senior Manager, National Technology Campus Recruiting Leader</v>
      </c>
      <c r="M1461" s="5" t="str">
        <f t="shared" si="3"/>
        <v/>
      </c>
      <c r="N1461" s="5" t="str">
        <f t="shared" si="4"/>
        <v>Deloitte</v>
      </c>
      <c r="O1461" s="5" t="str">
        <f t="shared" si="5"/>
        <v>6 years 3 months in role</v>
      </c>
      <c r="P1461" s="5" t="str">
        <f t="shared" si="6"/>
        <v>Summit</v>
      </c>
      <c r="Q1461" s="5" t="str">
        <f t="shared" si="7"/>
        <v>New Jersey</v>
      </c>
      <c r="R1461" s="5" t="str">
        <f t="shared" si="8"/>
        <v>United States</v>
      </c>
    </row>
    <row r="1462">
      <c r="A1462" s="8" t="s">
        <v>8433</v>
      </c>
      <c r="B1462" s="10" t="s">
        <v>8434</v>
      </c>
      <c r="C1462" s="10" t="s">
        <v>8435</v>
      </c>
      <c r="D1462" s="10"/>
      <c r="E1462" s="10" t="s">
        <v>8436</v>
      </c>
      <c r="F1462" s="10" t="s">
        <v>182</v>
      </c>
      <c r="G1462" s="11" t="s">
        <v>2339</v>
      </c>
      <c r="H1462" s="11" t="s">
        <v>781</v>
      </c>
      <c r="I1462" s="11" t="s">
        <v>18</v>
      </c>
      <c r="J1462" s="9" t="str">
        <f>IFERROR(__xludf.DUMMYFUNCTION("""COMPUTED_VALUE"""),"https://www.google.com/search?newwindow=1&amp;ei=2MT0XrvGGM-vytMP1OyDgAY&amp;q=site%3Alinkedin.com+Daorbhla+Smyth+Programmatic+Hiring+Recruiter")</f>
        <v>https://www.google.com/search?newwindow=1&amp;ei=2MT0XrvGGM-vytMP1OyDgAY&amp;q=site%3Alinkedin.com+Daorbhla+Smyth+Programmatic+Hiring+Recruiter</v>
      </c>
      <c r="K1462" s="5" t="str">
        <f t="shared" si="1"/>
        <v>Daorbhla Smyth</v>
      </c>
      <c r="L1462" s="5" t="str">
        <f t="shared" si="2"/>
        <v>Programmatic Hiring Recruiter</v>
      </c>
      <c r="M1462" s="5" t="str">
        <f t="shared" si="3"/>
        <v/>
      </c>
      <c r="N1462" s="5" t="str">
        <f t="shared" si="4"/>
        <v>BP</v>
      </c>
      <c r="O1462" s="5" t="str">
        <f t="shared" si="5"/>
        <v>3 years 2 months in role</v>
      </c>
      <c r="P1462" s="5" t="str">
        <f t="shared" si="6"/>
        <v>Sunbury</v>
      </c>
      <c r="Q1462" s="5" t="str">
        <f t="shared" si="7"/>
        <v>England</v>
      </c>
      <c r="R1462" s="5" t="str">
        <f t="shared" si="8"/>
        <v>United Kingdom</v>
      </c>
    </row>
    <row r="1463">
      <c r="A1463" s="8" t="s">
        <v>8437</v>
      </c>
      <c r="B1463" s="10" t="s">
        <v>8438</v>
      </c>
      <c r="C1463" s="10" t="s">
        <v>8439</v>
      </c>
      <c r="D1463" s="10"/>
      <c r="E1463" s="10" t="s">
        <v>2297</v>
      </c>
      <c r="F1463" s="10" t="s">
        <v>1089</v>
      </c>
      <c r="G1463" s="11" t="s">
        <v>8440</v>
      </c>
      <c r="H1463" s="11" t="s">
        <v>137</v>
      </c>
      <c r="I1463" s="11" t="s">
        <v>18</v>
      </c>
      <c r="J1463" s="9" t="str">
        <f>IFERROR(__xludf.DUMMYFUNCTION("""COMPUTED_VALUE"""),"https://www.google.com/search?newwindow=1&amp;ei=2MT0XrvGGM-vytMP1OyDgAY&amp;q=site%3Alinkedin.com+Lorna+Todd+University+Recruiter")</f>
        <v>https://www.google.com/search?newwindow=1&amp;ei=2MT0XrvGGM-vytMP1OyDgAY&amp;q=site%3Alinkedin.com+Lorna+Todd+University+Recruiter</v>
      </c>
      <c r="K1463" s="5" t="str">
        <f t="shared" si="1"/>
        <v>Lorna Todd</v>
      </c>
      <c r="L1463" s="5" t="str">
        <f t="shared" si="2"/>
        <v>University Recruiter</v>
      </c>
      <c r="M1463" s="5" t="str">
        <f t="shared" si="3"/>
        <v/>
      </c>
      <c r="N1463" s="5" t="str">
        <f t="shared" si="4"/>
        <v>PREMIER TEACHERS LTD</v>
      </c>
      <c r="O1463" s="5" t="str">
        <f t="shared" si="5"/>
        <v>10 months in role and company</v>
      </c>
      <c r="P1463" s="5" t="str">
        <f t="shared" si="6"/>
        <v>Sunderland</v>
      </c>
      <c r="Q1463" s="5" t="str">
        <f t="shared" si="7"/>
        <v>England</v>
      </c>
      <c r="R1463" s="5" t="str">
        <f t="shared" si="8"/>
        <v>United Kingdom</v>
      </c>
    </row>
    <row r="1464">
      <c r="A1464" s="8" t="s">
        <v>8441</v>
      </c>
      <c r="B1464" s="10" t="s">
        <v>8442</v>
      </c>
      <c r="C1464" s="10" t="s">
        <v>8443</v>
      </c>
      <c r="D1464" s="10"/>
      <c r="E1464" s="10" t="s">
        <v>4935</v>
      </c>
      <c r="F1464" s="10" t="s">
        <v>626</v>
      </c>
      <c r="G1464" s="11" t="s">
        <v>8440</v>
      </c>
      <c r="H1464" s="11" t="s">
        <v>137</v>
      </c>
      <c r="I1464" s="11" t="s">
        <v>18</v>
      </c>
      <c r="J1464" s="9" t="str">
        <f>IFERROR(__xludf.DUMMYFUNCTION("""COMPUTED_VALUE"""),"https://www.google.com/search?newwindow=1&amp;ei=2MT0XrvGGM-vytMP1OyDgAY&amp;q=site%3Alinkedin.com+Anthea+Ip+Lead,+Campus+Recruiting+Data+Pod,+Senior+Technical+Recruiter")</f>
        <v>https://www.google.com/search?newwindow=1&amp;ei=2MT0XrvGGM-vytMP1OyDgAY&amp;q=site%3Alinkedin.com+Anthea+Ip+Lead,+Campus+Recruiting+Data+Pod,+Senior+Technical+Recruiter</v>
      </c>
      <c r="K1464" s="5" t="str">
        <f t="shared" si="1"/>
        <v>Anthea Ip</v>
      </c>
      <c r="L1464" s="5" t="str">
        <f t="shared" si="2"/>
        <v>Lead, Campus Recruiting Data Pod, Senior Technical Recruiter</v>
      </c>
      <c r="M1464" s="5" t="str">
        <f t="shared" si="3"/>
        <v/>
      </c>
      <c r="N1464" s="5" t="str">
        <f t="shared" si="4"/>
        <v>LinkedIn</v>
      </c>
      <c r="O1464" s="5" t="str">
        <f t="shared" si="5"/>
        <v>6 years 10 months in role and company</v>
      </c>
      <c r="P1464" s="5" t="str">
        <f t="shared" si="6"/>
        <v>Sunnyvale</v>
      </c>
      <c r="Q1464" s="5" t="str">
        <f t="shared" si="7"/>
        <v>California</v>
      </c>
      <c r="R1464" s="5" t="str">
        <f t="shared" si="8"/>
        <v>United States</v>
      </c>
    </row>
    <row r="1465">
      <c r="A1465" s="8" t="s">
        <v>8444</v>
      </c>
      <c r="B1465" s="12" t="s">
        <v>8445</v>
      </c>
      <c r="C1465" s="10" t="s">
        <v>8446</v>
      </c>
      <c r="D1465" s="10"/>
      <c r="E1465" s="10" t="s">
        <v>6566</v>
      </c>
      <c r="F1465" s="10" t="s">
        <v>8447</v>
      </c>
      <c r="G1465" s="11" t="s">
        <v>8448</v>
      </c>
      <c r="H1465" s="11" t="s">
        <v>4757</v>
      </c>
      <c r="I1465" s="11" t="s">
        <v>4607</v>
      </c>
      <c r="J1465" s="9" t="str">
        <f>IFERROR(__xludf.DUMMYFUNCTION("""COMPUTED_VALUE"""),"https://www.google.com/search?newwindow=1&amp;ei=2MT0XrvGGM-vytMP1OyDgAY&amp;q=site%3Alinkedin.com+Nathalie+Zamora+(She/Her)+Senior+Events+Program+Manager+|+Global+Programs+&amp;+Events+|+Campus+Recruiting+|+Talent+Acquisition")</f>
        <v>https://www.google.com/search?newwindow=1&amp;ei=2MT0XrvGGM-vytMP1OyDgAY&amp;q=site%3Alinkedin.com+Nathalie+Zamora+(She/Her)+Senior+Events+Program+Manager+|+Global+Programs+&amp;+Events+|+Campus+Recruiting+|+Talent+Acquisition</v>
      </c>
      <c r="K1465" s="5" t="str">
        <f t="shared" si="1"/>
        <v>Nathalie Zamora (She/Her)</v>
      </c>
      <c r="L1465" s="5" t="str">
        <f t="shared" si="2"/>
        <v>Senior Events Program Manager | Global Programs &amp; Events | Campus Recruiting | Talent Acquisition</v>
      </c>
      <c r="M1465" s="5" t="str">
        <f t="shared" si="3"/>
        <v/>
      </c>
      <c r="N1465" s="5" t="str">
        <f t="shared" si="4"/>
        <v>LinkedIn</v>
      </c>
      <c r="O1465" s="5" t="str">
        <f t="shared" si="5"/>
        <v>1 month in role</v>
      </c>
      <c r="P1465" s="5" t="str">
        <f t="shared" si="6"/>
        <v>Sunnyvale</v>
      </c>
      <c r="Q1465" s="5" t="str">
        <f t="shared" si="7"/>
        <v>California</v>
      </c>
      <c r="R1465" s="5" t="str">
        <f t="shared" si="8"/>
        <v>United States</v>
      </c>
    </row>
    <row r="1466">
      <c r="A1466" s="8" t="s">
        <v>8449</v>
      </c>
      <c r="B1466" s="10" t="s">
        <v>2886</v>
      </c>
      <c r="C1466" s="10" t="s">
        <v>1428</v>
      </c>
      <c r="D1466" s="10"/>
      <c r="E1466" s="10" t="s">
        <v>2839</v>
      </c>
      <c r="F1466" s="10" t="s">
        <v>2322</v>
      </c>
      <c r="G1466" s="11" t="s">
        <v>801</v>
      </c>
      <c r="H1466" s="11" t="s">
        <v>50</v>
      </c>
      <c r="I1466" s="11" t="s">
        <v>18</v>
      </c>
      <c r="J1466" s="9" t="str">
        <f>IFERROR(__xludf.DUMMYFUNCTION("""COMPUTED_VALUE"""),"https://www.google.com/search?newwindow=1&amp;ei=2MT0XrvGGM-vytMP1OyDgAY&amp;q=site%3Alinkedin.com+Michelle+Tri+College+Recruiter")</f>
        <v>https://www.google.com/search?newwindow=1&amp;ei=2MT0XrvGGM-vytMP1OyDgAY&amp;q=site%3Alinkedin.com+Michelle+Tri+College+Recruiter</v>
      </c>
      <c r="K1466" s="5" t="str">
        <f t="shared" si="1"/>
        <v>Michelle Tri</v>
      </c>
      <c r="L1466" s="5" t="str">
        <f t="shared" si="2"/>
        <v>College Recruiter</v>
      </c>
      <c r="M1466" s="5" t="str">
        <f t="shared" si="3"/>
        <v/>
      </c>
      <c r="N1466" s="5" t="str">
        <f t="shared" si="4"/>
        <v>Simon Fraser University</v>
      </c>
      <c r="O1466" s="5" t="str">
        <f t="shared" si="5"/>
        <v>1 year 3 months in role</v>
      </c>
      <c r="P1466" s="5" t="str">
        <f t="shared" si="6"/>
        <v>Surrey</v>
      </c>
      <c r="Q1466" s="5" t="str">
        <f t="shared" si="7"/>
        <v>British Columbia</v>
      </c>
      <c r="R1466" s="5" t="str">
        <f t="shared" si="8"/>
        <v>Canada</v>
      </c>
    </row>
    <row r="1467">
      <c r="A1467" s="8" t="s">
        <v>8450</v>
      </c>
      <c r="B1467" s="10" t="s">
        <v>8451</v>
      </c>
      <c r="C1467" s="10" t="s">
        <v>8452</v>
      </c>
      <c r="D1467" s="10"/>
      <c r="E1467" s="10" t="s">
        <v>845</v>
      </c>
      <c r="F1467" s="10" t="s">
        <v>1460</v>
      </c>
      <c r="G1467" s="11" t="s">
        <v>801</v>
      </c>
      <c r="H1467" s="11" t="s">
        <v>50</v>
      </c>
      <c r="I1467" s="11" t="s">
        <v>18</v>
      </c>
      <c r="J1467" s="9" t="str">
        <f>IFERROR(__xludf.DUMMYFUNCTION("""COMPUTED_VALUE"""),"https://www.google.com/search?newwindow=1&amp;ei=2MT0XrvGGM-vytMP1OyDgAY&amp;q=site%3Alinkedin.com+Dharm+Joshi+Director+Masters+Programs")</f>
        <v>https://www.google.com/search?newwindow=1&amp;ei=2MT0XrvGGM-vytMP1OyDgAY&amp;q=site%3Alinkedin.com+Dharm+Joshi+Director+Masters+Programs</v>
      </c>
      <c r="K1467" s="5" t="str">
        <f t="shared" si="1"/>
        <v>Dharm Joshi</v>
      </c>
      <c r="L1467" s="5" t="str">
        <f t="shared" si="2"/>
        <v>Director Masters Programs</v>
      </c>
      <c r="M1467" s="5" t="str">
        <f t="shared" si="3"/>
        <v/>
      </c>
      <c r="N1467" s="5" t="str">
        <f t="shared" si="4"/>
        <v>UBC Sauder School of Business</v>
      </c>
      <c r="O1467" s="5" t="str">
        <f t="shared" si="5"/>
        <v>3 years 10 months in role</v>
      </c>
      <c r="P1467" s="5" t="str">
        <f t="shared" si="6"/>
        <v>Surrey</v>
      </c>
      <c r="Q1467" s="5" t="str">
        <f t="shared" si="7"/>
        <v>British Columbia</v>
      </c>
      <c r="R1467" s="5" t="str">
        <f t="shared" si="8"/>
        <v>Canada</v>
      </c>
    </row>
    <row r="1468">
      <c r="A1468" s="8" t="s">
        <v>8453</v>
      </c>
      <c r="B1468" s="10" t="s">
        <v>8454</v>
      </c>
      <c r="C1468" s="10" t="s">
        <v>4596</v>
      </c>
      <c r="D1468" s="10"/>
      <c r="E1468" s="10" t="s">
        <v>8455</v>
      </c>
      <c r="F1468" s="10" t="s">
        <v>60</v>
      </c>
      <c r="G1468" s="11" t="s">
        <v>8456</v>
      </c>
      <c r="H1468" s="11" t="s">
        <v>7660</v>
      </c>
      <c r="I1468" s="11" t="s">
        <v>4600</v>
      </c>
      <c r="J1468" s="9" t="str">
        <f>IFERROR(__xludf.DUMMYFUNCTION("""COMPUTED_VALUE"""),"https://www.google.com/search?newwindow=1&amp;ei=2MT0XrvGGM-vytMP1OyDgAY&amp;q=site%3Alinkedin.com+Haolun+Tang+HR+Campus+Recruiter")</f>
        <v>https://www.google.com/search?newwindow=1&amp;ei=2MT0XrvGGM-vytMP1OyDgAY&amp;q=site%3Alinkedin.com+Haolun+Tang+HR+Campus+Recruiter</v>
      </c>
      <c r="K1468" s="5" t="str">
        <f t="shared" si="1"/>
        <v>Haolun Tang</v>
      </c>
      <c r="L1468" s="5" t="str">
        <f t="shared" si="2"/>
        <v>HR Campus Recruiter</v>
      </c>
      <c r="M1468" s="5" t="str">
        <f t="shared" si="3"/>
        <v/>
      </c>
      <c r="N1468" s="5" t="str">
        <f t="shared" si="4"/>
        <v>西门子</v>
      </c>
      <c r="O1468" s="5" t="str">
        <f t="shared" si="5"/>
        <v>5 months in role and company</v>
      </c>
      <c r="P1468" s="5" t="str">
        <f t="shared" si="6"/>
        <v>Surrey</v>
      </c>
      <c r="Q1468" s="5" t="str">
        <f t="shared" si="7"/>
        <v>England</v>
      </c>
      <c r="R1468" s="5" t="str">
        <f t="shared" si="8"/>
        <v>United Kingdom</v>
      </c>
    </row>
    <row r="1469">
      <c r="A1469" s="8" t="s">
        <v>8457</v>
      </c>
      <c r="B1469" s="10" t="s">
        <v>8458</v>
      </c>
      <c r="C1469" s="10" t="s">
        <v>8459</v>
      </c>
      <c r="D1469" s="10"/>
      <c r="E1469" s="10" t="s">
        <v>8460</v>
      </c>
      <c r="F1469" s="10" t="s">
        <v>125</v>
      </c>
      <c r="G1469" s="11" t="s">
        <v>8456</v>
      </c>
      <c r="H1469" s="11" t="s">
        <v>7660</v>
      </c>
      <c r="I1469" s="11" t="s">
        <v>4600</v>
      </c>
      <c r="J1469" s="9" t="str">
        <f>IFERROR(__xludf.DUMMYFUNCTION("""COMPUTED_VALUE"""),"https://www.google.com/search?newwindow=1&amp;ei=2MT0XrvGGM-vytMP1OyDgAY&amp;q=site%3Alinkedin.com+Joe+Harrison+Programs+Assistant")</f>
        <v>https://www.google.com/search?newwindow=1&amp;ei=2MT0XrvGGM-vytMP1OyDgAY&amp;q=site%3Alinkedin.com+Joe+Harrison+Programs+Assistant</v>
      </c>
      <c r="K1469" s="5" t="str">
        <f t="shared" si="1"/>
        <v>Joe Harrison</v>
      </c>
      <c r="L1469" s="5" t="str">
        <f t="shared" si="2"/>
        <v>Programs Assistant</v>
      </c>
      <c r="M1469" s="5" t="str">
        <f t="shared" si="3"/>
        <v/>
      </c>
      <c r="N1469" s="5" t="str">
        <f t="shared" si="4"/>
        <v>Monash University</v>
      </c>
      <c r="O1469" s="5" t="str">
        <f t="shared" si="5"/>
        <v>1 year 8 months in role and company</v>
      </c>
      <c r="P1469" s="5" t="str">
        <f t="shared" si="6"/>
        <v>Surrey Hills</v>
      </c>
      <c r="Q1469" s="5" t="str">
        <f t="shared" si="7"/>
        <v>Victoria</v>
      </c>
      <c r="R1469" s="5" t="str">
        <f t="shared" si="8"/>
        <v>Australia</v>
      </c>
    </row>
    <row r="1470">
      <c r="A1470" s="8" t="s">
        <v>8461</v>
      </c>
      <c r="B1470" s="10" t="s">
        <v>8462</v>
      </c>
      <c r="C1470" s="10" t="s">
        <v>8463</v>
      </c>
      <c r="D1470" s="10"/>
      <c r="E1470" s="10" t="s">
        <v>5165</v>
      </c>
      <c r="F1470" s="10" t="s">
        <v>283</v>
      </c>
      <c r="G1470" s="11" t="s">
        <v>8456</v>
      </c>
      <c r="H1470" s="11" t="s">
        <v>7660</v>
      </c>
      <c r="I1470" s="11" t="s">
        <v>4600</v>
      </c>
      <c r="J1470" s="9" t="str">
        <f>IFERROR(__xludf.DUMMYFUNCTION("""COMPUTED_VALUE"""),"https://www.google.com/search?newwindow=1&amp;ei=2MT0XrvGGM-vytMP1OyDgAY&amp;q=site%3Alinkedin.com+Zuli+Posada+Senior+Campus+Recruiter")</f>
        <v>https://www.google.com/search?newwindow=1&amp;ei=2MT0XrvGGM-vytMP1OyDgAY&amp;q=site%3Alinkedin.com+Zuli+Posada+Senior+Campus+Recruiter</v>
      </c>
      <c r="K1470" s="5" t="str">
        <f t="shared" si="1"/>
        <v>Zuli Posada</v>
      </c>
      <c r="L1470" s="5" t="str">
        <f t="shared" si="2"/>
        <v>Senior Campus Recruiter</v>
      </c>
      <c r="M1470" s="5" t="str">
        <f t="shared" si="3"/>
        <v/>
      </c>
      <c r="N1470" s="5" t="str">
        <f t="shared" si="4"/>
        <v>Atlassian</v>
      </c>
      <c r="O1470" s="5" t="str">
        <f t="shared" si="5"/>
        <v>1 year 8 months in role and company</v>
      </c>
      <c r="P1470" s="5" t="str">
        <f t="shared" si="6"/>
        <v>Sydney</v>
      </c>
      <c r="Q1470" s="5" t="str">
        <f t="shared" si="7"/>
        <v>New South Wales</v>
      </c>
      <c r="R1470" s="5" t="str">
        <f t="shared" si="8"/>
        <v>Australia</v>
      </c>
    </row>
    <row r="1471">
      <c r="A1471" s="8" t="s">
        <v>8464</v>
      </c>
      <c r="B1471" s="10" t="s">
        <v>8465</v>
      </c>
      <c r="C1471" s="10" t="s">
        <v>8466</v>
      </c>
      <c r="D1471" s="10"/>
      <c r="E1471" s="10" t="s">
        <v>8467</v>
      </c>
      <c r="F1471" s="10" t="s">
        <v>48</v>
      </c>
      <c r="G1471" s="11" t="s">
        <v>8456</v>
      </c>
      <c r="H1471" s="11" t="s">
        <v>7660</v>
      </c>
      <c r="I1471" s="11" t="s">
        <v>4600</v>
      </c>
      <c r="J1471" s="9" t="str">
        <f>IFERROR(__xludf.DUMMYFUNCTION("""COMPUTED_VALUE"""),"https://www.google.com/search?newwindow=1&amp;ei=2MT0XrvGGM-vytMP1OyDgAY&amp;q=site%3Alinkedin.com+Rachel+Ding+Principal+Campus+Recruiter")</f>
        <v>https://www.google.com/search?newwindow=1&amp;ei=2MT0XrvGGM-vytMP1OyDgAY&amp;q=site%3Alinkedin.com+Rachel+Ding+Principal+Campus+Recruiter</v>
      </c>
      <c r="K1471" s="5" t="str">
        <f t="shared" si="1"/>
        <v>Rachel Ding</v>
      </c>
      <c r="L1471" s="5" t="str">
        <f t="shared" si="2"/>
        <v>Principal Campus Recruiter</v>
      </c>
      <c r="M1471" s="5" t="str">
        <f t="shared" si="3"/>
        <v/>
      </c>
      <c r="N1471" s="5" t="str">
        <f t="shared" si="4"/>
        <v>Atlassian</v>
      </c>
      <c r="O1471" s="5" t="str">
        <f t="shared" si="5"/>
        <v>1 month in role</v>
      </c>
      <c r="P1471" s="5" t="str">
        <f t="shared" si="6"/>
        <v>Sydney</v>
      </c>
      <c r="Q1471" s="5" t="str">
        <f t="shared" si="7"/>
        <v>New South Wales</v>
      </c>
      <c r="R1471" s="5" t="str">
        <f t="shared" si="8"/>
        <v>Australia</v>
      </c>
    </row>
    <row r="1472">
      <c r="A1472" s="8" t="s">
        <v>8453</v>
      </c>
      <c r="B1472" s="10" t="s">
        <v>8454</v>
      </c>
      <c r="C1472" s="10" t="s">
        <v>4596</v>
      </c>
      <c r="D1472" s="10"/>
      <c r="E1472" s="10" t="s">
        <v>8455</v>
      </c>
      <c r="F1472" s="10" t="s">
        <v>60</v>
      </c>
      <c r="G1472" s="11" t="s">
        <v>8456</v>
      </c>
      <c r="H1472" s="11" t="s">
        <v>7660</v>
      </c>
      <c r="I1472" s="11" t="s">
        <v>4600</v>
      </c>
      <c r="J1472" s="9" t="str">
        <f>IFERROR(__xludf.DUMMYFUNCTION("""COMPUTED_VALUE"""),"https://www.google.com/search?newwindow=1&amp;ei=2MT0XrvGGM-vytMP1OyDgAY&amp;q=site%3Alinkedin.com+Brianna+Durso+Campus+Recruiter+ANZ+&amp;+APAC+University+Relations+Specialist")</f>
        <v>https://www.google.com/search?newwindow=1&amp;ei=2MT0XrvGGM-vytMP1OyDgAY&amp;q=site%3Alinkedin.com+Brianna+Durso+Campus+Recruiter+ANZ+&amp;+APAC+University+Relations+Specialist</v>
      </c>
      <c r="K1472" s="5" t="str">
        <f t="shared" si="1"/>
        <v>Brianna Durso</v>
      </c>
      <c r="L1472" s="5" t="str">
        <f t="shared" si="2"/>
        <v>Campus Recruiter ANZ &amp; APAC University Relations Specialist</v>
      </c>
      <c r="M1472" s="5" t="str">
        <f t="shared" si="3"/>
        <v/>
      </c>
      <c r="N1472" s="5" t="str">
        <f t="shared" si="4"/>
        <v>Citi</v>
      </c>
      <c r="O1472" s="5" t="str">
        <f t="shared" si="5"/>
        <v>8 months in role</v>
      </c>
      <c r="P1472" s="5" t="str">
        <f t="shared" si="6"/>
        <v>Sydney</v>
      </c>
      <c r="Q1472" s="5" t="str">
        <f t="shared" si="7"/>
        <v>New South Wales</v>
      </c>
      <c r="R1472" s="5" t="str">
        <f t="shared" si="8"/>
        <v>Australia</v>
      </c>
    </row>
    <row r="1473">
      <c r="A1473" s="8" t="s">
        <v>8457</v>
      </c>
      <c r="B1473" s="10" t="s">
        <v>8458</v>
      </c>
      <c r="C1473" s="10" t="s">
        <v>8459</v>
      </c>
      <c r="D1473" s="10"/>
      <c r="E1473" s="10" t="s">
        <v>8460</v>
      </c>
      <c r="F1473" s="10" t="s">
        <v>125</v>
      </c>
      <c r="G1473" s="11" t="s">
        <v>8456</v>
      </c>
      <c r="H1473" s="11" t="s">
        <v>7660</v>
      </c>
      <c r="I1473" s="11" t="s">
        <v>4600</v>
      </c>
      <c r="J1473" s="9" t="str">
        <f>IFERROR(__xludf.DUMMYFUNCTION("""COMPUTED_VALUE"""),"https://www.google.com/search?newwindow=1&amp;ei=2MT0XrvGGM-vytMP1OyDgAY&amp;q=site%3Alinkedin.com+Catherine+Tsiakoulas+Graduate+Recruitment+and+University+Partnerships+Consultant")</f>
        <v>https://www.google.com/search?newwindow=1&amp;ei=2MT0XrvGGM-vytMP1OyDgAY&amp;q=site%3Alinkedin.com+Catherine+Tsiakoulas+Graduate+Recruitment+and+University+Partnerships+Consultant</v>
      </c>
      <c r="K1473" s="5" t="str">
        <f t="shared" si="1"/>
        <v>Catherine Tsiakoulas</v>
      </c>
      <c r="L1473" s="5" t="str">
        <f t="shared" si="2"/>
        <v>Graduate Recruitment and University Partnerships Consultant</v>
      </c>
      <c r="M1473" s="5" t="str">
        <f t="shared" si="3"/>
        <v/>
      </c>
      <c r="N1473" s="5" t="str">
        <f t="shared" si="4"/>
        <v>FDM Group</v>
      </c>
      <c r="O1473" s="5" t="str">
        <f t="shared" si="5"/>
        <v>10 months in role and company</v>
      </c>
      <c r="P1473" s="5" t="str">
        <f t="shared" si="6"/>
        <v>Sydney</v>
      </c>
      <c r="Q1473" s="5" t="str">
        <f t="shared" si="7"/>
        <v>New South Wales</v>
      </c>
      <c r="R1473" s="5" t="str">
        <f t="shared" si="8"/>
        <v>Australia</v>
      </c>
    </row>
    <row r="1474">
      <c r="A1474" s="8" t="s">
        <v>8468</v>
      </c>
      <c r="B1474" s="12" t="s">
        <v>8469</v>
      </c>
      <c r="C1474" s="10" t="s">
        <v>8470</v>
      </c>
      <c r="D1474" s="10"/>
      <c r="E1474" s="10" t="s">
        <v>8460</v>
      </c>
      <c r="F1474" s="10" t="s">
        <v>207</v>
      </c>
      <c r="G1474" s="11" t="s">
        <v>8456</v>
      </c>
      <c r="H1474" s="11" t="s">
        <v>7660</v>
      </c>
      <c r="I1474" s="11" t="s">
        <v>4600</v>
      </c>
      <c r="J1474" s="9" t="str">
        <f>IFERROR(__xludf.DUMMYFUNCTION("""COMPUTED_VALUE"""),"https://www.google.com/search?newwindow=1&amp;ei=2MT0XrvGGM-vytMP1OyDgAY&amp;q=site%3Alinkedin.com+Kym+Freedman+Campus+Recruiting")</f>
        <v>https://www.google.com/search?newwindow=1&amp;ei=2MT0XrvGGM-vytMP1OyDgAY&amp;q=site%3Alinkedin.com+Kym+Freedman+Campus+Recruiting</v>
      </c>
      <c r="K1474" s="5" t="str">
        <f t="shared" si="1"/>
        <v>Kym Freedman</v>
      </c>
      <c r="L1474" s="5" t="str">
        <f t="shared" si="2"/>
        <v>Campus Recruiting</v>
      </c>
      <c r="M1474" s="5" t="str">
        <f t="shared" si="3"/>
        <v/>
      </c>
      <c r="N1474" s="5" t="str">
        <f t="shared" si="4"/>
        <v>Susquehanna International Group, LLP (SIG)</v>
      </c>
      <c r="O1474" s="5" t="str">
        <f t="shared" si="5"/>
        <v>1 year 5 months in role and company</v>
      </c>
      <c r="P1474" s="5" t="str">
        <f t="shared" si="6"/>
        <v>Sydney</v>
      </c>
      <c r="Q1474" s="5" t="str">
        <f t="shared" si="7"/>
        <v>New South Wales</v>
      </c>
      <c r="R1474" s="5" t="str">
        <f t="shared" si="8"/>
        <v>Australia</v>
      </c>
    </row>
    <row r="1475">
      <c r="A1475" s="8" t="s">
        <v>8471</v>
      </c>
      <c r="B1475" s="12" t="s">
        <v>8472</v>
      </c>
      <c r="C1475" s="10" t="s">
        <v>8473</v>
      </c>
      <c r="D1475" s="10"/>
      <c r="E1475" s="10" t="s">
        <v>5165</v>
      </c>
      <c r="F1475" s="10" t="s">
        <v>1880</v>
      </c>
      <c r="G1475" s="11" t="s">
        <v>8456</v>
      </c>
      <c r="H1475" s="11" t="s">
        <v>7660</v>
      </c>
      <c r="I1475" s="11" t="s">
        <v>4600</v>
      </c>
      <c r="J1475" s="9" t="str">
        <f>IFERROR(__xludf.DUMMYFUNCTION("""COMPUTED_VALUE"""),"https://www.google.com/search?newwindow=1&amp;ei=2MT0XrvGGM-vytMP1OyDgAY&amp;q=site%3Alinkedin.com+Harriet+Hetherton+Campus+Recruiter+-+Senior+Consultant")</f>
        <v>https://www.google.com/search?newwindow=1&amp;ei=2MT0XrvGGM-vytMP1OyDgAY&amp;q=site%3Alinkedin.com+Harriet+Hetherton+Campus+Recruiter+-+Senior+Consultant</v>
      </c>
      <c r="K1475" s="5" t="str">
        <f t="shared" si="1"/>
        <v>Harriet Hetherton</v>
      </c>
      <c r="L1475" s="5" t="str">
        <f t="shared" si="2"/>
        <v>Campus Recruiter - Senior Consultant</v>
      </c>
      <c r="M1475" s="5" t="str">
        <f t="shared" si="3"/>
        <v/>
      </c>
      <c r="N1475" s="5" t="str">
        <f t="shared" si="4"/>
        <v>EY</v>
      </c>
      <c r="O1475" s="5" t="str">
        <f t="shared" si="5"/>
        <v>1 year 9 months in role and company</v>
      </c>
      <c r="P1475" s="5" t="str">
        <f t="shared" si="6"/>
        <v>Sydney</v>
      </c>
      <c r="Q1475" s="5" t="str">
        <f t="shared" si="7"/>
        <v>New South Wales</v>
      </c>
      <c r="R1475" s="5" t="str">
        <f t="shared" si="8"/>
        <v>Australia</v>
      </c>
    </row>
    <row r="1476">
      <c r="A1476" s="8" t="s">
        <v>8461</v>
      </c>
      <c r="B1476" s="10" t="s">
        <v>8462</v>
      </c>
      <c r="C1476" s="10" t="s">
        <v>8463</v>
      </c>
      <c r="D1476" s="10"/>
      <c r="E1476" s="10" t="s">
        <v>5165</v>
      </c>
      <c r="F1476" s="10" t="s">
        <v>283</v>
      </c>
      <c r="G1476" s="11" t="s">
        <v>8456</v>
      </c>
      <c r="H1476" s="11" t="s">
        <v>7660</v>
      </c>
      <c r="I1476" s="11" t="s">
        <v>4600</v>
      </c>
      <c r="J1476" s="9" t="str">
        <f>IFERROR(__xludf.DUMMYFUNCTION("""COMPUTED_VALUE"""),"https://www.google.com/search?newwindow=1&amp;ei=2MT0XrvGGM-vytMP1OyDgAY&amp;q=site%3Alinkedin.com+Gemma+Bowles+Graduate+Recruiter,+APAC")</f>
        <v>https://www.google.com/search?newwindow=1&amp;ei=2MT0XrvGGM-vytMP1OyDgAY&amp;q=site%3Alinkedin.com+Gemma+Bowles+Graduate+Recruiter,+APAC</v>
      </c>
      <c r="K1476" s="5" t="str">
        <f t="shared" si="1"/>
        <v>Gemma Bowles</v>
      </c>
      <c r="L1476" s="5" t="str">
        <f t="shared" si="2"/>
        <v>Graduate Recruiter, APAC</v>
      </c>
      <c r="M1476" s="5" t="str">
        <f t="shared" si="3"/>
        <v/>
      </c>
      <c r="N1476" s="5" t="str">
        <f t="shared" si="4"/>
        <v>DLA Piper</v>
      </c>
      <c r="O1476" s="5" t="str">
        <f t="shared" si="5"/>
        <v>1 year 8 months in role</v>
      </c>
      <c r="P1476" s="5" t="str">
        <f t="shared" si="6"/>
        <v>Sydney</v>
      </c>
      <c r="Q1476" s="5" t="str">
        <f t="shared" si="7"/>
        <v>New South Wales</v>
      </c>
      <c r="R1476" s="5" t="str">
        <f t="shared" si="8"/>
        <v>Australia</v>
      </c>
    </row>
    <row r="1477">
      <c r="A1477" s="8" t="s">
        <v>8474</v>
      </c>
      <c r="B1477" s="12" t="s">
        <v>8475</v>
      </c>
      <c r="C1477" s="10" t="s">
        <v>8476</v>
      </c>
      <c r="D1477" s="10"/>
      <c r="E1477" s="10" t="s">
        <v>5165</v>
      </c>
      <c r="F1477" s="10" t="s">
        <v>651</v>
      </c>
      <c r="G1477" s="11" t="s">
        <v>8456</v>
      </c>
      <c r="H1477" s="11" t="s">
        <v>7660</v>
      </c>
      <c r="I1477" s="11" t="s">
        <v>4600</v>
      </c>
      <c r="J1477" s="9" t="str">
        <f>IFERROR(__xludf.DUMMYFUNCTION("""COMPUTED_VALUE"""),"https://www.google.com/search?newwindow=1&amp;ei=2MT0XrvGGM-vytMP1OyDgAY&amp;q=site%3Alinkedin.com+Sairah+Hamid+Campus+Recruiter")</f>
        <v>https://www.google.com/search?newwindow=1&amp;ei=2MT0XrvGGM-vytMP1OyDgAY&amp;q=site%3Alinkedin.com+Sairah+Hamid+Campus+Recruiter</v>
      </c>
      <c r="K1477" s="5" t="str">
        <f t="shared" si="1"/>
        <v>Sairah Hamid</v>
      </c>
      <c r="L1477" s="5" t="str">
        <f t="shared" si="2"/>
        <v>Campus Recruiter</v>
      </c>
      <c r="M1477" s="5" t="str">
        <f t="shared" si="3"/>
        <v/>
      </c>
      <c r="N1477" s="5" t="str">
        <f t="shared" si="4"/>
        <v>Optiver Asia Pacific</v>
      </c>
      <c r="O1477" s="5" t="str">
        <f t="shared" si="5"/>
        <v>5 months in role and company</v>
      </c>
      <c r="P1477" s="5" t="str">
        <f t="shared" si="6"/>
        <v>Sydney</v>
      </c>
      <c r="Q1477" s="5" t="str">
        <f t="shared" si="7"/>
        <v>New South Wales</v>
      </c>
      <c r="R1477" s="5" t="str">
        <f t="shared" si="8"/>
        <v>Australia</v>
      </c>
    </row>
    <row r="1478">
      <c r="A1478" s="8" t="s">
        <v>8464</v>
      </c>
      <c r="B1478" s="10" t="s">
        <v>8465</v>
      </c>
      <c r="C1478" s="10" t="s">
        <v>8466</v>
      </c>
      <c r="D1478" s="10"/>
      <c r="E1478" s="10" t="s">
        <v>8467</v>
      </c>
      <c r="F1478" s="10" t="s">
        <v>48</v>
      </c>
      <c r="G1478" s="11" t="s">
        <v>8456</v>
      </c>
      <c r="H1478" s="11" t="s">
        <v>7660</v>
      </c>
      <c r="I1478" s="11" t="s">
        <v>4600</v>
      </c>
      <c r="J1478" s="9" t="str">
        <f>IFERROR(__xludf.DUMMYFUNCTION("""COMPUTED_VALUE"""),"https://www.google.com/search?newwindow=1&amp;ei=2MT0XrvGGM-vytMP1OyDgAY&amp;q=site%3Alinkedin.com+Caitlin+Hargraves+Graduate+Recruitment+and+University+Partnerships")</f>
        <v>https://www.google.com/search?newwindow=1&amp;ei=2MT0XrvGGM-vytMP1OyDgAY&amp;q=site%3Alinkedin.com+Caitlin+Hargraves+Graduate+Recruitment+and+University+Partnerships</v>
      </c>
      <c r="K1478" s="5" t="str">
        <f t="shared" si="1"/>
        <v>Caitlin Hargraves</v>
      </c>
      <c r="L1478" s="5" t="str">
        <f t="shared" si="2"/>
        <v>Graduate Recruitment and University Partnerships</v>
      </c>
      <c r="M1478" s="5" t="str">
        <f t="shared" si="3"/>
        <v/>
      </c>
      <c r="N1478" s="5" t="str">
        <f t="shared" si="4"/>
        <v>FDM Group</v>
      </c>
      <c r="O1478" s="5" t="str">
        <f t="shared" si="5"/>
        <v>10 months in role and company</v>
      </c>
      <c r="P1478" s="5" t="str">
        <f t="shared" si="6"/>
        <v>Sydney</v>
      </c>
      <c r="Q1478" s="5" t="str">
        <f t="shared" si="7"/>
        <v>New South Wales</v>
      </c>
      <c r="R1478" s="5" t="str">
        <f t="shared" si="8"/>
        <v>Australia</v>
      </c>
    </row>
    <row r="1479">
      <c r="A1479" s="8" t="s">
        <v>8477</v>
      </c>
      <c r="B1479" s="10" t="s">
        <v>8478</v>
      </c>
      <c r="C1479" s="10" t="s">
        <v>7786</v>
      </c>
      <c r="D1479" s="10"/>
      <c r="E1479" s="10" t="s">
        <v>845</v>
      </c>
      <c r="F1479" s="10" t="s">
        <v>1300</v>
      </c>
      <c r="G1479" s="11" t="s">
        <v>8479</v>
      </c>
      <c r="H1479" s="11" t="s">
        <v>184</v>
      </c>
      <c r="I1479" s="11" t="s">
        <v>18</v>
      </c>
      <c r="J1479" s="9" t="str">
        <f>IFERROR(__xludf.DUMMYFUNCTION("""COMPUTED_VALUE"""),"https://www.google.com/search?newwindow=1&amp;ei=2MT0XrvGGM-vytMP1OyDgAY&amp;q=site%3Alinkedin.com+Sarah+Lisle+Lead,+Student+Programs+(International)")</f>
        <v>https://www.google.com/search?newwindow=1&amp;ei=2MT0XrvGGM-vytMP1OyDgAY&amp;q=site%3Alinkedin.com+Sarah+Lisle+Lead,+Student+Programs+(International)</v>
      </c>
      <c r="K1479" s="5" t="str">
        <f t="shared" si="1"/>
        <v>Sarah Lisle</v>
      </c>
      <c r="L1479" s="5" t="str">
        <f t="shared" si="2"/>
        <v>Lead, Student Programs (International)</v>
      </c>
      <c r="M1479" s="5" t="str">
        <f t="shared" si="3"/>
        <v/>
      </c>
      <c r="N1479" s="5" t="str">
        <f t="shared" si="4"/>
        <v>University of Wollongong</v>
      </c>
      <c r="O1479" s="5" t="str">
        <f t="shared" si="5"/>
        <v>10 months in role</v>
      </c>
      <c r="P1479" s="5" t="str">
        <f t="shared" si="6"/>
        <v>Sydney</v>
      </c>
      <c r="Q1479" s="5" t="str">
        <f t="shared" si="7"/>
        <v>New South Wales</v>
      </c>
      <c r="R1479" s="5" t="str">
        <f t="shared" si="8"/>
        <v>Australia</v>
      </c>
    </row>
    <row r="1480">
      <c r="A1480" s="8" t="s">
        <v>8480</v>
      </c>
      <c r="B1480" s="10" t="s">
        <v>3743</v>
      </c>
      <c r="C1480" s="10" t="s">
        <v>371</v>
      </c>
      <c r="D1480" s="10"/>
      <c r="E1480" s="10" t="s">
        <v>3649</v>
      </c>
      <c r="F1480" s="10" t="s">
        <v>1244</v>
      </c>
      <c r="G1480" s="11" t="s">
        <v>876</v>
      </c>
      <c r="H1480" s="11" t="s">
        <v>184</v>
      </c>
      <c r="I1480" s="11" t="s">
        <v>18</v>
      </c>
      <c r="J1480" s="9" t="str">
        <f>IFERROR(__xludf.DUMMYFUNCTION("""COMPUTED_VALUE"""),"https://www.google.com/search?newwindow=1&amp;ei=2MT0XrvGGM-vytMP1OyDgAY&amp;q=site%3Alinkedin.com+Celina+Gonzales+Senior+Graduate+Recruitment+and+University+Partnerships+Consultant")</f>
        <v>https://www.google.com/search?newwindow=1&amp;ei=2MT0XrvGGM-vytMP1OyDgAY&amp;q=site%3Alinkedin.com+Celina+Gonzales+Senior+Graduate+Recruitment+and+University+Partnerships+Consultant</v>
      </c>
      <c r="K1480" s="5" t="str">
        <f t="shared" si="1"/>
        <v>Celina Gonzales</v>
      </c>
      <c r="L1480" s="5" t="str">
        <f t="shared" si="2"/>
        <v>Senior Graduate Recruitment and University Partnerships Consultant</v>
      </c>
      <c r="M1480" s="5" t="str">
        <f t="shared" si="3"/>
        <v/>
      </c>
      <c r="N1480" s="5" t="str">
        <f t="shared" si="4"/>
        <v>FDM Group</v>
      </c>
      <c r="O1480" s="5" t="str">
        <f t="shared" si="5"/>
        <v>5 months in role</v>
      </c>
      <c r="P1480" s="5" t="str">
        <f t="shared" si="6"/>
        <v>Sydney</v>
      </c>
      <c r="Q1480" s="5" t="str">
        <f t="shared" si="7"/>
        <v>New South Wales</v>
      </c>
      <c r="R1480" s="5" t="str">
        <f t="shared" si="8"/>
        <v>Australia</v>
      </c>
    </row>
    <row r="1481">
      <c r="A1481" s="8" t="s">
        <v>8481</v>
      </c>
      <c r="B1481" s="10" t="s">
        <v>8482</v>
      </c>
      <c r="C1481" s="10" t="s">
        <v>8483</v>
      </c>
      <c r="D1481" s="10"/>
      <c r="E1481" s="10" t="s">
        <v>845</v>
      </c>
      <c r="F1481" s="10" t="s">
        <v>512</v>
      </c>
      <c r="G1481" s="11" t="s">
        <v>876</v>
      </c>
      <c r="H1481" s="11" t="s">
        <v>184</v>
      </c>
      <c r="I1481" s="11" t="s">
        <v>18</v>
      </c>
      <c r="J1481" s="9" t="str">
        <f>IFERROR(__xludf.DUMMYFUNCTION("""COMPUTED_VALUE"""),"https://www.google.com/search?newwindow=1&amp;ei=2MT0XrvGGM-vytMP1OyDgAY&amp;q=site%3Alinkedin.com+Asmaa+Zahid+ANZ+Campus+Recruiting")</f>
        <v>https://www.google.com/search?newwindow=1&amp;ei=2MT0XrvGGM-vytMP1OyDgAY&amp;q=site%3Alinkedin.com+Asmaa+Zahid+ANZ+Campus+Recruiting</v>
      </c>
      <c r="K1481" s="5" t="str">
        <f t="shared" si="1"/>
        <v>Asmaa Zahid</v>
      </c>
      <c r="L1481" s="5" t="str">
        <f t="shared" si="2"/>
        <v>ANZ Campus Recruiting</v>
      </c>
      <c r="M1481" s="5" t="str">
        <f t="shared" si="3"/>
        <v/>
      </c>
      <c r="N1481" s="5" t="str">
        <f t="shared" si="4"/>
        <v>Salesforce</v>
      </c>
      <c r="O1481" s="5" t="str">
        <f t="shared" si="5"/>
        <v>1 year 4 months in role and company</v>
      </c>
      <c r="P1481" s="5" t="str">
        <f t="shared" si="6"/>
        <v>Sydney</v>
      </c>
      <c r="Q1481" s="5" t="str">
        <f t="shared" si="7"/>
        <v>New South Wales</v>
      </c>
      <c r="R1481" s="5" t="str">
        <f t="shared" si="8"/>
        <v>Australia</v>
      </c>
    </row>
    <row r="1482">
      <c r="A1482" s="8" t="s">
        <v>8484</v>
      </c>
      <c r="B1482" s="10" t="s">
        <v>4556</v>
      </c>
      <c r="C1482" s="10" t="s">
        <v>4557</v>
      </c>
      <c r="D1482" s="10"/>
      <c r="E1482" s="10" t="s">
        <v>4536</v>
      </c>
      <c r="F1482" s="10" t="s">
        <v>1759</v>
      </c>
      <c r="G1482" s="11" t="s">
        <v>876</v>
      </c>
      <c r="H1482" s="11" t="s">
        <v>38</v>
      </c>
      <c r="I1482" s="11" t="s">
        <v>18</v>
      </c>
      <c r="J1482" s="9" t="str">
        <f>IFERROR(__xludf.DUMMYFUNCTION("""COMPUTED_VALUE"""),"https://www.google.com/search?newwindow=1&amp;ei=2MT0XrvGGM-vytMP1OyDgAY&amp;q=site%3Alinkedin.com+Emily+Cooper+Campus+Recruiter+-+Senior+Consultant")</f>
        <v>https://www.google.com/search?newwindow=1&amp;ei=2MT0XrvGGM-vytMP1OyDgAY&amp;q=site%3Alinkedin.com+Emily+Cooper+Campus+Recruiter+-+Senior+Consultant</v>
      </c>
      <c r="K1482" s="5" t="str">
        <f t="shared" si="1"/>
        <v>Emily Cooper</v>
      </c>
      <c r="L1482" s="5" t="str">
        <f t="shared" si="2"/>
        <v>Campus Recruiter - Senior Consultant</v>
      </c>
      <c r="M1482" s="5" t="str">
        <f t="shared" si="3"/>
        <v/>
      </c>
      <c r="N1482" s="5" t="str">
        <f t="shared" si="4"/>
        <v>EY</v>
      </c>
      <c r="O1482" s="5" t="str">
        <f t="shared" si="5"/>
        <v>1 year 5 months in role</v>
      </c>
      <c r="P1482" s="5" t="str">
        <f t="shared" si="6"/>
        <v>Sydney</v>
      </c>
      <c r="Q1482" s="5" t="str">
        <f t="shared" si="7"/>
        <v>New South Wales</v>
      </c>
      <c r="R1482" s="5" t="str">
        <f t="shared" si="8"/>
        <v>Australia</v>
      </c>
    </row>
    <row r="1483">
      <c r="A1483" s="8" t="s">
        <v>8485</v>
      </c>
      <c r="B1483" s="10" t="s">
        <v>8486</v>
      </c>
      <c r="C1483" s="10" t="s">
        <v>1896</v>
      </c>
      <c r="D1483" s="10"/>
      <c r="E1483" s="10" t="s">
        <v>845</v>
      </c>
      <c r="F1483" s="10" t="s">
        <v>686</v>
      </c>
      <c r="G1483" s="11" t="s">
        <v>876</v>
      </c>
      <c r="H1483" s="11" t="s">
        <v>184</v>
      </c>
      <c r="I1483" s="11" t="s">
        <v>18</v>
      </c>
      <c r="J1483" s="9" t="str">
        <f>IFERROR(__xludf.DUMMYFUNCTION("""COMPUTED_VALUE"""),"https://www.google.com/search?newwindow=1&amp;ei=2MT0XrvGGM-vytMP1OyDgAY&amp;q=site%3Alinkedin.com+Ngaire+Young+Manager+Programs+&amp;+Projects,+Student+Services")</f>
        <v>https://www.google.com/search?newwindow=1&amp;ei=2MT0XrvGGM-vytMP1OyDgAY&amp;q=site%3Alinkedin.com+Ngaire+Young+Manager+Programs+&amp;+Projects,+Student+Services</v>
      </c>
      <c r="K1483" s="5" t="str">
        <f t="shared" si="1"/>
        <v>Ngaire Young</v>
      </c>
      <c r="L1483" s="5" t="str">
        <f t="shared" si="2"/>
        <v>Manager Programs &amp; Projects, Student Services</v>
      </c>
      <c r="M1483" s="5" t="str">
        <f t="shared" si="3"/>
        <v/>
      </c>
      <c r="N1483" s="5" t="str">
        <f t="shared" si="4"/>
        <v>TAFE NSW</v>
      </c>
      <c r="O1483" s="5" t="str">
        <f t="shared" si="5"/>
        <v>5 months in role</v>
      </c>
      <c r="P1483" s="5" t="str">
        <f t="shared" si="6"/>
        <v>Sydney</v>
      </c>
      <c r="Q1483" s="5" t="str">
        <f t="shared" si="7"/>
        <v>New South Wales</v>
      </c>
      <c r="R1483" s="5" t="str">
        <f t="shared" si="8"/>
        <v>Australia</v>
      </c>
    </row>
    <row r="1484">
      <c r="A1484" s="8" t="s">
        <v>8487</v>
      </c>
      <c r="B1484" s="10" t="s">
        <v>8488</v>
      </c>
      <c r="C1484" s="10" t="s">
        <v>8489</v>
      </c>
      <c r="D1484" s="10"/>
      <c r="E1484" s="10" t="s">
        <v>845</v>
      </c>
      <c r="F1484" s="10" t="s">
        <v>283</v>
      </c>
      <c r="G1484" s="11" t="s">
        <v>876</v>
      </c>
      <c r="H1484" s="11" t="s">
        <v>184</v>
      </c>
      <c r="I1484" s="11" t="s">
        <v>18</v>
      </c>
      <c r="J1484" s="9" t="str">
        <f>IFERROR(__xludf.DUMMYFUNCTION("""COMPUTED_VALUE"""),"https://www.google.com/search?newwindow=1&amp;ei=2MT0XrvGGM-vytMP1OyDgAY&amp;q=site%3Alinkedin.com+Kalani+Dantanarayana+University+Talent+Recruiter")</f>
        <v>https://www.google.com/search?newwindow=1&amp;ei=2MT0XrvGGM-vytMP1OyDgAY&amp;q=site%3Alinkedin.com+Kalani+Dantanarayana+University+Talent+Recruiter</v>
      </c>
      <c r="K1484" s="5" t="str">
        <f t="shared" si="1"/>
        <v>Kalani Dantanarayana</v>
      </c>
      <c r="L1484" s="5" t="str">
        <f t="shared" si="2"/>
        <v>University Talent Recruiter</v>
      </c>
      <c r="M1484" s="5" t="str">
        <f t="shared" si="3"/>
        <v/>
      </c>
      <c r="N1484" s="5" t="str">
        <f t="shared" si="4"/>
        <v>VMware</v>
      </c>
      <c r="O1484" s="5" t="str">
        <f t="shared" si="5"/>
        <v>1 year  in role</v>
      </c>
      <c r="P1484" s="5" t="str">
        <f t="shared" si="6"/>
        <v>Sydney</v>
      </c>
      <c r="Q1484" s="5" t="str">
        <f t="shared" si="7"/>
        <v>New South Wales</v>
      </c>
      <c r="R1484" s="5" t="str">
        <f t="shared" si="8"/>
        <v>Australia</v>
      </c>
    </row>
    <row r="1485">
      <c r="A1485" s="8" t="s">
        <v>8490</v>
      </c>
      <c r="B1485" s="10" t="s">
        <v>900</v>
      </c>
      <c r="C1485" s="10" t="s">
        <v>25</v>
      </c>
      <c r="D1485" s="10"/>
      <c r="E1485" s="10" t="s">
        <v>845</v>
      </c>
      <c r="F1485" s="10" t="s">
        <v>1531</v>
      </c>
      <c r="G1485" s="11" t="s">
        <v>876</v>
      </c>
      <c r="H1485" s="11" t="s">
        <v>184</v>
      </c>
      <c r="I1485" s="11" t="s">
        <v>18</v>
      </c>
      <c r="J1485" s="9" t="str">
        <f>IFERROR(__xludf.DUMMYFUNCTION("""COMPUTED_VALUE"""),"https://www.google.com/search?newwindow=1&amp;ei=2MT0XrvGGM-vytMP1OyDgAY&amp;q=site%3Alinkedin.com+Yi+Ting+Wong+Graduate+Recruiter+&amp;+Graduate+Experience+Lead")</f>
        <v>https://www.google.com/search?newwindow=1&amp;ei=2MT0XrvGGM-vytMP1OyDgAY&amp;q=site%3Alinkedin.com+Yi+Ting+Wong+Graduate+Recruiter+&amp;+Graduate+Experience+Lead</v>
      </c>
      <c r="K1485" s="5" t="str">
        <f t="shared" si="1"/>
        <v>Yi Ting Wong</v>
      </c>
      <c r="L1485" s="5" t="str">
        <f t="shared" si="2"/>
        <v>Graduate Recruiter &amp; Graduate Experience Lead</v>
      </c>
      <c r="M1485" s="5" t="str">
        <f t="shared" si="3"/>
        <v/>
      </c>
      <c r="N1485" s="5" t="str">
        <f t="shared" si="4"/>
        <v>ThoughtWorks</v>
      </c>
      <c r="O1485" s="5" t="str">
        <f t="shared" si="5"/>
        <v>1 year 3 months in role and company</v>
      </c>
      <c r="P1485" s="5" t="str">
        <f t="shared" si="6"/>
        <v>Sydney</v>
      </c>
      <c r="Q1485" s="5" t="str">
        <f t="shared" si="7"/>
        <v>New South Wales</v>
      </c>
      <c r="R1485" s="5" t="str">
        <f t="shared" si="8"/>
        <v>Australia</v>
      </c>
    </row>
    <row r="1486">
      <c r="A1486" s="8" t="s">
        <v>8491</v>
      </c>
      <c r="B1486" s="10" t="s">
        <v>885</v>
      </c>
      <c r="C1486" s="10" t="s">
        <v>8492</v>
      </c>
      <c r="D1486" s="10"/>
      <c r="E1486" s="10" t="s">
        <v>845</v>
      </c>
      <c r="F1486" s="10" t="s">
        <v>666</v>
      </c>
      <c r="G1486" s="11" t="s">
        <v>876</v>
      </c>
      <c r="H1486" s="11" t="s">
        <v>184</v>
      </c>
      <c r="I1486" s="11" t="s">
        <v>18</v>
      </c>
      <c r="J1486" s="9" t="str">
        <f>IFERROR(__xludf.DUMMYFUNCTION("""COMPUTED_VALUE"""),"https://www.google.com/search?newwindow=1&amp;ei=2MT0XrvGGM-vytMP1OyDgAY&amp;q=site%3Alinkedin.com+Stephanie+Archer+Senior+Campus+Recruiter,+Early+Career+Talent")</f>
        <v>https://www.google.com/search?newwindow=1&amp;ei=2MT0XrvGGM-vytMP1OyDgAY&amp;q=site%3Alinkedin.com+Stephanie+Archer+Senior+Campus+Recruiter,+Early+Career+Talent</v>
      </c>
      <c r="K1486" s="5" t="str">
        <f t="shared" si="1"/>
        <v>Stephanie Archer</v>
      </c>
      <c r="L1486" s="5" t="str">
        <f t="shared" si="2"/>
        <v>Senior Campus Recruiter, Early Career Talent</v>
      </c>
      <c r="M1486" s="5" t="str">
        <f t="shared" si="3"/>
        <v/>
      </c>
      <c r="N1486" s="5" t="str">
        <f t="shared" si="4"/>
        <v>Atlassian</v>
      </c>
      <c r="O1486" s="5" t="str">
        <f t="shared" si="5"/>
        <v>1 year 10 months in role</v>
      </c>
      <c r="P1486" s="5" t="str">
        <f t="shared" si="6"/>
        <v>Sydney</v>
      </c>
      <c r="Q1486" s="5" t="str">
        <f t="shared" si="7"/>
        <v>New South Wales</v>
      </c>
      <c r="R1486" s="5" t="str">
        <f t="shared" si="8"/>
        <v>Australia</v>
      </c>
    </row>
    <row r="1487">
      <c r="A1487" s="8" t="s">
        <v>8493</v>
      </c>
      <c r="B1487" s="10" t="s">
        <v>2903</v>
      </c>
      <c r="C1487" s="10" t="s">
        <v>371</v>
      </c>
      <c r="D1487" s="10"/>
      <c r="E1487" s="10" t="s">
        <v>5889</v>
      </c>
      <c r="F1487" s="10" t="s">
        <v>2901</v>
      </c>
      <c r="G1487" s="11" t="s">
        <v>876</v>
      </c>
      <c r="H1487" s="11" t="s">
        <v>184</v>
      </c>
      <c r="I1487" s="11" t="s">
        <v>18</v>
      </c>
      <c r="J1487" s="9" t="str">
        <f>IFERROR(__xludf.DUMMYFUNCTION("""COMPUTED_VALUE"""),"https://www.google.com/search?newwindow=1&amp;ei=2MT0XrvGGM-vytMP1OyDgAY&amp;q=site%3Alinkedin.com+Adele+Charlton+University+Recruitment+Manager+-+South+East+Asia+and+Australia+and+New+Zealand")</f>
        <v>https://www.google.com/search?newwindow=1&amp;ei=2MT0XrvGGM-vytMP1OyDgAY&amp;q=site%3Alinkedin.com+Adele+Charlton+University+Recruitment+Manager+-+South+East+Asia+and+Australia+and+New+Zealand</v>
      </c>
      <c r="K1487" s="5" t="str">
        <f t="shared" si="1"/>
        <v>Adele Charlton</v>
      </c>
      <c r="L1487" s="5" t="str">
        <f t="shared" si="2"/>
        <v>University Recruitment Manager - South East Asia and Australia and New Zealand</v>
      </c>
      <c r="M1487" s="5" t="str">
        <f t="shared" si="3"/>
        <v/>
      </c>
      <c r="N1487" s="5" t="str">
        <f t="shared" si="4"/>
        <v>Cisco</v>
      </c>
      <c r="O1487" s="5" t="str">
        <f t="shared" si="5"/>
        <v>8 years 1 month in role and company</v>
      </c>
      <c r="P1487" s="5" t="str">
        <f t="shared" si="6"/>
        <v>Sydney</v>
      </c>
      <c r="Q1487" s="5" t="str">
        <f t="shared" si="7"/>
        <v>New South Wales</v>
      </c>
      <c r="R1487" s="5" t="str">
        <f t="shared" si="8"/>
        <v>Australia</v>
      </c>
    </row>
    <row r="1488">
      <c r="A1488" s="8" t="s">
        <v>8494</v>
      </c>
      <c r="B1488" s="10" t="s">
        <v>888</v>
      </c>
      <c r="C1488" s="10" t="s">
        <v>889</v>
      </c>
      <c r="D1488" s="10"/>
      <c r="E1488" s="10" t="s">
        <v>845</v>
      </c>
      <c r="F1488" s="10" t="s">
        <v>890</v>
      </c>
      <c r="G1488" s="11" t="s">
        <v>876</v>
      </c>
      <c r="H1488" s="11" t="s">
        <v>184</v>
      </c>
      <c r="I1488" s="11" t="s">
        <v>18</v>
      </c>
      <c r="J1488" s="9" t="str">
        <f>IFERROR(__xludf.DUMMYFUNCTION("""COMPUTED_VALUE"""),"https://www.google.com/search?newwindow=1&amp;ei=2MT0XrvGGM-vytMP1OyDgAY&amp;q=site%3Alinkedin.com+Liza+Rodger+Director+(acting)+Student+Recruitment+Division")</f>
        <v>https://www.google.com/search?newwindow=1&amp;ei=2MT0XrvGGM-vytMP1OyDgAY&amp;q=site%3Alinkedin.com+Liza+Rodger+Director+(acting)+Student+Recruitment+Division</v>
      </c>
      <c r="K1488" s="5" t="str">
        <f t="shared" si="1"/>
        <v>Liza Rodger</v>
      </c>
      <c r="L1488" s="5" t="str">
        <f t="shared" si="2"/>
        <v>Director (acting) Student Recruitment Division</v>
      </c>
      <c r="M1488" s="5" t="str">
        <f t="shared" si="3"/>
        <v/>
      </c>
      <c r="N1488" s="5" t="str">
        <f t="shared" si="4"/>
        <v>University of Wollongong</v>
      </c>
      <c r="O1488" s="5" t="str">
        <f t="shared" si="5"/>
        <v>6 months in role</v>
      </c>
      <c r="P1488" s="5" t="str">
        <f t="shared" si="6"/>
        <v>Sydney</v>
      </c>
      <c r="Q1488" s="5" t="str">
        <f t="shared" si="7"/>
        <v>New South Wales</v>
      </c>
      <c r="R1488" s="5" t="str">
        <f t="shared" si="8"/>
        <v>Australia</v>
      </c>
    </row>
    <row r="1489">
      <c r="A1489" s="8" t="s">
        <v>8495</v>
      </c>
      <c r="B1489" s="10" t="s">
        <v>8496</v>
      </c>
      <c r="C1489" s="10" t="s">
        <v>4749</v>
      </c>
      <c r="D1489" s="10"/>
      <c r="E1489" s="10" t="s">
        <v>1233</v>
      </c>
      <c r="F1489" s="10" t="s">
        <v>79</v>
      </c>
      <c r="G1489" s="11" t="s">
        <v>876</v>
      </c>
      <c r="H1489" s="11" t="s">
        <v>184</v>
      </c>
      <c r="I1489" s="11" t="s">
        <v>18</v>
      </c>
      <c r="J1489" s="9" t="str">
        <f>IFERROR(__xludf.DUMMYFUNCTION("""COMPUTED_VALUE"""),"https://www.google.com/search?newwindow=1&amp;ei=2MT0XrvGGM-vytMP1OyDgAY&amp;q=site%3Alinkedin.com+Charmaine+Lau+International+Programs+Assistant+and+Student+Activities+Officer")</f>
        <v>https://www.google.com/search?newwindow=1&amp;ei=2MT0XrvGGM-vytMP1OyDgAY&amp;q=site%3Alinkedin.com+Charmaine+Lau+International+Programs+Assistant+and+Student+Activities+Officer</v>
      </c>
      <c r="K1489" s="5" t="str">
        <f t="shared" si="1"/>
        <v>Charmaine Lau</v>
      </c>
      <c r="L1489" s="5" t="str">
        <f t="shared" si="2"/>
        <v>International Programs Assistant and Student Activities Officer</v>
      </c>
      <c r="M1489" s="5" t="str">
        <f t="shared" si="3"/>
        <v/>
      </c>
      <c r="N1489" s="5" t="str">
        <f t="shared" si="4"/>
        <v>University of Sydney Union (USU)</v>
      </c>
      <c r="O1489" s="5" t="str">
        <f t="shared" si="5"/>
        <v>1 year 10 months in role and company</v>
      </c>
      <c r="P1489" s="5" t="str">
        <f t="shared" si="6"/>
        <v>Sydney</v>
      </c>
      <c r="Q1489" s="5" t="str">
        <f t="shared" si="7"/>
        <v>New South Wales</v>
      </c>
      <c r="R1489" s="5" t="str">
        <f t="shared" si="8"/>
        <v>Australia</v>
      </c>
    </row>
    <row r="1490">
      <c r="A1490" s="8" t="s">
        <v>8497</v>
      </c>
      <c r="B1490" s="12" t="s">
        <v>8498</v>
      </c>
      <c r="C1490" s="10" t="s">
        <v>8499</v>
      </c>
      <c r="D1490" s="10"/>
      <c r="E1490" s="10" t="s">
        <v>8500</v>
      </c>
      <c r="F1490" s="10" t="s">
        <v>241</v>
      </c>
      <c r="G1490" s="11" t="s">
        <v>876</v>
      </c>
      <c r="H1490" s="11" t="s">
        <v>4599</v>
      </c>
      <c r="I1490" s="11" t="s">
        <v>4600</v>
      </c>
      <c r="J1490" s="9" t="str">
        <f>IFERROR(__xludf.DUMMYFUNCTION("""COMPUTED_VALUE"""),"https://www.google.com/search?newwindow=1&amp;ei=2MT0XrvGGM-vytMP1OyDgAY&amp;q=site%3Alinkedin.com+Dan+Lacey+Senior+Recruiting+Manager,+Sydney+Campus+Programs")</f>
        <v>https://www.google.com/search?newwindow=1&amp;ei=2MT0XrvGGM-vytMP1OyDgAY&amp;q=site%3Alinkedin.com+Dan+Lacey+Senior+Recruiting+Manager,+Sydney+Campus+Programs</v>
      </c>
      <c r="K1490" s="5" t="str">
        <f t="shared" si="1"/>
        <v>Dan Lacey</v>
      </c>
      <c r="L1490" s="5" t="str">
        <f t="shared" si="2"/>
        <v>Senior Recruiting Manager, Sydney Campus Programs</v>
      </c>
      <c r="M1490" s="5" t="str">
        <f t="shared" si="3"/>
        <v/>
      </c>
      <c r="N1490" s="5" t="str">
        <f t="shared" si="4"/>
        <v>Atlassian</v>
      </c>
      <c r="O1490" s="5" t="str">
        <f t="shared" si="5"/>
        <v>10 months in role</v>
      </c>
      <c r="P1490" s="5" t="str">
        <f t="shared" si="6"/>
        <v>Sydney</v>
      </c>
      <c r="Q1490" s="5" t="str">
        <f t="shared" si="7"/>
        <v>New South Wales</v>
      </c>
      <c r="R1490" s="5" t="str">
        <f t="shared" si="8"/>
        <v>Australia</v>
      </c>
    </row>
    <row r="1491">
      <c r="A1491" s="8" t="s">
        <v>8501</v>
      </c>
      <c r="B1491" s="12" t="s">
        <v>8502</v>
      </c>
      <c r="C1491" s="10" t="s">
        <v>8503</v>
      </c>
      <c r="D1491" s="10"/>
      <c r="E1491" s="10" t="s">
        <v>5090</v>
      </c>
      <c r="F1491" s="10" t="s">
        <v>1244</v>
      </c>
      <c r="G1491" s="11" t="s">
        <v>876</v>
      </c>
      <c r="H1491" s="11" t="s">
        <v>4599</v>
      </c>
      <c r="I1491" s="11" t="s">
        <v>4600</v>
      </c>
      <c r="J1491" s="9" t="str">
        <f>IFERROR(__xludf.DUMMYFUNCTION("""COMPUTED_VALUE"""),"https://www.google.com/search?newwindow=1&amp;ei=2MT0XrvGGM-vytMP1OyDgAY&amp;q=site%3Alinkedin.com+Montana+Middleton+Student+Engagement+Programs+Coordinator")</f>
        <v>https://www.google.com/search?newwindow=1&amp;ei=2MT0XrvGGM-vytMP1OyDgAY&amp;q=site%3Alinkedin.com+Montana+Middleton+Student+Engagement+Programs+Coordinator</v>
      </c>
      <c r="K1491" s="5" t="str">
        <f t="shared" si="1"/>
        <v>Montana Middleton</v>
      </c>
      <c r="L1491" s="5" t="str">
        <f t="shared" si="2"/>
        <v>Student Engagement Programs Coordinator</v>
      </c>
      <c r="M1491" s="5" t="str">
        <f t="shared" si="3"/>
        <v/>
      </c>
      <c r="N1491" s="5" t="str">
        <f t="shared" si="4"/>
        <v>UNSW</v>
      </c>
      <c r="O1491" s="5" t="str">
        <f t="shared" si="5"/>
        <v>11 months in role and company</v>
      </c>
      <c r="P1491" s="5" t="str">
        <f t="shared" si="6"/>
        <v>Sydney</v>
      </c>
      <c r="Q1491" s="5" t="str">
        <f t="shared" si="7"/>
        <v>New South Wales</v>
      </c>
      <c r="R1491" s="5" t="str">
        <f t="shared" si="8"/>
        <v>Australia</v>
      </c>
    </row>
    <row r="1492">
      <c r="A1492" s="8" t="s">
        <v>8504</v>
      </c>
      <c r="B1492" s="10" t="s">
        <v>8505</v>
      </c>
      <c r="C1492" s="10" t="s">
        <v>8506</v>
      </c>
      <c r="D1492" s="10"/>
      <c r="E1492" s="10" t="s">
        <v>8507</v>
      </c>
      <c r="F1492" s="10" t="s">
        <v>268</v>
      </c>
      <c r="G1492" s="11" t="s">
        <v>876</v>
      </c>
      <c r="H1492" s="11" t="s">
        <v>4599</v>
      </c>
      <c r="I1492" s="11" t="s">
        <v>4600</v>
      </c>
      <c r="J1492" s="9" t="str">
        <f>IFERROR(__xludf.DUMMYFUNCTION("""COMPUTED_VALUE"""),"https://www.google.com/search?newwindow=1&amp;ei=2MT0XrvGGM-vytMP1OyDgAY&amp;q=site%3Alinkedin.com+Sophie+(Marie)+Imbert,+MBA,+CCXP,+FCXP+(CX-I),+SA+Programs+Manager+-+Student+Services+Branch")</f>
        <v>https://www.google.com/search?newwindow=1&amp;ei=2MT0XrvGGM-vytMP1OyDgAY&amp;q=site%3Alinkedin.com+Sophie+(Marie)+Imbert,+MBA,+CCXP,+FCXP+(CX-I),+SA+Programs+Manager+-+Student+Services+Branch</v>
      </c>
      <c r="K1492" s="5" t="str">
        <f t="shared" si="1"/>
        <v>Sophie (Marie) Imbert, MBA, CCXP, FCXP (CX-I), SA</v>
      </c>
      <c r="L1492" s="5" t="str">
        <f t="shared" si="2"/>
        <v>Programs Manager - Student Services Branch</v>
      </c>
      <c r="M1492" s="5" t="str">
        <f t="shared" si="3"/>
        <v/>
      </c>
      <c r="N1492" s="5" t="str">
        <f t="shared" si="4"/>
        <v>TAFE NSW</v>
      </c>
      <c r="O1492" s="5" t="str">
        <f t="shared" si="5"/>
        <v>1 year 8 months in role and company</v>
      </c>
      <c r="P1492" s="5" t="str">
        <f t="shared" si="6"/>
        <v>Sydney</v>
      </c>
      <c r="Q1492" s="5" t="str">
        <f t="shared" si="7"/>
        <v>New South Wales</v>
      </c>
      <c r="R1492" s="5" t="str">
        <f t="shared" si="8"/>
        <v>Australia</v>
      </c>
    </row>
    <row r="1493">
      <c r="A1493" s="8" t="s">
        <v>8497</v>
      </c>
      <c r="B1493" s="12" t="s">
        <v>8498</v>
      </c>
      <c r="C1493" s="10" t="s">
        <v>8499</v>
      </c>
      <c r="D1493" s="10"/>
      <c r="E1493" s="10" t="s">
        <v>8500</v>
      </c>
      <c r="F1493" s="10" t="s">
        <v>241</v>
      </c>
      <c r="G1493" s="11" t="s">
        <v>876</v>
      </c>
      <c r="H1493" s="11" t="s">
        <v>4599</v>
      </c>
      <c r="I1493" s="11" t="s">
        <v>4600</v>
      </c>
      <c r="J1493" s="9" t="str">
        <f>IFERROR(__xludf.DUMMYFUNCTION("""COMPUTED_VALUE"""),"https://www.google.com/search?newwindow=1&amp;ei=2MT0XrvGGM-vytMP1OyDgAY&amp;q=site%3Alinkedin.com+Jennifer+Monis+Campus+Recruiter")</f>
        <v>https://www.google.com/search?newwindow=1&amp;ei=2MT0XrvGGM-vytMP1OyDgAY&amp;q=site%3Alinkedin.com+Jennifer+Monis+Campus+Recruiter</v>
      </c>
      <c r="K1493" s="5" t="str">
        <f t="shared" si="1"/>
        <v>Jennifer Monis</v>
      </c>
      <c r="L1493" s="5" t="str">
        <f t="shared" si="2"/>
        <v>Campus Recruiter</v>
      </c>
      <c r="M1493" s="5" t="str">
        <f t="shared" si="3"/>
        <v/>
      </c>
      <c r="N1493" s="5" t="str">
        <f t="shared" si="4"/>
        <v>Cochlear</v>
      </c>
      <c r="O1493" s="5" t="str">
        <f t="shared" si="5"/>
        <v>1 year 4 months in role</v>
      </c>
      <c r="P1493" s="5" t="str">
        <f t="shared" si="6"/>
        <v>Sydney</v>
      </c>
      <c r="Q1493" s="5" t="str">
        <f t="shared" si="7"/>
        <v>New South Wales</v>
      </c>
      <c r="R1493" s="5" t="str">
        <f t="shared" si="8"/>
        <v>Australia</v>
      </c>
    </row>
    <row r="1494">
      <c r="A1494" s="8" t="s">
        <v>8501</v>
      </c>
      <c r="B1494" s="12" t="s">
        <v>8502</v>
      </c>
      <c r="C1494" s="10" t="s">
        <v>8503</v>
      </c>
      <c r="D1494" s="10"/>
      <c r="E1494" s="10" t="s">
        <v>5090</v>
      </c>
      <c r="F1494" s="10" t="s">
        <v>1244</v>
      </c>
      <c r="G1494" s="11" t="s">
        <v>876</v>
      </c>
      <c r="H1494" s="11" t="s">
        <v>4599</v>
      </c>
      <c r="I1494" s="11" t="s">
        <v>4600</v>
      </c>
      <c r="J1494" s="9" t="str">
        <f>IFERROR(__xludf.DUMMYFUNCTION("""COMPUTED_VALUE"""),"https://www.google.com/search?newwindow=1&amp;ei=2MT0XrvGGM-vytMP1OyDgAY&amp;q=site%3Alinkedin.com+John+Tran+Student+Equity+Programs+Officer")</f>
        <v>https://www.google.com/search?newwindow=1&amp;ei=2MT0XrvGGM-vytMP1OyDgAY&amp;q=site%3Alinkedin.com+John+Tran+Student+Equity+Programs+Officer</v>
      </c>
      <c r="K1494" s="5" t="str">
        <f t="shared" si="1"/>
        <v>John Tran</v>
      </c>
      <c r="L1494" s="5" t="str">
        <f t="shared" si="2"/>
        <v>Student Equity Programs Officer</v>
      </c>
      <c r="M1494" s="5" t="str">
        <f t="shared" si="3"/>
        <v/>
      </c>
      <c r="N1494" s="5" t="str">
        <f t="shared" si="4"/>
        <v>University of Technology Sydney</v>
      </c>
      <c r="O1494" s="5" t="str">
        <f t="shared" si="5"/>
        <v>8 months in role and company</v>
      </c>
      <c r="P1494" s="5" t="str">
        <f t="shared" si="6"/>
        <v>Sydney</v>
      </c>
      <c r="Q1494" s="5" t="str">
        <f t="shared" si="7"/>
        <v>New South Wales</v>
      </c>
      <c r="R1494" s="5" t="str">
        <f t="shared" si="8"/>
        <v>Australia</v>
      </c>
    </row>
    <row r="1495">
      <c r="A1495" s="8" t="s">
        <v>8508</v>
      </c>
      <c r="B1495" s="10" t="s">
        <v>3509</v>
      </c>
      <c r="C1495" s="10" t="s">
        <v>8509</v>
      </c>
      <c r="D1495" s="10"/>
      <c r="E1495" s="10" t="s">
        <v>8510</v>
      </c>
      <c r="F1495" s="10" t="s">
        <v>228</v>
      </c>
      <c r="G1495" s="11" t="s">
        <v>876</v>
      </c>
      <c r="H1495" s="11" t="s">
        <v>4599</v>
      </c>
      <c r="I1495" s="11" t="s">
        <v>4600</v>
      </c>
      <c r="J1495" s="9" t="str">
        <f>IFERROR(__xludf.DUMMYFUNCTION("""COMPUTED_VALUE"""),"https://www.google.com/search?newwindow=1&amp;ei=2MT0XrvGGM-vytMP1OyDgAY&amp;q=site%3Alinkedin.com+Madelene+Wicht+Coordinator+of+Indigenous+Student+Programs")</f>
        <v>https://www.google.com/search?newwindow=1&amp;ei=2MT0XrvGGM-vytMP1OyDgAY&amp;q=site%3Alinkedin.com+Madelene+Wicht+Coordinator+of+Indigenous+Student+Programs</v>
      </c>
      <c r="K1495" s="5" t="str">
        <f t="shared" si="1"/>
        <v>Madelene Wicht</v>
      </c>
      <c r="L1495" s="5" t="str">
        <f t="shared" si="2"/>
        <v>Coordinator of Indigenous Student Programs</v>
      </c>
      <c r="M1495" s="5" t="str">
        <f t="shared" si="3"/>
        <v/>
      </c>
      <c r="N1495" s="5" t="str">
        <f t="shared" si="4"/>
        <v>Barker College</v>
      </c>
      <c r="O1495" s="5" t="str">
        <f t="shared" si="5"/>
        <v>5 months in role and company</v>
      </c>
      <c r="P1495" s="5" t="str">
        <f t="shared" si="6"/>
        <v>Sydney</v>
      </c>
      <c r="Q1495" s="5" t="str">
        <f t="shared" si="7"/>
        <v>New South Wales</v>
      </c>
      <c r="R1495" s="5" t="str">
        <f t="shared" si="8"/>
        <v>Australia</v>
      </c>
    </row>
    <row r="1496">
      <c r="A1496" s="8" t="s">
        <v>8511</v>
      </c>
      <c r="B1496" s="10" t="s">
        <v>8512</v>
      </c>
      <c r="C1496" s="10" t="s">
        <v>8513</v>
      </c>
      <c r="D1496" s="10"/>
      <c r="E1496" s="10" t="s">
        <v>8514</v>
      </c>
      <c r="F1496" s="10" t="s">
        <v>1034</v>
      </c>
      <c r="G1496" s="11" t="s">
        <v>876</v>
      </c>
      <c r="H1496" s="11" t="s">
        <v>4599</v>
      </c>
      <c r="I1496" s="11" t="s">
        <v>4600</v>
      </c>
      <c r="J1496" s="9" t="str">
        <f>IFERROR(__xludf.DUMMYFUNCTION("""COMPUTED_VALUE"""),"https://www.google.com/search?newwindow=1&amp;ei=2MT0XrvGGM-vytMP1OyDgAY&amp;q=site%3Alinkedin.com+Crystal+McLoughlin+Student+Programs+Coordinator")</f>
        <v>https://www.google.com/search?newwindow=1&amp;ei=2MT0XrvGGM-vytMP1OyDgAY&amp;q=site%3Alinkedin.com+Crystal+McLoughlin+Student+Programs+Coordinator</v>
      </c>
      <c r="K1496" s="5" t="str">
        <f t="shared" si="1"/>
        <v>Crystal McLoughlin</v>
      </c>
      <c r="L1496" s="5" t="str">
        <f t="shared" si="2"/>
        <v>Student Programs Coordinator</v>
      </c>
      <c r="M1496" s="5" t="str">
        <f t="shared" si="3"/>
        <v/>
      </c>
      <c r="N1496" s="5" t="str">
        <f t="shared" si="4"/>
        <v>University of Technology Sydney</v>
      </c>
      <c r="O1496" s="5" t="str">
        <f t="shared" si="5"/>
        <v>2 years 5 months in role and company</v>
      </c>
      <c r="P1496" s="5" t="str">
        <f t="shared" si="6"/>
        <v>Sydney</v>
      </c>
      <c r="Q1496" s="5" t="str">
        <f t="shared" si="7"/>
        <v>New South Wales</v>
      </c>
      <c r="R1496" s="5" t="str">
        <f t="shared" si="8"/>
        <v>Australia</v>
      </c>
    </row>
    <row r="1497">
      <c r="A1497" s="8" t="s">
        <v>8515</v>
      </c>
      <c r="B1497" s="10" t="s">
        <v>8516</v>
      </c>
      <c r="C1497" s="10" t="s">
        <v>32</v>
      </c>
      <c r="D1497" s="10"/>
      <c r="E1497" s="10" t="s">
        <v>2589</v>
      </c>
      <c r="F1497" s="10" t="s">
        <v>144</v>
      </c>
      <c r="G1497" s="11" t="s">
        <v>8517</v>
      </c>
      <c r="H1497" s="11" t="s">
        <v>4638</v>
      </c>
      <c r="I1497" s="11" t="s">
        <v>4600</v>
      </c>
      <c r="J1497" s="9" t="str">
        <f>IFERROR(__xludf.DUMMYFUNCTION("""COMPUTED_VALUE"""),"https://www.google.com/search?newwindow=1&amp;ei=2MT0XrvGGM-vytMP1OyDgAY&amp;q=site%3Alinkedin.com+Geraldine+McNulty+National+Coordinator+Student+Programs")</f>
        <v>https://www.google.com/search?newwindow=1&amp;ei=2MT0XrvGGM-vytMP1OyDgAY&amp;q=site%3Alinkedin.com+Geraldine+McNulty+National+Coordinator+Student+Programs</v>
      </c>
      <c r="K1497" s="5" t="str">
        <f t="shared" si="1"/>
        <v>Geraldine McNulty</v>
      </c>
      <c r="L1497" s="5" t="str">
        <f t="shared" si="2"/>
        <v>National Coordinator Student Programs</v>
      </c>
      <c r="M1497" s="5" t="str">
        <f t="shared" si="3"/>
        <v/>
      </c>
      <c r="N1497" s="5" t="str">
        <f t="shared" si="4"/>
        <v>Australian Catholic University</v>
      </c>
      <c r="O1497" s="5" t="str">
        <f t="shared" si="5"/>
        <v>4 years 9 months in role and company</v>
      </c>
      <c r="P1497" s="5" t="str">
        <f t="shared" si="6"/>
        <v>Sydney</v>
      </c>
      <c r="Q1497" s="5" t="str">
        <f t="shared" si="7"/>
        <v>New South Wales</v>
      </c>
      <c r="R1497" s="5" t="str">
        <f t="shared" si="8"/>
        <v>Australia</v>
      </c>
    </row>
    <row r="1498">
      <c r="A1498" s="8" t="s">
        <v>8518</v>
      </c>
      <c r="B1498" s="10" t="s">
        <v>8519</v>
      </c>
      <c r="C1498" s="10" t="s">
        <v>25</v>
      </c>
      <c r="D1498" s="10"/>
      <c r="E1498" s="10" t="s">
        <v>8030</v>
      </c>
      <c r="F1498" s="10" t="s">
        <v>165</v>
      </c>
      <c r="G1498" s="11" t="s">
        <v>8517</v>
      </c>
      <c r="H1498" s="11" t="s">
        <v>4638</v>
      </c>
      <c r="I1498" s="11" t="s">
        <v>4600</v>
      </c>
      <c r="J1498" s="9" t="str">
        <f>IFERROR(__xludf.DUMMYFUNCTION("""COMPUTED_VALUE"""),"https://www.google.com/search?newwindow=1&amp;ei=2MT0XrvGGM-vytMP1OyDgAY&amp;q=site%3Alinkedin.com+Yara+(Yaroslava)+Vasina+Manager,+Global+Short+Programs+(Outbound+Student+Mobility)")</f>
        <v>https://www.google.com/search?newwindow=1&amp;ei=2MT0XrvGGM-vytMP1OyDgAY&amp;q=site%3Alinkedin.com+Yara+(Yaroslava)+Vasina+Manager,+Global+Short+Programs+(Outbound+Student+Mobility)</v>
      </c>
      <c r="K1498" s="5" t="str">
        <f t="shared" si="1"/>
        <v>Yara (Yaroslava) Vasina</v>
      </c>
      <c r="L1498" s="5" t="str">
        <f t="shared" si="2"/>
        <v>Manager, Global Short Programs (Outbound Student Mobility)</v>
      </c>
      <c r="M1498" s="5" t="str">
        <f t="shared" si="3"/>
        <v/>
      </c>
      <c r="N1498" s="5" t="str">
        <f t="shared" si="4"/>
        <v>University of Technology Sydney</v>
      </c>
      <c r="O1498" s="5" t="str">
        <f t="shared" si="5"/>
        <v>1 year 1 month in role</v>
      </c>
      <c r="P1498" s="5" t="str">
        <f t="shared" si="6"/>
        <v>Sydney</v>
      </c>
      <c r="Q1498" s="5" t="str">
        <f t="shared" si="7"/>
        <v>New South Wales</v>
      </c>
      <c r="R1498" s="5" t="str">
        <f t="shared" si="8"/>
        <v>Australia</v>
      </c>
    </row>
    <row r="1499">
      <c r="A1499" s="8" t="s">
        <v>8520</v>
      </c>
      <c r="B1499" s="10" t="s">
        <v>8521</v>
      </c>
      <c r="C1499" s="10" t="s">
        <v>8522</v>
      </c>
      <c r="D1499" s="10"/>
      <c r="E1499" s="10" t="s">
        <v>8523</v>
      </c>
      <c r="F1499" s="10" t="s">
        <v>585</v>
      </c>
      <c r="G1499" s="11" t="s">
        <v>8517</v>
      </c>
      <c r="H1499" s="11" t="s">
        <v>4638</v>
      </c>
      <c r="I1499" s="11" t="s">
        <v>4600</v>
      </c>
      <c r="J1499" s="9" t="str">
        <f>IFERROR(__xludf.DUMMYFUNCTION("""COMPUTED_VALUE"""),"https://www.google.com/search?newwindow=1&amp;ei=2MT0XrvGGM-vytMP1OyDgAY&amp;q=site%3Alinkedin.com+Tilly+Lim+University+Recruitment+Specialist+-+ANZ+&amp;+SE+Asia")</f>
        <v>https://www.google.com/search?newwindow=1&amp;ei=2MT0XrvGGM-vytMP1OyDgAY&amp;q=site%3Alinkedin.com+Tilly+Lim+University+Recruitment+Specialist+-+ANZ+&amp;+SE+Asia</v>
      </c>
      <c r="K1499" s="5" t="str">
        <f t="shared" si="1"/>
        <v>Tilly Lim</v>
      </c>
      <c r="L1499" s="5" t="str">
        <f t="shared" si="2"/>
        <v>University Recruitment Specialist - ANZ &amp; SE Asia</v>
      </c>
      <c r="M1499" s="5" t="str">
        <f t="shared" si="3"/>
        <v/>
      </c>
      <c r="N1499" s="5" t="str">
        <f t="shared" si="4"/>
        <v>Cisco</v>
      </c>
      <c r="O1499" s="5" t="str">
        <f t="shared" si="5"/>
        <v>3 years 10 months in role and company</v>
      </c>
      <c r="P1499" s="5" t="str">
        <f t="shared" si="6"/>
        <v>Sydney</v>
      </c>
      <c r="Q1499" s="5" t="str">
        <f t="shared" si="7"/>
        <v>New South Wales</v>
      </c>
      <c r="R1499" s="5" t="str">
        <f t="shared" si="8"/>
        <v>Australia</v>
      </c>
    </row>
    <row r="1500">
      <c r="A1500" s="8" t="s">
        <v>8524</v>
      </c>
      <c r="B1500" s="10" t="s">
        <v>8525</v>
      </c>
      <c r="C1500" s="10" t="s">
        <v>8526</v>
      </c>
      <c r="D1500" s="10"/>
      <c r="E1500" s="10" t="s">
        <v>8527</v>
      </c>
      <c r="F1500" s="10" t="s">
        <v>1993</v>
      </c>
      <c r="G1500" s="11" t="s">
        <v>8517</v>
      </c>
      <c r="H1500" s="11" t="s">
        <v>4638</v>
      </c>
      <c r="I1500" s="11" t="s">
        <v>4600</v>
      </c>
      <c r="J1500" s="9" t="str">
        <f>IFERROR(__xludf.DUMMYFUNCTION("""COMPUTED_VALUE"""),"https://www.google.com/search?newwindow=1&amp;ei=2MT0XrvGGM-vytMP1OyDgAY&amp;q=site%3Alinkedin.com+Emily+K.+International+Programs+Assistant")</f>
        <v>https://www.google.com/search?newwindow=1&amp;ei=2MT0XrvGGM-vytMP1OyDgAY&amp;q=site%3Alinkedin.com+Emily+K.+International+Programs+Assistant</v>
      </c>
      <c r="K1500" s="5" t="str">
        <f t="shared" si="1"/>
        <v>Emily K.</v>
      </c>
      <c r="L1500" s="5" t="str">
        <f t="shared" si="2"/>
        <v>International Programs Assistant</v>
      </c>
      <c r="M1500" s="5" t="str">
        <f t="shared" si="3"/>
        <v/>
      </c>
      <c r="N1500" s="5" t="str">
        <f t="shared" si="4"/>
        <v>University of Sydney Union (USU)</v>
      </c>
      <c r="O1500" s="5" t="str">
        <f t="shared" si="5"/>
        <v>1 year 3 months in role</v>
      </c>
      <c r="P1500" s="5" t="str">
        <f t="shared" si="6"/>
        <v>Sydney</v>
      </c>
      <c r="Q1500" s="5" t="str">
        <f t="shared" si="7"/>
        <v>New South Wales</v>
      </c>
      <c r="R1500" s="5" t="str">
        <f t="shared" si="8"/>
        <v>Australia</v>
      </c>
    </row>
    <row r="1501">
      <c r="A1501" s="8" t="s">
        <v>8515</v>
      </c>
      <c r="B1501" s="10" t="s">
        <v>8516</v>
      </c>
      <c r="C1501" s="10" t="s">
        <v>32</v>
      </c>
      <c r="D1501" s="10"/>
      <c r="E1501" s="10" t="s">
        <v>2589</v>
      </c>
      <c r="F1501" s="10" t="s">
        <v>144</v>
      </c>
      <c r="G1501" s="11" t="s">
        <v>8517</v>
      </c>
      <c r="H1501" s="11" t="s">
        <v>4638</v>
      </c>
      <c r="I1501" s="11" t="s">
        <v>4600</v>
      </c>
      <c r="J1501" s="9" t="str">
        <f>IFERROR(__xludf.DUMMYFUNCTION("""COMPUTED_VALUE"""),"https://www.google.com/search?newwindow=1&amp;ei=2MT0XrvGGM-vytMP1OyDgAY&amp;q=site%3Alinkedin.com+Xinru+Yu+University+Tutor+(Casual)")</f>
        <v>https://www.google.com/search?newwindow=1&amp;ei=2MT0XrvGGM-vytMP1OyDgAY&amp;q=site%3Alinkedin.com+Xinru+Yu+University+Tutor+(Casual)</v>
      </c>
      <c r="K1501" s="5" t="str">
        <f t="shared" si="1"/>
        <v>Xinru Yu</v>
      </c>
      <c r="L1501" s="5" t="str">
        <f t="shared" si="2"/>
        <v>University Tutor (Casual)</v>
      </c>
      <c r="M1501" s="5" t="str">
        <f t="shared" si="3"/>
        <v/>
      </c>
      <c r="N1501" s="5" t="str">
        <f t="shared" si="4"/>
        <v>University of Wollongong</v>
      </c>
      <c r="O1501" s="5" t="str">
        <f t="shared" si="5"/>
        <v>2 years 4 months in role</v>
      </c>
      <c r="P1501" s="5" t="str">
        <f t="shared" si="6"/>
        <v>Sydney</v>
      </c>
      <c r="Q1501" s="5" t="str">
        <f t="shared" si="7"/>
        <v>New South Wales</v>
      </c>
      <c r="R1501" s="5" t="str">
        <f t="shared" si="8"/>
        <v>Australia</v>
      </c>
    </row>
    <row r="1502">
      <c r="A1502" s="8" t="s">
        <v>8518</v>
      </c>
      <c r="B1502" s="10" t="s">
        <v>8519</v>
      </c>
      <c r="C1502" s="10" t="s">
        <v>25</v>
      </c>
      <c r="D1502" s="10"/>
      <c r="E1502" s="10" t="s">
        <v>8030</v>
      </c>
      <c r="F1502" s="10" t="s">
        <v>165</v>
      </c>
      <c r="G1502" s="11" t="s">
        <v>8517</v>
      </c>
      <c r="H1502" s="11" t="s">
        <v>4638</v>
      </c>
      <c r="I1502" s="11" t="s">
        <v>4600</v>
      </c>
      <c r="J1502" s="9" t="str">
        <f>IFERROR(__xludf.DUMMYFUNCTION("""COMPUTED_VALUE"""),"https://www.google.com/search?newwindow=1&amp;ei=2MT0XrvGGM-vytMP1OyDgAY&amp;q=site%3Alinkedin.com+Elly+G.+International+Student+Recruiter")</f>
        <v>https://www.google.com/search?newwindow=1&amp;ei=2MT0XrvGGM-vytMP1OyDgAY&amp;q=site%3Alinkedin.com+Elly+G.+International+Student+Recruiter</v>
      </c>
      <c r="K1502" s="5" t="str">
        <f t="shared" si="1"/>
        <v>Elly G.</v>
      </c>
      <c r="L1502" s="5" t="str">
        <f t="shared" si="2"/>
        <v>International Student Recruiter</v>
      </c>
      <c r="M1502" s="5" t="str">
        <f t="shared" si="3"/>
        <v/>
      </c>
      <c r="N1502" s="5" t="str">
        <f t="shared" si="4"/>
        <v>Guangzhou IELTS Centre</v>
      </c>
      <c r="O1502" s="5" t="str">
        <f t="shared" si="5"/>
        <v>19 years 3 months in role and company</v>
      </c>
      <c r="P1502" s="5" t="str">
        <f t="shared" si="6"/>
        <v>Sydney</v>
      </c>
      <c r="Q1502" s="5" t="str">
        <f t="shared" si="7"/>
        <v>New South Wales</v>
      </c>
      <c r="R1502" s="5" t="str">
        <f t="shared" si="8"/>
        <v>Australia</v>
      </c>
    </row>
    <row r="1503">
      <c r="A1503" s="8" t="s">
        <v>8520</v>
      </c>
      <c r="B1503" s="10" t="s">
        <v>8521</v>
      </c>
      <c r="C1503" s="10" t="s">
        <v>8522</v>
      </c>
      <c r="D1503" s="10"/>
      <c r="E1503" s="10" t="s">
        <v>8523</v>
      </c>
      <c r="F1503" s="10" t="s">
        <v>585</v>
      </c>
      <c r="G1503" s="11" t="s">
        <v>8517</v>
      </c>
      <c r="H1503" s="11" t="s">
        <v>4638</v>
      </c>
      <c r="I1503" s="11" t="s">
        <v>4600</v>
      </c>
      <c r="J1503" s="9" t="str">
        <f>IFERROR(__xludf.DUMMYFUNCTION("""COMPUTED_VALUE"""),"https://www.google.com/search?newwindow=1&amp;ei=2MT0XrvGGM-vytMP1OyDgAY&amp;q=site%3Alinkedin.com+Jenny+Rickard+Recruitment+Consultant+(Undergraduate)")</f>
        <v>https://www.google.com/search?newwindow=1&amp;ei=2MT0XrvGGM-vytMP1OyDgAY&amp;q=site%3Alinkedin.com+Jenny+Rickard+Recruitment+Consultant+(Undergraduate)</v>
      </c>
      <c r="K1503" s="5" t="str">
        <f t="shared" si="1"/>
        <v>Jenny Rickard</v>
      </c>
      <c r="L1503" s="5" t="str">
        <f t="shared" si="2"/>
        <v>Recruitment Consultant (Undergraduate)</v>
      </c>
      <c r="M1503" s="5" t="str">
        <f t="shared" si="3"/>
        <v/>
      </c>
      <c r="N1503" s="5" t="str">
        <f t="shared" si="4"/>
        <v>Macquarie University</v>
      </c>
      <c r="O1503" s="5" t="str">
        <f t="shared" si="5"/>
        <v>1 year 6 months in role and company</v>
      </c>
      <c r="P1503" s="5" t="str">
        <f t="shared" si="6"/>
        <v>Sydney</v>
      </c>
      <c r="Q1503" s="5" t="str">
        <f t="shared" si="7"/>
        <v>New South Wales</v>
      </c>
      <c r="R1503" s="5" t="str">
        <f t="shared" si="8"/>
        <v>Australia</v>
      </c>
    </row>
    <row r="1504">
      <c r="A1504" s="8" t="s">
        <v>8524</v>
      </c>
      <c r="B1504" s="10" t="s">
        <v>8525</v>
      </c>
      <c r="C1504" s="10" t="s">
        <v>8526</v>
      </c>
      <c r="D1504" s="10"/>
      <c r="E1504" s="10" t="s">
        <v>8527</v>
      </c>
      <c r="F1504" s="10" t="s">
        <v>1993</v>
      </c>
      <c r="G1504" s="11" t="s">
        <v>8517</v>
      </c>
      <c r="H1504" s="11" t="s">
        <v>4638</v>
      </c>
      <c r="I1504" s="11" t="s">
        <v>4600</v>
      </c>
      <c r="J1504" s="9" t="str">
        <f>IFERROR(__xludf.DUMMYFUNCTION("""COMPUTED_VALUE"""),"https://www.google.com/search?newwindow=1&amp;ei=2MT0XrvGGM-vytMP1OyDgAY&amp;q=site%3Alinkedin.com+Madhav+Raman+Student+Ambassador+-+Health+Promotion+Unit")</f>
        <v>https://www.google.com/search?newwindow=1&amp;ei=2MT0XrvGGM-vytMP1OyDgAY&amp;q=site%3Alinkedin.com+Madhav+Raman+Student+Ambassador+-+Health+Promotion+Unit</v>
      </c>
      <c r="K1504" s="5" t="str">
        <f t="shared" si="1"/>
        <v>Madhav Raman</v>
      </c>
      <c r="L1504" s="5" t="str">
        <f t="shared" si="2"/>
        <v>Student Ambassador - Health Promotion Unit</v>
      </c>
      <c r="M1504" s="5" t="str">
        <f t="shared" si="3"/>
        <v/>
      </c>
      <c r="N1504" s="5" t="str">
        <f t="shared" si="4"/>
        <v>UNSW</v>
      </c>
      <c r="O1504" s="5" t="str">
        <f t="shared" si="5"/>
        <v>1 year 2 months in role and company</v>
      </c>
      <c r="P1504" s="5" t="str">
        <f t="shared" si="6"/>
        <v>Sydney</v>
      </c>
      <c r="Q1504" s="5" t="str">
        <f t="shared" si="7"/>
        <v>New South Wales</v>
      </c>
      <c r="R1504" s="5" t="str">
        <f t="shared" si="8"/>
        <v>Australia</v>
      </c>
    </row>
    <row r="1505">
      <c r="A1505" s="8" t="s">
        <v>8528</v>
      </c>
      <c r="B1505" s="10" t="s">
        <v>8529</v>
      </c>
      <c r="C1505" s="10" t="s">
        <v>8530</v>
      </c>
      <c r="D1505" s="10"/>
      <c r="E1505" s="10" t="s">
        <v>845</v>
      </c>
      <c r="F1505" s="10" t="s">
        <v>149</v>
      </c>
      <c r="G1505" s="11" t="s">
        <v>8517</v>
      </c>
      <c r="H1505" s="11" t="s">
        <v>4638</v>
      </c>
      <c r="I1505" s="11" t="s">
        <v>4600</v>
      </c>
      <c r="J1505" s="9" t="str">
        <f>IFERROR(__xludf.DUMMYFUNCTION("""COMPUTED_VALUE"""),"https://www.google.com/search?newwindow=1&amp;ei=2MT0XrvGGM-vytMP1OyDgAY&amp;q=site%3Alinkedin.com+Louise+Johnston+Academic+Coordinator+for+Student+Programs")</f>
        <v>https://www.google.com/search?newwindow=1&amp;ei=2MT0XrvGGM-vytMP1OyDgAY&amp;q=site%3Alinkedin.com+Louise+Johnston+Academic+Coordinator+for+Student+Programs</v>
      </c>
      <c r="K1505" s="5" t="str">
        <f t="shared" si="1"/>
        <v>Louise Johnston</v>
      </c>
      <c r="L1505" s="5" t="str">
        <f t="shared" si="2"/>
        <v>Academic Coordinator for Student Programs</v>
      </c>
      <c r="M1505" s="5" t="str">
        <f t="shared" si="3"/>
        <v/>
      </c>
      <c r="N1505" s="5" t="str">
        <f t="shared" si="4"/>
        <v>The University Of Notre Dame</v>
      </c>
      <c r="O1505" s="5" t="str">
        <f t="shared" si="5"/>
        <v>10 years 10 months in role and company</v>
      </c>
      <c r="P1505" s="5" t="str">
        <f t="shared" si="6"/>
        <v>Sydney</v>
      </c>
      <c r="Q1505" s="5" t="str">
        <f t="shared" si="7"/>
        <v>New South Wales</v>
      </c>
      <c r="R1505" s="5" t="str">
        <f t="shared" si="8"/>
        <v>Australia</v>
      </c>
    </row>
    <row r="1506">
      <c r="A1506" s="8" t="s">
        <v>8531</v>
      </c>
      <c r="B1506" s="12" t="s">
        <v>874</v>
      </c>
      <c r="C1506" s="10" t="s">
        <v>875</v>
      </c>
      <c r="D1506" s="10"/>
      <c r="E1506" s="10" t="s">
        <v>845</v>
      </c>
      <c r="F1506" s="10" t="s">
        <v>29</v>
      </c>
      <c r="G1506" s="11" t="s">
        <v>8517</v>
      </c>
      <c r="H1506" s="11" t="s">
        <v>4638</v>
      </c>
      <c r="I1506" s="11" t="s">
        <v>4600</v>
      </c>
      <c r="J1506" s="9" t="str">
        <f>IFERROR(__xludf.DUMMYFUNCTION("""COMPUTED_VALUE"""),"https://www.google.com/search?newwindow=1&amp;ei=2MT0XrvGGM-vytMP1OyDgAY&amp;q=site%3Alinkedin.com+Michael+Ormsby+Team+Lead,+Student+Development+Programs")</f>
        <v>https://www.google.com/search?newwindow=1&amp;ei=2MT0XrvGGM-vytMP1OyDgAY&amp;q=site%3Alinkedin.com+Michael+Ormsby+Team+Lead,+Student+Development+Programs</v>
      </c>
      <c r="K1506" s="5" t="str">
        <f t="shared" si="1"/>
        <v>Michael Ormsby</v>
      </c>
      <c r="L1506" s="5" t="str">
        <f t="shared" si="2"/>
        <v>Team Lead, Student Development Programs</v>
      </c>
      <c r="M1506" s="5" t="str">
        <f t="shared" si="3"/>
        <v/>
      </c>
      <c r="N1506" s="5" t="str">
        <f t="shared" si="4"/>
        <v>UNSW</v>
      </c>
      <c r="O1506" s="5" t="str">
        <f t="shared" si="5"/>
        <v>1 year 2 months in role</v>
      </c>
      <c r="P1506" s="5" t="str">
        <f t="shared" si="6"/>
        <v>Sydney</v>
      </c>
      <c r="Q1506" s="5" t="str">
        <f t="shared" si="7"/>
        <v>New South Wales</v>
      </c>
      <c r="R1506" s="5" t="str">
        <f t="shared" si="8"/>
        <v>Australia</v>
      </c>
    </row>
    <row r="1507">
      <c r="A1507" s="8" t="s">
        <v>8532</v>
      </c>
      <c r="B1507" s="10" t="s">
        <v>8533</v>
      </c>
      <c r="C1507" s="10" t="s">
        <v>8534</v>
      </c>
      <c r="D1507" s="10"/>
      <c r="E1507" s="10" t="s">
        <v>845</v>
      </c>
      <c r="F1507" s="10" t="s">
        <v>365</v>
      </c>
      <c r="G1507" s="11" t="s">
        <v>8517</v>
      </c>
      <c r="H1507" s="11" t="s">
        <v>4638</v>
      </c>
      <c r="I1507" s="11" t="s">
        <v>4600</v>
      </c>
      <c r="J1507" s="9" t="str">
        <f>IFERROR(__xludf.DUMMYFUNCTION("""COMPUTED_VALUE"""),"https://www.google.com/search?newwindow=1&amp;ei=2MT0XrvGGM-vytMP1OyDgAY&amp;q=site%3Alinkedin.com+Perry+Thurston+Vice+President,+Campus+Recruiting")</f>
        <v>https://www.google.com/search?newwindow=1&amp;ei=2MT0XrvGGM-vytMP1OyDgAY&amp;q=site%3Alinkedin.com+Perry+Thurston+Vice+President,+Campus+Recruiting</v>
      </c>
      <c r="K1507" s="5" t="str">
        <f t="shared" si="1"/>
        <v>Perry Thurston</v>
      </c>
      <c r="L1507" s="5" t="str">
        <f t="shared" si="2"/>
        <v>Vice President, Campus Recruiting</v>
      </c>
      <c r="M1507" s="5" t="str">
        <f t="shared" si="3"/>
        <v/>
      </c>
      <c r="N1507" s="5" t="str">
        <f t="shared" si="4"/>
        <v>J.P. Morgan</v>
      </c>
      <c r="O1507" s="5" t="str">
        <f t="shared" si="5"/>
        <v>1 year 9 months in role</v>
      </c>
      <c r="P1507" s="5" t="str">
        <f t="shared" si="6"/>
        <v>Sydney</v>
      </c>
      <c r="Q1507" s="5" t="str">
        <f t="shared" si="7"/>
        <v>New South Wales</v>
      </c>
      <c r="R1507" s="5" t="str">
        <f t="shared" si="8"/>
        <v>Australia</v>
      </c>
    </row>
    <row r="1508">
      <c r="A1508" s="8" t="s">
        <v>8535</v>
      </c>
      <c r="B1508" s="12" t="s">
        <v>8536</v>
      </c>
      <c r="C1508" s="10" t="s">
        <v>8537</v>
      </c>
      <c r="D1508" s="10"/>
      <c r="E1508" s="10" t="s">
        <v>4611</v>
      </c>
      <c r="F1508" s="10" t="s">
        <v>822</v>
      </c>
      <c r="G1508" s="11" t="s">
        <v>3274</v>
      </c>
      <c r="H1508" s="13" t="s">
        <v>137</v>
      </c>
      <c r="I1508" s="11" t="s">
        <v>18</v>
      </c>
      <c r="J1508" s="9" t="str">
        <f>IFERROR(__xludf.DUMMYFUNCTION("""COMPUTED_VALUE"""),"https://www.google.com/search?newwindow=1&amp;ei=2MT0XrvGGM-vytMP1OyDgAY&amp;q=site%3Alinkedin.com+Margaret+Borger+A/g+Head+of+Student+Wellbeing")</f>
        <v>https://www.google.com/search?newwindow=1&amp;ei=2MT0XrvGGM-vytMP1OyDgAY&amp;q=site%3Alinkedin.com+Margaret+Borger+A/g+Head+of+Student+Wellbeing</v>
      </c>
      <c r="K1508" s="5" t="str">
        <f t="shared" si="1"/>
        <v>Margaret Borger</v>
      </c>
      <c r="L1508" s="5" t="str">
        <f t="shared" si="2"/>
        <v>A/g Head of Student Wellbeing</v>
      </c>
      <c r="M1508" s="5" t="str">
        <f t="shared" si="3"/>
        <v/>
      </c>
      <c r="N1508" s="5" t="str">
        <f t="shared" si="4"/>
        <v>International Grammar School</v>
      </c>
      <c r="O1508" s="5" t="str">
        <f t="shared" si="5"/>
        <v>4 years 4 months in role and company</v>
      </c>
      <c r="P1508" s="5" t="str">
        <f t="shared" si="6"/>
        <v>Sydney</v>
      </c>
      <c r="Q1508" s="5" t="str">
        <f t="shared" si="7"/>
        <v>New South Wales</v>
      </c>
      <c r="R1508" s="5" t="str">
        <f t="shared" si="8"/>
        <v>Australia</v>
      </c>
    </row>
    <row r="1509">
      <c r="A1509" s="8" t="s">
        <v>8538</v>
      </c>
      <c r="B1509" s="12" t="s">
        <v>8539</v>
      </c>
      <c r="C1509" s="10" t="s">
        <v>8540</v>
      </c>
      <c r="D1509" s="10"/>
      <c r="E1509" s="10" t="s">
        <v>1560</v>
      </c>
      <c r="F1509" s="10"/>
      <c r="G1509" s="11" t="s">
        <v>8541</v>
      </c>
      <c r="H1509" s="11" t="s">
        <v>76</v>
      </c>
      <c r="I1509" s="11" t="s">
        <v>18</v>
      </c>
      <c r="J1509" s="9" t="str">
        <f>IFERROR(__xludf.DUMMYFUNCTION("""COMPUTED_VALUE"""),"https://www.google.com/search?newwindow=1&amp;ei=2MT0XrvGGM-vytMP1OyDgAY&amp;q=site%3Alinkedin.com+Julie+Dodd+A/Operational+Coordinator,+Student+Programs")</f>
        <v>https://www.google.com/search?newwindow=1&amp;ei=2MT0XrvGGM-vytMP1OyDgAY&amp;q=site%3Alinkedin.com+Julie+Dodd+A/Operational+Coordinator,+Student+Programs</v>
      </c>
      <c r="K1509" s="5" t="str">
        <f t="shared" si="1"/>
        <v>Julie Dodd</v>
      </c>
      <c r="L1509" s="5" t="str">
        <f t="shared" si="2"/>
        <v>A/Operational Coordinator, Student Programs</v>
      </c>
      <c r="M1509" s="5" t="str">
        <f t="shared" si="3"/>
        <v/>
      </c>
      <c r="N1509" s="5" t="str">
        <f t="shared" si="4"/>
        <v>NSW Justice Health &amp; Forensic Mental Health Network</v>
      </c>
      <c r="O1509" s="5" t="str">
        <f t="shared" si="5"/>
        <v>2 years 1 month in role</v>
      </c>
      <c r="P1509" s="5" t="str">
        <f t="shared" si="6"/>
        <v>Sydney</v>
      </c>
      <c r="Q1509" s="5" t="str">
        <f t="shared" si="7"/>
        <v>New South Wales</v>
      </c>
      <c r="R1509" s="5" t="str">
        <f t="shared" si="8"/>
        <v>Australia</v>
      </c>
    </row>
    <row r="1510">
      <c r="A1510" s="8" t="s">
        <v>8542</v>
      </c>
      <c r="B1510" s="12" t="s">
        <v>8543</v>
      </c>
      <c r="C1510" s="10" t="s">
        <v>4596</v>
      </c>
      <c r="D1510" s="10"/>
      <c r="E1510" s="10" t="s">
        <v>8544</v>
      </c>
      <c r="F1510" s="10" t="s">
        <v>3110</v>
      </c>
      <c r="G1510" s="11" t="s">
        <v>8545</v>
      </c>
      <c r="H1510" s="11" t="s">
        <v>4757</v>
      </c>
      <c r="I1510" s="11" t="s">
        <v>4607</v>
      </c>
      <c r="J1510" s="9" t="str">
        <f>IFERROR(__xludf.DUMMYFUNCTION("""COMPUTED_VALUE"""),"https://www.google.com/search?newwindow=1&amp;ei=2MT0XrvGGM-vytMP1OyDgAY&amp;q=site%3Alinkedin.com+Louise+Gage+Product+Owner+-+Family+and+Student+value+stream")</f>
        <v>https://www.google.com/search?newwindow=1&amp;ei=2MT0XrvGGM-vytMP1OyDgAY&amp;q=site%3Alinkedin.com+Louise+Gage+Product+Owner+-+Family+and+Student+value+stream</v>
      </c>
      <c r="K1510" s="5" t="str">
        <f t="shared" si="1"/>
        <v>Louise Gage</v>
      </c>
      <c r="L1510" s="5" t="str">
        <f t="shared" si="2"/>
        <v>Product Owner - Family and Student value stream</v>
      </c>
      <c r="M1510" s="5" t="str">
        <f t="shared" si="3"/>
        <v/>
      </c>
      <c r="N1510" s="5" t="str">
        <f t="shared" si="4"/>
        <v>The Smith Family</v>
      </c>
      <c r="O1510" s="5" t="str">
        <f t="shared" si="5"/>
        <v>2 years 1 month in role</v>
      </c>
      <c r="P1510" s="5" t="str">
        <f t="shared" si="6"/>
        <v>Sydney</v>
      </c>
      <c r="Q1510" s="5" t="str">
        <f t="shared" si="7"/>
        <v>New South Wales</v>
      </c>
      <c r="R1510" s="5" t="str">
        <f t="shared" si="8"/>
        <v>Australia</v>
      </c>
    </row>
    <row r="1511">
      <c r="A1511" s="8" t="s">
        <v>8546</v>
      </c>
      <c r="B1511" s="12" t="s">
        <v>8547</v>
      </c>
      <c r="C1511" s="10" t="s">
        <v>115</v>
      </c>
      <c r="D1511" s="12"/>
      <c r="E1511" s="12" t="s">
        <v>8548</v>
      </c>
      <c r="F1511" s="10"/>
      <c r="G1511" s="11" t="s">
        <v>8545</v>
      </c>
      <c r="H1511" s="11" t="s">
        <v>4757</v>
      </c>
      <c r="I1511" s="11" t="s">
        <v>4607</v>
      </c>
      <c r="J1511" s="9" t="str">
        <f>IFERROR(__xludf.DUMMYFUNCTION("""COMPUTED_VALUE"""),"https://www.google.com/search?newwindow=1&amp;ei=2MT0XrvGGM-vytMP1OyDgAY&amp;q=site%3Alinkedin.com+Vicki+Tyrrell+Student+Programs+Assistant,")</f>
        <v>https://www.google.com/search?newwindow=1&amp;ei=2MT0XrvGGM-vytMP1OyDgAY&amp;q=site%3Alinkedin.com+Vicki+Tyrrell+Student+Programs+Assistant,</v>
      </c>
      <c r="K1511" s="5" t="str">
        <f t="shared" si="1"/>
        <v>Vicki Tyrrell</v>
      </c>
      <c r="L1511" s="5" t="str">
        <f t="shared" si="2"/>
        <v>Student Programs Assistant,</v>
      </c>
      <c r="M1511" s="5" t="str">
        <f t="shared" si="3"/>
        <v/>
      </c>
      <c r="N1511" s="5" t="str">
        <f t="shared" si="4"/>
        <v>UTS: University of Technology, Sydney</v>
      </c>
      <c r="O1511" s="5" t="str">
        <f t="shared" si="5"/>
        <v>5 years 10 months in role and company</v>
      </c>
      <c r="P1511" s="5" t="str">
        <f t="shared" si="6"/>
        <v>Sydney</v>
      </c>
      <c r="Q1511" s="5" t="str">
        <f t="shared" si="7"/>
        <v>New South Wales</v>
      </c>
      <c r="R1511" s="5" t="str">
        <f t="shared" si="8"/>
        <v>Australia</v>
      </c>
    </row>
    <row r="1512">
      <c r="A1512" s="8" t="s">
        <v>8549</v>
      </c>
      <c r="B1512" s="12" t="s">
        <v>8550</v>
      </c>
      <c r="C1512" s="10" t="s">
        <v>8551</v>
      </c>
      <c r="D1512" s="10"/>
      <c r="E1512" s="10" t="s">
        <v>8552</v>
      </c>
      <c r="F1512" s="10" t="s">
        <v>691</v>
      </c>
      <c r="G1512" s="11" t="s">
        <v>8553</v>
      </c>
      <c r="H1512" s="11" t="s">
        <v>5566</v>
      </c>
      <c r="I1512" s="11" t="s">
        <v>4619</v>
      </c>
      <c r="J1512" s="9" t="str">
        <f>IFERROR(__xludf.DUMMYFUNCTION("""COMPUTED_VALUE"""),"https://www.google.com/search?newwindow=1&amp;ei=2MT0XrvGGM-vytMP1OyDgAY&amp;q=site%3Alinkedin.com+Daniel+Smith+Student+Experience+Programs+Coordinator")</f>
        <v>https://www.google.com/search?newwindow=1&amp;ei=2MT0XrvGGM-vytMP1OyDgAY&amp;q=site%3Alinkedin.com+Daniel+Smith+Student+Experience+Programs+Coordinator</v>
      </c>
      <c r="K1512" s="5" t="str">
        <f t="shared" si="1"/>
        <v>Daniel Smith</v>
      </c>
      <c r="L1512" s="5" t="str">
        <f t="shared" si="2"/>
        <v>Student Experience Programs Coordinator</v>
      </c>
      <c r="M1512" s="5" t="str">
        <f t="shared" si="3"/>
        <v/>
      </c>
      <c r="N1512" s="5" t="str">
        <f t="shared" si="4"/>
        <v>The University of Sydney Business School</v>
      </c>
      <c r="O1512" s="5" t="str">
        <f t="shared" si="5"/>
        <v>5 years 7 months in role and company</v>
      </c>
      <c r="P1512" s="5" t="str">
        <f t="shared" si="6"/>
        <v>Sydney</v>
      </c>
      <c r="Q1512" s="5" t="str">
        <f t="shared" si="7"/>
        <v>New South Wales</v>
      </c>
      <c r="R1512" s="5" t="str">
        <f t="shared" si="8"/>
        <v>Australia</v>
      </c>
    </row>
    <row r="1513">
      <c r="A1513" s="8" t="s">
        <v>8554</v>
      </c>
      <c r="B1513" s="10" t="s">
        <v>2897</v>
      </c>
      <c r="C1513" s="10" t="s">
        <v>371</v>
      </c>
      <c r="D1513" s="10"/>
      <c r="E1513" s="10" t="s">
        <v>8555</v>
      </c>
      <c r="F1513" s="10" t="s">
        <v>784</v>
      </c>
      <c r="G1513" s="11" t="s">
        <v>2898</v>
      </c>
      <c r="H1513" s="11" t="s">
        <v>91</v>
      </c>
      <c r="I1513" s="11" t="s">
        <v>18</v>
      </c>
      <c r="J1513" s="9" t="str">
        <f>IFERROR(__xludf.DUMMYFUNCTION("""COMPUTED_VALUE"""),"https://www.google.com/search?newwindow=1&amp;ei=2MT0XrvGGM-vytMP1OyDgAY&amp;q=site%3Alinkedin.com+Jillian+Black+Student+Programs+Manager")</f>
        <v>https://www.google.com/search?newwindow=1&amp;ei=2MT0XrvGGM-vytMP1OyDgAY&amp;q=site%3Alinkedin.com+Jillian+Black+Student+Programs+Manager</v>
      </c>
      <c r="K1513" s="5" t="str">
        <f t="shared" si="1"/>
        <v>Jillian Black</v>
      </c>
      <c r="L1513" s="5" t="str">
        <f t="shared" si="2"/>
        <v>Student Programs Manager</v>
      </c>
      <c r="M1513" s="5" t="str">
        <f t="shared" si="3"/>
        <v/>
      </c>
      <c r="N1513" s="5" t="str">
        <f t="shared" si="4"/>
        <v>National Disability Services</v>
      </c>
      <c r="O1513" s="5" t="str">
        <f t="shared" si="5"/>
        <v>7 years 10 months in role</v>
      </c>
      <c r="P1513" s="5" t="str">
        <f t="shared" si="6"/>
        <v>Sydney</v>
      </c>
      <c r="Q1513" s="5" t="str">
        <f t="shared" si="7"/>
        <v>New South Wales</v>
      </c>
      <c r="R1513" s="5" t="str">
        <f t="shared" si="8"/>
        <v>Australia</v>
      </c>
    </row>
    <row r="1514">
      <c r="A1514" s="8" t="s">
        <v>8556</v>
      </c>
      <c r="B1514" s="10" t="s">
        <v>1359</v>
      </c>
      <c r="C1514" s="10" t="s">
        <v>371</v>
      </c>
      <c r="D1514" s="10"/>
      <c r="E1514" s="10" t="s">
        <v>1233</v>
      </c>
      <c r="F1514" s="10" t="s">
        <v>1360</v>
      </c>
      <c r="G1514" s="11" t="s">
        <v>1361</v>
      </c>
      <c r="H1514" s="11" t="s">
        <v>91</v>
      </c>
      <c r="I1514" s="11" t="s">
        <v>18</v>
      </c>
      <c r="J1514" s="9" t="str">
        <f>IFERROR(__xludf.DUMMYFUNCTION("""COMPUTED_VALUE"""),"https://www.google.com/search?newwindow=1&amp;ei=2MT0XrvGGM-vytMP1OyDgAY&amp;q=site%3Alinkedin.com+Akita+Sanchez+International+Student+Recruitment+Officer+at+The+University+of+Notre+Dame+Australia")</f>
        <v>https://www.google.com/search?newwindow=1&amp;ei=2MT0XrvGGM-vytMP1OyDgAY&amp;q=site%3Alinkedin.com+Akita+Sanchez+International+Student+Recruitment+Officer+at+The+University+of+Notre+Dame+Australia</v>
      </c>
      <c r="K1514" s="5" t="str">
        <f t="shared" si="1"/>
        <v>Akita Sanchez</v>
      </c>
      <c r="L1514" s="5" t="str">
        <f t="shared" si="2"/>
        <v>International Student Recruitment Officer at The University of Notre Dame Australia</v>
      </c>
      <c r="M1514" s="5" t="str">
        <f t="shared" si="3"/>
        <v/>
      </c>
      <c r="N1514" s="5" t="str">
        <f t="shared" si="4"/>
        <v>The University of Notre Dame Australia</v>
      </c>
      <c r="O1514" s="5" t="str">
        <f t="shared" si="5"/>
        <v>2 years 5 months in role</v>
      </c>
      <c r="P1514" s="5" t="str">
        <f t="shared" si="6"/>
        <v>Sydney</v>
      </c>
      <c r="Q1514" s="5" t="str">
        <f t="shared" si="7"/>
        <v>New South Wales</v>
      </c>
      <c r="R1514" s="5" t="str">
        <f t="shared" si="8"/>
        <v>Australia</v>
      </c>
    </row>
    <row r="1515">
      <c r="A1515" s="8" t="s">
        <v>8557</v>
      </c>
      <c r="B1515" s="10" t="s">
        <v>8558</v>
      </c>
      <c r="C1515" s="10" t="s">
        <v>4934</v>
      </c>
      <c r="D1515" s="10"/>
      <c r="E1515" s="10" t="s">
        <v>2839</v>
      </c>
      <c r="F1515" s="10" t="s">
        <v>8559</v>
      </c>
      <c r="G1515" s="11" t="s">
        <v>8560</v>
      </c>
      <c r="H1515" s="11" t="s">
        <v>8430</v>
      </c>
      <c r="I1515" s="11" t="s">
        <v>18</v>
      </c>
      <c r="J1515" s="9" t="str">
        <f>IFERROR(__xludf.DUMMYFUNCTION("""COMPUTED_VALUE"""),"https://www.google.com/search?newwindow=1&amp;ei=2MT0XrvGGM-vytMP1OyDgAY&amp;q=site%3Alinkedin.com+Kimberley+Hammerton+International+Programs+Unit")</f>
        <v>https://www.google.com/search?newwindow=1&amp;ei=2MT0XrvGGM-vytMP1OyDgAY&amp;q=site%3Alinkedin.com+Kimberley+Hammerton+International+Programs+Unit</v>
      </c>
      <c r="K1515" s="5" t="str">
        <f t="shared" si="1"/>
        <v>Kimberley Hammerton</v>
      </c>
      <c r="L1515" s="5" t="str">
        <f t="shared" si="2"/>
        <v>International Programs Unit</v>
      </c>
      <c r="M1515" s="5" t="str">
        <f t="shared" si="3"/>
        <v/>
      </c>
      <c r="N1515" s="5" t="str">
        <f t="shared" si="4"/>
        <v>Federal Court of Australia</v>
      </c>
      <c r="O1515" s="5" t="str">
        <f t="shared" si="5"/>
        <v>9 months in role and company</v>
      </c>
      <c r="P1515" s="5" t="str">
        <f t="shared" si="6"/>
        <v>Sydney</v>
      </c>
      <c r="Q1515" s="5" t="str">
        <f t="shared" si="7"/>
        <v>New South Wales</v>
      </c>
      <c r="R1515" s="5" t="str">
        <f t="shared" si="8"/>
        <v>Australia</v>
      </c>
    </row>
    <row r="1516">
      <c r="A1516" s="8" t="s">
        <v>8561</v>
      </c>
      <c r="B1516" s="10" t="s">
        <v>1857</v>
      </c>
      <c r="C1516" s="10" t="s">
        <v>1858</v>
      </c>
      <c r="D1516" s="10"/>
      <c r="E1516" s="10" t="s">
        <v>4701</v>
      </c>
      <c r="F1516" s="10" t="s">
        <v>1460</v>
      </c>
      <c r="G1516" s="13" t="s">
        <v>1859</v>
      </c>
      <c r="H1516" s="13" t="s">
        <v>44</v>
      </c>
      <c r="I1516" s="11" t="s">
        <v>18</v>
      </c>
      <c r="J1516" s="9" t="str">
        <f>IFERROR(__xludf.DUMMYFUNCTION("""COMPUTED_VALUE"""),"https://www.google.com/search?newwindow=1&amp;ei=2MT0XrvGGM-vytMP1OyDgAY&amp;q=site%3Alinkedin.com+Rachel+Coventry+Student+Programs+Assistant")</f>
        <v>https://www.google.com/search?newwindow=1&amp;ei=2MT0XrvGGM-vytMP1OyDgAY&amp;q=site%3Alinkedin.com+Rachel+Coventry+Student+Programs+Assistant</v>
      </c>
      <c r="K1516" s="5" t="str">
        <f t="shared" si="1"/>
        <v>Rachel Coventry</v>
      </c>
      <c r="L1516" s="5" t="str">
        <f t="shared" si="2"/>
        <v>Student Programs Assistant</v>
      </c>
      <c r="M1516" s="5" t="str">
        <f t="shared" si="3"/>
        <v/>
      </c>
      <c r="N1516" s="5" t="str">
        <f t="shared" si="4"/>
        <v>UTS Faculty of Law</v>
      </c>
      <c r="O1516" s="5" t="str">
        <f t="shared" si="5"/>
        <v>6 years 9 months in role and company</v>
      </c>
      <c r="P1516" s="5" t="str">
        <f t="shared" si="6"/>
        <v>Sydney</v>
      </c>
      <c r="Q1516" s="5" t="str">
        <f t="shared" si="7"/>
        <v>New South Wales</v>
      </c>
      <c r="R1516" s="5" t="str">
        <f t="shared" si="8"/>
        <v>Australia</v>
      </c>
    </row>
    <row r="1517">
      <c r="A1517" s="8" t="s">
        <v>8562</v>
      </c>
      <c r="B1517" s="12" t="s">
        <v>8563</v>
      </c>
      <c r="C1517" s="10" t="s">
        <v>8564</v>
      </c>
      <c r="D1517" s="10"/>
      <c r="E1517" s="10" t="s">
        <v>8565</v>
      </c>
      <c r="F1517" s="10" t="s">
        <v>207</v>
      </c>
      <c r="G1517" s="11" t="s">
        <v>8566</v>
      </c>
      <c r="H1517" s="11" t="s">
        <v>7705</v>
      </c>
      <c r="I1517" s="11" t="s">
        <v>4600</v>
      </c>
      <c r="J1517" s="9" t="str">
        <f>IFERROR(__xludf.DUMMYFUNCTION("""COMPUTED_VALUE"""),"https://www.google.com/search?newwindow=1&amp;ei=2MT0XrvGGM-vytMP1OyDgAY&amp;q=site%3Alinkedin.com+Jefferson+Ian+Student+Music+Programs+Officer+(K-8)")</f>
        <v>https://www.google.com/search?newwindow=1&amp;ei=2MT0XrvGGM-vytMP1OyDgAY&amp;q=site%3Alinkedin.com+Jefferson+Ian+Student+Music+Programs+Officer+(K-8)</v>
      </c>
      <c r="K1517" s="5" t="str">
        <f t="shared" si="1"/>
        <v>Jefferson Ian</v>
      </c>
      <c r="L1517" s="5" t="str">
        <f t="shared" si="2"/>
        <v>Student Music Programs Officer (K-8)</v>
      </c>
      <c r="M1517" s="5" t="str">
        <f t="shared" si="3"/>
        <v/>
      </c>
      <c r="N1517" s="5" t="str">
        <f t="shared" si="4"/>
        <v>NSW Department of Education and Communities</v>
      </c>
      <c r="O1517" s="5" t="str">
        <f t="shared" si="5"/>
        <v/>
      </c>
      <c r="P1517" s="5" t="str">
        <f t="shared" si="6"/>
        <v>Sydney</v>
      </c>
      <c r="Q1517" s="5" t="str">
        <f t="shared" si="7"/>
        <v>New South Wales</v>
      </c>
      <c r="R1517" s="5" t="str">
        <f t="shared" si="8"/>
        <v>Australia</v>
      </c>
    </row>
    <row r="1518">
      <c r="A1518" s="8" t="s">
        <v>8562</v>
      </c>
      <c r="B1518" s="12" t="s">
        <v>8563</v>
      </c>
      <c r="C1518" s="10" t="s">
        <v>8564</v>
      </c>
      <c r="D1518" s="10"/>
      <c r="E1518" s="10" t="s">
        <v>8565</v>
      </c>
      <c r="F1518" s="10" t="s">
        <v>207</v>
      </c>
      <c r="G1518" s="11" t="s">
        <v>8566</v>
      </c>
      <c r="H1518" s="11" t="s">
        <v>7705</v>
      </c>
      <c r="I1518" s="11" t="s">
        <v>4600</v>
      </c>
      <c r="J1518" s="9" t="str">
        <f>IFERROR(__xludf.DUMMYFUNCTION("""COMPUTED_VALUE"""),"https://www.google.com/search?newwindow=1&amp;ei=2MT0XrvGGM-vytMP1OyDgAY&amp;q=site%3Alinkedin.com+Matthew+Durie+Director+Student+Recruitment+Charles+Sturt+University+Study+Centres")</f>
        <v>https://www.google.com/search?newwindow=1&amp;ei=2MT0XrvGGM-vytMP1OyDgAY&amp;q=site%3Alinkedin.com+Matthew+Durie+Director+Student+Recruitment+Charles+Sturt+University+Study+Centres</v>
      </c>
      <c r="K1518" s="5" t="str">
        <f t="shared" si="1"/>
        <v>Matthew Durie</v>
      </c>
      <c r="L1518" s="5" t="str">
        <f t="shared" si="2"/>
        <v>Director Student Recruitment Charles Sturt University Study Centres</v>
      </c>
      <c r="M1518" s="5" t="str">
        <f t="shared" si="3"/>
        <v/>
      </c>
      <c r="N1518" s="5" t="str">
        <f t="shared" si="4"/>
        <v>Study Group Australia</v>
      </c>
      <c r="O1518" s="5" t="str">
        <f t="shared" si="5"/>
        <v/>
      </c>
      <c r="P1518" s="5" t="str">
        <f t="shared" si="6"/>
        <v>Sydney</v>
      </c>
      <c r="Q1518" s="5" t="str">
        <f t="shared" si="7"/>
        <v>New South Wales</v>
      </c>
      <c r="R1518" s="5" t="str">
        <f t="shared" si="8"/>
        <v>Australia</v>
      </c>
    </row>
    <row r="1519">
      <c r="A1519" s="8" t="s">
        <v>8567</v>
      </c>
      <c r="B1519" s="10" t="s">
        <v>8568</v>
      </c>
      <c r="C1519" s="10" t="s">
        <v>7277</v>
      </c>
      <c r="D1519" s="10"/>
      <c r="E1519" s="10" t="s">
        <v>3090</v>
      </c>
      <c r="F1519" s="10" t="s">
        <v>8569</v>
      </c>
      <c r="G1519" s="11" t="s">
        <v>8570</v>
      </c>
      <c r="H1519" s="11" t="s">
        <v>96</v>
      </c>
      <c r="I1519" s="11" t="s">
        <v>18</v>
      </c>
      <c r="J1519" s="9" t="str">
        <f>IFERROR(__xludf.DUMMYFUNCTION("""COMPUTED_VALUE"""),"https://www.google.com/search?newwindow=1&amp;ei=2MT0XrvGGM-vytMP1OyDgAY&amp;q=site%3Alinkedin.com+Franziska+Konschak+Programs+Manager+Student+Education+&amp;+Executive+Assistant+(CPC)")</f>
        <v>https://www.google.com/search?newwindow=1&amp;ei=2MT0XrvGGM-vytMP1OyDgAY&amp;q=site%3Alinkedin.com+Franziska+Konschak+Programs+Manager+Student+Education+&amp;+Executive+Assistant+(CPC)</v>
      </c>
      <c r="K1519" s="5" t="str">
        <f t="shared" si="1"/>
        <v>Franziska Konschak</v>
      </c>
      <c r="L1519" s="5" t="str">
        <f t="shared" si="2"/>
        <v>Programs Manager Student Education &amp; Executive Assistant (CPC)</v>
      </c>
      <c r="M1519" s="5" t="str">
        <f t="shared" si="3"/>
        <v/>
      </c>
      <c r="N1519" s="5" t="str">
        <f t="shared" si="4"/>
        <v>The Heart Research Institute (HRI)</v>
      </c>
      <c r="O1519" s="5" t="str">
        <f t="shared" si="5"/>
        <v>1 year 7 months in role and company</v>
      </c>
      <c r="P1519" s="5" t="str">
        <f t="shared" si="6"/>
        <v>Sydney</v>
      </c>
      <c r="Q1519" s="5" t="str">
        <f t="shared" si="7"/>
        <v>New South Wales</v>
      </c>
      <c r="R1519" s="5" t="str">
        <f t="shared" si="8"/>
        <v>Australia</v>
      </c>
    </row>
    <row r="1520">
      <c r="A1520" s="8" t="s">
        <v>8571</v>
      </c>
      <c r="B1520" s="12" t="s">
        <v>8572</v>
      </c>
      <c r="C1520" s="10" t="s">
        <v>8573</v>
      </c>
      <c r="D1520" s="10"/>
      <c r="E1520" s="10" t="s">
        <v>8574</v>
      </c>
      <c r="F1520" s="10" t="s">
        <v>421</v>
      </c>
      <c r="G1520" s="11" t="s">
        <v>8570</v>
      </c>
      <c r="H1520" s="11" t="s">
        <v>3038</v>
      </c>
      <c r="I1520" s="11" t="s">
        <v>18</v>
      </c>
      <c r="J1520" s="9" t="str">
        <f>IFERROR(__xludf.DUMMYFUNCTION("""COMPUTED_VALUE"""),"https://www.google.com/search?newwindow=1&amp;ei=2MT0XrvGGM-vytMP1OyDgAY&amp;q=site%3Alinkedin.com+Sameeuddin+Mohammed+Technical+Recruiter")</f>
        <v>https://www.google.com/search?newwindow=1&amp;ei=2MT0XrvGGM-vytMP1OyDgAY&amp;q=site%3Alinkedin.com+Sameeuddin+Mohammed+Technical+Recruiter</v>
      </c>
      <c r="K1520" s="5" t="str">
        <f t="shared" si="1"/>
        <v>Sameeuddin Mohammed</v>
      </c>
      <c r="L1520" s="5" t="str">
        <f t="shared" si="2"/>
        <v>Technical Recruiter</v>
      </c>
      <c r="M1520" s="5" t="str">
        <f t="shared" si="3"/>
        <v/>
      </c>
      <c r="N1520" s="5" t="str">
        <f t="shared" si="4"/>
        <v>Feltronz Consultancy Services</v>
      </c>
      <c r="O1520" s="5" t="str">
        <f t="shared" si="5"/>
        <v>10 months in role and company</v>
      </c>
      <c r="P1520" s="5" t="str">
        <f t="shared" si="6"/>
        <v>Sydney</v>
      </c>
      <c r="Q1520" s="5" t="str">
        <f t="shared" si="7"/>
        <v>New South Wales</v>
      </c>
      <c r="R1520" s="5" t="str">
        <f t="shared" si="8"/>
        <v>Australia</v>
      </c>
    </row>
    <row r="1521">
      <c r="A1521" s="8" t="s">
        <v>8575</v>
      </c>
      <c r="B1521" s="10" t="s">
        <v>8576</v>
      </c>
      <c r="C1521" s="10" t="s">
        <v>4749</v>
      </c>
      <c r="D1521" s="10"/>
      <c r="E1521" s="10" t="s">
        <v>2297</v>
      </c>
      <c r="F1521" s="10" t="s">
        <v>188</v>
      </c>
      <c r="G1521" s="11" t="s">
        <v>780</v>
      </c>
      <c r="H1521" s="11" t="s">
        <v>781</v>
      </c>
      <c r="I1521" s="11" t="s">
        <v>18</v>
      </c>
      <c r="J1521" s="9" t="str">
        <f>IFERROR(__xludf.DUMMYFUNCTION("""COMPUTED_VALUE"""),"https://www.google.com/search?newwindow=1&amp;ei=2MT0XrvGGM-vytMP1OyDgAY&amp;q=site%3Alinkedin.com+Aimee+Vincent+Work+placement+student+-+Social+Programs+and+Services")</f>
        <v>https://www.google.com/search?newwindow=1&amp;ei=2MT0XrvGGM-vytMP1OyDgAY&amp;q=site%3Alinkedin.com+Aimee+Vincent+Work+placement+student+-+Social+Programs+and+Services</v>
      </c>
      <c r="K1521" s="5" t="str">
        <f t="shared" si="1"/>
        <v>Aimee Vincent</v>
      </c>
      <c r="L1521" s="5" t="str">
        <f t="shared" si="2"/>
        <v>Work placement student - Social Programs and Services</v>
      </c>
      <c r="M1521" s="5" t="str">
        <f t="shared" si="3"/>
        <v/>
      </c>
      <c r="N1521" s="5" t="str">
        <f t="shared" si="4"/>
        <v>Redfern Community Centre</v>
      </c>
      <c r="O1521" s="5" t="str">
        <f t="shared" si="5"/>
        <v>5 years 4 months in role and company</v>
      </c>
      <c r="P1521" s="5" t="str">
        <f t="shared" si="6"/>
        <v>Sydney</v>
      </c>
      <c r="Q1521" s="5" t="str">
        <f t="shared" si="7"/>
        <v>New South Wales</v>
      </c>
      <c r="R1521" s="5" t="str">
        <f t="shared" si="8"/>
        <v>Australia</v>
      </c>
    </row>
    <row r="1522">
      <c r="A1522" s="8" t="s">
        <v>8577</v>
      </c>
      <c r="B1522" s="10" t="s">
        <v>8578</v>
      </c>
      <c r="C1522" s="10" t="s">
        <v>4749</v>
      </c>
      <c r="D1522" s="10"/>
      <c r="E1522" s="10" t="s">
        <v>2297</v>
      </c>
      <c r="F1522" s="10" t="s">
        <v>3110</v>
      </c>
      <c r="G1522" s="11" t="s">
        <v>780</v>
      </c>
      <c r="H1522" s="11" t="s">
        <v>781</v>
      </c>
      <c r="I1522" s="11" t="s">
        <v>18</v>
      </c>
      <c r="J1522" s="9" t="str">
        <f>IFERROR(__xludf.DUMMYFUNCTION("""COMPUTED_VALUE"""),"https://www.google.com/search?newwindow=1&amp;ei=2MT0XrvGGM-vytMP1OyDgAY&amp;q=site%3Alinkedin.com+Novi+Sugiarto+Student+Programs+Assistant")</f>
        <v>https://www.google.com/search?newwindow=1&amp;ei=2MT0XrvGGM-vytMP1OyDgAY&amp;q=site%3Alinkedin.com+Novi+Sugiarto+Student+Programs+Assistant</v>
      </c>
      <c r="K1522" s="5" t="str">
        <f t="shared" si="1"/>
        <v>Novi Sugiarto</v>
      </c>
      <c r="L1522" s="5" t="str">
        <f t="shared" si="2"/>
        <v>Student Programs Assistant</v>
      </c>
      <c r="M1522" s="5" t="str">
        <f t="shared" si="3"/>
        <v/>
      </c>
      <c r="N1522" s="5" t="str">
        <f t="shared" si="4"/>
        <v>UTS: University of Technology, Sydney</v>
      </c>
      <c r="O1522" s="5" t="str">
        <f t="shared" si="5"/>
        <v/>
      </c>
      <c r="P1522" s="5" t="str">
        <f t="shared" si="6"/>
        <v>Sydney</v>
      </c>
      <c r="Q1522" s="5" t="str">
        <f t="shared" si="7"/>
        <v>New South Wales</v>
      </c>
      <c r="R1522" s="5" t="str">
        <f t="shared" si="8"/>
        <v>Australia</v>
      </c>
    </row>
    <row r="1523">
      <c r="A1523" s="8" t="s">
        <v>8579</v>
      </c>
      <c r="B1523" s="10" t="s">
        <v>8580</v>
      </c>
      <c r="C1523" s="10" t="s">
        <v>4742</v>
      </c>
      <c r="D1523" s="10"/>
      <c r="E1523" s="10" t="s">
        <v>2297</v>
      </c>
      <c r="F1523" s="10" t="s">
        <v>441</v>
      </c>
      <c r="G1523" s="11" t="s">
        <v>780</v>
      </c>
      <c r="H1523" s="11" t="s">
        <v>781</v>
      </c>
      <c r="I1523" s="11" t="s">
        <v>18</v>
      </c>
      <c r="J1523" s="9" t="str">
        <f>IFERROR(__xludf.DUMMYFUNCTION("""COMPUTED_VALUE"""),"https://www.google.com/search?newwindow=1&amp;ei=2MT0XrvGGM-vytMP1OyDgAY&amp;q=site%3Alinkedin.com+Elizabeth+Dlugon+Student+Programs+Coordinator")</f>
        <v>https://www.google.com/search?newwindow=1&amp;ei=2MT0XrvGGM-vytMP1OyDgAY&amp;q=site%3Alinkedin.com+Elizabeth+Dlugon+Student+Programs+Coordinator</v>
      </c>
      <c r="K1523" s="5" t="str">
        <f t="shared" si="1"/>
        <v>Elizabeth Dlugon</v>
      </c>
      <c r="L1523" s="5" t="str">
        <f t="shared" si="2"/>
        <v>Student Programs Coordinator</v>
      </c>
      <c r="M1523" s="5" t="str">
        <f t="shared" si="3"/>
        <v/>
      </c>
      <c r="N1523" s="5" t="str">
        <f t="shared" si="4"/>
        <v>University of Western Sydney</v>
      </c>
      <c r="O1523" s="5" t="str">
        <f t="shared" si="5"/>
        <v/>
      </c>
      <c r="P1523" s="5" t="str">
        <f t="shared" si="6"/>
        <v>Sydney</v>
      </c>
      <c r="Q1523" s="5" t="str">
        <f t="shared" si="7"/>
        <v>New South Wales</v>
      </c>
      <c r="R1523" s="5" t="str">
        <f t="shared" si="8"/>
        <v>Australia</v>
      </c>
    </row>
    <row r="1524">
      <c r="A1524" s="8" t="s">
        <v>8581</v>
      </c>
      <c r="B1524" s="10" t="s">
        <v>8582</v>
      </c>
      <c r="C1524" s="10" t="s">
        <v>8583</v>
      </c>
      <c r="D1524" s="10"/>
      <c r="E1524" s="10" t="s">
        <v>3649</v>
      </c>
      <c r="F1524" s="10" t="s">
        <v>848</v>
      </c>
      <c r="G1524" s="11" t="s">
        <v>780</v>
      </c>
      <c r="H1524" s="11" t="s">
        <v>781</v>
      </c>
      <c r="I1524" s="11" t="s">
        <v>18</v>
      </c>
      <c r="J1524" s="9" t="str">
        <f>IFERROR(__xludf.DUMMYFUNCTION("""COMPUTED_VALUE"""),"https://www.google.com/search?newwindow=1&amp;ei=2MT0XrvGGM-vytMP1OyDgAY&amp;q=site%3Alinkedin.com+Davies+Michelle+Student+Support+Coordinator+Disability+Programs")</f>
        <v>https://www.google.com/search?newwindow=1&amp;ei=2MT0XrvGGM-vytMP1OyDgAY&amp;q=site%3Alinkedin.com+Davies+Michelle+Student+Support+Coordinator+Disability+Programs</v>
      </c>
      <c r="K1524" s="5" t="str">
        <f t="shared" si="1"/>
        <v>Davies Michelle</v>
      </c>
      <c r="L1524" s="5" t="str">
        <f t="shared" si="2"/>
        <v>Student Support Coordinator Disability Programs</v>
      </c>
      <c r="M1524" s="5" t="str">
        <f t="shared" si="3"/>
        <v/>
      </c>
      <c r="N1524" s="5" t="str">
        <f t="shared" si="4"/>
        <v>NSW Department of Education and Communities</v>
      </c>
      <c r="O1524" s="5" t="str">
        <f t="shared" si="5"/>
        <v/>
      </c>
      <c r="P1524" s="5" t="str">
        <f t="shared" si="6"/>
        <v>Sydney</v>
      </c>
      <c r="Q1524" s="5" t="str">
        <f t="shared" si="7"/>
        <v>New South Wales</v>
      </c>
      <c r="R1524" s="5" t="str">
        <f t="shared" si="8"/>
        <v>Australia</v>
      </c>
    </row>
    <row r="1525">
      <c r="A1525" s="8" t="s">
        <v>8584</v>
      </c>
      <c r="B1525" s="10" t="s">
        <v>8585</v>
      </c>
      <c r="C1525" s="10" t="s">
        <v>8586</v>
      </c>
      <c r="D1525" s="10"/>
      <c r="E1525" s="10" t="s">
        <v>4701</v>
      </c>
      <c r="F1525" s="10" t="s">
        <v>441</v>
      </c>
      <c r="G1525" s="11" t="s">
        <v>780</v>
      </c>
      <c r="H1525" s="11" t="s">
        <v>781</v>
      </c>
      <c r="I1525" s="11" t="s">
        <v>18</v>
      </c>
      <c r="J1525" s="9" t="str">
        <f>IFERROR(__xludf.DUMMYFUNCTION("""COMPUTED_VALUE"""),"https://www.google.com/search?newwindow=1&amp;ei=2MT0XrvGGM-vytMP1OyDgAY&amp;q=site%3Alinkedin.com+Lorraine+Walker+State+Coordinator+-+Student+Welfare+Programs")</f>
        <v>https://www.google.com/search?newwindow=1&amp;ei=2MT0XrvGGM-vytMP1OyDgAY&amp;q=site%3Alinkedin.com+Lorraine+Walker+State+Coordinator+-+Student+Welfare+Programs</v>
      </c>
      <c r="K1525" s="5" t="str">
        <f t="shared" si="1"/>
        <v>Lorraine Walker</v>
      </c>
      <c r="L1525" s="5" t="str">
        <f t="shared" si="2"/>
        <v>State Coordinator - Student Welfare Programs</v>
      </c>
      <c r="M1525" s="5" t="str">
        <f t="shared" si="3"/>
        <v/>
      </c>
      <c r="N1525" s="5" t="str">
        <f t="shared" si="4"/>
        <v>Catholic Education Commission NSW</v>
      </c>
      <c r="O1525" s="5" t="str">
        <f t="shared" si="5"/>
        <v/>
      </c>
      <c r="P1525" s="5" t="str">
        <f t="shared" si="6"/>
        <v>Sydney</v>
      </c>
      <c r="Q1525" s="5" t="str">
        <f t="shared" si="7"/>
        <v>New South Wales</v>
      </c>
      <c r="R1525" s="5" t="str">
        <f t="shared" si="8"/>
        <v>Australia</v>
      </c>
    </row>
    <row r="1526">
      <c r="A1526" s="8" t="s">
        <v>8587</v>
      </c>
      <c r="B1526" s="10" t="s">
        <v>8588</v>
      </c>
      <c r="C1526" s="10" t="s">
        <v>8589</v>
      </c>
      <c r="D1526" s="10"/>
      <c r="E1526" s="10" t="s">
        <v>2297</v>
      </c>
      <c r="F1526" s="10" t="s">
        <v>1089</v>
      </c>
      <c r="G1526" s="11" t="s">
        <v>780</v>
      </c>
      <c r="H1526" s="11" t="s">
        <v>781</v>
      </c>
      <c r="I1526" s="11" t="s">
        <v>18</v>
      </c>
      <c r="J1526" s="9" t="str">
        <f>IFERROR(__xludf.DUMMYFUNCTION("""COMPUTED_VALUE"""),"https://www.google.com/search?newwindow=1&amp;ei=2MT0XrvGGM-vytMP1OyDgAY&amp;q=site%3Alinkedin.com+Della+AN+Student+Recruiter")</f>
        <v>https://www.google.com/search?newwindow=1&amp;ei=2MT0XrvGGM-vytMP1OyDgAY&amp;q=site%3Alinkedin.com+Della+AN+Student+Recruiter</v>
      </c>
      <c r="K1526" s="5" t="str">
        <f t="shared" si="1"/>
        <v>Della AN</v>
      </c>
      <c r="L1526" s="5" t="str">
        <f t="shared" si="2"/>
        <v>Student Recruiter</v>
      </c>
      <c r="M1526" s="5" t="str">
        <f t="shared" si="3"/>
        <v/>
      </c>
      <c r="N1526" s="5" t="str">
        <f t="shared" si="4"/>
        <v>Abbey Clollege</v>
      </c>
      <c r="O1526" s="5" t="str">
        <f t="shared" si="5"/>
        <v/>
      </c>
      <c r="P1526" s="5" t="str">
        <f t="shared" si="6"/>
        <v>Sydney</v>
      </c>
      <c r="Q1526" s="5" t="str">
        <f t="shared" si="7"/>
        <v>New South Wales</v>
      </c>
      <c r="R1526" s="5" t="str">
        <f t="shared" si="8"/>
        <v>Australia</v>
      </c>
    </row>
    <row r="1527">
      <c r="A1527" s="8" t="s">
        <v>8590</v>
      </c>
      <c r="B1527" s="12" t="s">
        <v>8591</v>
      </c>
      <c r="C1527" s="10" t="s">
        <v>8592</v>
      </c>
      <c r="D1527" s="10"/>
      <c r="E1527" s="10" t="s">
        <v>8593</v>
      </c>
      <c r="F1527" s="10" t="s">
        <v>4799</v>
      </c>
      <c r="G1527" s="11" t="s">
        <v>8594</v>
      </c>
      <c r="H1527" s="11" t="s">
        <v>4606</v>
      </c>
      <c r="I1527" s="11" t="s">
        <v>4607</v>
      </c>
      <c r="J1527" s="9" t="str">
        <f>IFERROR(__xludf.DUMMYFUNCTION("""COMPUTED_VALUE"""),"https://www.google.com/search?newwindow=1&amp;ei=2MT0XrvGGM-vytMP1OyDgAY&amp;q=site%3Alinkedin.com+Tracey+A.+Assistant+Manager+Vocational+Programs")</f>
        <v>https://www.google.com/search?newwindow=1&amp;ei=2MT0XrvGGM-vytMP1OyDgAY&amp;q=site%3Alinkedin.com+Tracey+A.+Assistant+Manager+Vocational+Programs</v>
      </c>
      <c r="K1527" s="5" t="str">
        <f t="shared" si="1"/>
        <v>Tracey A.</v>
      </c>
      <c r="L1527" s="5" t="str">
        <f t="shared" si="2"/>
        <v>Assistant Manager Vocational Programs</v>
      </c>
      <c r="M1527" s="5" t="str">
        <f t="shared" si="3"/>
        <v/>
      </c>
      <c r="N1527" s="5" t="str">
        <f t="shared" si="4"/>
        <v>UOW College</v>
      </c>
      <c r="O1527" s="5" t="str">
        <f t="shared" si="5"/>
        <v>4 years 10 months in role and company</v>
      </c>
      <c r="P1527" s="5" t="str">
        <f t="shared" si="6"/>
        <v>Sydney</v>
      </c>
      <c r="Q1527" s="5" t="str">
        <f t="shared" si="7"/>
        <v>New South Wales</v>
      </c>
      <c r="R1527" s="5" t="str">
        <f t="shared" si="8"/>
        <v>Australia</v>
      </c>
    </row>
    <row r="1528">
      <c r="A1528" s="8" t="s">
        <v>8595</v>
      </c>
      <c r="B1528" s="10" t="s">
        <v>8596</v>
      </c>
      <c r="C1528" s="10" t="s">
        <v>8597</v>
      </c>
      <c r="D1528" s="10"/>
      <c r="E1528" s="10" t="s">
        <v>2839</v>
      </c>
      <c r="F1528" s="10" t="s">
        <v>8598</v>
      </c>
      <c r="G1528" s="11" t="s">
        <v>1035</v>
      </c>
      <c r="H1528" s="11" t="s">
        <v>38</v>
      </c>
      <c r="I1528" s="11" t="s">
        <v>18</v>
      </c>
      <c r="J1528" s="9" t="str">
        <f>IFERROR(__xludf.DUMMYFUNCTION("""COMPUTED_VALUE"""),"https://www.google.com/search?newwindow=1&amp;ei=2MT0XrvGGM-vytMP1OyDgAY&amp;q=site%3Alinkedin.com+Me+Y.+Campus+Recruiting+Manager")</f>
        <v>https://www.google.com/search?newwindow=1&amp;ei=2MT0XrvGGM-vytMP1OyDgAY&amp;q=site%3Alinkedin.com+Me+Y.+Campus+Recruiting+Manager</v>
      </c>
      <c r="K1528" s="5" t="str">
        <f t="shared" si="1"/>
        <v>Me Y.</v>
      </c>
      <c r="L1528" s="5" t="str">
        <f t="shared" si="2"/>
        <v>Campus Recruiting Manager</v>
      </c>
      <c r="M1528" s="5" t="str">
        <f t="shared" si="3"/>
        <v/>
      </c>
      <c r="N1528" s="5" t="str">
        <f t="shared" si="4"/>
        <v>The University of Adelaide College</v>
      </c>
      <c r="O1528" s="5" t="str">
        <f t="shared" si="5"/>
        <v>2 years 5 months in role and company</v>
      </c>
      <c r="P1528" s="5" t="str">
        <f t="shared" si="6"/>
        <v>Sydney</v>
      </c>
      <c r="Q1528" s="5" t="str">
        <f t="shared" si="7"/>
        <v>New South Wales</v>
      </c>
      <c r="R1528" s="5" t="str">
        <f t="shared" si="8"/>
        <v>Australia</v>
      </c>
    </row>
    <row r="1529">
      <c r="A1529" s="8" t="s">
        <v>8599</v>
      </c>
      <c r="B1529" s="10" t="s">
        <v>8600</v>
      </c>
      <c r="C1529" s="10" t="s">
        <v>8601</v>
      </c>
      <c r="D1529" s="10"/>
      <c r="E1529" s="10" t="s">
        <v>4611</v>
      </c>
      <c r="F1529" s="10" t="s">
        <v>182</v>
      </c>
      <c r="G1529" s="11" t="s">
        <v>1035</v>
      </c>
      <c r="H1529" s="13" t="s">
        <v>38</v>
      </c>
      <c r="I1529" s="11" t="s">
        <v>18</v>
      </c>
      <c r="J1529" s="9" t="str">
        <f>IFERROR(__xludf.DUMMYFUNCTION("""COMPUTED_VALUE"""),"https://www.google.com/search?newwindow=1&amp;ei=2MT0XrvGGM-vytMP1OyDgAY&amp;q=site%3Alinkedin.com+Laura+Summers,+CPA+Senior+Associate,+Campus+Recruiting+at+KPMG+US")</f>
        <v>https://www.google.com/search?newwindow=1&amp;ei=2MT0XrvGGM-vytMP1OyDgAY&amp;q=site%3Alinkedin.com+Laura+Summers,+CPA+Senior+Associate,+Campus+Recruiting+at+KPMG+US</v>
      </c>
      <c r="K1529" s="5" t="str">
        <f t="shared" si="1"/>
        <v>Laura Summers, CPA</v>
      </c>
      <c r="L1529" s="5" t="str">
        <f t="shared" si="2"/>
        <v>Senior Associate, Campus Recruiting at KPMG US</v>
      </c>
      <c r="M1529" s="5" t="str">
        <f t="shared" si="3"/>
        <v/>
      </c>
      <c r="N1529" s="5" t="str">
        <f t="shared" si="4"/>
        <v>KPMG</v>
      </c>
      <c r="O1529" s="5" t="str">
        <f t="shared" si="5"/>
        <v>2 years 6 months in role</v>
      </c>
      <c r="P1529" s="5" t="str">
        <f t="shared" si="6"/>
        <v>Tampa</v>
      </c>
      <c r="Q1529" s="5" t="str">
        <f t="shared" si="7"/>
        <v>Florida</v>
      </c>
      <c r="R1529" s="5" t="str">
        <f t="shared" si="8"/>
        <v>United States</v>
      </c>
    </row>
    <row r="1530">
      <c r="A1530" s="8" t="s">
        <v>8602</v>
      </c>
      <c r="B1530" s="10" t="s">
        <v>8603</v>
      </c>
      <c r="C1530" s="10" t="s">
        <v>8604</v>
      </c>
      <c r="D1530" s="10"/>
      <c r="E1530" s="10" t="s">
        <v>702</v>
      </c>
      <c r="F1530" s="10" t="s">
        <v>727</v>
      </c>
      <c r="G1530" s="11" t="s">
        <v>1867</v>
      </c>
      <c r="H1530" s="11" t="s">
        <v>44</v>
      </c>
      <c r="I1530" s="11" t="s">
        <v>18</v>
      </c>
      <c r="J1530" s="9" t="str">
        <f>IFERROR(__xludf.DUMMYFUNCTION("""COMPUTED_VALUE"""),"https://www.google.com/search?newwindow=1&amp;ei=2MT0XrvGGM-vytMP1OyDgAY&amp;q=site%3Alinkedin.com+Jefferson+Johnson+Assistant+Director+-+Campus+Recruiting")</f>
        <v>https://www.google.com/search?newwindow=1&amp;ei=2MT0XrvGGM-vytMP1OyDgAY&amp;q=site%3Alinkedin.com+Jefferson+Johnson+Assistant+Director+-+Campus+Recruiting</v>
      </c>
      <c r="K1530" s="5" t="str">
        <f t="shared" si="1"/>
        <v>Jefferson Johnson</v>
      </c>
      <c r="L1530" s="5" t="str">
        <f t="shared" si="2"/>
        <v>Assistant Director - Campus Recruiting</v>
      </c>
      <c r="M1530" s="5" t="str">
        <f t="shared" si="3"/>
        <v/>
      </c>
      <c r="N1530" s="5" t="str">
        <f t="shared" si="4"/>
        <v>EY</v>
      </c>
      <c r="O1530" s="5" t="str">
        <f t="shared" si="5"/>
        <v>9 years 8 months in role and company</v>
      </c>
      <c r="P1530" s="5" t="str">
        <f t="shared" si="6"/>
        <v>Tampa</v>
      </c>
      <c r="Q1530" s="5" t="str">
        <f t="shared" si="7"/>
        <v>Florida</v>
      </c>
      <c r="R1530" s="5" t="str">
        <f t="shared" si="8"/>
        <v>United States</v>
      </c>
    </row>
    <row r="1531">
      <c r="A1531" s="8" t="s">
        <v>8605</v>
      </c>
      <c r="B1531" s="12" t="s">
        <v>2958</v>
      </c>
      <c r="C1531" s="10" t="s">
        <v>2882</v>
      </c>
      <c r="D1531" s="10"/>
      <c r="E1531" s="10" t="s">
        <v>4659</v>
      </c>
      <c r="F1531" s="10" t="s">
        <v>484</v>
      </c>
      <c r="G1531" s="11" t="s">
        <v>1867</v>
      </c>
      <c r="H1531" s="11" t="s">
        <v>44</v>
      </c>
      <c r="I1531" s="11" t="s">
        <v>18</v>
      </c>
      <c r="J1531" s="9" t="str">
        <f>IFERROR(__xludf.DUMMYFUNCTION("""COMPUTED_VALUE"""),"https://www.google.com/search?newwindow=1&amp;ei=2MT0XrvGGM-vytMP1OyDgAY&amp;q=site%3Alinkedin.com+Rebecca+Goldsmith+Overseas,+Graduate+and+Farm+Vet+Recruiter")</f>
        <v>https://www.google.com/search?newwindow=1&amp;ei=2MT0XrvGGM-vytMP1OyDgAY&amp;q=site%3Alinkedin.com+Rebecca+Goldsmith+Overseas,+Graduate+and+Farm+Vet+Recruiter</v>
      </c>
      <c r="K1531" s="5" t="str">
        <f t="shared" si="1"/>
        <v>Rebecca Goldsmith</v>
      </c>
      <c r="L1531" s="5" t="str">
        <f t="shared" si="2"/>
        <v>Overseas, Graduate and Farm Vet Recruiter</v>
      </c>
      <c r="M1531" s="5" t="str">
        <f t="shared" si="3"/>
        <v/>
      </c>
      <c r="N1531" s="5" t="str">
        <f t="shared" si="4"/>
        <v>CVS Group Plc</v>
      </c>
      <c r="O1531" s="5" t="str">
        <f t="shared" si="5"/>
        <v>2 years 3 months in role and company</v>
      </c>
      <c r="P1531" s="5" t="str">
        <f t="shared" si="6"/>
        <v>Taunton</v>
      </c>
      <c r="Q1531" s="5" t="str">
        <f t="shared" si="7"/>
        <v>England</v>
      </c>
      <c r="R1531" s="5" t="str">
        <f t="shared" si="8"/>
        <v>United Kingdom</v>
      </c>
    </row>
    <row r="1532">
      <c r="A1532" s="8" t="s">
        <v>8606</v>
      </c>
      <c r="B1532" s="10" t="s">
        <v>8607</v>
      </c>
      <c r="C1532" s="10" t="s">
        <v>4674</v>
      </c>
      <c r="D1532" s="10"/>
      <c r="E1532" s="10" t="s">
        <v>1233</v>
      </c>
      <c r="F1532" s="10" t="s">
        <v>228</v>
      </c>
      <c r="G1532" s="11" t="s">
        <v>1867</v>
      </c>
      <c r="H1532" s="11" t="s">
        <v>44</v>
      </c>
      <c r="I1532" s="11" t="s">
        <v>18</v>
      </c>
      <c r="J1532" s="9" t="str">
        <f>IFERROR(__xludf.DUMMYFUNCTION("""COMPUTED_VALUE"""),"https://www.google.com/search?newwindow=1&amp;ei=2MT0XrvGGM-vytMP1OyDgAY&amp;q=site%3Alinkedin.com+Catherine+Guilbault,+CRHA+Talent+Aquisition+Student+&amp;+Special+Programs+Manager")</f>
        <v>https://www.google.com/search?newwindow=1&amp;ei=2MT0XrvGGM-vytMP1OyDgAY&amp;q=site%3Alinkedin.com+Catherine+Guilbault,+CRHA+Talent+Aquisition+Student+&amp;+Special+Programs+Manager</v>
      </c>
      <c r="K1532" s="5" t="str">
        <f t="shared" si="1"/>
        <v>Catherine Guilbault, CRHA</v>
      </c>
      <c r="L1532" s="5" t="str">
        <f t="shared" si="2"/>
        <v>Talent Aquisition Student &amp; Special Programs Manager</v>
      </c>
      <c r="M1532" s="5" t="str">
        <f t="shared" si="3"/>
        <v/>
      </c>
      <c r="N1532" s="5" t="str">
        <f t="shared" si="4"/>
        <v>Air Canada</v>
      </c>
      <c r="O1532" s="5" t="str">
        <f t="shared" si="5"/>
        <v>10 months in role and company</v>
      </c>
      <c r="P1532" s="5" t="str">
        <f t="shared" si="6"/>
        <v>Terrebonne</v>
      </c>
      <c r="Q1532" s="5" t="str">
        <f t="shared" si="7"/>
        <v>Quebec</v>
      </c>
      <c r="R1532" s="5" t="str">
        <f t="shared" si="8"/>
        <v>Canada</v>
      </c>
    </row>
    <row r="1533">
      <c r="A1533" s="8" t="s">
        <v>8608</v>
      </c>
      <c r="B1533" s="10" t="s">
        <v>8609</v>
      </c>
      <c r="C1533" s="10" t="s">
        <v>8610</v>
      </c>
      <c r="D1533" s="10"/>
      <c r="E1533" s="10" t="s">
        <v>227</v>
      </c>
      <c r="F1533" s="10" t="s">
        <v>727</v>
      </c>
      <c r="G1533" s="11" t="s">
        <v>1867</v>
      </c>
      <c r="H1533" s="11" t="s">
        <v>44</v>
      </c>
      <c r="I1533" s="11" t="s">
        <v>18</v>
      </c>
      <c r="J1533" s="9" t="str">
        <f>IFERROR(__xludf.DUMMYFUNCTION("""COMPUTED_VALUE"""),"https://www.google.com/search?newwindow=1&amp;ei=2MT0XrvGGM-vytMP1OyDgAY&amp;q=site%3Alinkedin.com+Sophie+Jenkins+Undergraduate+student")</f>
        <v>https://www.google.com/search?newwindow=1&amp;ei=2MT0XrvGGM-vytMP1OyDgAY&amp;q=site%3Alinkedin.com+Sophie+Jenkins+Undergraduate+student</v>
      </c>
      <c r="K1533" s="5" t="str">
        <f t="shared" si="1"/>
        <v>Sophie Jenkins</v>
      </c>
      <c r="L1533" s="5" t="str">
        <f t="shared" si="2"/>
        <v>Undergraduate student</v>
      </c>
      <c r="M1533" s="5" t="str">
        <f t="shared" si="3"/>
        <v/>
      </c>
      <c r="N1533" s="5" t="str">
        <f t="shared" si="4"/>
        <v>Newcastle University</v>
      </c>
      <c r="O1533" s="5" t="str">
        <f t="shared" si="5"/>
        <v>4 years 2 months in role and company</v>
      </c>
      <c r="P1533" s="5" t="str">
        <f t="shared" si="6"/>
        <v>Timperley</v>
      </c>
      <c r="Q1533" s="5" t="str">
        <f t="shared" si="7"/>
        <v>England</v>
      </c>
      <c r="R1533" s="5" t="str">
        <f t="shared" si="8"/>
        <v>United Kingdom</v>
      </c>
    </row>
    <row r="1534">
      <c r="A1534" s="8" t="s">
        <v>8611</v>
      </c>
      <c r="B1534" s="10" t="s">
        <v>8612</v>
      </c>
      <c r="C1534" s="10" t="s">
        <v>1378</v>
      </c>
      <c r="D1534" s="10"/>
      <c r="E1534" s="10" t="s">
        <v>1233</v>
      </c>
      <c r="F1534" s="10" t="s">
        <v>106</v>
      </c>
      <c r="G1534" s="11" t="s">
        <v>1867</v>
      </c>
      <c r="H1534" s="11" t="s">
        <v>44</v>
      </c>
      <c r="I1534" s="11" t="s">
        <v>18</v>
      </c>
      <c r="J1534" s="9" t="str">
        <f>IFERROR(__xludf.DUMMYFUNCTION("""COMPUTED_VALUE"""),"https://www.google.com/search?newwindow=1&amp;ei=2MT0XrvGGM-vytMP1OyDgAY&amp;q=site%3Alinkedin.com+Michelle+Ashley+(She/Her)+🏳️‍🌈+Founder+|+Career+Coach+|+Campus+Recruiter")</f>
        <v>https://www.google.com/search?newwindow=1&amp;ei=2MT0XrvGGM-vytMP1OyDgAY&amp;q=site%3Alinkedin.com+Michelle+Ashley+(She/Her)+🏳️‍🌈+Founder+|+Career+Coach+|+Campus+Recruiter</v>
      </c>
      <c r="K1534" s="5" t="str">
        <f t="shared" si="1"/>
        <v>Michelle Ashley (She/Her) 🏳️‍🌈</v>
      </c>
      <c r="L1534" s="5" t="str">
        <f t="shared" si="2"/>
        <v>Founder | Career Coach | Campus Recruiter</v>
      </c>
      <c r="M1534" s="5" t="str">
        <f t="shared" si="3"/>
        <v/>
      </c>
      <c r="N1534" s="5" t="str">
        <f t="shared" si="4"/>
        <v>The Tailored Career</v>
      </c>
      <c r="O1534" s="5" t="str">
        <f t="shared" si="5"/>
        <v>5 months in role and company</v>
      </c>
      <c r="P1534" s="5" t="str">
        <f t="shared" si="6"/>
        <v>Tiny</v>
      </c>
      <c r="Q1534" s="5" t="str">
        <f t="shared" si="7"/>
        <v>Ontario</v>
      </c>
      <c r="R1534" s="5" t="str">
        <f t="shared" si="8"/>
        <v>Canada</v>
      </c>
    </row>
    <row r="1535">
      <c r="A1535" s="8" t="s">
        <v>8613</v>
      </c>
      <c r="B1535" s="12" t="s">
        <v>8614</v>
      </c>
      <c r="C1535" s="10" t="s">
        <v>8615</v>
      </c>
      <c r="D1535" s="10"/>
      <c r="E1535" s="10" t="s">
        <v>2839</v>
      </c>
      <c r="F1535" s="10" t="s">
        <v>165</v>
      </c>
      <c r="G1535" s="11" t="s">
        <v>166</v>
      </c>
      <c r="H1535" s="11" t="s">
        <v>44</v>
      </c>
      <c r="I1535" s="11" t="s">
        <v>18</v>
      </c>
      <c r="J1535" s="9" t="str">
        <f>IFERROR(__xludf.DUMMYFUNCTION("""COMPUTED_VALUE"""),"https://www.google.com/search?newwindow=1&amp;ei=2MT0XrvGGM-vytMP1OyDgAY&amp;q=site%3Alinkedin.com+Dunja+Ilic+(she/her)+University+Recruiter+-+Canada")</f>
        <v>https://www.google.com/search?newwindow=1&amp;ei=2MT0XrvGGM-vytMP1OyDgAY&amp;q=site%3Alinkedin.com+Dunja+Ilic+(she/her)+University+Recruiter+-+Canada</v>
      </c>
      <c r="K1535" s="5" t="str">
        <f t="shared" si="1"/>
        <v>Dunja Ilic (she/her)</v>
      </c>
      <c r="L1535" s="5" t="str">
        <f t="shared" si="2"/>
        <v>University Recruiter - Canada</v>
      </c>
      <c r="M1535" s="5" t="str">
        <f t="shared" si="3"/>
        <v/>
      </c>
      <c r="N1535" s="5" t="str">
        <f t="shared" si="4"/>
        <v>Willis Towers Watson</v>
      </c>
      <c r="O1535" s="5" t="str">
        <f t="shared" si="5"/>
        <v>1 year 9 months in role</v>
      </c>
      <c r="P1535" s="5" t="str">
        <f t="shared" si="6"/>
        <v>Toronto</v>
      </c>
      <c r="Q1535" s="5" t="str">
        <f t="shared" si="7"/>
        <v>Ontario</v>
      </c>
      <c r="R1535" s="5" t="str">
        <f t="shared" si="8"/>
        <v>Canada</v>
      </c>
    </row>
    <row r="1536">
      <c r="A1536" s="8" t="s">
        <v>8616</v>
      </c>
      <c r="B1536" s="12" t="s">
        <v>8617</v>
      </c>
      <c r="C1536" s="10" t="s">
        <v>8618</v>
      </c>
      <c r="D1536" s="10"/>
      <c r="E1536" s="10" t="s">
        <v>845</v>
      </c>
      <c r="F1536" s="10" t="s">
        <v>574</v>
      </c>
      <c r="G1536" s="11" t="s">
        <v>166</v>
      </c>
      <c r="H1536" s="11" t="s">
        <v>44</v>
      </c>
      <c r="I1536" s="11" t="s">
        <v>18</v>
      </c>
      <c r="J1536" s="9" t="str">
        <f>IFERROR(__xludf.DUMMYFUNCTION("""COMPUTED_VALUE"""),"https://www.google.com/search?newwindow=1&amp;ei=2MT0XrvGGM-vytMP1OyDgAY&amp;q=site%3Alinkedin.com+Irene+Lee+Student+recruiter")</f>
        <v>https://www.google.com/search?newwindow=1&amp;ei=2MT0XrvGGM-vytMP1OyDgAY&amp;q=site%3Alinkedin.com+Irene+Lee+Student+recruiter</v>
      </c>
      <c r="K1536" s="5" t="str">
        <f t="shared" si="1"/>
        <v>Irene Lee</v>
      </c>
      <c r="L1536" s="5" t="str">
        <f t="shared" si="2"/>
        <v>Student recruiter</v>
      </c>
      <c r="M1536" s="5" t="str">
        <f t="shared" si="3"/>
        <v/>
      </c>
      <c r="N1536" s="5" t="str">
        <f t="shared" si="4"/>
        <v>Global Link</v>
      </c>
      <c r="O1536" s="5" t="str">
        <f t="shared" si="5"/>
        <v>3 years 9 months in role and company</v>
      </c>
      <c r="P1536" s="5" t="str">
        <f t="shared" si="6"/>
        <v>Toronto</v>
      </c>
      <c r="Q1536" s="5" t="str">
        <f t="shared" si="7"/>
        <v>Ontario</v>
      </c>
      <c r="R1536" s="5" t="str">
        <f t="shared" si="8"/>
        <v>Canada</v>
      </c>
    </row>
    <row r="1537">
      <c r="A1537" s="8" t="s">
        <v>8619</v>
      </c>
      <c r="B1537" s="10" t="s">
        <v>8620</v>
      </c>
      <c r="C1537" s="10" t="s">
        <v>1378</v>
      </c>
      <c r="D1537" s="10"/>
      <c r="E1537" s="10" t="s">
        <v>1233</v>
      </c>
      <c r="F1537" s="10" t="s">
        <v>26</v>
      </c>
      <c r="G1537" s="11" t="s">
        <v>166</v>
      </c>
      <c r="H1537" s="11" t="s">
        <v>44</v>
      </c>
      <c r="I1537" s="11" t="s">
        <v>18</v>
      </c>
      <c r="J1537" s="9" t="str">
        <f>IFERROR(__xludf.DUMMYFUNCTION("""COMPUTED_VALUE"""),"https://www.google.com/search?newwindow=1&amp;ei=2MT0XrvGGM-vytMP1OyDgAY&amp;q=site%3Alinkedin.com+Tushar+Dutt,+MBA,+CPHR+Senior+Manager,+Early+Career+Recruitment+and+University+Relations")</f>
        <v>https://www.google.com/search?newwindow=1&amp;ei=2MT0XrvGGM-vytMP1OyDgAY&amp;q=site%3Alinkedin.com+Tushar+Dutt,+MBA,+CPHR+Senior+Manager,+Early+Career+Recruitment+and+University+Relations</v>
      </c>
      <c r="K1537" s="5" t="str">
        <f t="shared" si="1"/>
        <v>Tushar Dutt, MBA, CPHR</v>
      </c>
      <c r="L1537" s="5" t="str">
        <f t="shared" si="2"/>
        <v>Senior Manager, Early Career Recruitment and University Relations</v>
      </c>
      <c r="M1537" s="5" t="str">
        <f t="shared" si="3"/>
        <v/>
      </c>
      <c r="N1537" s="5" t="str">
        <f t="shared" si="4"/>
        <v>HCL Canada Inc.</v>
      </c>
      <c r="O1537" s="5" t="str">
        <f t="shared" si="5"/>
        <v>2 months in role and company</v>
      </c>
      <c r="P1537" s="5" t="str">
        <f t="shared" si="6"/>
        <v>Toronto</v>
      </c>
      <c r="Q1537" s="5" t="str">
        <f t="shared" si="7"/>
        <v>Ontario</v>
      </c>
      <c r="R1537" s="5" t="str">
        <f t="shared" si="8"/>
        <v>Canada</v>
      </c>
    </row>
    <row r="1538">
      <c r="A1538" s="8" t="s">
        <v>8621</v>
      </c>
      <c r="B1538" s="10" t="s">
        <v>8622</v>
      </c>
      <c r="C1538" s="10" t="s">
        <v>8623</v>
      </c>
      <c r="D1538" s="10"/>
      <c r="E1538" s="10" t="s">
        <v>3055</v>
      </c>
      <c r="F1538" s="10" t="s">
        <v>822</v>
      </c>
      <c r="G1538" s="11" t="s">
        <v>166</v>
      </c>
      <c r="H1538" s="11" t="s">
        <v>44</v>
      </c>
      <c r="I1538" s="11" t="s">
        <v>18</v>
      </c>
      <c r="J1538" s="9" t="str">
        <f>IFERROR(__xludf.DUMMYFUNCTION("""COMPUTED_VALUE"""),"https://www.google.com/search?newwindow=1&amp;ei=2MT0XrvGGM-vytMP1OyDgAY&amp;q=site%3Alinkedin.com+Bella+Muretova+Campus+Recruiter")</f>
        <v>https://www.google.com/search?newwindow=1&amp;ei=2MT0XrvGGM-vytMP1OyDgAY&amp;q=site%3Alinkedin.com+Bella+Muretova+Campus+Recruiter</v>
      </c>
      <c r="K1538" s="5" t="str">
        <f t="shared" si="1"/>
        <v>Bella Muretova</v>
      </c>
      <c r="L1538" s="5" t="str">
        <f t="shared" si="2"/>
        <v>Campus Recruiter</v>
      </c>
      <c r="M1538" s="5" t="str">
        <f t="shared" si="3"/>
        <v/>
      </c>
      <c r="N1538" s="5" t="str">
        <f t="shared" si="4"/>
        <v>Accenture</v>
      </c>
      <c r="O1538" s="5" t="str">
        <f t="shared" si="5"/>
        <v>2 years 4 months in role and company</v>
      </c>
      <c r="P1538" s="5" t="str">
        <f t="shared" si="6"/>
        <v>Toronto</v>
      </c>
      <c r="Q1538" s="5" t="str">
        <f t="shared" si="7"/>
        <v>Ontario</v>
      </c>
      <c r="R1538" s="5" t="str">
        <f t="shared" si="8"/>
        <v>Canada</v>
      </c>
    </row>
    <row r="1539">
      <c r="A1539" s="8" t="s">
        <v>8624</v>
      </c>
      <c r="B1539" s="10" t="s">
        <v>3057</v>
      </c>
      <c r="C1539" s="10" t="s">
        <v>3058</v>
      </c>
      <c r="D1539" s="10"/>
      <c r="E1539" s="10" t="s">
        <v>3055</v>
      </c>
      <c r="F1539" s="10" t="s">
        <v>694</v>
      </c>
      <c r="G1539" s="11" t="s">
        <v>166</v>
      </c>
      <c r="H1539" s="11" t="s">
        <v>44</v>
      </c>
      <c r="I1539" s="11" t="s">
        <v>18</v>
      </c>
      <c r="J1539" s="9" t="str">
        <f>IFERROR(__xludf.DUMMYFUNCTION("""COMPUTED_VALUE"""),"https://www.google.com/search?newwindow=1&amp;ei=2MT0XrvGGM-vytMP1OyDgAY&amp;q=site%3Alinkedin.com+Jahanvi+Pandit+Campus+Recruiter+-+Global+Banking+&amp;+Markets")</f>
        <v>https://www.google.com/search?newwindow=1&amp;ei=2MT0XrvGGM-vytMP1OyDgAY&amp;q=site%3Alinkedin.com+Jahanvi+Pandit+Campus+Recruiter+-+Global+Banking+&amp;+Markets</v>
      </c>
      <c r="K1539" s="5" t="str">
        <f t="shared" si="1"/>
        <v>Jahanvi Pandit</v>
      </c>
      <c r="L1539" s="5" t="str">
        <f t="shared" si="2"/>
        <v>Campus Recruiter - Global Banking &amp; Markets</v>
      </c>
      <c r="M1539" s="5" t="str">
        <f t="shared" si="3"/>
        <v/>
      </c>
      <c r="N1539" s="5" t="str">
        <f t="shared" si="4"/>
        <v>Scotiabank</v>
      </c>
      <c r="O1539" s="5" t="str">
        <f t="shared" si="5"/>
        <v>1 year 4 months in role and company</v>
      </c>
      <c r="P1539" s="5" t="str">
        <f t="shared" si="6"/>
        <v>Toronto</v>
      </c>
      <c r="Q1539" s="5" t="str">
        <f t="shared" si="7"/>
        <v>Ontario</v>
      </c>
      <c r="R1539" s="5" t="str">
        <f t="shared" si="8"/>
        <v>Canada</v>
      </c>
    </row>
    <row r="1540">
      <c r="A1540" s="8" t="s">
        <v>8625</v>
      </c>
      <c r="B1540" s="10" t="s">
        <v>1363</v>
      </c>
      <c r="C1540" s="10" t="s">
        <v>371</v>
      </c>
      <c r="D1540" s="10"/>
      <c r="E1540" s="10" t="s">
        <v>1233</v>
      </c>
      <c r="F1540" s="10" t="s">
        <v>1364</v>
      </c>
      <c r="G1540" s="11" t="s">
        <v>166</v>
      </c>
      <c r="H1540" s="11" t="s">
        <v>44</v>
      </c>
      <c r="I1540" s="11" t="s">
        <v>18</v>
      </c>
      <c r="J1540" s="9" t="str">
        <f>IFERROR(__xludf.DUMMYFUNCTION("""COMPUTED_VALUE"""),"https://www.google.com/search?newwindow=1&amp;ei=2MT0XrvGGM-vytMP1OyDgAY&amp;q=site%3Alinkedin.com+Natashia+Raponi+Campus+Recruiter")</f>
        <v>https://www.google.com/search?newwindow=1&amp;ei=2MT0XrvGGM-vytMP1OyDgAY&amp;q=site%3Alinkedin.com+Natashia+Raponi+Campus+Recruiter</v>
      </c>
      <c r="K1540" s="5" t="str">
        <f t="shared" si="1"/>
        <v>Natashia Raponi</v>
      </c>
      <c r="L1540" s="5" t="str">
        <f t="shared" si="2"/>
        <v>Campus Recruiter</v>
      </c>
      <c r="M1540" s="5" t="str">
        <f t="shared" si="3"/>
        <v/>
      </c>
      <c r="N1540" s="5" t="str">
        <f t="shared" si="4"/>
        <v>Ceridian</v>
      </c>
      <c r="O1540" s="5" t="str">
        <f t="shared" si="5"/>
        <v>1 year 3 months in role</v>
      </c>
      <c r="P1540" s="5" t="str">
        <f t="shared" si="6"/>
        <v>Toronto</v>
      </c>
      <c r="Q1540" s="5" t="str">
        <f t="shared" si="7"/>
        <v>Ontario</v>
      </c>
      <c r="R1540" s="5" t="str">
        <f t="shared" si="8"/>
        <v>Canada</v>
      </c>
    </row>
    <row r="1541">
      <c r="A1541" s="8" t="s">
        <v>8626</v>
      </c>
      <c r="B1541" s="10" t="s">
        <v>8627</v>
      </c>
      <c r="C1541" s="10" t="s">
        <v>7172</v>
      </c>
      <c r="D1541" s="10"/>
      <c r="E1541" s="10" t="s">
        <v>4701</v>
      </c>
      <c r="F1541" s="10" t="s">
        <v>188</v>
      </c>
      <c r="G1541" s="11" t="s">
        <v>166</v>
      </c>
      <c r="H1541" s="11" t="s">
        <v>44</v>
      </c>
      <c r="I1541" s="11" t="s">
        <v>18</v>
      </c>
      <c r="J1541" s="9" t="str">
        <f>IFERROR(__xludf.DUMMYFUNCTION("""COMPUTED_VALUE"""),"https://www.google.com/search?newwindow=1&amp;ei=2MT0XrvGGM-vytMP1OyDgAY&amp;q=site%3Alinkedin.com+Catherine+Ku+Jr.+Campus+Recruiter")</f>
        <v>https://www.google.com/search?newwindow=1&amp;ei=2MT0XrvGGM-vytMP1OyDgAY&amp;q=site%3Alinkedin.com+Catherine+Ku+Jr.+Campus+Recruiter</v>
      </c>
      <c r="K1541" s="5" t="str">
        <f t="shared" si="1"/>
        <v>Catherine Ku</v>
      </c>
      <c r="L1541" s="5" t="str">
        <f t="shared" si="2"/>
        <v>Jr. Campus Recruiter</v>
      </c>
      <c r="M1541" s="5" t="str">
        <f t="shared" si="3"/>
        <v/>
      </c>
      <c r="N1541" s="5" t="str">
        <f t="shared" si="4"/>
        <v>BMO Financial Group</v>
      </c>
      <c r="O1541" s="5" t="str">
        <f t="shared" si="5"/>
        <v>1 year 5 months in role and company</v>
      </c>
      <c r="P1541" s="5" t="str">
        <f t="shared" si="6"/>
        <v>Toronto</v>
      </c>
      <c r="Q1541" s="5" t="str">
        <f t="shared" si="7"/>
        <v>Ontario</v>
      </c>
      <c r="R1541" s="5" t="str">
        <f t="shared" si="8"/>
        <v>Canada</v>
      </c>
    </row>
    <row r="1542">
      <c r="A1542" s="8" t="s">
        <v>8628</v>
      </c>
      <c r="B1542" s="10" t="s">
        <v>8629</v>
      </c>
      <c r="C1542" s="10" t="s">
        <v>8630</v>
      </c>
      <c r="D1542" s="10"/>
      <c r="E1542" s="10" t="s">
        <v>8631</v>
      </c>
      <c r="F1542" s="10" t="s">
        <v>727</v>
      </c>
      <c r="G1542" s="11" t="s">
        <v>166</v>
      </c>
      <c r="H1542" s="11" t="s">
        <v>44</v>
      </c>
      <c r="I1542" s="11" t="s">
        <v>18</v>
      </c>
      <c r="J1542" s="9" t="str">
        <f>IFERROR(__xludf.DUMMYFUNCTION("""COMPUTED_VALUE"""),"https://www.google.com/search?newwindow=1&amp;ei=2MT0XrvGGM-vytMP1OyDgAY&amp;q=site%3Alinkedin.com+Amanda+Foey+Senior+Campus+Recruiter")</f>
        <v>https://www.google.com/search?newwindow=1&amp;ei=2MT0XrvGGM-vytMP1OyDgAY&amp;q=site%3Alinkedin.com+Amanda+Foey+Senior+Campus+Recruiter</v>
      </c>
      <c r="K1542" s="5" t="str">
        <f t="shared" si="1"/>
        <v>Amanda Foey</v>
      </c>
      <c r="L1542" s="5" t="str">
        <f t="shared" si="2"/>
        <v>Senior Campus Recruiter</v>
      </c>
      <c r="M1542" s="5" t="str">
        <f t="shared" si="3"/>
        <v/>
      </c>
      <c r="N1542" s="5" t="str">
        <f t="shared" si="4"/>
        <v>RSM Canada</v>
      </c>
      <c r="O1542" s="5" t="str">
        <f t="shared" si="5"/>
        <v>8 months in role and company</v>
      </c>
      <c r="P1542" s="5" t="str">
        <f t="shared" si="6"/>
        <v>Toronto</v>
      </c>
      <c r="Q1542" s="5" t="str">
        <f t="shared" si="7"/>
        <v>Ontario</v>
      </c>
      <c r="R1542" s="5" t="str">
        <f t="shared" si="8"/>
        <v>Canada</v>
      </c>
    </row>
    <row r="1543">
      <c r="A1543" s="8" t="s">
        <v>8632</v>
      </c>
      <c r="B1543" s="10" t="s">
        <v>1869</v>
      </c>
      <c r="C1543" s="10" t="s">
        <v>371</v>
      </c>
      <c r="D1543" s="10"/>
      <c r="E1543" s="10" t="s">
        <v>4701</v>
      </c>
      <c r="F1543" s="10" t="s">
        <v>217</v>
      </c>
      <c r="G1543" s="11" t="s">
        <v>166</v>
      </c>
      <c r="H1543" s="11" t="s">
        <v>44</v>
      </c>
      <c r="I1543" s="11" t="s">
        <v>18</v>
      </c>
      <c r="J1543" s="9" t="str">
        <f>IFERROR(__xludf.DUMMYFUNCTION("""COMPUTED_VALUE"""),"https://www.google.com/search?newwindow=1&amp;ei=2MT0XrvGGM-vytMP1OyDgAY&amp;q=site%3Alinkedin.com+Kamila+Noble+Senior+Campus+Recruiter")</f>
        <v>https://www.google.com/search?newwindow=1&amp;ei=2MT0XrvGGM-vytMP1OyDgAY&amp;q=site%3Alinkedin.com+Kamila+Noble+Senior+Campus+Recruiter</v>
      </c>
      <c r="K1543" s="5" t="str">
        <f t="shared" si="1"/>
        <v>Kamila Noble</v>
      </c>
      <c r="L1543" s="5" t="str">
        <f t="shared" si="2"/>
        <v>Senior Campus Recruiter</v>
      </c>
      <c r="M1543" s="5" t="str">
        <f t="shared" si="3"/>
        <v/>
      </c>
      <c r="N1543" s="5" t="str">
        <f t="shared" si="4"/>
        <v>Restaurant Brands International</v>
      </c>
      <c r="O1543" s="5" t="str">
        <f t="shared" si="5"/>
        <v>2 months in role and company</v>
      </c>
      <c r="P1543" s="5" t="str">
        <f t="shared" si="6"/>
        <v>Toronto</v>
      </c>
      <c r="Q1543" s="5" t="str">
        <f t="shared" si="7"/>
        <v>Ontario</v>
      </c>
      <c r="R1543" s="5" t="str">
        <f t="shared" si="8"/>
        <v>Canada</v>
      </c>
    </row>
    <row r="1544">
      <c r="A1544" s="8" t="s">
        <v>8633</v>
      </c>
      <c r="B1544" s="10" t="s">
        <v>8634</v>
      </c>
      <c r="C1544" s="10" t="s">
        <v>4749</v>
      </c>
      <c r="D1544" s="10"/>
      <c r="E1544" s="10" t="s">
        <v>3055</v>
      </c>
      <c r="F1544" s="10" t="s">
        <v>651</v>
      </c>
      <c r="G1544" s="11" t="s">
        <v>166</v>
      </c>
      <c r="H1544" s="11" t="s">
        <v>44</v>
      </c>
      <c r="I1544" s="11" t="s">
        <v>18</v>
      </c>
      <c r="J1544" s="9" t="str">
        <f>IFERROR(__xludf.DUMMYFUNCTION("""COMPUTED_VALUE"""),"https://www.google.com/search?newwindow=1&amp;ei=2MT0XrvGGM-vytMP1OyDgAY&amp;q=site%3Alinkedin.com+Kristina+Stephan+Sr.+Campus+Recruiter+-+Technology+&amp;+Operations")</f>
        <v>https://www.google.com/search?newwindow=1&amp;ei=2MT0XrvGGM-vytMP1OyDgAY&amp;q=site%3Alinkedin.com+Kristina+Stephan+Sr.+Campus+Recruiter+-+Technology+&amp;+Operations</v>
      </c>
      <c r="K1544" s="5" t="str">
        <f t="shared" si="1"/>
        <v>Kristina Stephan</v>
      </c>
      <c r="L1544" s="5" t="str">
        <f t="shared" si="2"/>
        <v>Sr. Campus Recruiter - Technology &amp; Operations</v>
      </c>
      <c r="M1544" s="5" t="str">
        <f t="shared" si="3"/>
        <v/>
      </c>
      <c r="N1544" s="5" t="str">
        <f t="shared" si="4"/>
        <v>BMO Financial Group</v>
      </c>
      <c r="O1544" s="5" t="str">
        <f t="shared" si="5"/>
        <v>1 year 4 months in role and company</v>
      </c>
      <c r="P1544" s="5" t="str">
        <f t="shared" si="6"/>
        <v>Toronto</v>
      </c>
      <c r="Q1544" s="5" t="str">
        <f t="shared" si="7"/>
        <v>Ontario</v>
      </c>
      <c r="R1544" s="5" t="str">
        <f t="shared" si="8"/>
        <v>Canada</v>
      </c>
    </row>
    <row r="1545">
      <c r="A1545" s="8" t="s">
        <v>8635</v>
      </c>
      <c r="B1545" s="12" t="s">
        <v>1370</v>
      </c>
      <c r="C1545" s="10" t="s">
        <v>25</v>
      </c>
      <c r="D1545" s="10"/>
      <c r="E1545" s="10" t="s">
        <v>1233</v>
      </c>
      <c r="F1545" s="10" t="s">
        <v>1371</v>
      </c>
      <c r="G1545" s="11" t="s">
        <v>166</v>
      </c>
      <c r="H1545" s="11" t="s">
        <v>44</v>
      </c>
      <c r="I1545" s="11" t="s">
        <v>18</v>
      </c>
      <c r="J1545" s="9" t="str">
        <f>IFERROR(__xludf.DUMMYFUNCTION("""COMPUTED_VALUE"""),"https://www.google.com/search?newwindow=1&amp;ei=2MT0XrvGGM-vytMP1OyDgAY&amp;q=site%3Alinkedin.com+Kari+Kabi+Campus+Recruiter")</f>
        <v>https://www.google.com/search?newwindow=1&amp;ei=2MT0XrvGGM-vytMP1OyDgAY&amp;q=site%3Alinkedin.com+Kari+Kabi+Campus+Recruiter</v>
      </c>
      <c r="K1545" s="5" t="str">
        <f t="shared" si="1"/>
        <v>Kari Kabi</v>
      </c>
      <c r="L1545" s="5" t="str">
        <f t="shared" si="2"/>
        <v>Campus Recruiter</v>
      </c>
      <c r="M1545" s="5" t="str">
        <f t="shared" si="3"/>
        <v/>
      </c>
      <c r="N1545" s="5" t="str">
        <f t="shared" si="4"/>
        <v>Labatt Breweries of Canada</v>
      </c>
      <c r="O1545" s="5" t="str">
        <f t="shared" si="5"/>
        <v>4 months in role and company</v>
      </c>
      <c r="P1545" s="5" t="str">
        <f t="shared" si="6"/>
        <v>Toronto</v>
      </c>
      <c r="Q1545" s="5" t="str">
        <f t="shared" si="7"/>
        <v>Ontario</v>
      </c>
      <c r="R1545" s="5" t="str">
        <f t="shared" si="8"/>
        <v>Canada</v>
      </c>
    </row>
    <row r="1546">
      <c r="A1546" s="8" t="s">
        <v>8636</v>
      </c>
      <c r="B1546" s="10" t="s">
        <v>4562</v>
      </c>
      <c r="C1546" s="10" t="s">
        <v>4563</v>
      </c>
      <c r="D1546" s="10"/>
      <c r="E1546" s="10" t="s">
        <v>8637</v>
      </c>
      <c r="F1546" s="10" t="s">
        <v>4564</v>
      </c>
      <c r="G1546" s="11" t="s">
        <v>166</v>
      </c>
      <c r="H1546" s="11" t="s">
        <v>44</v>
      </c>
      <c r="I1546" s="11" t="s">
        <v>18</v>
      </c>
      <c r="J1546" s="9" t="str">
        <f>IFERROR(__xludf.DUMMYFUNCTION("""COMPUTED_VALUE"""),"https://www.google.com/search?newwindow=1&amp;ei=2MT0XrvGGM-vytMP1OyDgAY&amp;q=site%3Alinkedin.com+Deepika+Gupta+National+Senior+Campus+Recruiter")</f>
        <v>https://www.google.com/search?newwindow=1&amp;ei=2MT0XrvGGM-vytMP1OyDgAY&amp;q=site%3Alinkedin.com+Deepika+Gupta+National+Senior+Campus+Recruiter</v>
      </c>
      <c r="K1546" s="5" t="str">
        <f t="shared" si="1"/>
        <v>Deepika Gupta</v>
      </c>
      <c r="L1546" s="5" t="str">
        <f t="shared" si="2"/>
        <v>National Senior Campus Recruiter</v>
      </c>
      <c r="M1546" s="5" t="str">
        <f t="shared" si="3"/>
        <v/>
      </c>
      <c r="N1546" s="5" t="str">
        <f t="shared" si="4"/>
        <v>LifeLabs Medical Laboratory Services</v>
      </c>
      <c r="O1546" s="5" t="str">
        <f t="shared" si="5"/>
        <v>10 months in role and company</v>
      </c>
      <c r="P1546" s="5" t="str">
        <f t="shared" si="6"/>
        <v>Toronto</v>
      </c>
      <c r="Q1546" s="5" t="str">
        <f t="shared" si="7"/>
        <v>Ontario</v>
      </c>
      <c r="R1546" s="5" t="str">
        <f t="shared" si="8"/>
        <v>Canada</v>
      </c>
    </row>
    <row r="1547">
      <c r="A1547" s="8" t="s">
        <v>8638</v>
      </c>
      <c r="B1547" s="12" t="s">
        <v>2426</v>
      </c>
      <c r="C1547" s="10" t="s">
        <v>2427</v>
      </c>
      <c r="D1547" s="10"/>
      <c r="E1547" s="10" t="s">
        <v>2349</v>
      </c>
      <c r="F1547" s="10" t="s">
        <v>2428</v>
      </c>
      <c r="G1547" s="11" t="s">
        <v>166</v>
      </c>
      <c r="H1547" s="11" t="s">
        <v>44</v>
      </c>
      <c r="I1547" s="11" t="s">
        <v>18</v>
      </c>
      <c r="J1547" s="9" t="str">
        <f>IFERROR(__xludf.DUMMYFUNCTION("""COMPUTED_VALUE"""),"https://www.google.com/search?newwindow=1&amp;ei=2MT0XrvGGM-vytMP1OyDgAY&amp;q=site%3Alinkedin.com+Gaby+Bohus,+MBA+Director,+Technology+Career+Programs,+Campus+Recruiting+&amp;+Career+Programs,+Talent+Acquisition")</f>
        <v>https://www.google.com/search?newwindow=1&amp;ei=2MT0XrvGGM-vytMP1OyDgAY&amp;q=site%3Alinkedin.com+Gaby+Bohus,+MBA+Director,+Technology+Career+Programs,+Campus+Recruiting+&amp;+Career+Programs,+Talent+Acquisition</v>
      </c>
      <c r="K1547" s="5" t="str">
        <f t="shared" si="1"/>
        <v>Gaby Bohus, MBA</v>
      </c>
      <c r="L1547" s="5" t="str">
        <f t="shared" si="2"/>
        <v>Director, Technology Career Programs, Campus Recruiting &amp; Career Programs, Talent Acquisition</v>
      </c>
      <c r="M1547" s="5" t="str">
        <f t="shared" si="3"/>
        <v/>
      </c>
      <c r="N1547" s="5" t="str">
        <f t="shared" si="4"/>
        <v>CIBC</v>
      </c>
      <c r="O1547" s="5" t="str">
        <f t="shared" si="5"/>
        <v>1 year 2 months in role</v>
      </c>
      <c r="P1547" s="5" t="str">
        <f t="shared" si="6"/>
        <v>Toronto</v>
      </c>
      <c r="Q1547" s="5" t="str">
        <f t="shared" si="7"/>
        <v>Ontario</v>
      </c>
      <c r="R1547" s="5" t="str">
        <f t="shared" si="8"/>
        <v>Canada</v>
      </c>
    </row>
    <row r="1548">
      <c r="A1548" s="8" t="s">
        <v>8639</v>
      </c>
      <c r="B1548" s="10" t="s">
        <v>2986</v>
      </c>
      <c r="C1548" s="10" t="s">
        <v>371</v>
      </c>
      <c r="D1548" s="10"/>
      <c r="E1548" s="10" t="s">
        <v>8640</v>
      </c>
      <c r="F1548" s="10" t="s">
        <v>2987</v>
      </c>
      <c r="G1548" s="11" t="s">
        <v>166</v>
      </c>
      <c r="H1548" s="11" t="s">
        <v>44</v>
      </c>
      <c r="I1548" s="11" t="s">
        <v>18</v>
      </c>
      <c r="J1548" s="9" t="str">
        <f>IFERROR(__xludf.DUMMYFUNCTION("""COMPUTED_VALUE"""),"https://www.google.com/search?newwindow=1&amp;ei=2MT0XrvGGM-vytMP1OyDgAY&amp;q=site%3Alinkedin.com+Karen+Tang+Campus+Technology+Recruiter")</f>
        <v>https://www.google.com/search?newwindow=1&amp;ei=2MT0XrvGGM-vytMP1OyDgAY&amp;q=site%3Alinkedin.com+Karen+Tang+Campus+Technology+Recruiter</v>
      </c>
      <c r="K1548" s="5" t="str">
        <f t="shared" si="1"/>
        <v>Karen Tang</v>
      </c>
      <c r="L1548" s="5" t="str">
        <f t="shared" si="2"/>
        <v>Campus Technology Recruiter</v>
      </c>
      <c r="M1548" s="5" t="str">
        <f t="shared" si="3"/>
        <v/>
      </c>
      <c r="N1548" s="5" t="str">
        <f t="shared" si="4"/>
        <v>Citi</v>
      </c>
      <c r="O1548" s="5" t="str">
        <f t="shared" si="5"/>
        <v>7 months in role and company</v>
      </c>
      <c r="P1548" s="5" t="str">
        <f t="shared" si="6"/>
        <v>Toronto</v>
      </c>
      <c r="Q1548" s="5" t="str">
        <f t="shared" si="7"/>
        <v>Ontario</v>
      </c>
      <c r="R1548" s="5" t="str">
        <f t="shared" si="8"/>
        <v>Canada</v>
      </c>
    </row>
    <row r="1549">
      <c r="A1549" s="8" t="s">
        <v>8641</v>
      </c>
      <c r="B1549" s="12" t="s">
        <v>8642</v>
      </c>
      <c r="C1549" s="10" t="s">
        <v>1896</v>
      </c>
      <c r="D1549" s="10"/>
      <c r="E1549" s="10" t="s">
        <v>2839</v>
      </c>
      <c r="F1549" s="10" t="s">
        <v>8643</v>
      </c>
      <c r="G1549" s="11" t="s">
        <v>166</v>
      </c>
      <c r="H1549" s="11" t="s">
        <v>44</v>
      </c>
      <c r="I1549" s="11" t="s">
        <v>18</v>
      </c>
      <c r="J1549" s="9" t="str">
        <f>IFERROR(__xludf.DUMMYFUNCTION("""COMPUTED_VALUE"""),"https://www.google.com/search?newwindow=1&amp;ei=2MT0XrvGGM-vytMP1OyDgAY&amp;q=site%3Alinkedin.com+Maria+Miqdadi+Campus+Recruiter")</f>
        <v>https://www.google.com/search?newwindow=1&amp;ei=2MT0XrvGGM-vytMP1OyDgAY&amp;q=site%3Alinkedin.com+Maria+Miqdadi+Campus+Recruiter</v>
      </c>
      <c r="K1549" s="5" t="str">
        <f t="shared" si="1"/>
        <v>Maria Miqdadi</v>
      </c>
      <c r="L1549" s="5" t="str">
        <f t="shared" si="2"/>
        <v>Campus Recruiter</v>
      </c>
      <c r="M1549" s="5" t="str">
        <f t="shared" si="3"/>
        <v/>
      </c>
      <c r="N1549" s="5" t="str">
        <f t="shared" si="4"/>
        <v>York University</v>
      </c>
      <c r="O1549" s="5" t="str">
        <f t="shared" si="5"/>
        <v>2 months in role and company</v>
      </c>
      <c r="P1549" s="5" t="str">
        <f t="shared" si="6"/>
        <v>Toronto</v>
      </c>
      <c r="Q1549" s="5" t="str">
        <f t="shared" si="7"/>
        <v>Ontario</v>
      </c>
      <c r="R1549" s="5" t="str">
        <f t="shared" si="8"/>
        <v>Canada</v>
      </c>
    </row>
    <row r="1550">
      <c r="A1550" s="8" t="s">
        <v>8644</v>
      </c>
      <c r="B1550" s="10" t="s">
        <v>1366</v>
      </c>
      <c r="C1550" s="10" t="s">
        <v>371</v>
      </c>
      <c r="D1550" s="10"/>
      <c r="E1550" s="10" t="s">
        <v>1233</v>
      </c>
      <c r="F1550" s="10"/>
      <c r="G1550" s="11" t="s">
        <v>166</v>
      </c>
      <c r="H1550" s="11" t="s">
        <v>44</v>
      </c>
      <c r="I1550" s="11" t="s">
        <v>18</v>
      </c>
      <c r="J1550" s="9" t="str">
        <f>IFERROR(__xludf.DUMMYFUNCTION("""COMPUTED_VALUE"""),"https://www.google.com/search?newwindow=1&amp;ei=2MT0XrvGGM-vytMP1OyDgAY&amp;q=site%3Alinkedin.com+Laveen+Jose+Student+Recruiter")</f>
        <v>https://www.google.com/search?newwindow=1&amp;ei=2MT0XrvGGM-vytMP1OyDgAY&amp;q=site%3Alinkedin.com+Laveen+Jose+Student+Recruiter</v>
      </c>
      <c r="K1550" s="5" t="str">
        <f t="shared" si="1"/>
        <v>Laveen Jose</v>
      </c>
      <c r="L1550" s="5" t="str">
        <f t="shared" si="2"/>
        <v>Student Recruiter</v>
      </c>
      <c r="M1550" s="5" t="str">
        <f t="shared" si="3"/>
        <v/>
      </c>
      <c r="N1550" s="5" t="str">
        <f t="shared" si="4"/>
        <v>Chartered Professional Accountants of Ontario (CPA Ontario)</v>
      </c>
      <c r="O1550" s="5" t="str">
        <f t="shared" si="5"/>
        <v>3 years 2 months in role and company</v>
      </c>
      <c r="P1550" s="5" t="str">
        <f t="shared" si="6"/>
        <v>Toronto</v>
      </c>
      <c r="Q1550" s="5" t="str">
        <f t="shared" si="7"/>
        <v>Ontario</v>
      </c>
      <c r="R1550" s="5" t="str">
        <f t="shared" si="8"/>
        <v>Canada</v>
      </c>
    </row>
    <row r="1551">
      <c r="A1551" s="8" t="s">
        <v>8645</v>
      </c>
      <c r="B1551" s="12" t="s">
        <v>8646</v>
      </c>
      <c r="C1551" s="10" t="s">
        <v>8647</v>
      </c>
      <c r="D1551" s="10"/>
      <c r="E1551" s="10" t="s">
        <v>4935</v>
      </c>
      <c r="F1551" s="10" t="s">
        <v>1584</v>
      </c>
      <c r="G1551" s="11" t="s">
        <v>166</v>
      </c>
      <c r="H1551" s="11" t="s">
        <v>44</v>
      </c>
      <c r="I1551" s="11" t="s">
        <v>18</v>
      </c>
      <c r="J1551" s="9" t="str">
        <f>IFERROR(__xludf.DUMMYFUNCTION("""COMPUTED_VALUE"""),"https://www.google.com/search?newwindow=1&amp;ei=2MT0XrvGGM-vytMP1OyDgAY&amp;q=site%3Alinkedin.com+Faith+Pember+Student+Recruiter")</f>
        <v>https://www.google.com/search?newwindow=1&amp;ei=2MT0XrvGGM-vytMP1OyDgAY&amp;q=site%3Alinkedin.com+Faith+Pember+Student+Recruiter</v>
      </c>
      <c r="K1551" s="5" t="str">
        <f t="shared" si="1"/>
        <v>Faith Pember</v>
      </c>
      <c r="L1551" s="5" t="str">
        <f t="shared" si="2"/>
        <v>Student Recruiter</v>
      </c>
      <c r="M1551" s="5" t="str">
        <f t="shared" si="3"/>
        <v/>
      </c>
      <c r="N1551" s="5" t="str">
        <f t="shared" si="4"/>
        <v>Chartered Professional Accountants of Ontario (CPA Ontario)</v>
      </c>
      <c r="O1551" s="5" t="str">
        <f t="shared" si="5"/>
        <v>1 year  in role and company</v>
      </c>
      <c r="P1551" s="5" t="str">
        <f t="shared" si="6"/>
        <v>Toronto</v>
      </c>
      <c r="Q1551" s="5" t="str">
        <f t="shared" si="7"/>
        <v>Ontario</v>
      </c>
      <c r="R1551" s="5" t="str">
        <f t="shared" si="8"/>
        <v>Canada</v>
      </c>
    </row>
    <row r="1552">
      <c r="A1552" s="8" t="s">
        <v>8648</v>
      </c>
      <c r="B1552" s="10" t="s">
        <v>8649</v>
      </c>
      <c r="C1552" s="10" t="s">
        <v>371</v>
      </c>
      <c r="D1552" s="10"/>
      <c r="E1552" s="10" t="s">
        <v>1233</v>
      </c>
      <c r="F1552" s="10"/>
      <c r="G1552" s="11" t="s">
        <v>166</v>
      </c>
      <c r="H1552" s="11" t="s">
        <v>44</v>
      </c>
      <c r="I1552" s="11" t="s">
        <v>18</v>
      </c>
      <c r="J1552" s="9" t="str">
        <f>IFERROR(__xludf.DUMMYFUNCTION("""COMPUTED_VALUE"""),"https://www.google.com/search?newwindow=1&amp;ei=2MT0XrvGGM-vytMP1OyDgAY&amp;q=site%3Alinkedin.com+Rahul+Gupta+International+student+Recruiter")</f>
        <v>https://www.google.com/search?newwindow=1&amp;ei=2MT0XrvGGM-vytMP1OyDgAY&amp;q=site%3Alinkedin.com+Rahul+Gupta+International+student+Recruiter</v>
      </c>
      <c r="K1552" s="5" t="str">
        <f t="shared" si="1"/>
        <v>Rahul Gupta</v>
      </c>
      <c r="L1552" s="5" t="str">
        <f t="shared" si="2"/>
        <v>International student Recruiter</v>
      </c>
      <c r="M1552" s="5" t="str">
        <f t="shared" si="3"/>
        <v/>
      </c>
      <c r="N1552" s="5" t="str">
        <f t="shared" si="4"/>
        <v>Sunview College - Business. Healthcare. Technology.</v>
      </c>
      <c r="O1552" s="5" t="str">
        <f t="shared" si="5"/>
        <v>1 year 4 months in role and company</v>
      </c>
      <c r="P1552" s="5" t="str">
        <f t="shared" si="6"/>
        <v>Toronto</v>
      </c>
      <c r="Q1552" s="5" t="str">
        <f t="shared" si="7"/>
        <v>Ontario</v>
      </c>
      <c r="R1552" s="5" t="str">
        <f t="shared" si="8"/>
        <v>Canada</v>
      </c>
    </row>
    <row r="1553">
      <c r="A1553" s="8" t="s">
        <v>8650</v>
      </c>
      <c r="B1553" s="10" t="s">
        <v>3062</v>
      </c>
      <c r="C1553" s="10" t="s">
        <v>3063</v>
      </c>
      <c r="D1553" s="10"/>
      <c r="E1553" s="10" t="s">
        <v>3055</v>
      </c>
      <c r="F1553" s="10" t="s">
        <v>36</v>
      </c>
      <c r="G1553" s="13" t="s">
        <v>166</v>
      </c>
      <c r="H1553" s="11" t="s">
        <v>44</v>
      </c>
      <c r="I1553" s="11" t="s">
        <v>18</v>
      </c>
      <c r="J1553" s="9" t="str">
        <f>IFERROR(__xludf.DUMMYFUNCTION("""COMPUTED_VALUE"""),"https://www.google.com/search?newwindow=1&amp;ei=2MT0XrvGGM-vytMP1OyDgAY&amp;q=site%3Alinkedin.com+Sean+Mullin+Post+Secondary+Student+Recruiter")</f>
        <v>https://www.google.com/search?newwindow=1&amp;ei=2MT0XrvGGM-vytMP1OyDgAY&amp;q=site%3Alinkedin.com+Sean+Mullin+Post+Secondary+Student+Recruiter</v>
      </c>
      <c r="K1553" s="5" t="str">
        <f t="shared" si="1"/>
        <v>Sean Mullin</v>
      </c>
      <c r="L1553" s="5" t="str">
        <f t="shared" si="2"/>
        <v>Post Secondary Student Recruiter</v>
      </c>
      <c r="M1553" s="5" t="str">
        <f t="shared" si="3"/>
        <v/>
      </c>
      <c r="N1553" s="5" t="str">
        <f t="shared" si="4"/>
        <v>Chartered Professional Accountants of Ontario (CPA Ontario)</v>
      </c>
      <c r="O1553" s="5" t="str">
        <f t="shared" si="5"/>
        <v>3 years 6 months in role and company</v>
      </c>
      <c r="P1553" s="5" t="str">
        <f t="shared" si="6"/>
        <v>Toronto</v>
      </c>
      <c r="Q1553" s="5" t="str">
        <f t="shared" si="7"/>
        <v>Ontario</v>
      </c>
      <c r="R1553" s="5" t="str">
        <f t="shared" si="8"/>
        <v>Canada</v>
      </c>
    </row>
    <row r="1554">
      <c r="A1554" s="8" t="s">
        <v>8651</v>
      </c>
      <c r="B1554" s="10" t="s">
        <v>3514</v>
      </c>
      <c r="C1554" s="10" t="s">
        <v>371</v>
      </c>
      <c r="D1554" s="10"/>
      <c r="E1554" s="10" t="s">
        <v>3510</v>
      </c>
      <c r="F1554" s="10" t="s">
        <v>233</v>
      </c>
      <c r="G1554" s="13" t="s">
        <v>166</v>
      </c>
      <c r="H1554" s="11" t="s">
        <v>44</v>
      </c>
      <c r="I1554" s="11" t="s">
        <v>18</v>
      </c>
      <c r="J1554" s="9" t="str">
        <f>IFERROR(__xludf.DUMMYFUNCTION("""COMPUTED_VALUE"""),"https://www.google.com/search?newwindow=1&amp;ei=2MT0XrvGGM-vytMP1OyDgAY&amp;q=site%3Alinkedin.com+Katie+Dutton+Campus+Recruiter+-+Wealth+Management")</f>
        <v>https://www.google.com/search?newwindow=1&amp;ei=2MT0XrvGGM-vytMP1OyDgAY&amp;q=site%3Alinkedin.com+Katie+Dutton+Campus+Recruiter+-+Wealth+Management</v>
      </c>
      <c r="K1554" s="5" t="str">
        <f t="shared" si="1"/>
        <v>Katie Dutton</v>
      </c>
      <c r="L1554" s="5" t="str">
        <f t="shared" si="2"/>
        <v>Campus Recruiter - Wealth Management</v>
      </c>
      <c r="M1554" s="5" t="str">
        <f t="shared" si="3"/>
        <v/>
      </c>
      <c r="N1554" s="5" t="str">
        <f t="shared" si="4"/>
        <v>Scotiabank</v>
      </c>
      <c r="O1554" s="5" t="str">
        <f t="shared" si="5"/>
        <v>10 months in role</v>
      </c>
      <c r="P1554" s="5" t="str">
        <f t="shared" si="6"/>
        <v>Toronto</v>
      </c>
      <c r="Q1554" s="5" t="str">
        <f t="shared" si="7"/>
        <v>Ontario</v>
      </c>
      <c r="R1554" s="5" t="str">
        <f t="shared" si="8"/>
        <v>Canada</v>
      </c>
    </row>
    <row r="1555">
      <c r="A1555" s="8" t="s">
        <v>8652</v>
      </c>
      <c r="B1555" s="10" t="s">
        <v>3068</v>
      </c>
      <c r="C1555" s="10" t="s">
        <v>3069</v>
      </c>
      <c r="D1555" s="10"/>
      <c r="E1555" s="10" t="s">
        <v>3055</v>
      </c>
      <c r="F1555" s="10" t="s">
        <v>188</v>
      </c>
      <c r="G1555" s="13" t="s">
        <v>166</v>
      </c>
      <c r="H1555" s="11" t="s">
        <v>44</v>
      </c>
      <c r="I1555" s="11" t="s">
        <v>18</v>
      </c>
      <c r="J1555" s="9" t="str">
        <f>IFERROR(__xludf.DUMMYFUNCTION("""COMPUTED_VALUE"""),"https://www.google.com/search?newwindow=1&amp;ei=2MT0XrvGGM-vytMP1OyDgAY&amp;q=site%3Alinkedin.com+Jovic+Howland+Senior+Recruiter,+Campus+Recruitment,+Early+Talent+Acquisition,+Wealth+Management")</f>
        <v>https://www.google.com/search?newwindow=1&amp;ei=2MT0XrvGGM-vytMP1OyDgAY&amp;q=site%3Alinkedin.com+Jovic+Howland+Senior+Recruiter,+Campus+Recruitment,+Early+Talent+Acquisition,+Wealth+Management</v>
      </c>
      <c r="K1555" s="5" t="str">
        <f t="shared" si="1"/>
        <v>Jovic Howland</v>
      </c>
      <c r="L1555" s="5" t="str">
        <f t="shared" si="2"/>
        <v>Senior Recruiter, Campus Recruitment, Early Talent Acquisition, Wealth Management</v>
      </c>
      <c r="M1555" s="5" t="str">
        <f t="shared" si="3"/>
        <v/>
      </c>
      <c r="N1555" s="5" t="str">
        <f t="shared" si="4"/>
        <v>RBC</v>
      </c>
      <c r="O1555" s="5" t="str">
        <f t="shared" si="5"/>
        <v>3 years 3 months in role and company</v>
      </c>
      <c r="P1555" s="5" t="str">
        <f t="shared" si="6"/>
        <v>Toronto</v>
      </c>
      <c r="Q1555" s="5" t="str">
        <f t="shared" si="7"/>
        <v>Ontario</v>
      </c>
      <c r="R1555" s="5" t="str">
        <f t="shared" si="8"/>
        <v>Canada</v>
      </c>
    </row>
    <row r="1556">
      <c r="A1556" s="8" t="s">
        <v>8653</v>
      </c>
      <c r="B1556" s="10" t="s">
        <v>8654</v>
      </c>
      <c r="C1556" s="10" t="s">
        <v>212</v>
      </c>
      <c r="D1556" s="10"/>
      <c r="E1556" s="10" t="s">
        <v>4441</v>
      </c>
      <c r="F1556" s="10" t="s">
        <v>233</v>
      </c>
      <c r="G1556" s="13" t="s">
        <v>166</v>
      </c>
      <c r="H1556" s="11" t="s">
        <v>44</v>
      </c>
      <c r="I1556" s="11" t="s">
        <v>18</v>
      </c>
      <c r="J1556" s="9" t="str">
        <f>IFERROR(__xludf.DUMMYFUNCTION("""COMPUTED_VALUE"""),"https://www.google.com/search?newwindow=1&amp;ei=2MT0XrvGGM-vytMP1OyDgAY&amp;q=site%3Alinkedin.com+Natalie+Rutkowski+Talent+Attraction+Specialist+-+GTA+Campus+Recruiter")</f>
        <v>https://www.google.com/search?newwindow=1&amp;ei=2MT0XrvGGM-vytMP1OyDgAY&amp;q=site%3Alinkedin.com+Natalie+Rutkowski+Talent+Attraction+Specialist+-+GTA+Campus+Recruiter</v>
      </c>
      <c r="K1556" s="5" t="str">
        <f t="shared" si="1"/>
        <v>Natalie Rutkowski</v>
      </c>
      <c r="L1556" s="5" t="str">
        <f t="shared" si="2"/>
        <v>Talent Attraction Specialist - GTA Campus Recruiter</v>
      </c>
      <c r="M1556" s="5" t="str">
        <f t="shared" si="3"/>
        <v/>
      </c>
      <c r="N1556" s="5" t="str">
        <f t="shared" si="4"/>
        <v>KPMG Canada</v>
      </c>
      <c r="O1556" s="5" t="str">
        <f t="shared" si="5"/>
        <v>1 year 10 months in role and company</v>
      </c>
      <c r="P1556" s="5" t="str">
        <f t="shared" si="6"/>
        <v>Toronto</v>
      </c>
      <c r="Q1556" s="5" t="str">
        <f t="shared" si="7"/>
        <v>Ontario</v>
      </c>
      <c r="R1556" s="5" t="str">
        <f t="shared" si="8"/>
        <v>Canada</v>
      </c>
    </row>
    <row r="1557">
      <c r="A1557" s="8" t="s">
        <v>8655</v>
      </c>
      <c r="B1557" s="10" t="s">
        <v>8656</v>
      </c>
      <c r="C1557" s="10" t="s">
        <v>1378</v>
      </c>
      <c r="D1557" s="10"/>
      <c r="E1557" s="10" t="s">
        <v>1233</v>
      </c>
      <c r="F1557" s="10" t="s">
        <v>121</v>
      </c>
      <c r="G1557" s="13" t="s">
        <v>166</v>
      </c>
      <c r="H1557" s="11" t="s">
        <v>44</v>
      </c>
      <c r="I1557" s="11" t="s">
        <v>18</v>
      </c>
      <c r="J1557" s="9" t="str">
        <f>IFERROR(__xludf.DUMMYFUNCTION("""COMPUTED_VALUE"""),"https://www.google.com/search?newwindow=1&amp;ei=2MT0XrvGGM-vytMP1OyDgAY&amp;q=site%3Alinkedin.com+Maria+Khan+Campus+Recruiting+Manager")</f>
        <v>https://www.google.com/search?newwindow=1&amp;ei=2MT0XrvGGM-vytMP1OyDgAY&amp;q=site%3Alinkedin.com+Maria+Khan+Campus+Recruiting+Manager</v>
      </c>
      <c r="K1557" s="5" t="str">
        <f t="shared" si="1"/>
        <v>Maria Khan</v>
      </c>
      <c r="L1557" s="5" t="str">
        <f t="shared" si="2"/>
        <v>Campus Recruiting Manager</v>
      </c>
      <c r="M1557" s="5" t="str">
        <f t="shared" si="3"/>
        <v/>
      </c>
      <c r="N1557" s="5" t="str">
        <f t="shared" si="4"/>
        <v>Capital One</v>
      </c>
      <c r="O1557" s="5" t="str">
        <f t="shared" si="5"/>
        <v>1 year 7 months in role and company</v>
      </c>
      <c r="P1557" s="5" t="str">
        <f t="shared" si="6"/>
        <v>Toronto</v>
      </c>
      <c r="Q1557" s="5" t="str">
        <f t="shared" si="7"/>
        <v>Ontario</v>
      </c>
      <c r="R1557" s="5" t="str">
        <f t="shared" si="8"/>
        <v>Canada</v>
      </c>
    </row>
    <row r="1558">
      <c r="A1558" s="8" t="s">
        <v>8657</v>
      </c>
      <c r="B1558" s="10" t="s">
        <v>8658</v>
      </c>
      <c r="C1558" s="10" t="s">
        <v>4674</v>
      </c>
      <c r="D1558" s="10"/>
      <c r="E1558" s="10" t="s">
        <v>1233</v>
      </c>
      <c r="F1558" s="10" t="s">
        <v>228</v>
      </c>
      <c r="G1558" s="13" t="s">
        <v>166</v>
      </c>
      <c r="H1558" s="11" t="s">
        <v>44</v>
      </c>
      <c r="I1558" s="11" t="s">
        <v>18</v>
      </c>
      <c r="J1558" s="9" t="str">
        <f>IFERROR(__xludf.DUMMYFUNCTION("""COMPUTED_VALUE"""),"https://www.google.com/search?newwindow=1&amp;ei=2MT0XrvGGM-vytMP1OyDgAY&amp;q=site%3Alinkedin.com+Vijayita+Bhardwaj+(she/her)+University+Recruitment+Coordinator")</f>
        <v>https://www.google.com/search?newwindow=1&amp;ei=2MT0XrvGGM-vytMP1OyDgAY&amp;q=site%3Alinkedin.com+Vijayita+Bhardwaj+(she/her)+University+Recruitment+Coordinator</v>
      </c>
      <c r="K1558" s="5" t="str">
        <f t="shared" si="1"/>
        <v>Vijayita Bhardwaj (she/her)</v>
      </c>
      <c r="L1558" s="5" t="str">
        <f t="shared" si="2"/>
        <v>University Recruitment Coordinator</v>
      </c>
      <c r="M1558" s="5" t="str">
        <f t="shared" si="3"/>
        <v/>
      </c>
      <c r="N1558" s="5" t="str">
        <f t="shared" si="4"/>
        <v>Willis Towers Watson</v>
      </c>
      <c r="O1558" s="5" t="str">
        <f t="shared" si="5"/>
        <v>1 year 8 months in role and company</v>
      </c>
      <c r="P1558" s="5" t="str">
        <f t="shared" si="6"/>
        <v>Toronto</v>
      </c>
      <c r="Q1558" s="5" t="str">
        <f t="shared" si="7"/>
        <v>Ontario</v>
      </c>
      <c r="R1558" s="5" t="str">
        <f t="shared" si="8"/>
        <v>Canada</v>
      </c>
    </row>
    <row r="1559">
      <c r="A1559" s="8" t="s">
        <v>8659</v>
      </c>
      <c r="B1559" s="10" t="s">
        <v>8660</v>
      </c>
      <c r="C1559" s="10" t="s">
        <v>8661</v>
      </c>
      <c r="D1559" s="10"/>
      <c r="E1559" s="10" t="s">
        <v>4441</v>
      </c>
      <c r="F1559" s="10" t="s">
        <v>351</v>
      </c>
      <c r="G1559" s="13" t="s">
        <v>166</v>
      </c>
      <c r="H1559" s="11" t="s">
        <v>44</v>
      </c>
      <c r="I1559" s="11" t="s">
        <v>18</v>
      </c>
      <c r="J1559" s="9" t="str">
        <f>IFERROR(__xludf.DUMMYFUNCTION("""COMPUTED_VALUE"""),"https://www.google.com/search?newwindow=1&amp;ei=2MT0XrvGGM-vytMP1OyDgAY&amp;q=site%3Alinkedin.com+Ghada+Tajeddine+Student+Recruiter+(Regional)+-+Internationally+Educated+Professionals")</f>
        <v>https://www.google.com/search?newwindow=1&amp;ei=2MT0XrvGGM-vytMP1OyDgAY&amp;q=site%3Alinkedin.com+Ghada+Tajeddine+Student+Recruiter+(Regional)+-+Internationally+Educated+Professionals</v>
      </c>
      <c r="K1559" s="5" t="str">
        <f t="shared" si="1"/>
        <v>Ghada Tajeddine</v>
      </c>
      <c r="L1559" s="5" t="str">
        <f t="shared" si="2"/>
        <v>Student Recruiter (Regional) - Internationally Educated Professionals</v>
      </c>
      <c r="M1559" s="5" t="str">
        <f t="shared" si="3"/>
        <v/>
      </c>
      <c r="N1559" s="5" t="str">
        <f t="shared" si="4"/>
        <v>Chartered Professional Accountants of Ontario (CPA Ontario)</v>
      </c>
      <c r="O1559" s="5" t="str">
        <f t="shared" si="5"/>
        <v>2 years 10 months in role and company</v>
      </c>
      <c r="P1559" s="5" t="str">
        <f t="shared" si="6"/>
        <v>Toronto</v>
      </c>
      <c r="Q1559" s="5" t="str">
        <f t="shared" si="7"/>
        <v>Ontario</v>
      </c>
      <c r="R1559" s="5" t="str">
        <f t="shared" si="8"/>
        <v>Canada</v>
      </c>
    </row>
    <row r="1560">
      <c r="A1560" s="8" t="s">
        <v>8662</v>
      </c>
      <c r="B1560" s="12" t="s">
        <v>2889</v>
      </c>
      <c r="C1560" s="10" t="s">
        <v>371</v>
      </c>
      <c r="D1560" s="10"/>
      <c r="E1560" s="10" t="s">
        <v>2839</v>
      </c>
      <c r="F1560" s="10" t="s">
        <v>2890</v>
      </c>
      <c r="G1560" s="13" t="s">
        <v>166</v>
      </c>
      <c r="H1560" s="11" t="s">
        <v>44</v>
      </c>
      <c r="I1560" s="11" t="s">
        <v>18</v>
      </c>
      <c r="J1560" s="9" t="str">
        <f>IFERROR(__xludf.DUMMYFUNCTION("""COMPUTED_VALUE"""),"https://www.google.com/search?newwindow=1&amp;ei=2MT0XrvGGM-vytMP1OyDgAY&amp;q=site%3Alinkedin.com+Jordan+Barratt+National+Campus+Recruiting+Leader")</f>
        <v>https://www.google.com/search?newwindow=1&amp;ei=2MT0XrvGGM-vytMP1OyDgAY&amp;q=site%3Alinkedin.com+Jordan+Barratt+National+Campus+Recruiting+Leader</v>
      </c>
      <c r="K1560" s="5" t="str">
        <f t="shared" si="1"/>
        <v>Jordan Barratt</v>
      </c>
      <c r="L1560" s="5" t="str">
        <f t="shared" si="2"/>
        <v>National Campus Recruiting Leader</v>
      </c>
      <c r="M1560" s="5" t="str">
        <f t="shared" si="3"/>
        <v/>
      </c>
      <c r="N1560" s="5" t="str">
        <f t="shared" si="4"/>
        <v>EY</v>
      </c>
      <c r="O1560" s="5" t="str">
        <f t="shared" si="5"/>
        <v>3 years 10 months in role and company</v>
      </c>
      <c r="P1560" s="5" t="str">
        <f t="shared" si="6"/>
        <v>Toronto</v>
      </c>
      <c r="Q1560" s="5" t="str">
        <f t="shared" si="7"/>
        <v>Ontario</v>
      </c>
      <c r="R1560" s="5" t="str">
        <f t="shared" si="8"/>
        <v>Canada</v>
      </c>
    </row>
    <row r="1561">
      <c r="A1561" s="8" t="s">
        <v>8663</v>
      </c>
      <c r="B1561" s="10" t="s">
        <v>3520</v>
      </c>
      <c r="C1561" s="10" t="s">
        <v>800</v>
      </c>
      <c r="D1561" s="10"/>
      <c r="E1561" s="10" t="s">
        <v>3510</v>
      </c>
      <c r="F1561" s="10" t="s">
        <v>472</v>
      </c>
      <c r="G1561" s="13" t="s">
        <v>166</v>
      </c>
      <c r="H1561" s="11" t="s">
        <v>44</v>
      </c>
      <c r="I1561" s="11" t="s">
        <v>18</v>
      </c>
      <c r="J1561" s="9" t="str">
        <f>IFERROR(__xludf.DUMMYFUNCTION("""COMPUTED_VALUE"""),"https://www.google.com/search?newwindow=1&amp;ei=2MT0XrvGGM-vytMP1OyDgAY&amp;q=site%3Alinkedin.com+Carolyn+Seward+Student+Recruiter")</f>
        <v>https://www.google.com/search?newwindow=1&amp;ei=2MT0XrvGGM-vytMP1OyDgAY&amp;q=site%3Alinkedin.com+Carolyn+Seward+Student+Recruiter</v>
      </c>
      <c r="K1561" s="5" t="str">
        <f t="shared" si="1"/>
        <v>Carolyn Seward</v>
      </c>
      <c r="L1561" s="5" t="str">
        <f t="shared" si="2"/>
        <v>Student Recruiter</v>
      </c>
      <c r="M1561" s="5" t="str">
        <f t="shared" si="3"/>
        <v/>
      </c>
      <c r="N1561" s="5" t="str">
        <f t="shared" si="4"/>
        <v>Chartered Professional Accountants of Ontario (CPA Ontario)</v>
      </c>
      <c r="O1561" s="5" t="str">
        <f t="shared" si="5"/>
        <v>3 years 5 months in role and company</v>
      </c>
      <c r="P1561" s="5" t="str">
        <f t="shared" si="6"/>
        <v>Toronto</v>
      </c>
      <c r="Q1561" s="5" t="str">
        <f t="shared" si="7"/>
        <v>Ontario</v>
      </c>
      <c r="R1561" s="5" t="str">
        <f t="shared" si="8"/>
        <v>Canada</v>
      </c>
    </row>
    <row r="1562">
      <c r="A1562" s="8" t="s">
        <v>8664</v>
      </c>
      <c r="B1562" s="12" t="s">
        <v>8665</v>
      </c>
      <c r="C1562" s="10" t="s">
        <v>4677</v>
      </c>
      <c r="D1562" s="10"/>
      <c r="E1562" s="10" t="s">
        <v>1233</v>
      </c>
      <c r="F1562" s="10" t="s">
        <v>106</v>
      </c>
      <c r="G1562" s="13" t="s">
        <v>166</v>
      </c>
      <c r="H1562" s="11" t="s">
        <v>44</v>
      </c>
      <c r="I1562" s="11" t="s">
        <v>18</v>
      </c>
      <c r="J1562" s="9" t="str">
        <f>IFERROR(__xludf.DUMMYFUNCTION("""COMPUTED_VALUE"""),"https://www.google.com/search?newwindow=1&amp;ei=2MT0XrvGGM-vytMP1OyDgAY&amp;q=site%3Alinkedin.com+Ameer+Ali+University+Recruiter+&amp;+Campus+Lead,+Canada+-+Global+Talent+Acquisition")</f>
        <v>https://www.google.com/search?newwindow=1&amp;ei=2MT0XrvGGM-vytMP1OyDgAY&amp;q=site%3Alinkedin.com+Ameer+Ali+University+Recruiter+&amp;+Campus+Lead,+Canada+-+Global+Talent+Acquisition</v>
      </c>
      <c r="K1562" s="5" t="str">
        <f t="shared" si="1"/>
        <v>Ameer Ali</v>
      </c>
      <c r="L1562" s="5" t="str">
        <f t="shared" si="2"/>
        <v>University Recruiter &amp; Campus Lead, Canada - Global Talent Acquisition</v>
      </c>
      <c r="M1562" s="5" t="str">
        <f t="shared" si="3"/>
        <v/>
      </c>
      <c r="N1562" s="5" t="str">
        <f t="shared" si="4"/>
        <v>General Motors</v>
      </c>
      <c r="O1562" s="5" t="str">
        <f t="shared" si="5"/>
        <v>8 months in role and company</v>
      </c>
      <c r="P1562" s="5" t="str">
        <f t="shared" si="6"/>
        <v>Toronto</v>
      </c>
      <c r="Q1562" s="5" t="str">
        <f t="shared" si="7"/>
        <v>Ontario</v>
      </c>
      <c r="R1562" s="5" t="str">
        <f t="shared" si="8"/>
        <v>Canada</v>
      </c>
    </row>
    <row r="1563">
      <c r="A1563" s="8" t="s">
        <v>8666</v>
      </c>
      <c r="B1563" s="10" t="s">
        <v>8667</v>
      </c>
      <c r="C1563" s="10" t="s">
        <v>1896</v>
      </c>
      <c r="D1563" s="10"/>
      <c r="E1563" s="10" t="s">
        <v>4659</v>
      </c>
      <c r="F1563" s="10" t="s">
        <v>4033</v>
      </c>
      <c r="G1563" s="13" t="s">
        <v>166</v>
      </c>
      <c r="H1563" s="11" t="s">
        <v>44</v>
      </c>
      <c r="I1563" s="11" t="s">
        <v>18</v>
      </c>
      <c r="J1563" s="9" t="str">
        <f>IFERROR(__xludf.DUMMYFUNCTION("""COMPUTED_VALUE"""),"https://www.google.com/search?newwindow=1&amp;ei=2MT0XrvGGM-vytMP1OyDgAY&amp;q=site%3Alinkedin.com+Ariane+Morency-Charbonneau+Student+Recruiter")</f>
        <v>https://www.google.com/search?newwindow=1&amp;ei=2MT0XrvGGM-vytMP1OyDgAY&amp;q=site%3Alinkedin.com+Ariane+Morency-Charbonneau+Student+Recruiter</v>
      </c>
      <c r="K1563" s="5" t="str">
        <f t="shared" si="1"/>
        <v>Ariane Morency-Charbonneau</v>
      </c>
      <c r="L1563" s="5" t="str">
        <f t="shared" si="2"/>
        <v>Student Recruiter</v>
      </c>
      <c r="M1563" s="5" t="str">
        <f t="shared" si="3"/>
        <v/>
      </c>
      <c r="N1563" s="5" t="str">
        <f t="shared" si="4"/>
        <v>Chartered Professional Accountants of Ontario (CPA Ontario)</v>
      </c>
      <c r="O1563" s="5" t="str">
        <f t="shared" si="5"/>
        <v>2 years 3 months in role and company</v>
      </c>
      <c r="P1563" s="5" t="str">
        <f t="shared" si="6"/>
        <v>Toronto</v>
      </c>
      <c r="Q1563" s="5" t="str">
        <f t="shared" si="7"/>
        <v>Ontario</v>
      </c>
      <c r="R1563" s="5" t="str">
        <f t="shared" si="8"/>
        <v>Canada</v>
      </c>
    </row>
    <row r="1564">
      <c r="A1564" s="8" t="s">
        <v>8668</v>
      </c>
      <c r="B1564" s="10" t="s">
        <v>2016</v>
      </c>
      <c r="C1564" s="10" t="s">
        <v>2017</v>
      </c>
      <c r="D1564" s="10"/>
      <c r="E1564" s="10" t="s">
        <v>1908</v>
      </c>
      <c r="F1564" s="10" t="s">
        <v>694</v>
      </c>
      <c r="G1564" s="13" t="s">
        <v>166</v>
      </c>
      <c r="H1564" s="11" t="s">
        <v>44</v>
      </c>
      <c r="I1564" s="11" t="s">
        <v>18</v>
      </c>
      <c r="J1564" s="9" t="str">
        <f>IFERROR(__xludf.DUMMYFUNCTION("""COMPUTED_VALUE"""),"https://www.google.com/search?newwindow=1&amp;ei=2MT0XrvGGM-vytMP1OyDgAY&amp;q=site%3Alinkedin.com+Quynh+Dinh,+CHRP+Campus+Recruiter")</f>
        <v>https://www.google.com/search?newwindow=1&amp;ei=2MT0XrvGGM-vytMP1OyDgAY&amp;q=site%3Alinkedin.com+Quynh+Dinh,+CHRP+Campus+Recruiter</v>
      </c>
      <c r="K1564" s="5" t="str">
        <f t="shared" si="1"/>
        <v>Quynh Dinh, CHRP</v>
      </c>
      <c r="L1564" s="5" t="str">
        <f t="shared" si="2"/>
        <v>Campus Recruiter</v>
      </c>
      <c r="M1564" s="5" t="str">
        <f t="shared" si="3"/>
        <v/>
      </c>
      <c r="N1564" s="5" t="str">
        <f t="shared" si="4"/>
        <v>EY</v>
      </c>
      <c r="O1564" s="5" t="str">
        <f t="shared" si="5"/>
        <v>3 years 6 months in role and company</v>
      </c>
      <c r="P1564" s="5" t="str">
        <f t="shared" si="6"/>
        <v>Toronto</v>
      </c>
      <c r="Q1564" s="5" t="str">
        <f t="shared" si="7"/>
        <v>Ontario</v>
      </c>
      <c r="R1564" s="5" t="str">
        <f t="shared" si="8"/>
        <v>Canada</v>
      </c>
    </row>
    <row r="1565">
      <c r="A1565" s="8" t="s">
        <v>8669</v>
      </c>
      <c r="B1565" s="10" t="s">
        <v>4559</v>
      </c>
      <c r="C1565" s="10" t="s">
        <v>4560</v>
      </c>
      <c r="D1565" s="10"/>
      <c r="E1565" s="10" t="s">
        <v>4536</v>
      </c>
      <c r="F1565" s="10" t="s">
        <v>125</v>
      </c>
      <c r="G1565" s="13" t="s">
        <v>166</v>
      </c>
      <c r="H1565" s="11" t="s">
        <v>44</v>
      </c>
      <c r="I1565" s="11" t="s">
        <v>18</v>
      </c>
      <c r="J1565" s="9" t="str">
        <f>IFERROR(__xludf.DUMMYFUNCTION("""COMPUTED_VALUE"""),"https://www.google.com/search?newwindow=1&amp;ei=2MT0XrvGGM-vytMP1OyDgAY&amp;q=site%3Alinkedin.com+David+Santacruz+de+la+Torre+Leads+Specialist+and+Student+Recruiter")</f>
        <v>https://www.google.com/search?newwindow=1&amp;ei=2MT0XrvGGM-vytMP1OyDgAY&amp;q=site%3Alinkedin.com+David+Santacruz+de+la+Torre+Leads+Specialist+and+Student+Recruiter</v>
      </c>
      <c r="K1565" s="5" t="str">
        <f t="shared" si="1"/>
        <v>David Santacruz de la Torre</v>
      </c>
      <c r="L1565" s="5" t="str">
        <f t="shared" si="2"/>
        <v>Leads Specialist and Student Recruiter</v>
      </c>
      <c r="M1565" s="5" t="str">
        <f t="shared" si="3"/>
        <v/>
      </c>
      <c r="N1565" s="5" t="str">
        <f t="shared" si="4"/>
        <v>INGWE Canada</v>
      </c>
      <c r="O1565" s="5" t="str">
        <f t="shared" si="5"/>
        <v>5 months in role and company</v>
      </c>
      <c r="P1565" s="5" t="str">
        <f t="shared" si="6"/>
        <v>Toronto</v>
      </c>
      <c r="Q1565" s="5" t="str">
        <f t="shared" si="7"/>
        <v>Ontario</v>
      </c>
      <c r="R1565" s="5" t="str">
        <f t="shared" si="8"/>
        <v>Canada</v>
      </c>
    </row>
    <row r="1566">
      <c r="A1566" s="8" t="s">
        <v>8670</v>
      </c>
      <c r="B1566" s="10" t="s">
        <v>8671</v>
      </c>
      <c r="C1566" s="10" t="s">
        <v>8672</v>
      </c>
      <c r="D1566" s="10"/>
      <c r="E1566" s="10" t="s">
        <v>2839</v>
      </c>
      <c r="F1566" s="10" t="s">
        <v>228</v>
      </c>
      <c r="G1566" s="13" t="s">
        <v>166</v>
      </c>
      <c r="H1566" s="11" t="s">
        <v>44</v>
      </c>
      <c r="I1566" s="11" t="s">
        <v>18</v>
      </c>
      <c r="J1566" s="9" t="str">
        <f>IFERROR(__xludf.DUMMYFUNCTION("""COMPUTED_VALUE"""),"https://www.google.com/search?newwindow=1&amp;ei=2MT0XrvGGM-vytMP1OyDgAY&amp;q=site%3Alinkedin.com+Nicole+Yung+Campus+Recruiter,+Business+Lead")</f>
        <v>https://www.google.com/search?newwindow=1&amp;ei=2MT0XrvGGM-vytMP1OyDgAY&amp;q=site%3Alinkedin.com+Nicole+Yung+Campus+Recruiter,+Business+Lead</v>
      </c>
      <c r="K1566" s="5" t="str">
        <f t="shared" si="1"/>
        <v>Nicole Yung</v>
      </c>
      <c r="L1566" s="5" t="str">
        <f t="shared" si="2"/>
        <v>Campus Recruiter, Business Lead</v>
      </c>
      <c r="M1566" s="5" t="str">
        <f t="shared" si="3"/>
        <v/>
      </c>
      <c r="N1566" s="5" t="str">
        <f t="shared" si="4"/>
        <v>Capital One</v>
      </c>
      <c r="O1566" s="5" t="str">
        <f t="shared" si="5"/>
        <v>1 year 10 months in role</v>
      </c>
      <c r="P1566" s="5" t="str">
        <f t="shared" si="6"/>
        <v>Toronto</v>
      </c>
      <c r="Q1566" s="5" t="str">
        <f t="shared" si="7"/>
        <v>Ontario</v>
      </c>
      <c r="R1566" s="5" t="str">
        <f t="shared" si="8"/>
        <v>Canada</v>
      </c>
    </row>
    <row r="1567">
      <c r="A1567" s="8" t="s">
        <v>8673</v>
      </c>
      <c r="B1567" s="12" t="s">
        <v>8674</v>
      </c>
      <c r="C1567" s="10" t="s">
        <v>8675</v>
      </c>
      <c r="D1567" s="10"/>
      <c r="E1567" s="10" t="s">
        <v>3649</v>
      </c>
      <c r="F1567" s="10" t="s">
        <v>182</v>
      </c>
      <c r="G1567" s="13" t="s">
        <v>166</v>
      </c>
      <c r="H1567" s="11" t="s">
        <v>44</v>
      </c>
      <c r="I1567" s="11" t="s">
        <v>18</v>
      </c>
      <c r="J1567" s="9" t="str">
        <f>IFERROR(__xludf.DUMMYFUNCTION("""COMPUTED_VALUE"""),"https://www.google.com/search?newwindow=1&amp;ei=2MT0XrvGGM-vytMP1OyDgAY&amp;q=site%3Alinkedin.com+Jon+Spence+Sr.+Recruiter+-+Campus+Recruitment")</f>
        <v>https://www.google.com/search?newwindow=1&amp;ei=2MT0XrvGGM-vytMP1OyDgAY&amp;q=site%3Alinkedin.com+Jon+Spence+Sr.+Recruiter+-+Campus+Recruitment</v>
      </c>
      <c r="K1567" s="5" t="str">
        <f t="shared" si="1"/>
        <v>Jon Spence</v>
      </c>
      <c r="L1567" s="5" t="str">
        <f t="shared" si="2"/>
        <v>Sr. Recruiter - Campus Recruitment</v>
      </c>
      <c r="M1567" s="5" t="str">
        <f t="shared" si="3"/>
        <v/>
      </c>
      <c r="N1567" s="5" t="str">
        <f t="shared" si="4"/>
        <v>TD</v>
      </c>
      <c r="O1567" s="5" t="str">
        <f t="shared" si="5"/>
        <v>3 years 7 months in role</v>
      </c>
      <c r="P1567" s="5" t="str">
        <f t="shared" si="6"/>
        <v>Toronto</v>
      </c>
      <c r="Q1567" s="5" t="str">
        <f t="shared" si="7"/>
        <v>Ontario</v>
      </c>
      <c r="R1567" s="5" t="str">
        <f t="shared" si="8"/>
        <v>Canada</v>
      </c>
    </row>
    <row r="1568">
      <c r="A1568" s="8" t="s">
        <v>8676</v>
      </c>
      <c r="B1568" s="12" t="s">
        <v>8677</v>
      </c>
      <c r="C1568" s="10" t="s">
        <v>8678</v>
      </c>
      <c r="D1568" s="10"/>
      <c r="E1568" s="10" t="s">
        <v>14</v>
      </c>
      <c r="F1568" s="10" t="s">
        <v>2544</v>
      </c>
      <c r="G1568" s="13" t="s">
        <v>166</v>
      </c>
      <c r="H1568" s="11" t="s">
        <v>44</v>
      </c>
      <c r="I1568" s="11" t="s">
        <v>18</v>
      </c>
      <c r="J1568" s="9" t="str">
        <f>IFERROR(__xludf.DUMMYFUNCTION("""COMPUTED_VALUE"""),"https://www.google.com/search?newwindow=1&amp;ei=2MT0XrvGGM-vytMP1OyDgAY&amp;q=site%3Alinkedin.com+Jodi-Anne+Buckley+Student+Recruiter")</f>
        <v>https://www.google.com/search?newwindow=1&amp;ei=2MT0XrvGGM-vytMP1OyDgAY&amp;q=site%3Alinkedin.com+Jodi-Anne+Buckley+Student+Recruiter</v>
      </c>
      <c r="K1568" s="5" t="str">
        <f t="shared" si="1"/>
        <v>Jodi-Anne Buckley</v>
      </c>
      <c r="L1568" s="5" t="str">
        <f t="shared" si="2"/>
        <v>Student Recruiter</v>
      </c>
      <c r="M1568" s="5" t="str">
        <f t="shared" si="3"/>
        <v/>
      </c>
      <c r="N1568" s="5" t="str">
        <f t="shared" si="4"/>
        <v>Chartered Professional Accountants of Ontario (CPA Ontario)</v>
      </c>
      <c r="O1568" s="5" t="str">
        <f t="shared" si="5"/>
        <v>1 year 6 months in role and company</v>
      </c>
      <c r="P1568" s="5" t="str">
        <f t="shared" si="6"/>
        <v>Toronto</v>
      </c>
      <c r="Q1568" s="5" t="str">
        <f t="shared" si="7"/>
        <v>Ontario</v>
      </c>
      <c r="R1568" s="5" t="str">
        <f t="shared" si="8"/>
        <v>Canada</v>
      </c>
    </row>
    <row r="1569">
      <c r="A1569" s="8" t="s">
        <v>8679</v>
      </c>
      <c r="B1569" s="10" t="s">
        <v>8680</v>
      </c>
      <c r="C1569" s="10" t="s">
        <v>1378</v>
      </c>
      <c r="D1569" s="10"/>
      <c r="E1569" s="10" t="s">
        <v>1233</v>
      </c>
      <c r="F1569" s="10" t="s">
        <v>437</v>
      </c>
      <c r="G1569" s="11" t="s">
        <v>169</v>
      </c>
      <c r="H1569" s="11" t="s">
        <v>44</v>
      </c>
      <c r="I1569" s="11" t="s">
        <v>18</v>
      </c>
      <c r="J1569" s="9" t="str">
        <f>IFERROR(__xludf.DUMMYFUNCTION("""COMPUTED_VALUE"""),"https://www.google.com/search?newwindow=1&amp;ei=2MT0XrvGGM-vytMP1OyDgAY&amp;q=site%3Alinkedin.com+Tracy+Lutz+Senior+Campus+Recruiter,+Personal+&amp;+Business+Banking")</f>
        <v>https://www.google.com/search?newwindow=1&amp;ei=2MT0XrvGGM-vytMP1OyDgAY&amp;q=site%3Alinkedin.com+Tracy+Lutz+Senior+Campus+Recruiter,+Personal+&amp;+Business+Banking</v>
      </c>
      <c r="K1569" s="5" t="str">
        <f t="shared" si="1"/>
        <v>Tracy Lutz</v>
      </c>
      <c r="L1569" s="5" t="str">
        <f t="shared" si="2"/>
        <v>Senior Campus Recruiter, Personal &amp; Business Banking</v>
      </c>
      <c r="M1569" s="5" t="str">
        <f t="shared" si="3"/>
        <v/>
      </c>
      <c r="N1569" s="5" t="str">
        <f t="shared" si="4"/>
        <v>BMO Financial Group</v>
      </c>
      <c r="O1569" s="5" t="str">
        <f t="shared" si="5"/>
        <v>1 year  in role</v>
      </c>
      <c r="P1569" s="5" t="str">
        <f t="shared" si="6"/>
        <v>Toronto</v>
      </c>
      <c r="Q1569" s="5" t="str">
        <f t="shared" si="7"/>
        <v>Ontario</v>
      </c>
      <c r="R1569" s="5" t="str">
        <f t="shared" si="8"/>
        <v>Canada</v>
      </c>
    </row>
    <row r="1570">
      <c r="A1570" s="8" t="s">
        <v>8681</v>
      </c>
      <c r="B1570" s="10" t="s">
        <v>3083</v>
      </c>
      <c r="C1570" s="10" t="s">
        <v>3084</v>
      </c>
      <c r="D1570" s="10"/>
      <c r="E1570" s="10" t="s">
        <v>3055</v>
      </c>
      <c r="F1570" s="10" t="s">
        <v>890</v>
      </c>
      <c r="G1570" s="11" t="s">
        <v>169</v>
      </c>
      <c r="H1570" s="11" t="s">
        <v>44</v>
      </c>
      <c r="I1570" s="11" t="s">
        <v>18</v>
      </c>
      <c r="J1570" s="9" t="str">
        <f>IFERROR(__xludf.DUMMYFUNCTION("""COMPUTED_VALUE"""),"https://www.google.com/search?newwindow=1&amp;ei=2MT0XrvGGM-vytMP1OyDgAY&amp;q=site%3Alinkedin.com+Sean+Baker+Director,+Student+Recruitment+at+OCAD+University")</f>
        <v>https://www.google.com/search?newwindow=1&amp;ei=2MT0XrvGGM-vytMP1OyDgAY&amp;q=site%3Alinkedin.com+Sean+Baker+Director,+Student+Recruitment+at+OCAD+University</v>
      </c>
      <c r="K1570" s="5" t="str">
        <f t="shared" si="1"/>
        <v>Sean Baker</v>
      </c>
      <c r="L1570" s="5" t="str">
        <f t="shared" si="2"/>
        <v>Director, Student Recruitment at OCAD University</v>
      </c>
      <c r="M1570" s="5" t="str">
        <f t="shared" si="3"/>
        <v/>
      </c>
      <c r="N1570" s="5" t="str">
        <f t="shared" si="4"/>
        <v>OCAD University</v>
      </c>
      <c r="O1570" s="5" t="str">
        <f t="shared" si="5"/>
        <v>1 year 11 months in role</v>
      </c>
      <c r="P1570" s="5" t="str">
        <f t="shared" si="6"/>
        <v>Toronto</v>
      </c>
      <c r="Q1570" s="5" t="str">
        <f t="shared" si="7"/>
        <v>Ontario</v>
      </c>
      <c r="R1570" s="5" t="str">
        <f t="shared" si="8"/>
        <v>Canada</v>
      </c>
    </row>
    <row r="1571">
      <c r="A1571" s="8" t="s">
        <v>8682</v>
      </c>
      <c r="B1571" s="10" t="s">
        <v>1876</v>
      </c>
      <c r="C1571" s="10" t="s">
        <v>1877</v>
      </c>
      <c r="D1571" s="10"/>
      <c r="E1571" s="10" t="s">
        <v>4701</v>
      </c>
      <c r="F1571" s="10"/>
      <c r="G1571" s="11" t="s">
        <v>169</v>
      </c>
      <c r="H1571" s="11" t="s">
        <v>44</v>
      </c>
      <c r="I1571" s="11" t="s">
        <v>18</v>
      </c>
      <c r="J1571" s="9" t="str">
        <f>IFERROR(__xludf.DUMMYFUNCTION("""COMPUTED_VALUE"""),"https://www.google.com/search?newwindow=1&amp;ei=2MT0XrvGGM-vytMP1OyDgAY&amp;q=site%3Alinkedin.com+Katie+Flanagan+Junior+Campus+Recruiter")</f>
        <v>https://www.google.com/search?newwindow=1&amp;ei=2MT0XrvGGM-vytMP1OyDgAY&amp;q=site%3Alinkedin.com+Katie+Flanagan+Junior+Campus+Recruiter</v>
      </c>
      <c r="K1571" s="5" t="str">
        <f t="shared" si="1"/>
        <v>Katie Flanagan</v>
      </c>
      <c r="L1571" s="5" t="str">
        <f t="shared" si="2"/>
        <v>Junior Campus Recruiter</v>
      </c>
      <c r="M1571" s="5" t="str">
        <f t="shared" si="3"/>
        <v/>
      </c>
      <c r="N1571" s="5" t="str">
        <f t="shared" si="4"/>
        <v>BMO Financial Group</v>
      </c>
      <c r="O1571" s="5" t="str">
        <f t="shared" si="5"/>
        <v>9 months in role</v>
      </c>
      <c r="P1571" s="5" t="str">
        <f t="shared" si="6"/>
        <v>Toronto</v>
      </c>
      <c r="Q1571" s="5" t="str">
        <f t="shared" si="7"/>
        <v>Ontario</v>
      </c>
      <c r="R1571" s="5" t="str">
        <f t="shared" si="8"/>
        <v>Canada</v>
      </c>
    </row>
    <row r="1572">
      <c r="A1572" s="8" t="s">
        <v>8683</v>
      </c>
      <c r="B1572" s="10" t="s">
        <v>3524</v>
      </c>
      <c r="C1572" s="10" t="s">
        <v>3525</v>
      </c>
      <c r="D1572" s="10"/>
      <c r="E1572" s="10" t="s">
        <v>3510</v>
      </c>
      <c r="F1572" s="10" t="s">
        <v>585</v>
      </c>
      <c r="G1572" s="11" t="s">
        <v>169</v>
      </c>
      <c r="H1572" s="11" t="s">
        <v>44</v>
      </c>
      <c r="I1572" s="11" t="s">
        <v>18</v>
      </c>
      <c r="J1572" s="9" t="str">
        <f>IFERROR(__xludf.DUMMYFUNCTION("""COMPUTED_VALUE"""),"https://www.google.com/search?newwindow=1&amp;ei=2MT0XrvGGM-vytMP1OyDgAY&amp;q=site%3Alinkedin.com+Toronto+Forensic+Institute+TFCA+College+Recruiter")</f>
        <v>https://www.google.com/search?newwindow=1&amp;ei=2MT0XrvGGM-vytMP1OyDgAY&amp;q=site%3Alinkedin.com+Toronto+Forensic+Institute+TFCA+College+Recruiter</v>
      </c>
      <c r="K1572" s="5" t="str">
        <f t="shared" si="1"/>
        <v>Toronto Forensic Institute TFCA</v>
      </c>
      <c r="L1572" s="5" t="str">
        <f t="shared" si="2"/>
        <v>College Recruiter</v>
      </c>
      <c r="M1572" s="5" t="str">
        <f t="shared" si="3"/>
        <v/>
      </c>
      <c r="N1572" s="5" t="str">
        <f t="shared" si="4"/>
        <v>Toronto Forensic Institute</v>
      </c>
      <c r="O1572" s="5" t="str">
        <f t="shared" si="5"/>
        <v>11 months in role and company</v>
      </c>
      <c r="P1572" s="5" t="str">
        <f t="shared" si="6"/>
        <v>Toronto</v>
      </c>
      <c r="Q1572" s="5" t="str">
        <f t="shared" si="7"/>
        <v>Ontario</v>
      </c>
      <c r="R1572" s="5" t="str">
        <f t="shared" si="8"/>
        <v>Canada</v>
      </c>
    </row>
    <row r="1573">
      <c r="A1573" s="8" t="s">
        <v>8684</v>
      </c>
      <c r="B1573" s="12" t="s">
        <v>8685</v>
      </c>
      <c r="C1573" s="10" t="s">
        <v>4749</v>
      </c>
      <c r="D1573" s="10"/>
      <c r="E1573" s="10" t="s">
        <v>4701</v>
      </c>
      <c r="F1573" s="10" t="s">
        <v>648</v>
      </c>
      <c r="G1573" s="11" t="s">
        <v>169</v>
      </c>
      <c r="H1573" s="11" t="s">
        <v>44</v>
      </c>
      <c r="I1573" s="11" t="s">
        <v>18</v>
      </c>
      <c r="J1573" s="9" t="str">
        <f>IFERROR(__xludf.DUMMYFUNCTION("""COMPUTED_VALUE"""),"https://www.google.com/search?newwindow=1&amp;ei=2MT0XrvGGM-vytMP1OyDgAY&amp;q=site%3Alinkedin.com+Melissa+Gansham,+CPA,+CMA+Student+Recruiter")</f>
        <v>https://www.google.com/search?newwindow=1&amp;ei=2MT0XrvGGM-vytMP1OyDgAY&amp;q=site%3Alinkedin.com+Melissa+Gansham,+CPA,+CMA+Student+Recruiter</v>
      </c>
      <c r="K1573" s="5" t="str">
        <f t="shared" si="1"/>
        <v>Melissa Gansham, CPA, CMA</v>
      </c>
      <c r="L1573" s="5" t="str">
        <f t="shared" si="2"/>
        <v>Student Recruiter</v>
      </c>
      <c r="M1573" s="5" t="str">
        <f t="shared" si="3"/>
        <v/>
      </c>
      <c r="N1573" s="5" t="str">
        <f t="shared" si="4"/>
        <v>Chartered Professional Accountants of Ontario (CPA Ontario)</v>
      </c>
      <c r="O1573" s="5" t="str">
        <f t="shared" si="5"/>
        <v>5 years 1 month in role and company</v>
      </c>
      <c r="P1573" s="5" t="str">
        <f t="shared" si="6"/>
        <v>Toronto</v>
      </c>
      <c r="Q1573" s="5" t="str">
        <f t="shared" si="7"/>
        <v>Ontario</v>
      </c>
      <c r="R1573" s="5" t="str">
        <f t="shared" si="8"/>
        <v>Canada</v>
      </c>
    </row>
    <row r="1574">
      <c r="A1574" s="8" t="s">
        <v>8686</v>
      </c>
      <c r="B1574" s="10" t="s">
        <v>8687</v>
      </c>
      <c r="C1574" s="10" t="s">
        <v>4749</v>
      </c>
      <c r="D1574" s="10"/>
      <c r="E1574" s="10" t="s">
        <v>2839</v>
      </c>
      <c r="F1574" s="10"/>
      <c r="G1574" s="11" t="s">
        <v>8688</v>
      </c>
      <c r="H1574" s="11" t="s">
        <v>781</v>
      </c>
      <c r="I1574" s="11" t="s">
        <v>18</v>
      </c>
      <c r="J1574" s="9" t="str">
        <f>IFERROR(__xludf.DUMMYFUNCTION("""COMPUTED_VALUE"""),"https://www.google.com/search?newwindow=1&amp;ei=2MT0XrvGGM-vytMP1OyDgAY&amp;q=site%3Alinkedin.com+Michelle+Pearlman+Foy+Senior+Director,+Talent+Acquistion+-+Campus+Recruiting+and+Career+Programs")</f>
        <v>https://www.google.com/search?newwindow=1&amp;ei=2MT0XrvGGM-vytMP1OyDgAY&amp;q=site%3Alinkedin.com+Michelle+Pearlman+Foy+Senior+Director,+Talent+Acquistion+-+Campus+Recruiting+and+Career+Programs</v>
      </c>
      <c r="K1574" s="5" t="str">
        <f t="shared" si="1"/>
        <v>Michelle Pearlman Foy</v>
      </c>
      <c r="L1574" s="5" t="str">
        <f t="shared" si="2"/>
        <v>Senior Director, Talent Acquistion - Campus Recruiting and Career Programs</v>
      </c>
      <c r="M1574" s="5" t="str">
        <f t="shared" si="3"/>
        <v/>
      </c>
      <c r="N1574" s="5" t="str">
        <f t="shared" si="4"/>
        <v>CIBC</v>
      </c>
      <c r="O1574" s="5" t="str">
        <f t="shared" si="5"/>
        <v>1 year 9 months in role</v>
      </c>
      <c r="P1574" s="5" t="str">
        <f t="shared" si="6"/>
        <v>Toronto</v>
      </c>
      <c r="Q1574" s="5" t="str">
        <f t="shared" si="7"/>
        <v>Ontario</v>
      </c>
      <c r="R1574" s="5" t="str">
        <f t="shared" si="8"/>
        <v>Canada</v>
      </c>
    </row>
    <row r="1575">
      <c r="A1575" s="8" t="s">
        <v>8689</v>
      </c>
      <c r="B1575" s="10" t="s">
        <v>2964</v>
      </c>
      <c r="C1575" s="10" t="s">
        <v>2965</v>
      </c>
      <c r="D1575" s="10"/>
      <c r="E1575" s="10" t="s">
        <v>4659</v>
      </c>
      <c r="F1575" s="10" t="s">
        <v>345</v>
      </c>
      <c r="G1575" s="11" t="s">
        <v>2047</v>
      </c>
      <c r="H1575" s="11" t="s">
        <v>44</v>
      </c>
      <c r="I1575" s="11" t="s">
        <v>18</v>
      </c>
      <c r="J1575" s="9" t="str">
        <f>IFERROR(__xludf.DUMMYFUNCTION("""COMPUTED_VALUE"""),"https://www.google.com/search?newwindow=1&amp;ei=2MT0XrvGGM-vytMP1OyDgAY&amp;q=site%3Alinkedin.com+Alexandra+Famiglietti,+CHRL+National+Advisory+Campus+Recruiting+Leader")</f>
        <v>https://www.google.com/search?newwindow=1&amp;ei=2MT0XrvGGM-vytMP1OyDgAY&amp;q=site%3Alinkedin.com+Alexandra+Famiglietti,+CHRL+National+Advisory+Campus+Recruiting+Leader</v>
      </c>
      <c r="K1575" s="5" t="str">
        <f t="shared" si="1"/>
        <v>Alexandra Famiglietti, CHRL</v>
      </c>
      <c r="L1575" s="5" t="str">
        <f t="shared" si="2"/>
        <v>National Advisory Campus Recruiting Leader</v>
      </c>
      <c r="M1575" s="5" t="str">
        <f t="shared" si="3"/>
        <v/>
      </c>
      <c r="N1575" s="5" t="str">
        <f t="shared" si="4"/>
        <v>EY</v>
      </c>
      <c r="O1575" s="5" t="str">
        <f t="shared" si="5"/>
        <v>3 years 8 months in role</v>
      </c>
      <c r="P1575" s="5" t="str">
        <f t="shared" si="6"/>
        <v>Toronto</v>
      </c>
      <c r="Q1575" s="5" t="str">
        <f t="shared" si="7"/>
        <v>Ontario</v>
      </c>
      <c r="R1575" s="5" t="str">
        <f t="shared" si="8"/>
        <v>Canada</v>
      </c>
    </row>
    <row r="1576">
      <c r="A1576" s="8" t="s">
        <v>8690</v>
      </c>
      <c r="B1576" s="10" t="s">
        <v>8691</v>
      </c>
      <c r="C1576" s="10" t="s">
        <v>8692</v>
      </c>
      <c r="D1576" s="10"/>
      <c r="E1576" s="10" t="s">
        <v>8460</v>
      </c>
      <c r="F1576" s="10" t="s">
        <v>512</v>
      </c>
      <c r="G1576" s="11" t="s">
        <v>8693</v>
      </c>
      <c r="H1576" s="11" t="s">
        <v>7660</v>
      </c>
      <c r="I1576" s="11" t="s">
        <v>4600</v>
      </c>
      <c r="J1576" s="9" t="str">
        <f>IFERROR(__xludf.DUMMYFUNCTION("""COMPUTED_VALUE"""),"https://www.google.com/search?newwindow=1&amp;ei=2MT0XrvGGM-vytMP1OyDgAY&amp;q=site%3Alinkedin.com+Naomi+Carmichael+Campus+Recruiter")</f>
        <v>https://www.google.com/search?newwindow=1&amp;ei=2MT0XrvGGM-vytMP1OyDgAY&amp;q=site%3Alinkedin.com+Naomi+Carmichael+Campus+Recruiter</v>
      </c>
      <c r="K1576" s="5" t="str">
        <f t="shared" si="1"/>
        <v>Naomi Carmichael</v>
      </c>
      <c r="L1576" s="5" t="str">
        <f t="shared" si="2"/>
        <v>Campus Recruiter</v>
      </c>
      <c r="M1576" s="5" t="str">
        <f t="shared" si="3"/>
        <v/>
      </c>
      <c r="N1576" s="5" t="str">
        <f t="shared" si="4"/>
        <v>Accenture</v>
      </c>
      <c r="O1576" s="5" t="str">
        <f t="shared" si="5"/>
        <v>1 year 6 months in role and company</v>
      </c>
      <c r="P1576" s="5" t="str">
        <f t="shared" si="6"/>
        <v>Toronto</v>
      </c>
      <c r="Q1576" s="5" t="str">
        <f t="shared" si="7"/>
        <v>Ontario</v>
      </c>
      <c r="R1576" s="5" t="str">
        <f t="shared" si="8"/>
        <v>Canada</v>
      </c>
    </row>
    <row r="1577">
      <c r="A1577" s="8" t="s">
        <v>8690</v>
      </c>
      <c r="B1577" s="10" t="s">
        <v>8691</v>
      </c>
      <c r="C1577" s="10" t="s">
        <v>8692</v>
      </c>
      <c r="D1577" s="10"/>
      <c r="E1577" s="10" t="s">
        <v>8460</v>
      </c>
      <c r="F1577" s="10" t="s">
        <v>512</v>
      </c>
      <c r="G1577" s="11" t="s">
        <v>8693</v>
      </c>
      <c r="H1577" s="11" t="s">
        <v>7660</v>
      </c>
      <c r="I1577" s="11" t="s">
        <v>4600</v>
      </c>
      <c r="J1577" s="9" t="str">
        <f>IFERROR(__xludf.DUMMYFUNCTION("""COMPUTED_VALUE"""),"https://www.google.com/search?newwindow=1&amp;ei=2MT0XrvGGM-vytMP1OyDgAY&amp;q=site%3Alinkedin.com+Mayumi+Washizu+International+Student+Marketer+and+Recruiter+(Japanese+Market)")</f>
        <v>https://www.google.com/search?newwindow=1&amp;ei=2MT0XrvGGM-vytMP1OyDgAY&amp;q=site%3Alinkedin.com+Mayumi+Washizu+International+Student+Marketer+and+Recruiter+(Japanese+Market)</v>
      </c>
      <c r="K1577" s="5" t="str">
        <f t="shared" si="1"/>
        <v>Mayumi Washizu</v>
      </c>
      <c r="L1577" s="5" t="str">
        <f t="shared" si="2"/>
        <v>International Student Marketer and Recruiter (Japanese Market)</v>
      </c>
      <c r="M1577" s="5" t="str">
        <f t="shared" si="3"/>
        <v/>
      </c>
      <c r="N1577" s="5" t="str">
        <f t="shared" si="4"/>
        <v>Royal Canadian Institute of International Studies</v>
      </c>
      <c r="O1577" s="5" t="str">
        <f t="shared" si="5"/>
        <v>2 years 2 months in role and company</v>
      </c>
      <c r="P1577" s="5" t="str">
        <f t="shared" si="6"/>
        <v>Toronto</v>
      </c>
      <c r="Q1577" s="5" t="str">
        <f t="shared" si="7"/>
        <v>Ontario</v>
      </c>
      <c r="R1577" s="5" t="str">
        <f t="shared" si="8"/>
        <v>Canada</v>
      </c>
    </row>
    <row r="1578">
      <c r="A1578" s="8" t="s">
        <v>8694</v>
      </c>
      <c r="B1578" s="10" t="s">
        <v>8695</v>
      </c>
      <c r="C1578" s="10" t="s">
        <v>8696</v>
      </c>
      <c r="D1578" s="10"/>
      <c r="E1578" s="10" t="s">
        <v>5165</v>
      </c>
      <c r="F1578" s="10" t="s">
        <v>1718</v>
      </c>
      <c r="G1578" s="11" t="s">
        <v>8693</v>
      </c>
      <c r="H1578" s="11" t="s">
        <v>7660</v>
      </c>
      <c r="I1578" s="11" t="s">
        <v>4600</v>
      </c>
      <c r="J1578" s="9" t="str">
        <f>IFERROR(__xludf.DUMMYFUNCTION("""COMPUTED_VALUE"""),"https://www.google.com/search?newwindow=1&amp;ei=2MT0XrvGGM-vytMP1OyDgAY&amp;q=site%3Alinkedin.com+Alastair+Hobson+Student+Recruiter+-+Internationally+Educated+Professionals+(IEP)+-+Ontario")</f>
        <v>https://www.google.com/search?newwindow=1&amp;ei=2MT0XrvGGM-vytMP1OyDgAY&amp;q=site%3Alinkedin.com+Alastair+Hobson+Student+Recruiter+-+Internationally+Educated+Professionals+(IEP)+-+Ontario</v>
      </c>
      <c r="K1578" s="5" t="str">
        <f t="shared" si="1"/>
        <v>Alastair Hobson</v>
      </c>
      <c r="L1578" s="5" t="str">
        <f t="shared" si="2"/>
        <v>Student Recruiter - Internationally Educated Professionals (IEP) - Ontario</v>
      </c>
      <c r="M1578" s="5" t="str">
        <f t="shared" si="3"/>
        <v/>
      </c>
      <c r="N1578" s="5" t="str">
        <f t="shared" si="4"/>
        <v>Chartered Professional Accountants of Ontario (CPA Ontario)</v>
      </c>
      <c r="O1578" s="5" t="str">
        <f t="shared" si="5"/>
        <v>5 years 11 months in role</v>
      </c>
      <c r="P1578" s="5" t="str">
        <f t="shared" si="6"/>
        <v>Toronto</v>
      </c>
      <c r="Q1578" s="5" t="str">
        <f t="shared" si="7"/>
        <v>Ontario</v>
      </c>
      <c r="R1578" s="5" t="str">
        <f t="shared" si="8"/>
        <v>Canada</v>
      </c>
    </row>
    <row r="1579">
      <c r="A1579" s="8" t="s">
        <v>8697</v>
      </c>
      <c r="B1579" s="12" t="s">
        <v>8698</v>
      </c>
      <c r="C1579" s="10" t="s">
        <v>25</v>
      </c>
      <c r="D1579" s="10"/>
      <c r="E1579" s="10" t="s">
        <v>4701</v>
      </c>
      <c r="F1579" s="10" t="s">
        <v>1065</v>
      </c>
      <c r="G1579" s="11" t="s">
        <v>8693</v>
      </c>
      <c r="H1579" s="11" t="s">
        <v>7660</v>
      </c>
      <c r="I1579" s="11" t="s">
        <v>4600</v>
      </c>
      <c r="J1579" s="9" t="str">
        <f>IFERROR(__xludf.DUMMYFUNCTION("""COMPUTED_VALUE"""),"https://www.google.com/search?newwindow=1&amp;ei=2MT0XrvGGM-vytMP1OyDgAY&amp;q=site%3Alinkedin.com+Sydney+Sun,+BCom,+CHRL+Senior+Recruiter")</f>
        <v>https://www.google.com/search?newwindow=1&amp;ei=2MT0XrvGGM-vytMP1OyDgAY&amp;q=site%3Alinkedin.com+Sydney+Sun,+BCom,+CHRL+Senior+Recruiter</v>
      </c>
      <c r="K1579" s="5" t="str">
        <f t="shared" si="1"/>
        <v>Sydney Sun, BCom, CHRL</v>
      </c>
      <c r="L1579" s="5" t="str">
        <f t="shared" si="2"/>
        <v>Senior Recruiter</v>
      </c>
      <c r="M1579" s="5" t="str">
        <f t="shared" si="3"/>
        <v/>
      </c>
      <c r="N1579" s="5" t="str">
        <f t="shared" si="4"/>
        <v>The Coca-Cola Company</v>
      </c>
      <c r="O1579" s="5" t="str">
        <f t="shared" si="5"/>
        <v>2 years 3 months in role and company</v>
      </c>
      <c r="P1579" s="5" t="str">
        <f t="shared" si="6"/>
        <v>Toronto</v>
      </c>
      <c r="Q1579" s="5" t="str">
        <f t="shared" si="7"/>
        <v>Ontario</v>
      </c>
      <c r="R1579" s="5" t="str">
        <f t="shared" si="8"/>
        <v>Canada</v>
      </c>
    </row>
    <row r="1580">
      <c r="A1580" s="8" t="s">
        <v>8699</v>
      </c>
      <c r="B1580" s="10" t="s">
        <v>8700</v>
      </c>
      <c r="C1580" s="10" t="s">
        <v>8701</v>
      </c>
      <c r="D1580" s="10"/>
      <c r="E1580" s="10" t="s">
        <v>8460</v>
      </c>
      <c r="F1580" s="10" t="s">
        <v>188</v>
      </c>
      <c r="G1580" s="11" t="s">
        <v>8693</v>
      </c>
      <c r="H1580" s="11" t="s">
        <v>7660</v>
      </c>
      <c r="I1580" s="11" t="s">
        <v>4600</v>
      </c>
      <c r="J1580" s="9" t="str">
        <f>IFERROR(__xludf.DUMMYFUNCTION("""COMPUTED_VALUE"""),"https://www.google.com/search?newwindow=1&amp;ei=2MT0XrvGGM-vytMP1OyDgAY&amp;q=site%3Alinkedin.com+Angel+Luo+Recruitment+and+Operations+Coordinator")</f>
        <v>https://www.google.com/search?newwindow=1&amp;ei=2MT0XrvGGM-vytMP1OyDgAY&amp;q=site%3Alinkedin.com+Angel+Luo+Recruitment+and+Operations+Coordinator</v>
      </c>
      <c r="K1580" s="5" t="str">
        <f t="shared" si="1"/>
        <v>Angel Luo</v>
      </c>
      <c r="L1580" s="5" t="str">
        <f t="shared" si="2"/>
        <v>Recruitment and Operations Coordinator</v>
      </c>
      <c r="M1580" s="5" t="str">
        <f t="shared" si="3"/>
        <v/>
      </c>
      <c r="N1580" s="5" t="str">
        <f t="shared" si="4"/>
        <v>Chestwood Education</v>
      </c>
      <c r="O1580" s="5" t="str">
        <f t="shared" si="5"/>
        <v>8 months in role and company</v>
      </c>
      <c r="P1580" s="5" t="str">
        <f t="shared" si="6"/>
        <v>Toronto</v>
      </c>
      <c r="Q1580" s="5" t="str">
        <f t="shared" si="7"/>
        <v>Ontario</v>
      </c>
      <c r="R1580" s="5" t="str">
        <f t="shared" si="8"/>
        <v>Canada</v>
      </c>
    </row>
    <row r="1581">
      <c r="A1581" s="8" t="s">
        <v>8697</v>
      </c>
      <c r="B1581" s="12" t="s">
        <v>8698</v>
      </c>
      <c r="C1581" s="10" t="s">
        <v>25</v>
      </c>
      <c r="D1581" s="10"/>
      <c r="E1581" s="10" t="s">
        <v>4701</v>
      </c>
      <c r="F1581" s="10" t="s">
        <v>1065</v>
      </c>
      <c r="G1581" s="11" t="s">
        <v>8693</v>
      </c>
      <c r="H1581" s="11" t="s">
        <v>7660</v>
      </c>
      <c r="I1581" s="11" t="s">
        <v>4600</v>
      </c>
      <c r="J1581" s="9" t="str">
        <f>IFERROR(__xludf.DUMMYFUNCTION("""COMPUTED_VALUE"""),"https://www.google.com/search?newwindow=1&amp;ei=2MT0XrvGGM-vytMP1OyDgAY&amp;q=site%3Alinkedin.com+shalini+reddy+HRM+student+at+York+University")</f>
        <v>https://www.google.com/search?newwindow=1&amp;ei=2MT0XrvGGM-vytMP1OyDgAY&amp;q=site%3Alinkedin.com+shalini+reddy+HRM+student+at+York+University</v>
      </c>
      <c r="K1581" s="5" t="str">
        <f t="shared" si="1"/>
        <v>shalini reddy</v>
      </c>
      <c r="L1581" s="5" t="str">
        <f t="shared" si="2"/>
        <v>HRM student at York University</v>
      </c>
      <c r="M1581" s="5" t="str">
        <f t="shared" si="3"/>
        <v/>
      </c>
      <c r="N1581" s="5" t="str">
        <f t="shared" si="4"/>
        <v>York University</v>
      </c>
      <c r="O1581" s="5" t="str">
        <f t="shared" si="5"/>
        <v>2 months in role and company</v>
      </c>
      <c r="P1581" s="5" t="str">
        <f t="shared" si="6"/>
        <v>Toronto</v>
      </c>
      <c r="Q1581" s="5" t="str">
        <f t="shared" si="7"/>
        <v>Ontario</v>
      </c>
      <c r="R1581" s="5" t="str">
        <f t="shared" si="8"/>
        <v>Canada</v>
      </c>
    </row>
    <row r="1582">
      <c r="A1582" s="8" t="s">
        <v>8699</v>
      </c>
      <c r="B1582" s="10" t="s">
        <v>8700</v>
      </c>
      <c r="C1582" s="10" t="s">
        <v>8701</v>
      </c>
      <c r="D1582" s="10"/>
      <c r="E1582" s="10" t="s">
        <v>8460</v>
      </c>
      <c r="F1582" s="10" t="s">
        <v>188</v>
      </c>
      <c r="G1582" s="11" t="s">
        <v>8693</v>
      </c>
      <c r="H1582" s="11" t="s">
        <v>7660</v>
      </c>
      <c r="I1582" s="11" t="s">
        <v>4600</v>
      </c>
      <c r="J1582" s="9" t="str">
        <f>IFERROR(__xludf.DUMMYFUNCTION("""COMPUTED_VALUE"""),"https://www.google.com/search?newwindow=1&amp;ei=2MT0XrvGGM-vytMP1OyDgAY&amp;q=site%3Alinkedin.com+AOL+Toronto+International+Student+Recruiter")</f>
        <v>https://www.google.com/search?newwindow=1&amp;ei=2MT0XrvGGM-vytMP1OyDgAY&amp;q=site%3Alinkedin.com+AOL+Toronto+International+Student+Recruiter</v>
      </c>
      <c r="K1582" s="5" t="str">
        <f t="shared" si="1"/>
        <v>AOL Toronto</v>
      </c>
      <c r="L1582" s="5" t="str">
        <f t="shared" si="2"/>
        <v>International Student Recruiter</v>
      </c>
      <c r="M1582" s="5" t="str">
        <f t="shared" si="3"/>
        <v/>
      </c>
      <c r="N1582" s="5" t="str">
        <f t="shared" si="4"/>
        <v>Academy of Learning College Bay / Bloor Campus</v>
      </c>
      <c r="O1582" s="5" t="str">
        <f t="shared" si="5"/>
        <v/>
      </c>
      <c r="P1582" s="5" t="str">
        <f t="shared" si="6"/>
        <v>Toronto</v>
      </c>
      <c r="Q1582" s="5" t="str">
        <f t="shared" si="7"/>
        <v>Ontario</v>
      </c>
      <c r="R1582" s="5" t="str">
        <f t="shared" si="8"/>
        <v>Canada</v>
      </c>
    </row>
    <row r="1583">
      <c r="A1583" s="8" t="s">
        <v>8702</v>
      </c>
      <c r="B1583" s="10" t="s">
        <v>8703</v>
      </c>
      <c r="C1583" s="10" t="s">
        <v>4596</v>
      </c>
      <c r="D1583" s="10"/>
      <c r="E1583" s="10" t="s">
        <v>8704</v>
      </c>
      <c r="F1583" s="10" t="s">
        <v>8705</v>
      </c>
      <c r="G1583" s="11" t="s">
        <v>8706</v>
      </c>
      <c r="H1583" s="11" t="s">
        <v>4638</v>
      </c>
      <c r="I1583" s="11" t="s">
        <v>4600</v>
      </c>
      <c r="J1583" s="9" t="str">
        <f>IFERROR(__xludf.DUMMYFUNCTION("""COMPUTED_VALUE"""),"https://www.google.com/search?newwindow=1&amp;ei=2MT0XrvGGM-vytMP1OyDgAY&amp;q=site%3Alinkedin.com+Shiva+Vaghei+Recruitment+and+Admissions+Officer")</f>
        <v>https://www.google.com/search?newwindow=1&amp;ei=2MT0XrvGGM-vytMP1OyDgAY&amp;q=site%3Alinkedin.com+Shiva+Vaghei+Recruitment+and+Admissions+Officer</v>
      </c>
      <c r="K1583" s="5" t="str">
        <f t="shared" si="1"/>
        <v>Shiva Vaghei</v>
      </c>
      <c r="L1583" s="5" t="str">
        <f t="shared" si="2"/>
        <v>Recruitment and Admissions Officer</v>
      </c>
      <c r="M1583" s="5" t="str">
        <f t="shared" si="3"/>
        <v/>
      </c>
      <c r="N1583" s="5" t="str">
        <f t="shared" si="4"/>
        <v>University of Toronto</v>
      </c>
      <c r="O1583" s="5" t="str">
        <f t="shared" si="5"/>
        <v>1 year 2 months in role and company</v>
      </c>
      <c r="P1583" s="5" t="str">
        <f t="shared" si="6"/>
        <v>Toronto</v>
      </c>
      <c r="Q1583" s="5" t="str">
        <f t="shared" si="7"/>
        <v>Ontario</v>
      </c>
      <c r="R1583" s="5" t="str">
        <f t="shared" si="8"/>
        <v>Canada</v>
      </c>
    </row>
    <row r="1584">
      <c r="A1584" s="8" t="s">
        <v>8702</v>
      </c>
      <c r="B1584" s="10" t="s">
        <v>8703</v>
      </c>
      <c r="C1584" s="10" t="s">
        <v>4596</v>
      </c>
      <c r="D1584" s="10"/>
      <c r="E1584" s="10" t="s">
        <v>8704</v>
      </c>
      <c r="F1584" s="10" t="s">
        <v>8705</v>
      </c>
      <c r="G1584" s="11" t="s">
        <v>8706</v>
      </c>
      <c r="H1584" s="11" t="s">
        <v>4638</v>
      </c>
      <c r="I1584" s="11" t="s">
        <v>4600</v>
      </c>
      <c r="J1584" s="9" t="str">
        <f>IFERROR(__xludf.DUMMYFUNCTION("""COMPUTED_VALUE"""),"https://www.google.com/search?newwindow=1&amp;ei=2MT0XrvGGM-vytMP1OyDgAY&amp;q=site%3Alinkedin.com+Sarah+Batley+Recreation+and+Student+Engagement+Coordinator")</f>
        <v>https://www.google.com/search?newwindow=1&amp;ei=2MT0XrvGGM-vytMP1OyDgAY&amp;q=site%3Alinkedin.com+Sarah+Batley+Recreation+and+Student+Engagement+Coordinator</v>
      </c>
      <c r="K1584" s="5" t="str">
        <f t="shared" si="1"/>
        <v>Sarah Batley</v>
      </c>
      <c r="L1584" s="5" t="str">
        <f t="shared" si="2"/>
        <v>Recreation and Student Engagement Coordinator</v>
      </c>
      <c r="M1584" s="5" t="str">
        <f t="shared" si="3"/>
        <v/>
      </c>
      <c r="N1584" s="5" t="str">
        <f t="shared" si="4"/>
        <v>Mohawk College</v>
      </c>
      <c r="O1584" s="5" t="str">
        <f t="shared" si="5"/>
        <v>7 months in role and company</v>
      </c>
      <c r="P1584" s="5" t="str">
        <f t="shared" si="6"/>
        <v>Toronto</v>
      </c>
      <c r="Q1584" s="5" t="str">
        <f t="shared" si="7"/>
        <v>Ontario</v>
      </c>
      <c r="R1584" s="5" t="str">
        <f t="shared" si="8"/>
        <v>Canada</v>
      </c>
    </row>
    <row r="1585">
      <c r="A1585" s="8" t="s">
        <v>8707</v>
      </c>
      <c r="B1585" s="10" t="s">
        <v>8708</v>
      </c>
      <c r="C1585" s="10" t="s">
        <v>8709</v>
      </c>
      <c r="D1585" s="10"/>
      <c r="E1585" s="10" t="s">
        <v>4016</v>
      </c>
      <c r="F1585" s="10" t="s">
        <v>36</v>
      </c>
      <c r="G1585" s="11" t="s">
        <v>8710</v>
      </c>
      <c r="H1585" s="11" t="s">
        <v>137</v>
      </c>
      <c r="I1585" s="11" t="s">
        <v>18</v>
      </c>
      <c r="J1585" s="9" t="str">
        <f>IFERROR(__xludf.DUMMYFUNCTION("""COMPUTED_VALUE"""),"https://www.google.com/search?newwindow=1&amp;ei=2MT0XrvGGM-vytMP1OyDgAY&amp;q=site%3Alinkedin.com+Yann+Breka+Student+recruiter")</f>
        <v>https://www.google.com/search?newwindow=1&amp;ei=2MT0XrvGGM-vytMP1OyDgAY&amp;q=site%3Alinkedin.com+Yann+Breka+Student+recruiter</v>
      </c>
      <c r="K1585" s="5" t="str">
        <f t="shared" si="1"/>
        <v>Yann Breka</v>
      </c>
      <c r="L1585" s="5" t="str">
        <f t="shared" si="2"/>
        <v>Student recruiter</v>
      </c>
      <c r="M1585" s="5" t="str">
        <f t="shared" si="3"/>
        <v/>
      </c>
      <c r="N1585" s="5" t="str">
        <f t="shared" si="4"/>
        <v>The Great Lakes college of Toronto</v>
      </c>
      <c r="O1585" s="5" t="str">
        <f t="shared" si="5"/>
        <v>12 years 10 months in role and company</v>
      </c>
      <c r="P1585" s="5" t="str">
        <f t="shared" si="6"/>
        <v>Toronto</v>
      </c>
      <c r="Q1585" s="5" t="str">
        <f t="shared" si="7"/>
        <v>Ontario</v>
      </c>
      <c r="R1585" s="5" t="str">
        <f t="shared" si="8"/>
        <v>Canada</v>
      </c>
    </row>
    <row r="1586">
      <c r="A1586" s="8" t="s">
        <v>8711</v>
      </c>
      <c r="B1586" s="10" t="s">
        <v>1377</v>
      </c>
      <c r="C1586" s="10" t="s">
        <v>1378</v>
      </c>
      <c r="D1586" s="10"/>
      <c r="E1586" s="10" t="s">
        <v>1233</v>
      </c>
      <c r="F1586" s="10" t="s">
        <v>651</v>
      </c>
      <c r="G1586" s="11" t="s">
        <v>1379</v>
      </c>
      <c r="H1586" s="11" t="s">
        <v>224</v>
      </c>
      <c r="I1586" s="11" t="s">
        <v>18</v>
      </c>
      <c r="J1586" s="9" t="str">
        <f>IFERROR(__xludf.DUMMYFUNCTION("""COMPUTED_VALUE"""),"https://www.google.com/search?newwindow=1&amp;ei=2MT0XrvGGM-vytMP1OyDgAY&amp;q=site%3Alinkedin.com+Damon+McLean+Student+Recruiter")</f>
        <v>https://www.google.com/search?newwindow=1&amp;ei=2MT0XrvGGM-vytMP1OyDgAY&amp;q=site%3Alinkedin.com+Damon+McLean+Student+Recruiter</v>
      </c>
      <c r="K1586" s="5" t="str">
        <f t="shared" si="1"/>
        <v>Damon McLean</v>
      </c>
      <c r="L1586" s="5" t="str">
        <f t="shared" si="2"/>
        <v>Student Recruiter</v>
      </c>
      <c r="M1586" s="5" t="str">
        <f t="shared" si="3"/>
        <v/>
      </c>
      <c r="N1586" s="5" t="str">
        <f t="shared" si="4"/>
        <v>George Brown College</v>
      </c>
      <c r="O1586" s="5" t="str">
        <f t="shared" si="5"/>
        <v>4 years 3 months in role and company</v>
      </c>
      <c r="P1586" s="5" t="str">
        <f t="shared" si="6"/>
        <v>Toronto</v>
      </c>
      <c r="Q1586" s="5" t="str">
        <f t="shared" si="7"/>
        <v>Ontario</v>
      </c>
      <c r="R1586" s="5" t="str">
        <f t="shared" si="8"/>
        <v>Canada</v>
      </c>
    </row>
    <row r="1587">
      <c r="A1587" s="8" t="s">
        <v>8712</v>
      </c>
      <c r="B1587" s="10" t="s">
        <v>2967</v>
      </c>
      <c r="C1587" s="10" t="s">
        <v>371</v>
      </c>
      <c r="D1587" s="10"/>
      <c r="E1587" s="10" t="s">
        <v>4659</v>
      </c>
      <c r="F1587" s="10" t="s">
        <v>121</v>
      </c>
      <c r="G1587" s="11" t="s">
        <v>311</v>
      </c>
      <c r="H1587" s="11" t="s">
        <v>102</v>
      </c>
      <c r="I1587" s="11" t="s">
        <v>18</v>
      </c>
      <c r="J1587" s="9" t="str">
        <f>IFERROR(__xludf.DUMMYFUNCTION("""COMPUTED_VALUE"""),"https://www.google.com/search?newwindow=1&amp;ei=2MT0XrvGGM-vytMP1OyDgAY&amp;q=site%3Alinkedin.com+Seher+Qureshi+Director+of+Events+-+Wilfrid+Laurier+University+Chapter")</f>
        <v>https://www.google.com/search?newwindow=1&amp;ei=2MT0XrvGGM-vytMP1OyDgAY&amp;q=site%3Alinkedin.com+Seher+Qureshi+Director+of+Events+-+Wilfrid+Laurier+University+Chapter</v>
      </c>
      <c r="K1587" s="5" t="str">
        <f t="shared" si="1"/>
        <v>Seher Qureshi</v>
      </c>
      <c r="L1587" s="5" t="str">
        <f t="shared" si="2"/>
        <v>Director of Events - Wilfrid Laurier University Chapter</v>
      </c>
      <c r="M1587" s="5" t="str">
        <f t="shared" si="3"/>
        <v/>
      </c>
      <c r="N1587" s="5" t="str">
        <f t="shared" si="4"/>
        <v>The Citizens Foundation</v>
      </c>
      <c r="O1587" s="5" t="str">
        <f t="shared" si="5"/>
        <v>1 month in role and company</v>
      </c>
      <c r="P1587" s="5" t="str">
        <f t="shared" si="6"/>
        <v>Toronto</v>
      </c>
      <c r="Q1587" s="5" t="str">
        <f t="shared" si="7"/>
        <v>Ontario</v>
      </c>
      <c r="R1587" s="5" t="str">
        <f t="shared" si="8"/>
        <v>Canada</v>
      </c>
    </row>
    <row r="1588">
      <c r="A1588" s="8" t="s">
        <v>8713</v>
      </c>
      <c r="B1588" s="10" t="s">
        <v>8714</v>
      </c>
      <c r="C1588" s="10" t="s">
        <v>4709</v>
      </c>
      <c r="D1588" s="10"/>
      <c r="E1588" s="10" t="s">
        <v>1233</v>
      </c>
      <c r="F1588" s="10" t="s">
        <v>192</v>
      </c>
      <c r="G1588" s="11" t="s">
        <v>311</v>
      </c>
      <c r="H1588" s="11" t="s">
        <v>102</v>
      </c>
      <c r="I1588" s="11" t="s">
        <v>18</v>
      </c>
      <c r="J1588" s="9" t="str">
        <f>IFERROR(__xludf.DUMMYFUNCTION("""COMPUTED_VALUE"""),"https://www.google.com/search?newwindow=1&amp;ei=2MT0XrvGGM-vytMP1OyDgAY&amp;q=site%3Alinkedin.com+Andreea+Cotcaru+Campus+Recruiter")</f>
        <v>https://www.google.com/search?newwindow=1&amp;ei=2MT0XrvGGM-vytMP1OyDgAY&amp;q=site%3Alinkedin.com+Andreea+Cotcaru+Campus+Recruiter</v>
      </c>
      <c r="K1588" s="5" t="str">
        <f t="shared" si="1"/>
        <v>Andreea Cotcaru</v>
      </c>
      <c r="L1588" s="5" t="str">
        <f t="shared" si="2"/>
        <v>Campus Recruiter</v>
      </c>
      <c r="M1588" s="5" t="str">
        <f t="shared" si="3"/>
        <v/>
      </c>
      <c r="N1588" s="5" t="str">
        <f t="shared" si="4"/>
        <v>Oracle</v>
      </c>
      <c r="O1588" s="5" t="str">
        <f t="shared" si="5"/>
        <v>1 year 9 months in role and company</v>
      </c>
      <c r="P1588" s="5" t="str">
        <f t="shared" si="6"/>
        <v>Toronto</v>
      </c>
      <c r="Q1588" s="5" t="str">
        <f t="shared" si="7"/>
        <v>Ontario</v>
      </c>
      <c r="R1588" s="5" t="str">
        <f t="shared" si="8"/>
        <v>Canada</v>
      </c>
    </row>
    <row r="1589">
      <c r="A1589" s="8" t="s">
        <v>8715</v>
      </c>
      <c r="B1589" s="10" t="s">
        <v>8716</v>
      </c>
      <c r="C1589" s="10" t="s">
        <v>4771</v>
      </c>
      <c r="D1589" s="10"/>
      <c r="E1589" s="10" t="s">
        <v>227</v>
      </c>
      <c r="F1589" s="10" t="s">
        <v>339</v>
      </c>
      <c r="G1589" s="11" t="s">
        <v>311</v>
      </c>
      <c r="H1589" s="11" t="s">
        <v>102</v>
      </c>
      <c r="I1589" s="11" t="s">
        <v>18</v>
      </c>
      <c r="J1589" s="9" t="str">
        <f>IFERROR(__xludf.DUMMYFUNCTION("""COMPUTED_VALUE"""),"https://www.google.com/search?newwindow=1&amp;ei=2MT0XrvGGM-vytMP1OyDgAY&amp;q=site%3Alinkedin.com+Gloria+Ma+Campus+Recruiter")</f>
        <v>https://www.google.com/search?newwindow=1&amp;ei=2MT0XrvGGM-vytMP1OyDgAY&amp;q=site%3Alinkedin.com+Gloria+Ma+Campus+Recruiter</v>
      </c>
      <c r="K1589" s="5" t="str">
        <f t="shared" si="1"/>
        <v>Gloria Ma</v>
      </c>
      <c r="L1589" s="5" t="str">
        <f t="shared" si="2"/>
        <v>Campus Recruiter</v>
      </c>
      <c r="M1589" s="5" t="str">
        <f t="shared" si="3"/>
        <v/>
      </c>
      <c r="N1589" s="5" t="str">
        <f t="shared" si="4"/>
        <v>PwC Mainland China and Hong Kong</v>
      </c>
      <c r="O1589" s="5" t="str">
        <f t="shared" si="5"/>
        <v>2 months in role and company</v>
      </c>
      <c r="P1589" s="5" t="str">
        <f t="shared" si="6"/>
        <v>Toronto</v>
      </c>
      <c r="Q1589" s="5" t="str">
        <f t="shared" si="7"/>
        <v>Ontario</v>
      </c>
      <c r="R1589" s="5" t="str">
        <f t="shared" si="8"/>
        <v>Canada</v>
      </c>
    </row>
    <row r="1590">
      <c r="A1590" s="8" t="s">
        <v>8717</v>
      </c>
      <c r="B1590" s="12" t="s">
        <v>3305</v>
      </c>
      <c r="C1590" s="10" t="s">
        <v>3306</v>
      </c>
      <c r="D1590" s="10"/>
      <c r="E1590" s="10" t="s">
        <v>3208</v>
      </c>
      <c r="F1590" s="10" t="s">
        <v>233</v>
      </c>
      <c r="G1590" s="11" t="s">
        <v>311</v>
      </c>
      <c r="H1590" s="11" t="s">
        <v>102</v>
      </c>
      <c r="I1590" s="11" t="s">
        <v>18</v>
      </c>
      <c r="J1590" s="9" t="str">
        <f>IFERROR(__xludf.DUMMYFUNCTION("""COMPUTED_VALUE"""),"https://www.google.com/search?newwindow=1&amp;ei=2MT0XrvGGM-vytMP1OyDgAY&amp;q=site%3Alinkedin.com+Gesilene+Carvalho+International+Student+Recruiter+Specialist")</f>
        <v>https://www.google.com/search?newwindow=1&amp;ei=2MT0XrvGGM-vytMP1OyDgAY&amp;q=site%3Alinkedin.com+Gesilene+Carvalho+International+Student+Recruiter+Specialist</v>
      </c>
      <c r="K1590" s="5" t="str">
        <f t="shared" si="1"/>
        <v>Gesilene Carvalho</v>
      </c>
      <c r="L1590" s="5" t="str">
        <f t="shared" si="2"/>
        <v>International Student Recruiter Specialist</v>
      </c>
      <c r="M1590" s="5" t="str">
        <f t="shared" si="3"/>
        <v/>
      </c>
      <c r="N1590" s="5" t="str">
        <f t="shared" si="4"/>
        <v>Hanson Canada</v>
      </c>
      <c r="O1590" s="5" t="str">
        <f t="shared" si="5"/>
        <v>1 year 9 months in role and company</v>
      </c>
      <c r="P1590" s="5" t="str">
        <f t="shared" si="6"/>
        <v>Toronto</v>
      </c>
      <c r="Q1590" s="5" t="str">
        <f t="shared" si="7"/>
        <v>Ontario</v>
      </c>
      <c r="R1590" s="5" t="str">
        <f t="shared" si="8"/>
        <v>Canada</v>
      </c>
    </row>
    <row r="1591">
      <c r="A1591" s="8" t="s">
        <v>8718</v>
      </c>
      <c r="B1591" s="10" t="s">
        <v>8719</v>
      </c>
      <c r="C1591" s="10" t="s">
        <v>8720</v>
      </c>
      <c r="D1591" s="10"/>
      <c r="E1591" s="10" t="s">
        <v>227</v>
      </c>
      <c r="F1591" s="10" t="s">
        <v>100</v>
      </c>
      <c r="G1591" s="11" t="s">
        <v>311</v>
      </c>
      <c r="H1591" s="11" t="s">
        <v>102</v>
      </c>
      <c r="I1591" s="11" t="s">
        <v>18</v>
      </c>
      <c r="J1591" s="9" t="str">
        <f>IFERROR(__xludf.DUMMYFUNCTION("""COMPUTED_VALUE"""),"https://www.google.com/search?newwindow=1&amp;ei=2MT0XrvGGM-vytMP1OyDgAY&amp;q=site%3Alinkedin.com+Karla+Castillo+Assistant+Recruiter")</f>
        <v>https://www.google.com/search?newwindow=1&amp;ei=2MT0XrvGGM-vytMP1OyDgAY&amp;q=site%3Alinkedin.com+Karla+Castillo+Assistant+Recruiter</v>
      </c>
      <c r="K1591" s="5" t="str">
        <f t="shared" si="1"/>
        <v>Karla Castillo</v>
      </c>
      <c r="L1591" s="5" t="str">
        <f t="shared" si="2"/>
        <v>Assistant Recruiter</v>
      </c>
      <c r="M1591" s="5" t="str">
        <f t="shared" si="3"/>
        <v/>
      </c>
      <c r="N1591" s="5" t="str">
        <f t="shared" si="4"/>
        <v>The Orbis Inc.</v>
      </c>
      <c r="O1591" s="5" t="str">
        <f t="shared" si="5"/>
        <v>5 months in role and company</v>
      </c>
      <c r="P1591" s="5" t="str">
        <f t="shared" si="6"/>
        <v>Toronto</v>
      </c>
      <c r="Q1591" s="5" t="str">
        <f t="shared" si="7"/>
        <v>Ontario</v>
      </c>
      <c r="R1591" s="5" t="str">
        <f t="shared" si="8"/>
        <v>Canada</v>
      </c>
    </row>
    <row r="1592">
      <c r="A1592" s="8" t="s">
        <v>8721</v>
      </c>
      <c r="B1592" s="10" t="s">
        <v>8722</v>
      </c>
      <c r="C1592" s="10" t="s">
        <v>8723</v>
      </c>
      <c r="D1592" s="10"/>
      <c r="E1592" s="10" t="s">
        <v>227</v>
      </c>
      <c r="F1592" s="10" t="s">
        <v>192</v>
      </c>
      <c r="G1592" s="11" t="s">
        <v>311</v>
      </c>
      <c r="H1592" s="11" t="s">
        <v>102</v>
      </c>
      <c r="I1592" s="11" t="s">
        <v>18</v>
      </c>
      <c r="J1592" s="9" t="str">
        <f>IFERROR(__xludf.DUMMYFUNCTION("""COMPUTED_VALUE"""),"https://www.google.com/search?newwindow=1&amp;ei=2MT0XrvGGM-vytMP1OyDgAY&amp;q=site%3Alinkedin.com+Ted+Lee+Manager,+Senior+Guidance+Counsellor+/+Student+Recruiter")</f>
        <v>https://www.google.com/search?newwindow=1&amp;ei=2MT0XrvGGM-vytMP1OyDgAY&amp;q=site%3Alinkedin.com+Ted+Lee+Manager,+Senior+Guidance+Counsellor+/+Student+Recruiter</v>
      </c>
      <c r="K1592" s="5" t="str">
        <f t="shared" si="1"/>
        <v>Ted Lee</v>
      </c>
      <c r="L1592" s="5" t="str">
        <f t="shared" si="2"/>
        <v>Manager, Senior Guidance Counsellor / Student Recruiter</v>
      </c>
      <c r="M1592" s="5" t="str">
        <f t="shared" si="3"/>
        <v/>
      </c>
      <c r="N1592" s="5" t="str">
        <f t="shared" si="4"/>
        <v>Birmingham International College of Canada (BICC)</v>
      </c>
      <c r="O1592" s="5" t="str">
        <f t="shared" si="5"/>
        <v>8 years 9 months in role and company</v>
      </c>
      <c r="P1592" s="5" t="str">
        <f t="shared" si="6"/>
        <v>Toronto</v>
      </c>
      <c r="Q1592" s="5" t="str">
        <f t="shared" si="7"/>
        <v>Ontario</v>
      </c>
      <c r="R1592" s="5" t="str">
        <f t="shared" si="8"/>
        <v>Canada</v>
      </c>
    </row>
    <row r="1593">
      <c r="A1593" s="8" t="s">
        <v>8724</v>
      </c>
      <c r="B1593" s="10" t="s">
        <v>8725</v>
      </c>
      <c r="C1593" s="10" t="s">
        <v>4771</v>
      </c>
      <c r="D1593" s="10"/>
      <c r="E1593" s="10" t="s">
        <v>227</v>
      </c>
      <c r="F1593" s="10" t="s">
        <v>188</v>
      </c>
      <c r="G1593" s="11" t="s">
        <v>311</v>
      </c>
      <c r="H1593" s="11" t="s">
        <v>102</v>
      </c>
      <c r="I1593" s="11" t="s">
        <v>18</v>
      </c>
      <c r="J1593" s="9" t="str">
        <f>IFERROR(__xludf.DUMMYFUNCTION("""COMPUTED_VALUE"""),"https://www.google.com/search?newwindow=1&amp;ei=2MT0XrvGGM-vytMP1OyDgAY&amp;q=site%3Alinkedin.com+Sabrina+Notarangelo+Swinden+Campus+Recruiter")</f>
        <v>https://www.google.com/search?newwindow=1&amp;ei=2MT0XrvGGM-vytMP1OyDgAY&amp;q=site%3Alinkedin.com+Sabrina+Notarangelo+Swinden+Campus+Recruiter</v>
      </c>
      <c r="K1593" s="5" t="str">
        <f t="shared" si="1"/>
        <v>Sabrina Notarangelo Swinden</v>
      </c>
      <c r="L1593" s="5" t="str">
        <f t="shared" si="2"/>
        <v>Campus Recruiter</v>
      </c>
      <c r="M1593" s="5" t="str">
        <f t="shared" si="3"/>
        <v/>
      </c>
      <c r="N1593" s="5" t="str">
        <f t="shared" si="4"/>
        <v>EY</v>
      </c>
      <c r="O1593" s="5" t="str">
        <f t="shared" si="5"/>
        <v>3 years 5 months in role and company</v>
      </c>
      <c r="P1593" s="5" t="str">
        <f t="shared" si="6"/>
        <v>Toronto</v>
      </c>
      <c r="Q1593" s="5" t="str">
        <f t="shared" si="7"/>
        <v>Ontario</v>
      </c>
      <c r="R1593" s="5" t="str">
        <f t="shared" si="8"/>
        <v>Canada</v>
      </c>
    </row>
    <row r="1594">
      <c r="A1594" s="8" t="s">
        <v>8726</v>
      </c>
      <c r="B1594" s="10" t="s">
        <v>8727</v>
      </c>
      <c r="C1594" s="10" t="s">
        <v>4771</v>
      </c>
      <c r="D1594" s="10"/>
      <c r="E1594" s="10" t="s">
        <v>227</v>
      </c>
      <c r="F1594" s="10" t="s">
        <v>188</v>
      </c>
      <c r="G1594" s="11" t="s">
        <v>311</v>
      </c>
      <c r="H1594" s="11" t="s">
        <v>102</v>
      </c>
      <c r="I1594" s="11" t="s">
        <v>18</v>
      </c>
      <c r="J1594" s="9" t="str">
        <f>IFERROR(__xludf.DUMMYFUNCTION("""COMPUTED_VALUE"""),"https://www.google.com/search?newwindow=1&amp;ei=2MT0XrvGGM-vytMP1OyDgAY&amp;q=site%3Alinkedin.com+Noureddin+Lahham+Business+Developer+-+Student+recruiter+-+Immigration+advisor")</f>
        <v>https://www.google.com/search?newwindow=1&amp;ei=2MT0XrvGGM-vytMP1OyDgAY&amp;q=site%3Alinkedin.com+Noureddin+Lahham+Business+Developer+-+Student+recruiter+-+Immigration+advisor</v>
      </c>
      <c r="K1594" s="5" t="str">
        <f t="shared" si="1"/>
        <v>Noureddin Lahham</v>
      </c>
      <c r="L1594" s="5" t="str">
        <f t="shared" si="2"/>
        <v>Business Developer - Student recruiter - Immigration advisor</v>
      </c>
      <c r="M1594" s="5" t="str">
        <f t="shared" si="3"/>
        <v/>
      </c>
      <c r="N1594" s="5" t="str">
        <f t="shared" si="4"/>
        <v>www.lahham.biz</v>
      </c>
      <c r="O1594" s="5" t="str">
        <f t="shared" si="5"/>
        <v>9 years 10 months in role and company</v>
      </c>
      <c r="P1594" s="5" t="str">
        <f t="shared" si="6"/>
        <v>Toronto</v>
      </c>
      <c r="Q1594" s="5" t="str">
        <f t="shared" si="7"/>
        <v>Ontario</v>
      </c>
      <c r="R1594" s="5" t="str">
        <f t="shared" si="8"/>
        <v>Canada</v>
      </c>
    </row>
    <row r="1595">
      <c r="A1595" s="8" t="s">
        <v>8728</v>
      </c>
      <c r="B1595" s="10" t="s">
        <v>8729</v>
      </c>
      <c r="C1595" s="10" t="s">
        <v>4771</v>
      </c>
      <c r="D1595" s="10"/>
      <c r="E1595" s="10" t="s">
        <v>227</v>
      </c>
      <c r="F1595" s="10" t="s">
        <v>165</v>
      </c>
      <c r="G1595" s="11" t="s">
        <v>311</v>
      </c>
      <c r="H1595" s="11" t="s">
        <v>102</v>
      </c>
      <c r="I1595" s="11" t="s">
        <v>18</v>
      </c>
      <c r="J1595" s="9" t="str">
        <f>IFERROR(__xludf.DUMMYFUNCTION("""COMPUTED_VALUE"""),"https://www.google.com/search?newwindow=1&amp;ei=2MT0XrvGGM-vytMP1OyDgAY&amp;q=site%3Alinkedin.com+Marianne+Streete+Campus+Recruiter+-+Advisory")</f>
        <v>https://www.google.com/search?newwindow=1&amp;ei=2MT0XrvGGM-vytMP1OyDgAY&amp;q=site%3Alinkedin.com+Marianne+Streete+Campus+Recruiter+-+Advisory</v>
      </c>
      <c r="K1595" s="5" t="str">
        <f t="shared" si="1"/>
        <v>Marianne Streete</v>
      </c>
      <c r="L1595" s="5" t="str">
        <f t="shared" si="2"/>
        <v>Campus Recruiter - Advisory</v>
      </c>
      <c r="M1595" s="5" t="str">
        <f t="shared" si="3"/>
        <v/>
      </c>
      <c r="N1595" s="5" t="str">
        <f t="shared" si="4"/>
        <v>EY</v>
      </c>
      <c r="O1595" s="5" t="str">
        <f t="shared" si="5"/>
        <v>1 year 4 months in role</v>
      </c>
      <c r="P1595" s="5" t="str">
        <f t="shared" si="6"/>
        <v>Toronto</v>
      </c>
      <c r="Q1595" s="5" t="str">
        <f t="shared" si="7"/>
        <v>Ontario</v>
      </c>
      <c r="R1595" s="5" t="str">
        <f t="shared" si="8"/>
        <v>Canada</v>
      </c>
    </row>
    <row r="1596">
      <c r="A1596" s="8" t="s">
        <v>8730</v>
      </c>
      <c r="B1596" s="10" t="s">
        <v>3342</v>
      </c>
      <c r="C1596" s="10" t="s">
        <v>1028</v>
      </c>
      <c r="D1596" s="10"/>
      <c r="E1596" s="10" t="s">
        <v>3208</v>
      </c>
      <c r="F1596" s="10" t="s">
        <v>848</v>
      </c>
      <c r="G1596" s="11" t="s">
        <v>311</v>
      </c>
      <c r="H1596" s="11" t="s">
        <v>102</v>
      </c>
      <c r="I1596" s="11" t="s">
        <v>18</v>
      </c>
      <c r="J1596" s="9" t="str">
        <f>IFERROR(__xludf.DUMMYFUNCTION("""COMPUTED_VALUE"""),"https://www.google.com/search?newwindow=1&amp;ei=2MT0XrvGGM-vytMP1OyDgAY&amp;q=site%3Alinkedin.com+Cesar+Aguilar+International+Student+Recruiter+(Coordinator+and+Sales+Rep)")</f>
        <v>https://www.google.com/search?newwindow=1&amp;ei=2MT0XrvGGM-vytMP1OyDgAY&amp;q=site%3Alinkedin.com+Cesar+Aguilar+International+Student+Recruiter+(Coordinator+and+Sales+Rep)</v>
      </c>
      <c r="K1596" s="5" t="str">
        <f t="shared" si="1"/>
        <v>Cesar Aguilar</v>
      </c>
      <c r="L1596" s="5" t="str">
        <f t="shared" si="2"/>
        <v>International Student Recruiter (Coordinator and Sales Rep)</v>
      </c>
      <c r="M1596" s="5" t="str">
        <f t="shared" si="3"/>
        <v/>
      </c>
      <c r="N1596" s="5" t="str">
        <f t="shared" si="4"/>
        <v>Interpromex</v>
      </c>
      <c r="O1596" s="5" t="str">
        <f t="shared" si="5"/>
        <v>8 years 3 months in role and company</v>
      </c>
      <c r="P1596" s="5" t="str">
        <f t="shared" si="6"/>
        <v>Toronto</v>
      </c>
      <c r="Q1596" s="5" t="str">
        <f t="shared" si="7"/>
        <v>Ontario</v>
      </c>
      <c r="R1596" s="5" t="str">
        <f t="shared" si="8"/>
        <v>Canada</v>
      </c>
    </row>
    <row r="1597">
      <c r="A1597" s="8" t="s">
        <v>8731</v>
      </c>
      <c r="B1597" s="10" t="s">
        <v>8732</v>
      </c>
      <c r="C1597" s="10" t="s">
        <v>8733</v>
      </c>
      <c r="D1597" s="10"/>
      <c r="E1597" s="10" t="s">
        <v>227</v>
      </c>
      <c r="F1597" s="10" t="s">
        <v>345</v>
      </c>
      <c r="G1597" s="11" t="s">
        <v>311</v>
      </c>
      <c r="H1597" s="11" t="s">
        <v>102</v>
      </c>
      <c r="I1597" s="11" t="s">
        <v>18</v>
      </c>
      <c r="J1597" s="9" t="str">
        <f>IFERROR(__xludf.DUMMYFUNCTION("""COMPUTED_VALUE"""),"https://www.google.com/search?newwindow=1&amp;ei=2MT0XrvGGM-vytMP1OyDgAY&amp;q=site%3Alinkedin.com+ALOKIK+JOSHI+Seeking+full+time+position+as+a+Student+Recruiter+or+Immigration+Case+Analyst")</f>
        <v>https://www.google.com/search?newwindow=1&amp;ei=2MT0XrvGGM-vytMP1OyDgAY&amp;q=site%3Alinkedin.com+ALOKIK+JOSHI+Seeking+full+time+position+as+a+Student+Recruiter+or+Immigration+Case+Analyst</v>
      </c>
      <c r="K1597" s="5" t="str">
        <f t="shared" si="1"/>
        <v>ALOKIK JOSHI</v>
      </c>
      <c r="L1597" s="5" t="str">
        <f t="shared" si="2"/>
        <v>Seeking full time position as a Student Recruiter or Immigration Case Analyst</v>
      </c>
      <c r="M1597" s="5" t="str">
        <f t="shared" si="3"/>
        <v/>
      </c>
      <c r="N1597" s="5" t="str">
        <f t="shared" si="4"/>
        <v>Unemployed</v>
      </c>
      <c r="O1597" s="5" t="str">
        <f t="shared" si="5"/>
        <v>1 year 5 months in role and company</v>
      </c>
      <c r="P1597" s="5" t="str">
        <f t="shared" si="6"/>
        <v>Toronto</v>
      </c>
      <c r="Q1597" s="5" t="str">
        <f t="shared" si="7"/>
        <v>Ontario</v>
      </c>
      <c r="R1597" s="5" t="str">
        <f t="shared" si="8"/>
        <v>Canada</v>
      </c>
    </row>
    <row r="1598">
      <c r="A1598" s="8" t="s">
        <v>8734</v>
      </c>
      <c r="B1598" s="10" t="s">
        <v>8735</v>
      </c>
      <c r="C1598" s="10" t="s">
        <v>4771</v>
      </c>
      <c r="D1598" s="10"/>
      <c r="E1598" s="10" t="s">
        <v>227</v>
      </c>
      <c r="F1598" s="10" t="s">
        <v>339</v>
      </c>
      <c r="G1598" s="11" t="s">
        <v>311</v>
      </c>
      <c r="H1598" s="11" t="s">
        <v>102</v>
      </c>
      <c r="I1598" s="11" t="s">
        <v>18</v>
      </c>
      <c r="J1598" s="9" t="str">
        <f>IFERROR(__xludf.DUMMYFUNCTION("""COMPUTED_VALUE"""),"https://www.google.com/search?newwindow=1&amp;ei=2MT0XrvGGM-vytMP1OyDgAY&amp;q=site%3Alinkedin.com+Anne+Rose+Associate+Director,+University+Student+Recruitment")</f>
        <v>https://www.google.com/search?newwindow=1&amp;ei=2MT0XrvGGM-vytMP1OyDgAY&amp;q=site%3Alinkedin.com+Anne+Rose+Associate+Director,+University+Student+Recruitment</v>
      </c>
      <c r="K1598" s="5" t="str">
        <f t="shared" si="1"/>
        <v>Anne Rose</v>
      </c>
      <c r="L1598" s="5" t="str">
        <f t="shared" si="2"/>
        <v>Associate Director, University Student Recruitment</v>
      </c>
      <c r="M1598" s="5" t="str">
        <f t="shared" si="3"/>
        <v/>
      </c>
      <c r="N1598" s="5" t="str">
        <f t="shared" si="4"/>
        <v>Office of Student Recruitment, University of Toronto</v>
      </c>
      <c r="O1598" s="5" t="str">
        <f t="shared" si="5"/>
        <v>4 years 4 months in role and company</v>
      </c>
      <c r="P1598" s="5" t="str">
        <f t="shared" si="6"/>
        <v>Toronto</v>
      </c>
      <c r="Q1598" s="5" t="str">
        <f t="shared" si="7"/>
        <v>Ontario</v>
      </c>
      <c r="R1598" s="5" t="str">
        <f t="shared" si="8"/>
        <v>Canada</v>
      </c>
    </row>
    <row r="1599">
      <c r="A1599" s="8" t="s">
        <v>8736</v>
      </c>
      <c r="B1599" s="10" t="s">
        <v>3349</v>
      </c>
      <c r="C1599" s="10" t="s">
        <v>3350</v>
      </c>
      <c r="D1599" s="10"/>
      <c r="E1599" s="10" t="s">
        <v>3208</v>
      </c>
      <c r="F1599" s="10" t="s">
        <v>1880</v>
      </c>
      <c r="G1599" s="11" t="s">
        <v>311</v>
      </c>
      <c r="H1599" s="11" t="s">
        <v>102</v>
      </c>
      <c r="I1599" s="11" t="s">
        <v>18</v>
      </c>
      <c r="J1599" s="9" t="str">
        <f>IFERROR(__xludf.DUMMYFUNCTION("""COMPUTED_VALUE"""),"https://www.google.com/search?newwindow=1&amp;ei=2MT0XrvGGM-vytMP1OyDgAY&amp;q=site%3Alinkedin.com+Rachel+Rasid+international+foreign+student+recruiter")</f>
        <v>https://www.google.com/search?newwindow=1&amp;ei=2MT0XrvGGM-vytMP1OyDgAY&amp;q=site%3Alinkedin.com+Rachel+Rasid+international+foreign+student+recruiter</v>
      </c>
      <c r="K1599" s="5" t="str">
        <f t="shared" si="1"/>
        <v>Rachel Rasid</v>
      </c>
      <c r="L1599" s="5" t="str">
        <f t="shared" si="2"/>
        <v>international foreign student recruiter</v>
      </c>
      <c r="M1599" s="5" t="str">
        <f t="shared" si="3"/>
        <v/>
      </c>
      <c r="N1599" s="9" t="str">
        <f t="shared" si="4"/>
        <v>www.sgiccanada.com</v>
      </c>
      <c r="O1599" s="5" t="str">
        <f t="shared" si="5"/>
        <v>5 years 10 months in role and company</v>
      </c>
      <c r="P1599" s="5" t="str">
        <f t="shared" si="6"/>
        <v>Toronto</v>
      </c>
      <c r="Q1599" s="5" t="str">
        <f t="shared" si="7"/>
        <v>Ontario</v>
      </c>
      <c r="R1599" s="5" t="str">
        <f t="shared" si="8"/>
        <v>Canada</v>
      </c>
    </row>
    <row r="1600">
      <c r="A1600" s="8" t="s">
        <v>8737</v>
      </c>
      <c r="B1600" s="12" t="s">
        <v>8738</v>
      </c>
      <c r="C1600" s="10" t="s">
        <v>8739</v>
      </c>
      <c r="D1600" s="10"/>
      <c r="E1600" s="10" t="s">
        <v>227</v>
      </c>
      <c r="F1600" s="10" t="s">
        <v>149</v>
      </c>
      <c r="G1600" s="11" t="s">
        <v>311</v>
      </c>
      <c r="H1600" s="11" t="s">
        <v>102</v>
      </c>
      <c r="I1600" s="11" t="s">
        <v>18</v>
      </c>
      <c r="J1600" s="9" t="str">
        <f>IFERROR(__xludf.DUMMYFUNCTION("""COMPUTED_VALUE"""),"https://www.google.com/search?newwindow=1&amp;ei=2MT0XrvGGM-vytMP1OyDgAY&amp;q=site%3Alinkedin.com+Raghav+Sharma+Senior+Finance+Associate+&amp;+Recruiter+(Indian+Student+Association)")</f>
        <v>https://www.google.com/search?newwindow=1&amp;ei=2MT0XrvGGM-vytMP1OyDgAY&amp;q=site%3Alinkedin.com+Raghav+Sharma+Senior+Finance+Associate+&amp;+Recruiter+(Indian+Student+Association)</v>
      </c>
      <c r="K1600" s="5" t="str">
        <f t="shared" si="1"/>
        <v>Raghav Sharma</v>
      </c>
      <c r="L1600" s="5" t="str">
        <f t="shared" si="2"/>
        <v>Senior Finance Associate &amp; Recruiter (Indian Student Association)</v>
      </c>
      <c r="M1600" s="5" t="str">
        <f t="shared" si="3"/>
        <v/>
      </c>
      <c r="N1600" s="5" t="str">
        <f t="shared" si="4"/>
        <v>University of Guelph</v>
      </c>
      <c r="O1600" s="5" t="str">
        <f t="shared" si="5"/>
        <v>3 years 2 months in role and company</v>
      </c>
      <c r="P1600" s="5" t="str">
        <f t="shared" si="6"/>
        <v>Toronto</v>
      </c>
      <c r="Q1600" s="5" t="str">
        <f t="shared" si="7"/>
        <v>Ontario</v>
      </c>
      <c r="R1600" s="5" t="str">
        <f t="shared" si="8"/>
        <v>Canada</v>
      </c>
    </row>
    <row r="1601">
      <c r="A1601" s="8" t="s">
        <v>8740</v>
      </c>
      <c r="B1601" s="10" t="s">
        <v>8741</v>
      </c>
      <c r="C1601" s="10" t="s">
        <v>8742</v>
      </c>
      <c r="D1601" s="10"/>
      <c r="E1601" s="10" t="s">
        <v>227</v>
      </c>
      <c r="F1601" s="10" t="s">
        <v>60</v>
      </c>
      <c r="G1601" s="11" t="s">
        <v>311</v>
      </c>
      <c r="H1601" s="11" t="s">
        <v>102</v>
      </c>
      <c r="I1601" s="11" t="s">
        <v>18</v>
      </c>
      <c r="J1601" s="9" t="str">
        <f>IFERROR(__xludf.DUMMYFUNCTION("""COMPUTED_VALUE"""),"https://www.google.com/search?newwindow=1&amp;ei=2MT0XrvGGM-vytMP1OyDgAY&amp;q=site%3Alinkedin.com+Lori+Dalton+Student+Recruiter")</f>
        <v>https://www.google.com/search?newwindow=1&amp;ei=2MT0XrvGGM-vytMP1OyDgAY&amp;q=site%3Alinkedin.com+Lori+Dalton+Student+Recruiter</v>
      </c>
      <c r="K1601" s="5" t="str">
        <f t="shared" si="1"/>
        <v>Lori Dalton</v>
      </c>
      <c r="L1601" s="5" t="str">
        <f t="shared" si="2"/>
        <v>Student Recruiter</v>
      </c>
      <c r="M1601" s="5" t="str">
        <f t="shared" si="3"/>
        <v/>
      </c>
      <c r="N1601" s="5" t="str">
        <f t="shared" si="4"/>
        <v>Chartered Professional Accountants of Ontario (CPA Ontario)</v>
      </c>
      <c r="O1601" s="5" t="str">
        <f t="shared" si="5"/>
        <v>5 years 11 months in role and company</v>
      </c>
      <c r="P1601" s="5" t="str">
        <f t="shared" si="6"/>
        <v>Toronto</v>
      </c>
      <c r="Q1601" s="5" t="str">
        <f t="shared" si="7"/>
        <v>Ontario</v>
      </c>
      <c r="R1601" s="5" t="str">
        <f t="shared" si="8"/>
        <v>Canada</v>
      </c>
    </row>
    <row r="1602">
      <c r="A1602" s="8" t="s">
        <v>8743</v>
      </c>
      <c r="B1602" s="12" t="s">
        <v>8744</v>
      </c>
      <c r="C1602" s="10" t="s">
        <v>4674</v>
      </c>
      <c r="D1602" s="10"/>
      <c r="E1602" s="10" t="s">
        <v>1233</v>
      </c>
      <c r="F1602" s="10" t="s">
        <v>192</v>
      </c>
      <c r="G1602" s="11" t="s">
        <v>311</v>
      </c>
      <c r="H1602" s="11" t="s">
        <v>102</v>
      </c>
      <c r="I1602" s="11" t="s">
        <v>18</v>
      </c>
      <c r="J1602" s="9" t="str">
        <f>IFERROR(__xludf.DUMMYFUNCTION("""COMPUTED_VALUE"""),"https://www.google.com/search?newwindow=1&amp;ei=2MT0XrvGGM-vytMP1OyDgAY&amp;q=site%3Alinkedin.com+Nesana+Sriskandakumaran+Student+Recruiter")</f>
        <v>https://www.google.com/search?newwindow=1&amp;ei=2MT0XrvGGM-vytMP1OyDgAY&amp;q=site%3Alinkedin.com+Nesana+Sriskandakumaran+Student+Recruiter</v>
      </c>
      <c r="K1602" s="5" t="str">
        <f t="shared" si="1"/>
        <v>Nesana Sriskandakumaran</v>
      </c>
      <c r="L1602" s="5" t="str">
        <f t="shared" si="2"/>
        <v>Student Recruiter</v>
      </c>
      <c r="M1602" s="5" t="str">
        <f t="shared" si="3"/>
        <v/>
      </c>
      <c r="N1602" s="5" t="str">
        <f t="shared" si="4"/>
        <v>UTSC Admissions &amp; Student Recruitment</v>
      </c>
      <c r="O1602" s="5" t="str">
        <f t="shared" si="5"/>
        <v>8 years 10 months in role and company</v>
      </c>
      <c r="P1602" s="5" t="str">
        <f t="shared" si="6"/>
        <v>Toronto</v>
      </c>
      <c r="Q1602" s="5" t="str">
        <f t="shared" si="7"/>
        <v>Ontario</v>
      </c>
      <c r="R1602" s="5" t="str">
        <f t="shared" si="8"/>
        <v>Canada</v>
      </c>
    </row>
    <row r="1603">
      <c r="A1603" s="8" t="s">
        <v>8745</v>
      </c>
      <c r="B1603" s="10" t="s">
        <v>8746</v>
      </c>
      <c r="C1603" s="10" t="s">
        <v>8747</v>
      </c>
      <c r="D1603" s="10"/>
      <c r="E1603" s="10" t="s">
        <v>227</v>
      </c>
      <c r="F1603" s="10" t="s">
        <v>257</v>
      </c>
      <c r="G1603" s="11" t="s">
        <v>311</v>
      </c>
      <c r="H1603" s="11" t="s">
        <v>102</v>
      </c>
      <c r="I1603" s="11" t="s">
        <v>18</v>
      </c>
      <c r="J1603" s="9" t="str">
        <f>IFERROR(__xludf.DUMMYFUNCTION("""COMPUTED_VALUE"""),"https://www.google.com/search?newwindow=1&amp;ei=2MT0XrvGGM-vytMP1OyDgAY&amp;q=site%3Alinkedin.com+YOSHITAKA+YOSHIZUMI+Student+Recruiter")</f>
        <v>https://www.google.com/search?newwindow=1&amp;ei=2MT0XrvGGM-vytMP1OyDgAY&amp;q=site%3Alinkedin.com+YOSHITAKA+YOSHIZUMI+Student+Recruiter</v>
      </c>
      <c r="K1603" s="5" t="str">
        <f t="shared" si="1"/>
        <v>YOSHITAKA YOSHIZUMI</v>
      </c>
      <c r="L1603" s="5" t="str">
        <f t="shared" si="2"/>
        <v>Student Recruiter</v>
      </c>
      <c r="M1603" s="5" t="str">
        <f t="shared" si="3"/>
        <v/>
      </c>
      <c r="N1603" s="5" t="str">
        <f t="shared" si="4"/>
        <v>Educational Services Canada (ESC)</v>
      </c>
      <c r="O1603" s="5" t="str">
        <f t="shared" si="5"/>
        <v>8 years 7 months in role and company</v>
      </c>
      <c r="P1603" s="5" t="str">
        <f t="shared" si="6"/>
        <v>Toronto</v>
      </c>
      <c r="Q1603" s="5" t="str">
        <f t="shared" si="7"/>
        <v>Ontario</v>
      </c>
      <c r="R1603" s="5" t="str">
        <f t="shared" si="8"/>
        <v>Canada</v>
      </c>
    </row>
    <row r="1604">
      <c r="A1604" s="8" t="s">
        <v>8748</v>
      </c>
      <c r="B1604" s="10" t="s">
        <v>8749</v>
      </c>
      <c r="C1604" s="10" t="s">
        <v>8750</v>
      </c>
      <c r="D1604" s="10"/>
      <c r="E1604" s="10" t="s">
        <v>227</v>
      </c>
      <c r="F1604" s="10" t="s">
        <v>149</v>
      </c>
      <c r="G1604" s="11" t="s">
        <v>311</v>
      </c>
      <c r="H1604" s="11" t="s">
        <v>102</v>
      </c>
      <c r="I1604" s="11" t="s">
        <v>18</v>
      </c>
      <c r="J1604" s="9" t="str">
        <f>IFERROR(__xludf.DUMMYFUNCTION("""COMPUTED_VALUE"""),"https://www.google.com/search?newwindow=1&amp;ei=2MT0XrvGGM-vytMP1OyDgAY&amp;q=site%3Alinkedin.com+Anderson+College+International+Student+Recruiter")</f>
        <v>https://www.google.com/search?newwindow=1&amp;ei=2MT0XrvGGM-vytMP1OyDgAY&amp;q=site%3Alinkedin.com+Anderson+College+International+Student+Recruiter</v>
      </c>
      <c r="K1604" s="5" t="str">
        <f t="shared" si="1"/>
        <v>Anderson College</v>
      </c>
      <c r="L1604" s="5" t="str">
        <f t="shared" si="2"/>
        <v>International Student Recruiter</v>
      </c>
      <c r="M1604" s="5" t="str">
        <f t="shared" si="3"/>
        <v/>
      </c>
      <c r="N1604" s="5" t="str">
        <f t="shared" si="4"/>
        <v>Anderson College of Health, Business &amp; Technology</v>
      </c>
      <c r="O1604" s="5" t="str">
        <f t="shared" si="5"/>
        <v/>
      </c>
      <c r="P1604" s="5" t="str">
        <f t="shared" si="6"/>
        <v>Toronto</v>
      </c>
      <c r="Q1604" s="5" t="str">
        <f t="shared" si="7"/>
        <v>Ontario</v>
      </c>
      <c r="R1604" s="5" t="str">
        <f t="shared" si="8"/>
        <v>Canada</v>
      </c>
    </row>
    <row r="1605">
      <c r="A1605" s="8" t="s">
        <v>8751</v>
      </c>
      <c r="B1605" s="12" t="s">
        <v>8752</v>
      </c>
      <c r="C1605" s="10" t="s">
        <v>8753</v>
      </c>
      <c r="D1605" s="10"/>
      <c r="E1605" s="10" t="s">
        <v>8754</v>
      </c>
      <c r="F1605" s="10" t="s">
        <v>188</v>
      </c>
      <c r="G1605" s="11" t="s">
        <v>311</v>
      </c>
      <c r="H1605" s="11" t="s">
        <v>102</v>
      </c>
      <c r="I1605" s="11" t="s">
        <v>18</v>
      </c>
      <c r="J1605" s="9" t="str">
        <f>IFERROR(__xludf.DUMMYFUNCTION("""COMPUTED_VALUE"""),"https://www.google.com/search?newwindow=1&amp;ei=2MT0XrvGGM-vytMP1OyDgAY&amp;q=site%3Alinkedin.com+Sanita+Naraine+Student")</f>
        <v>https://www.google.com/search?newwindow=1&amp;ei=2MT0XrvGGM-vytMP1OyDgAY&amp;q=site%3Alinkedin.com+Sanita+Naraine+Student</v>
      </c>
      <c r="K1605" s="5" t="str">
        <f t="shared" si="1"/>
        <v>Sanita Naraine</v>
      </c>
      <c r="L1605" s="5" t="str">
        <f t="shared" si="2"/>
        <v>Student</v>
      </c>
      <c r="M1605" s="5" t="str">
        <f t="shared" si="3"/>
        <v/>
      </c>
      <c r="N1605" s="5" t="str">
        <f t="shared" si="4"/>
        <v>North American College</v>
      </c>
      <c r="O1605" s="5" t="str">
        <f t="shared" si="5"/>
        <v>5 years 7 months in role and company</v>
      </c>
      <c r="P1605" s="5" t="str">
        <f t="shared" si="6"/>
        <v>Toronto</v>
      </c>
      <c r="Q1605" s="5" t="str">
        <f t="shared" si="7"/>
        <v>Ontario</v>
      </c>
      <c r="R1605" s="5" t="str">
        <f t="shared" si="8"/>
        <v>Canada</v>
      </c>
    </row>
    <row r="1606">
      <c r="A1606" s="8" t="s">
        <v>8755</v>
      </c>
      <c r="B1606" s="10" t="s">
        <v>8756</v>
      </c>
      <c r="C1606" s="10" t="s">
        <v>8757</v>
      </c>
      <c r="D1606" s="10"/>
      <c r="E1606" s="10" t="s">
        <v>227</v>
      </c>
      <c r="F1606" s="10" t="s">
        <v>144</v>
      </c>
      <c r="G1606" s="11" t="s">
        <v>311</v>
      </c>
      <c r="H1606" s="11" t="s">
        <v>102</v>
      </c>
      <c r="I1606" s="11" t="s">
        <v>18</v>
      </c>
      <c r="J1606" s="9" t="str">
        <f>IFERROR(__xludf.DUMMYFUNCTION("""COMPUTED_VALUE"""),"https://www.google.com/search?newwindow=1&amp;ei=2MT0XrvGGM-vytMP1OyDgAY&amp;q=site%3Alinkedin.com+Renee+Baptiste-Skyers+Sr.+University+Recruitment+Specialist+(Lead+for+Canada)")</f>
        <v>https://www.google.com/search?newwindow=1&amp;ei=2MT0XrvGGM-vytMP1OyDgAY&amp;q=site%3Alinkedin.com+Renee+Baptiste-Skyers+Sr.+University+Recruitment+Specialist+(Lead+for+Canada)</v>
      </c>
      <c r="K1606" s="5" t="str">
        <f t="shared" si="1"/>
        <v>Renee Baptiste-Skyers</v>
      </c>
      <c r="L1606" s="5" t="str">
        <f t="shared" si="2"/>
        <v>Sr. University Recruitment Specialist (Lead for Canada)</v>
      </c>
      <c r="M1606" s="5" t="str">
        <f t="shared" si="3"/>
        <v/>
      </c>
      <c r="N1606" s="5" t="str">
        <f t="shared" si="4"/>
        <v>Johnson &amp; Johnson</v>
      </c>
      <c r="O1606" s="5" t="str">
        <f t="shared" si="5"/>
        <v/>
      </c>
      <c r="P1606" s="5" t="str">
        <f t="shared" si="6"/>
        <v>Toronto</v>
      </c>
      <c r="Q1606" s="5" t="str">
        <f t="shared" si="7"/>
        <v>Ontario</v>
      </c>
      <c r="R1606" s="5" t="str">
        <f t="shared" si="8"/>
        <v>Canada</v>
      </c>
    </row>
    <row r="1607">
      <c r="A1607" s="8" t="s">
        <v>8758</v>
      </c>
      <c r="B1607" s="10" t="s">
        <v>8759</v>
      </c>
      <c r="C1607" s="10" t="s">
        <v>4749</v>
      </c>
      <c r="D1607" s="10"/>
      <c r="E1607" s="10" t="s">
        <v>4701</v>
      </c>
      <c r="F1607" s="10" t="s">
        <v>958</v>
      </c>
      <c r="G1607" s="11" t="s">
        <v>311</v>
      </c>
      <c r="H1607" s="11" t="s">
        <v>102</v>
      </c>
      <c r="I1607" s="11" t="s">
        <v>18</v>
      </c>
      <c r="J1607" s="9" t="str">
        <f>IFERROR(__xludf.DUMMYFUNCTION("""COMPUTED_VALUE"""),"https://www.google.com/search?newwindow=1&amp;ei=2MT0XrvGGM-vytMP1OyDgAY&amp;q=site%3Alinkedin.com+vijay+singh+student")</f>
        <v>https://www.google.com/search?newwindow=1&amp;ei=2MT0XrvGGM-vytMP1OyDgAY&amp;q=site%3Alinkedin.com+vijay+singh+student</v>
      </c>
      <c r="K1607" s="5" t="str">
        <f t="shared" si="1"/>
        <v>vijay singh</v>
      </c>
      <c r="L1607" s="5" t="str">
        <f t="shared" si="2"/>
        <v>student</v>
      </c>
      <c r="M1607" s="5" t="str">
        <f t="shared" si="3"/>
        <v/>
      </c>
      <c r="N1607" s="5" t="str">
        <f t="shared" si="4"/>
        <v>Canadore College</v>
      </c>
      <c r="O1607" s="5" t="str">
        <f t="shared" si="5"/>
        <v/>
      </c>
      <c r="P1607" s="5" t="str">
        <f t="shared" si="6"/>
        <v>Toronto</v>
      </c>
      <c r="Q1607" s="5" t="str">
        <f t="shared" si="7"/>
        <v>Ontario</v>
      </c>
      <c r="R1607" s="5" t="str">
        <f t="shared" si="8"/>
        <v>Canada</v>
      </c>
    </row>
    <row r="1608">
      <c r="A1608" s="8" t="s">
        <v>8760</v>
      </c>
      <c r="B1608" s="10" t="s">
        <v>8761</v>
      </c>
      <c r="C1608" s="10" t="s">
        <v>8762</v>
      </c>
      <c r="D1608" s="10"/>
      <c r="E1608" s="10" t="s">
        <v>227</v>
      </c>
      <c r="F1608" s="10" t="s">
        <v>822</v>
      </c>
      <c r="G1608" s="11" t="s">
        <v>311</v>
      </c>
      <c r="H1608" s="11" t="s">
        <v>102</v>
      </c>
      <c r="I1608" s="11" t="s">
        <v>18</v>
      </c>
      <c r="J1608" s="9" t="str">
        <f>IFERROR(__xludf.DUMMYFUNCTION("""COMPUTED_VALUE"""),"https://www.google.com/search?newwindow=1&amp;ei=2MT0XrvGGM-vytMP1OyDgAY&amp;q=site%3Alinkedin.com+Ashley+Heenan+Private+acting+College+Recruiter")</f>
        <v>https://www.google.com/search?newwindow=1&amp;ei=2MT0XrvGGM-vytMP1OyDgAY&amp;q=site%3Alinkedin.com+Ashley+Heenan+Private+acting+College+Recruiter</v>
      </c>
      <c r="K1608" s="5" t="str">
        <f t="shared" si="1"/>
        <v>Ashley Heenan</v>
      </c>
      <c r="L1608" s="5" t="str">
        <f t="shared" si="2"/>
        <v>Private acting College Recruiter</v>
      </c>
      <c r="M1608" s="5" t="str">
        <f t="shared" si="3"/>
        <v/>
      </c>
      <c r="N1608" s="5" t="str">
        <f t="shared" si="4"/>
        <v>Toronto Academy of Acting for Film and Television</v>
      </c>
      <c r="O1608" s="5" t="str">
        <f t="shared" si="5"/>
        <v>5 years 6 months in role and company</v>
      </c>
      <c r="P1608" s="5" t="str">
        <f t="shared" si="6"/>
        <v>Toronto</v>
      </c>
      <c r="Q1608" s="5" t="str">
        <f t="shared" si="7"/>
        <v>Ontario</v>
      </c>
      <c r="R1608" s="5" t="str">
        <f t="shared" si="8"/>
        <v>Canada</v>
      </c>
    </row>
    <row r="1609">
      <c r="A1609" s="8" t="s">
        <v>8763</v>
      </c>
      <c r="B1609" s="10" t="s">
        <v>8764</v>
      </c>
      <c r="C1609" s="10" t="s">
        <v>4771</v>
      </c>
      <c r="D1609" s="10"/>
      <c r="E1609" s="10" t="s">
        <v>227</v>
      </c>
      <c r="F1609" s="10" t="s">
        <v>165</v>
      </c>
      <c r="G1609" s="11" t="s">
        <v>311</v>
      </c>
      <c r="H1609" s="11" t="s">
        <v>102</v>
      </c>
      <c r="I1609" s="11" t="s">
        <v>18</v>
      </c>
      <c r="J1609" s="9" t="str">
        <f>IFERROR(__xludf.DUMMYFUNCTION("""COMPUTED_VALUE"""),"https://www.google.com/search?newwindow=1&amp;ei=2MT0XrvGGM-vytMP1OyDgAY&amp;q=site%3Alinkedin.com+Dreamhill+Marketing+International+Student+Recruiter")</f>
        <v>https://www.google.com/search?newwindow=1&amp;ei=2MT0XrvGGM-vytMP1OyDgAY&amp;q=site%3Alinkedin.com+Dreamhill+Marketing+International+Student+Recruiter</v>
      </c>
      <c r="K1609" s="5" t="str">
        <f t="shared" si="1"/>
        <v>Dreamhill Marketing</v>
      </c>
      <c r="L1609" s="5" t="str">
        <f t="shared" si="2"/>
        <v>International Student Recruiter</v>
      </c>
      <c r="M1609" s="5" t="str">
        <f t="shared" si="3"/>
        <v/>
      </c>
      <c r="N1609" s="5" t="str">
        <f t="shared" si="4"/>
        <v>Dreamhill Marketing Inc</v>
      </c>
      <c r="O1609" s="5" t="str">
        <f t="shared" si="5"/>
        <v>2 years 4 months in role and company</v>
      </c>
      <c r="P1609" s="5" t="str">
        <f t="shared" si="6"/>
        <v>Toronto</v>
      </c>
      <c r="Q1609" s="5" t="str">
        <f t="shared" si="7"/>
        <v>Ontario</v>
      </c>
      <c r="R1609" s="5" t="str">
        <f t="shared" si="8"/>
        <v>Canada</v>
      </c>
    </row>
    <row r="1610">
      <c r="A1610" s="8" t="s">
        <v>8765</v>
      </c>
      <c r="B1610" s="12" t="s">
        <v>8766</v>
      </c>
      <c r="C1610" s="10" t="s">
        <v>8767</v>
      </c>
      <c r="D1610" s="10"/>
      <c r="E1610" s="10" t="s">
        <v>4659</v>
      </c>
      <c r="F1610" s="10" t="s">
        <v>277</v>
      </c>
      <c r="G1610" s="11" t="s">
        <v>311</v>
      </c>
      <c r="H1610" s="11" t="s">
        <v>102</v>
      </c>
      <c r="I1610" s="11" t="s">
        <v>18</v>
      </c>
      <c r="J1610" s="9" t="str">
        <f>IFERROR(__xludf.DUMMYFUNCTION("""COMPUTED_VALUE"""),"https://www.google.com/search?newwindow=1&amp;ei=2MT0XrvGGM-vytMP1OyDgAY&amp;q=site%3Alinkedin.com+INDRANI+SARUKKALIGE+Finacial+Advisor,+Trainer,+Recruiter")</f>
        <v>https://www.google.com/search?newwindow=1&amp;ei=2MT0XrvGGM-vytMP1OyDgAY&amp;q=site%3Alinkedin.com+INDRANI+SARUKKALIGE+Finacial+Advisor,+Trainer,+Recruiter</v>
      </c>
      <c r="K1610" s="5" t="str">
        <f t="shared" si="1"/>
        <v>INDRANI SARUKKALIGE</v>
      </c>
      <c r="L1610" s="5" t="str">
        <f t="shared" si="2"/>
        <v>Finacial Advisor, Trainer, Recruiter</v>
      </c>
      <c r="M1610" s="5" t="str">
        <f t="shared" si="3"/>
        <v/>
      </c>
      <c r="N1610" s="5" t="str">
        <f t="shared" si="4"/>
        <v>World Financial Group Financial Advisor, Trainer and Recruiter</v>
      </c>
      <c r="O1610" s="5" t="str">
        <f t="shared" si="5"/>
        <v/>
      </c>
      <c r="P1610" s="5" t="str">
        <f t="shared" si="6"/>
        <v>Toronto</v>
      </c>
      <c r="Q1610" s="5" t="str">
        <f t="shared" si="7"/>
        <v>Ontario</v>
      </c>
      <c r="R1610" s="5" t="str">
        <f t="shared" si="8"/>
        <v>Canada</v>
      </c>
    </row>
    <row r="1611">
      <c r="A1611" s="8" t="s">
        <v>8768</v>
      </c>
      <c r="B1611" s="12" t="s">
        <v>8769</v>
      </c>
      <c r="C1611" s="10" t="s">
        <v>4771</v>
      </c>
      <c r="D1611" s="10"/>
      <c r="E1611" s="10" t="s">
        <v>227</v>
      </c>
      <c r="F1611" s="10" t="s">
        <v>365</v>
      </c>
      <c r="G1611" s="11" t="s">
        <v>311</v>
      </c>
      <c r="H1611" s="11" t="s">
        <v>102</v>
      </c>
      <c r="I1611" s="11" t="s">
        <v>18</v>
      </c>
      <c r="J1611" s="9" t="str">
        <f>IFERROR(__xludf.DUMMYFUNCTION("""COMPUTED_VALUE"""),"https://www.google.com/search?newwindow=1&amp;ei=2MT0XrvGGM-vytMP1OyDgAY&amp;q=site%3Alinkedin.com+Behnoosh+K+student+recruiter")</f>
        <v>https://www.google.com/search?newwindow=1&amp;ei=2MT0XrvGGM-vytMP1OyDgAY&amp;q=site%3Alinkedin.com+Behnoosh+K+student+recruiter</v>
      </c>
      <c r="K1611" s="5" t="str">
        <f t="shared" si="1"/>
        <v>Behnoosh K</v>
      </c>
      <c r="L1611" s="5" t="str">
        <f t="shared" si="2"/>
        <v>student recruiter</v>
      </c>
      <c r="M1611" s="5" t="str">
        <f t="shared" si="3"/>
        <v/>
      </c>
      <c r="N1611" s="5" t="str">
        <f t="shared" si="4"/>
        <v>futureskills</v>
      </c>
      <c r="O1611" s="5" t="str">
        <f t="shared" si="5"/>
        <v/>
      </c>
      <c r="P1611" s="5" t="str">
        <f t="shared" si="6"/>
        <v>Toronto</v>
      </c>
      <c r="Q1611" s="5" t="str">
        <f t="shared" si="7"/>
        <v>Ontario</v>
      </c>
      <c r="R1611" s="5" t="str">
        <f t="shared" si="8"/>
        <v>Canada</v>
      </c>
    </row>
    <row r="1612">
      <c r="A1612" s="8" t="s">
        <v>8770</v>
      </c>
      <c r="B1612" s="10" t="s">
        <v>8771</v>
      </c>
      <c r="C1612" s="10" t="s">
        <v>4771</v>
      </c>
      <c r="D1612" s="10"/>
      <c r="E1612" s="10" t="s">
        <v>227</v>
      </c>
      <c r="F1612" s="10" t="s">
        <v>144</v>
      </c>
      <c r="G1612" s="11" t="s">
        <v>311</v>
      </c>
      <c r="H1612" s="11" t="s">
        <v>102</v>
      </c>
      <c r="I1612" s="11" t="s">
        <v>18</v>
      </c>
      <c r="J1612" s="9" t="str">
        <f>IFERROR(__xludf.DUMMYFUNCTION("""COMPUTED_VALUE"""),"https://www.google.com/search?newwindow=1&amp;ei=2MT0XrvGGM-vytMP1OyDgAY&amp;q=site%3Alinkedin.com+Nikki+Simone+Senior+Manager,+Student+Experience+and+Early+Talent+Programs")</f>
        <v>https://www.google.com/search?newwindow=1&amp;ei=2MT0XrvGGM-vytMP1OyDgAY&amp;q=site%3Alinkedin.com+Nikki+Simone+Senior+Manager,+Student+Experience+and+Early+Talent+Programs</v>
      </c>
      <c r="K1612" s="5" t="str">
        <f t="shared" si="1"/>
        <v>Nikki Simone</v>
      </c>
      <c r="L1612" s="5" t="str">
        <f t="shared" si="2"/>
        <v>Senior Manager, Student Experience and Early Talent Programs</v>
      </c>
      <c r="M1612" s="5" t="str">
        <f t="shared" si="3"/>
        <v/>
      </c>
      <c r="N1612" s="5" t="str">
        <f t="shared" si="4"/>
        <v>BMO Financial Group</v>
      </c>
      <c r="O1612" s="5" t="str">
        <f t="shared" si="5"/>
        <v>1 year 8 months in role and company</v>
      </c>
      <c r="P1612" s="5" t="str">
        <f t="shared" si="6"/>
        <v>Toronto</v>
      </c>
      <c r="Q1612" s="5" t="str">
        <f t="shared" si="7"/>
        <v>Ontario</v>
      </c>
      <c r="R1612" s="5" t="str">
        <f t="shared" si="8"/>
        <v>Canada</v>
      </c>
    </row>
    <row r="1613">
      <c r="A1613" s="8" t="s">
        <v>8772</v>
      </c>
      <c r="B1613" s="10" t="s">
        <v>8773</v>
      </c>
      <c r="C1613" s="10" t="s">
        <v>8774</v>
      </c>
      <c r="D1613" s="10"/>
      <c r="E1613" s="10" t="s">
        <v>227</v>
      </c>
      <c r="F1613" s="10" t="s">
        <v>1460</v>
      </c>
      <c r="G1613" s="11" t="s">
        <v>311</v>
      </c>
      <c r="H1613" s="11" t="s">
        <v>102</v>
      </c>
      <c r="I1613" s="11" t="s">
        <v>18</v>
      </c>
      <c r="J1613" s="9" t="str">
        <f>IFERROR(__xludf.DUMMYFUNCTION("""COMPUTED_VALUE"""),"https://www.google.com/search?newwindow=1&amp;ei=2MT0XrvGGM-vytMP1OyDgAY&amp;q=site%3Alinkedin.com+Cara+Cornacchia+Interim+Director,+Student+Programs")</f>
        <v>https://www.google.com/search?newwindow=1&amp;ei=2MT0XrvGGM-vytMP1OyDgAY&amp;q=site%3Alinkedin.com+Cara+Cornacchia+Interim+Director,+Student+Programs</v>
      </c>
      <c r="K1613" s="5" t="str">
        <f t="shared" si="1"/>
        <v>Cara Cornacchia</v>
      </c>
      <c r="L1613" s="5" t="str">
        <f t="shared" si="2"/>
        <v>Interim Director, Student Programs</v>
      </c>
      <c r="M1613" s="5" t="str">
        <f t="shared" si="3"/>
        <v/>
      </c>
      <c r="N1613" s="5" t="str">
        <f t="shared" si="4"/>
        <v>Stikeman Elliott LLP</v>
      </c>
      <c r="O1613" s="5" t="str">
        <f t="shared" si="5"/>
        <v>1 year 2 months in role</v>
      </c>
      <c r="P1613" s="5" t="str">
        <f t="shared" si="6"/>
        <v>Toronto</v>
      </c>
      <c r="Q1613" s="5" t="str">
        <f t="shared" si="7"/>
        <v>Ontario</v>
      </c>
      <c r="R1613" s="5" t="str">
        <f t="shared" si="8"/>
        <v>Canada</v>
      </c>
    </row>
    <row r="1614">
      <c r="A1614" s="8" t="s">
        <v>8775</v>
      </c>
      <c r="B1614" s="10" t="s">
        <v>8776</v>
      </c>
      <c r="C1614" s="10" t="s">
        <v>8777</v>
      </c>
      <c r="D1614" s="10"/>
      <c r="E1614" s="10" t="s">
        <v>227</v>
      </c>
      <c r="F1614" s="10" t="s">
        <v>822</v>
      </c>
      <c r="G1614" s="11" t="s">
        <v>311</v>
      </c>
      <c r="H1614" s="11" t="s">
        <v>102</v>
      </c>
      <c r="I1614" s="11" t="s">
        <v>18</v>
      </c>
      <c r="J1614" s="9" t="str">
        <f>IFERROR(__xludf.DUMMYFUNCTION("""COMPUTED_VALUE"""),"https://www.google.com/search?newwindow=1&amp;ei=2MT0XrvGGM-vytMP1OyDgAY&amp;q=site%3Alinkedin.com+Shirin+Salehi+Talent+Acquisition,+Student+Programs")</f>
        <v>https://www.google.com/search?newwindow=1&amp;ei=2MT0XrvGGM-vytMP1OyDgAY&amp;q=site%3Alinkedin.com+Shirin+Salehi+Talent+Acquisition,+Student+Programs</v>
      </c>
      <c r="K1614" s="5" t="str">
        <f t="shared" si="1"/>
        <v>Shirin Salehi</v>
      </c>
      <c r="L1614" s="5" t="str">
        <f t="shared" si="2"/>
        <v>Talent Acquisition, Student Programs</v>
      </c>
      <c r="M1614" s="5" t="str">
        <f t="shared" si="3"/>
        <v/>
      </c>
      <c r="N1614" s="5" t="str">
        <f t="shared" si="4"/>
        <v>Ontario Teachers'​ Pension Plan</v>
      </c>
      <c r="O1614" s="5" t="str">
        <f t="shared" si="5"/>
        <v>1 year 1 month in role and company</v>
      </c>
      <c r="P1614" s="5" t="str">
        <f t="shared" si="6"/>
        <v>Toronto</v>
      </c>
      <c r="Q1614" s="5" t="str">
        <f t="shared" si="7"/>
        <v>Ontario</v>
      </c>
      <c r="R1614" s="5" t="str">
        <f t="shared" si="8"/>
        <v>Canada</v>
      </c>
    </row>
    <row r="1615">
      <c r="A1615" s="8" t="s">
        <v>8778</v>
      </c>
      <c r="B1615" s="10" t="s">
        <v>363</v>
      </c>
      <c r="C1615" s="10" t="s">
        <v>364</v>
      </c>
      <c r="D1615" s="10"/>
      <c r="E1615" s="10" t="s">
        <v>227</v>
      </c>
      <c r="F1615" s="10" t="s">
        <v>365</v>
      </c>
      <c r="G1615" s="11" t="s">
        <v>311</v>
      </c>
      <c r="H1615" s="11" t="s">
        <v>102</v>
      </c>
      <c r="I1615" s="11" t="s">
        <v>18</v>
      </c>
      <c r="J1615" s="9" t="str">
        <f>IFERROR(__xludf.DUMMYFUNCTION("""COMPUTED_VALUE"""),"https://www.google.com/search?newwindow=1&amp;ei=2MT0XrvGGM-vytMP1OyDgAY&amp;q=site%3Alinkedin.com+Kim+Bonnar+Assistant+Director+of+Professional+Resources+-+Student+Programs")</f>
        <v>https://www.google.com/search?newwindow=1&amp;ei=2MT0XrvGGM-vytMP1OyDgAY&amp;q=site%3Alinkedin.com+Kim+Bonnar+Assistant+Director+of+Professional+Resources+-+Student+Programs</v>
      </c>
      <c r="K1615" s="5" t="str">
        <f t="shared" si="1"/>
        <v>Kim Bonnar</v>
      </c>
      <c r="L1615" s="5" t="str">
        <f t="shared" si="2"/>
        <v>Assistant Director of Professional Resources - Student Programs</v>
      </c>
      <c r="M1615" s="5" t="str">
        <f t="shared" si="3"/>
        <v/>
      </c>
      <c r="N1615" s="5" t="str">
        <f t="shared" si="4"/>
        <v>Cassels Brock &amp; Blackwell LLP</v>
      </c>
      <c r="O1615" s="5" t="str">
        <f t="shared" si="5"/>
        <v>2 years 3 months in role and company</v>
      </c>
      <c r="P1615" s="5" t="str">
        <f t="shared" si="6"/>
        <v>Toronto</v>
      </c>
      <c r="Q1615" s="5" t="str">
        <f t="shared" si="7"/>
        <v>Ontario</v>
      </c>
      <c r="R1615" s="5" t="str">
        <f t="shared" si="8"/>
        <v>Canada</v>
      </c>
    </row>
    <row r="1616">
      <c r="A1616" s="8" t="s">
        <v>8779</v>
      </c>
      <c r="B1616" s="10" t="s">
        <v>8780</v>
      </c>
      <c r="C1616" s="10" t="s">
        <v>8781</v>
      </c>
      <c r="D1616" s="10"/>
      <c r="E1616" s="10" t="s">
        <v>4836</v>
      </c>
      <c r="F1616" s="10" t="s">
        <v>192</v>
      </c>
      <c r="G1616" s="11" t="s">
        <v>8782</v>
      </c>
      <c r="H1616" s="11" t="s">
        <v>4757</v>
      </c>
      <c r="I1616" s="11" t="s">
        <v>4607</v>
      </c>
      <c r="J1616" s="9" t="str">
        <f>IFERROR(__xludf.DUMMYFUNCTION("""COMPUTED_VALUE"""),"https://www.google.com/search?newwindow=1&amp;ei=2MT0XrvGGM-vytMP1OyDgAY&amp;q=site%3Alinkedin.com+Shemara+D.+Manager,+Student+Programs")</f>
        <v>https://www.google.com/search?newwindow=1&amp;ei=2MT0XrvGGM-vytMP1OyDgAY&amp;q=site%3Alinkedin.com+Shemara+D.+Manager,+Student+Programs</v>
      </c>
      <c r="K1616" s="5" t="str">
        <f t="shared" si="1"/>
        <v>Shemara D.</v>
      </c>
      <c r="L1616" s="5" t="str">
        <f t="shared" si="2"/>
        <v>Manager, Student Programs</v>
      </c>
      <c r="M1616" s="5" t="str">
        <f t="shared" si="3"/>
        <v/>
      </c>
      <c r="N1616" s="5" t="str">
        <f t="shared" si="4"/>
        <v>Gowling WLG</v>
      </c>
      <c r="O1616" s="5" t="str">
        <f t="shared" si="5"/>
        <v>2 years 3 months in role and company</v>
      </c>
      <c r="P1616" s="5" t="str">
        <f t="shared" si="6"/>
        <v>Toronto</v>
      </c>
      <c r="Q1616" s="5" t="str">
        <f t="shared" si="7"/>
        <v>Ontario</v>
      </c>
      <c r="R1616" s="5" t="str">
        <f t="shared" si="8"/>
        <v>Canada</v>
      </c>
    </row>
    <row r="1617">
      <c r="A1617" s="8" t="s">
        <v>8783</v>
      </c>
      <c r="B1617" s="10" t="s">
        <v>8784</v>
      </c>
      <c r="C1617" s="10" t="s">
        <v>8785</v>
      </c>
      <c r="D1617" s="10"/>
      <c r="E1617" s="10" t="s">
        <v>8786</v>
      </c>
      <c r="F1617" s="10" t="s">
        <v>691</v>
      </c>
      <c r="G1617" s="11" t="s">
        <v>8782</v>
      </c>
      <c r="H1617" s="11" t="s">
        <v>4757</v>
      </c>
      <c r="I1617" s="11" t="s">
        <v>4607</v>
      </c>
      <c r="J1617" s="9" t="str">
        <f>IFERROR(__xludf.DUMMYFUNCTION("""COMPUTED_VALUE"""),"https://www.google.com/search?newwindow=1&amp;ei=2MT0XrvGGM-vytMP1OyDgAY&amp;q=site%3Alinkedin.com+Sadia+Khan+Interim+National+Director,+Student+Programs")</f>
        <v>https://www.google.com/search?newwindow=1&amp;ei=2MT0XrvGGM-vytMP1OyDgAY&amp;q=site%3Alinkedin.com+Sadia+Khan+Interim+National+Director,+Student+Programs</v>
      </c>
      <c r="K1617" s="5" t="str">
        <f t="shared" si="1"/>
        <v>Sadia Khan</v>
      </c>
      <c r="L1617" s="5" t="str">
        <f t="shared" si="2"/>
        <v>Interim National Director, Student Programs</v>
      </c>
      <c r="M1617" s="5" t="str">
        <f t="shared" si="3"/>
        <v/>
      </c>
      <c r="N1617" s="5" t="str">
        <f t="shared" si="4"/>
        <v>The Learning Partnership</v>
      </c>
      <c r="O1617" s="5" t="str">
        <f t="shared" si="5"/>
        <v>3 months in role and company</v>
      </c>
      <c r="P1617" s="5" t="str">
        <f t="shared" si="6"/>
        <v>Toronto</v>
      </c>
      <c r="Q1617" s="5" t="str">
        <f t="shared" si="7"/>
        <v>Ontario</v>
      </c>
      <c r="R1617" s="5" t="str">
        <f t="shared" si="8"/>
        <v>Canada</v>
      </c>
    </row>
    <row r="1618">
      <c r="A1618" s="8" t="s">
        <v>8787</v>
      </c>
      <c r="B1618" s="10" t="s">
        <v>8788</v>
      </c>
      <c r="C1618" s="10" t="s">
        <v>8789</v>
      </c>
      <c r="D1618" s="10"/>
      <c r="E1618" s="10" t="s">
        <v>8790</v>
      </c>
      <c r="F1618" s="10" t="s">
        <v>60</v>
      </c>
      <c r="G1618" s="11" t="s">
        <v>8782</v>
      </c>
      <c r="H1618" s="11" t="s">
        <v>4757</v>
      </c>
      <c r="I1618" s="11" t="s">
        <v>4607</v>
      </c>
      <c r="J1618" s="9" t="str">
        <f>IFERROR(__xludf.DUMMYFUNCTION("""COMPUTED_VALUE"""),"https://www.google.com/search?newwindow=1&amp;ei=2MT0XrvGGM-vytMP1OyDgAY&amp;q=site%3Alinkedin.com+Lindsay+Kantor+Director+of+Student+Programs")</f>
        <v>https://www.google.com/search?newwindow=1&amp;ei=2MT0XrvGGM-vytMP1OyDgAY&amp;q=site%3Alinkedin.com+Lindsay+Kantor+Director+of+Student+Programs</v>
      </c>
      <c r="K1618" s="5" t="str">
        <f t="shared" si="1"/>
        <v>Lindsay Kantor</v>
      </c>
      <c r="L1618" s="5" t="str">
        <f t="shared" si="2"/>
        <v>Director of Student Programs</v>
      </c>
      <c r="M1618" s="5" t="str">
        <f t="shared" si="3"/>
        <v/>
      </c>
      <c r="N1618" s="5" t="str">
        <f t="shared" si="4"/>
        <v>Torkin Manes LLP</v>
      </c>
      <c r="O1618" s="5" t="str">
        <f t="shared" si="5"/>
        <v>5 years 6 months in role</v>
      </c>
      <c r="P1618" s="5" t="str">
        <f t="shared" si="6"/>
        <v>Toronto</v>
      </c>
      <c r="Q1618" s="5" t="str">
        <f t="shared" si="7"/>
        <v>Ontario</v>
      </c>
      <c r="R1618" s="5" t="str">
        <f t="shared" si="8"/>
        <v>Canada</v>
      </c>
    </row>
    <row r="1619">
      <c r="A1619" s="8" t="s">
        <v>8791</v>
      </c>
      <c r="B1619" s="10" t="s">
        <v>8792</v>
      </c>
      <c r="C1619" s="10" t="s">
        <v>5054</v>
      </c>
      <c r="D1619" s="10"/>
      <c r="E1619" s="10" t="s">
        <v>702</v>
      </c>
      <c r="F1619" s="10" t="s">
        <v>188</v>
      </c>
      <c r="G1619" s="11" t="s">
        <v>8782</v>
      </c>
      <c r="H1619" s="11" t="s">
        <v>4757</v>
      </c>
      <c r="I1619" s="11" t="s">
        <v>4607</v>
      </c>
      <c r="J1619" s="9" t="str">
        <f>IFERROR(__xludf.DUMMYFUNCTION("""COMPUTED_VALUE"""),"https://www.google.com/search?newwindow=1&amp;ei=2MT0XrvGGM-vytMP1OyDgAY&amp;q=site%3Alinkedin.com+Ali+Mirsky+Co-Director,+Associate+&amp;+Student+Programs")</f>
        <v>https://www.google.com/search?newwindow=1&amp;ei=2MT0XrvGGM-vytMP1OyDgAY&amp;q=site%3Alinkedin.com+Ali+Mirsky+Co-Director,+Associate+&amp;+Student+Programs</v>
      </c>
      <c r="K1619" s="5" t="str">
        <f t="shared" si="1"/>
        <v>Ali Mirsky</v>
      </c>
      <c r="L1619" s="5" t="str">
        <f t="shared" si="2"/>
        <v>Co-Director, Associate &amp; Student Programs</v>
      </c>
      <c r="M1619" s="5" t="str">
        <f t="shared" si="3"/>
        <v/>
      </c>
      <c r="N1619" s="5" t="str">
        <f t="shared" si="4"/>
        <v>Goodmans LLP</v>
      </c>
      <c r="O1619" s="5" t="str">
        <f t="shared" si="5"/>
        <v>2 years 2 months in role and company</v>
      </c>
      <c r="P1619" s="5" t="str">
        <f t="shared" si="6"/>
        <v>Toronto</v>
      </c>
      <c r="Q1619" s="5" t="str">
        <f t="shared" si="7"/>
        <v>Ontario</v>
      </c>
      <c r="R1619" s="5" t="str">
        <f t="shared" si="8"/>
        <v>Canada</v>
      </c>
    </row>
    <row r="1620">
      <c r="A1620" s="8" t="s">
        <v>8793</v>
      </c>
      <c r="B1620" s="10" t="s">
        <v>8794</v>
      </c>
      <c r="C1620" s="10" t="s">
        <v>8473</v>
      </c>
      <c r="D1620" s="10"/>
      <c r="E1620" s="10" t="s">
        <v>5276</v>
      </c>
      <c r="F1620" s="10" t="s">
        <v>2035</v>
      </c>
      <c r="G1620" s="11" t="s">
        <v>8795</v>
      </c>
      <c r="H1620" s="11" t="s">
        <v>4644</v>
      </c>
      <c r="I1620" s="11" t="s">
        <v>4600</v>
      </c>
      <c r="J1620" s="9" t="str">
        <f>IFERROR(__xludf.DUMMYFUNCTION("""COMPUTED_VALUE"""),"https://www.google.com/search?newwindow=1&amp;ei=2MT0XrvGGM-vytMP1OyDgAY&amp;q=site%3Alinkedin.com+Adeena+Ali+Graduate+Programs+Assistant")</f>
        <v>https://www.google.com/search?newwindow=1&amp;ei=2MT0XrvGGM-vytMP1OyDgAY&amp;q=site%3Alinkedin.com+Adeena+Ali+Graduate+Programs+Assistant</v>
      </c>
      <c r="K1620" s="5" t="str">
        <f t="shared" si="1"/>
        <v>Adeena Ali</v>
      </c>
      <c r="L1620" s="5" t="str">
        <f t="shared" si="2"/>
        <v>Graduate Programs Assistant</v>
      </c>
      <c r="M1620" s="5" t="str">
        <f t="shared" si="3"/>
        <v/>
      </c>
      <c r="N1620" s="5" t="str">
        <f t="shared" si="4"/>
        <v>Ted Rogers School of Management at Ryerson University</v>
      </c>
      <c r="O1620" s="5" t="str">
        <f t="shared" si="5"/>
        <v>2 months in role and company</v>
      </c>
      <c r="P1620" s="5" t="str">
        <f t="shared" si="6"/>
        <v>Toronto</v>
      </c>
      <c r="Q1620" s="5" t="str">
        <f t="shared" si="7"/>
        <v>Ontario</v>
      </c>
      <c r="R1620" s="5" t="str">
        <f t="shared" si="8"/>
        <v>Canada</v>
      </c>
    </row>
    <row r="1621">
      <c r="A1621" s="8" t="s">
        <v>8796</v>
      </c>
      <c r="B1621" s="12" t="s">
        <v>2971</v>
      </c>
      <c r="C1621" s="10" t="s">
        <v>2155</v>
      </c>
      <c r="D1621" s="10"/>
      <c r="E1621" s="10" t="s">
        <v>4659</v>
      </c>
      <c r="F1621" s="10" t="s">
        <v>496</v>
      </c>
      <c r="G1621" s="11" t="s">
        <v>2972</v>
      </c>
      <c r="H1621" s="11" t="s">
        <v>96</v>
      </c>
      <c r="I1621" s="11" t="s">
        <v>18</v>
      </c>
      <c r="J1621" s="9" t="str">
        <f>IFERROR(__xludf.DUMMYFUNCTION("""COMPUTED_VALUE"""),"https://www.google.com/search?newwindow=1&amp;ei=2MT0XrvGGM-vytMP1OyDgAY&amp;q=site%3Alinkedin.com+Lynn+Thomson+Associate+and+Student+Programs+Director")</f>
        <v>https://www.google.com/search?newwindow=1&amp;ei=2MT0XrvGGM-vytMP1OyDgAY&amp;q=site%3Alinkedin.com+Lynn+Thomson+Associate+and+Student+Programs+Director</v>
      </c>
      <c r="K1621" s="5" t="str">
        <f t="shared" si="1"/>
        <v>Lynn Thomson</v>
      </c>
      <c r="L1621" s="5" t="str">
        <f t="shared" si="2"/>
        <v>Associate and Student Programs Director</v>
      </c>
      <c r="M1621" s="5" t="str">
        <f t="shared" si="3"/>
        <v/>
      </c>
      <c r="N1621" s="5" t="str">
        <f t="shared" si="4"/>
        <v>Norton Rose Fulbright Canada LLP</v>
      </c>
      <c r="O1621" s="5" t="str">
        <f t="shared" si="5"/>
        <v>12 years 9 months in role and company</v>
      </c>
      <c r="P1621" s="5" t="str">
        <f t="shared" si="6"/>
        <v>Toronto</v>
      </c>
      <c r="Q1621" s="5" t="str">
        <f t="shared" si="7"/>
        <v>Ontario</v>
      </c>
      <c r="R1621" s="5" t="str">
        <f t="shared" si="8"/>
        <v>Canada</v>
      </c>
    </row>
    <row r="1622">
      <c r="A1622" s="8" t="s">
        <v>8797</v>
      </c>
      <c r="B1622" s="10" t="s">
        <v>8798</v>
      </c>
      <c r="C1622" s="10" t="s">
        <v>5054</v>
      </c>
      <c r="D1622" s="10"/>
      <c r="E1622" s="10" t="s">
        <v>14</v>
      </c>
      <c r="F1622" s="10" t="s">
        <v>691</v>
      </c>
      <c r="G1622" s="11" t="s">
        <v>8799</v>
      </c>
      <c r="H1622" s="11" t="s">
        <v>4757</v>
      </c>
      <c r="I1622" s="11" t="s">
        <v>4607</v>
      </c>
      <c r="J1622" s="9" t="str">
        <f>IFERROR(__xludf.DUMMYFUNCTION("""COMPUTED_VALUE"""),"https://www.google.com/search?newwindow=1&amp;ei=2MT0XrvGGM-vytMP1OyDgAY&amp;q=site%3Alinkedin.com+Ruth+Durgy+Associate+&amp;+Student+Programs+Coordinator")</f>
        <v>https://www.google.com/search?newwindow=1&amp;ei=2MT0XrvGGM-vytMP1OyDgAY&amp;q=site%3Alinkedin.com+Ruth+Durgy+Associate+&amp;+Student+Programs+Coordinator</v>
      </c>
      <c r="K1622" s="5" t="str">
        <f t="shared" si="1"/>
        <v>Ruth Durgy</v>
      </c>
      <c r="L1622" s="5" t="str">
        <f t="shared" si="2"/>
        <v>Associate &amp; Student Programs Coordinator</v>
      </c>
      <c r="M1622" s="5" t="str">
        <f t="shared" si="3"/>
        <v/>
      </c>
      <c r="N1622" s="5" t="str">
        <f t="shared" si="4"/>
        <v>Gowling WLG</v>
      </c>
      <c r="O1622" s="5" t="str">
        <f t="shared" si="5"/>
        <v>1 year 3 months in role and company</v>
      </c>
      <c r="P1622" s="5" t="str">
        <f t="shared" si="6"/>
        <v>Toronto</v>
      </c>
      <c r="Q1622" s="5" t="str">
        <f t="shared" si="7"/>
        <v>Ontario</v>
      </c>
      <c r="R1622" s="5" t="str">
        <f t="shared" si="8"/>
        <v>Canada</v>
      </c>
    </row>
    <row r="1623">
      <c r="A1623" s="8" t="s">
        <v>8800</v>
      </c>
      <c r="B1623" s="12" t="s">
        <v>2978</v>
      </c>
      <c r="C1623" s="10" t="s">
        <v>2155</v>
      </c>
      <c r="D1623" s="10"/>
      <c r="E1623" s="10" t="s">
        <v>4659</v>
      </c>
      <c r="F1623" s="10" t="s">
        <v>409</v>
      </c>
      <c r="G1623" s="11" t="s">
        <v>2979</v>
      </c>
      <c r="H1623" s="11" t="s">
        <v>137</v>
      </c>
      <c r="I1623" s="11" t="s">
        <v>18</v>
      </c>
      <c r="J1623" s="9" t="str">
        <f>IFERROR(__xludf.DUMMYFUNCTION("""COMPUTED_VALUE"""),"https://www.google.com/search?newwindow=1&amp;ei=2MT0XrvGGM-vytMP1OyDgAY&amp;q=site%3Alinkedin.com+Jenna+Nensi+Student+Researcher")</f>
        <v>https://www.google.com/search?newwindow=1&amp;ei=2MT0XrvGGM-vytMP1OyDgAY&amp;q=site%3Alinkedin.com+Jenna+Nensi+Student+Researcher</v>
      </c>
      <c r="K1623" s="5" t="str">
        <f t="shared" si="1"/>
        <v>Jenna Nensi</v>
      </c>
      <c r="L1623" s="5" t="str">
        <f t="shared" si="2"/>
        <v>Student Researcher</v>
      </c>
      <c r="M1623" s="5" t="str">
        <f t="shared" si="3"/>
        <v/>
      </c>
      <c r="N1623" s="5" t="str">
        <f t="shared" si="4"/>
        <v>Kingston Health Sciences Centre</v>
      </c>
      <c r="O1623" s="5" t="str">
        <f t="shared" si="5"/>
        <v>10 months in role and company</v>
      </c>
      <c r="P1623" s="5" t="str">
        <f t="shared" si="6"/>
        <v>Toronto</v>
      </c>
      <c r="Q1623" s="5" t="str">
        <f t="shared" si="7"/>
        <v>Ontario</v>
      </c>
      <c r="R1623" s="5" t="str">
        <f t="shared" si="8"/>
        <v>Canada</v>
      </c>
    </row>
    <row r="1624">
      <c r="A1624" s="8" t="s">
        <v>8801</v>
      </c>
      <c r="B1624" s="10" t="s">
        <v>8802</v>
      </c>
      <c r="C1624" s="10" t="s">
        <v>2911</v>
      </c>
      <c r="D1624" s="10"/>
      <c r="E1624" s="10" t="s">
        <v>2839</v>
      </c>
      <c r="F1624" s="10" t="s">
        <v>8803</v>
      </c>
      <c r="G1624" s="11" t="s">
        <v>669</v>
      </c>
      <c r="H1624" s="11" t="s">
        <v>17</v>
      </c>
      <c r="I1624" s="11" t="s">
        <v>18</v>
      </c>
      <c r="J1624" s="9" t="str">
        <f>IFERROR(__xludf.DUMMYFUNCTION("""COMPUTED_VALUE"""),"https://www.google.com/search?newwindow=1&amp;ei=2MT0XrvGGM-vytMP1OyDgAY&amp;q=site%3Alinkedin.com+Scott+Clarke+Associate+Director,+Student+Success+Programs,+Faculty+of+Arts+&amp;+Science")</f>
        <v>https://www.google.com/search?newwindow=1&amp;ei=2MT0XrvGGM-vytMP1OyDgAY&amp;q=site%3Alinkedin.com+Scott+Clarke+Associate+Director,+Student+Success+Programs,+Faculty+of+Arts+&amp;+Science</v>
      </c>
      <c r="K1624" s="5" t="str">
        <f t="shared" si="1"/>
        <v>Scott Clarke</v>
      </c>
      <c r="L1624" s="5" t="str">
        <f t="shared" si="2"/>
        <v>Associate Director, Student Success Programs, Faculty of Arts &amp; Science</v>
      </c>
      <c r="M1624" s="5" t="str">
        <f t="shared" si="3"/>
        <v/>
      </c>
      <c r="N1624" s="5" t="str">
        <f t="shared" si="4"/>
        <v>University of Toronto</v>
      </c>
      <c r="O1624" s="5" t="str">
        <f t="shared" si="5"/>
        <v>5 months in role</v>
      </c>
      <c r="P1624" s="5" t="str">
        <f t="shared" si="6"/>
        <v>Toronto</v>
      </c>
      <c r="Q1624" s="5" t="str">
        <f t="shared" si="7"/>
        <v>Ontario</v>
      </c>
      <c r="R1624" s="5" t="str">
        <f t="shared" si="8"/>
        <v>Canada</v>
      </c>
    </row>
    <row r="1625">
      <c r="A1625" s="8" t="s">
        <v>8804</v>
      </c>
      <c r="B1625" s="12" t="s">
        <v>1386</v>
      </c>
      <c r="C1625" s="10" t="s">
        <v>1387</v>
      </c>
      <c r="D1625" s="10"/>
      <c r="E1625" s="10" t="s">
        <v>1233</v>
      </c>
      <c r="F1625" s="10" t="s">
        <v>1364</v>
      </c>
      <c r="G1625" s="11" t="s">
        <v>669</v>
      </c>
      <c r="H1625" s="11" t="s">
        <v>17</v>
      </c>
      <c r="I1625" s="11" t="s">
        <v>18</v>
      </c>
      <c r="J1625" s="9" t="str">
        <f>IFERROR(__xludf.DUMMYFUNCTION("""COMPUTED_VALUE"""),"https://www.google.com/search?newwindow=1&amp;ei=2MT0XrvGGM-vytMP1OyDgAY&amp;q=site%3Alinkedin.com+Mackenzie+P.+Student+Engagement+and+Equity+Programs+Assistant")</f>
        <v>https://www.google.com/search?newwindow=1&amp;ei=2MT0XrvGGM-vytMP1OyDgAY&amp;q=site%3Alinkedin.com+Mackenzie+P.+Student+Engagement+and+Equity+Programs+Assistant</v>
      </c>
      <c r="K1625" s="5" t="str">
        <f t="shared" si="1"/>
        <v>Mackenzie P.</v>
      </c>
      <c r="L1625" s="5" t="str">
        <f t="shared" si="2"/>
        <v>Student Engagement and Equity Programs Assistant</v>
      </c>
      <c r="M1625" s="5" t="str">
        <f t="shared" si="3"/>
        <v/>
      </c>
      <c r="N1625" s="5" t="str">
        <f t="shared" si="4"/>
        <v>Ontario Tech University</v>
      </c>
      <c r="O1625" s="5" t="str">
        <f t="shared" si="5"/>
        <v>5 months in role and company</v>
      </c>
      <c r="P1625" s="5" t="str">
        <f t="shared" si="6"/>
        <v>Toronto</v>
      </c>
      <c r="Q1625" s="5" t="str">
        <f t="shared" si="7"/>
        <v>Ontario</v>
      </c>
      <c r="R1625" s="5" t="str">
        <f t="shared" si="8"/>
        <v>Canada</v>
      </c>
    </row>
    <row r="1626">
      <c r="A1626" s="8" t="s">
        <v>8805</v>
      </c>
      <c r="B1626" s="10" t="s">
        <v>8806</v>
      </c>
      <c r="C1626" s="10" t="s">
        <v>4754</v>
      </c>
      <c r="D1626" s="10"/>
      <c r="E1626" s="10" t="s">
        <v>8807</v>
      </c>
      <c r="F1626" s="10" t="s">
        <v>1892</v>
      </c>
      <c r="G1626" s="11" t="s">
        <v>8808</v>
      </c>
      <c r="H1626" s="11" t="s">
        <v>4757</v>
      </c>
      <c r="I1626" s="11" t="s">
        <v>4607</v>
      </c>
      <c r="J1626" s="9" t="str">
        <f>IFERROR(__xludf.DUMMYFUNCTION("""COMPUTED_VALUE"""),"https://www.google.com/search?newwindow=1&amp;ei=2MT0XrvGGM-vytMP1OyDgAY&amp;q=site%3Alinkedin.com+Emanuela+Varga+Intern+Exhibitions+and+Programs")</f>
        <v>https://www.google.com/search?newwindow=1&amp;ei=2MT0XrvGGM-vytMP1OyDgAY&amp;q=site%3Alinkedin.com+Emanuela+Varga+Intern+Exhibitions+and+Programs</v>
      </c>
      <c r="K1626" s="5" t="str">
        <f t="shared" si="1"/>
        <v>Emanuela Varga</v>
      </c>
      <c r="L1626" s="5" t="str">
        <f t="shared" si="2"/>
        <v>Intern Exhibitions and Programs</v>
      </c>
      <c r="M1626" s="5" t="str">
        <f t="shared" si="3"/>
        <v/>
      </c>
      <c r="N1626" s="5" t="str">
        <f t="shared" si="4"/>
        <v>museum Beelden aan Zee</v>
      </c>
      <c r="O1626" s="5" t="str">
        <f t="shared" si="5"/>
        <v>2 months in role and company</v>
      </c>
      <c r="P1626" s="5" t="str">
        <f t="shared" si="6"/>
        <v>Toronto</v>
      </c>
      <c r="Q1626" s="5" t="str">
        <f t="shared" si="7"/>
        <v>Ontario</v>
      </c>
      <c r="R1626" s="5" t="str">
        <f t="shared" si="8"/>
        <v>Canada</v>
      </c>
    </row>
    <row r="1627">
      <c r="A1627" s="8" t="s">
        <v>8809</v>
      </c>
      <c r="B1627" s="10" t="s">
        <v>8810</v>
      </c>
      <c r="C1627" s="10" t="s">
        <v>8811</v>
      </c>
      <c r="D1627" s="10"/>
      <c r="E1627" s="10" t="s">
        <v>8812</v>
      </c>
      <c r="F1627" s="10" t="s">
        <v>5033</v>
      </c>
      <c r="G1627" s="11" t="s">
        <v>8813</v>
      </c>
      <c r="H1627" s="11" t="s">
        <v>5566</v>
      </c>
      <c r="I1627" s="11" t="s">
        <v>4619</v>
      </c>
      <c r="J1627" s="9" t="str">
        <f>IFERROR(__xludf.DUMMYFUNCTION("""COMPUTED_VALUE"""),"https://www.google.com/search?newwindow=1&amp;ei=2MT0XrvGGM-vytMP1OyDgAY&amp;q=site%3Alinkedin.com+Cheryl+Biehler+Assistant+Director,+Student+Programs+&amp;+Continuing+Legal+Education")</f>
        <v>https://www.google.com/search?newwindow=1&amp;ei=2MT0XrvGGM-vytMP1OyDgAY&amp;q=site%3Alinkedin.com+Cheryl+Biehler+Assistant+Director,+Student+Programs+&amp;+Continuing+Legal+Education</v>
      </c>
      <c r="K1627" s="5" t="str">
        <f t="shared" si="1"/>
        <v>Cheryl Biehler</v>
      </c>
      <c r="L1627" s="5" t="str">
        <f t="shared" si="2"/>
        <v>Assistant Director, Student Programs &amp; Continuing Legal Education</v>
      </c>
      <c r="M1627" s="5" t="str">
        <f t="shared" si="3"/>
        <v/>
      </c>
      <c r="N1627" s="5" t="str">
        <f t="shared" si="4"/>
        <v>Fasken</v>
      </c>
      <c r="O1627" s="5" t="str">
        <f t="shared" si="5"/>
        <v>1 year 4 months in role and company</v>
      </c>
      <c r="P1627" s="5" t="str">
        <f t="shared" si="6"/>
        <v>Toronto</v>
      </c>
      <c r="Q1627" s="5" t="str">
        <f t="shared" si="7"/>
        <v>Ontario</v>
      </c>
      <c r="R1627" s="5" t="str">
        <f t="shared" si="8"/>
        <v>Canada</v>
      </c>
    </row>
    <row r="1628">
      <c r="A1628" s="8" t="s">
        <v>8814</v>
      </c>
      <c r="B1628" s="12" t="s">
        <v>8815</v>
      </c>
      <c r="C1628" s="10" t="s">
        <v>8675</v>
      </c>
      <c r="D1628" s="10"/>
      <c r="E1628" s="10" t="s">
        <v>2839</v>
      </c>
      <c r="F1628" s="10" t="s">
        <v>237</v>
      </c>
      <c r="G1628" s="11" t="s">
        <v>8816</v>
      </c>
      <c r="H1628" s="11" t="s">
        <v>378</v>
      </c>
      <c r="I1628" s="11" t="s">
        <v>18</v>
      </c>
      <c r="J1628" s="9" t="str">
        <f>IFERROR(__xludf.DUMMYFUNCTION("""COMPUTED_VALUE"""),"https://www.google.com/search?newwindow=1&amp;ei=2MT0XrvGGM-vytMP1OyDgAY&amp;q=site%3Alinkedin.com+Mary+Stefanidis+Student+Success+Programs+Officer,+Faculty+of+Arts+&amp;+Science")</f>
        <v>https://www.google.com/search?newwindow=1&amp;ei=2MT0XrvGGM-vytMP1OyDgAY&amp;q=site%3Alinkedin.com+Mary+Stefanidis+Student+Success+Programs+Officer,+Faculty+of+Arts+&amp;+Science</v>
      </c>
      <c r="K1628" s="5" t="str">
        <f t="shared" si="1"/>
        <v>Mary Stefanidis</v>
      </c>
      <c r="L1628" s="5" t="str">
        <f t="shared" si="2"/>
        <v>Student Success Programs Officer, Faculty of Arts &amp; Science</v>
      </c>
      <c r="M1628" s="5" t="str">
        <f t="shared" si="3"/>
        <v/>
      </c>
      <c r="N1628" s="5" t="str">
        <f t="shared" si="4"/>
        <v>University of Toronto</v>
      </c>
      <c r="O1628" s="5" t="str">
        <f t="shared" si="5"/>
        <v>1 year 3 months in role</v>
      </c>
      <c r="P1628" s="5" t="str">
        <f t="shared" si="6"/>
        <v>Toronto</v>
      </c>
      <c r="Q1628" s="5" t="str">
        <f t="shared" si="7"/>
        <v>Ontario</v>
      </c>
      <c r="R1628" s="5" t="str">
        <f t="shared" si="8"/>
        <v>Canada</v>
      </c>
    </row>
    <row r="1629">
      <c r="A1629" s="8" t="s">
        <v>8817</v>
      </c>
      <c r="B1629" s="10" t="s">
        <v>8818</v>
      </c>
      <c r="C1629" s="10" t="s">
        <v>8819</v>
      </c>
      <c r="D1629" s="10"/>
      <c r="E1629" s="10" t="s">
        <v>8820</v>
      </c>
      <c r="F1629" s="10" t="s">
        <v>182</v>
      </c>
      <c r="G1629" s="11" t="s">
        <v>8821</v>
      </c>
      <c r="H1629" s="11" t="s">
        <v>5736</v>
      </c>
      <c r="I1629" s="11" t="s">
        <v>4619</v>
      </c>
      <c r="J1629" s="9" t="str">
        <f>IFERROR(__xludf.DUMMYFUNCTION("""COMPUTED_VALUE"""),"https://www.google.com/search?newwindow=1&amp;ei=2MT0XrvGGM-vytMP1OyDgAY&amp;q=site%3Alinkedin.com+Sarah+Memme+Student+Life+Coordinator,+Leadership+Programs")</f>
        <v>https://www.google.com/search?newwindow=1&amp;ei=2MT0XrvGGM-vytMP1OyDgAY&amp;q=site%3Alinkedin.com+Sarah+Memme+Student+Life+Coordinator,+Leadership+Programs</v>
      </c>
      <c r="K1629" s="5" t="str">
        <f t="shared" si="1"/>
        <v>Sarah Memme</v>
      </c>
      <c r="L1629" s="5" t="str">
        <f t="shared" si="2"/>
        <v>Student Life Coordinator, Leadership Programs</v>
      </c>
      <c r="M1629" s="5" t="str">
        <f t="shared" si="3"/>
        <v/>
      </c>
      <c r="N1629" s="5" t="str">
        <f t="shared" si="4"/>
        <v>University of Toronto</v>
      </c>
      <c r="O1629" s="5" t="str">
        <f t="shared" si="5"/>
        <v>4 years 10 months in role</v>
      </c>
      <c r="P1629" s="5" t="str">
        <f t="shared" si="6"/>
        <v>Toronto</v>
      </c>
      <c r="Q1629" s="5" t="str">
        <f t="shared" si="7"/>
        <v>Ontario</v>
      </c>
      <c r="R1629" s="5" t="str">
        <f t="shared" si="8"/>
        <v>Canada</v>
      </c>
    </row>
    <row r="1630">
      <c r="A1630" s="8" t="s">
        <v>8822</v>
      </c>
      <c r="B1630" s="10" t="s">
        <v>8823</v>
      </c>
      <c r="C1630" s="10" t="s">
        <v>8824</v>
      </c>
      <c r="D1630" s="10"/>
      <c r="E1630" s="10" t="s">
        <v>5032</v>
      </c>
      <c r="F1630" s="10" t="s">
        <v>68</v>
      </c>
      <c r="G1630" s="11" t="s">
        <v>8825</v>
      </c>
      <c r="H1630" s="11" t="s">
        <v>4971</v>
      </c>
      <c r="I1630" s="11" t="s">
        <v>4619</v>
      </c>
      <c r="J1630" s="9" t="str">
        <f>IFERROR(__xludf.DUMMYFUNCTION("""COMPUTED_VALUE"""),"https://www.google.com/search?newwindow=1&amp;ei=2MT0XrvGGM-vytMP1OyDgAY&amp;q=site%3Alinkedin.com+Lisa+Weekes+Principal,+Care+and+Treatment+Programs+(Student+Services)")</f>
        <v>https://www.google.com/search?newwindow=1&amp;ei=2MT0XrvGGM-vytMP1OyDgAY&amp;q=site%3Alinkedin.com+Lisa+Weekes+Principal,+Care+and+Treatment+Programs+(Student+Services)</v>
      </c>
      <c r="K1630" s="5" t="str">
        <f t="shared" si="1"/>
        <v>Lisa Weekes</v>
      </c>
      <c r="L1630" s="5" t="str">
        <f t="shared" si="2"/>
        <v>Principal, Care and Treatment Programs (Student Services)</v>
      </c>
      <c r="M1630" s="5" t="str">
        <f t="shared" si="3"/>
        <v/>
      </c>
      <c r="N1630" s="5" t="str">
        <f t="shared" si="4"/>
        <v>York Region District School Board</v>
      </c>
      <c r="O1630" s="5" t="str">
        <f t="shared" si="5"/>
        <v>4 years 5 months in role</v>
      </c>
      <c r="P1630" s="5" t="str">
        <f t="shared" si="6"/>
        <v>Toronto</v>
      </c>
      <c r="Q1630" s="5" t="str">
        <f t="shared" si="7"/>
        <v>Ontario</v>
      </c>
      <c r="R1630" s="5" t="str">
        <f t="shared" si="8"/>
        <v>Canada</v>
      </c>
    </row>
    <row r="1631">
      <c r="A1631" s="8" t="s">
        <v>6134</v>
      </c>
      <c r="B1631" s="12" t="s">
        <v>6135</v>
      </c>
      <c r="C1631" s="10" t="s">
        <v>4749</v>
      </c>
      <c r="D1631" s="10"/>
      <c r="E1631" s="10" t="s">
        <v>4701</v>
      </c>
      <c r="F1631" s="10"/>
      <c r="G1631" s="11" t="s">
        <v>3781</v>
      </c>
      <c r="H1631" s="11" t="s">
        <v>184</v>
      </c>
      <c r="I1631" s="11" t="s">
        <v>18</v>
      </c>
      <c r="J1631" s="9" t="str">
        <f>IFERROR(__xludf.DUMMYFUNCTION("""COMPUTED_VALUE"""),"https://www.google.com/search?newwindow=1&amp;ei=2MT0XrvGGM-vytMP1OyDgAY&amp;q=site%3Alinkedin.com+Brittany+Cohen+Student+Development+Coordinator,+Career+Resources+&amp;+Online+Technology")</f>
        <v>https://www.google.com/search?newwindow=1&amp;ei=2MT0XrvGGM-vytMP1OyDgAY&amp;q=site%3Alinkedin.com+Brittany+Cohen+Student+Development+Coordinator,+Career+Resources+&amp;+Online+Technology</v>
      </c>
      <c r="K1631" s="5" t="str">
        <f t="shared" si="1"/>
        <v>Brittany Cohen</v>
      </c>
      <c r="L1631" s="5" t="str">
        <f t="shared" si="2"/>
        <v>Student Development Coordinator, Career Resources &amp; Online Technology</v>
      </c>
      <c r="M1631" s="5" t="str">
        <f t="shared" si="3"/>
        <v/>
      </c>
      <c r="N1631" s="5" t="str">
        <f t="shared" si="4"/>
        <v>University of Toronto</v>
      </c>
      <c r="O1631" s="5" t="str">
        <f t="shared" si="5"/>
        <v>2 months in role and company</v>
      </c>
      <c r="P1631" s="5" t="str">
        <f t="shared" si="6"/>
        <v>Toronto</v>
      </c>
      <c r="Q1631" s="5" t="str">
        <f t="shared" si="7"/>
        <v>Ontario</v>
      </c>
      <c r="R1631" s="5" t="str">
        <f t="shared" si="8"/>
        <v>Canada</v>
      </c>
    </row>
    <row r="1632">
      <c r="A1632" s="8" t="s">
        <v>8826</v>
      </c>
      <c r="B1632" s="10" t="s">
        <v>3150</v>
      </c>
      <c r="C1632" s="10" t="s">
        <v>3151</v>
      </c>
      <c r="D1632" s="10"/>
      <c r="E1632" s="10" t="s">
        <v>3090</v>
      </c>
      <c r="F1632" s="10" t="s">
        <v>421</v>
      </c>
      <c r="G1632" s="11" t="s">
        <v>3152</v>
      </c>
      <c r="H1632" s="13" t="s">
        <v>264</v>
      </c>
      <c r="I1632" s="11" t="s">
        <v>18</v>
      </c>
      <c r="J1632" s="9" t="str">
        <f>IFERROR(__xludf.DUMMYFUNCTION("""COMPUTED_VALUE"""),"https://www.google.com/search?newwindow=1&amp;ei=2MT0XrvGGM-vytMP1OyDgAY&amp;q=site%3Alinkedin.com+Heather+Kelly,+Ed.D+Executive+Director,+Student+Life+Programs+&amp;+Services,+University+of+Toronto")</f>
        <v>https://www.google.com/search?newwindow=1&amp;ei=2MT0XrvGGM-vytMP1OyDgAY&amp;q=site%3Alinkedin.com+Heather+Kelly,+Ed.D+Executive+Director,+Student+Life+Programs+&amp;+Services,+University+of+Toronto</v>
      </c>
      <c r="K1632" s="5" t="str">
        <f t="shared" si="1"/>
        <v>Heather Kelly, Ed.D</v>
      </c>
      <c r="L1632" s="5" t="str">
        <f t="shared" si="2"/>
        <v>Executive Director, Student Life Programs &amp; Services, University of Toronto</v>
      </c>
      <c r="M1632" s="5" t="str">
        <f t="shared" si="3"/>
        <v/>
      </c>
      <c r="N1632" s="5" t="str">
        <f t="shared" si="4"/>
        <v>University of Toronto</v>
      </c>
      <c r="O1632" s="5" t="str">
        <f t="shared" si="5"/>
        <v>1 year 4 months in role</v>
      </c>
      <c r="P1632" s="5" t="str">
        <f t="shared" si="6"/>
        <v>Toronto</v>
      </c>
      <c r="Q1632" s="5" t="str">
        <f t="shared" si="7"/>
        <v>Ontario</v>
      </c>
      <c r="R1632" s="5" t="str">
        <f t="shared" si="8"/>
        <v>Canada</v>
      </c>
    </row>
    <row r="1633">
      <c r="A1633" s="8" t="s">
        <v>8827</v>
      </c>
      <c r="B1633" s="10" t="s">
        <v>8828</v>
      </c>
      <c r="C1633" s="10" t="s">
        <v>8829</v>
      </c>
      <c r="D1633" s="10"/>
      <c r="E1633" s="10" t="s">
        <v>5276</v>
      </c>
      <c r="F1633" s="10" t="s">
        <v>144</v>
      </c>
      <c r="G1633" s="11" t="s">
        <v>8830</v>
      </c>
      <c r="H1633" s="11" t="s">
        <v>4644</v>
      </c>
      <c r="I1633" s="11" t="s">
        <v>4600</v>
      </c>
      <c r="J1633" s="9" t="str">
        <f>IFERROR(__xludf.DUMMYFUNCTION("""COMPUTED_VALUE"""),"https://www.google.com/search?newwindow=1&amp;ei=2MT0XrvGGM-vytMP1OyDgAY&amp;q=site%3Alinkedin.com+Heather+K.+Education+Programs+Student")</f>
        <v>https://www.google.com/search?newwindow=1&amp;ei=2MT0XrvGGM-vytMP1OyDgAY&amp;q=site%3Alinkedin.com+Heather+K.+Education+Programs+Student</v>
      </c>
      <c r="K1633" s="5" t="str">
        <f t="shared" si="1"/>
        <v>Heather K.</v>
      </c>
      <c r="L1633" s="5" t="str">
        <f t="shared" si="2"/>
        <v>Education Programs Student</v>
      </c>
      <c r="M1633" s="5" t="str">
        <f t="shared" si="3"/>
        <v/>
      </c>
      <c r="N1633" s="5" t="str">
        <f t="shared" si="4"/>
        <v>Indigenous Services Canada | Services aux Autochtones Canada</v>
      </c>
      <c r="O1633" s="5" t="str">
        <f t="shared" si="5"/>
        <v>1 year 10 months in role and company</v>
      </c>
      <c r="P1633" s="5" t="str">
        <f t="shared" si="6"/>
        <v>Toronto</v>
      </c>
      <c r="Q1633" s="5" t="str">
        <f t="shared" si="7"/>
        <v>Ontario</v>
      </c>
      <c r="R1633" s="5" t="str">
        <f t="shared" si="8"/>
        <v>Canada</v>
      </c>
    </row>
    <row r="1634">
      <c r="A1634" s="8" t="s">
        <v>8831</v>
      </c>
      <c r="B1634" s="12" t="s">
        <v>8832</v>
      </c>
      <c r="C1634" s="10" t="s">
        <v>5068</v>
      </c>
      <c r="D1634" s="10"/>
      <c r="E1634" s="10" t="s">
        <v>8833</v>
      </c>
      <c r="F1634" s="10" t="s">
        <v>734</v>
      </c>
      <c r="G1634" s="11" t="s">
        <v>8834</v>
      </c>
      <c r="H1634" s="11" t="s">
        <v>4638</v>
      </c>
      <c r="I1634" s="11" t="s">
        <v>4600</v>
      </c>
      <c r="J1634" s="9" t="str">
        <f>IFERROR(__xludf.DUMMYFUNCTION("""COMPUTED_VALUE"""),"https://www.google.com/search?newwindow=1&amp;ei=2MT0XrvGGM-vytMP1OyDgAY&amp;q=site%3Alinkedin.com+Justin+Mihaly+Co-Chair+of+Student+Senate+Caucus")</f>
        <v>https://www.google.com/search?newwindow=1&amp;ei=2MT0XrvGGM-vytMP1OyDgAY&amp;q=site%3Alinkedin.com+Justin+Mihaly+Co-Chair+of+Student+Senate+Caucus</v>
      </c>
      <c r="K1634" s="5" t="str">
        <f t="shared" si="1"/>
        <v>Justin Mihaly</v>
      </c>
      <c r="L1634" s="5" t="str">
        <f t="shared" si="2"/>
        <v>Co-Chair of Student Senate Caucus</v>
      </c>
      <c r="M1634" s="5" t="str">
        <f t="shared" si="3"/>
        <v/>
      </c>
      <c r="N1634" s="5" t="str">
        <f t="shared" si="4"/>
        <v>University of Guelph</v>
      </c>
      <c r="O1634" s="5" t="str">
        <f t="shared" si="5"/>
        <v>2 months in role</v>
      </c>
      <c r="P1634" s="5" t="str">
        <f t="shared" si="6"/>
        <v>Toronto</v>
      </c>
      <c r="Q1634" s="5" t="str">
        <f t="shared" si="7"/>
        <v>Ontario</v>
      </c>
      <c r="R1634" s="5" t="str">
        <f t="shared" si="8"/>
        <v>Canada</v>
      </c>
    </row>
    <row r="1635">
      <c r="A1635" s="8" t="s">
        <v>8835</v>
      </c>
      <c r="B1635" s="10" t="s">
        <v>8836</v>
      </c>
      <c r="C1635" s="10" t="s">
        <v>8837</v>
      </c>
      <c r="D1635" s="10"/>
      <c r="E1635" s="10" t="s">
        <v>8838</v>
      </c>
      <c r="F1635" s="10" t="s">
        <v>1089</v>
      </c>
      <c r="G1635" s="11" t="s">
        <v>8839</v>
      </c>
      <c r="H1635" s="11" t="s">
        <v>7673</v>
      </c>
      <c r="I1635" s="11" t="s">
        <v>4600</v>
      </c>
      <c r="J1635" s="9" t="str">
        <f>IFERROR(__xludf.DUMMYFUNCTION("""COMPUTED_VALUE"""),"https://www.google.com/search?newwindow=1&amp;ei=2MT0XrvGGM-vytMP1OyDgAY&amp;q=site%3Alinkedin.com+Ari+Blicker+Director,+Student+&amp;+Associate+Programs")</f>
        <v>https://www.google.com/search?newwindow=1&amp;ei=2MT0XrvGGM-vytMP1OyDgAY&amp;q=site%3Alinkedin.com+Ari+Blicker+Director,+Student+&amp;+Associate+Programs</v>
      </c>
      <c r="K1635" s="5" t="str">
        <f t="shared" si="1"/>
        <v>Ari Blicker</v>
      </c>
      <c r="L1635" s="5" t="str">
        <f t="shared" si="2"/>
        <v>Director, Student &amp; Associate Programs</v>
      </c>
      <c r="M1635" s="5" t="str">
        <f t="shared" si="3"/>
        <v/>
      </c>
      <c r="N1635" s="5" t="str">
        <f t="shared" si="4"/>
        <v>Aird &amp; Berlis LLP</v>
      </c>
      <c r="O1635" s="5" t="str">
        <f t="shared" si="5"/>
        <v>11 years 4 months in role and company</v>
      </c>
      <c r="P1635" s="5" t="str">
        <f t="shared" si="6"/>
        <v>Toronto</v>
      </c>
      <c r="Q1635" s="5" t="str">
        <f t="shared" si="7"/>
        <v>Ontario</v>
      </c>
      <c r="R1635" s="5" t="str">
        <f t="shared" si="8"/>
        <v>Canada</v>
      </c>
    </row>
    <row r="1636">
      <c r="A1636" s="8" t="s">
        <v>8840</v>
      </c>
      <c r="B1636" s="10" t="s">
        <v>8841</v>
      </c>
      <c r="C1636" s="10" t="s">
        <v>8842</v>
      </c>
      <c r="D1636" s="10"/>
      <c r="E1636" s="10" t="s">
        <v>8843</v>
      </c>
      <c r="F1636" s="10" t="s">
        <v>1809</v>
      </c>
      <c r="G1636" s="11" t="s">
        <v>8839</v>
      </c>
      <c r="H1636" s="11" t="s">
        <v>7673</v>
      </c>
      <c r="I1636" s="11" t="s">
        <v>4600</v>
      </c>
      <c r="J1636" s="9" t="str">
        <f>IFERROR(__xludf.DUMMYFUNCTION("""COMPUTED_VALUE"""),"https://www.google.com/search?newwindow=1&amp;ei=2MT0XrvGGM-vytMP1OyDgAY&amp;q=site%3Alinkedin.com+Lewis+Waring+Summer+Student+(Manitoba+Infrastructure+-+Policy,+Programs+&amp;+Regulation)")</f>
        <v>https://www.google.com/search?newwindow=1&amp;ei=2MT0XrvGGM-vytMP1OyDgAY&amp;q=site%3Alinkedin.com+Lewis+Waring+Summer+Student+(Manitoba+Infrastructure+-+Policy,+Programs+&amp;+Regulation)</v>
      </c>
      <c r="K1636" s="5" t="str">
        <f t="shared" si="1"/>
        <v>Lewis Waring</v>
      </c>
      <c r="L1636" s="5" t="str">
        <f t="shared" si="2"/>
        <v>Summer Student (Manitoba Infrastructure - Policy, Programs &amp; Regulation)</v>
      </c>
      <c r="M1636" s="5" t="str">
        <f t="shared" si="3"/>
        <v/>
      </c>
      <c r="N1636" s="5" t="str">
        <f t="shared" si="4"/>
        <v>Government of Manitoba</v>
      </c>
      <c r="O1636" s="5" t="str">
        <f t="shared" si="5"/>
        <v>4 months in role and company</v>
      </c>
      <c r="P1636" s="5" t="str">
        <f t="shared" si="6"/>
        <v>Toronto</v>
      </c>
      <c r="Q1636" s="5" t="str">
        <f t="shared" si="7"/>
        <v>Ontario</v>
      </c>
      <c r="R1636" s="5" t="str">
        <f t="shared" si="8"/>
        <v>Canada</v>
      </c>
    </row>
    <row r="1637">
      <c r="A1637" s="8" t="s">
        <v>8844</v>
      </c>
      <c r="B1637" s="10" t="s">
        <v>8845</v>
      </c>
      <c r="C1637" s="10" t="s">
        <v>8846</v>
      </c>
      <c r="D1637" s="12"/>
      <c r="E1637" s="12" t="s">
        <v>8847</v>
      </c>
      <c r="F1637" s="10"/>
      <c r="G1637" s="11" t="s">
        <v>8839</v>
      </c>
      <c r="H1637" s="11" t="s">
        <v>7673</v>
      </c>
      <c r="I1637" s="11" t="s">
        <v>4600</v>
      </c>
      <c r="J1637" s="9" t="str">
        <f>IFERROR(__xludf.DUMMYFUNCTION("""COMPUTED_VALUE"""),"https://www.google.com/search?newwindow=1&amp;ei=2MT0XrvGGM-vytMP1OyDgAY&amp;q=site%3Alinkedin.com+Kimberly+Daniels+Orientation+&amp;+Student+Life+Programs+Coordinator")</f>
        <v>https://www.google.com/search?newwindow=1&amp;ei=2MT0XrvGGM-vytMP1OyDgAY&amp;q=site%3Alinkedin.com+Kimberly+Daniels+Orientation+&amp;+Student+Life+Programs+Coordinator</v>
      </c>
      <c r="K1637" s="5" t="str">
        <f t="shared" si="1"/>
        <v>Kimberly Daniels</v>
      </c>
      <c r="L1637" s="5" t="str">
        <f t="shared" si="2"/>
        <v>Orientation &amp; Student Life Programs Coordinator</v>
      </c>
      <c r="M1637" s="5" t="str">
        <f t="shared" si="3"/>
        <v/>
      </c>
      <c r="N1637" s="5" t="str">
        <f t="shared" si="4"/>
        <v>Humber College</v>
      </c>
      <c r="O1637" s="5" t="str">
        <f t="shared" si="5"/>
        <v>9 months in role and company</v>
      </c>
      <c r="P1637" s="5" t="str">
        <f t="shared" si="6"/>
        <v>Toronto</v>
      </c>
      <c r="Q1637" s="5" t="str">
        <f t="shared" si="7"/>
        <v>Ontario</v>
      </c>
      <c r="R1637" s="5" t="str">
        <f t="shared" si="8"/>
        <v>Canada</v>
      </c>
    </row>
    <row r="1638">
      <c r="A1638" s="8" t="s">
        <v>8848</v>
      </c>
      <c r="B1638" s="10" t="s">
        <v>8849</v>
      </c>
      <c r="C1638" s="10" t="s">
        <v>1378</v>
      </c>
      <c r="D1638" s="10"/>
      <c r="E1638" s="10" t="s">
        <v>1233</v>
      </c>
      <c r="F1638" s="10" t="s">
        <v>125</v>
      </c>
      <c r="G1638" s="11" t="s">
        <v>1022</v>
      </c>
      <c r="H1638" s="11" t="s">
        <v>264</v>
      </c>
      <c r="I1638" s="11" t="s">
        <v>18</v>
      </c>
      <c r="J1638" s="9" t="str">
        <f>IFERROR(__xludf.DUMMYFUNCTION("""COMPUTED_VALUE"""),"https://www.google.com/search?newwindow=1&amp;ei=2MT0XrvGGM-vytMP1OyDgAY&amp;q=site%3Alinkedin.com+Peter+Koutsokeris+Coordinator,+Orientation+&amp;+Transition+Programs")</f>
        <v>https://www.google.com/search?newwindow=1&amp;ei=2MT0XrvGGM-vytMP1OyDgAY&amp;q=site%3Alinkedin.com+Peter+Koutsokeris+Coordinator,+Orientation+&amp;+Transition+Programs</v>
      </c>
      <c r="K1638" s="5" t="str">
        <f t="shared" si="1"/>
        <v>Peter Koutsokeris</v>
      </c>
      <c r="L1638" s="5" t="str">
        <f t="shared" si="2"/>
        <v>Coordinator, Orientation &amp; Transition Programs</v>
      </c>
      <c r="M1638" s="5" t="str">
        <f t="shared" si="3"/>
        <v/>
      </c>
      <c r="N1638" s="5" t="str">
        <f t="shared" si="4"/>
        <v>George Brown College</v>
      </c>
      <c r="O1638" s="5" t="str">
        <f t="shared" si="5"/>
        <v>1 year 5 months in role</v>
      </c>
      <c r="P1638" s="5" t="str">
        <f t="shared" si="6"/>
        <v>Toronto</v>
      </c>
      <c r="Q1638" s="5" t="str">
        <f t="shared" si="7"/>
        <v>Ontario</v>
      </c>
      <c r="R1638" s="5" t="str">
        <f t="shared" si="8"/>
        <v>Canada</v>
      </c>
    </row>
    <row r="1639">
      <c r="A1639" s="8" t="s">
        <v>8850</v>
      </c>
      <c r="B1639" s="10" t="s">
        <v>8851</v>
      </c>
      <c r="C1639" s="10" t="s">
        <v>7194</v>
      </c>
      <c r="D1639" s="10"/>
      <c r="E1639" s="10" t="s">
        <v>1560</v>
      </c>
      <c r="F1639" s="10" t="s">
        <v>1249</v>
      </c>
      <c r="G1639" s="11" t="s">
        <v>1022</v>
      </c>
      <c r="H1639" s="11" t="s">
        <v>264</v>
      </c>
      <c r="I1639" s="11" t="s">
        <v>18</v>
      </c>
      <c r="J1639" s="9" t="str">
        <f>IFERROR(__xludf.DUMMYFUNCTION("""COMPUTED_VALUE"""),"https://www.google.com/search?newwindow=1&amp;ei=2MT0XrvGGM-vytMP1OyDgAY&amp;q=site%3Alinkedin.com+Ayesha+R.+Student+Success+Programs+Assistant")</f>
        <v>https://www.google.com/search?newwindow=1&amp;ei=2MT0XrvGGM-vytMP1OyDgAY&amp;q=site%3Alinkedin.com+Ayesha+R.+Student+Success+Programs+Assistant</v>
      </c>
      <c r="K1639" s="5" t="str">
        <f t="shared" si="1"/>
        <v>Ayesha R.</v>
      </c>
      <c r="L1639" s="5" t="str">
        <f t="shared" si="2"/>
        <v>Student Success Programs Assistant</v>
      </c>
      <c r="M1639" s="5" t="str">
        <f t="shared" si="3"/>
        <v/>
      </c>
      <c r="N1639" s="5" t="str">
        <f t="shared" si="4"/>
        <v>University of Toronto</v>
      </c>
      <c r="O1639" s="5" t="str">
        <f t="shared" si="5"/>
        <v>1 year 6 months in role and company</v>
      </c>
      <c r="P1639" s="5" t="str">
        <f t="shared" si="6"/>
        <v>Toronto</v>
      </c>
      <c r="Q1639" s="5" t="str">
        <f t="shared" si="7"/>
        <v>Ontario</v>
      </c>
      <c r="R1639" s="5" t="str">
        <f t="shared" si="8"/>
        <v>Canada</v>
      </c>
    </row>
    <row r="1640">
      <c r="A1640" s="8" t="s">
        <v>8852</v>
      </c>
      <c r="B1640" s="12" t="s">
        <v>1389</v>
      </c>
      <c r="C1640" s="10" t="s">
        <v>1390</v>
      </c>
      <c r="D1640" s="10"/>
      <c r="E1640" s="10" t="s">
        <v>1233</v>
      </c>
      <c r="F1640" s="10" t="s">
        <v>106</v>
      </c>
      <c r="G1640" s="11" t="s">
        <v>1391</v>
      </c>
      <c r="H1640" s="11" t="s">
        <v>954</v>
      </c>
      <c r="I1640" s="11" t="s">
        <v>18</v>
      </c>
      <c r="J1640" s="9" t="str">
        <f>IFERROR(__xludf.DUMMYFUNCTION("""COMPUTED_VALUE"""),"https://www.google.com/search?newwindow=1&amp;ei=2MT0XrvGGM-vytMP1OyDgAY&amp;q=site%3Alinkedin.com+Claire+Fraser+Coordinator,+Student+&amp;+Legal+Professional+Programs")</f>
        <v>https://www.google.com/search?newwindow=1&amp;ei=2MT0XrvGGM-vytMP1OyDgAY&amp;q=site%3Alinkedin.com+Claire+Fraser+Coordinator,+Student+&amp;+Legal+Professional+Programs</v>
      </c>
      <c r="K1640" s="5" t="str">
        <f t="shared" si="1"/>
        <v>Claire Fraser</v>
      </c>
      <c r="L1640" s="5" t="str">
        <f t="shared" si="2"/>
        <v>Coordinator, Student &amp; Legal Professional Programs</v>
      </c>
      <c r="M1640" s="5" t="str">
        <f t="shared" si="3"/>
        <v/>
      </c>
      <c r="N1640" s="5" t="str">
        <f t="shared" si="4"/>
        <v>Stikeman Elliott LLP</v>
      </c>
      <c r="O1640" s="5" t="str">
        <f t="shared" si="5"/>
        <v>2 years 3 months in role</v>
      </c>
      <c r="P1640" s="5" t="str">
        <f t="shared" si="6"/>
        <v>Toronto</v>
      </c>
      <c r="Q1640" s="5" t="str">
        <f t="shared" si="7"/>
        <v>Ontario</v>
      </c>
      <c r="R1640" s="5" t="str">
        <f t="shared" si="8"/>
        <v>Canada</v>
      </c>
    </row>
    <row r="1641">
      <c r="A1641" s="8" t="s">
        <v>8853</v>
      </c>
      <c r="B1641" s="10" t="s">
        <v>8854</v>
      </c>
      <c r="C1641" s="10" t="s">
        <v>5054</v>
      </c>
      <c r="D1641" s="10"/>
      <c r="E1641" s="10" t="s">
        <v>8855</v>
      </c>
      <c r="F1641" s="10" t="s">
        <v>5112</v>
      </c>
      <c r="G1641" s="11" t="s">
        <v>8856</v>
      </c>
      <c r="H1641" s="11" t="s">
        <v>4757</v>
      </c>
      <c r="I1641" s="11" t="s">
        <v>4607</v>
      </c>
      <c r="J1641" s="9" t="str">
        <f>IFERROR(__xludf.DUMMYFUNCTION("""COMPUTED_VALUE"""),"https://www.google.com/search?newwindow=1&amp;ei=2MT0XrvGGM-vytMP1OyDgAY&amp;q=site%3Alinkedin.com+Karen+Alexanian+Student+Employment+Programs+Coordinator")</f>
        <v>https://www.google.com/search?newwindow=1&amp;ei=2MT0XrvGGM-vytMP1OyDgAY&amp;q=site%3Alinkedin.com+Karen+Alexanian+Student+Employment+Programs+Coordinator</v>
      </c>
      <c r="K1641" s="5" t="str">
        <f t="shared" si="1"/>
        <v>Karen Alexanian</v>
      </c>
      <c r="L1641" s="5" t="str">
        <f t="shared" si="2"/>
        <v>Student Employment Programs Coordinator</v>
      </c>
      <c r="M1641" s="5" t="str">
        <f t="shared" si="3"/>
        <v/>
      </c>
      <c r="N1641" s="5" t="str">
        <f t="shared" si="4"/>
        <v>Ontario Government</v>
      </c>
      <c r="O1641" s="5" t="str">
        <f t="shared" si="5"/>
        <v>10 months in role</v>
      </c>
      <c r="P1641" s="5" t="str">
        <f t="shared" si="6"/>
        <v>Toronto</v>
      </c>
      <c r="Q1641" s="5" t="str">
        <f t="shared" si="7"/>
        <v>Ontario</v>
      </c>
      <c r="R1641" s="5" t="str">
        <f t="shared" si="8"/>
        <v>Canada</v>
      </c>
    </row>
    <row r="1642">
      <c r="A1642" s="8" t="s">
        <v>8857</v>
      </c>
      <c r="B1642" s="10" t="s">
        <v>8858</v>
      </c>
      <c r="C1642" s="10" t="s">
        <v>4596</v>
      </c>
      <c r="D1642" s="10"/>
      <c r="E1642" s="10" t="s">
        <v>8859</v>
      </c>
      <c r="F1642" s="10" t="s">
        <v>7421</v>
      </c>
      <c r="G1642" s="11" t="s">
        <v>8860</v>
      </c>
      <c r="H1642" s="11" t="s">
        <v>4638</v>
      </c>
      <c r="I1642" s="11" t="s">
        <v>4600</v>
      </c>
      <c r="J1642" s="9" t="str">
        <f>IFERROR(__xludf.DUMMYFUNCTION("""COMPUTED_VALUE"""),"https://www.google.com/search?newwindow=1&amp;ei=2MT0XrvGGM-vytMP1OyDgAY&amp;q=site%3Alinkedin.com+Rebekkah+Nighswander,+M.Ed.+Coordinator,+First+Year+Programs+(Office+of+Student+Experience+&amp;+Wellbeing)")</f>
        <v>https://www.google.com/search?newwindow=1&amp;ei=2MT0XrvGGM-vytMP1OyDgAY&amp;q=site%3Alinkedin.com+Rebekkah+Nighswander,+M.Ed.+Coordinator,+First+Year+Programs+(Office+of+Student+Experience+&amp;+Wellbeing)</v>
      </c>
      <c r="K1642" s="5" t="str">
        <f t="shared" si="1"/>
        <v>Rebekkah Nighswander, M.Ed.</v>
      </c>
      <c r="L1642" s="5" t="str">
        <f t="shared" si="2"/>
        <v>Coordinator, First Year Programs (Office of Student Experience &amp; Wellbeing)</v>
      </c>
      <c r="M1642" s="5" t="str">
        <f t="shared" si="3"/>
        <v/>
      </c>
      <c r="N1642" s="5" t="str">
        <f t="shared" si="4"/>
        <v>University of Toronto Scarborough</v>
      </c>
      <c r="O1642" s="5" t="str">
        <f t="shared" si="5"/>
        <v>2 years 2 months in role</v>
      </c>
      <c r="P1642" s="5" t="str">
        <f t="shared" si="6"/>
        <v>Toronto</v>
      </c>
      <c r="Q1642" s="5" t="str">
        <f t="shared" si="7"/>
        <v>Ontario</v>
      </c>
      <c r="R1642" s="5" t="str">
        <f t="shared" si="8"/>
        <v>Canada</v>
      </c>
    </row>
    <row r="1643">
      <c r="A1643" s="8" t="s">
        <v>8861</v>
      </c>
      <c r="B1643" s="10" t="s">
        <v>8862</v>
      </c>
      <c r="C1643" s="10" t="s">
        <v>8863</v>
      </c>
      <c r="D1643" s="10"/>
      <c r="E1643" s="10" t="s">
        <v>4611</v>
      </c>
      <c r="F1643" s="10" t="s">
        <v>694</v>
      </c>
      <c r="G1643" s="11" t="s">
        <v>2178</v>
      </c>
      <c r="H1643" s="11" t="s">
        <v>1305</v>
      </c>
      <c r="I1643" s="11" t="s">
        <v>18</v>
      </c>
      <c r="J1643" s="9" t="str">
        <f>IFERROR(__xludf.DUMMYFUNCTION("""COMPUTED_VALUE"""),"https://www.google.com/search?newwindow=1&amp;ei=2MT0XrvGGM-vytMP1OyDgAY&amp;q=site%3Alinkedin.com+Sophia+Orfanakos+Student+Success+Programs+Study+Groups+Assistant")</f>
        <v>https://www.google.com/search?newwindow=1&amp;ei=2MT0XrvGGM-vytMP1OyDgAY&amp;q=site%3Alinkedin.com+Sophia+Orfanakos+Student+Success+Programs+Study+Groups+Assistant</v>
      </c>
      <c r="K1643" s="5" t="str">
        <f t="shared" si="1"/>
        <v>Sophia Orfanakos</v>
      </c>
      <c r="L1643" s="5" t="str">
        <f t="shared" si="2"/>
        <v>Student Success Programs Study Groups Assistant</v>
      </c>
      <c r="M1643" s="5" t="str">
        <f t="shared" si="3"/>
        <v/>
      </c>
      <c r="N1643" s="5" t="str">
        <f t="shared" si="4"/>
        <v>University of Toronto</v>
      </c>
      <c r="O1643" s="5" t="str">
        <f t="shared" si="5"/>
        <v>6 months in role and company</v>
      </c>
      <c r="P1643" s="5" t="str">
        <f t="shared" si="6"/>
        <v>Toronto</v>
      </c>
      <c r="Q1643" s="5" t="str">
        <f t="shared" si="7"/>
        <v>Ontario</v>
      </c>
      <c r="R1643" s="5" t="str">
        <f t="shared" si="8"/>
        <v>Canada</v>
      </c>
    </row>
    <row r="1644">
      <c r="A1644" s="8" t="s">
        <v>8864</v>
      </c>
      <c r="B1644" s="12" t="s">
        <v>8865</v>
      </c>
      <c r="C1644" s="10" t="s">
        <v>4718</v>
      </c>
      <c r="D1644" s="10"/>
      <c r="E1644" s="10" t="s">
        <v>4701</v>
      </c>
      <c r="F1644" s="10" t="s">
        <v>84</v>
      </c>
      <c r="G1644" s="11" t="s">
        <v>2178</v>
      </c>
      <c r="H1644" s="11" t="s">
        <v>1305</v>
      </c>
      <c r="I1644" s="11" t="s">
        <v>18</v>
      </c>
      <c r="J1644" s="9" t="str">
        <f>IFERROR(__xludf.DUMMYFUNCTION("""COMPUTED_VALUE"""),"https://www.google.com/search?newwindow=1&amp;ei=2MT0XrvGGM-vytMP1OyDgAY&amp;q=site%3Alinkedin.com+Eleni+Skederidis+Recruitment+Manager")</f>
        <v>https://www.google.com/search?newwindow=1&amp;ei=2MT0XrvGGM-vytMP1OyDgAY&amp;q=site%3Alinkedin.com+Eleni+Skederidis+Recruitment+Manager</v>
      </c>
      <c r="K1644" s="5" t="str">
        <f t="shared" si="1"/>
        <v>Eleni Skederidis</v>
      </c>
      <c r="L1644" s="5" t="str">
        <f t="shared" si="2"/>
        <v>Recruitment Manager</v>
      </c>
      <c r="M1644" s="5" t="str">
        <f t="shared" si="3"/>
        <v/>
      </c>
      <c r="N1644" s="5" t="str">
        <f t="shared" si="4"/>
        <v>Baker McKenzie</v>
      </c>
      <c r="O1644" s="5" t="str">
        <f t="shared" si="5"/>
        <v>10 months in role</v>
      </c>
      <c r="P1644" s="5" t="str">
        <f t="shared" si="6"/>
        <v>Toronto</v>
      </c>
      <c r="Q1644" s="5" t="str">
        <f t="shared" si="7"/>
        <v>Ontario</v>
      </c>
      <c r="R1644" s="5" t="str">
        <f t="shared" si="8"/>
        <v>Canada</v>
      </c>
    </row>
    <row r="1645">
      <c r="A1645" s="8" t="s">
        <v>8866</v>
      </c>
      <c r="B1645" s="10" t="s">
        <v>8867</v>
      </c>
      <c r="C1645" s="10" t="s">
        <v>2911</v>
      </c>
      <c r="D1645" s="10"/>
      <c r="E1645" s="10" t="s">
        <v>2839</v>
      </c>
      <c r="F1645" s="10" t="s">
        <v>2035</v>
      </c>
      <c r="G1645" s="11" t="s">
        <v>2178</v>
      </c>
      <c r="H1645" s="11" t="s">
        <v>1305</v>
      </c>
      <c r="I1645" s="11" t="s">
        <v>18</v>
      </c>
      <c r="J1645" s="9" t="str">
        <f>IFERROR(__xludf.DUMMYFUNCTION("""COMPUTED_VALUE"""),"https://www.google.com/search?newwindow=1&amp;ei=2MT0XrvGGM-vytMP1OyDgAY&amp;q=site%3Alinkedin.com+Afreen+M.+RU+Noted+and+Transition+Programs+Assistant+|+Student+Wellbeing,+Academic+Accommodation+Support")</f>
        <v>https://www.google.com/search?newwindow=1&amp;ei=2MT0XrvGGM-vytMP1OyDgAY&amp;q=site%3Alinkedin.com+Afreen+M.+RU+Noted+and+Transition+Programs+Assistant+|+Student+Wellbeing,+Academic+Accommodation+Support</v>
      </c>
      <c r="K1645" s="5" t="str">
        <f t="shared" si="1"/>
        <v>Afreen M.</v>
      </c>
      <c r="L1645" s="5" t="str">
        <f t="shared" si="2"/>
        <v>RU Noted and Transition Programs Assistant | Student Wellbeing, Academic Accommodation Support</v>
      </c>
      <c r="M1645" s="5" t="str">
        <f t="shared" si="3"/>
        <v/>
      </c>
      <c r="N1645" s="5" t="str">
        <f t="shared" si="4"/>
        <v>Ryerson University</v>
      </c>
      <c r="O1645" s="5" t="str">
        <f t="shared" si="5"/>
        <v>2 months in role</v>
      </c>
      <c r="P1645" s="5" t="str">
        <f t="shared" si="6"/>
        <v>Toronto</v>
      </c>
      <c r="Q1645" s="5" t="str">
        <f t="shared" si="7"/>
        <v>Ontario</v>
      </c>
      <c r="R1645" s="5" t="str">
        <f t="shared" si="8"/>
        <v>Canada</v>
      </c>
    </row>
    <row r="1646">
      <c r="A1646" s="8" t="s">
        <v>8868</v>
      </c>
      <c r="B1646" s="10" t="s">
        <v>8869</v>
      </c>
      <c r="C1646" s="10" t="s">
        <v>8870</v>
      </c>
      <c r="D1646" s="10"/>
      <c r="E1646" s="10" t="s">
        <v>8871</v>
      </c>
      <c r="F1646" s="10" t="s">
        <v>182</v>
      </c>
      <c r="G1646" s="11" t="s">
        <v>8872</v>
      </c>
      <c r="H1646" s="11" t="s">
        <v>4757</v>
      </c>
      <c r="I1646" s="11" t="s">
        <v>4607</v>
      </c>
      <c r="J1646" s="9" t="str">
        <f>IFERROR(__xludf.DUMMYFUNCTION("""COMPUTED_VALUE"""),"https://www.google.com/search?newwindow=1&amp;ei=2MT0XrvGGM-vytMP1OyDgAY&amp;q=site%3Alinkedin.com+Inez+Bertao+Executive+Assistant+to+Co-Director,+Associate+&amp;+Student+Program+/+Coordinator,+Student+Programs")</f>
        <v>https://www.google.com/search?newwindow=1&amp;ei=2MT0XrvGGM-vytMP1OyDgAY&amp;q=site%3Alinkedin.com+Inez+Bertao+Executive+Assistant+to+Co-Director,+Associate+&amp;+Student+Program+/+Coordinator,+Student+Programs</v>
      </c>
      <c r="K1646" s="5" t="str">
        <f t="shared" si="1"/>
        <v>Inez Bertao</v>
      </c>
      <c r="L1646" s="5" t="str">
        <f t="shared" si="2"/>
        <v>Executive Assistant to Co-Director, Associate &amp; Student Program / Coordinator, Student Programs</v>
      </c>
      <c r="M1646" s="5" t="str">
        <f t="shared" si="3"/>
        <v/>
      </c>
      <c r="N1646" s="5" t="str">
        <f t="shared" si="4"/>
        <v>Goodmans LLP</v>
      </c>
      <c r="O1646" s="5" t="str">
        <f t="shared" si="5"/>
        <v>28 years 9 months in role and company</v>
      </c>
      <c r="P1646" s="5" t="str">
        <f t="shared" si="6"/>
        <v>Toronto</v>
      </c>
      <c r="Q1646" s="5" t="str">
        <f t="shared" si="7"/>
        <v>Ontario</v>
      </c>
      <c r="R1646" s="5" t="str">
        <f t="shared" si="8"/>
        <v>Canada</v>
      </c>
    </row>
    <row r="1647">
      <c r="A1647" s="8" t="s">
        <v>8873</v>
      </c>
      <c r="B1647" s="10" t="s">
        <v>8874</v>
      </c>
      <c r="C1647" s="10" t="s">
        <v>5160</v>
      </c>
      <c r="D1647" s="10"/>
      <c r="E1647" s="10" t="s">
        <v>8875</v>
      </c>
      <c r="F1647" s="10" t="s">
        <v>182</v>
      </c>
      <c r="G1647" s="11" t="s">
        <v>8872</v>
      </c>
      <c r="H1647" s="11" t="s">
        <v>4757</v>
      </c>
      <c r="I1647" s="11" t="s">
        <v>4607</v>
      </c>
      <c r="J1647" s="9" t="str">
        <f>IFERROR(__xludf.DUMMYFUNCTION("""COMPUTED_VALUE"""),"https://www.google.com/search?newwindow=1&amp;ei=2MT0XrvGGM-vytMP1OyDgAY&amp;q=site%3Alinkedin.com+Nadia+Rosemond+Assistant+Dean,+Co-Curricular+Programs+and+Student+Leadership")</f>
        <v>https://www.google.com/search?newwindow=1&amp;ei=2MT0XrvGGM-vytMP1OyDgAY&amp;q=site%3Alinkedin.com+Nadia+Rosemond+Assistant+Dean,+Co-Curricular+Programs+and+Student+Leadership</v>
      </c>
      <c r="K1647" s="5" t="str">
        <f t="shared" si="1"/>
        <v>Nadia Rosemond</v>
      </c>
      <c r="L1647" s="5" t="str">
        <f t="shared" si="2"/>
        <v>Assistant Dean, Co-Curricular Programs and Student Leadership</v>
      </c>
      <c r="M1647" s="5" t="str">
        <f t="shared" si="3"/>
        <v/>
      </c>
      <c r="N1647" s="5" t="str">
        <f t="shared" si="4"/>
        <v>University of Toronto Scarborough</v>
      </c>
      <c r="O1647" s="5" t="str">
        <f t="shared" si="5"/>
        <v>1 year 1 month in role and company</v>
      </c>
      <c r="P1647" s="5" t="str">
        <f t="shared" si="6"/>
        <v>Toronto</v>
      </c>
      <c r="Q1647" s="5" t="str">
        <f t="shared" si="7"/>
        <v>Ontario</v>
      </c>
      <c r="R1647" s="5" t="str">
        <f t="shared" si="8"/>
        <v>Canada</v>
      </c>
    </row>
    <row r="1648">
      <c r="A1648" s="8" t="s">
        <v>8876</v>
      </c>
      <c r="B1648" s="12" t="s">
        <v>8877</v>
      </c>
      <c r="C1648" s="10" t="s">
        <v>5054</v>
      </c>
      <c r="D1648" s="10"/>
      <c r="E1648" s="10" t="s">
        <v>8878</v>
      </c>
      <c r="F1648" s="10" t="s">
        <v>2213</v>
      </c>
      <c r="G1648" s="11" t="s">
        <v>8879</v>
      </c>
      <c r="H1648" s="11" t="s">
        <v>4757</v>
      </c>
      <c r="I1648" s="11" t="s">
        <v>4607</v>
      </c>
      <c r="J1648" s="9" t="str">
        <f>IFERROR(__xludf.DUMMYFUNCTION("""COMPUTED_VALUE"""),"https://www.google.com/search?newwindow=1&amp;ei=2MT0XrvGGM-vytMP1OyDgAY&amp;q=site%3Alinkedin.com+Natalee+Veisi+Student+Assistant,+Student+Development+Programs")</f>
        <v>https://www.google.com/search?newwindow=1&amp;ei=2MT0XrvGGM-vytMP1OyDgAY&amp;q=site%3Alinkedin.com+Natalee+Veisi+Student+Assistant,+Student+Development+Programs</v>
      </c>
      <c r="K1648" s="5" t="str">
        <f t="shared" si="1"/>
        <v>Natalee Veisi</v>
      </c>
      <c r="L1648" s="5" t="str">
        <f t="shared" si="2"/>
        <v>Student Assistant, Student Development Programs</v>
      </c>
      <c r="M1648" s="5" t="str">
        <f t="shared" si="3"/>
        <v/>
      </c>
      <c r="N1648" s="5" t="str">
        <f t="shared" si="4"/>
        <v>Queen's University</v>
      </c>
      <c r="O1648" s="5" t="str">
        <f t="shared" si="5"/>
        <v>1 year 2 months in role and company</v>
      </c>
      <c r="P1648" s="5" t="str">
        <f t="shared" si="6"/>
        <v>Toronto</v>
      </c>
      <c r="Q1648" s="5" t="str">
        <f t="shared" si="7"/>
        <v>Ontario</v>
      </c>
      <c r="R1648" s="5" t="str">
        <f t="shared" si="8"/>
        <v>Canada</v>
      </c>
    </row>
    <row r="1649">
      <c r="A1649" s="8" t="s">
        <v>8880</v>
      </c>
      <c r="B1649" s="10" t="s">
        <v>8881</v>
      </c>
      <c r="C1649" s="10" t="s">
        <v>8882</v>
      </c>
      <c r="D1649" s="10"/>
      <c r="E1649" s="10" t="s">
        <v>8883</v>
      </c>
      <c r="F1649" s="10" t="s">
        <v>314</v>
      </c>
      <c r="G1649" s="13" t="s">
        <v>8884</v>
      </c>
      <c r="H1649" s="11" t="s">
        <v>4757</v>
      </c>
      <c r="I1649" s="11" t="s">
        <v>4607</v>
      </c>
      <c r="J1649" s="9" t="str">
        <f>IFERROR(__xludf.DUMMYFUNCTION("""COMPUTED_VALUE"""),"https://www.google.com/search?newwindow=1&amp;ei=2MT0XrvGGM-vytMP1OyDgAY&amp;q=site%3Alinkedin.com+Angelique+Dack+Student+Engagement+and+Equity+Programs+Assistant")</f>
        <v>https://www.google.com/search?newwindow=1&amp;ei=2MT0XrvGGM-vytMP1OyDgAY&amp;q=site%3Alinkedin.com+Angelique+Dack+Student+Engagement+and+Equity+Programs+Assistant</v>
      </c>
      <c r="K1649" s="5" t="str">
        <f t="shared" si="1"/>
        <v>Angelique Dack</v>
      </c>
      <c r="L1649" s="5" t="str">
        <f t="shared" si="2"/>
        <v>Student Engagement and Equity Programs Assistant</v>
      </c>
      <c r="M1649" s="5" t="str">
        <f t="shared" si="3"/>
        <v/>
      </c>
      <c r="N1649" s="5" t="str">
        <f t="shared" si="4"/>
        <v>Ontario Tech University</v>
      </c>
      <c r="O1649" s="5" t="str">
        <f t="shared" si="5"/>
        <v>5 months in role</v>
      </c>
      <c r="P1649" s="5" t="str">
        <f t="shared" si="6"/>
        <v>Toronto</v>
      </c>
      <c r="Q1649" s="5" t="str">
        <f t="shared" si="7"/>
        <v>Ontario</v>
      </c>
      <c r="R1649" s="5" t="str">
        <f t="shared" si="8"/>
        <v>Canada</v>
      </c>
    </row>
    <row r="1650">
      <c r="A1650" s="8" t="s">
        <v>8885</v>
      </c>
      <c r="B1650" s="10" t="s">
        <v>8886</v>
      </c>
      <c r="C1650" s="10" t="s">
        <v>5068</v>
      </c>
      <c r="D1650" s="10"/>
      <c r="E1650" s="10" t="s">
        <v>8887</v>
      </c>
      <c r="F1650" s="10" t="s">
        <v>15</v>
      </c>
      <c r="G1650" s="13" t="s">
        <v>8888</v>
      </c>
      <c r="H1650" s="11" t="s">
        <v>4638</v>
      </c>
      <c r="I1650" s="11" t="s">
        <v>4600</v>
      </c>
      <c r="J1650" s="9" t="str">
        <f>IFERROR(__xludf.DUMMYFUNCTION("""COMPUTED_VALUE"""),"https://www.google.com/search?newwindow=1&amp;ei=2MT0XrvGGM-vytMP1OyDgAY&amp;q=site%3Alinkedin.com+Stephanie+Q.+School+Based+Programs+and+Placement+Student+Specialist")</f>
        <v>https://www.google.com/search?newwindow=1&amp;ei=2MT0XrvGGM-vytMP1OyDgAY&amp;q=site%3Alinkedin.com+Stephanie+Q.+School+Based+Programs+and+Placement+Student+Specialist</v>
      </c>
      <c r="K1650" s="5" t="str">
        <f t="shared" si="1"/>
        <v>Stephanie Q.</v>
      </c>
      <c r="L1650" s="5" t="str">
        <f t="shared" si="2"/>
        <v>School Based Programs and Placement Student Specialist</v>
      </c>
      <c r="M1650" s="5" t="str">
        <f t="shared" si="3"/>
        <v/>
      </c>
      <c r="N1650" s="5" t="str">
        <f t="shared" si="4"/>
        <v>Big Brothers Big Sisters of Toronto</v>
      </c>
      <c r="O1650" s="5" t="str">
        <f t="shared" si="5"/>
        <v>8 months in role and company</v>
      </c>
      <c r="P1650" s="5" t="str">
        <f t="shared" si="6"/>
        <v>Toronto</v>
      </c>
      <c r="Q1650" s="5" t="str">
        <f t="shared" si="7"/>
        <v>Ontario</v>
      </c>
      <c r="R1650" s="5" t="str">
        <f t="shared" si="8"/>
        <v>Canada</v>
      </c>
    </row>
    <row r="1651">
      <c r="A1651" s="8" t="s">
        <v>8885</v>
      </c>
      <c r="B1651" s="10" t="s">
        <v>8886</v>
      </c>
      <c r="C1651" s="10" t="s">
        <v>5068</v>
      </c>
      <c r="D1651" s="10"/>
      <c r="E1651" s="10" t="s">
        <v>8887</v>
      </c>
      <c r="F1651" s="10" t="s">
        <v>15</v>
      </c>
      <c r="G1651" s="13" t="s">
        <v>8888</v>
      </c>
      <c r="H1651" s="11" t="s">
        <v>4638</v>
      </c>
      <c r="I1651" s="11" t="s">
        <v>4600</v>
      </c>
      <c r="J1651" s="9" t="str">
        <f>IFERROR(__xludf.DUMMYFUNCTION("""COMPUTED_VALUE"""),"https://www.google.com/search?newwindow=1&amp;ei=2MT0XrvGGM-vytMP1OyDgAY&amp;q=site%3Alinkedin.com+Kendel+Chitolie+International+Student+Advisor")</f>
        <v>https://www.google.com/search?newwindow=1&amp;ei=2MT0XrvGGM-vytMP1OyDgAY&amp;q=site%3Alinkedin.com+Kendel+Chitolie+International+Student+Advisor</v>
      </c>
      <c r="K1651" s="5" t="str">
        <f t="shared" si="1"/>
        <v>Kendel Chitolie</v>
      </c>
      <c r="L1651" s="5" t="str">
        <f t="shared" si="2"/>
        <v>International Student Advisor</v>
      </c>
      <c r="M1651" s="5" t="str">
        <f t="shared" si="3"/>
        <v/>
      </c>
      <c r="N1651" s="5" t="str">
        <f t="shared" si="4"/>
        <v>University of Toronto Scarborough</v>
      </c>
      <c r="O1651" s="5" t="str">
        <f t="shared" si="5"/>
        <v>3 years 6 months in role</v>
      </c>
      <c r="P1651" s="5" t="str">
        <f t="shared" si="6"/>
        <v>Toronto</v>
      </c>
      <c r="Q1651" s="5" t="str">
        <f t="shared" si="7"/>
        <v>Ontario</v>
      </c>
      <c r="R1651" s="5" t="str">
        <f t="shared" si="8"/>
        <v>Canada</v>
      </c>
    </row>
    <row r="1652">
      <c r="A1652" s="8" t="s">
        <v>8889</v>
      </c>
      <c r="B1652" s="12" t="s">
        <v>1396</v>
      </c>
      <c r="C1652" s="10" t="s">
        <v>1397</v>
      </c>
      <c r="D1652" s="10"/>
      <c r="E1652" s="10" t="s">
        <v>1233</v>
      </c>
      <c r="F1652" s="10" t="s">
        <v>1398</v>
      </c>
      <c r="G1652" s="11" t="s">
        <v>1399</v>
      </c>
      <c r="H1652" s="11" t="s">
        <v>96</v>
      </c>
      <c r="I1652" s="11" t="s">
        <v>18</v>
      </c>
      <c r="J1652" s="9" t="str">
        <f>IFERROR(__xludf.DUMMYFUNCTION("""COMPUTED_VALUE"""),"https://www.google.com/search?newwindow=1&amp;ei=2MT0XrvGGM-vytMP1OyDgAY&amp;q=site%3Alinkedin.com+Dana+Andrews+Director,+Program+Services+and+Student+Life,+Professional+MBA+&amp;+Specialized+Programs")</f>
        <v>https://www.google.com/search?newwindow=1&amp;ei=2MT0XrvGGM-vytMP1OyDgAY&amp;q=site%3Alinkedin.com+Dana+Andrews+Director,+Program+Services+and+Student+Life,+Professional+MBA+&amp;+Specialized+Programs</v>
      </c>
      <c r="K1652" s="5" t="str">
        <f t="shared" si="1"/>
        <v>Dana Andrews</v>
      </c>
      <c r="L1652" s="5" t="str">
        <f t="shared" si="2"/>
        <v>Director, Program Services and Student Life, Professional MBA &amp; Specialized Programs</v>
      </c>
      <c r="M1652" s="5" t="str">
        <f t="shared" si="3"/>
        <v>MBA</v>
      </c>
      <c r="N1652" s="5" t="str">
        <f t="shared" si="4"/>
        <v>University of Toronto - Rotman School of Management</v>
      </c>
      <c r="O1652" s="5" t="str">
        <f t="shared" si="5"/>
        <v>11 months in role and company</v>
      </c>
      <c r="P1652" s="5" t="str">
        <f t="shared" si="6"/>
        <v>Toronto</v>
      </c>
      <c r="Q1652" s="5" t="str">
        <f t="shared" si="7"/>
        <v>Ontario</v>
      </c>
      <c r="R1652" s="5" t="str">
        <f t="shared" si="8"/>
        <v>Canada</v>
      </c>
    </row>
    <row r="1653">
      <c r="A1653" s="8" t="s">
        <v>8890</v>
      </c>
      <c r="B1653" s="10" t="s">
        <v>8891</v>
      </c>
      <c r="C1653" s="10" t="s">
        <v>8892</v>
      </c>
      <c r="D1653" s="10"/>
      <c r="E1653" s="10" t="s">
        <v>8893</v>
      </c>
      <c r="F1653" s="10" t="s">
        <v>523</v>
      </c>
      <c r="G1653" s="11" t="s">
        <v>8894</v>
      </c>
      <c r="H1653" s="11" t="s">
        <v>4757</v>
      </c>
      <c r="I1653" s="11" t="s">
        <v>4607</v>
      </c>
      <c r="J1653" s="9" t="str">
        <f>IFERROR(__xludf.DUMMYFUNCTION("""COMPUTED_VALUE"""),"https://www.google.com/search?newwindow=1&amp;ei=2MT0XrvGGM-vytMP1OyDgAY&amp;q=site%3Alinkedin.com+Emily+Nguyen+Student+Success+Programs+Registered+Study+Group+(RSG)+Assistant")</f>
        <v>https://www.google.com/search?newwindow=1&amp;ei=2MT0XrvGGM-vytMP1OyDgAY&amp;q=site%3Alinkedin.com+Emily+Nguyen+Student+Success+Programs+Registered+Study+Group+(RSG)+Assistant</v>
      </c>
      <c r="K1653" s="5" t="str">
        <f t="shared" si="1"/>
        <v>Emily Nguyen</v>
      </c>
      <c r="L1653" s="5" t="str">
        <f t="shared" si="2"/>
        <v>Student Success Programs Registered Study Group (RSG) Assistant</v>
      </c>
      <c r="M1653" s="5" t="str">
        <f t="shared" si="3"/>
        <v/>
      </c>
      <c r="N1653" s="5" t="str">
        <f t="shared" si="4"/>
        <v>University of Toronto</v>
      </c>
      <c r="O1653" s="5" t="str">
        <f t="shared" si="5"/>
        <v>2 months in role</v>
      </c>
      <c r="P1653" s="5" t="str">
        <f t="shared" si="6"/>
        <v>Toronto</v>
      </c>
      <c r="Q1653" s="5" t="str">
        <f t="shared" si="7"/>
        <v>Ontario</v>
      </c>
      <c r="R1653" s="5" t="str">
        <f t="shared" si="8"/>
        <v>Canada</v>
      </c>
    </row>
    <row r="1654">
      <c r="A1654" s="8" t="s">
        <v>8895</v>
      </c>
      <c r="B1654" s="10" t="s">
        <v>8896</v>
      </c>
      <c r="C1654" s="10" t="s">
        <v>110</v>
      </c>
      <c r="D1654" s="10"/>
      <c r="E1654" s="10" t="s">
        <v>8897</v>
      </c>
      <c r="F1654" s="10" t="s">
        <v>165</v>
      </c>
      <c r="G1654" s="11" t="s">
        <v>8898</v>
      </c>
      <c r="H1654" s="11" t="s">
        <v>4757</v>
      </c>
      <c r="I1654" s="11" t="s">
        <v>4607</v>
      </c>
      <c r="J1654" s="9" t="str">
        <f>IFERROR(__xludf.DUMMYFUNCTION("""COMPUTED_VALUE"""),"https://www.google.com/search?newwindow=1&amp;ei=2MT0XrvGGM-vytMP1OyDgAY&amp;q=site%3Alinkedin.com+Ella+Bonaldi+Skate+Programs+Head+Instructor")</f>
        <v>https://www.google.com/search?newwindow=1&amp;ei=2MT0XrvGGM-vytMP1OyDgAY&amp;q=site%3Alinkedin.com+Ella+Bonaldi+Skate+Programs+Head+Instructor</v>
      </c>
      <c r="K1654" s="5" t="str">
        <f t="shared" si="1"/>
        <v>Ella Bonaldi</v>
      </c>
      <c r="L1654" s="5" t="str">
        <f t="shared" si="2"/>
        <v>Skate Programs Head Instructor</v>
      </c>
      <c r="M1654" s="5" t="str">
        <f t="shared" si="3"/>
        <v/>
      </c>
      <c r="N1654" s="5" t="str">
        <f t="shared" si="4"/>
        <v>Toronto Parks, Forestry and Recreation</v>
      </c>
      <c r="O1654" s="5" t="str">
        <f t="shared" si="5"/>
        <v>1 year 1 month in role and company</v>
      </c>
      <c r="P1654" s="5" t="str">
        <f t="shared" si="6"/>
        <v>Toronto</v>
      </c>
      <c r="Q1654" s="5" t="str">
        <f t="shared" si="7"/>
        <v>Ontario</v>
      </c>
      <c r="R1654" s="5" t="str">
        <f t="shared" si="8"/>
        <v>Canada</v>
      </c>
    </row>
    <row r="1655">
      <c r="A1655" s="8" t="s">
        <v>8899</v>
      </c>
      <c r="B1655" s="10" t="s">
        <v>3086</v>
      </c>
      <c r="C1655" s="10" t="s">
        <v>3087</v>
      </c>
      <c r="D1655" s="10"/>
      <c r="E1655" s="10" t="s">
        <v>3055</v>
      </c>
      <c r="F1655" s="10" t="s">
        <v>1065</v>
      </c>
      <c r="G1655" s="11" t="s">
        <v>468</v>
      </c>
      <c r="H1655" s="11" t="s">
        <v>44</v>
      </c>
      <c r="I1655" s="11" t="s">
        <v>18</v>
      </c>
      <c r="J1655" s="9" t="str">
        <f>IFERROR(__xludf.DUMMYFUNCTION("""COMPUTED_VALUE"""),"https://www.google.com/search?newwindow=1&amp;ei=2MT0XrvGGM-vytMP1OyDgAY&amp;q=site%3Alinkedin.com+Christine+Wolf,+CHRP+Coordinator,+Student+Programs")</f>
        <v>https://www.google.com/search?newwindow=1&amp;ei=2MT0XrvGGM-vytMP1OyDgAY&amp;q=site%3Alinkedin.com+Christine+Wolf,+CHRP+Coordinator,+Student+Programs</v>
      </c>
      <c r="K1655" s="5" t="str">
        <f t="shared" si="1"/>
        <v>Christine Wolf, CHRP</v>
      </c>
      <c r="L1655" s="5" t="str">
        <f t="shared" si="2"/>
        <v>Coordinator, Student Programs</v>
      </c>
      <c r="M1655" s="5" t="str">
        <f t="shared" si="3"/>
        <v/>
      </c>
      <c r="N1655" s="5" t="str">
        <f t="shared" si="4"/>
        <v>Osler, Hoskin &amp; Harcourt LLP</v>
      </c>
      <c r="O1655" s="5" t="str">
        <f t="shared" si="5"/>
        <v>2 years 7 months in role</v>
      </c>
      <c r="P1655" s="5" t="str">
        <f t="shared" si="6"/>
        <v>Toronto</v>
      </c>
      <c r="Q1655" s="5" t="str">
        <f t="shared" si="7"/>
        <v>Ontario</v>
      </c>
      <c r="R1655" s="5" t="str">
        <f t="shared" si="8"/>
        <v>Canada</v>
      </c>
    </row>
    <row r="1656">
      <c r="A1656" s="8" t="s">
        <v>8900</v>
      </c>
      <c r="B1656" s="10" t="s">
        <v>8901</v>
      </c>
      <c r="C1656" s="10" t="s">
        <v>8902</v>
      </c>
      <c r="D1656" s="10"/>
      <c r="E1656" s="10" t="s">
        <v>3055</v>
      </c>
      <c r="F1656" s="10" t="s">
        <v>314</v>
      </c>
      <c r="G1656" s="11" t="s">
        <v>468</v>
      </c>
      <c r="H1656" s="11" t="s">
        <v>44</v>
      </c>
      <c r="I1656" s="11" t="s">
        <v>18</v>
      </c>
      <c r="J1656" s="9" t="str">
        <f>IFERROR(__xludf.DUMMYFUNCTION("""COMPUTED_VALUE"""),"https://www.google.com/search?newwindow=1&amp;ei=2MT0XrvGGM-vytMP1OyDgAY&amp;q=site%3Alinkedin.com+Himanshi+Joshi+Employer+and+Student+Liaison,+Internship+Programs")</f>
        <v>https://www.google.com/search?newwindow=1&amp;ei=2MT0XrvGGM-vytMP1OyDgAY&amp;q=site%3Alinkedin.com+Himanshi+Joshi+Employer+and+Student+Liaison,+Internship+Programs</v>
      </c>
      <c r="K1656" s="5" t="str">
        <f t="shared" si="1"/>
        <v>Himanshi Joshi</v>
      </c>
      <c r="L1656" s="5" t="str">
        <f t="shared" si="2"/>
        <v>Employer and Student Liaison, Internship Programs</v>
      </c>
      <c r="M1656" s="5" t="str">
        <f t="shared" si="3"/>
        <v/>
      </c>
      <c r="N1656" s="5" t="str">
        <f t="shared" si="4"/>
        <v>York University</v>
      </c>
      <c r="O1656" s="5" t="str">
        <f t="shared" si="5"/>
        <v>8 years 6 months in role</v>
      </c>
      <c r="P1656" s="5" t="str">
        <f t="shared" si="6"/>
        <v>Toronto</v>
      </c>
      <c r="Q1656" s="5" t="str">
        <f t="shared" si="7"/>
        <v>Ontario</v>
      </c>
      <c r="R1656" s="5" t="str">
        <f t="shared" si="8"/>
        <v>Canada</v>
      </c>
    </row>
    <row r="1657">
      <c r="A1657" s="8" t="s">
        <v>8903</v>
      </c>
      <c r="B1657" s="10" t="s">
        <v>8904</v>
      </c>
      <c r="C1657" s="10" t="s">
        <v>480</v>
      </c>
      <c r="D1657" s="10"/>
      <c r="E1657" s="10" t="s">
        <v>5132</v>
      </c>
      <c r="F1657" s="10" t="s">
        <v>192</v>
      </c>
      <c r="G1657" s="11" t="s">
        <v>8905</v>
      </c>
      <c r="H1657" s="11" t="s">
        <v>4599</v>
      </c>
      <c r="I1657" s="11" t="s">
        <v>4600</v>
      </c>
      <c r="J1657" s="9" t="str">
        <f>IFERROR(__xludf.DUMMYFUNCTION("""COMPUTED_VALUE"""),"https://www.google.com/search?newwindow=1&amp;ei=2MT0XrvGGM-vytMP1OyDgAY&amp;q=site%3Alinkedin.com+Rochelle+Richards+Coordinator,+Student+and+Associate+Programs")</f>
        <v>https://www.google.com/search?newwindow=1&amp;ei=2MT0XrvGGM-vytMP1OyDgAY&amp;q=site%3Alinkedin.com+Rochelle+Richards+Coordinator,+Student+and+Associate+Programs</v>
      </c>
      <c r="K1657" s="5" t="str">
        <f t="shared" si="1"/>
        <v>Rochelle Richards</v>
      </c>
      <c r="L1657" s="5" t="str">
        <f t="shared" si="2"/>
        <v>Coordinator, Student and Associate Programs</v>
      </c>
      <c r="M1657" s="5" t="str">
        <f t="shared" si="3"/>
        <v/>
      </c>
      <c r="N1657" s="5" t="str">
        <f t="shared" si="4"/>
        <v>Miller Thomson LLP</v>
      </c>
      <c r="O1657" s="5" t="str">
        <f t="shared" si="5"/>
        <v>1 year  in role</v>
      </c>
      <c r="P1657" s="5" t="str">
        <f t="shared" si="6"/>
        <v>Toronto</v>
      </c>
      <c r="Q1657" s="5" t="str">
        <f t="shared" si="7"/>
        <v>Ontario</v>
      </c>
      <c r="R1657" s="5" t="str">
        <f t="shared" si="8"/>
        <v>Canada</v>
      </c>
    </row>
    <row r="1658">
      <c r="A1658" s="8" t="s">
        <v>8906</v>
      </c>
      <c r="B1658" s="10" t="s">
        <v>8907</v>
      </c>
      <c r="C1658" s="10" t="s">
        <v>8908</v>
      </c>
      <c r="D1658" s="10"/>
      <c r="E1658" s="10" t="s">
        <v>8909</v>
      </c>
      <c r="F1658" s="10" t="s">
        <v>848</v>
      </c>
      <c r="G1658" s="11" t="s">
        <v>8905</v>
      </c>
      <c r="H1658" s="11" t="s">
        <v>4599</v>
      </c>
      <c r="I1658" s="11" t="s">
        <v>4600</v>
      </c>
      <c r="J1658" s="9" t="str">
        <f>IFERROR(__xludf.DUMMYFUNCTION("""COMPUTED_VALUE"""),"https://www.google.com/search?newwindow=1&amp;ei=2MT0XrvGGM-vytMP1OyDgAY&amp;q=site%3Alinkedin.com+Nimisha+Mohan+Administrative+Assistant,+Community+Programs")</f>
        <v>https://www.google.com/search?newwindow=1&amp;ei=2MT0XrvGGM-vytMP1OyDgAY&amp;q=site%3Alinkedin.com+Nimisha+Mohan+Administrative+Assistant,+Community+Programs</v>
      </c>
      <c r="K1658" s="5" t="str">
        <f t="shared" si="1"/>
        <v>Nimisha Mohan</v>
      </c>
      <c r="L1658" s="5" t="str">
        <f t="shared" si="2"/>
        <v>Administrative Assistant, Community Programs</v>
      </c>
      <c r="M1658" s="5" t="str">
        <f t="shared" si="3"/>
        <v/>
      </c>
      <c r="N1658" s="5" t="str">
        <f t="shared" si="4"/>
        <v>LAMP Community Health Centre</v>
      </c>
      <c r="O1658" s="5" t="str">
        <f t="shared" si="5"/>
        <v>1 year 2 months in role and company</v>
      </c>
      <c r="P1658" s="5" t="str">
        <f t="shared" si="6"/>
        <v>Toronto</v>
      </c>
      <c r="Q1658" s="5" t="str">
        <f t="shared" si="7"/>
        <v>Ontario</v>
      </c>
      <c r="R1658" s="5" t="str">
        <f t="shared" si="8"/>
        <v>Canada</v>
      </c>
    </row>
    <row r="1659">
      <c r="A1659" s="8" t="s">
        <v>8910</v>
      </c>
      <c r="B1659" s="10" t="s">
        <v>8911</v>
      </c>
      <c r="C1659" s="10" t="s">
        <v>1537</v>
      </c>
      <c r="D1659" s="10"/>
      <c r="E1659" s="10" t="s">
        <v>8912</v>
      </c>
      <c r="F1659" s="10" t="s">
        <v>727</v>
      </c>
      <c r="G1659" s="11" t="s">
        <v>8905</v>
      </c>
      <c r="H1659" s="11" t="s">
        <v>4757</v>
      </c>
      <c r="I1659" s="11" t="s">
        <v>4607</v>
      </c>
      <c r="J1659" s="9" t="str">
        <f>IFERROR(__xludf.DUMMYFUNCTION("""COMPUTED_VALUE"""),"https://www.google.com/search?newwindow=1&amp;ei=2MT0XrvGGM-vytMP1OyDgAY&amp;q=site%3Alinkedin.com+Camila+Rusiecki+Health+Promotion+Programs+Practicum+Student")</f>
        <v>https://www.google.com/search?newwindow=1&amp;ei=2MT0XrvGGM-vytMP1OyDgAY&amp;q=site%3Alinkedin.com+Camila+Rusiecki+Health+Promotion+Programs+Practicum+Student</v>
      </c>
      <c r="K1659" s="5" t="str">
        <f t="shared" si="1"/>
        <v>Camila Rusiecki</v>
      </c>
      <c r="L1659" s="5" t="str">
        <f t="shared" si="2"/>
        <v>Health Promotion Programs Practicum Student</v>
      </c>
      <c r="M1659" s="5" t="str">
        <f t="shared" si="3"/>
        <v/>
      </c>
      <c r="N1659" s="5" t="str">
        <f t="shared" si="4"/>
        <v>University of Toronto</v>
      </c>
      <c r="O1659" s="5" t="str">
        <f t="shared" si="5"/>
        <v>6 months in role and company</v>
      </c>
      <c r="P1659" s="5" t="str">
        <f t="shared" si="6"/>
        <v>Toronto</v>
      </c>
      <c r="Q1659" s="5" t="str">
        <f t="shared" si="7"/>
        <v>Ontario</v>
      </c>
      <c r="R1659" s="5" t="str">
        <f t="shared" si="8"/>
        <v>Canada</v>
      </c>
    </row>
    <row r="1660">
      <c r="A1660" s="8" t="s">
        <v>8903</v>
      </c>
      <c r="B1660" s="10" t="s">
        <v>8904</v>
      </c>
      <c r="C1660" s="10" t="s">
        <v>480</v>
      </c>
      <c r="D1660" s="10"/>
      <c r="E1660" s="10" t="s">
        <v>5132</v>
      </c>
      <c r="F1660" s="10" t="s">
        <v>192</v>
      </c>
      <c r="G1660" s="11" t="s">
        <v>8905</v>
      </c>
      <c r="H1660" s="11" t="s">
        <v>4599</v>
      </c>
      <c r="I1660" s="11" t="s">
        <v>4600</v>
      </c>
      <c r="J1660" s="9" t="str">
        <f>IFERROR(__xludf.DUMMYFUNCTION("""COMPUTED_VALUE"""),"https://www.google.com/search?newwindow=1&amp;ei=2MT0XrvGGM-vytMP1OyDgAY&amp;q=site%3Alinkedin.com+Piyal+Sarker+IITS+Student+Helpdesk")</f>
        <v>https://www.google.com/search?newwindow=1&amp;ei=2MT0XrvGGM-vytMP1OyDgAY&amp;q=site%3Alinkedin.com+Piyal+Sarker+IITS+Student+Helpdesk</v>
      </c>
      <c r="K1660" s="5" t="str">
        <f t="shared" si="1"/>
        <v>Piyal Sarker</v>
      </c>
      <c r="L1660" s="5" t="str">
        <f t="shared" si="2"/>
        <v>IITS Student Helpdesk</v>
      </c>
      <c r="M1660" s="5" t="str">
        <f t="shared" si="3"/>
        <v/>
      </c>
      <c r="N1660" s="5" t="str">
        <f t="shared" si="4"/>
        <v>University of Toronto Scarborough</v>
      </c>
      <c r="O1660" s="5" t="str">
        <f t="shared" si="5"/>
        <v>1 year 3 months in role and company</v>
      </c>
      <c r="P1660" s="5" t="str">
        <f t="shared" si="6"/>
        <v>Toronto</v>
      </c>
      <c r="Q1660" s="5" t="str">
        <f t="shared" si="7"/>
        <v>Ontario</v>
      </c>
      <c r="R1660" s="5" t="str">
        <f t="shared" si="8"/>
        <v>Canada</v>
      </c>
    </row>
    <row r="1661">
      <c r="A1661" s="8" t="s">
        <v>8913</v>
      </c>
      <c r="B1661" s="10" t="s">
        <v>8914</v>
      </c>
      <c r="C1661" s="10" t="s">
        <v>8915</v>
      </c>
      <c r="D1661" s="10"/>
      <c r="E1661" s="10" t="s">
        <v>6308</v>
      </c>
      <c r="F1661" s="10" t="s">
        <v>686</v>
      </c>
      <c r="G1661" s="11" t="s">
        <v>8916</v>
      </c>
      <c r="H1661" s="11" t="s">
        <v>5736</v>
      </c>
      <c r="I1661" s="11" t="s">
        <v>4619</v>
      </c>
      <c r="J1661" s="9" t="str">
        <f>IFERROR(__xludf.DUMMYFUNCTION("""COMPUTED_VALUE"""),"https://www.google.com/search?newwindow=1&amp;ei=2MT0XrvGGM-vytMP1OyDgAY&amp;q=site%3Alinkedin.com+Bayley+Tepperman+Student+Success+Coordinator+for+Faculty+of+Health+Programs")</f>
        <v>https://www.google.com/search?newwindow=1&amp;ei=2MT0XrvGGM-vytMP1OyDgAY&amp;q=site%3Alinkedin.com+Bayley+Tepperman+Student+Success+Coordinator+for+Faculty+of+Health+Programs</v>
      </c>
      <c r="K1661" s="5" t="str">
        <f t="shared" si="1"/>
        <v>Bayley Tepperman</v>
      </c>
      <c r="L1661" s="5" t="str">
        <f t="shared" si="2"/>
        <v>Student Success Coordinator for Faculty of Health Programs</v>
      </c>
      <c r="M1661" s="5" t="str">
        <f t="shared" si="3"/>
        <v/>
      </c>
      <c r="N1661" s="5" t="str">
        <f t="shared" si="4"/>
        <v>York University</v>
      </c>
      <c r="O1661" s="5" t="str">
        <f t="shared" si="5"/>
        <v>1 year 4 months in role and company</v>
      </c>
      <c r="P1661" s="5" t="str">
        <f t="shared" si="6"/>
        <v>Toronto</v>
      </c>
      <c r="Q1661" s="5" t="str">
        <f t="shared" si="7"/>
        <v>Ontario</v>
      </c>
      <c r="R1661" s="5" t="str">
        <f t="shared" si="8"/>
        <v>Canada</v>
      </c>
    </row>
    <row r="1662">
      <c r="A1662" s="8" t="s">
        <v>8917</v>
      </c>
      <c r="B1662" s="10" t="s">
        <v>8918</v>
      </c>
      <c r="C1662" s="10" t="s">
        <v>32</v>
      </c>
      <c r="D1662" s="10"/>
      <c r="E1662" s="10" t="s">
        <v>8919</v>
      </c>
      <c r="F1662" s="10" t="s">
        <v>686</v>
      </c>
      <c r="G1662" s="11" t="s">
        <v>7722</v>
      </c>
      <c r="H1662" s="11" t="s">
        <v>5566</v>
      </c>
      <c r="I1662" s="11" t="s">
        <v>4619</v>
      </c>
      <c r="J1662" s="9" t="str">
        <f>IFERROR(__xludf.DUMMYFUNCTION("""COMPUTED_VALUE"""),"https://www.google.com/search?newwindow=1&amp;ei=2MT0XrvGGM-vytMP1OyDgAY&amp;q=site%3Alinkedin.com+Marcus+Santos+Associate+Dean+for+Undergraduate+Programs+and+Student+Affairs")</f>
        <v>https://www.google.com/search?newwindow=1&amp;ei=2MT0XrvGGM-vytMP1OyDgAY&amp;q=site%3Alinkedin.com+Marcus+Santos+Associate+Dean+for+Undergraduate+Programs+and+Student+Affairs</v>
      </c>
      <c r="K1662" s="5" t="str">
        <f t="shared" si="1"/>
        <v>Marcus Santos</v>
      </c>
      <c r="L1662" s="5" t="str">
        <f t="shared" si="2"/>
        <v>Associate Dean for Undergraduate Programs and Student Affairs</v>
      </c>
      <c r="M1662" s="5" t="str">
        <f t="shared" si="3"/>
        <v/>
      </c>
      <c r="N1662" s="5" t="str">
        <f t="shared" si="4"/>
        <v>Ryerson University</v>
      </c>
      <c r="O1662" s="5" t="str">
        <f t="shared" si="5"/>
        <v>6 years 2 months in role and company</v>
      </c>
      <c r="P1662" s="5" t="str">
        <f t="shared" si="6"/>
        <v>Toronto</v>
      </c>
      <c r="Q1662" s="5" t="str">
        <f t="shared" si="7"/>
        <v>Ontario</v>
      </c>
      <c r="R1662" s="5" t="str">
        <f t="shared" si="8"/>
        <v>Canada</v>
      </c>
    </row>
    <row r="1663">
      <c r="A1663" s="8" t="s">
        <v>8920</v>
      </c>
      <c r="B1663" s="10" t="s">
        <v>8921</v>
      </c>
      <c r="C1663" s="10" t="s">
        <v>8922</v>
      </c>
      <c r="D1663" s="10"/>
      <c r="E1663" s="10" t="s">
        <v>8919</v>
      </c>
      <c r="F1663" s="10" t="s">
        <v>314</v>
      </c>
      <c r="G1663" s="11" t="s">
        <v>7722</v>
      </c>
      <c r="H1663" s="11" t="s">
        <v>5566</v>
      </c>
      <c r="I1663" s="11" t="s">
        <v>4619</v>
      </c>
      <c r="J1663" s="9" t="str">
        <f>IFERROR(__xludf.DUMMYFUNCTION("""COMPUTED_VALUE"""),"https://www.google.com/search?newwindow=1&amp;ei=2MT0XrvGGM-vytMP1OyDgAY&amp;q=site%3Alinkedin.com+Kimberly+Russell,+CPA,+CGA+Financial+Manager,+Student+Nutrition+Programs")</f>
        <v>https://www.google.com/search?newwindow=1&amp;ei=2MT0XrvGGM-vytMP1OyDgAY&amp;q=site%3Alinkedin.com+Kimberly+Russell,+CPA,+CGA+Financial+Manager,+Student+Nutrition+Programs</v>
      </c>
      <c r="K1663" s="5" t="str">
        <f t="shared" si="1"/>
        <v>Kimberly Russell, CPA, CGA</v>
      </c>
      <c r="L1663" s="5" t="str">
        <f t="shared" si="2"/>
        <v>Financial Manager, Student Nutrition Programs</v>
      </c>
      <c r="M1663" s="5" t="str">
        <f t="shared" si="3"/>
        <v/>
      </c>
      <c r="N1663" s="5" t="str">
        <f t="shared" si="4"/>
        <v>The Angel Foundation for Learning</v>
      </c>
      <c r="O1663" s="5" t="str">
        <f t="shared" si="5"/>
        <v>4 years 1 month in role and company</v>
      </c>
      <c r="P1663" s="5" t="str">
        <f t="shared" si="6"/>
        <v>Toronto</v>
      </c>
      <c r="Q1663" s="5" t="str">
        <f t="shared" si="7"/>
        <v>Ontario</v>
      </c>
      <c r="R1663" s="5" t="str">
        <f t="shared" si="8"/>
        <v>Canada</v>
      </c>
    </row>
    <row r="1664">
      <c r="A1664" s="8" t="s">
        <v>8923</v>
      </c>
      <c r="B1664" s="10" t="s">
        <v>8924</v>
      </c>
      <c r="C1664" s="10" t="s">
        <v>8925</v>
      </c>
      <c r="D1664" s="10"/>
      <c r="E1664" s="10" t="s">
        <v>1064</v>
      </c>
      <c r="F1664" s="10" t="s">
        <v>455</v>
      </c>
      <c r="G1664" s="11" t="s">
        <v>7722</v>
      </c>
      <c r="H1664" s="11" t="s">
        <v>5566</v>
      </c>
      <c r="I1664" s="11" t="s">
        <v>4619</v>
      </c>
      <c r="J1664" s="9" t="str">
        <f>IFERROR(__xludf.DUMMYFUNCTION("""COMPUTED_VALUE"""),"https://www.google.com/search?newwindow=1&amp;ei=2MT0XrvGGM-vytMP1OyDgAY&amp;q=site%3Alinkedin.com+Sothy+Son+Undergraduate+Programs+and+Student+Affairs")</f>
        <v>https://www.google.com/search?newwindow=1&amp;ei=2MT0XrvGGM-vytMP1OyDgAY&amp;q=site%3Alinkedin.com+Sothy+Son+Undergraduate+Programs+and+Student+Affairs</v>
      </c>
      <c r="K1664" s="5" t="str">
        <f t="shared" si="1"/>
        <v>Sothy Son</v>
      </c>
      <c r="L1664" s="5" t="str">
        <f t="shared" si="2"/>
        <v>Undergraduate Programs and Student Affairs</v>
      </c>
      <c r="M1664" s="5" t="str">
        <f t="shared" si="3"/>
        <v/>
      </c>
      <c r="N1664" s="5" t="str">
        <f t="shared" si="4"/>
        <v>Ryerson University</v>
      </c>
      <c r="O1664" s="5" t="str">
        <f t="shared" si="5"/>
        <v>6 years 1 month in role</v>
      </c>
      <c r="P1664" s="5" t="str">
        <f t="shared" si="6"/>
        <v>Toronto</v>
      </c>
      <c r="Q1664" s="5" t="str">
        <f t="shared" si="7"/>
        <v>Ontario</v>
      </c>
      <c r="R1664" s="5" t="str">
        <f t="shared" si="8"/>
        <v>Canada</v>
      </c>
    </row>
    <row r="1665">
      <c r="A1665" s="8" t="s">
        <v>8926</v>
      </c>
      <c r="B1665" s="12" t="s">
        <v>8927</v>
      </c>
      <c r="C1665" s="10" t="s">
        <v>6756</v>
      </c>
      <c r="D1665" s="10"/>
      <c r="E1665" s="10" t="s">
        <v>4632</v>
      </c>
      <c r="F1665" s="10" t="s">
        <v>165</v>
      </c>
      <c r="G1665" s="11" t="s">
        <v>7722</v>
      </c>
      <c r="H1665" s="11" t="s">
        <v>5566</v>
      </c>
      <c r="I1665" s="11" t="s">
        <v>4619</v>
      </c>
      <c r="J1665" s="9" t="str">
        <f>IFERROR(__xludf.DUMMYFUNCTION("""COMPUTED_VALUE"""),"https://www.google.com/search?newwindow=1&amp;ei=2MT0XrvGGM-vytMP1OyDgAY&amp;q=site%3Alinkedin.com+Kate+Stoehr+Graduate+Student")</f>
        <v>https://www.google.com/search?newwindow=1&amp;ei=2MT0XrvGGM-vytMP1OyDgAY&amp;q=site%3Alinkedin.com+Kate+Stoehr+Graduate+Student</v>
      </c>
      <c r="K1665" s="5" t="str">
        <f t="shared" si="1"/>
        <v>Kate Stoehr</v>
      </c>
      <c r="L1665" s="5" t="str">
        <f t="shared" si="2"/>
        <v>Graduate Student</v>
      </c>
      <c r="M1665" s="5" t="str">
        <f t="shared" si="3"/>
        <v/>
      </c>
      <c r="N1665" s="5" t="str">
        <f t="shared" si="4"/>
        <v>University of Toronto</v>
      </c>
      <c r="O1665" s="5" t="str">
        <f t="shared" si="5"/>
        <v>1 year 2 months in role and company</v>
      </c>
      <c r="P1665" s="5" t="str">
        <f t="shared" si="6"/>
        <v>Toronto</v>
      </c>
      <c r="Q1665" s="5" t="str">
        <f t="shared" si="7"/>
        <v>Ontario</v>
      </c>
      <c r="R1665" s="5" t="str">
        <f t="shared" si="8"/>
        <v>Canada</v>
      </c>
    </row>
    <row r="1666">
      <c r="A1666" s="8" t="s">
        <v>8928</v>
      </c>
      <c r="B1666" s="10" t="s">
        <v>8929</v>
      </c>
      <c r="C1666" s="10" t="s">
        <v>1896</v>
      </c>
      <c r="D1666" s="10"/>
      <c r="E1666" s="10" t="s">
        <v>8930</v>
      </c>
      <c r="F1666" s="10" t="s">
        <v>15</v>
      </c>
      <c r="G1666" s="11" t="s">
        <v>7722</v>
      </c>
      <c r="H1666" s="11" t="s">
        <v>5566</v>
      </c>
      <c r="I1666" s="11" t="s">
        <v>4619</v>
      </c>
      <c r="J1666" s="9" t="str">
        <f>IFERROR(__xludf.DUMMYFUNCTION("""COMPUTED_VALUE"""),"https://www.google.com/search?newwindow=1&amp;ei=2MT0XrvGGM-vytMP1OyDgAY&amp;q=site%3Alinkedin.com+Lisa+MacSween-Stout+Student+Programs+Specialist")</f>
        <v>https://www.google.com/search?newwindow=1&amp;ei=2MT0XrvGGM-vytMP1OyDgAY&amp;q=site%3Alinkedin.com+Lisa+MacSween-Stout+Student+Programs+Specialist</v>
      </c>
      <c r="K1666" s="5" t="str">
        <f t="shared" si="1"/>
        <v>Lisa MacSween-Stout</v>
      </c>
      <c r="L1666" s="5" t="str">
        <f t="shared" si="2"/>
        <v>Student Programs Specialist</v>
      </c>
      <c r="M1666" s="5" t="str">
        <f t="shared" si="3"/>
        <v/>
      </c>
      <c r="N1666" s="5" t="str">
        <f t="shared" si="4"/>
        <v>Deloitte &amp; Touche</v>
      </c>
      <c r="O1666" s="5" t="str">
        <f t="shared" si="5"/>
        <v>13 years 7 months in role and company</v>
      </c>
      <c r="P1666" s="5" t="str">
        <f t="shared" si="6"/>
        <v>Toronto</v>
      </c>
      <c r="Q1666" s="5" t="str">
        <f t="shared" si="7"/>
        <v>Ontario</v>
      </c>
      <c r="R1666" s="5" t="str">
        <f t="shared" si="8"/>
        <v>Canada</v>
      </c>
    </row>
    <row r="1667">
      <c r="A1667" s="8" t="s">
        <v>8931</v>
      </c>
      <c r="B1667" s="12" t="s">
        <v>8932</v>
      </c>
      <c r="C1667" s="10" t="s">
        <v>8933</v>
      </c>
      <c r="D1667" s="10"/>
      <c r="E1667" s="10" t="s">
        <v>4701</v>
      </c>
      <c r="F1667" s="10" t="s">
        <v>29</v>
      </c>
      <c r="G1667" s="11" t="s">
        <v>7722</v>
      </c>
      <c r="H1667" s="11" t="s">
        <v>5566</v>
      </c>
      <c r="I1667" s="11" t="s">
        <v>4619</v>
      </c>
      <c r="J1667" s="9" t="str">
        <f>IFERROR(__xludf.DUMMYFUNCTION("""COMPUTED_VALUE"""),"https://www.google.com/search?newwindow=1&amp;ei=2MT0XrvGGM-vytMP1OyDgAY&amp;q=site%3Alinkedin.com+Jennifer+Taylor+Placement+Student")</f>
        <v>https://www.google.com/search?newwindow=1&amp;ei=2MT0XrvGGM-vytMP1OyDgAY&amp;q=site%3Alinkedin.com+Jennifer+Taylor+Placement+Student</v>
      </c>
      <c r="K1667" s="5" t="str">
        <f t="shared" si="1"/>
        <v>Jennifer Taylor</v>
      </c>
      <c r="L1667" s="5" t="str">
        <f t="shared" si="2"/>
        <v>Placement Student</v>
      </c>
      <c r="M1667" s="5" t="str">
        <f t="shared" si="3"/>
        <v/>
      </c>
      <c r="N1667" s="5" t="str">
        <f t="shared" si="4"/>
        <v>WomenatthecentrE</v>
      </c>
      <c r="O1667" s="5" t="str">
        <f t="shared" si="5"/>
        <v>2 months in role and company</v>
      </c>
      <c r="P1667" s="5" t="str">
        <f t="shared" si="6"/>
        <v>Toronto</v>
      </c>
      <c r="Q1667" s="5" t="str">
        <f t="shared" si="7"/>
        <v>Ontario</v>
      </c>
      <c r="R1667" s="5" t="str">
        <f t="shared" si="8"/>
        <v>Canada</v>
      </c>
    </row>
    <row r="1668">
      <c r="A1668" s="8" t="s">
        <v>8934</v>
      </c>
      <c r="B1668" s="12" t="s">
        <v>8935</v>
      </c>
      <c r="C1668" s="10" t="s">
        <v>8936</v>
      </c>
      <c r="D1668" s="10"/>
      <c r="E1668" s="10" t="s">
        <v>6595</v>
      </c>
      <c r="F1668" s="10" t="s">
        <v>74</v>
      </c>
      <c r="G1668" s="11" t="s">
        <v>7722</v>
      </c>
      <c r="H1668" s="11" t="s">
        <v>5566</v>
      </c>
      <c r="I1668" s="11" t="s">
        <v>4619</v>
      </c>
      <c r="J1668" s="9" t="str">
        <f>IFERROR(__xludf.DUMMYFUNCTION("""COMPUTED_VALUE"""),"https://www.google.com/search?newwindow=1&amp;ei=2MT0XrvGGM-vytMP1OyDgAY&amp;q=site%3Alinkedin.com+Michel+Lederman+Co-Director,+Associate+&amp;+Student+Programs")</f>
        <v>https://www.google.com/search?newwindow=1&amp;ei=2MT0XrvGGM-vytMP1OyDgAY&amp;q=site%3Alinkedin.com+Michel+Lederman+Co-Director,+Associate+&amp;+Student+Programs</v>
      </c>
      <c r="K1668" s="5" t="str">
        <f t="shared" si="1"/>
        <v>Michel Lederman</v>
      </c>
      <c r="L1668" s="5" t="str">
        <f t="shared" si="2"/>
        <v>Co-Director, Associate &amp; Student Programs</v>
      </c>
      <c r="M1668" s="5" t="str">
        <f t="shared" si="3"/>
        <v/>
      </c>
      <c r="N1668" s="5" t="str">
        <f t="shared" si="4"/>
        <v>Goodmans LLP</v>
      </c>
      <c r="O1668" s="5" t="str">
        <f t="shared" si="5"/>
        <v>2 years 5 months in role and company</v>
      </c>
      <c r="P1668" s="5" t="str">
        <f t="shared" si="6"/>
        <v>Toronto</v>
      </c>
      <c r="Q1668" s="5" t="str">
        <f t="shared" si="7"/>
        <v>Ontario</v>
      </c>
      <c r="R1668" s="5" t="str">
        <f t="shared" si="8"/>
        <v>Canada</v>
      </c>
    </row>
    <row r="1669">
      <c r="A1669" s="8" t="s">
        <v>8937</v>
      </c>
      <c r="B1669" s="10" t="s">
        <v>8938</v>
      </c>
      <c r="C1669" s="10" t="s">
        <v>25</v>
      </c>
      <c r="D1669" s="10"/>
      <c r="E1669" s="10" t="s">
        <v>8939</v>
      </c>
      <c r="F1669" s="10" t="s">
        <v>727</v>
      </c>
      <c r="G1669" s="11" t="s">
        <v>7722</v>
      </c>
      <c r="H1669" s="11" t="s">
        <v>5566</v>
      </c>
      <c r="I1669" s="11" t="s">
        <v>4619</v>
      </c>
      <c r="J1669" s="9" t="str">
        <f>IFERROR(__xludf.DUMMYFUNCTION("""COMPUTED_VALUE"""),"https://www.google.com/search?newwindow=1&amp;ei=2MT0XrvGGM-vytMP1OyDgAY&amp;q=site%3Alinkedin.com+Monica+Shafik+Student+Advocacy+Coordinator")</f>
        <v>https://www.google.com/search?newwindow=1&amp;ei=2MT0XrvGGM-vytMP1OyDgAY&amp;q=site%3Alinkedin.com+Monica+Shafik+Student+Advocacy+Coordinator</v>
      </c>
      <c r="K1669" s="5" t="str">
        <f t="shared" si="1"/>
        <v>Monica Shafik</v>
      </c>
      <c r="L1669" s="5" t="str">
        <f t="shared" si="2"/>
        <v>Student Advocacy Coordinator</v>
      </c>
      <c r="M1669" s="5" t="str">
        <f t="shared" si="3"/>
        <v/>
      </c>
      <c r="N1669" s="5" t="str">
        <f t="shared" si="4"/>
        <v>York Federation of Students</v>
      </c>
      <c r="O1669" s="5" t="str">
        <f t="shared" si="5"/>
        <v>2 years 4 months in role and company</v>
      </c>
      <c r="P1669" s="5" t="str">
        <f t="shared" si="6"/>
        <v>Toronto</v>
      </c>
      <c r="Q1669" s="5" t="str">
        <f t="shared" si="7"/>
        <v>Ontario</v>
      </c>
      <c r="R1669" s="5" t="str">
        <f t="shared" si="8"/>
        <v>Canada</v>
      </c>
    </row>
    <row r="1670">
      <c r="A1670" s="8" t="s">
        <v>8940</v>
      </c>
      <c r="B1670" s="12" t="s">
        <v>8941</v>
      </c>
      <c r="C1670" s="10" t="s">
        <v>7223</v>
      </c>
      <c r="D1670" s="10"/>
      <c r="E1670" s="10" t="s">
        <v>4632</v>
      </c>
      <c r="F1670" s="10" t="s">
        <v>165</v>
      </c>
      <c r="G1670" s="11" t="s">
        <v>7722</v>
      </c>
      <c r="H1670" s="11" t="s">
        <v>5566</v>
      </c>
      <c r="I1670" s="11" t="s">
        <v>4619</v>
      </c>
      <c r="J1670" s="9" t="str">
        <f>IFERROR(__xludf.DUMMYFUNCTION("""COMPUTED_VALUE"""),"https://www.google.com/search?newwindow=1&amp;ei=2MT0XrvGGM-vytMP1OyDgAY&amp;q=site%3Alinkedin.com+Jessica+J.+Wong,+BSc,+DC,+FCCS(C)+Assistant+Professor,+Graduate+Education+and+Research+Programs")</f>
        <v>https://www.google.com/search?newwindow=1&amp;ei=2MT0XrvGGM-vytMP1OyDgAY&amp;q=site%3Alinkedin.com+Jessica+J.+Wong,+BSc,+DC,+FCCS(C)+Assistant+Professor,+Graduate+Education+and+Research+Programs</v>
      </c>
      <c r="K1670" s="5" t="str">
        <f t="shared" si="1"/>
        <v>Jessica J. Wong, BSc, DC, FCCS(C)</v>
      </c>
      <c r="L1670" s="5" t="str">
        <f t="shared" si="2"/>
        <v>Assistant Professor, Graduate Education and Research Programs</v>
      </c>
      <c r="M1670" s="5" t="str">
        <f t="shared" si="3"/>
        <v/>
      </c>
      <c r="N1670" s="5" t="str">
        <f t="shared" si="4"/>
        <v>Canadian Memorial Chiropractic College</v>
      </c>
      <c r="O1670" s="5" t="str">
        <f t="shared" si="5"/>
        <v>4 years 6 months in role and company</v>
      </c>
      <c r="P1670" s="5" t="str">
        <f t="shared" si="6"/>
        <v>Toronto</v>
      </c>
      <c r="Q1670" s="5" t="str">
        <f t="shared" si="7"/>
        <v>Ontario</v>
      </c>
      <c r="R1670" s="5" t="str">
        <f t="shared" si="8"/>
        <v>Canada</v>
      </c>
    </row>
    <row r="1671">
      <c r="A1671" s="8" t="s">
        <v>8942</v>
      </c>
      <c r="B1671" s="10" t="s">
        <v>8943</v>
      </c>
      <c r="C1671" s="10" t="s">
        <v>8944</v>
      </c>
      <c r="D1671" s="10"/>
      <c r="E1671" s="10" t="s">
        <v>8945</v>
      </c>
      <c r="F1671" s="10" t="s">
        <v>512</v>
      </c>
      <c r="G1671" s="11" t="s">
        <v>7722</v>
      </c>
      <c r="H1671" s="11" t="s">
        <v>5566</v>
      </c>
      <c r="I1671" s="11" t="s">
        <v>4619</v>
      </c>
      <c r="J1671" s="9" t="str">
        <f>IFERROR(__xludf.DUMMYFUNCTION("""COMPUTED_VALUE"""),"https://www.google.com/search?newwindow=1&amp;ei=2MT0XrvGGM-vytMP1OyDgAY&amp;q=site%3Alinkedin.com+Justine+Sterling+Coordinator,+Programs+and+Services+-+Manulife+Empowering+Women+to+Employment+Project")</f>
        <v>https://www.google.com/search?newwindow=1&amp;ei=2MT0XrvGGM-vytMP1OyDgAY&amp;q=site%3Alinkedin.com+Justine+Sterling+Coordinator,+Programs+and+Services+-+Manulife+Empowering+Women+to+Employment+Project</v>
      </c>
      <c r="K1671" s="5" t="str">
        <f t="shared" si="1"/>
        <v>Justine Sterling</v>
      </c>
      <c r="L1671" s="5" t="str">
        <f t="shared" si="2"/>
        <v>Coordinator, Programs and Services - Manulife Empowering Women to Employment Project</v>
      </c>
      <c r="M1671" s="5" t="str">
        <f t="shared" si="3"/>
        <v/>
      </c>
      <c r="N1671" s="5" t="str">
        <f t="shared" si="4"/>
        <v>JobStart</v>
      </c>
      <c r="O1671" s="5" t="str">
        <f t="shared" si="5"/>
        <v>1 year 7 months in role and company</v>
      </c>
      <c r="P1671" s="5" t="str">
        <f t="shared" si="6"/>
        <v>Toronto</v>
      </c>
      <c r="Q1671" s="5" t="str">
        <f t="shared" si="7"/>
        <v>Ontario</v>
      </c>
      <c r="R1671" s="5" t="str">
        <f t="shared" si="8"/>
        <v>Canada</v>
      </c>
    </row>
    <row r="1672">
      <c r="A1672" s="8" t="s">
        <v>8946</v>
      </c>
      <c r="B1672" s="10" t="s">
        <v>8947</v>
      </c>
      <c r="C1672" s="10" t="s">
        <v>8948</v>
      </c>
      <c r="D1672" s="10"/>
      <c r="E1672" s="10" t="s">
        <v>4632</v>
      </c>
      <c r="F1672" s="10" t="s">
        <v>60</v>
      </c>
      <c r="G1672" s="11" t="s">
        <v>7722</v>
      </c>
      <c r="H1672" s="11" t="s">
        <v>5566</v>
      </c>
      <c r="I1672" s="11" t="s">
        <v>4619</v>
      </c>
      <c r="J1672" s="9" t="str">
        <f>IFERROR(__xludf.DUMMYFUNCTION("""COMPUTED_VALUE"""),"https://www.google.com/search?newwindow=1&amp;ei=2MT0XrvGGM-vytMP1OyDgAY&amp;q=site%3Alinkedin.com+Stacey+Platt+Coordinator,+International+Student+Programs+and+Services")</f>
        <v>https://www.google.com/search?newwindow=1&amp;ei=2MT0XrvGGM-vytMP1OyDgAY&amp;q=site%3Alinkedin.com+Stacey+Platt+Coordinator,+International+Student+Programs+and+Services</v>
      </c>
      <c r="K1672" s="5" t="str">
        <f t="shared" si="1"/>
        <v>Stacey Platt</v>
      </c>
      <c r="L1672" s="5" t="str">
        <f t="shared" si="2"/>
        <v>Coordinator, International Student Programs and Services</v>
      </c>
      <c r="M1672" s="5" t="str">
        <f t="shared" si="3"/>
        <v/>
      </c>
      <c r="N1672" s="5" t="str">
        <f t="shared" si="4"/>
        <v>University of Toronto</v>
      </c>
      <c r="O1672" s="5" t="str">
        <f t="shared" si="5"/>
        <v/>
      </c>
      <c r="P1672" s="5" t="str">
        <f t="shared" si="6"/>
        <v>Toronto</v>
      </c>
      <c r="Q1672" s="5" t="str">
        <f t="shared" si="7"/>
        <v>Ontario</v>
      </c>
      <c r="R1672" s="5" t="str">
        <f t="shared" si="8"/>
        <v>Canada</v>
      </c>
    </row>
    <row r="1673">
      <c r="A1673" s="8" t="s">
        <v>8949</v>
      </c>
      <c r="B1673" s="10" t="s">
        <v>8950</v>
      </c>
      <c r="C1673" s="10" t="s">
        <v>8951</v>
      </c>
      <c r="D1673" s="10"/>
      <c r="E1673" s="10" t="s">
        <v>3874</v>
      </c>
      <c r="F1673" s="10" t="s">
        <v>651</v>
      </c>
      <c r="G1673" s="11" t="s">
        <v>7722</v>
      </c>
      <c r="H1673" s="11" t="s">
        <v>5566</v>
      </c>
      <c r="I1673" s="11" t="s">
        <v>4619</v>
      </c>
      <c r="J1673" s="9" t="str">
        <f>IFERROR(__xludf.DUMMYFUNCTION("""COMPUTED_VALUE"""),"https://www.google.com/search?newwindow=1&amp;ei=2MT0XrvGGM-vytMP1OyDgAY&amp;q=site%3Alinkedin.com+Matthew+Kinasz+Student+Supervisor")</f>
        <v>https://www.google.com/search?newwindow=1&amp;ei=2MT0XrvGGM-vytMP1OyDgAY&amp;q=site%3Alinkedin.com+Matthew+Kinasz+Student+Supervisor</v>
      </c>
      <c r="K1673" s="5" t="str">
        <f t="shared" si="1"/>
        <v>Matthew Kinasz</v>
      </c>
      <c r="L1673" s="5" t="str">
        <f t="shared" si="2"/>
        <v>Student Supervisor</v>
      </c>
      <c r="M1673" s="5" t="str">
        <f t="shared" si="3"/>
        <v/>
      </c>
      <c r="N1673" s="5" t="str">
        <f t="shared" si="4"/>
        <v>Queen's Enrichment Study Unit</v>
      </c>
      <c r="O1673" s="5" t="str">
        <f t="shared" si="5"/>
        <v>5 years 7 months in role and company</v>
      </c>
      <c r="P1673" s="5" t="str">
        <f t="shared" si="6"/>
        <v>Toronto</v>
      </c>
      <c r="Q1673" s="5" t="str">
        <f t="shared" si="7"/>
        <v>Ontario</v>
      </c>
      <c r="R1673" s="5" t="str">
        <f t="shared" si="8"/>
        <v>Canada</v>
      </c>
    </row>
    <row r="1674">
      <c r="A1674" s="8" t="s">
        <v>8952</v>
      </c>
      <c r="B1674" s="10" t="s">
        <v>8953</v>
      </c>
      <c r="C1674" s="10" t="s">
        <v>8933</v>
      </c>
      <c r="D1674" s="10"/>
      <c r="E1674" s="10" t="s">
        <v>4701</v>
      </c>
      <c r="F1674" s="10" t="s">
        <v>106</v>
      </c>
      <c r="G1674" s="11" t="s">
        <v>7722</v>
      </c>
      <c r="H1674" s="11" t="s">
        <v>5566</v>
      </c>
      <c r="I1674" s="11" t="s">
        <v>4619</v>
      </c>
      <c r="J1674" s="9" t="str">
        <f>IFERROR(__xludf.DUMMYFUNCTION("""COMPUTED_VALUE"""),"https://www.google.com/search?newwindow=1&amp;ei=2MT0XrvGGM-vytMP1OyDgAY&amp;q=site%3Alinkedin.com+Meghann+F.+Student+Programs+Assistant")</f>
        <v>https://www.google.com/search?newwindow=1&amp;ei=2MT0XrvGGM-vytMP1OyDgAY&amp;q=site%3Alinkedin.com+Meghann+F.+Student+Programs+Assistant</v>
      </c>
      <c r="K1674" s="5" t="str">
        <f t="shared" si="1"/>
        <v>Meghann F.</v>
      </c>
      <c r="L1674" s="5" t="str">
        <f t="shared" si="2"/>
        <v>Student Programs Assistant</v>
      </c>
      <c r="M1674" s="5" t="str">
        <f t="shared" si="3"/>
        <v/>
      </c>
      <c r="N1674" s="5" t="str">
        <f t="shared" si="4"/>
        <v>Schulich School of Business - York University</v>
      </c>
      <c r="O1674" s="5" t="str">
        <f t="shared" si="5"/>
        <v/>
      </c>
      <c r="P1674" s="5" t="str">
        <f t="shared" si="6"/>
        <v>Toronto</v>
      </c>
      <c r="Q1674" s="5" t="str">
        <f t="shared" si="7"/>
        <v>Ontario</v>
      </c>
      <c r="R1674" s="5" t="str">
        <f t="shared" si="8"/>
        <v>Canada</v>
      </c>
    </row>
    <row r="1675">
      <c r="A1675" s="8" t="s">
        <v>8954</v>
      </c>
      <c r="B1675" s="10" t="s">
        <v>8955</v>
      </c>
      <c r="C1675" s="10" t="s">
        <v>8956</v>
      </c>
      <c r="D1675" s="10"/>
      <c r="E1675" s="10" t="s">
        <v>5564</v>
      </c>
      <c r="F1675" s="10" t="s">
        <v>60</v>
      </c>
      <c r="G1675" s="11" t="s">
        <v>7722</v>
      </c>
      <c r="H1675" s="11" t="s">
        <v>5566</v>
      </c>
      <c r="I1675" s="11" t="s">
        <v>4619</v>
      </c>
      <c r="J1675" s="9" t="str">
        <f>IFERROR(__xludf.DUMMYFUNCTION("""COMPUTED_VALUE"""),"https://www.google.com/search?newwindow=1&amp;ei=2MT0XrvGGM-vytMP1OyDgAY&amp;q=site%3Alinkedin.com+Marie+Scarfo+Assistant,+Academic+Programs+and+Student+Services")</f>
        <v>https://www.google.com/search?newwindow=1&amp;ei=2MT0XrvGGM-vytMP1OyDgAY&amp;q=site%3Alinkedin.com+Marie+Scarfo+Assistant,+Academic+Programs+and+Student+Services</v>
      </c>
      <c r="K1675" s="5" t="str">
        <f t="shared" si="1"/>
        <v>Marie Scarfo</v>
      </c>
      <c r="L1675" s="5" t="str">
        <f t="shared" si="2"/>
        <v>Assistant, Academic Programs and Student Services</v>
      </c>
      <c r="M1675" s="5" t="str">
        <f t="shared" si="3"/>
        <v/>
      </c>
      <c r="N1675" s="5" t="str">
        <f t="shared" si="4"/>
        <v>Ontario Institute of PMAC</v>
      </c>
      <c r="O1675" s="5" t="str">
        <f t="shared" si="5"/>
        <v/>
      </c>
      <c r="P1675" s="5" t="str">
        <f t="shared" si="6"/>
        <v>Toronto</v>
      </c>
      <c r="Q1675" s="5" t="str">
        <f t="shared" si="7"/>
        <v>Ontario</v>
      </c>
      <c r="R1675" s="5" t="str">
        <f t="shared" si="8"/>
        <v>Canada</v>
      </c>
    </row>
    <row r="1676">
      <c r="A1676" s="8" t="s">
        <v>8957</v>
      </c>
      <c r="B1676" s="12" t="s">
        <v>8958</v>
      </c>
      <c r="C1676" s="10" t="s">
        <v>8959</v>
      </c>
      <c r="D1676" s="10"/>
      <c r="E1676" s="10" t="s">
        <v>4420</v>
      </c>
      <c r="F1676" s="10" t="s">
        <v>1123</v>
      </c>
      <c r="G1676" s="11" t="s">
        <v>7722</v>
      </c>
      <c r="H1676" s="11" t="s">
        <v>5566</v>
      </c>
      <c r="I1676" s="11" t="s">
        <v>4619</v>
      </c>
      <c r="J1676" s="9" t="str">
        <f>IFERROR(__xludf.DUMMYFUNCTION("""COMPUTED_VALUE"""),"https://www.google.com/search?newwindow=1&amp;ei=2MT0XrvGGM-vytMP1OyDgAY&amp;q=site%3Alinkedin.com+Lisa+P.+Peer+Support+Worker+Harm+Reduction+Adult+Programs")</f>
        <v>https://www.google.com/search?newwindow=1&amp;ei=2MT0XrvGGM-vytMP1OyDgAY&amp;q=site%3Alinkedin.com+Lisa+P.+Peer+Support+Worker+Harm+Reduction+Adult+Programs</v>
      </c>
      <c r="K1676" s="5" t="str">
        <f t="shared" si="1"/>
        <v>Lisa P.</v>
      </c>
      <c r="L1676" s="5" t="str">
        <f t="shared" si="2"/>
        <v>Peer Support Worker Harm Reduction Adult Programs</v>
      </c>
      <c r="M1676" s="5" t="str">
        <f t="shared" si="3"/>
        <v/>
      </c>
      <c r="N1676" s="5" t="str">
        <f t="shared" si="4"/>
        <v>LAMP Community Health Centre</v>
      </c>
      <c r="O1676" s="5" t="str">
        <f t="shared" si="5"/>
        <v>2 years 10 months in role and company</v>
      </c>
      <c r="P1676" s="5" t="str">
        <f t="shared" si="6"/>
        <v>Toronto</v>
      </c>
      <c r="Q1676" s="5" t="str">
        <f t="shared" si="7"/>
        <v>Ontario</v>
      </c>
      <c r="R1676" s="5" t="str">
        <f t="shared" si="8"/>
        <v>Canada</v>
      </c>
    </row>
    <row r="1677">
      <c r="A1677" s="8" t="s">
        <v>8960</v>
      </c>
      <c r="B1677" s="10" t="s">
        <v>8961</v>
      </c>
      <c r="C1677" s="10" t="s">
        <v>8962</v>
      </c>
      <c r="D1677" s="10"/>
      <c r="E1677" s="10" t="s">
        <v>6793</v>
      </c>
      <c r="F1677" s="10" t="s">
        <v>79</v>
      </c>
      <c r="G1677" s="11" t="s">
        <v>7722</v>
      </c>
      <c r="H1677" s="11" t="s">
        <v>5566</v>
      </c>
      <c r="I1677" s="11" t="s">
        <v>4619</v>
      </c>
      <c r="J1677" s="9" t="str">
        <f>IFERROR(__xludf.DUMMYFUNCTION("""COMPUTED_VALUE"""),"https://www.google.com/search?newwindow=1&amp;ei=2MT0XrvGGM-vytMP1OyDgAY&amp;q=site%3Alinkedin.com+Nikki+Strano+Indigenous+Student+Programs+Coordinator")</f>
        <v>https://www.google.com/search?newwindow=1&amp;ei=2MT0XrvGGM-vytMP1OyDgAY&amp;q=site%3Alinkedin.com+Nikki+Strano+Indigenous+Student+Programs+Coordinator</v>
      </c>
      <c r="K1677" s="5" t="str">
        <f t="shared" si="1"/>
        <v>Nikki Strano</v>
      </c>
      <c r="L1677" s="5" t="str">
        <f t="shared" si="2"/>
        <v>Indigenous Student Programs Coordinator</v>
      </c>
      <c r="M1677" s="5" t="str">
        <f t="shared" si="3"/>
        <v/>
      </c>
      <c r="N1677" s="5" t="str">
        <f t="shared" si="4"/>
        <v>James Cook University</v>
      </c>
      <c r="O1677" s="5" t="str">
        <f t="shared" si="5"/>
        <v>7 months in role</v>
      </c>
      <c r="P1677" s="5" t="str">
        <f t="shared" si="6"/>
        <v>Townsville</v>
      </c>
      <c r="Q1677" s="5" t="str">
        <f t="shared" si="7"/>
        <v>Queensland</v>
      </c>
      <c r="R1677" s="5" t="str">
        <f t="shared" si="8"/>
        <v>Australia</v>
      </c>
    </row>
    <row r="1678">
      <c r="A1678" s="8" t="s">
        <v>8963</v>
      </c>
      <c r="B1678" s="10" t="s">
        <v>8964</v>
      </c>
      <c r="C1678" s="10" t="s">
        <v>8965</v>
      </c>
      <c r="D1678" s="10"/>
      <c r="E1678" s="10" t="s">
        <v>8919</v>
      </c>
      <c r="F1678" s="10" t="s">
        <v>121</v>
      </c>
      <c r="G1678" s="11" t="s">
        <v>7722</v>
      </c>
      <c r="H1678" s="11" t="s">
        <v>5566</v>
      </c>
      <c r="I1678" s="11" t="s">
        <v>4619</v>
      </c>
      <c r="J1678" s="9" t="str">
        <f>IFERROR(__xludf.DUMMYFUNCTION("""COMPUTED_VALUE"""),"https://www.google.com/search?newwindow=1&amp;ei=2MT0XrvGGM-vytMP1OyDgAY&amp;q=site%3Alinkedin.com+Meghan+Aubert+Graduate+Recruiter")</f>
        <v>https://www.google.com/search?newwindow=1&amp;ei=2MT0XrvGGM-vytMP1OyDgAY&amp;q=site%3Alinkedin.com+Meghan+Aubert+Graduate+Recruiter</v>
      </c>
      <c r="K1678" s="5" t="str">
        <f t="shared" si="1"/>
        <v>Meghan Aubert</v>
      </c>
      <c r="L1678" s="5" t="str">
        <f t="shared" si="2"/>
        <v>Graduate Recruiter</v>
      </c>
      <c r="M1678" s="5" t="str">
        <f t="shared" si="3"/>
        <v/>
      </c>
      <c r="N1678" s="5" t="str">
        <f t="shared" si="4"/>
        <v>FDM Group</v>
      </c>
      <c r="O1678" s="5" t="str">
        <f t="shared" si="5"/>
        <v>1 year 2 months in role</v>
      </c>
      <c r="P1678" s="5" t="str">
        <f t="shared" si="6"/>
        <v>Troon</v>
      </c>
      <c r="Q1678" s="5" t="str">
        <f t="shared" si="7"/>
        <v>Scotland</v>
      </c>
      <c r="R1678" s="5" t="str">
        <f t="shared" si="8"/>
        <v>United Kingdom</v>
      </c>
    </row>
    <row r="1679">
      <c r="A1679" s="8" t="s">
        <v>8966</v>
      </c>
      <c r="B1679" s="10" t="s">
        <v>8967</v>
      </c>
      <c r="C1679" s="10" t="s">
        <v>8968</v>
      </c>
      <c r="D1679" s="10"/>
      <c r="E1679" s="10" t="s">
        <v>1007</v>
      </c>
      <c r="F1679" s="10" t="s">
        <v>2120</v>
      </c>
      <c r="G1679" s="11" t="s">
        <v>7722</v>
      </c>
      <c r="H1679" s="11" t="s">
        <v>5566</v>
      </c>
      <c r="I1679" s="11" t="s">
        <v>4619</v>
      </c>
      <c r="J1679" s="9" t="str">
        <f>IFERROR(__xludf.DUMMYFUNCTION("""COMPUTED_VALUE"""),"https://www.google.com/search?newwindow=1&amp;ei=2MT0XrvGGM-vytMP1OyDgAY&amp;q=site%3Alinkedin.com+Kathryn+Sheehan+Senior+Campus+Recruiting+Coordinator")</f>
        <v>https://www.google.com/search?newwindow=1&amp;ei=2MT0XrvGGM-vytMP1OyDgAY&amp;q=site%3Alinkedin.com+Kathryn+Sheehan+Senior+Campus+Recruiting+Coordinator</v>
      </c>
      <c r="K1679" s="5" t="str">
        <f t="shared" si="1"/>
        <v>Kathryn Sheehan</v>
      </c>
      <c r="L1679" s="5" t="str">
        <f t="shared" si="2"/>
        <v>Senior Campus Recruiting Coordinator</v>
      </c>
      <c r="M1679" s="5" t="str">
        <f t="shared" si="3"/>
        <v/>
      </c>
      <c r="N1679" s="5" t="str">
        <f t="shared" si="4"/>
        <v>Deloitte</v>
      </c>
      <c r="O1679" s="5" t="str">
        <f t="shared" si="5"/>
        <v>2 years 5 months in role and company</v>
      </c>
      <c r="P1679" s="5" t="str">
        <f t="shared" si="6"/>
        <v>Troy</v>
      </c>
      <c r="Q1679" s="5" t="str">
        <f t="shared" si="7"/>
        <v>Michigan</v>
      </c>
      <c r="R1679" s="5" t="str">
        <f t="shared" si="8"/>
        <v>United States</v>
      </c>
    </row>
    <row r="1680">
      <c r="A1680" s="8" t="s">
        <v>8969</v>
      </c>
      <c r="B1680" s="10" t="s">
        <v>8970</v>
      </c>
      <c r="C1680" s="10" t="s">
        <v>8971</v>
      </c>
      <c r="D1680" s="10"/>
      <c r="E1680" s="10" t="s">
        <v>8945</v>
      </c>
      <c r="F1680" s="10" t="s">
        <v>387</v>
      </c>
      <c r="G1680" s="11" t="s">
        <v>7722</v>
      </c>
      <c r="H1680" s="11" t="s">
        <v>5566</v>
      </c>
      <c r="I1680" s="11" t="s">
        <v>4619</v>
      </c>
      <c r="J1680" s="9" t="str">
        <f>IFERROR(__xludf.DUMMYFUNCTION("""COMPUTED_VALUE"""),"https://www.google.com/search?newwindow=1&amp;ei=2MT0XrvGGM-vytMP1OyDgAY&amp;q=site%3Alinkedin.com+Tamsyn+Harris+Falmouth+University+Recruitment+and+Employability+Service+and+Consultant")</f>
        <v>https://www.google.com/search?newwindow=1&amp;ei=2MT0XrvGGM-vytMP1OyDgAY&amp;q=site%3Alinkedin.com+Tamsyn+Harris+Falmouth+University+Recruitment+and+Employability+Service+and+Consultant</v>
      </c>
      <c r="K1680" s="5" t="str">
        <f t="shared" si="1"/>
        <v>Tamsyn Harris</v>
      </c>
      <c r="L1680" s="5" t="str">
        <f t="shared" si="2"/>
        <v>Falmouth University Recruitment and Employability Service and Consultant</v>
      </c>
      <c r="M1680" s="5" t="str">
        <f t="shared" si="3"/>
        <v/>
      </c>
      <c r="N1680" s="5" t="str">
        <f t="shared" si="4"/>
        <v>Falmouth University</v>
      </c>
      <c r="O1680" s="5" t="str">
        <f t="shared" si="5"/>
        <v>3 years  in role and company</v>
      </c>
      <c r="P1680" s="5" t="str">
        <f t="shared" si="6"/>
        <v>Truro</v>
      </c>
      <c r="Q1680" s="5" t="str">
        <f t="shared" si="7"/>
        <v>England</v>
      </c>
      <c r="R1680" s="5" t="str">
        <f t="shared" si="8"/>
        <v>United Kingdom</v>
      </c>
    </row>
    <row r="1681">
      <c r="A1681" s="8" t="s">
        <v>8972</v>
      </c>
      <c r="B1681" s="10" t="s">
        <v>8973</v>
      </c>
      <c r="C1681" s="10" t="s">
        <v>8974</v>
      </c>
      <c r="D1681" s="10"/>
      <c r="E1681" s="10" t="s">
        <v>8975</v>
      </c>
      <c r="F1681" s="10" t="s">
        <v>63</v>
      </c>
      <c r="G1681" s="11" t="s">
        <v>7722</v>
      </c>
      <c r="H1681" s="11" t="s">
        <v>5566</v>
      </c>
      <c r="I1681" s="11" t="s">
        <v>4619</v>
      </c>
      <c r="J1681" s="9" t="str">
        <f>IFERROR(__xludf.DUMMYFUNCTION("""COMPUTED_VALUE"""),"https://www.google.com/search?newwindow=1&amp;ei=2MT0XrvGGM-vytMP1OyDgAY&amp;q=site%3Alinkedin.com+Kelly+Woodgate+Training+&amp;+Development+Manager+-+everis+University+UK")</f>
        <v>https://www.google.com/search?newwindow=1&amp;ei=2MT0XrvGGM-vytMP1OyDgAY&amp;q=site%3Alinkedin.com+Kelly+Woodgate+Training+&amp;+Development+Manager+-+everis+University+UK</v>
      </c>
      <c r="K1681" s="5" t="str">
        <f t="shared" si="1"/>
        <v>Kelly Woodgate</v>
      </c>
      <c r="L1681" s="5" t="str">
        <f t="shared" si="2"/>
        <v>Training &amp; Development Manager - everis University UK</v>
      </c>
      <c r="M1681" s="5" t="str">
        <f t="shared" si="3"/>
        <v/>
      </c>
      <c r="N1681" s="5" t="str">
        <f t="shared" si="4"/>
        <v>everis</v>
      </c>
      <c r="O1681" s="5" t="str">
        <f t="shared" si="5"/>
        <v>1 year 4 months in role</v>
      </c>
      <c r="P1681" s="5" t="str">
        <f t="shared" si="6"/>
        <v>Tunbridge Wells</v>
      </c>
      <c r="Q1681" s="5" t="str">
        <f t="shared" si="7"/>
        <v>England</v>
      </c>
      <c r="R1681" s="5" t="str">
        <f t="shared" si="8"/>
        <v>United Kingdom</v>
      </c>
    </row>
    <row r="1682">
      <c r="A1682" s="8" t="s">
        <v>8976</v>
      </c>
      <c r="B1682" s="10" t="s">
        <v>8977</v>
      </c>
      <c r="C1682" s="10" t="s">
        <v>8978</v>
      </c>
      <c r="D1682" s="10"/>
      <c r="E1682" s="10" t="s">
        <v>8919</v>
      </c>
      <c r="F1682" s="10" t="s">
        <v>512</v>
      </c>
      <c r="G1682" s="11" t="s">
        <v>7722</v>
      </c>
      <c r="H1682" s="11" t="s">
        <v>5566</v>
      </c>
      <c r="I1682" s="11" t="s">
        <v>4619</v>
      </c>
      <c r="J1682" s="9" t="str">
        <f>IFERROR(__xludf.DUMMYFUNCTION("""COMPUTED_VALUE"""),"https://www.google.com/search?newwindow=1&amp;ei=2MT0XrvGGM-vytMP1OyDgAY&amp;q=site%3Alinkedin.com+Raksha+Patel+EMEA+Campus+Recruitment+Manager")</f>
        <v>https://www.google.com/search?newwindow=1&amp;ei=2MT0XrvGGM-vytMP1OyDgAY&amp;q=site%3Alinkedin.com+Raksha+Patel+EMEA+Campus+Recruitment+Manager</v>
      </c>
      <c r="K1682" s="5" t="str">
        <f t="shared" si="1"/>
        <v>Raksha Patel</v>
      </c>
      <c r="L1682" s="5" t="str">
        <f t="shared" si="2"/>
        <v>EMEA Campus Recruitment Manager</v>
      </c>
      <c r="M1682" s="5" t="str">
        <f t="shared" si="3"/>
        <v/>
      </c>
      <c r="N1682" s="5" t="str">
        <f t="shared" si="4"/>
        <v>American Express</v>
      </c>
      <c r="O1682" s="5" t="str">
        <f t="shared" si="5"/>
        <v>2 years 6 months in role and company</v>
      </c>
      <c r="P1682" s="5" t="str">
        <f t="shared" si="6"/>
        <v>London</v>
      </c>
      <c r="Q1682" s="5" t="str">
        <f t="shared" si="7"/>
        <v>England</v>
      </c>
      <c r="R1682" s="5" t="str">
        <f t="shared" si="8"/>
        <v>United Kingdom</v>
      </c>
    </row>
    <row r="1683">
      <c r="A1683" s="8" t="s">
        <v>8979</v>
      </c>
      <c r="B1683" s="12" t="s">
        <v>8980</v>
      </c>
      <c r="C1683" s="10" t="s">
        <v>8473</v>
      </c>
      <c r="D1683" s="10"/>
      <c r="E1683" s="10" t="s">
        <v>8981</v>
      </c>
      <c r="F1683" s="10" t="s">
        <v>339</v>
      </c>
      <c r="G1683" s="11" t="s">
        <v>7722</v>
      </c>
      <c r="H1683" s="11" t="s">
        <v>5566</v>
      </c>
      <c r="I1683" s="11" t="s">
        <v>4619</v>
      </c>
      <c r="J1683" s="9" t="str">
        <f>IFERROR(__xludf.DUMMYFUNCTION("""COMPUTED_VALUE"""),"https://www.google.com/search?newwindow=1&amp;ei=2MT0XrvGGM-vytMP1OyDgAY&amp;q=site%3Alinkedin.com+Damien+Hughes+Student+Systems+Recruiter")</f>
        <v>https://www.google.com/search?newwindow=1&amp;ei=2MT0XrvGGM-vytMP1OyDgAY&amp;q=site%3Alinkedin.com+Damien+Hughes+Student+Systems+Recruiter</v>
      </c>
      <c r="K1683" s="5" t="str">
        <f t="shared" si="1"/>
        <v>Damien Hughes</v>
      </c>
      <c r="L1683" s="5" t="str">
        <f t="shared" si="2"/>
        <v>Student Systems Recruiter</v>
      </c>
      <c r="M1683" s="5" t="str">
        <f t="shared" si="3"/>
        <v/>
      </c>
      <c r="N1683" s="5" t="str">
        <f t="shared" si="4"/>
        <v>Strategic People</v>
      </c>
      <c r="O1683" s="5" t="str">
        <f t="shared" si="5"/>
        <v>1 year 10 months in role and company</v>
      </c>
      <c r="P1683" s="5" t="str">
        <f t="shared" si="6"/>
        <v>London</v>
      </c>
      <c r="Q1683" s="5" t="str">
        <f t="shared" si="7"/>
        <v>England</v>
      </c>
      <c r="R1683" s="5" t="str">
        <f t="shared" si="8"/>
        <v>United Kingdom</v>
      </c>
    </row>
    <row r="1684">
      <c r="A1684" s="8" t="s">
        <v>8982</v>
      </c>
      <c r="B1684" s="12" t="s">
        <v>8983</v>
      </c>
      <c r="C1684" s="10" t="s">
        <v>8984</v>
      </c>
      <c r="D1684" s="10"/>
      <c r="E1684" s="10" t="s">
        <v>5564</v>
      </c>
      <c r="F1684" s="10" t="s">
        <v>686</v>
      </c>
      <c r="G1684" s="11" t="s">
        <v>7722</v>
      </c>
      <c r="H1684" s="11" t="s">
        <v>5566</v>
      </c>
      <c r="I1684" s="11" t="s">
        <v>4619</v>
      </c>
      <c r="J1684" s="9" t="str">
        <f>IFERROR(__xludf.DUMMYFUNCTION("""COMPUTED_VALUE"""),"https://www.google.com/search?newwindow=1&amp;ei=2MT0XrvGGM-vytMP1OyDgAY&amp;q=site%3Alinkedin.com+TS+Tong+UK+&amp;+APAC+Graduate+Recruiter")</f>
        <v>https://www.google.com/search?newwindow=1&amp;ei=2MT0XrvGGM-vytMP1OyDgAY&amp;q=site%3Alinkedin.com+TS+Tong+UK+&amp;+APAC+Graduate+Recruiter</v>
      </c>
      <c r="K1684" s="5" t="str">
        <f t="shared" si="1"/>
        <v>TS Tong</v>
      </c>
      <c r="L1684" s="5" t="str">
        <f t="shared" si="2"/>
        <v>UK &amp; APAC Graduate Recruiter</v>
      </c>
      <c r="M1684" s="5" t="str">
        <f t="shared" si="3"/>
        <v/>
      </c>
      <c r="N1684" s="5" t="str">
        <f t="shared" si="4"/>
        <v>FDM Group</v>
      </c>
      <c r="O1684" s="5" t="str">
        <f t="shared" si="5"/>
        <v>8 months in role and company</v>
      </c>
      <c r="P1684" s="5" t="str">
        <f t="shared" si="6"/>
        <v>London</v>
      </c>
      <c r="Q1684" s="5" t="str">
        <f t="shared" si="7"/>
        <v>England</v>
      </c>
      <c r="R1684" s="5" t="str">
        <f t="shared" si="8"/>
        <v>United Kingdom</v>
      </c>
    </row>
    <row r="1685">
      <c r="A1685" s="8" t="s">
        <v>8985</v>
      </c>
      <c r="B1685" s="10" t="s">
        <v>8986</v>
      </c>
      <c r="C1685" s="10" t="s">
        <v>25</v>
      </c>
      <c r="D1685" s="10"/>
      <c r="E1685" s="10" t="s">
        <v>8987</v>
      </c>
      <c r="F1685" s="10" t="s">
        <v>268</v>
      </c>
      <c r="G1685" s="11" t="s">
        <v>7722</v>
      </c>
      <c r="H1685" s="11" t="s">
        <v>5566</v>
      </c>
      <c r="I1685" s="11" t="s">
        <v>4619</v>
      </c>
      <c r="J1685" s="9" t="str">
        <f>IFERROR(__xludf.DUMMYFUNCTION("""COMPUTED_VALUE"""),"https://www.google.com/search?newwindow=1&amp;ei=2MT0XrvGGM-vytMP1OyDgAY&amp;q=site%3Alinkedin.com+Matthew+Sherman+Sales+&amp;+Graduate+Recruiter")</f>
        <v>https://www.google.com/search?newwindow=1&amp;ei=2MT0XrvGGM-vytMP1OyDgAY&amp;q=site%3Alinkedin.com+Matthew+Sherman+Sales+&amp;+Graduate+Recruiter</v>
      </c>
      <c r="K1685" s="5" t="str">
        <f t="shared" si="1"/>
        <v>Matthew Sherman</v>
      </c>
      <c r="L1685" s="5" t="str">
        <f t="shared" si="2"/>
        <v>Sales &amp; Graduate Recruiter</v>
      </c>
      <c r="M1685" s="5" t="str">
        <f t="shared" si="3"/>
        <v/>
      </c>
      <c r="N1685" s="9" t="str">
        <f t="shared" si="4"/>
        <v>ao.com</v>
      </c>
      <c r="O1685" s="5" t="str">
        <f t="shared" si="5"/>
        <v>1 year 5 months in role and company</v>
      </c>
      <c r="P1685" s="5" t="str">
        <f t="shared" si="6"/>
        <v>London</v>
      </c>
      <c r="Q1685" s="5" t="str">
        <f t="shared" si="7"/>
        <v>England</v>
      </c>
      <c r="R1685" s="5" t="str">
        <f t="shared" si="8"/>
        <v>United Kingdom</v>
      </c>
    </row>
    <row r="1686">
      <c r="A1686" s="8" t="s">
        <v>8988</v>
      </c>
      <c r="B1686" s="10" t="s">
        <v>8989</v>
      </c>
      <c r="C1686" s="10" t="s">
        <v>8990</v>
      </c>
      <c r="D1686" s="10"/>
      <c r="E1686" s="10" t="s">
        <v>8991</v>
      </c>
      <c r="F1686" s="10" t="s">
        <v>222</v>
      </c>
      <c r="G1686" s="11" t="s">
        <v>7722</v>
      </c>
      <c r="H1686" s="11" t="s">
        <v>5566</v>
      </c>
      <c r="I1686" s="11" t="s">
        <v>4619</v>
      </c>
      <c r="J1686" s="9" t="str">
        <f>IFERROR(__xludf.DUMMYFUNCTION("""COMPUTED_VALUE"""),"https://www.google.com/search?newwindow=1&amp;ei=2MT0XrvGGM-vytMP1OyDgAY&amp;q=site%3Alinkedin.com+Raj+Dhaliwal+Graduate+Recruiter")</f>
        <v>https://www.google.com/search?newwindow=1&amp;ei=2MT0XrvGGM-vytMP1OyDgAY&amp;q=site%3Alinkedin.com+Raj+Dhaliwal+Graduate+Recruiter</v>
      </c>
      <c r="K1686" s="5" t="str">
        <f t="shared" si="1"/>
        <v>Raj Dhaliwal</v>
      </c>
      <c r="L1686" s="5" t="str">
        <f t="shared" si="2"/>
        <v>Graduate Recruiter</v>
      </c>
      <c r="M1686" s="5" t="str">
        <f t="shared" si="3"/>
        <v/>
      </c>
      <c r="N1686" s="5" t="str">
        <f t="shared" si="4"/>
        <v>HSBC</v>
      </c>
      <c r="O1686" s="5" t="str">
        <f t="shared" si="5"/>
        <v>3 years 3 months in role and company</v>
      </c>
      <c r="P1686" s="5" t="str">
        <f t="shared" si="6"/>
        <v>London</v>
      </c>
      <c r="Q1686" s="5" t="str">
        <f t="shared" si="7"/>
        <v>England</v>
      </c>
      <c r="R1686" s="5" t="str">
        <f t="shared" si="8"/>
        <v>United Kingdom</v>
      </c>
    </row>
    <row r="1687">
      <c r="A1687" s="8" t="s">
        <v>8992</v>
      </c>
      <c r="B1687" s="12" t="s">
        <v>8993</v>
      </c>
      <c r="C1687" s="10" t="s">
        <v>8994</v>
      </c>
      <c r="D1687" s="10"/>
      <c r="E1687" s="10" t="s">
        <v>8995</v>
      </c>
      <c r="F1687" s="10" t="s">
        <v>727</v>
      </c>
      <c r="G1687" s="11" t="s">
        <v>7722</v>
      </c>
      <c r="H1687" s="11" t="s">
        <v>5566</v>
      </c>
      <c r="I1687" s="11" t="s">
        <v>4619</v>
      </c>
      <c r="J1687" s="9" t="str">
        <f>IFERROR(__xludf.DUMMYFUNCTION("""COMPUTED_VALUE"""),"https://www.google.com/search?newwindow=1&amp;ei=2MT0XrvGGM-vytMP1OyDgAY&amp;q=site%3Alinkedin.com+Jamie+Cowling+Graduate+Recruiter")</f>
        <v>https://www.google.com/search?newwindow=1&amp;ei=2MT0XrvGGM-vytMP1OyDgAY&amp;q=site%3Alinkedin.com+Jamie+Cowling+Graduate+Recruiter</v>
      </c>
      <c r="K1687" s="5" t="str">
        <f t="shared" si="1"/>
        <v>Jamie Cowling</v>
      </c>
      <c r="L1687" s="5" t="str">
        <f t="shared" si="2"/>
        <v>Graduate Recruiter</v>
      </c>
      <c r="M1687" s="5" t="str">
        <f t="shared" si="3"/>
        <v/>
      </c>
      <c r="N1687" s="5" t="str">
        <f t="shared" si="4"/>
        <v>Cisco</v>
      </c>
      <c r="O1687" s="5" t="str">
        <f t="shared" si="5"/>
        <v>8 months in role and company</v>
      </c>
      <c r="P1687" s="5" t="str">
        <f t="shared" si="6"/>
        <v>London</v>
      </c>
      <c r="Q1687" s="5" t="str">
        <f t="shared" si="7"/>
        <v>England</v>
      </c>
      <c r="R1687" s="5" t="str">
        <f t="shared" si="8"/>
        <v>United Kingdom</v>
      </c>
    </row>
    <row r="1688">
      <c r="A1688" s="8" t="s">
        <v>8996</v>
      </c>
      <c r="B1688" s="12" t="s">
        <v>8997</v>
      </c>
      <c r="C1688" s="10" t="s">
        <v>4929</v>
      </c>
      <c r="D1688" s="10"/>
      <c r="E1688" s="10" t="s">
        <v>8991</v>
      </c>
      <c r="F1688" s="10" t="s">
        <v>694</v>
      </c>
      <c r="G1688" s="11" t="s">
        <v>7722</v>
      </c>
      <c r="H1688" s="11" t="s">
        <v>5566</v>
      </c>
      <c r="I1688" s="11" t="s">
        <v>4619</v>
      </c>
      <c r="J1688" s="9" t="str">
        <f>IFERROR(__xludf.DUMMYFUNCTION("""COMPUTED_VALUE"""),"https://www.google.com/search?newwindow=1&amp;ei=2MT0XrvGGM-vytMP1OyDgAY&amp;q=site%3Alinkedin.com+Lucy+Kemp+University+Recruiter")</f>
        <v>https://www.google.com/search?newwindow=1&amp;ei=2MT0XrvGGM-vytMP1OyDgAY&amp;q=site%3Alinkedin.com+Lucy+Kemp+University+Recruiter</v>
      </c>
      <c r="K1688" s="5" t="str">
        <f t="shared" si="1"/>
        <v>Lucy Kemp</v>
      </c>
      <c r="L1688" s="5" t="str">
        <f t="shared" si="2"/>
        <v>University Recruiter</v>
      </c>
      <c r="M1688" s="5" t="str">
        <f t="shared" si="3"/>
        <v/>
      </c>
      <c r="N1688" s="5" t="str">
        <f t="shared" si="4"/>
        <v>Facebook</v>
      </c>
      <c r="O1688" s="5" t="str">
        <f t="shared" si="5"/>
        <v>8 months in role</v>
      </c>
      <c r="P1688" s="5" t="str">
        <f t="shared" si="6"/>
        <v>London</v>
      </c>
      <c r="Q1688" s="5" t="str">
        <f t="shared" si="7"/>
        <v>England</v>
      </c>
      <c r="R1688" s="5" t="str">
        <f t="shared" si="8"/>
        <v>United Kingdom</v>
      </c>
    </row>
    <row r="1689">
      <c r="A1689" s="8" t="s">
        <v>8998</v>
      </c>
      <c r="B1689" s="12" t="s">
        <v>8999</v>
      </c>
      <c r="C1689" s="10" t="s">
        <v>7330</v>
      </c>
      <c r="D1689" s="10"/>
      <c r="E1689" s="10" t="s">
        <v>9000</v>
      </c>
      <c r="F1689" s="10" t="s">
        <v>1892</v>
      </c>
      <c r="G1689" s="11" t="s">
        <v>7722</v>
      </c>
      <c r="H1689" s="11" t="s">
        <v>5566</v>
      </c>
      <c r="I1689" s="11" t="s">
        <v>4619</v>
      </c>
      <c r="J1689" s="9" t="str">
        <f>IFERROR(__xludf.DUMMYFUNCTION("""COMPUTED_VALUE"""),"https://www.google.com/search?newwindow=1&amp;ei=2MT0XrvGGM-vytMP1OyDgAY&amp;q=site%3Alinkedin.com+Kouther+Husain+Graduate+Recruiter")</f>
        <v>https://www.google.com/search?newwindow=1&amp;ei=2MT0XrvGGM-vytMP1OyDgAY&amp;q=site%3Alinkedin.com+Kouther+Husain+Graduate+Recruiter</v>
      </c>
      <c r="K1689" s="5" t="str">
        <f t="shared" si="1"/>
        <v>Kouther Husain</v>
      </c>
      <c r="L1689" s="5" t="str">
        <f t="shared" si="2"/>
        <v>Graduate Recruiter</v>
      </c>
      <c r="M1689" s="5" t="str">
        <f t="shared" si="3"/>
        <v/>
      </c>
      <c r="N1689" s="5" t="str">
        <f t="shared" si="4"/>
        <v>PA Consulting</v>
      </c>
      <c r="O1689" s="5" t="str">
        <f t="shared" si="5"/>
        <v>1 year 2 months in role and company</v>
      </c>
      <c r="P1689" s="5" t="str">
        <f t="shared" si="6"/>
        <v>London</v>
      </c>
      <c r="Q1689" s="5" t="str">
        <f t="shared" si="7"/>
        <v>England</v>
      </c>
      <c r="R1689" s="5" t="str">
        <f t="shared" si="8"/>
        <v>United Kingdom</v>
      </c>
    </row>
    <row r="1690">
      <c r="A1690" s="8" t="s">
        <v>9001</v>
      </c>
      <c r="B1690" s="12" t="s">
        <v>9002</v>
      </c>
      <c r="C1690" s="10" t="s">
        <v>9003</v>
      </c>
      <c r="D1690" s="10"/>
      <c r="E1690" s="10" t="s">
        <v>8991</v>
      </c>
      <c r="F1690" s="10" t="s">
        <v>277</v>
      </c>
      <c r="G1690" s="11" t="s">
        <v>7722</v>
      </c>
      <c r="H1690" s="11" t="s">
        <v>5566</v>
      </c>
      <c r="I1690" s="11" t="s">
        <v>4619</v>
      </c>
      <c r="J1690" s="9" t="str">
        <f>IFERROR(__xludf.DUMMYFUNCTION("""COMPUTED_VALUE"""),"https://www.google.com/search?newwindow=1&amp;ei=2MT0XrvGGM-vytMP1OyDgAY&amp;q=site%3Alinkedin.com+Jessica+Plant+University+Recruiter")</f>
        <v>https://www.google.com/search?newwindow=1&amp;ei=2MT0XrvGGM-vytMP1OyDgAY&amp;q=site%3Alinkedin.com+Jessica+Plant+University+Recruiter</v>
      </c>
      <c r="K1690" s="5" t="str">
        <f t="shared" si="1"/>
        <v>Jessica Plant</v>
      </c>
      <c r="L1690" s="5" t="str">
        <f t="shared" si="2"/>
        <v>University Recruiter</v>
      </c>
      <c r="M1690" s="5" t="str">
        <f t="shared" si="3"/>
        <v/>
      </c>
      <c r="N1690" s="5" t="str">
        <f t="shared" si="4"/>
        <v>Facebook</v>
      </c>
      <c r="O1690" s="5" t="str">
        <f t="shared" si="5"/>
        <v>2 years 1 month in role and company</v>
      </c>
      <c r="P1690" s="5" t="str">
        <f t="shared" si="6"/>
        <v>London</v>
      </c>
      <c r="Q1690" s="5" t="str">
        <f t="shared" si="7"/>
        <v>England</v>
      </c>
      <c r="R1690" s="5" t="str">
        <f t="shared" si="8"/>
        <v>United Kingdom</v>
      </c>
    </row>
    <row r="1691">
      <c r="A1691" s="8" t="s">
        <v>9004</v>
      </c>
      <c r="B1691" s="10" t="s">
        <v>9005</v>
      </c>
      <c r="C1691" s="10" t="s">
        <v>9006</v>
      </c>
      <c r="D1691" s="10"/>
      <c r="E1691" s="10" t="s">
        <v>1007</v>
      </c>
      <c r="F1691" s="10" t="s">
        <v>331</v>
      </c>
      <c r="G1691" s="11" t="s">
        <v>7722</v>
      </c>
      <c r="H1691" s="11" t="s">
        <v>5566</v>
      </c>
      <c r="I1691" s="11" t="s">
        <v>4619</v>
      </c>
      <c r="J1691" s="9" t="str">
        <f>IFERROR(__xludf.DUMMYFUNCTION("""COMPUTED_VALUE"""),"https://www.google.com/search?newwindow=1&amp;ei=2MT0XrvGGM-vytMP1OyDgAY&amp;q=site%3Alinkedin.com+Joshua+Voisey+Graduate+Recruiter")</f>
        <v>https://www.google.com/search?newwindow=1&amp;ei=2MT0XrvGGM-vytMP1OyDgAY&amp;q=site%3Alinkedin.com+Joshua+Voisey+Graduate+Recruiter</v>
      </c>
      <c r="K1691" s="5" t="str">
        <f t="shared" si="1"/>
        <v>Joshua Voisey</v>
      </c>
      <c r="L1691" s="5" t="str">
        <f t="shared" si="2"/>
        <v>Graduate Recruiter</v>
      </c>
      <c r="M1691" s="5" t="str">
        <f t="shared" si="3"/>
        <v/>
      </c>
      <c r="N1691" s="5" t="str">
        <f t="shared" si="4"/>
        <v>Amazon</v>
      </c>
      <c r="O1691" s="5" t="str">
        <f t="shared" si="5"/>
        <v>10 months in role and company</v>
      </c>
      <c r="P1691" s="5" t="str">
        <f t="shared" si="6"/>
        <v>London</v>
      </c>
      <c r="Q1691" s="5" t="str">
        <f t="shared" si="7"/>
        <v>England</v>
      </c>
      <c r="R1691" s="5" t="str">
        <f t="shared" si="8"/>
        <v>United Kingdom</v>
      </c>
    </row>
    <row r="1692">
      <c r="A1692" s="8" t="s">
        <v>9007</v>
      </c>
      <c r="B1692" s="10" t="s">
        <v>9008</v>
      </c>
      <c r="C1692" s="10" t="s">
        <v>9009</v>
      </c>
      <c r="D1692" s="10"/>
      <c r="E1692" s="10" t="s">
        <v>8975</v>
      </c>
      <c r="F1692" s="10" t="s">
        <v>192</v>
      </c>
      <c r="G1692" s="11" t="s">
        <v>7722</v>
      </c>
      <c r="H1692" s="11" t="s">
        <v>5566</v>
      </c>
      <c r="I1692" s="11" t="s">
        <v>4619</v>
      </c>
      <c r="J1692" s="9" t="str">
        <f>IFERROR(__xludf.DUMMYFUNCTION("""COMPUTED_VALUE"""),"https://www.google.com/search?newwindow=1&amp;ei=2MT0XrvGGM-vytMP1OyDgAY&amp;q=site%3Alinkedin.com+Mark+Gallagher+University+Graduate+Recruiter")</f>
        <v>https://www.google.com/search?newwindow=1&amp;ei=2MT0XrvGGM-vytMP1OyDgAY&amp;q=site%3Alinkedin.com+Mark+Gallagher+University+Graduate+Recruiter</v>
      </c>
      <c r="K1692" s="5" t="str">
        <f t="shared" si="1"/>
        <v>Mark Gallagher</v>
      </c>
      <c r="L1692" s="5" t="str">
        <f t="shared" si="2"/>
        <v>University Graduate Recruiter</v>
      </c>
      <c r="M1692" s="5" t="str">
        <f t="shared" si="3"/>
        <v/>
      </c>
      <c r="N1692" s="5" t="str">
        <f t="shared" si="4"/>
        <v>Google</v>
      </c>
      <c r="O1692" s="5" t="str">
        <f t="shared" si="5"/>
        <v>2 years 5 months in role</v>
      </c>
      <c r="P1692" s="5" t="str">
        <f t="shared" si="6"/>
        <v>London</v>
      </c>
      <c r="Q1692" s="5" t="str">
        <f t="shared" si="7"/>
        <v>England</v>
      </c>
      <c r="R1692" s="5" t="str">
        <f t="shared" si="8"/>
        <v>United Kingdom</v>
      </c>
    </row>
    <row r="1693">
      <c r="A1693" s="8" t="s">
        <v>9010</v>
      </c>
      <c r="B1693" s="10" t="s">
        <v>9011</v>
      </c>
      <c r="C1693" s="10" t="s">
        <v>9012</v>
      </c>
      <c r="D1693" s="10"/>
      <c r="E1693" s="10" t="s">
        <v>8945</v>
      </c>
      <c r="F1693" s="10" t="s">
        <v>94</v>
      </c>
      <c r="G1693" s="11" t="s">
        <v>7722</v>
      </c>
      <c r="H1693" s="11" t="s">
        <v>5566</v>
      </c>
      <c r="I1693" s="11" t="s">
        <v>4619</v>
      </c>
      <c r="J1693" s="9" t="str">
        <f>IFERROR(__xludf.DUMMYFUNCTION("""COMPUTED_VALUE"""),"https://www.google.com/search?newwindow=1&amp;ei=2MT0XrvGGM-vytMP1OyDgAY&amp;q=site%3Alinkedin.com+Lui+DelVerto+University+Recruiter")</f>
        <v>https://www.google.com/search?newwindow=1&amp;ei=2MT0XrvGGM-vytMP1OyDgAY&amp;q=site%3Alinkedin.com+Lui+DelVerto+University+Recruiter</v>
      </c>
      <c r="K1693" s="5" t="str">
        <f t="shared" si="1"/>
        <v>Lui DelVerto</v>
      </c>
      <c r="L1693" s="5" t="str">
        <f t="shared" si="2"/>
        <v>University Recruiter</v>
      </c>
      <c r="M1693" s="5" t="str">
        <f t="shared" si="3"/>
        <v/>
      </c>
      <c r="N1693" s="5" t="str">
        <f t="shared" si="4"/>
        <v>Teach First</v>
      </c>
      <c r="O1693" s="5" t="str">
        <f t="shared" si="5"/>
        <v>3 years  in role and company</v>
      </c>
      <c r="P1693" s="5" t="str">
        <f t="shared" si="6"/>
        <v>London</v>
      </c>
      <c r="Q1693" s="5" t="str">
        <f t="shared" si="7"/>
        <v>England</v>
      </c>
      <c r="R1693" s="5" t="str">
        <f t="shared" si="8"/>
        <v>United Kingdom</v>
      </c>
    </row>
    <row r="1694">
      <c r="A1694" s="8" t="s">
        <v>9013</v>
      </c>
      <c r="B1694" s="10" t="s">
        <v>9014</v>
      </c>
      <c r="C1694" s="10" t="s">
        <v>5068</v>
      </c>
      <c r="D1694" s="10"/>
      <c r="E1694" s="10" t="s">
        <v>9015</v>
      </c>
      <c r="F1694" s="10" t="s">
        <v>9016</v>
      </c>
      <c r="G1694" s="11" t="s">
        <v>7722</v>
      </c>
      <c r="H1694" s="11" t="s">
        <v>5566</v>
      </c>
      <c r="I1694" s="11" t="s">
        <v>4619</v>
      </c>
      <c r="J1694" s="9" t="str">
        <f>IFERROR(__xludf.DUMMYFUNCTION("""COMPUTED_VALUE"""),"https://www.google.com/search?newwindow=1&amp;ei=2MT0XrvGGM-vytMP1OyDgAY&amp;q=site%3Alinkedin.com+Yahya+Safi+Graduate+Recruiter")</f>
        <v>https://www.google.com/search?newwindow=1&amp;ei=2MT0XrvGGM-vytMP1OyDgAY&amp;q=site%3Alinkedin.com+Yahya+Safi+Graduate+Recruiter</v>
      </c>
      <c r="K1694" s="5" t="str">
        <f t="shared" si="1"/>
        <v>Yahya Safi</v>
      </c>
      <c r="L1694" s="5" t="str">
        <f t="shared" si="2"/>
        <v>Graduate Recruiter</v>
      </c>
      <c r="M1694" s="5" t="str">
        <f t="shared" si="3"/>
        <v/>
      </c>
      <c r="N1694" s="5" t="str">
        <f t="shared" si="4"/>
        <v>FDM Group</v>
      </c>
      <c r="O1694" s="5" t="str">
        <f t="shared" si="5"/>
        <v>3 years 1 month in role and company</v>
      </c>
      <c r="P1694" s="5" t="str">
        <f t="shared" si="6"/>
        <v>London</v>
      </c>
      <c r="Q1694" s="5" t="str">
        <f t="shared" si="7"/>
        <v>England</v>
      </c>
      <c r="R1694" s="5" t="str">
        <f t="shared" si="8"/>
        <v>United Kingdom</v>
      </c>
    </row>
    <row r="1695">
      <c r="A1695" s="8" t="s">
        <v>9017</v>
      </c>
      <c r="B1695" s="10" t="s">
        <v>9018</v>
      </c>
      <c r="C1695" s="10" t="s">
        <v>9019</v>
      </c>
      <c r="D1695" s="10"/>
      <c r="E1695" s="10" t="s">
        <v>9020</v>
      </c>
      <c r="F1695" s="10" t="s">
        <v>574</v>
      </c>
      <c r="G1695" s="11" t="s">
        <v>7722</v>
      </c>
      <c r="H1695" s="11" t="s">
        <v>5566</v>
      </c>
      <c r="I1695" s="11" t="s">
        <v>4619</v>
      </c>
      <c r="J1695" s="9" t="str">
        <f>IFERROR(__xludf.DUMMYFUNCTION("""COMPUTED_VALUE"""),"https://www.google.com/search?newwindow=1&amp;ei=2MT0XrvGGM-vytMP1OyDgAY&amp;q=site%3Alinkedin.com+Olivia+Marsden+Graduate+Recruitment+Lead")</f>
        <v>https://www.google.com/search?newwindow=1&amp;ei=2MT0XrvGGM-vytMP1OyDgAY&amp;q=site%3Alinkedin.com+Olivia+Marsden+Graduate+Recruitment+Lead</v>
      </c>
      <c r="K1695" s="5" t="str">
        <f t="shared" si="1"/>
        <v>Olivia Marsden</v>
      </c>
      <c r="L1695" s="5" t="str">
        <f t="shared" si="2"/>
        <v>Graduate Recruitment Lead</v>
      </c>
      <c r="M1695" s="5" t="str">
        <f t="shared" si="3"/>
        <v/>
      </c>
      <c r="N1695" s="5" t="str">
        <f t="shared" si="4"/>
        <v>AND Digital</v>
      </c>
      <c r="O1695" s="5" t="str">
        <f t="shared" si="5"/>
        <v>1 year 3 months in role</v>
      </c>
      <c r="P1695" s="5" t="str">
        <f t="shared" si="6"/>
        <v>London</v>
      </c>
      <c r="Q1695" s="5" t="str">
        <f t="shared" si="7"/>
        <v>England</v>
      </c>
      <c r="R1695" s="5" t="str">
        <f t="shared" si="8"/>
        <v>United Kingdom</v>
      </c>
    </row>
    <row r="1696">
      <c r="A1696" s="8" t="s">
        <v>9021</v>
      </c>
      <c r="B1696" s="12" t="s">
        <v>9022</v>
      </c>
      <c r="C1696" s="10" t="s">
        <v>9023</v>
      </c>
      <c r="D1696" s="10"/>
      <c r="E1696" s="10" t="s">
        <v>8981</v>
      </c>
      <c r="F1696" s="10" t="s">
        <v>144</v>
      </c>
      <c r="G1696" s="11" t="s">
        <v>7722</v>
      </c>
      <c r="H1696" s="11" t="s">
        <v>5566</v>
      </c>
      <c r="I1696" s="11" t="s">
        <v>4619</v>
      </c>
      <c r="J1696" s="9" t="str">
        <f>IFERROR(__xludf.DUMMYFUNCTION("""COMPUTED_VALUE"""),"https://www.google.com/search?newwindow=1&amp;ei=2MT0XrvGGM-vytMP1OyDgAY&amp;q=site%3Alinkedin.com+Surabhi+Kapoor+Campus+Recruiter")</f>
        <v>https://www.google.com/search?newwindow=1&amp;ei=2MT0XrvGGM-vytMP1OyDgAY&amp;q=site%3Alinkedin.com+Surabhi+Kapoor+Campus+Recruiter</v>
      </c>
      <c r="K1696" s="5" t="str">
        <f t="shared" si="1"/>
        <v>Surabhi Kapoor</v>
      </c>
      <c r="L1696" s="5" t="str">
        <f t="shared" si="2"/>
        <v>Campus Recruiter</v>
      </c>
      <c r="M1696" s="5" t="str">
        <f t="shared" si="3"/>
        <v/>
      </c>
      <c r="N1696" s="5" t="str">
        <f t="shared" si="4"/>
        <v>American Express</v>
      </c>
      <c r="O1696" s="5" t="str">
        <f t="shared" si="5"/>
        <v>10 months in role</v>
      </c>
      <c r="P1696" s="5" t="str">
        <f t="shared" si="6"/>
        <v>London</v>
      </c>
      <c r="Q1696" s="5" t="str">
        <f t="shared" si="7"/>
        <v>England</v>
      </c>
      <c r="R1696" s="5" t="str">
        <f t="shared" si="8"/>
        <v>United Kingdom</v>
      </c>
    </row>
    <row r="1697">
      <c r="A1697" s="8" t="s">
        <v>9024</v>
      </c>
      <c r="B1697" s="12" t="s">
        <v>9025</v>
      </c>
      <c r="C1697" s="10" t="s">
        <v>9026</v>
      </c>
      <c r="D1697" s="10"/>
      <c r="E1697" s="10" t="s">
        <v>9027</v>
      </c>
      <c r="F1697" s="10" t="s">
        <v>1105</v>
      </c>
      <c r="G1697" s="11" t="s">
        <v>7722</v>
      </c>
      <c r="H1697" s="11" t="s">
        <v>5566</v>
      </c>
      <c r="I1697" s="11" t="s">
        <v>4619</v>
      </c>
      <c r="J1697" s="9" t="str">
        <f>IFERROR(__xludf.DUMMYFUNCTION("""COMPUTED_VALUE"""),"https://www.google.com/search?newwindow=1&amp;ei=2MT0XrvGGM-vytMP1OyDgAY&amp;q=site%3Alinkedin.com+Lisa+O'+Connell+College+Recruiter")</f>
        <v>https://www.google.com/search?newwindow=1&amp;ei=2MT0XrvGGM-vytMP1OyDgAY&amp;q=site%3Alinkedin.com+Lisa+O'+Connell+College+Recruiter</v>
      </c>
      <c r="K1697" s="5" t="str">
        <f t="shared" si="1"/>
        <v>Lisa O' Connell</v>
      </c>
      <c r="L1697" s="5" t="str">
        <f t="shared" si="2"/>
        <v>College Recruiter</v>
      </c>
      <c r="M1697" s="5" t="str">
        <f t="shared" si="3"/>
        <v/>
      </c>
      <c r="N1697" s="5" t="str">
        <f t="shared" si="4"/>
        <v>University College Cork</v>
      </c>
      <c r="O1697" s="5" t="str">
        <f t="shared" si="5"/>
        <v>1 year 1 month in role and company</v>
      </c>
      <c r="P1697" s="5" t="str">
        <f t="shared" si="6"/>
        <v>London</v>
      </c>
      <c r="Q1697" s="5" t="str">
        <f t="shared" si="7"/>
        <v>England</v>
      </c>
      <c r="R1697" s="5" t="str">
        <f t="shared" si="8"/>
        <v>United Kingdom</v>
      </c>
    </row>
    <row r="1698">
      <c r="A1698" s="8" t="s">
        <v>9028</v>
      </c>
      <c r="B1698" s="12" t="s">
        <v>9029</v>
      </c>
      <c r="C1698" s="10" t="s">
        <v>9030</v>
      </c>
      <c r="D1698" s="10"/>
      <c r="E1698" s="10" t="s">
        <v>8981</v>
      </c>
      <c r="F1698" s="10" t="s">
        <v>26</v>
      </c>
      <c r="G1698" s="11" t="s">
        <v>7722</v>
      </c>
      <c r="H1698" s="11" t="s">
        <v>5566</v>
      </c>
      <c r="I1698" s="11" t="s">
        <v>4619</v>
      </c>
      <c r="J1698" s="9" t="str">
        <f>IFERROR(__xludf.DUMMYFUNCTION("""COMPUTED_VALUE"""),"https://www.google.com/search?newwindow=1&amp;ei=2MT0XrvGGM-vytMP1OyDgAY&amp;q=site%3Alinkedin.com+Charlotte+Rose+DE+&amp;+UK+Campus+Recruitment+Manager")</f>
        <v>https://www.google.com/search?newwindow=1&amp;ei=2MT0XrvGGM-vytMP1OyDgAY&amp;q=site%3Alinkedin.com+Charlotte+Rose+DE+&amp;+UK+Campus+Recruitment+Manager</v>
      </c>
      <c r="K1698" s="5" t="str">
        <f t="shared" si="1"/>
        <v>Charlotte Rose</v>
      </c>
      <c r="L1698" s="5" t="str">
        <f t="shared" si="2"/>
        <v>DE &amp; UK Campus Recruitment Manager</v>
      </c>
      <c r="M1698" s="5" t="str">
        <f t="shared" si="3"/>
        <v/>
      </c>
      <c r="N1698" s="5" t="str">
        <f t="shared" si="4"/>
        <v>Amazon</v>
      </c>
      <c r="O1698" s="5" t="str">
        <f t="shared" si="5"/>
        <v>1 year 11 months in role</v>
      </c>
      <c r="P1698" s="5" t="str">
        <f t="shared" si="6"/>
        <v>London</v>
      </c>
      <c r="Q1698" s="5" t="str">
        <f t="shared" si="7"/>
        <v>England</v>
      </c>
      <c r="R1698" s="5" t="str">
        <f t="shared" si="8"/>
        <v>United Kingdom</v>
      </c>
    </row>
    <row r="1699">
      <c r="A1699" s="8" t="s">
        <v>9031</v>
      </c>
      <c r="B1699" s="10" t="s">
        <v>9032</v>
      </c>
      <c r="C1699" s="10" t="s">
        <v>2705</v>
      </c>
      <c r="D1699" s="10"/>
      <c r="E1699" s="10" t="s">
        <v>4895</v>
      </c>
      <c r="F1699" s="10" t="s">
        <v>1460</v>
      </c>
      <c r="G1699" s="11" t="s">
        <v>7722</v>
      </c>
      <c r="H1699" s="11" t="s">
        <v>5566</v>
      </c>
      <c r="I1699" s="11" t="s">
        <v>4619</v>
      </c>
      <c r="J1699" s="9" t="str">
        <f>IFERROR(__xludf.DUMMYFUNCTION("""COMPUTED_VALUE"""),"https://www.google.com/search?newwindow=1&amp;ei=2MT0XrvGGM-vytMP1OyDgAY&amp;q=site%3Alinkedin.com+Bryony+Bunker+University+Recruiter")</f>
        <v>https://www.google.com/search?newwindow=1&amp;ei=2MT0XrvGGM-vytMP1OyDgAY&amp;q=site%3Alinkedin.com+Bryony+Bunker+University+Recruiter</v>
      </c>
      <c r="K1699" s="5" t="str">
        <f t="shared" si="1"/>
        <v>Bryony Bunker</v>
      </c>
      <c r="L1699" s="5" t="str">
        <f t="shared" si="2"/>
        <v>University Recruiter</v>
      </c>
      <c r="M1699" s="5" t="str">
        <f t="shared" si="3"/>
        <v/>
      </c>
      <c r="N1699" s="5" t="str">
        <f t="shared" si="4"/>
        <v>Boston Consulting Group (BCG)</v>
      </c>
      <c r="O1699" s="5" t="str">
        <f t="shared" si="5"/>
        <v>8 months in role</v>
      </c>
      <c r="P1699" s="5" t="str">
        <f t="shared" si="6"/>
        <v>London</v>
      </c>
      <c r="Q1699" s="5" t="str">
        <f t="shared" si="7"/>
        <v>England</v>
      </c>
      <c r="R1699" s="5" t="str">
        <f t="shared" si="8"/>
        <v>United Kingdom</v>
      </c>
    </row>
    <row r="1700">
      <c r="A1700" s="8" t="s">
        <v>9033</v>
      </c>
      <c r="B1700" s="12" t="s">
        <v>9034</v>
      </c>
      <c r="C1700" s="10" t="s">
        <v>9035</v>
      </c>
      <c r="D1700" s="10"/>
      <c r="E1700" s="10" t="s">
        <v>9036</v>
      </c>
      <c r="F1700" s="10" t="s">
        <v>716</v>
      </c>
      <c r="G1700" s="11" t="s">
        <v>7722</v>
      </c>
      <c r="H1700" s="11" t="s">
        <v>5566</v>
      </c>
      <c r="I1700" s="11" t="s">
        <v>4619</v>
      </c>
      <c r="J1700" s="9" t="str">
        <f>IFERROR(__xludf.DUMMYFUNCTION("""COMPUTED_VALUE"""),"https://www.google.com/search?newwindow=1&amp;ei=2MT0XrvGGM-vytMP1OyDgAY&amp;q=site%3Alinkedin.com+angela+zavidei+Student+Programs+Tech+Recruiter+EMEA")</f>
        <v>https://www.google.com/search?newwindow=1&amp;ei=2MT0XrvGGM-vytMP1OyDgAY&amp;q=site%3Alinkedin.com+angela+zavidei+Student+Programs+Tech+Recruiter+EMEA</v>
      </c>
      <c r="K1700" s="5" t="str">
        <f t="shared" si="1"/>
        <v>angela zavidei</v>
      </c>
      <c r="L1700" s="5" t="str">
        <f t="shared" si="2"/>
        <v>Student Programs Tech Recruiter EMEA</v>
      </c>
      <c r="M1700" s="5" t="str">
        <f t="shared" si="3"/>
        <v/>
      </c>
      <c r="N1700" s="5" t="str">
        <f t="shared" si="4"/>
        <v>Amazon</v>
      </c>
      <c r="O1700" s="5" t="str">
        <f t="shared" si="5"/>
        <v>2 years 3 months in role</v>
      </c>
      <c r="P1700" s="5" t="str">
        <f t="shared" si="6"/>
        <v>London</v>
      </c>
      <c r="Q1700" s="5" t="str">
        <f t="shared" si="7"/>
        <v>England</v>
      </c>
      <c r="R1700" s="5" t="str">
        <f t="shared" si="8"/>
        <v>United Kingdom</v>
      </c>
    </row>
    <row r="1701">
      <c r="A1701" s="8" t="s">
        <v>9037</v>
      </c>
      <c r="B1701" s="10" t="s">
        <v>9038</v>
      </c>
      <c r="C1701" s="10" t="s">
        <v>9039</v>
      </c>
      <c r="D1701" s="10"/>
      <c r="E1701" s="10" t="s">
        <v>9040</v>
      </c>
      <c r="F1701" s="10" t="s">
        <v>84</v>
      </c>
      <c r="G1701" s="11" t="s">
        <v>7722</v>
      </c>
      <c r="H1701" s="11" t="s">
        <v>5566</v>
      </c>
      <c r="I1701" s="11" t="s">
        <v>4619</v>
      </c>
      <c r="J1701" s="9" t="str">
        <f>IFERROR(__xludf.DUMMYFUNCTION("""COMPUTED_VALUE"""),"https://www.google.com/search?newwindow=1&amp;ei=2MT0XrvGGM-vytMP1OyDgAY&amp;q=site%3Alinkedin.com+Jessica+Majevadia+EMEA+Student+Programs+Recruitment+Coordinator")</f>
        <v>https://www.google.com/search?newwindow=1&amp;ei=2MT0XrvGGM-vytMP1OyDgAY&amp;q=site%3Alinkedin.com+Jessica+Majevadia+EMEA+Student+Programs+Recruitment+Coordinator</v>
      </c>
      <c r="K1701" s="5" t="str">
        <f t="shared" si="1"/>
        <v>Jessica Majevadia</v>
      </c>
      <c r="L1701" s="5" t="str">
        <f t="shared" si="2"/>
        <v>EMEA Student Programs Recruitment Coordinator</v>
      </c>
      <c r="M1701" s="5" t="str">
        <f t="shared" si="3"/>
        <v/>
      </c>
      <c r="N1701" s="5" t="str">
        <f t="shared" si="4"/>
        <v>Amazon</v>
      </c>
      <c r="O1701" s="5" t="str">
        <f t="shared" si="5"/>
        <v>2 months in role and company</v>
      </c>
      <c r="P1701" s="5" t="str">
        <f t="shared" si="6"/>
        <v>London</v>
      </c>
      <c r="Q1701" s="5" t="str">
        <f t="shared" si="7"/>
        <v>England</v>
      </c>
      <c r="R1701" s="5" t="str">
        <f t="shared" si="8"/>
        <v>United Kingdom</v>
      </c>
    </row>
    <row r="1702">
      <c r="A1702" s="8" t="s">
        <v>9041</v>
      </c>
      <c r="B1702" s="10" t="s">
        <v>9042</v>
      </c>
      <c r="C1702" s="10" t="s">
        <v>9043</v>
      </c>
      <c r="D1702" s="10"/>
      <c r="E1702" s="10" t="s">
        <v>9044</v>
      </c>
      <c r="F1702" s="10" t="s">
        <v>84</v>
      </c>
      <c r="G1702" s="11" t="s">
        <v>7722</v>
      </c>
      <c r="H1702" s="11" t="s">
        <v>5566</v>
      </c>
      <c r="I1702" s="11" t="s">
        <v>4619</v>
      </c>
      <c r="J1702" s="9" t="str">
        <f>IFERROR(__xludf.DUMMYFUNCTION("""COMPUTED_VALUE"""),"https://www.google.com/search?newwindow=1&amp;ei=2MT0XrvGGM-vytMP1OyDgAY&amp;q=site%3Alinkedin.com+Emily+Collins+EMEA+Sales+&amp;+Marketing+Campus+Recruiter")</f>
        <v>https://www.google.com/search?newwindow=1&amp;ei=2MT0XrvGGM-vytMP1OyDgAY&amp;q=site%3Alinkedin.com+Emily+Collins+EMEA+Sales+&amp;+Marketing+Campus+Recruiter</v>
      </c>
      <c r="K1702" s="5" t="str">
        <f t="shared" si="1"/>
        <v>Emily Collins</v>
      </c>
      <c r="L1702" s="5" t="str">
        <f t="shared" si="2"/>
        <v>EMEA Sales &amp; Marketing Campus Recruiter</v>
      </c>
      <c r="M1702" s="5" t="str">
        <f t="shared" si="3"/>
        <v/>
      </c>
      <c r="N1702" s="5" t="str">
        <f t="shared" si="4"/>
        <v>J.P. Morgan</v>
      </c>
      <c r="O1702" s="5" t="str">
        <f t="shared" si="5"/>
        <v>2 years 10 months in role</v>
      </c>
      <c r="P1702" s="5" t="str">
        <f t="shared" si="6"/>
        <v>London</v>
      </c>
      <c r="Q1702" s="5" t="str">
        <f t="shared" si="7"/>
        <v>England</v>
      </c>
      <c r="R1702" s="5" t="str">
        <f t="shared" si="8"/>
        <v>United Kingdom</v>
      </c>
    </row>
    <row r="1703">
      <c r="A1703" s="8" t="s">
        <v>9045</v>
      </c>
      <c r="B1703" s="10" t="s">
        <v>9046</v>
      </c>
      <c r="C1703" s="10" t="s">
        <v>9047</v>
      </c>
      <c r="D1703" s="10"/>
      <c r="E1703" s="10" t="s">
        <v>9048</v>
      </c>
      <c r="F1703" s="10" t="s">
        <v>22</v>
      </c>
      <c r="G1703" s="11" t="s">
        <v>7722</v>
      </c>
      <c r="H1703" s="11" t="s">
        <v>5566</v>
      </c>
      <c r="I1703" s="11" t="s">
        <v>4619</v>
      </c>
      <c r="J1703" s="9" t="str">
        <f>IFERROR(__xludf.DUMMYFUNCTION("""COMPUTED_VALUE"""),"https://www.google.com/search?newwindow=1&amp;ei=2MT0XrvGGM-vytMP1OyDgAY&amp;q=site%3Alinkedin.com+Michelle+Kiersey+University+Recruitment")</f>
        <v>https://www.google.com/search?newwindow=1&amp;ei=2MT0XrvGGM-vytMP1OyDgAY&amp;q=site%3Alinkedin.com+Michelle+Kiersey+University+Recruitment</v>
      </c>
      <c r="K1703" s="5" t="str">
        <f t="shared" si="1"/>
        <v>Michelle Kiersey</v>
      </c>
      <c r="L1703" s="5" t="str">
        <f t="shared" si="2"/>
        <v>University Recruitment</v>
      </c>
      <c r="M1703" s="5" t="str">
        <f t="shared" si="3"/>
        <v/>
      </c>
      <c r="N1703" s="5" t="str">
        <f t="shared" si="4"/>
        <v>Facebook</v>
      </c>
      <c r="O1703" s="5" t="str">
        <f t="shared" si="5"/>
        <v>5 months in role and company</v>
      </c>
      <c r="P1703" s="5" t="str">
        <f t="shared" si="6"/>
        <v>London</v>
      </c>
      <c r="Q1703" s="5" t="str">
        <f t="shared" si="7"/>
        <v>England</v>
      </c>
      <c r="R1703" s="5" t="str">
        <f t="shared" si="8"/>
        <v>United Kingdom</v>
      </c>
    </row>
    <row r="1704">
      <c r="A1704" s="8" t="s">
        <v>9049</v>
      </c>
      <c r="B1704" s="10" t="s">
        <v>9050</v>
      </c>
      <c r="C1704" s="10" t="s">
        <v>9051</v>
      </c>
      <c r="D1704" s="10"/>
      <c r="E1704" s="10" t="s">
        <v>9052</v>
      </c>
      <c r="F1704" s="10" t="s">
        <v>1357</v>
      </c>
      <c r="G1704" s="11" t="s">
        <v>7722</v>
      </c>
      <c r="H1704" s="11" t="s">
        <v>5566</v>
      </c>
      <c r="I1704" s="11" t="s">
        <v>4619</v>
      </c>
      <c r="J1704" s="9" t="str">
        <f>IFERROR(__xludf.DUMMYFUNCTION("""COMPUTED_VALUE"""),"https://www.google.com/search?newwindow=1&amp;ei=2MT0XrvGGM-vytMP1OyDgAY&amp;q=site%3Alinkedin.com+Sophie+Robinson+EMEA+Campus+Recruiter+and+Programme+Manager")</f>
        <v>https://www.google.com/search?newwindow=1&amp;ei=2MT0XrvGGM-vytMP1OyDgAY&amp;q=site%3Alinkedin.com+Sophie+Robinson+EMEA+Campus+Recruiter+and+Programme+Manager</v>
      </c>
      <c r="K1704" s="5" t="str">
        <f t="shared" si="1"/>
        <v>Sophie Robinson</v>
      </c>
      <c r="L1704" s="5" t="str">
        <f t="shared" si="2"/>
        <v>EMEA Campus Recruiter and Programme Manager</v>
      </c>
      <c r="M1704" s="5" t="str">
        <f t="shared" si="3"/>
        <v/>
      </c>
      <c r="N1704" s="5" t="str">
        <f t="shared" si="4"/>
        <v>Bloomberg LP</v>
      </c>
      <c r="O1704" s="5" t="str">
        <f t="shared" si="5"/>
        <v>1 year 2 months in role</v>
      </c>
      <c r="P1704" s="5" t="str">
        <f t="shared" si="6"/>
        <v>London</v>
      </c>
      <c r="Q1704" s="5" t="str">
        <f t="shared" si="7"/>
        <v>England</v>
      </c>
      <c r="R1704" s="5" t="str">
        <f t="shared" si="8"/>
        <v>United Kingdom</v>
      </c>
    </row>
    <row r="1705">
      <c r="A1705" s="8" t="s">
        <v>9053</v>
      </c>
      <c r="B1705" s="10" t="s">
        <v>9054</v>
      </c>
      <c r="C1705" s="10" t="s">
        <v>9055</v>
      </c>
      <c r="D1705" s="10"/>
      <c r="E1705" s="10" t="s">
        <v>9056</v>
      </c>
      <c r="F1705" s="10" t="s">
        <v>484</v>
      </c>
      <c r="G1705" s="11" t="s">
        <v>7722</v>
      </c>
      <c r="H1705" s="11" t="s">
        <v>5566</v>
      </c>
      <c r="I1705" s="11" t="s">
        <v>4619</v>
      </c>
      <c r="J1705" s="9" t="str">
        <f>IFERROR(__xludf.DUMMYFUNCTION("""COMPUTED_VALUE"""),"https://www.google.com/search?newwindow=1&amp;ei=2MT0XrvGGM-vytMP1OyDgAY&amp;q=site%3Alinkedin.com+Karolina+Skrzat+PL+Campus+Recruiter+-+Secondment")</f>
        <v>https://www.google.com/search?newwindow=1&amp;ei=2MT0XrvGGM-vytMP1OyDgAY&amp;q=site%3Alinkedin.com+Karolina+Skrzat+PL+Campus+Recruiter+-+Secondment</v>
      </c>
      <c r="K1705" s="5" t="str">
        <f t="shared" si="1"/>
        <v>Karolina Skrzat</v>
      </c>
      <c r="L1705" s="5" t="str">
        <f t="shared" si="2"/>
        <v>PL Campus Recruiter - Secondment</v>
      </c>
      <c r="M1705" s="5" t="str">
        <f t="shared" si="3"/>
        <v/>
      </c>
      <c r="N1705" s="5" t="str">
        <f t="shared" si="4"/>
        <v>Amazon</v>
      </c>
      <c r="O1705" s="5" t="str">
        <f t="shared" si="5"/>
        <v>8 months in role</v>
      </c>
      <c r="P1705" s="5" t="str">
        <f t="shared" si="6"/>
        <v>London</v>
      </c>
      <c r="Q1705" s="5" t="str">
        <f t="shared" si="7"/>
        <v>England</v>
      </c>
      <c r="R1705" s="5" t="str">
        <f t="shared" si="8"/>
        <v>United Kingdom</v>
      </c>
    </row>
    <row r="1706">
      <c r="A1706" s="8" t="s">
        <v>9057</v>
      </c>
      <c r="B1706" s="10" t="s">
        <v>9058</v>
      </c>
      <c r="C1706" s="10" t="s">
        <v>9059</v>
      </c>
      <c r="D1706" s="10"/>
      <c r="E1706" s="10" t="s">
        <v>9060</v>
      </c>
      <c r="F1706" s="10" t="s">
        <v>666</v>
      </c>
      <c r="G1706" s="11" t="s">
        <v>7722</v>
      </c>
      <c r="H1706" s="11" t="s">
        <v>5566</v>
      </c>
      <c r="I1706" s="11" t="s">
        <v>4619</v>
      </c>
      <c r="J1706" s="9" t="str">
        <f>IFERROR(__xludf.DUMMYFUNCTION("""COMPUTED_VALUE"""),"https://www.google.com/search?newwindow=1&amp;ei=2MT0XrvGGM-vytMP1OyDgAY&amp;q=site%3Alinkedin.com+Victoria+Stack+Graduate+Recruiter")</f>
        <v>https://www.google.com/search?newwindow=1&amp;ei=2MT0XrvGGM-vytMP1OyDgAY&amp;q=site%3Alinkedin.com+Victoria+Stack+Graduate+Recruiter</v>
      </c>
      <c r="K1706" s="5" t="str">
        <f t="shared" si="1"/>
        <v>Victoria Stack</v>
      </c>
      <c r="L1706" s="5" t="str">
        <f t="shared" si="2"/>
        <v>Graduate Recruiter</v>
      </c>
      <c r="M1706" s="5" t="str">
        <f t="shared" si="3"/>
        <v/>
      </c>
      <c r="N1706" s="5" t="str">
        <f t="shared" si="4"/>
        <v>Goldman Sachs</v>
      </c>
      <c r="O1706" s="5" t="str">
        <f t="shared" si="5"/>
        <v>3 years 6 months in role</v>
      </c>
      <c r="P1706" s="5" t="str">
        <f t="shared" si="6"/>
        <v>London</v>
      </c>
      <c r="Q1706" s="5" t="str">
        <f t="shared" si="7"/>
        <v>England</v>
      </c>
      <c r="R1706" s="5" t="str">
        <f t="shared" si="8"/>
        <v>United Kingdom</v>
      </c>
    </row>
    <row r="1707">
      <c r="A1707" s="8" t="s">
        <v>9061</v>
      </c>
      <c r="B1707" s="12" t="s">
        <v>9062</v>
      </c>
      <c r="C1707" s="10" t="s">
        <v>9063</v>
      </c>
      <c r="D1707" s="10"/>
      <c r="E1707" s="10" t="s">
        <v>9064</v>
      </c>
      <c r="F1707" s="10" t="s">
        <v>441</v>
      </c>
      <c r="G1707" s="11" t="s">
        <v>7722</v>
      </c>
      <c r="H1707" s="11" t="s">
        <v>5566</v>
      </c>
      <c r="I1707" s="11" t="s">
        <v>4619</v>
      </c>
      <c r="J1707" s="9" t="str">
        <f>IFERROR(__xludf.DUMMYFUNCTION("""COMPUTED_VALUE"""),"https://www.google.com/search?newwindow=1&amp;ei=2MT0XrvGGM-vytMP1OyDgAY&amp;q=site%3Alinkedin.com+Sally+Preston+Graduate+Recruiter")</f>
        <v>https://www.google.com/search?newwindow=1&amp;ei=2MT0XrvGGM-vytMP1OyDgAY&amp;q=site%3Alinkedin.com+Sally+Preston+Graduate+Recruiter</v>
      </c>
      <c r="K1707" s="5" t="str">
        <f t="shared" si="1"/>
        <v>Sally Preston</v>
      </c>
      <c r="L1707" s="5" t="str">
        <f t="shared" si="2"/>
        <v>Graduate Recruiter</v>
      </c>
      <c r="M1707" s="5" t="str">
        <f t="shared" si="3"/>
        <v/>
      </c>
      <c r="N1707" s="5" t="str">
        <f t="shared" si="4"/>
        <v>Goldman Sachs</v>
      </c>
      <c r="O1707" s="5" t="str">
        <f t="shared" si="5"/>
        <v>5 years 2 months in role and company</v>
      </c>
      <c r="P1707" s="5" t="str">
        <f t="shared" si="6"/>
        <v>London</v>
      </c>
      <c r="Q1707" s="5" t="str">
        <f t="shared" si="7"/>
        <v>England</v>
      </c>
      <c r="R1707" s="5" t="str">
        <f t="shared" si="8"/>
        <v>United Kingdom</v>
      </c>
    </row>
    <row r="1708">
      <c r="A1708" s="8" t="s">
        <v>9065</v>
      </c>
      <c r="B1708" s="12" t="s">
        <v>9066</v>
      </c>
      <c r="C1708" s="10" t="s">
        <v>9067</v>
      </c>
      <c r="D1708" s="10"/>
      <c r="E1708" s="10" t="s">
        <v>9068</v>
      </c>
      <c r="F1708" s="10" t="s">
        <v>1623</v>
      </c>
      <c r="G1708" s="11" t="s">
        <v>7722</v>
      </c>
      <c r="H1708" s="11" t="s">
        <v>5566</v>
      </c>
      <c r="I1708" s="11" t="s">
        <v>4619</v>
      </c>
      <c r="J1708" s="9" t="str">
        <f>IFERROR(__xludf.DUMMYFUNCTION("""COMPUTED_VALUE"""),"https://www.google.com/search?newwindow=1&amp;ei=2MT0XrvGGM-vytMP1OyDgAY&amp;q=site%3Alinkedin.com+Akansha+Lal+Vice+President+-+Lead+Campus+&amp;+MBA+Recruiter+-+GCIB")</f>
        <v>https://www.google.com/search?newwindow=1&amp;ei=2MT0XrvGGM-vytMP1OyDgAY&amp;q=site%3Alinkedin.com+Akansha+Lal+Vice+President+-+Lead+Campus+&amp;+MBA+Recruiter+-+GCIB</v>
      </c>
      <c r="K1708" s="5" t="str">
        <f t="shared" si="1"/>
        <v>Akansha Lal</v>
      </c>
      <c r="L1708" s="5" t="str">
        <f t="shared" si="2"/>
        <v>Vice President - Lead Campus &amp; MBA Recruiter - GCIB</v>
      </c>
      <c r="M1708" s="5" t="str">
        <f t="shared" si="3"/>
        <v>MBA</v>
      </c>
      <c r="N1708" s="5" t="str">
        <f t="shared" si="4"/>
        <v>Bank of America Merrill Lynch</v>
      </c>
      <c r="O1708" s="5" t="str">
        <f t="shared" si="5"/>
        <v>1 year 8 months in role and company</v>
      </c>
      <c r="P1708" s="5" t="str">
        <f t="shared" si="6"/>
        <v>London</v>
      </c>
      <c r="Q1708" s="5" t="str">
        <f t="shared" si="7"/>
        <v>England</v>
      </c>
      <c r="R1708" s="5" t="str">
        <f t="shared" si="8"/>
        <v>United Kingdom</v>
      </c>
    </row>
    <row r="1709">
      <c r="A1709" s="8" t="s">
        <v>9069</v>
      </c>
      <c r="B1709" s="10" t="s">
        <v>9070</v>
      </c>
      <c r="C1709" s="10" t="s">
        <v>9071</v>
      </c>
      <c r="D1709" s="12"/>
      <c r="E1709" s="12" t="s">
        <v>7733</v>
      </c>
      <c r="F1709" s="10"/>
      <c r="G1709" s="11" t="s">
        <v>7722</v>
      </c>
      <c r="H1709" s="11" t="s">
        <v>5566</v>
      </c>
      <c r="I1709" s="11" t="s">
        <v>4619</v>
      </c>
      <c r="J1709" s="9" t="str">
        <f>IFERROR(__xludf.DUMMYFUNCTION("""COMPUTED_VALUE"""),"https://www.google.com/search?newwindow=1&amp;ei=2MT0XrvGGM-vytMP1OyDgAY&amp;q=site%3Alinkedin.com+Hannah+Deakin+EMEA+Campus+Lead+Recruiter")</f>
        <v>https://www.google.com/search?newwindow=1&amp;ei=2MT0XrvGGM-vytMP1OyDgAY&amp;q=site%3Alinkedin.com+Hannah+Deakin+EMEA+Campus+Lead+Recruiter</v>
      </c>
      <c r="K1709" s="5" t="str">
        <f t="shared" si="1"/>
        <v>Hannah Deakin</v>
      </c>
      <c r="L1709" s="5" t="str">
        <f t="shared" si="2"/>
        <v>EMEA Campus Lead Recruiter</v>
      </c>
      <c r="M1709" s="5" t="str">
        <f t="shared" si="3"/>
        <v/>
      </c>
      <c r="N1709" s="5" t="str">
        <f t="shared" si="4"/>
        <v>Citi</v>
      </c>
      <c r="O1709" s="5" t="str">
        <f t="shared" si="5"/>
        <v>1 year 2 months in role and company</v>
      </c>
      <c r="P1709" s="5" t="str">
        <f t="shared" si="6"/>
        <v>London</v>
      </c>
      <c r="Q1709" s="5" t="str">
        <f t="shared" si="7"/>
        <v>England</v>
      </c>
      <c r="R1709" s="5" t="str">
        <f t="shared" si="8"/>
        <v>United Kingdom</v>
      </c>
    </row>
    <row r="1710">
      <c r="A1710" s="8" t="s">
        <v>9072</v>
      </c>
      <c r="B1710" s="10" t="s">
        <v>9073</v>
      </c>
      <c r="C1710" s="10" t="s">
        <v>9074</v>
      </c>
      <c r="D1710" s="12"/>
      <c r="E1710" s="12" t="s">
        <v>9075</v>
      </c>
      <c r="F1710" s="10"/>
      <c r="G1710" s="11" t="s">
        <v>7722</v>
      </c>
      <c r="H1710" s="11" t="s">
        <v>5566</v>
      </c>
      <c r="I1710" s="11" t="s">
        <v>4619</v>
      </c>
      <c r="J1710" s="9" t="str">
        <f>IFERROR(__xludf.DUMMYFUNCTION("""COMPUTED_VALUE"""),"https://www.google.com/search?newwindow=1&amp;ei=2MT0XrvGGM-vytMP1OyDgAY&amp;q=site%3Alinkedin.com+Meenakshi+Jhala+Student+Champion+University+Lead")</f>
        <v>https://www.google.com/search?newwindow=1&amp;ei=2MT0XrvGGM-vytMP1OyDgAY&amp;q=site%3Alinkedin.com+Meenakshi+Jhala+Student+Champion+University+Lead</v>
      </c>
      <c r="K1710" s="5" t="str">
        <f t="shared" si="1"/>
        <v>Meenakshi Jhala</v>
      </c>
      <c r="L1710" s="5" t="str">
        <f t="shared" si="2"/>
        <v>Student Champion University Lead</v>
      </c>
      <c r="M1710" s="5" t="str">
        <f t="shared" si="3"/>
        <v/>
      </c>
      <c r="N1710" s="5" t="str">
        <f t="shared" si="4"/>
        <v>NICE - National Institute for Health and Care Excellence</v>
      </c>
      <c r="O1710" s="5" t="str">
        <f t="shared" si="5"/>
        <v>4 months in role and company</v>
      </c>
      <c r="P1710" s="5" t="str">
        <f t="shared" si="6"/>
        <v>London</v>
      </c>
      <c r="Q1710" s="5" t="str">
        <f t="shared" si="7"/>
        <v>England</v>
      </c>
      <c r="R1710" s="5" t="str">
        <f t="shared" si="8"/>
        <v>United Kingdom</v>
      </c>
    </row>
    <row r="1711">
      <c r="A1711" s="8" t="s">
        <v>9076</v>
      </c>
      <c r="B1711" s="12" t="s">
        <v>9077</v>
      </c>
      <c r="C1711" s="10" t="s">
        <v>9078</v>
      </c>
      <c r="D1711" s="10"/>
      <c r="E1711" s="10" t="s">
        <v>9079</v>
      </c>
      <c r="F1711" s="10" t="s">
        <v>100</v>
      </c>
      <c r="G1711" s="11" t="s">
        <v>7722</v>
      </c>
      <c r="H1711" s="11" t="s">
        <v>5566</v>
      </c>
      <c r="I1711" s="11" t="s">
        <v>4619</v>
      </c>
      <c r="J1711" s="9" t="str">
        <f>IFERROR(__xludf.DUMMYFUNCTION("""COMPUTED_VALUE"""),"https://www.google.com/search?newwindow=1&amp;ei=2MT0XrvGGM-vytMP1OyDgAY&amp;q=site%3Alinkedin.com+Lorraine+Little+Interim+Global+Campus+Recruiting+Lead,+Global+Support+Services")</f>
        <v>https://www.google.com/search?newwindow=1&amp;ei=2MT0XrvGGM-vytMP1OyDgAY&amp;q=site%3Alinkedin.com+Lorraine+Little+Interim+Global+Campus+Recruiting+Lead,+Global+Support+Services</v>
      </c>
      <c r="K1711" s="5" t="str">
        <f t="shared" si="1"/>
        <v>Lorraine Little</v>
      </c>
      <c r="L1711" s="5" t="str">
        <f t="shared" si="2"/>
        <v>Interim Global Campus Recruiting Lead, Global Support Services</v>
      </c>
      <c r="M1711" s="5" t="str">
        <f t="shared" si="3"/>
        <v/>
      </c>
      <c r="N1711" s="5" t="str">
        <f t="shared" si="4"/>
        <v>McKinsey &amp; Company</v>
      </c>
      <c r="O1711" s="5" t="str">
        <f t="shared" si="5"/>
        <v>1 year 10 months in role and company</v>
      </c>
      <c r="P1711" s="5" t="str">
        <f t="shared" si="6"/>
        <v>London</v>
      </c>
      <c r="Q1711" s="5" t="str">
        <f t="shared" si="7"/>
        <v>England</v>
      </c>
      <c r="R1711" s="5" t="str">
        <f t="shared" si="8"/>
        <v>United Kingdom</v>
      </c>
    </row>
    <row r="1712">
      <c r="A1712" s="8" t="s">
        <v>9080</v>
      </c>
      <c r="B1712" s="12" t="s">
        <v>9081</v>
      </c>
      <c r="C1712" s="10" t="s">
        <v>3219</v>
      </c>
      <c r="D1712" s="10"/>
      <c r="E1712" s="10" t="s">
        <v>9082</v>
      </c>
      <c r="F1712" s="10" t="s">
        <v>165</v>
      </c>
      <c r="G1712" s="11" t="s">
        <v>7722</v>
      </c>
      <c r="H1712" s="11" t="s">
        <v>5566</v>
      </c>
      <c r="I1712" s="11" t="s">
        <v>4619</v>
      </c>
      <c r="J1712" s="9" t="str">
        <f>IFERROR(__xludf.DUMMYFUNCTION("""COMPUTED_VALUE"""),"https://www.google.com/search?newwindow=1&amp;ei=2MT0XrvGGM-vytMP1OyDgAY&amp;q=site%3Alinkedin.com+Abi+Fields+University+Recruiter")</f>
        <v>https://www.google.com/search?newwindow=1&amp;ei=2MT0XrvGGM-vytMP1OyDgAY&amp;q=site%3Alinkedin.com+Abi+Fields+University+Recruiter</v>
      </c>
      <c r="K1712" s="5" t="str">
        <f t="shared" si="1"/>
        <v>Abi Fields</v>
      </c>
      <c r="L1712" s="5" t="str">
        <f t="shared" si="2"/>
        <v>University Recruiter</v>
      </c>
      <c r="M1712" s="5" t="str">
        <f t="shared" si="3"/>
        <v/>
      </c>
      <c r="N1712" s="5" t="str">
        <f t="shared" si="4"/>
        <v>Teach First</v>
      </c>
      <c r="O1712" s="5" t="str">
        <f t="shared" si="5"/>
        <v>3 years 3 months in role and company</v>
      </c>
      <c r="P1712" s="5" t="str">
        <f t="shared" si="6"/>
        <v>London</v>
      </c>
      <c r="Q1712" s="5" t="str">
        <f t="shared" si="7"/>
        <v>England</v>
      </c>
      <c r="R1712" s="5" t="str">
        <f t="shared" si="8"/>
        <v>United Kingdom</v>
      </c>
    </row>
    <row r="1713">
      <c r="A1713" s="8" t="s">
        <v>9083</v>
      </c>
      <c r="B1713" s="10" t="s">
        <v>9084</v>
      </c>
      <c r="C1713" s="10" t="s">
        <v>9085</v>
      </c>
      <c r="D1713" s="10"/>
      <c r="E1713" s="10" t="s">
        <v>9086</v>
      </c>
      <c r="F1713" s="10" t="s">
        <v>418</v>
      </c>
      <c r="G1713" s="11" t="s">
        <v>7722</v>
      </c>
      <c r="H1713" s="11" t="s">
        <v>5566</v>
      </c>
      <c r="I1713" s="11" t="s">
        <v>4619</v>
      </c>
      <c r="J1713" s="9" t="str">
        <f>IFERROR(__xludf.DUMMYFUNCTION("""COMPUTED_VALUE"""),"https://www.google.com/search?newwindow=1&amp;ei=2MT0XrvGGM-vytMP1OyDgAY&amp;q=site%3Alinkedin.com+Klaudia+Slawinska+RAID+Recruitment+and+Admission+International+Student+Ambassador")</f>
        <v>https://www.google.com/search?newwindow=1&amp;ei=2MT0XrvGGM-vytMP1OyDgAY&amp;q=site%3Alinkedin.com+Klaudia+Slawinska+RAID+Recruitment+and+Admission+International+Student+Ambassador</v>
      </c>
      <c r="K1713" s="5" t="str">
        <f t="shared" si="1"/>
        <v>Klaudia Slawinska</v>
      </c>
      <c r="L1713" s="5" t="str">
        <f t="shared" si="2"/>
        <v>RAID Recruitment and Admission International Student Ambassador</v>
      </c>
      <c r="M1713" s="5" t="str">
        <f t="shared" si="3"/>
        <v/>
      </c>
      <c r="N1713" s="5" t="str">
        <f t="shared" si="4"/>
        <v>Lancaster University</v>
      </c>
      <c r="O1713" s="5" t="str">
        <f t="shared" si="5"/>
        <v>2 years  in role</v>
      </c>
      <c r="P1713" s="5" t="str">
        <f t="shared" si="6"/>
        <v>London</v>
      </c>
      <c r="Q1713" s="5" t="str">
        <f t="shared" si="7"/>
        <v>England</v>
      </c>
      <c r="R1713" s="5" t="str">
        <f t="shared" si="8"/>
        <v>United Kingdom</v>
      </c>
    </row>
    <row r="1714">
      <c r="A1714" s="8" t="s">
        <v>9087</v>
      </c>
      <c r="B1714" s="10" t="s">
        <v>9088</v>
      </c>
      <c r="C1714" s="10" t="s">
        <v>9067</v>
      </c>
      <c r="D1714" s="12"/>
      <c r="E1714" s="12" t="s">
        <v>9048</v>
      </c>
      <c r="F1714" s="10"/>
      <c r="G1714" s="11" t="s">
        <v>7722</v>
      </c>
      <c r="H1714" s="11" t="s">
        <v>5566</v>
      </c>
      <c r="I1714" s="11" t="s">
        <v>4619</v>
      </c>
      <c r="J1714" s="9" t="str">
        <f>IFERROR(__xludf.DUMMYFUNCTION("""COMPUTED_VALUE"""),"https://www.google.com/search?newwindow=1&amp;ei=2MT0XrvGGM-vytMP1OyDgAY&amp;q=site%3Alinkedin.com+Nicola+Groves+Early+Talent+/+University+Relations+Leader+EMEA")</f>
        <v>https://www.google.com/search?newwindow=1&amp;ei=2MT0XrvGGM-vytMP1OyDgAY&amp;q=site%3Alinkedin.com+Nicola+Groves+Early+Talent+/+University+Relations+Leader+EMEA</v>
      </c>
      <c r="K1714" s="5" t="str">
        <f t="shared" si="1"/>
        <v>Nicola Groves</v>
      </c>
      <c r="L1714" s="5" t="str">
        <f t="shared" si="2"/>
        <v>Early Talent / University Relations Leader EMEA</v>
      </c>
      <c r="M1714" s="5" t="str">
        <f t="shared" si="3"/>
        <v/>
      </c>
      <c r="N1714" s="5" t="str">
        <f t="shared" si="4"/>
        <v>Thermofisher Scientific</v>
      </c>
      <c r="O1714" s="5" t="str">
        <f t="shared" si="5"/>
        <v>10 months in role</v>
      </c>
      <c r="P1714" s="5" t="str">
        <f t="shared" si="6"/>
        <v>London</v>
      </c>
      <c r="Q1714" s="5" t="str">
        <f t="shared" si="7"/>
        <v>England</v>
      </c>
      <c r="R1714" s="5" t="str">
        <f t="shared" si="8"/>
        <v>United Kingdom</v>
      </c>
    </row>
    <row r="1715">
      <c r="A1715" s="8" t="s">
        <v>9089</v>
      </c>
      <c r="B1715" s="12" t="s">
        <v>9090</v>
      </c>
      <c r="C1715" s="10" t="s">
        <v>4929</v>
      </c>
      <c r="D1715" s="12"/>
      <c r="E1715" s="12" t="s">
        <v>9091</v>
      </c>
      <c r="F1715" s="10"/>
      <c r="G1715" s="11" t="s">
        <v>7722</v>
      </c>
      <c r="H1715" s="11" t="s">
        <v>5566</v>
      </c>
      <c r="I1715" s="11" t="s">
        <v>4619</v>
      </c>
      <c r="J1715" s="9" t="str">
        <f>IFERROR(__xludf.DUMMYFUNCTION("""COMPUTED_VALUE"""),"https://www.google.com/search?newwindow=1&amp;ei=2MT0XrvGGM-vytMP1OyDgAY&amp;q=site%3Alinkedin.com+Lily+Marcou+Graduate+&amp;+Apprentice+Recruiter")</f>
        <v>https://www.google.com/search?newwindow=1&amp;ei=2MT0XrvGGM-vytMP1OyDgAY&amp;q=site%3Alinkedin.com+Lily+Marcou+Graduate+&amp;+Apprentice+Recruiter</v>
      </c>
      <c r="K1715" s="5" t="str">
        <f t="shared" si="1"/>
        <v>Lily Marcou</v>
      </c>
      <c r="L1715" s="5" t="str">
        <f t="shared" si="2"/>
        <v>Graduate &amp; Apprentice Recruiter</v>
      </c>
      <c r="M1715" s="5" t="str">
        <f t="shared" si="3"/>
        <v/>
      </c>
      <c r="N1715" s="5" t="str">
        <f t="shared" si="4"/>
        <v>Capgemini</v>
      </c>
      <c r="O1715" s="5" t="str">
        <f t="shared" si="5"/>
        <v>1 year 8 months in role and company</v>
      </c>
      <c r="P1715" s="5" t="str">
        <f t="shared" si="6"/>
        <v>London</v>
      </c>
      <c r="Q1715" s="5" t="str">
        <f t="shared" si="7"/>
        <v>England</v>
      </c>
      <c r="R1715" s="5" t="str">
        <f t="shared" si="8"/>
        <v>United Kingdom</v>
      </c>
    </row>
    <row r="1716">
      <c r="A1716" s="8" t="s">
        <v>9092</v>
      </c>
      <c r="B1716" s="12" t="s">
        <v>9093</v>
      </c>
      <c r="C1716" s="10" t="s">
        <v>9094</v>
      </c>
      <c r="D1716" s="12"/>
      <c r="E1716" s="12" t="s">
        <v>7733</v>
      </c>
      <c r="F1716" s="10"/>
      <c r="G1716" s="11" t="s">
        <v>7722</v>
      </c>
      <c r="H1716" s="11" t="s">
        <v>5566</v>
      </c>
      <c r="I1716" s="11" t="s">
        <v>4619</v>
      </c>
      <c r="J1716" s="9" t="str">
        <f>IFERROR(__xludf.DUMMYFUNCTION("""COMPUTED_VALUE"""),"https://www.google.com/search?newwindow=1&amp;ei=2MT0XrvGGM-vytMP1OyDgAY&amp;q=site%3Alinkedin.com+Kirsty+Smith+Graduate+Recruiter")</f>
        <v>https://www.google.com/search?newwindow=1&amp;ei=2MT0XrvGGM-vytMP1OyDgAY&amp;q=site%3Alinkedin.com+Kirsty+Smith+Graduate+Recruiter</v>
      </c>
      <c r="K1716" s="5" t="str">
        <f t="shared" si="1"/>
        <v>Kirsty Smith</v>
      </c>
      <c r="L1716" s="5" t="str">
        <f t="shared" si="2"/>
        <v>Graduate Recruiter</v>
      </c>
      <c r="M1716" s="5" t="str">
        <f t="shared" si="3"/>
        <v/>
      </c>
      <c r="N1716" s="5" t="str">
        <f t="shared" si="4"/>
        <v>Capgemini</v>
      </c>
      <c r="O1716" s="5" t="str">
        <f t="shared" si="5"/>
        <v>7 years  in role and company</v>
      </c>
      <c r="P1716" s="5" t="str">
        <f t="shared" si="6"/>
        <v>London</v>
      </c>
      <c r="Q1716" s="5" t="str">
        <f t="shared" si="7"/>
        <v>England</v>
      </c>
      <c r="R1716" s="5" t="str">
        <f t="shared" si="8"/>
        <v>United Kingdom</v>
      </c>
    </row>
    <row r="1717">
      <c r="A1717" s="8" t="s">
        <v>9095</v>
      </c>
      <c r="B1717" s="12" t="s">
        <v>9096</v>
      </c>
      <c r="C1717" s="10" t="s">
        <v>9097</v>
      </c>
      <c r="D1717" s="12"/>
      <c r="E1717" s="12" t="s">
        <v>9098</v>
      </c>
      <c r="F1717" s="10"/>
      <c r="G1717" s="11" t="s">
        <v>7722</v>
      </c>
      <c r="H1717" s="11" t="s">
        <v>5566</v>
      </c>
      <c r="I1717" s="11" t="s">
        <v>4619</v>
      </c>
      <c r="J1717" s="9" t="str">
        <f>IFERROR(__xludf.DUMMYFUNCTION("""COMPUTED_VALUE"""),"https://www.google.com/search?newwindow=1&amp;ei=2MT0XrvGGM-vytMP1OyDgAY&amp;q=site%3Alinkedin.com+Michelle+Mills+University+&amp;+Overseas+Resourcing+Manager")</f>
        <v>https://www.google.com/search?newwindow=1&amp;ei=2MT0XrvGGM-vytMP1OyDgAY&amp;q=site%3Alinkedin.com+Michelle+Mills+University+&amp;+Overseas+Resourcing+Manager</v>
      </c>
      <c r="K1717" s="5" t="str">
        <f t="shared" si="1"/>
        <v>Michelle Mills</v>
      </c>
      <c r="L1717" s="5" t="str">
        <f t="shared" si="2"/>
        <v>University &amp; Overseas Resourcing Manager</v>
      </c>
      <c r="M1717" s="5" t="str">
        <f t="shared" si="3"/>
        <v/>
      </c>
      <c r="N1717" s="5" t="str">
        <f t="shared" si="4"/>
        <v>Bupa</v>
      </c>
      <c r="O1717" s="5" t="str">
        <f t="shared" si="5"/>
        <v>1 year 10 months in role</v>
      </c>
      <c r="P1717" s="5" t="str">
        <f t="shared" si="6"/>
        <v>London</v>
      </c>
      <c r="Q1717" s="5" t="str">
        <f t="shared" si="7"/>
        <v>England</v>
      </c>
      <c r="R1717" s="5" t="str">
        <f t="shared" si="8"/>
        <v>United Kingdom</v>
      </c>
    </row>
    <row r="1718">
      <c r="A1718" s="8" t="s">
        <v>9099</v>
      </c>
      <c r="B1718" s="10" t="s">
        <v>9100</v>
      </c>
      <c r="C1718" s="10" t="s">
        <v>4596</v>
      </c>
      <c r="D1718" s="10"/>
      <c r="E1718" s="10" t="s">
        <v>9101</v>
      </c>
      <c r="F1718" s="10"/>
      <c r="G1718" s="11" t="s">
        <v>7722</v>
      </c>
      <c r="H1718" s="11" t="s">
        <v>5566</v>
      </c>
      <c r="I1718" s="11" t="s">
        <v>4619</v>
      </c>
      <c r="J1718" s="9" t="str">
        <f>IFERROR(__xludf.DUMMYFUNCTION("""COMPUTED_VALUE"""),"https://www.google.com/search?newwindow=1&amp;ei=2MT0XrvGGM-vytMP1OyDgAY&amp;q=site%3Alinkedin.com+Rachael+Pardini+Vice+President,+EME+Head+of+Banking+Campus+Recruiting")</f>
        <v>https://www.google.com/search?newwindow=1&amp;ei=2MT0XrvGGM-vytMP1OyDgAY&amp;q=site%3Alinkedin.com+Rachael+Pardini+Vice+President,+EME+Head+of+Banking+Campus+Recruiting</v>
      </c>
      <c r="K1718" s="5" t="str">
        <f t="shared" si="1"/>
        <v>Rachael Pardini</v>
      </c>
      <c r="L1718" s="5" t="str">
        <f t="shared" si="2"/>
        <v>Vice President, EME Head of Banking Campus Recruiting</v>
      </c>
      <c r="M1718" s="5" t="str">
        <f t="shared" si="3"/>
        <v/>
      </c>
      <c r="N1718" s="5" t="str">
        <f t="shared" si="4"/>
        <v>Barclays Investment Bank</v>
      </c>
      <c r="O1718" s="5" t="str">
        <f t="shared" si="5"/>
        <v>1 year 5 months in role</v>
      </c>
      <c r="P1718" s="5" t="str">
        <f t="shared" si="6"/>
        <v>London</v>
      </c>
      <c r="Q1718" s="5" t="str">
        <f t="shared" si="7"/>
        <v>England</v>
      </c>
      <c r="R1718" s="5" t="str">
        <f t="shared" si="8"/>
        <v>United Kingdom</v>
      </c>
    </row>
    <row r="1719">
      <c r="A1719" s="8" t="s">
        <v>9102</v>
      </c>
      <c r="B1719" s="10" t="s">
        <v>9103</v>
      </c>
      <c r="C1719" s="10" t="s">
        <v>9104</v>
      </c>
      <c r="D1719" s="10"/>
      <c r="E1719" s="10" t="s">
        <v>9105</v>
      </c>
      <c r="F1719" s="10" t="s">
        <v>430</v>
      </c>
      <c r="G1719" s="11" t="s">
        <v>7722</v>
      </c>
      <c r="H1719" s="11" t="s">
        <v>5566</v>
      </c>
      <c r="I1719" s="11" t="s">
        <v>4619</v>
      </c>
      <c r="J1719" s="9" t="str">
        <f>IFERROR(__xludf.DUMMYFUNCTION("""COMPUTED_VALUE"""),"https://www.google.com/search?newwindow=1&amp;ei=2MT0XrvGGM-vytMP1OyDgAY&amp;q=site%3Alinkedin.com+Shing+Him+M.+Regional+Lead+of+Graduate+Recruitment+Research+and+Campus+Brand+Promotions")</f>
        <v>https://www.google.com/search?newwindow=1&amp;ei=2MT0XrvGGM-vytMP1OyDgAY&amp;q=site%3Alinkedin.com+Shing+Him+M.+Regional+Lead+of+Graduate+Recruitment+Research+and+Campus+Brand+Promotions</v>
      </c>
      <c r="K1719" s="5" t="str">
        <f t="shared" si="1"/>
        <v>Shing Him M.</v>
      </c>
      <c r="L1719" s="5" t="str">
        <f t="shared" si="2"/>
        <v>Regional Lead of Graduate Recruitment Research and Campus Brand Promotions</v>
      </c>
      <c r="M1719" s="5" t="str">
        <f t="shared" si="3"/>
        <v/>
      </c>
      <c r="N1719" s="5" t="str">
        <f t="shared" si="4"/>
        <v>The Times</v>
      </c>
      <c r="O1719" s="5" t="str">
        <f t="shared" si="5"/>
        <v>5 months in role</v>
      </c>
      <c r="P1719" s="5" t="str">
        <f t="shared" si="6"/>
        <v>London</v>
      </c>
      <c r="Q1719" s="5" t="str">
        <f t="shared" si="7"/>
        <v>England</v>
      </c>
      <c r="R1719" s="5" t="str">
        <f t="shared" si="8"/>
        <v>United Kingdom</v>
      </c>
    </row>
    <row r="1720">
      <c r="A1720" s="8" t="s">
        <v>9106</v>
      </c>
      <c r="B1720" s="10" t="s">
        <v>9107</v>
      </c>
      <c r="C1720" s="10" t="s">
        <v>371</v>
      </c>
      <c r="D1720" s="10"/>
      <c r="E1720" s="10" t="s">
        <v>9108</v>
      </c>
      <c r="F1720" s="10" t="s">
        <v>694</v>
      </c>
      <c r="G1720" s="11" t="s">
        <v>7722</v>
      </c>
      <c r="H1720" s="11" t="s">
        <v>5566</v>
      </c>
      <c r="I1720" s="11" t="s">
        <v>4619</v>
      </c>
      <c r="J1720" s="9" t="str">
        <f>IFERROR(__xludf.DUMMYFUNCTION("""COMPUTED_VALUE"""),"https://www.google.com/search?newwindow=1&amp;ei=2MT0XrvGGM-vytMP1OyDgAY&amp;q=site%3Alinkedin.com+XINCHI+ZHANG+Student+Engagement+Assistant+-+University+Career+Service")</f>
        <v>https://www.google.com/search?newwindow=1&amp;ei=2MT0XrvGGM-vytMP1OyDgAY&amp;q=site%3Alinkedin.com+XINCHI+ZHANG+Student+Engagement+Assistant+-+University+Career+Service</v>
      </c>
      <c r="K1720" s="5" t="str">
        <f t="shared" si="1"/>
        <v>XINCHI ZHANG</v>
      </c>
      <c r="L1720" s="5" t="str">
        <f t="shared" si="2"/>
        <v>Student Engagement Assistant - University Career Service</v>
      </c>
      <c r="M1720" s="5" t="str">
        <f t="shared" si="3"/>
        <v/>
      </c>
      <c r="N1720" s="5" t="str">
        <f t="shared" si="4"/>
        <v>The University of Edinburgh</v>
      </c>
      <c r="O1720" s="5" t="str">
        <f t="shared" si="5"/>
        <v>3 years 2 months in role</v>
      </c>
      <c r="P1720" s="5" t="str">
        <f t="shared" si="6"/>
        <v>London</v>
      </c>
      <c r="Q1720" s="5" t="str">
        <f t="shared" si="7"/>
        <v>England</v>
      </c>
      <c r="R1720" s="5" t="str">
        <f t="shared" si="8"/>
        <v>United Kingdom</v>
      </c>
    </row>
    <row r="1721">
      <c r="A1721" s="8" t="s">
        <v>9109</v>
      </c>
      <c r="B1721" s="12" t="s">
        <v>9110</v>
      </c>
      <c r="C1721" s="10" t="s">
        <v>9111</v>
      </c>
      <c r="D1721" s="10"/>
      <c r="E1721" s="10" t="s">
        <v>2839</v>
      </c>
      <c r="F1721" s="10" t="s">
        <v>712</v>
      </c>
      <c r="G1721" s="11" t="s">
        <v>1131</v>
      </c>
      <c r="H1721" s="11" t="s">
        <v>203</v>
      </c>
      <c r="I1721" s="11" t="s">
        <v>18</v>
      </c>
      <c r="J1721" s="9" t="str">
        <f>IFERROR(__xludf.DUMMYFUNCTION("""COMPUTED_VALUE"""),"https://www.google.com/search?newwindow=1&amp;ei=2MT0XrvGGM-vytMP1OyDgAY&amp;q=site%3Alinkedin.com+Olivia+Hoppé+Student+Programs+Recruiter,+EMEA")</f>
        <v>https://www.google.com/search?newwindow=1&amp;ei=2MT0XrvGGM-vytMP1OyDgAY&amp;q=site%3Alinkedin.com+Olivia+Hoppé+Student+Programs+Recruiter,+EMEA</v>
      </c>
      <c r="K1721" s="5" t="str">
        <f t="shared" si="1"/>
        <v>Olivia Hoppé</v>
      </c>
      <c r="L1721" s="5" t="str">
        <f t="shared" si="2"/>
        <v>Student Programs Recruiter, EMEA</v>
      </c>
      <c r="M1721" s="5" t="str">
        <f t="shared" si="3"/>
        <v/>
      </c>
      <c r="N1721" s="5" t="str">
        <f t="shared" si="4"/>
        <v>Amazon</v>
      </c>
      <c r="O1721" s="5" t="str">
        <f t="shared" si="5"/>
        <v>2 years 4 months in role</v>
      </c>
      <c r="P1721" s="5" t="str">
        <f t="shared" si="6"/>
        <v>London</v>
      </c>
      <c r="Q1721" s="5" t="str">
        <f t="shared" si="7"/>
        <v>England</v>
      </c>
      <c r="R1721" s="5" t="str">
        <f t="shared" si="8"/>
        <v>United Kingdom</v>
      </c>
    </row>
    <row r="1722">
      <c r="A1722" s="8" t="s">
        <v>9112</v>
      </c>
      <c r="B1722" s="12" t="s">
        <v>9113</v>
      </c>
      <c r="C1722" s="10" t="s">
        <v>7194</v>
      </c>
      <c r="D1722" s="10"/>
      <c r="E1722" s="10" t="s">
        <v>4701</v>
      </c>
      <c r="F1722" s="10" t="s">
        <v>1607</v>
      </c>
      <c r="G1722" s="11" t="s">
        <v>1131</v>
      </c>
      <c r="H1722" s="11" t="s">
        <v>203</v>
      </c>
      <c r="I1722" s="11" t="s">
        <v>18</v>
      </c>
      <c r="J1722" s="9" t="str">
        <f>IFERROR(__xludf.DUMMYFUNCTION("""COMPUTED_VALUE"""),"https://www.google.com/search?newwindow=1&amp;ei=2MT0XrvGGM-vytMP1OyDgAY&amp;q=site%3Alinkedin.com+Roma+Dispirito+Graduate+Teaching+Assistant")</f>
        <v>https://www.google.com/search?newwindow=1&amp;ei=2MT0XrvGGM-vytMP1OyDgAY&amp;q=site%3Alinkedin.com+Roma+Dispirito+Graduate+Teaching+Assistant</v>
      </c>
      <c r="K1722" s="5" t="str">
        <f t="shared" si="1"/>
        <v>Roma Dispirito</v>
      </c>
      <c r="L1722" s="5" t="str">
        <f t="shared" si="2"/>
        <v>Graduate Teaching Assistant</v>
      </c>
      <c r="M1722" s="5" t="str">
        <f t="shared" si="3"/>
        <v/>
      </c>
      <c r="N1722" s="5" t="str">
        <f t="shared" si="4"/>
        <v>Farnham Heath End School</v>
      </c>
      <c r="O1722" s="5" t="str">
        <f t="shared" si="5"/>
        <v>1 year 2 months in role and company</v>
      </c>
      <c r="P1722" s="5" t="str">
        <f t="shared" si="6"/>
        <v>London</v>
      </c>
      <c r="Q1722" s="5" t="str">
        <f t="shared" si="7"/>
        <v>England</v>
      </c>
      <c r="R1722" s="5" t="str">
        <f t="shared" si="8"/>
        <v>United Kingdom</v>
      </c>
    </row>
    <row r="1723">
      <c r="A1723" s="8" t="s">
        <v>9114</v>
      </c>
      <c r="B1723" s="10" t="s">
        <v>9115</v>
      </c>
      <c r="C1723" s="10" t="s">
        <v>9116</v>
      </c>
      <c r="D1723" s="10"/>
      <c r="E1723" s="10" t="s">
        <v>9117</v>
      </c>
      <c r="F1723" s="10" t="s">
        <v>182</v>
      </c>
      <c r="G1723" s="11" t="s">
        <v>9118</v>
      </c>
      <c r="H1723" s="11" t="s">
        <v>4757</v>
      </c>
      <c r="I1723" s="11" t="s">
        <v>4607</v>
      </c>
      <c r="J1723" s="9" t="str">
        <f>IFERROR(__xludf.DUMMYFUNCTION("""COMPUTED_VALUE"""),"https://www.google.com/search?newwindow=1&amp;ei=2MT0XrvGGM-vytMP1OyDgAY&amp;q=site%3Alinkedin.com+Sophie+Bond+University+Recruiter")</f>
        <v>https://www.google.com/search?newwindow=1&amp;ei=2MT0XrvGGM-vytMP1OyDgAY&amp;q=site%3Alinkedin.com+Sophie+Bond+University+Recruiter</v>
      </c>
      <c r="K1723" s="5" t="str">
        <f t="shared" si="1"/>
        <v>Sophie Bond</v>
      </c>
      <c r="L1723" s="5" t="str">
        <f t="shared" si="2"/>
        <v>University Recruiter</v>
      </c>
      <c r="M1723" s="5" t="str">
        <f t="shared" si="3"/>
        <v/>
      </c>
      <c r="N1723" s="5" t="str">
        <f t="shared" si="4"/>
        <v>Teach First</v>
      </c>
      <c r="O1723" s="5" t="str">
        <f t="shared" si="5"/>
        <v>1 year 3 months in role and company</v>
      </c>
      <c r="P1723" s="5" t="str">
        <f t="shared" si="6"/>
        <v>London</v>
      </c>
      <c r="Q1723" s="5" t="str">
        <f t="shared" si="7"/>
        <v>England</v>
      </c>
      <c r="R1723" s="5" t="str">
        <f t="shared" si="8"/>
        <v>United Kingdom</v>
      </c>
    </row>
    <row r="1724">
      <c r="A1724" s="8" t="s">
        <v>9119</v>
      </c>
      <c r="B1724" s="12" t="s">
        <v>9120</v>
      </c>
      <c r="C1724" s="10" t="s">
        <v>9121</v>
      </c>
      <c r="D1724" s="10"/>
      <c r="E1724" s="10" t="s">
        <v>9122</v>
      </c>
      <c r="F1724" s="10" t="s">
        <v>165</v>
      </c>
      <c r="G1724" s="11" t="s">
        <v>9123</v>
      </c>
      <c r="H1724" s="11" t="s">
        <v>6159</v>
      </c>
      <c r="I1724" s="11" t="s">
        <v>4600</v>
      </c>
      <c r="J1724" s="9" t="str">
        <f>IFERROR(__xludf.DUMMYFUNCTION("""COMPUTED_VALUE"""),"https://www.google.com/search?newwindow=1&amp;ei=2MT0XrvGGM-vytMP1OyDgAY&amp;q=site%3Alinkedin.com+maxi+opondo-mbai+Head+of+Football+Brunel+University")</f>
        <v>https://www.google.com/search?newwindow=1&amp;ei=2MT0XrvGGM-vytMP1OyDgAY&amp;q=site%3Alinkedin.com+maxi+opondo-mbai+Head+of+Football+Brunel+University</v>
      </c>
      <c r="K1724" s="5" t="str">
        <f t="shared" si="1"/>
        <v>maxi opondo-mbai</v>
      </c>
      <c r="L1724" s="5" t="str">
        <f t="shared" si="2"/>
        <v>Head of Football Brunel University</v>
      </c>
      <c r="M1724" s="5" t="str">
        <f t="shared" si="3"/>
        <v/>
      </c>
      <c r="N1724" s="5" t="str">
        <f t="shared" si="4"/>
        <v>Brunel University London</v>
      </c>
      <c r="O1724" s="5" t="str">
        <f t="shared" si="5"/>
        <v>3 years 4 months in role and company</v>
      </c>
      <c r="P1724" s="5" t="str">
        <f t="shared" si="6"/>
        <v>London</v>
      </c>
      <c r="Q1724" s="5" t="str">
        <f t="shared" si="7"/>
        <v>England</v>
      </c>
      <c r="R1724" s="5" t="str">
        <f t="shared" si="8"/>
        <v>United Kingdom</v>
      </c>
    </row>
    <row r="1725">
      <c r="A1725" s="8" t="s">
        <v>9124</v>
      </c>
      <c r="B1725" s="10" t="s">
        <v>3570</v>
      </c>
      <c r="C1725" s="10" t="s">
        <v>9125</v>
      </c>
      <c r="D1725" s="10"/>
      <c r="E1725" s="10" t="s">
        <v>9126</v>
      </c>
      <c r="F1725" s="10" t="s">
        <v>734</v>
      </c>
      <c r="G1725" s="11" t="s">
        <v>9127</v>
      </c>
      <c r="H1725" s="11" t="s">
        <v>4757</v>
      </c>
      <c r="I1725" s="11" t="s">
        <v>4607</v>
      </c>
      <c r="J1725" s="9" t="str">
        <f>IFERROR(__xludf.DUMMYFUNCTION("""COMPUTED_VALUE"""),"https://www.google.com/search?newwindow=1&amp;ei=2MT0XrvGGM-vytMP1OyDgAY&amp;q=site%3Alinkedin.com+Julie+Pritchard+Graduate+and+Apprentice+Recruiter")</f>
        <v>https://www.google.com/search?newwindow=1&amp;ei=2MT0XrvGGM-vytMP1OyDgAY&amp;q=site%3Alinkedin.com+Julie+Pritchard+Graduate+and+Apprentice+Recruiter</v>
      </c>
      <c r="K1725" s="5" t="str">
        <f t="shared" si="1"/>
        <v>Julie Pritchard</v>
      </c>
      <c r="L1725" s="5" t="str">
        <f t="shared" si="2"/>
        <v>Graduate and Apprentice Recruiter</v>
      </c>
      <c r="M1725" s="5" t="str">
        <f t="shared" si="3"/>
        <v/>
      </c>
      <c r="N1725" s="5" t="str">
        <f t="shared" si="4"/>
        <v>BAE Systems</v>
      </c>
      <c r="O1725" s="5" t="str">
        <f t="shared" si="5"/>
        <v>4 months in role and company</v>
      </c>
      <c r="P1725" s="5" t="str">
        <f t="shared" si="6"/>
        <v>London</v>
      </c>
      <c r="Q1725" s="5" t="str">
        <f t="shared" si="7"/>
        <v>England</v>
      </c>
      <c r="R1725" s="5" t="str">
        <f t="shared" si="8"/>
        <v>United Kingdom</v>
      </c>
    </row>
    <row r="1726">
      <c r="A1726" s="8" t="s">
        <v>9128</v>
      </c>
      <c r="B1726" s="10" t="s">
        <v>9129</v>
      </c>
      <c r="C1726" s="10" t="s">
        <v>9130</v>
      </c>
      <c r="D1726" s="10"/>
      <c r="E1726" s="10" t="s">
        <v>9131</v>
      </c>
      <c r="F1726" s="10" t="s">
        <v>727</v>
      </c>
      <c r="G1726" s="11" t="s">
        <v>9132</v>
      </c>
      <c r="H1726" s="11" t="s">
        <v>4638</v>
      </c>
      <c r="I1726" s="11" t="s">
        <v>4600</v>
      </c>
      <c r="J1726" s="9" t="str">
        <f>IFERROR(__xludf.DUMMYFUNCTION("""COMPUTED_VALUE"""),"https://www.google.com/search?newwindow=1&amp;ei=2MT0XrvGGM-vytMP1OyDgAY&amp;q=site%3Alinkedin.com+Paula+Brennan+Student+Recruiter")</f>
        <v>https://www.google.com/search?newwindow=1&amp;ei=2MT0XrvGGM-vytMP1OyDgAY&amp;q=site%3Alinkedin.com+Paula+Brennan+Student+Recruiter</v>
      </c>
      <c r="K1726" s="5" t="str">
        <f t="shared" si="1"/>
        <v>Paula Brennan</v>
      </c>
      <c r="L1726" s="5" t="str">
        <f t="shared" si="2"/>
        <v>Student Recruiter</v>
      </c>
      <c r="M1726" s="5" t="str">
        <f t="shared" si="3"/>
        <v/>
      </c>
      <c r="N1726" s="5" t="str">
        <f t="shared" si="4"/>
        <v>Graduate One Stop</v>
      </c>
      <c r="O1726" s="5" t="str">
        <f t="shared" si="5"/>
        <v>4 years 1 month in role and company</v>
      </c>
      <c r="P1726" s="5" t="str">
        <f t="shared" si="6"/>
        <v>London</v>
      </c>
      <c r="Q1726" s="5" t="str">
        <f t="shared" si="7"/>
        <v>England</v>
      </c>
      <c r="R1726" s="5" t="str">
        <f t="shared" si="8"/>
        <v>United Kingdom</v>
      </c>
    </row>
    <row r="1727">
      <c r="A1727" s="8" t="s">
        <v>9128</v>
      </c>
      <c r="B1727" s="10" t="s">
        <v>9129</v>
      </c>
      <c r="C1727" s="10" t="s">
        <v>9130</v>
      </c>
      <c r="D1727" s="10"/>
      <c r="E1727" s="10" t="s">
        <v>9131</v>
      </c>
      <c r="F1727" s="10" t="s">
        <v>727</v>
      </c>
      <c r="G1727" s="11" t="s">
        <v>9132</v>
      </c>
      <c r="H1727" s="11" t="s">
        <v>4638</v>
      </c>
      <c r="I1727" s="11" t="s">
        <v>4600</v>
      </c>
      <c r="J1727" s="9" t="str">
        <f>IFERROR(__xludf.DUMMYFUNCTION("""COMPUTED_VALUE"""),"https://www.google.com/search?newwindow=1&amp;ei=2MT0XrvGGM-vytMP1OyDgAY&amp;q=site%3Alinkedin.com+Sarah+Murphy+Campus+Recruiting+Team+Lead,+Investment+Banking+EMEA")</f>
        <v>https://www.google.com/search?newwindow=1&amp;ei=2MT0XrvGGM-vytMP1OyDgAY&amp;q=site%3Alinkedin.com+Sarah+Murphy+Campus+Recruiting+Team+Lead,+Investment+Banking+EMEA</v>
      </c>
      <c r="K1727" s="5" t="str">
        <f t="shared" si="1"/>
        <v>Sarah Murphy</v>
      </c>
      <c r="L1727" s="5" t="str">
        <f t="shared" si="2"/>
        <v>Campus Recruiting Team Lead, Investment Banking EMEA</v>
      </c>
      <c r="M1727" s="5" t="str">
        <f t="shared" si="3"/>
        <v/>
      </c>
      <c r="N1727" s="5" t="str">
        <f t="shared" si="4"/>
        <v>Credit Suisse</v>
      </c>
      <c r="O1727" s="5" t="str">
        <f t="shared" si="5"/>
        <v>4 years 10 months in role</v>
      </c>
      <c r="P1727" s="5" t="str">
        <f t="shared" si="6"/>
        <v>London</v>
      </c>
      <c r="Q1727" s="5" t="str">
        <f t="shared" si="7"/>
        <v>England</v>
      </c>
      <c r="R1727" s="5" t="str">
        <f t="shared" si="8"/>
        <v>United Kingdom</v>
      </c>
    </row>
    <row r="1728">
      <c r="A1728" s="8" t="s">
        <v>9133</v>
      </c>
      <c r="B1728" s="12" t="s">
        <v>9134</v>
      </c>
      <c r="C1728" s="10" t="s">
        <v>9135</v>
      </c>
      <c r="D1728" s="10"/>
      <c r="E1728" s="10" t="s">
        <v>9136</v>
      </c>
      <c r="F1728" s="10" t="s">
        <v>1460</v>
      </c>
      <c r="G1728" s="11" t="s">
        <v>5280</v>
      </c>
      <c r="H1728" s="11" t="s">
        <v>4638</v>
      </c>
      <c r="I1728" s="11" t="s">
        <v>4600</v>
      </c>
      <c r="J1728" s="9" t="str">
        <f>IFERROR(__xludf.DUMMYFUNCTION("""COMPUTED_VALUE"""),"https://www.google.com/search?newwindow=1&amp;ei=2MT0XrvGGM-vytMP1OyDgAY&amp;q=site%3Alinkedin.com+Angela+Cole+Part-time+Graduate+Recruiter")</f>
        <v>https://www.google.com/search?newwindow=1&amp;ei=2MT0XrvGGM-vytMP1OyDgAY&amp;q=site%3Alinkedin.com+Angela+Cole+Part-time+Graduate+Recruiter</v>
      </c>
      <c r="K1728" s="5" t="str">
        <f t="shared" si="1"/>
        <v>Angela Cole</v>
      </c>
      <c r="L1728" s="5" t="str">
        <f t="shared" si="2"/>
        <v>Part-time Graduate Recruiter</v>
      </c>
      <c r="M1728" s="5" t="str">
        <f t="shared" si="3"/>
        <v/>
      </c>
      <c r="N1728" s="5" t="str">
        <f t="shared" si="4"/>
        <v>Talent Resources – London</v>
      </c>
      <c r="O1728" s="5" t="str">
        <f t="shared" si="5"/>
        <v>9 years 1 month in role and company</v>
      </c>
      <c r="P1728" s="5" t="str">
        <f t="shared" si="6"/>
        <v>London</v>
      </c>
      <c r="Q1728" s="5" t="str">
        <f t="shared" si="7"/>
        <v>England</v>
      </c>
      <c r="R1728" s="5" t="str">
        <f t="shared" si="8"/>
        <v>United Kingdom</v>
      </c>
    </row>
    <row r="1729">
      <c r="A1729" s="8" t="s">
        <v>9137</v>
      </c>
      <c r="B1729" s="10" t="s">
        <v>9138</v>
      </c>
      <c r="C1729" s="10" t="s">
        <v>7604</v>
      </c>
      <c r="D1729" s="10"/>
      <c r="E1729" s="10" t="s">
        <v>9139</v>
      </c>
      <c r="F1729" s="10" t="s">
        <v>241</v>
      </c>
      <c r="G1729" s="11" t="s">
        <v>5280</v>
      </c>
      <c r="H1729" s="11" t="s">
        <v>4638</v>
      </c>
      <c r="I1729" s="11" t="s">
        <v>4600</v>
      </c>
      <c r="J1729" s="9" t="str">
        <f>IFERROR(__xludf.DUMMYFUNCTION("""COMPUTED_VALUE"""),"https://www.google.com/search?newwindow=1&amp;ei=2MT0XrvGGM-vytMP1OyDgAY&amp;q=site%3Alinkedin.com+Danish+Ali+Student+Recruiter")</f>
        <v>https://www.google.com/search?newwindow=1&amp;ei=2MT0XrvGGM-vytMP1OyDgAY&amp;q=site%3Alinkedin.com+Danish+Ali+Student+Recruiter</v>
      </c>
      <c r="K1729" s="5" t="str">
        <f t="shared" si="1"/>
        <v>Danish Ali</v>
      </c>
      <c r="L1729" s="5" t="str">
        <f t="shared" si="2"/>
        <v>Student Recruiter</v>
      </c>
      <c r="M1729" s="5" t="str">
        <f t="shared" si="3"/>
        <v/>
      </c>
      <c r="N1729" s="5" t="str">
        <f t="shared" si="4"/>
        <v>Global University Systems</v>
      </c>
      <c r="O1729" s="5" t="str">
        <f t="shared" si="5"/>
        <v>1 year 5 months in role and company</v>
      </c>
      <c r="P1729" s="5" t="str">
        <f t="shared" si="6"/>
        <v>London</v>
      </c>
      <c r="Q1729" s="5" t="str">
        <f t="shared" si="7"/>
        <v>England</v>
      </c>
      <c r="R1729" s="5" t="str">
        <f t="shared" si="8"/>
        <v>United Kingdom</v>
      </c>
    </row>
    <row r="1730">
      <c r="A1730" s="8" t="s">
        <v>9140</v>
      </c>
      <c r="B1730" s="10" t="s">
        <v>9141</v>
      </c>
      <c r="C1730" s="10" t="s">
        <v>9142</v>
      </c>
      <c r="D1730" s="10"/>
      <c r="E1730" s="10" t="s">
        <v>9143</v>
      </c>
      <c r="F1730" s="10" t="s">
        <v>237</v>
      </c>
      <c r="G1730" s="11" t="s">
        <v>5280</v>
      </c>
      <c r="H1730" s="11" t="s">
        <v>4638</v>
      </c>
      <c r="I1730" s="11" t="s">
        <v>4600</v>
      </c>
      <c r="J1730" s="9" t="str">
        <f>IFERROR(__xludf.DUMMYFUNCTION("""COMPUTED_VALUE"""),"https://www.google.com/search?newwindow=1&amp;ei=2MT0XrvGGM-vytMP1OyDgAY&amp;q=site%3Alinkedin.com+Katharine+Reed+Student+Recruitment+Coordinator/Sunderland+Children's+University+Manager")</f>
        <v>https://www.google.com/search?newwindow=1&amp;ei=2MT0XrvGGM-vytMP1OyDgAY&amp;q=site%3Alinkedin.com+Katharine+Reed+Student+Recruitment+Coordinator/Sunderland+Children's+University+Manager</v>
      </c>
      <c r="K1730" s="5" t="str">
        <f t="shared" si="1"/>
        <v>Katharine Reed</v>
      </c>
      <c r="L1730" s="5" t="str">
        <f t="shared" si="2"/>
        <v>Student Recruitment Coordinator/Sunderland Children's University Manager</v>
      </c>
      <c r="M1730" s="5" t="str">
        <f t="shared" si="3"/>
        <v/>
      </c>
      <c r="N1730" s="5" t="str">
        <f t="shared" si="4"/>
        <v>University of Sunderland</v>
      </c>
      <c r="O1730" s="5" t="str">
        <f t="shared" si="5"/>
        <v>16 years 10 months in role and company</v>
      </c>
      <c r="P1730" s="5" t="str">
        <f t="shared" si="6"/>
        <v>London</v>
      </c>
      <c r="Q1730" s="5" t="str">
        <f t="shared" si="7"/>
        <v>England</v>
      </c>
      <c r="R1730" s="5" t="str">
        <f t="shared" si="8"/>
        <v>United Kingdom</v>
      </c>
    </row>
    <row r="1731">
      <c r="A1731" s="8" t="s">
        <v>9144</v>
      </c>
      <c r="B1731" s="10" t="s">
        <v>9145</v>
      </c>
      <c r="C1731" s="10" t="s">
        <v>25</v>
      </c>
      <c r="D1731" s="10"/>
      <c r="E1731" s="10" t="s">
        <v>14</v>
      </c>
      <c r="F1731" s="10" t="s">
        <v>36</v>
      </c>
      <c r="G1731" s="11" t="s">
        <v>5280</v>
      </c>
      <c r="H1731" s="11" t="s">
        <v>4638</v>
      </c>
      <c r="I1731" s="11" t="s">
        <v>4600</v>
      </c>
      <c r="J1731" s="9" t="str">
        <f>IFERROR(__xludf.DUMMYFUNCTION("""COMPUTED_VALUE"""),"https://www.google.com/search?newwindow=1&amp;ei=2MT0XrvGGM-vytMP1OyDgAY&amp;q=site%3Alinkedin.com+Pal+Trivedi+University+Recruitment")</f>
        <v>https://www.google.com/search?newwindow=1&amp;ei=2MT0XrvGGM-vytMP1OyDgAY&amp;q=site%3Alinkedin.com+Pal+Trivedi+University+Recruitment</v>
      </c>
      <c r="K1731" s="5" t="str">
        <f t="shared" si="1"/>
        <v>Pal Trivedi</v>
      </c>
      <c r="L1731" s="5" t="str">
        <f t="shared" si="2"/>
        <v>University Recruitment</v>
      </c>
      <c r="M1731" s="5" t="str">
        <f t="shared" si="3"/>
        <v/>
      </c>
      <c r="N1731" s="5" t="str">
        <f t="shared" si="4"/>
        <v>Facebook</v>
      </c>
      <c r="O1731" s="5" t="str">
        <f t="shared" si="5"/>
        <v/>
      </c>
      <c r="P1731" s="5" t="str">
        <f t="shared" si="6"/>
        <v>London</v>
      </c>
      <c r="Q1731" s="5" t="str">
        <f t="shared" si="7"/>
        <v>England</v>
      </c>
      <c r="R1731" s="5" t="str">
        <f t="shared" si="8"/>
        <v>United Kingdom</v>
      </c>
    </row>
    <row r="1732">
      <c r="A1732" s="8" t="s">
        <v>9146</v>
      </c>
      <c r="B1732" s="10" t="s">
        <v>9147</v>
      </c>
      <c r="C1732" s="10" t="s">
        <v>9148</v>
      </c>
      <c r="D1732" s="10"/>
      <c r="E1732" s="10" t="s">
        <v>5314</v>
      </c>
      <c r="F1732" s="10" t="s">
        <v>651</v>
      </c>
      <c r="G1732" s="11" t="s">
        <v>5280</v>
      </c>
      <c r="H1732" s="11" t="s">
        <v>4638</v>
      </c>
      <c r="I1732" s="11" t="s">
        <v>4600</v>
      </c>
      <c r="J1732" s="9" t="str">
        <f>IFERROR(__xludf.DUMMYFUNCTION("""COMPUTED_VALUE"""),"https://www.google.com/search?newwindow=1&amp;ei=2MT0XrvGGM-vytMP1OyDgAY&amp;q=site%3Alinkedin.com+Miriam+Lennon+[LION]+Graduate+Recruiter")</f>
        <v>https://www.google.com/search?newwindow=1&amp;ei=2MT0XrvGGM-vytMP1OyDgAY&amp;q=site%3Alinkedin.com+Miriam+Lennon+[LION]+Graduate+Recruiter</v>
      </c>
      <c r="K1732" s="5" t="str">
        <f t="shared" si="1"/>
        <v>Miriam Lennon [LION]</v>
      </c>
      <c r="L1732" s="5" t="str">
        <f t="shared" si="2"/>
        <v>Graduate Recruiter</v>
      </c>
      <c r="M1732" s="5" t="str">
        <f t="shared" si="3"/>
        <v/>
      </c>
      <c r="N1732" s="5" t="str">
        <f t="shared" si="4"/>
        <v>The Assessment Group</v>
      </c>
      <c r="O1732" s="5" t="str">
        <f t="shared" si="5"/>
        <v>8 years 10 months in role and company</v>
      </c>
      <c r="P1732" s="5" t="str">
        <f t="shared" si="6"/>
        <v>London</v>
      </c>
      <c r="Q1732" s="5" t="str">
        <f t="shared" si="7"/>
        <v>England</v>
      </c>
      <c r="R1732" s="5" t="str">
        <f t="shared" si="8"/>
        <v>United Kingdom</v>
      </c>
    </row>
    <row r="1733">
      <c r="A1733" s="8" t="s">
        <v>9149</v>
      </c>
      <c r="B1733" s="12" t="s">
        <v>9150</v>
      </c>
      <c r="C1733" s="10" t="s">
        <v>25</v>
      </c>
      <c r="D1733" s="10"/>
      <c r="E1733" s="10" t="s">
        <v>9151</v>
      </c>
      <c r="F1733" s="10" t="s">
        <v>192</v>
      </c>
      <c r="G1733" s="11" t="s">
        <v>5280</v>
      </c>
      <c r="H1733" s="11" t="s">
        <v>4638</v>
      </c>
      <c r="I1733" s="11" t="s">
        <v>4600</v>
      </c>
      <c r="J1733" s="9" t="str">
        <f>IFERROR(__xludf.DUMMYFUNCTION("""COMPUTED_VALUE"""),"https://www.google.com/search?newwindow=1&amp;ei=2MT0XrvGGM-vytMP1OyDgAY&amp;q=site%3Alinkedin.com+Sonia+Mathur+Graduate+Recruiter")</f>
        <v>https://www.google.com/search?newwindow=1&amp;ei=2MT0XrvGGM-vytMP1OyDgAY&amp;q=site%3Alinkedin.com+Sonia+Mathur+Graduate+Recruiter</v>
      </c>
      <c r="K1733" s="5" t="str">
        <f t="shared" si="1"/>
        <v>Sonia Mathur</v>
      </c>
      <c r="L1733" s="5" t="str">
        <f t="shared" si="2"/>
        <v>Graduate Recruiter</v>
      </c>
      <c r="M1733" s="5" t="str">
        <f t="shared" si="3"/>
        <v/>
      </c>
      <c r="N1733" s="5" t="str">
        <f t="shared" si="4"/>
        <v>Randstad UK</v>
      </c>
      <c r="O1733" s="5" t="str">
        <f t="shared" si="5"/>
        <v/>
      </c>
      <c r="P1733" s="5" t="str">
        <f t="shared" si="6"/>
        <v>London</v>
      </c>
      <c r="Q1733" s="5" t="str">
        <f t="shared" si="7"/>
        <v>England</v>
      </c>
      <c r="R1733" s="5" t="str">
        <f t="shared" si="8"/>
        <v>United Kingdom</v>
      </c>
    </row>
    <row r="1734">
      <c r="A1734" s="8" t="s">
        <v>9152</v>
      </c>
      <c r="B1734" s="10" t="s">
        <v>9153</v>
      </c>
      <c r="C1734" s="10" t="s">
        <v>9154</v>
      </c>
      <c r="D1734" s="10"/>
      <c r="E1734" s="10" t="s">
        <v>9155</v>
      </c>
      <c r="F1734" s="10" t="s">
        <v>15</v>
      </c>
      <c r="G1734" s="11" t="s">
        <v>5280</v>
      </c>
      <c r="H1734" s="11" t="s">
        <v>4638</v>
      </c>
      <c r="I1734" s="11" t="s">
        <v>4600</v>
      </c>
      <c r="J1734" s="9" t="str">
        <f>IFERROR(__xludf.DUMMYFUNCTION("""COMPUTED_VALUE"""),"https://www.google.com/search?newwindow=1&amp;ei=2MT0XrvGGM-vytMP1OyDgAY&amp;q=site%3Alinkedin.com+Meltem+Izzet+Student+Recruiter/+Finance")</f>
        <v>https://www.google.com/search?newwindow=1&amp;ei=2MT0XrvGGM-vytMP1OyDgAY&amp;q=site%3Alinkedin.com+Meltem+Izzet+Student+Recruiter/+Finance</v>
      </c>
      <c r="K1734" s="5" t="str">
        <f t="shared" si="1"/>
        <v>Meltem Izzet</v>
      </c>
      <c r="L1734" s="5" t="str">
        <f t="shared" si="2"/>
        <v>Student Recruiter/ Finance</v>
      </c>
      <c r="M1734" s="5" t="str">
        <f t="shared" si="3"/>
        <v/>
      </c>
      <c r="N1734" s="5" t="str">
        <f t="shared" si="4"/>
        <v>University of the Arts London</v>
      </c>
      <c r="O1734" s="5" t="str">
        <f t="shared" si="5"/>
        <v>6 years 10 months in role and company</v>
      </c>
      <c r="P1734" s="5" t="str">
        <f t="shared" si="6"/>
        <v>London</v>
      </c>
      <c r="Q1734" s="5" t="str">
        <f t="shared" si="7"/>
        <v>England</v>
      </c>
      <c r="R1734" s="5" t="str">
        <f t="shared" si="8"/>
        <v>United Kingdom</v>
      </c>
    </row>
    <row r="1735">
      <c r="A1735" s="8" t="s">
        <v>9156</v>
      </c>
      <c r="B1735" s="10" t="s">
        <v>9157</v>
      </c>
      <c r="C1735" s="10" t="s">
        <v>32</v>
      </c>
      <c r="D1735" s="10"/>
      <c r="E1735" s="10" t="s">
        <v>5295</v>
      </c>
      <c r="F1735" s="10" t="s">
        <v>222</v>
      </c>
      <c r="G1735" s="11" t="s">
        <v>5280</v>
      </c>
      <c r="H1735" s="11" t="s">
        <v>4638</v>
      </c>
      <c r="I1735" s="11" t="s">
        <v>4600</v>
      </c>
      <c r="J1735" s="9" t="str">
        <f>IFERROR(__xludf.DUMMYFUNCTION("""COMPUTED_VALUE"""),"https://www.google.com/search?newwindow=1&amp;ei=2MT0XrvGGM-vytMP1OyDgAY&amp;q=site%3Alinkedin.com+Ben+Cross+Graduate+Recruiter")</f>
        <v>https://www.google.com/search?newwindow=1&amp;ei=2MT0XrvGGM-vytMP1OyDgAY&amp;q=site%3Alinkedin.com+Ben+Cross+Graduate+Recruiter</v>
      </c>
      <c r="K1735" s="5" t="str">
        <f t="shared" si="1"/>
        <v>Ben Cross</v>
      </c>
      <c r="L1735" s="5" t="str">
        <f t="shared" si="2"/>
        <v>Graduate Recruiter</v>
      </c>
      <c r="M1735" s="5" t="str">
        <f t="shared" si="3"/>
        <v/>
      </c>
      <c r="N1735" s="5" t="str">
        <f t="shared" si="4"/>
        <v>ALP</v>
      </c>
      <c r="O1735" s="5" t="str">
        <f t="shared" si="5"/>
        <v/>
      </c>
      <c r="P1735" s="5" t="str">
        <f t="shared" si="6"/>
        <v>London</v>
      </c>
      <c r="Q1735" s="5" t="str">
        <f t="shared" si="7"/>
        <v>England</v>
      </c>
      <c r="R1735" s="5" t="str">
        <f t="shared" si="8"/>
        <v>United Kingdom</v>
      </c>
    </row>
    <row r="1736">
      <c r="A1736" s="8" t="s">
        <v>9158</v>
      </c>
      <c r="B1736" s="10" t="s">
        <v>9159</v>
      </c>
      <c r="C1736" s="10" t="s">
        <v>32</v>
      </c>
      <c r="D1736" s="10"/>
      <c r="E1736" s="10" t="s">
        <v>9160</v>
      </c>
      <c r="F1736" s="10" t="s">
        <v>237</v>
      </c>
      <c r="G1736" s="11" t="s">
        <v>5280</v>
      </c>
      <c r="H1736" s="11" t="s">
        <v>4638</v>
      </c>
      <c r="I1736" s="11" t="s">
        <v>4600</v>
      </c>
      <c r="J1736" s="9" t="str">
        <f>IFERROR(__xludf.DUMMYFUNCTION("""COMPUTED_VALUE"""),"https://www.google.com/search?newwindow=1&amp;ei=2MT0XrvGGM-vytMP1OyDgAY&amp;q=site%3Alinkedin.com+rawdie+lawler+Graduate+Recruiter")</f>
        <v>https://www.google.com/search?newwindow=1&amp;ei=2MT0XrvGGM-vytMP1OyDgAY&amp;q=site%3Alinkedin.com+rawdie+lawler+Graduate+Recruiter</v>
      </c>
      <c r="K1736" s="5" t="str">
        <f t="shared" si="1"/>
        <v>rawdie lawler</v>
      </c>
      <c r="L1736" s="5" t="str">
        <f t="shared" si="2"/>
        <v>Graduate Recruiter</v>
      </c>
      <c r="M1736" s="5" t="str">
        <f t="shared" si="3"/>
        <v/>
      </c>
      <c r="N1736" s="5" t="str">
        <f t="shared" si="4"/>
        <v>SW6 Associates</v>
      </c>
      <c r="O1736" s="5" t="str">
        <f t="shared" si="5"/>
        <v/>
      </c>
      <c r="P1736" s="5" t="str">
        <f t="shared" si="6"/>
        <v>London</v>
      </c>
      <c r="Q1736" s="5" t="str">
        <f t="shared" si="7"/>
        <v>England</v>
      </c>
      <c r="R1736" s="5" t="str">
        <f t="shared" si="8"/>
        <v>United Kingdom</v>
      </c>
    </row>
    <row r="1737">
      <c r="A1737" s="8" t="s">
        <v>9161</v>
      </c>
      <c r="B1737" s="10" t="s">
        <v>9162</v>
      </c>
      <c r="C1737" s="10" t="s">
        <v>9163</v>
      </c>
      <c r="D1737" s="10"/>
      <c r="E1737" s="10" t="s">
        <v>9155</v>
      </c>
      <c r="F1737" s="10" t="s">
        <v>651</v>
      </c>
      <c r="G1737" s="11" t="s">
        <v>5280</v>
      </c>
      <c r="H1737" s="11" t="s">
        <v>4638</v>
      </c>
      <c r="I1737" s="11" t="s">
        <v>4600</v>
      </c>
      <c r="J1737" s="9" t="str">
        <f>IFERROR(__xludf.DUMMYFUNCTION("""COMPUTED_VALUE"""),"https://www.google.com/search?newwindow=1&amp;ei=2MT0XrvGGM-vytMP1OyDgAY&amp;q=site%3Alinkedin.com+Melanie+Dunkley+Team+Leader,+Global+Learning+(Outbound+Programs),+Student+Success")</f>
        <v>https://www.google.com/search?newwindow=1&amp;ei=2MT0XrvGGM-vytMP1OyDgAY&amp;q=site%3Alinkedin.com+Melanie+Dunkley+Team+Leader,+Global+Learning+(Outbound+Programs),+Student+Success</v>
      </c>
      <c r="K1737" s="5" t="str">
        <f t="shared" si="1"/>
        <v>Melanie Dunkley</v>
      </c>
      <c r="L1737" s="5" t="str">
        <f t="shared" si="2"/>
        <v>Team Leader, Global Learning (Outbound Programs), Student Success</v>
      </c>
      <c r="M1737" s="5" t="str">
        <f t="shared" si="3"/>
        <v/>
      </c>
      <c r="N1737" s="5" t="str">
        <f t="shared" si="4"/>
        <v>University of Melbourne</v>
      </c>
      <c r="O1737" s="5" t="str">
        <f t="shared" si="5"/>
        <v>3 years 8 months in role</v>
      </c>
      <c r="P1737" s="5" t="str">
        <f t="shared" si="6"/>
        <v>Melbourne</v>
      </c>
      <c r="Q1737" s="5" t="str">
        <f t="shared" si="7"/>
        <v>Victoria</v>
      </c>
      <c r="R1737" s="5" t="str">
        <f t="shared" si="8"/>
        <v>Australia</v>
      </c>
    </row>
    <row r="1738">
      <c r="A1738" s="8" t="s">
        <v>9164</v>
      </c>
      <c r="B1738" s="10" t="s">
        <v>9165</v>
      </c>
      <c r="C1738" s="10" t="s">
        <v>25</v>
      </c>
      <c r="D1738" s="10"/>
      <c r="E1738" s="10" t="s">
        <v>9166</v>
      </c>
      <c r="F1738" s="10" t="s">
        <v>351</v>
      </c>
      <c r="G1738" s="11" t="s">
        <v>5280</v>
      </c>
      <c r="H1738" s="11" t="s">
        <v>4638</v>
      </c>
      <c r="I1738" s="11" t="s">
        <v>4600</v>
      </c>
      <c r="J1738" s="9" t="str">
        <f>IFERROR(__xludf.DUMMYFUNCTION("""COMPUTED_VALUE"""),"https://www.google.com/search?newwindow=1&amp;ei=2MT0XrvGGM-vytMP1OyDgAY&amp;q=site%3Alinkedin.com+Sophie+Peiyu+Ji+Student+Recruiter+Advisor")</f>
        <v>https://www.google.com/search?newwindow=1&amp;ei=2MT0XrvGGM-vytMP1OyDgAY&amp;q=site%3Alinkedin.com+Sophie+Peiyu+Ji+Student+Recruiter+Advisor</v>
      </c>
      <c r="K1738" s="5" t="str">
        <f t="shared" si="1"/>
        <v>Sophie Peiyu Ji</v>
      </c>
      <c r="L1738" s="5" t="str">
        <f t="shared" si="2"/>
        <v>Student Recruiter Advisor</v>
      </c>
      <c r="M1738" s="5" t="str">
        <f t="shared" si="3"/>
        <v/>
      </c>
      <c r="N1738" s="5" t="str">
        <f t="shared" si="4"/>
        <v>Douglas College</v>
      </c>
      <c r="O1738" s="5" t="str">
        <f t="shared" si="5"/>
        <v>1 year 2 months in role and company</v>
      </c>
      <c r="P1738" s="5" t="str">
        <f t="shared" si="6"/>
        <v>Vancouver</v>
      </c>
      <c r="Q1738" s="5" t="str">
        <f t="shared" si="7"/>
        <v>British Columbia</v>
      </c>
      <c r="R1738" s="5" t="str">
        <f t="shared" si="8"/>
        <v>Canada</v>
      </c>
    </row>
    <row r="1739">
      <c r="A1739" s="8" t="s">
        <v>9167</v>
      </c>
      <c r="B1739" s="10" t="s">
        <v>9168</v>
      </c>
      <c r="C1739" s="10" t="s">
        <v>9169</v>
      </c>
      <c r="D1739" s="10"/>
      <c r="E1739" s="10" t="s">
        <v>9170</v>
      </c>
      <c r="F1739" s="10" t="s">
        <v>165</v>
      </c>
      <c r="G1739" s="11" t="s">
        <v>5280</v>
      </c>
      <c r="H1739" s="11" t="s">
        <v>4638</v>
      </c>
      <c r="I1739" s="11" t="s">
        <v>4600</v>
      </c>
      <c r="J1739" s="9" t="str">
        <f>IFERROR(__xludf.DUMMYFUNCTION("""COMPUTED_VALUE"""),"https://www.google.com/search?newwindow=1&amp;ei=2MT0XrvGGM-vytMP1OyDgAY&amp;q=site%3Alinkedin.com+Gurpreet+Dhillon+Campus+Recruiting+Lead-Western+Canada")</f>
        <v>https://www.google.com/search?newwindow=1&amp;ei=2MT0XrvGGM-vytMP1OyDgAY&amp;q=site%3Alinkedin.com+Gurpreet+Dhillon+Campus+Recruiting+Lead-Western+Canada</v>
      </c>
      <c r="K1739" s="5" t="str">
        <f t="shared" si="1"/>
        <v>Gurpreet Dhillon</v>
      </c>
      <c r="L1739" s="5" t="str">
        <f t="shared" si="2"/>
        <v>Campus Recruiting Lead-Western Canada</v>
      </c>
      <c r="M1739" s="5" t="str">
        <f t="shared" si="3"/>
        <v/>
      </c>
      <c r="N1739" s="5" t="str">
        <f t="shared" si="4"/>
        <v>EY</v>
      </c>
      <c r="O1739" s="5" t="str">
        <f t="shared" si="5"/>
        <v>6 years 10 months in role</v>
      </c>
      <c r="P1739" s="5" t="str">
        <f t="shared" si="6"/>
        <v>Vancouver</v>
      </c>
      <c r="Q1739" s="5" t="str">
        <f t="shared" si="7"/>
        <v>British Columbia</v>
      </c>
      <c r="R1739" s="5" t="str">
        <f t="shared" si="8"/>
        <v>Canada</v>
      </c>
    </row>
    <row r="1740">
      <c r="A1740" s="8" t="s">
        <v>9171</v>
      </c>
      <c r="B1740" s="12" t="s">
        <v>9172</v>
      </c>
      <c r="C1740" s="10" t="s">
        <v>9173</v>
      </c>
      <c r="D1740" s="10"/>
      <c r="E1740" s="10" t="s">
        <v>9174</v>
      </c>
      <c r="F1740" s="10" t="s">
        <v>26</v>
      </c>
      <c r="G1740" s="11" t="s">
        <v>5280</v>
      </c>
      <c r="H1740" s="11" t="s">
        <v>4638</v>
      </c>
      <c r="I1740" s="11" t="s">
        <v>4600</v>
      </c>
      <c r="J1740" s="9" t="str">
        <f>IFERROR(__xludf.DUMMYFUNCTION("""COMPUTED_VALUE"""),"https://www.google.com/search?newwindow=1&amp;ei=2MT0XrvGGM-vytMP1OyDgAY&amp;q=site%3Alinkedin.com+Ankur+Sinha+Senior+Recruiter+-+Student+Programs+and+University+Hiring")</f>
        <v>https://www.google.com/search?newwindow=1&amp;ei=2MT0XrvGGM-vytMP1OyDgAY&amp;q=site%3Alinkedin.com+Ankur+Sinha+Senior+Recruiter+-+Student+Programs+and+University+Hiring</v>
      </c>
      <c r="K1740" s="5" t="str">
        <f t="shared" si="1"/>
        <v>Ankur Sinha</v>
      </c>
      <c r="L1740" s="5" t="str">
        <f t="shared" si="2"/>
        <v>Senior Recruiter - Student Programs and University Hiring</v>
      </c>
      <c r="M1740" s="5" t="str">
        <f t="shared" si="3"/>
        <v/>
      </c>
      <c r="N1740" s="5" t="str">
        <f t="shared" si="4"/>
        <v>Amazon</v>
      </c>
      <c r="O1740" s="5" t="str">
        <f t="shared" si="5"/>
        <v>1 year 1 month in role and company</v>
      </c>
      <c r="P1740" s="5" t="str">
        <f t="shared" si="6"/>
        <v>Vancouver</v>
      </c>
      <c r="Q1740" s="5" t="str">
        <f t="shared" si="7"/>
        <v>British Columbia</v>
      </c>
      <c r="R1740" s="5" t="str">
        <f t="shared" si="8"/>
        <v>Canada</v>
      </c>
    </row>
    <row r="1741">
      <c r="A1741" s="8" t="s">
        <v>9175</v>
      </c>
      <c r="B1741" s="10" t="s">
        <v>9176</v>
      </c>
      <c r="C1741" s="10" t="s">
        <v>9177</v>
      </c>
      <c r="D1741" s="10"/>
      <c r="E1741" s="10" t="s">
        <v>1064</v>
      </c>
      <c r="F1741" s="10" t="s">
        <v>399</v>
      </c>
      <c r="G1741" s="11" t="s">
        <v>5280</v>
      </c>
      <c r="H1741" s="11" t="s">
        <v>4638</v>
      </c>
      <c r="I1741" s="11" t="s">
        <v>4600</v>
      </c>
      <c r="J1741" s="9" t="str">
        <f>IFERROR(__xludf.DUMMYFUNCTION("""COMPUTED_VALUE"""),"https://www.google.com/search?newwindow=1&amp;ei=2MT0XrvGGM-vytMP1OyDgAY&amp;q=site%3Alinkedin.com+Danika+Coulbourn+Associate+International+Student+Recruiter+and+Advisor,+Events")</f>
        <v>https://www.google.com/search?newwindow=1&amp;ei=2MT0XrvGGM-vytMP1OyDgAY&amp;q=site%3Alinkedin.com+Danika+Coulbourn+Associate+International+Student+Recruiter+and+Advisor,+Events</v>
      </c>
      <c r="K1741" s="5" t="str">
        <f t="shared" si="1"/>
        <v>Danika Coulbourn</v>
      </c>
      <c r="L1741" s="5" t="str">
        <f t="shared" si="2"/>
        <v>Associate International Student Recruiter and Advisor, Events</v>
      </c>
      <c r="M1741" s="5" t="str">
        <f t="shared" si="3"/>
        <v/>
      </c>
      <c r="N1741" s="5" t="str">
        <f t="shared" si="4"/>
        <v>The University of British Columbia</v>
      </c>
      <c r="O1741" s="5" t="str">
        <f t="shared" si="5"/>
        <v>7 months in role and company</v>
      </c>
      <c r="P1741" s="5" t="str">
        <f t="shared" si="6"/>
        <v>Vancouver</v>
      </c>
      <c r="Q1741" s="5" t="str">
        <f t="shared" si="7"/>
        <v>British Columbia</v>
      </c>
      <c r="R1741" s="5" t="str">
        <f t="shared" si="8"/>
        <v>Canada</v>
      </c>
    </row>
    <row r="1742">
      <c r="A1742" s="8" t="s">
        <v>9178</v>
      </c>
      <c r="B1742" s="10" t="s">
        <v>9179</v>
      </c>
      <c r="C1742" s="10" t="s">
        <v>25</v>
      </c>
      <c r="D1742" s="10"/>
      <c r="E1742" s="10" t="s">
        <v>6237</v>
      </c>
      <c r="F1742" s="10" t="s">
        <v>237</v>
      </c>
      <c r="G1742" s="11" t="s">
        <v>5280</v>
      </c>
      <c r="H1742" s="11" t="s">
        <v>4638</v>
      </c>
      <c r="I1742" s="11" t="s">
        <v>4600</v>
      </c>
      <c r="J1742" s="9" t="str">
        <f>IFERROR(__xludf.DUMMYFUNCTION("""COMPUTED_VALUE"""),"https://www.google.com/search?newwindow=1&amp;ei=2MT0XrvGGM-vytMP1OyDgAY&amp;q=site%3Alinkedin.com+Laura+Thompson+International+Student+Recruiter+Advisor")</f>
        <v>https://www.google.com/search?newwindow=1&amp;ei=2MT0XrvGGM-vytMP1OyDgAY&amp;q=site%3Alinkedin.com+Laura+Thompson+International+Student+Recruiter+Advisor</v>
      </c>
      <c r="K1742" s="5" t="str">
        <f t="shared" si="1"/>
        <v>Laura Thompson</v>
      </c>
      <c r="L1742" s="5" t="str">
        <f t="shared" si="2"/>
        <v>International Student Recruiter Advisor</v>
      </c>
      <c r="M1742" s="5" t="str">
        <f t="shared" si="3"/>
        <v/>
      </c>
      <c r="N1742" s="5" t="str">
        <f t="shared" si="4"/>
        <v>The University of British Columbia</v>
      </c>
      <c r="O1742" s="5" t="str">
        <f t="shared" si="5"/>
        <v>1 year 6 months in role</v>
      </c>
      <c r="P1742" s="5" t="str">
        <f t="shared" si="6"/>
        <v>Vancouver</v>
      </c>
      <c r="Q1742" s="5" t="str">
        <f t="shared" si="7"/>
        <v>British Columbia</v>
      </c>
      <c r="R1742" s="5" t="str">
        <f t="shared" si="8"/>
        <v>Canada</v>
      </c>
    </row>
    <row r="1743">
      <c r="A1743" s="8" t="s">
        <v>9180</v>
      </c>
      <c r="B1743" s="10" t="s">
        <v>9181</v>
      </c>
      <c r="C1743" s="10" t="s">
        <v>4596</v>
      </c>
      <c r="D1743" s="10"/>
      <c r="E1743" s="10" t="s">
        <v>6576</v>
      </c>
      <c r="F1743" s="10" t="s">
        <v>691</v>
      </c>
      <c r="G1743" s="11" t="s">
        <v>5280</v>
      </c>
      <c r="H1743" s="11" t="s">
        <v>4638</v>
      </c>
      <c r="I1743" s="11" t="s">
        <v>4600</v>
      </c>
      <c r="J1743" s="9" t="str">
        <f>IFERROR(__xludf.DUMMYFUNCTION("""COMPUTED_VALUE"""),"https://www.google.com/search?newwindow=1&amp;ei=2MT0XrvGGM-vytMP1OyDgAY&amp;q=site%3Alinkedin.com+Serge+Mather+Recruiter+-+Talent+Acquisition+-+Campus+Programs")</f>
        <v>https://www.google.com/search?newwindow=1&amp;ei=2MT0XrvGGM-vytMP1OyDgAY&amp;q=site%3Alinkedin.com+Serge+Mather+Recruiter+-+Talent+Acquisition+-+Campus+Programs</v>
      </c>
      <c r="K1743" s="5" t="str">
        <f t="shared" si="1"/>
        <v>Serge Mather</v>
      </c>
      <c r="L1743" s="5" t="str">
        <f t="shared" si="2"/>
        <v>Recruiter - Talent Acquisition - Campus Programs</v>
      </c>
      <c r="M1743" s="5" t="str">
        <f t="shared" si="3"/>
        <v/>
      </c>
      <c r="N1743" s="5" t="str">
        <f t="shared" si="4"/>
        <v>Ledcor</v>
      </c>
      <c r="O1743" s="5" t="str">
        <f t="shared" si="5"/>
        <v>3 years 10 months in role and company</v>
      </c>
      <c r="P1743" s="5" t="str">
        <f t="shared" si="6"/>
        <v>Vancouver</v>
      </c>
      <c r="Q1743" s="5" t="str">
        <f t="shared" si="7"/>
        <v>British Columbia</v>
      </c>
      <c r="R1743" s="5" t="str">
        <f t="shared" si="8"/>
        <v>Canada</v>
      </c>
    </row>
    <row r="1744">
      <c r="A1744" s="8" t="s">
        <v>9182</v>
      </c>
      <c r="B1744" s="10" t="s">
        <v>9183</v>
      </c>
      <c r="C1744" s="10" t="s">
        <v>4596</v>
      </c>
      <c r="D1744" s="10"/>
      <c r="E1744" s="10" t="s">
        <v>6576</v>
      </c>
      <c r="F1744" s="10" t="s">
        <v>136</v>
      </c>
      <c r="G1744" s="11" t="s">
        <v>5280</v>
      </c>
      <c r="H1744" s="11" t="s">
        <v>4638</v>
      </c>
      <c r="I1744" s="11" t="s">
        <v>4600</v>
      </c>
      <c r="J1744" s="9" t="str">
        <f>IFERROR(__xludf.DUMMYFUNCTION("""COMPUTED_VALUE"""),"https://www.google.com/search?newwindow=1&amp;ei=2MT0XrvGGM-vytMP1OyDgAY&amp;q=site%3Alinkedin.com+Britt+Fernandes+Associate+International+Student+Recruiter+and+Advisor")</f>
        <v>https://www.google.com/search?newwindow=1&amp;ei=2MT0XrvGGM-vytMP1OyDgAY&amp;q=site%3Alinkedin.com+Britt+Fernandes+Associate+International+Student+Recruiter+and+Advisor</v>
      </c>
      <c r="K1744" s="5" t="str">
        <f t="shared" si="1"/>
        <v>Britt Fernandes</v>
      </c>
      <c r="L1744" s="5" t="str">
        <f t="shared" si="2"/>
        <v>Associate International Student Recruiter and Advisor</v>
      </c>
      <c r="M1744" s="5" t="str">
        <f t="shared" si="3"/>
        <v/>
      </c>
      <c r="N1744" s="5" t="str">
        <f t="shared" si="4"/>
        <v>The University of British Columbia</v>
      </c>
      <c r="O1744" s="5" t="str">
        <f t="shared" si="5"/>
        <v>1 year 2 months in role and company</v>
      </c>
      <c r="P1744" s="5" t="str">
        <f t="shared" si="6"/>
        <v>Vancouver</v>
      </c>
      <c r="Q1744" s="5" t="str">
        <f t="shared" si="7"/>
        <v>British Columbia</v>
      </c>
      <c r="R1744" s="5" t="str">
        <f t="shared" si="8"/>
        <v>Canada</v>
      </c>
    </row>
    <row r="1745">
      <c r="A1745" s="8" t="s">
        <v>9184</v>
      </c>
      <c r="B1745" s="10" t="s">
        <v>9185</v>
      </c>
      <c r="C1745" s="10" t="s">
        <v>9186</v>
      </c>
      <c r="D1745" s="10"/>
      <c r="E1745" s="10" t="s">
        <v>9187</v>
      </c>
      <c r="F1745" s="10" t="s">
        <v>651</v>
      </c>
      <c r="G1745" s="11" t="s">
        <v>5280</v>
      </c>
      <c r="H1745" s="11" t="s">
        <v>4638</v>
      </c>
      <c r="I1745" s="11" t="s">
        <v>4600</v>
      </c>
      <c r="J1745" s="9" t="str">
        <f>IFERROR(__xludf.DUMMYFUNCTION("""COMPUTED_VALUE"""),"https://www.google.com/search?newwindow=1&amp;ei=2MT0XrvGGM-vytMP1OyDgAY&amp;q=site%3Alinkedin.com+Nicolette+Richardson+Associate+Student+Recruiter")</f>
        <v>https://www.google.com/search?newwindow=1&amp;ei=2MT0XrvGGM-vytMP1OyDgAY&amp;q=site%3Alinkedin.com+Nicolette+Richardson+Associate+Student+Recruiter</v>
      </c>
      <c r="K1745" s="5" t="str">
        <f t="shared" si="1"/>
        <v>Nicolette Richardson</v>
      </c>
      <c r="L1745" s="5" t="str">
        <f t="shared" si="2"/>
        <v>Associate Student Recruiter</v>
      </c>
      <c r="M1745" s="5" t="str">
        <f t="shared" si="3"/>
        <v/>
      </c>
      <c r="N1745" s="5" t="str">
        <f t="shared" si="4"/>
        <v>The University of British Columbia</v>
      </c>
      <c r="O1745" s="5" t="str">
        <f t="shared" si="5"/>
        <v>1 year 3 months in role and company</v>
      </c>
      <c r="P1745" s="5" t="str">
        <f t="shared" si="6"/>
        <v>Vancouver</v>
      </c>
      <c r="Q1745" s="5" t="str">
        <f t="shared" si="7"/>
        <v>British Columbia</v>
      </c>
      <c r="R1745" s="5" t="str">
        <f t="shared" si="8"/>
        <v>Canada</v>
      </c>
    </row>
    <row r="1746">
      <c r="A1746" s="8" t="s">
        <v>9188</v>
      </c>
      <c r="B1746" s="10" t="s">
        <v>9189</v>
      </c>
      <c r="C1746" s="10" t="s">
        <v>9190</v>
      </c>
      <c r="D1746" s="10"/>
      <c r="E1746" s="10" t="s">
        <v>6576</v>
      </c>
      <c r="F1746" s="10" t="s">
        <v>179</v>
      </c>
      <c r="G1746" s="11" t="s">
        <v>5280</v>
      </c>
      <c r="H1746" s="11" t="s">
        <v>4638</v>
      </c>
      <c r="I1746" s="11" t="s">
        <v>4600</v>
      </c>
      <c r="J1746" s="9" t="str">
        <f>IFERROR(__xludf.DUMMYFUNCTION("""COMPUTED_VALUE"""),"https://www.google.com/search?newwindow=1&amp;ei=2MT0XrvGGM-vytMP1OyDgAY&amp;q=site%3Alinkedin.com+Derek+Weeres+Recruiter,+University+Relations+&amp;+Next-Gen+Talent")</f>
        <v>https://www.google.com/search?newwindow=1&amp;ei=2MT0XrvGGM-vytMP1OyDgAY&amp;q=site%3Alinkedin.com+Derek+Weeres+Recruiter,+University+Relations+&amp;+Next-Gen+Talent</v>
      </c>
      <c r="K1746" s="5" t="str">
        <f t="shared" si="1"/>
        <v>Derek Weeres</v>
      </c>
      <c r="L1746" s="5" t="str">
        <f t="shared" si="2"/>
        <v>Recruiter, University Relations &amp; Next-Gen Talent</v>
      </c>
      <c r="M1746" s="5" t="str">
        <f t="shared" si="3"/>
        <v/>
      </c>
      <c r="N1746" s="5" t="str">
        <f t="shared" si="4"/>
        <v>Electronic Arts (EA)</v>
      </c>
      <c r="O1746" s="5" t="str">
        <f t="shared" si="5"/>
        <v>1 year  in role and company</v>
      </c>
      <c r="P1746" s="5" t="str">
        <f t="shared" si="6"/>
        <v>Vancouver</v>
      </c>
      <c r="Q1746" s="5" t="str">
        <f t="shared" si="7"/>
        <v>British Columbia</v>
      </c>
      <c r="R1746" s="5" t="str">
        <f t="shared" si="8"/>
        <v>Canada</v>
      </c>
    </row>
    <row r="1747">
      <c r="A1747" s="8" t="s">
        <v>9191</v>
      </c>
      <c r="B1747" s="10" t="s">
        <v>9192</v>
      </c>
      <c r="C1747" s="10" t="s">
        <v>9193</v>
      </c>
      <c r="D1747" s="10"/>
      <c r="E1747" s="10" t="s">
        <v>5314</v>
      </c>
      <c r="F1747" s="10" t="s">
        <v>512</v>
      </c>
      <c r="G1747" s="11" t="s">
        <v>5280</v>
      </c>
      <c r="H1747" s="11" t="s">
        <v>4638</v>
      </c>
      <c r="I1747" s="11" t="s">
        <v>4600</v>
      </c>
      <c r="J1747" s="9" t="str">
        <f>IFERROR(__xludf.DUMMYFUNCTION("""COMPUTED_VALUE"""),"https://www.google.com/search?newwindow=1&amp;ei=2MT0XrvGGM-vytMP1OyDgAY&amp;q=site%3Alinkedin.com+Badre+Hassani+Internationa+Student+Recruiter/Advisor")</f>
        <v>https://www.google.com/search?newwindow=1&amp;ei=2MT0XrvGGM-vytMP1OyDgAY&amp;q=site%3Alinkedin.com+Badre+Hassani+Internationa+Student+Recruiter/Advisor</v>
      </c>
      <c r="K1747" s="5" t="str">
        <f t="shared" si="1"/>
        <v>Badre Hassani</v>
      </c>
      <c r="L1747" s="5" t="str">
        <f t="shared" si="2"/>
        <v>Internationa Student Recruiter/Advisor</v>
      </c>
      <c r="M1747" s="5" t="str">
        <f t="shared" si="3"/>
        <v/>
      </c>
      <c r="N1747" s="5" t="str">
        <f t="shared" si="4"/>
        <v>The University of British Columbia</v>
      </c>
      <c r="O1747" s="5" t="str">
        <f t="shared" si="5"/>
        <v>21 years 10 months in role and company</v>
      </c>
      <c r="P1747" s="5" t="str">
        <f t="shared" si="6"/>
        <v>Vancouver</v>
      </c>
      <c r="Q1747" s="5" t="str">
        <f t="shared" si="7"/>
        <v>British Columbia</v>
      </c>
      <c r="R1747" s="5" t="str">
        <f t="shared" si="8"/>
        <v>Canada</v>
      </c>
    </row>
    <row r="1748">
      <c r="A1748" s="8" t="s">
        <v>9194</v>
      </c>
      <c r="B1748" s="10" t="s">
        <v>9195</v>
      </c>
      <c r="C1748" s="10" t="s">
        <v>9196</v>
      </c>
      <c r="D1748" s="10"/>
      <c r="E1748" s="10" t="s">
        <v>6692</v>
      </c>
      <c r="F1748" s="10" t="s">
        <v>909</v>
      </c>
      <c r="G1748" s="11" t="s">
        <v>5280</v>
      </c>
      <c r="H1748" s="11" t="s">
        <v>4638</v>
      </c>
      <c r="I1748" s="11" t="s">
        <v>4600</v>
      </c>
      <c r="J1748" s="9" t="str">
        <f>IFERROR(__xludf.DUMMYFUNCTION("""COMPUTED_VALUE"""),"https://www.google.com/search?newwindow=1&amp;ei=2MT0XrvGGM-vytMP1OyDgAY&amp;q=site%3Alinkedin.com+Nadia+Syskova+Internationla+Student+Recruiter/Advisor,+Asia+and+Europe")</f>
        <v>https://www.google.com/search?newwindow=1&amp;ei=2MT0XrvGGM-vytMP1OyDgAY&amp;q=site%3Alinkedin.com+Nadia+Syskova+Internationla+Student+Recruiter/Advisor,+Asia+and+Europe</v>
      </c>
      <c r="K1748" s="5" t="str">
        <f t="shared" si="1"/>
        <v>Nadia Syskova</v>
      </c>
      <c r="L1748" s="5" t="str">
        <f t="shared" si="2"/>
        <v>Internationla Student Recruiter/Advisor, Asia and Europe</v>
      </c>
      <c r="M1748" s="5" t="str">
        <f t="shared" si="3"/>
        <v/>
      </c>
      <c r="N1748" s="5" t="str">
        <f t="shared" si="4"/>
        <v>The University of British Columbia</v>
      </c>
      <c r="O1748" s="5" t="str">
        <f t="shared" si="5"/>
        <v>1 year 6 months in role</v>
      </c>
      <c r="P1748" s="5" t="str">
        <f t="shared" si="6"/>
        <v>Vancouver</v>
      </c>
      <c r="Q1748" s="5" t="str">
        <f t="shared" si="7"/>
        <v>British Columbia</v>
      </c>
      <c r="R1748" s="5" t="str">
        <f t="shared" si="8"/>
        <v>Canada</v>
      </c>
    </row>
    <row r="1749">
      <c r="A1749" s="8" t="s">
        <v>9197</v>
      </c>
      <c r="B1749" s="12" t="s">
        <v>9198</v>
      </c>
      <c r="C1749" s="10" t="s">
        <v>9199</v>
      </c>
      <c r="D1749" s="10"/>
      <c r="E1749" s="10" t="s">
        <v>4914</v>
      </c>
      <c r="F1749" s="10" t="s">
        <v>63</v>
      </c>
      <c r="G1749" s="11" t="s">
        <v>5280</v>
      </c>
      <c r="H1749" s="11" t="s">
        <v>4638</v>
      </c>
      <c r="I1749" s="11" t="s">
        <v>4600</v>
      </c>
      <c r="J1749" s="9" t="str">
        <f>IFERROR(__xludf.DUMMYFUNCTION("""COMPUTED_VALUE"""),"https://www.google.com/search?newwindow=1&amp;ei=2MT0XrvGGM-vytMP1OyDgAY&amp;q=site%3Alinkedin.com+Laura+Mayer+University+Relations+Business+Partner+and+Campus+Recruiter+(maternity+leave)")</f>
        <v>https://www.google.com/search?newwindow=1&amp;ei=2MT0XrvGGM-vytMP1OyDgAY&amp;q=site%3Alinkedin.com+Laura+Mayer+University+Relations+Business+Partner+and+Campus+Recruiter+(maternity+leave)</v>
      </c>
      <c r="K1749" s="5" t="str">
        <f t="shared" si="1"/>
        <v>Laura Mayer</v>
      </c>
      <c r="L1749" s="5" t="str">
        <f t="shared" si="2"/>
        <v>University Relations Business Partner and Campus Recruiter (maternity leave)</v>
      </c>
      <c r="M1749" s="5" t="str">
        <f t="shared" si="3"/>
        <v/>
      </c>
      <c r="N1749" s="5" t="str">
        <f t="shared" si="4"/>
        <v>Electronic Arts (EA)</v>
      </c>
      <c r="O1749" s="5" t="str">
        <f t="shared" si="5"/>
        <v>3 years 9 months in role</v>
      </c>
      <c r="P1749" s="5" t="str">
        <f t="shared" si="6"/>
        <v>Vancouver</v>
      </c>
      <c r="Q1749" s="5" t="str">
        <f t="shared" si="7"/>
        <v>British Columbia</v>
      </c>
      <c r="R1749" s="5" t="str">
        <f t="shared" si="8"/>
        <v>Canada</v>
      </c>
    </row>
    <row r="1750">
      <c r="A1750" s="8" t="s">
        <v>9200</v>
      </c>
      <c r="B1750" s="10" t="s">
        <v>9201</v>
      </c>
      <c r="C1750" s="10" t="s">
        <v>371</v>
      </c>
      <c r="D1750" s="10"/>
      <c r="E1750" s="10" t="s">
        <v>845</v>
      </c>
      <c r="F1750" s="10" t="s">
        <v>100</v>
      </c>
      <c r="G1750" s="11" t="s">
        <v>5280</v>
      </c>
      <c r="H1750" s="11" t="s">
        <v>4638</v>
      </c>
      <c r="I1750" s="11" t="s">
        <v>4600</v>
      </c>
      <c r="J1750" s="9" t="str">
        <f>IFERROR(__xludf.DUMMYFUNCTION("""COMPUTED_VALUE"""),"https://www.google.com/search?newwindow=1&amp;ei=2MT0XrvGGM-vytMP1OyDgAY&amp;q=site%3Alinkedin.com+Deepika+Deepika+Recruiter")</f>
        <v>https://www.google.com/search?newwindow=1&amp;ei=2MT0XrvGGM-vytMP1OyDgAY&amp;q=site%3Alinkedin.com+Deepika+Deepika+Recruiter</v>
      </c>
      <c r="K1750" s="5" t="str">
        <f t="shared" si="1"/>
        <v>Deepika Deepika</v>
      </c>
      <c r="L1750" s="5" t="str">
        <f t="shared" si="2"/>
        <v>Recruiter</v>
      </c>
      <c r="M1750" s="5" t="str">
        <f t="shared" si="3"/>
        <v/>
      </c>
      <c r="N1750" s="5" t="str">
        <f t="shared" si="4"/>
        <v>Campus Support</v>
      </c>
      <c r="O1750" s="5" t="str">
        <f t="shared" si="5"/>
        <v>5 months in role and company</v>
      </c>
      <c r="P1750" s="5" t="str">
        <f t="shared" si="6"/>
        <v>Vancouver</v>
      </c>
      <c r="Q1750" s="5" t="str">
        <f t="shared" si="7"/>
        <v>British Columbia</v>
      </c>
      <c r="R1750" s="5" t="str">
        <f t="shared" si="8"/>
        <v>Canada</v>
      </c>
    </row>
    <row r="1751">
      <c r="A1751" s="8" t="s">
        <v>9202</v>
      </c>
      <c r="B1751" s="12" t="s">
        <v>9203</v>
      </c>
      <c r="C1751" s="10" t="s">
        <v>6862</v>
      </c>
      <c r="D1751" s="10"/>
      <c r="E1751" s="10" t="s">
        <v>9136</v>
      </c>
      <c r="F1751" s="10" t="s">
        <v>686</v>
      </c>
      <c r="G1751" s="11" t="s">
        <v>5280</v>
      </c>
      <c r="H1751" s="11" t="s">
        <v>4638</v>
      </c>
      <c r="I1751" s="11" t="s">
        <v>4600</v>
      </c>
      <c r="J1751" s="9" t="str">
        <f>IFERROR(__xludf.DUMMYFUNCTION("""COMPUTED_VALUE"""),"https://www.google.com/search?newwindow=1&amp;ei=2MT0XrvGGM-vytMP1OyDgAY&amp;q=site%3Alinkedin.com+Vivian+Wang+Student+Counselor+&amp;+recruiter")</f>
        <v>https://www.google.com/search?newwindow=1&amp;ei=2MT0XrvGGM-vytMP1OyDgAY&amp;q=site%3Alinkedin.com+Vivian+Wang+Student+Counselor+&amp;+recruiter</v>
      </c>
      <c r="K1751" s="5" t="str">
        <f t="shared" si="1"/>
        <v>Vivian Wang</v>
      </c>
      <c r="L1751" s="5" t="str">
        <f t="shared" si="2"/>
        <v>Student Counselor &amp; recruiter</v>
      </c>
      <c r="M1751" s="5" t="str">
        <f t="shared" si="3"/>
        <v/>
      </c>
      <c r="N1751" s="5" t="str">
        <f t="shared" si="4"/>
        <v>Bodwell High School</v>
      </c>
      <c r="O1751" s="5" t="str">
        <f t="shared" si="5"/>
        <v>1 year 7 months in role and company</v>
      </c>
      <c r="P1751" s="5" t="str">
        <f t="shared" si="6"/>
        <v>Vancouver</v>
      </c>
      <c r="Q1751" s="5" t="str">
        <f t="shared" si="7"/>
        <v>British Columbia</v>
      </c>
      <c r="R1751" s="5" t="str">
        <f t="shared" si="8"/>
        <v>Canada</v>
      </c>
    </row>
    <row r="1752">
      <c r="A1752" s="8" t="s">
        <v>9204</v>
      </c>
      <c r="B1752" s="12" t="s">
        <v>9205</v>
      </c>
      <c r="C1752" s="10" t="s">
        <v>9206</v>
      </c>
      <c r="D1752" s="10"/>
      <c r="E1752" s="10" t="s">
        <v>6576</v>
      </c>
      <c r="F1752" s="10" t="s">
        <v>125</v>
      </c>
      <c r="G1752" s="11" t="s">
        <v>5280</v>
      </c>
      <c r="H1752" s="11" t="s">
        <v>4638</v>
      </c>
      <c r="I1752" s="11" t="s">
        <v>4600</v>
      </c>
      <c r="J1752" s="9" t="str">
        <f>IFERROR(__xludf.DUMMYFUNCTION("""COMPUTED_VALUE"""),"https://www.google.com/search?newwindow=1&amp;ei=2MT0XrvGGM-vytMP1OyDgAY&amp;q=site%3Alinkedin.com+Jeremy+Chen+Student+Recruiter")</f>
        <v>https://www.google.com/search?newwindow=1&amp;ei=2MT0XrvGGM-vytMP1OyDgAY&amp;q=site%3Alinkedin.com+Jeremy+Chen+Student+Recruiter</v>
      </c>
      <c r="K1752" s="5" t="str">
        <f t="shared" si="1"/>
        <v>Jeremy Chen</v>
      </c>
      <c r="L1752" s="5" t="str">
        <f t="shared" si="2"/>
        <v>Student Recruiter</v>
      </c>
      <c r="M1752" s="5" t="str">
        <f t="shared" si="3"/>
        <v/>
      </c>
      <c r="N1752" s="5" t="str">
        <f t="shared" si="4"/>
        <v>WEDO EDUCATION</v>
      </c>
      <c r="O1752" s="5" t="str">
        <f t="shared" si="5"/>
        <v>7 months in role and company</v>
      </c>
      <c r="P1752" s="5" t="str">
        <f t="shared" si="6"/>
        <v>Vancouver</v>
      </c>
      <c r="Q1752" s="5" t="str">
        <f t="shared" si="7"/>
        <v>British Columbia</v>
      </c>
      <c r="R1752" s="5" t="str">
        <f t="shared" si="8"/>
        <v>Canada</v>
      </c>
    </row>
    <row r="1753">
      <c r="A1753" s="8" t="s">
        <v>9207</v>
      </c>
      <c r="B1753" s="10" t="s">
        <v>9208</v>
      </c>
      <c r="C1753" s="10" t="s">
        <v>4745</v>
      </c>
      <c r="D1753" s="10"/>
      <c r="E1753" s="10" t="s">
        <v>4701</v>
      </c>
      <c r="F1753" s="10" t="s">
        <v>331</v>
      </c>
      <c r="G1753" s="11" t="s">
        <v>5280</v>
      </c>
      <c r="H1753" s="11" t="s">
        <v>4638</v>
      </c>
      <c r="I1753" s="11" t="s">
        <v>4600</v>
      </c>
      <c r="J1753" s="9" t="str">
        <f>IFERROR(__xludf.DUMMYFUNCTION("""COMPUTED_VALUE"""),"https://www.google.com/search?newwindow=1&amp;ei=2MT0XrvGGM-vytMP1OyDgAY&amp;q=site%3Alinkedin.com+Lucía+Martín+Huerta+Student+Services+Coordinator+/+Homestay+Recruiter")</f>
        <v>https://www.google.com/search?newwindow=1&amp;ei=2MT0XrvGGM-vytMP1OyDgAY&amp;q=site%3Alinkedin.com+Lucía+Martín+Huerta+Student+Services+Coordinator+/+Homestay+Recruiter</v>
      </c>
      <c r="K1753" s="5" t="str">
        <f t="shared" si="1"/>
        <v>Lucía Martín Huerta</v>
      </c>
      <c r="L1753" s="5" t="str">
        <f t="shared" si="2"/>
        <v>Student Services Coordinator / Homestay Recruiter</v>
      </c>
      <c r="M1753" s="5" t="str">
        <f t="shared" si="3"/>
        <v/>
      </c>
      <c r="N1753" s="5" t="str">
        <f t="shared" si="4"/>
        <v>EC English Language Centres</v>
      </c>
      <c r="O1753" s="5" t="str">
        <f t="shared" si="5"/>
        <v>4 years 2 months in role and company</v>
      </c>
      <c r="P1753" s="5" t="str">
        <f t="shared" si="6"/>
        <v>Vancouver</v>
      </c>
      <c r="Q1753" s="5" t="str">
        <f t="shared" si="7"/>
        <v>British Columbia</v>
      </c>
      <c r="R1753" s="5" t="str">
        <f t="shared" si="8"/>
        <v>Canada</v>
      </c>
    </row>
    <row r="1754">
      <c r="A1754" s="8" t="s">
        <v>9209</v>
      </c>
      <c r="B1754" s="12" t="s">
        <v>9210</v>
      </c>
      <c r="C1754" s="10" t="s">
        <v>4596</v>
      </c>
      <c r="D1754" s="10"/>
      <c r="E1754" s="10" t="s">
        <v>6576</v>
      </c>
      <c r="F1754" s="10" t="s">
        <v>654</v>
      </c>
      <c r="G1754" s="11" t="s">
        <v>5280</v>
      </c>
      <c r="H1754" s="11" t="s">
        <v>4638</v>
      </c>
      <c r="I1754" s="11" t="s">
        <v>4600</v>
      </c>
      <c r="J1754" s="9" t="str">
        <f>IFERROR(__xludf.DUMMYFUNCTION("""COMPUTED_VALUE"""),"https://www.google.com/search?newwindow=1&amp;ei=2MT0XrvGGM-vytMP1OyDgAY&amp;q=site%3Alinkedin.com+Laura+Manyari+Associate+International+Student+Recruiter+&amp;+Advisor")</f>
        <v>https://www.google.com/search?newwindow=1&amp;ei=2MT0XrvGGM-vytMP1OyDgAY&amp;q=site%3Alinkedin.com+Laura+Manyari+Associate+International+Student+Recruiter+&amp;+Advisor</v>
      </c>
      <c r="K1754" s="5" t="str">
        <f t="shared" si="1"/>
        <v>Laura Manyari</v>
      </c>
      <c r="L1754" s="5" t="str">
        <f t="shared" si="2"/>
        <v>Associate International Student Recruiter &amp; Advisor</v>
      </c>
      <c r="M1754" s="5" t="str">
        <f t="shared" si="3"/>
        <v/>
      </c>
      <c r="N1754" s="5" t="str">
        <f t="shared" si="4"/>
        <v>UBC International Student Initiative</v>
      </c>
      <c r="O1754" s="5" t="str">
        <f t="shared" si="5"/>
        <v>5 years 10 months in role and company</v>
      </c>
      <c r="P1754" s="5" t="str">
        <f t="shared" si="6"/>
        <v>Vancouver</v>
      </c>
      <c r="Q1754" s="5" t="str">
        <f t="shared" si="7"/>
        <v>British Columbia</v>
      </c>
      <c r="R1754" s="5" t="str">
        <f t="shared" si="8"/>
        <v>Canada</v>
      </c>
    </row>
    <row r="1755">
      <c r="A1755" s="8" t="s">
        <v>9211</v>
      </c>
      <c r="B1755" s="10" t="s">
        <v>9212</v>
      </c>
      <c r="C1755" s="10" t="s">
        <v>9213</v>
      </c>
      <c r="D1755" s="10"/>
      <c r="E1755" s="10" t="s">
        <v>9214</v>
      </c>
      <c r="F1755" s="10" t="s">
        <v>222</v>
      </c>
      <c r="G1755" s="11" t="s">
        <v>5280</v>
      </c>
      <c r="H1755" s="11" t="s">
        <v>4638</v>
      </c>
      <c r="I1755" s="11" t="s">
        <v>4600</v>
      </c>
      <c r="J1755" s="9" t="str">
        <f>IFERROR(__xludf.DUMMYFUNCTION("""COMPUTED_VALUE"""),"https://www.google.com/search?newwindow=1&amp;ei=2MT0XrvGGM-vytMP1OyDgAY&amp;q=site%3Alinkedin.com+Janna+Rumary-Kellett+Senior+Student+Advisor/Recruiter,+Faculty+of+Forestry")</f>
        <v>https://www.google.com/search?newwindow=1&amp;ei=2MT0XrvGGM-vytMP1OyDgAY&amp;q=site%3Alinkedin.com+Janna+Rumary-Kellett+Senior+Student+Advisor/Recruiter,+Faculty+of+Forestry</v>
      </c>
      <c r="K1755" s="5" t="str">
        <f t="shared" si="1"/>
        <v>Janna Rumary-Kellett</v>
      </c>
      <c r="L1755" s="5" t="str">
        <f t="shared" si="2"/>
        <v>Senior Student Advisor/Recruiter, Faculty of Forestry</v>
      </c>
      <c r="M1755" s="5" t="str">
        <f t="shared" si="3"/>
        <v/>
      </c>
      <c r="N1755" s="5" t="str">
        <f t="shared" si="4"/>
        <v>The University of British Columbia</v>
      </c>
      <c r="O1755" s="5" t="str">
        <f t="shared" si="5"/>
        <v>3 years 5 months in role</v>
      </c>
      <c r="P1755" s="5" t="str">
        <f t="shared" si="6"/>
        <v>Vancouver</v>
      </c>
      <c r="Q1755" s="5" t="str">
        <f t="shared" si="7"/>
        <v>British Columbia</v>
      </c>
      <c r="R1755" s="5" t="str">
        <f t="shared" si="8"/>
        <v>Canada</v>
      </c>
    </row>
    <row r="1756">
      <c r="A1756" s="8" t="s">
        <v>9215</v>
      </c>
      <c r="B1756" s="12" t="s">
        <v>9216</v>
      </c>
      <c r="C1756" s="10" t="s">
        <v>4596</v>
      </c>
      <c r="D1756" s="10"/>
      <c r="E1756" s="10" t="s">
        <v>6576</v>
      </c>
      <c r="F1756" s="10" t="s">
        <v>182</v>
      </c>
      <c r="G1756" s="11" t="s">
        <v>5280</v>
      </c>
      <c r="H1756" s="11" t="s">
        <v>4638</v>
      </c>
      <c r="I1756" s="11" t="s">
        <v>4600</v>
      </c>
      <c r="J1756" s="9" t="str">
        <f>IFERROR(__xludf.DUMMYFUNCTION("""COMPUTED_VALUE"""),"https://www.google.com/search?newwindow=1&amp;ei=2MT0XrvGGM-vytMP1OyDgAY&amp;q=site%3Alinkedin.com+Jin+Qin+Student+Manager+and+Recruiter")</f>
        <v>https://www.google.com/search?newwindow=1&amp;ei=2MT0XrvGGM-vytMP1OyDgAY&amp;q=site%3Alinkedin.com+Jin+Qin+Student+Manager+and+Recruiter</v>
      </c>
      <c r="K1756" s="5" t="str">
        <f t="shared" si="1"/>
        <v>Jin Qin</v>
      </c>
      <c r="L1756" s="5" t="str">
        <f t="shared" si="2"/>
        <v>Student Manager and Recruiter</v>
      </c>
      <c r="M1756" s="5" t="str">
        <f t="shared" si="3"/>
        <v/>
      </c>
      <c r="N1756" s="5" t="str">
        <f t="shared" si="4"/>
        <v>Southwestern Company</v>
      </c>
      <c r="O1756" s="5" t="str">
        <f t="shared" si="5"/>
        <v>12 years 9 months in role and company</v>
      </c>
      <c r="P1756" s="5" t="str">
        <f t="shared" si="6"/>
        <v>Vancouver</v>
      </c>
      <c r="Q1756" s="5" t="str">
        <f t="shared" si="7"/>
        <v>British Columbia</v>
      </c>
      <c r="R1756" s="5" t="str">
        <f t="shared" si="8"/>
        <v>Canada</v>
      </c>
    </row>
    <row r="1757">
      <c r="A1757" s="8" t="s">
        <v>9217</v>
      </c>
      <c r="B1757" s="12" t="s">
        <v>9218</v>
      </c>
      <c r="C1757" s="10" t="s">
        <v>25</v>
      </c>
      <c r="D1757" s="10"/>
      <c r="E1757" s="10" t="s">
        <v>4701</v>
      </c>
      <c r="F1757" s="10" t="s">
        <v>179</v>
      </c>
      <c r="G1757" s="11" t="s">
        <v>5280</v>
      </c>
      <c r="H1757" s="11" t="s">
        <v>4638</v>
      </c>
      <c r="I1757" s="11" t="s">
        <v>4600</v>
      </c>
      <c r="J1757" s="9" t="str">
        <f>IFERROR(__xludf.DUMMYFUNCTION("""COMPUTED_VALUE"""),"https://www.google.com/search?newwindow=1&amp;ei=2MT0XrvGGM-vytMP1OyDgAY&amp;q=site%3Alinkedin.com+Demet+Kitis+Student+Recruiter")</f>
        <v>https://www.google.com/search?newwindow=1&amp;ei=2MT0XrvGGM-vytMP1OyDgAY&amp;q=site%3Alinkedin.com+Demet+Kitis+Student+Recruiter</v>
      </c>
      <c r="K1757" s="5" t="str">
        <f t="shared" si="1"/>
        <v>Demet Kitis</v>
      </c>
      <c r="L1757" s="5" t="str">
        <f t="shared" si="2"/>
        <v>Student Recruiter</v>
      </c>
      <c r="M1757" s="5" t="str">
        <f t="shared" si="3"/>
        <v/>
      </c>
      <c r="N1757" s="5" t="str">
        <f t="shared" si="4"/>
        <v>AISS Vancouver</v>
      </c>
      <c r="O1757" s="5" t="str">
        <f t="shared" si="5"/>
        <v>19 years 3 months in role and company</v>
      </c>
      <c r="P1757" s="5" t="str">
        <f t="shared" si="6"/>
        <v>Vancouver</v>
      </c>
      <c r="Q1757" s="5" t="str">
        <f t="shared" si="7"/>
        <v>British Columbia</v>
      </c>
      <c r="R1757" s="5" t="str">
        <f t="shared" si="8"/>
        <v>Canada</v>
      </c>
    </row>
    <row r="1758">
      <c r="A1758" s="8" t="s">
        <v>9219</v>
      </c>
      <c r="B1758" s="12" t="s">
        <v>9220</v>
      </c>
      <c r="C1758" s="10" t="s">
        <v>9221</v>
      </c>
      <c r="D1758" s="10"/>
      <c r="E1758" s="10" t="s">
        <v>9222</v>
      </c>
      <c r="F1758" s="10" t="s">
        <v>727</v>
      </c>
      <c r="G1758" s="11" t="s">
        <v>5280</v>
      </c>
      <c r="H1758" s="11" t="s">
        <v>4638</v>
      </c>
      <c r="I1758" s="11" t="s">
        <v>4600</v>
      </c>
      <c r="J1758" s="9" t="str">
        <f>IFERROR(__xludf.DUMMYFUNCTION("""COMPUTED_VALUE"""),"https://www.google.com/search?newwindow=1&amp;ei=2MT0XrvGGM-vytMP1OyDgAY&amp;q=site%3Alinkedin.com+Jacquie+Sinclair+Marketing+Coordinator+&amp;+International+Student+Recruiter")</f>
        <v>https://www.google.com/search?newwindow=1&amp;ei=2MT0XrvGGM-vytMP1OyDgAY&amp;q=site%3Alinkedin.com+Jacquie+Sinclair+Marketing+Coordinator+&amp;+International+Student+Recruiter</v>
      </c>
      <c r="K1758" s="5" t="str">
        <f t="shared" si="1"/>
        <v>Jacquie Sinclair</v>
      </c>
      <c r="L1758" s="5" t="str">
        <f t="shared" si="2"/>
        <v>Marketing Coordinator &amp; International Student Recruiter</v>
      </c>
      <c r="M1758" s="5" t="str">
        <f t="shared" si="3"/>
        <v/>
      </c>
      <c r="N1758" s="5" t="str">
        <f t="shared" si="4"/>
        <v>Simon Fraser University</v>
      </c>
      <c r="O1758" s="5" t="str">
        <f t="shared" si="5"/>
        <v>20 years 1 month in role and company</v>
      </c>
      <c r="P1758" s="5" t="str">
        <f t="shared" si="6"/>
        <v>Vancouver</v>
      </c>
      <c r="Q1758" s="5" t="str">
        <f t="shared" si="7"/>
        <v>British Columbia</v>
      </c>
      <c r="R1758" s="5" t="str">
        <f t="shared" si="8"/>
        <v>Canada</v>
      </c>
    </row>
    <row r="1759">
      <c r="A1759" s="8" t="s">
        <v>9223</v>
      </c>
      <c r="B1759" s="10" t="s">
        <v>9224</v>
      </c>
      <c r="C1759" s="10" t="s">
        <v>9225</v>
      </c>
      <c r="D1759" s="10"/>
      <c r="E1759" s="10" t="s">
        <v>845</v>
      </c>
      <c r="F1759" s="10" t="s">
        <v>121</v>
      </c>
      <c r="G1759" s="11" t="s">
        <v>5280</v>
      </c>
      <c r="H1759" s="11" t="s">
        <v>4638</v>
      </c>
      <c r="I1759" s="11" t="s">
        <v>4600</v>
      </c>
      <c r="J1759" s="9" t="str">
        <f>IFERROR(__xludf.DUMMYFUNCTION("""COMPUTED_VALUE"""),"https://www.google.com/search?newwindow=1&amp;ei=2MT0XrvGGM-vytMP1OyDgAY&amp;q=site%3Alinkedin.com+Ghoncheh+Doroudi+Recruiter+Intern")</f>
        <v>https://www.google.com/search?newwindow=1&amp;ei=2MT0XrvGGM-vytMP1OyDgAY&amp;q=site%3Alinkedin.com+Ghoncheh+Doroudi+Recruiter+Intern</v>
      </c>
      <c r="K1759" s="5" t="str">
        <f t="shared" si="1"/>
        <v>Ghoncheh Doroudi</v>
      </c>
      <c r="L1759" s="5" t="str">
        <f t="shared" si="2"/>
        <v>Recruiter Intern</v>
      </c>
      <c r="M1759" s="5" t="str">
        <f t="shared" si="3"/>
        <v/>
      </c>
      <c r="N1759" s="5" t="str">
        <f t="shared" si="4"/>
        <v>Kaplan Test Prep</v>
      </c>
      <c r="O1759" s="5" t="str">
        <f t="shared" si="5"/>
        <v>2 years  in role</v>
      </c>
      <c r="P1759" s="5" t="str">
        <f t="shared" si="6"/>
        <v>Vancouver</v>
      </c>
      <c r="Q1759" s="5" t="str">
        <f t="shared" si="7"/>
        <v>British Columbia</v>
      </c>
      <c r="R1759" s="5" t="str">
        <f t="shared" si="8"/>
        <v>Canada</v>
      </c>
    </row>
    <row r="1760">
      <c r="A1760" s="8" t="s">
        <v>9226</v>
      </c>
      <c r="B1760" s="10" t="s">
        <v>9227</v>
      </c>
      <c r="C1760" s="10" t="s">
        <v>9228</v>
      </c>
      <c r="D1760" s="10"/>
      <c r="E1760" s="10" t="s">
        <v>9229</v>
      </c>
      <c r="F1760" s="10" t="s">
        <v>958</v>
      </c>
      <c r="G1760" s="11" t="s">
        <v>5280</v>
      </c>
      <c r="H1760" s="11" t="s">
        <v>4638</v>
      </c>
      <c r="I1760" s="11" t="s">
        <v>4600</v>
      </c>
      <c r="J1760" s="9" t="str">
        <f>IFERROR(__xludf.DUMMYFUNCTION("""COMPUTED_VALUE"""),"https://www.google.com/search?newwindow=1&amp;ei=2MT0XrvGGM-vytMP1OyDgAY&amp;q=site%3Alinkedin.com+Ashley+Wan+Student+Recruiter-Advisor")</f>
        <v>https://www.google.com/search?newwindow=1&amp;ei=2MT0XrvGGM-vytMP1OyDgAY&amp;q=site%3Alinkedin.com+Ashley+Wan+Student+Recruiter-Advisor</v>
      </c>
      <c r="K1760" s="5" t="str">
        <f t="shared" si="1"/>
        <v>Ashley Wan</v>
      </c>
      <c r="L1760" s="5" t="str">
        <f t="shared" si="2"/>
        <v>Student Recruiter-Advisor</v>
      </c>
      <c r="M1760" s="5" t="str">
        <f t="shared" si="3"/>
        <v/>
      </c>
      <c r="N1760" s="5" t="str">
        <f t="shared" si="4"/>
        <v>Corpus Christi College &amp; St. Mark's College</v>
      </c>
      <c r="O1760" s="5" t="str">
        <f t="shared" si="5"/>
        <v/>
      </c>
      <c r="P1760" s="5" t="str">
        <f t="shared" si="6"/>
        <v>Vancouver</v>
      </c>
      <c r="Q1760" s="5" t="str">
        <f t="shared" si="7"/>
        <v>British Columbia</v>
      </c>
      <c r="R1760" s="5" t="str">
        <f t="shared" si="8"/>
        <v>Canada</v>
      </c>
    </row>
    <row r="1761">
      <c r="A1761" s="8" t="s">
        <v>9230</v>
      </c>
      <c r="B1761" s="12" t="s">
        <v>9231</v>
      </c>
      <c r="C1761" s="10" t="s">
        <v>4596</v>
      </c>
      <c r="D1761" s="10"/>
      <c r="E1761" s="10" t="s">
        <v>6576</v>
      </c>
      <c r="F1761" s="10" t="s">
        <v>574</v>
      </c>
      <c r="G1761" s="11" t="s">
        <v>5280</v>
      </c>
      <c r="H1761" s="11" t="s">
        <v>4638</v>
      </c>
      <c r="I1761" s="11" t="s">
        <v>4600</v>
      </c>
      <c r="J1761" s="9" t="str">
        <f>IFERROR(__xludf.DUMMYFUNCTION("""COMPUTED_VALUE"""),"https://www.google.com/search?newwindow=1&amp;ei=2MT0XrvGGM-vytMP1OyDgAY&amp;q=site%3Alinkedin.com+Andrea+Kirby+Student+Recruiter,+Graduate+Business+Programs")</f>
        <v>https://www.google.com/search?newwindow=1&amp;ei=2MT0XrvGGM-vytMP1OyDgAY&amp;q=site%3Alinkedin.com+Andrea+Kirby+Student+Recruiter,+Graduate+Business+Programs</v>
      </c>
      <c r="K1761" s="5" t="str">
        <f t="shared" si="1"/>
        <v>Andrea Kirby</v>
      </c>
      <c r="L1761" s="5" t="str">
        <f t="shared" si="2"/>
        <v>Student Recruiter, Graduate Business Programs</v>
      </c>
      <c r="M1761" s="5" t="str">
        <f t="shared" si="3"/>
        <v/>
      </c>
      <c r="N1761" s="5" t="str">
        <f t="shared" si="4"/>
        <v>Segal Graduate School of Business ~ Simon Fraser University</v>
      </c>
      <c r="O1761" s="5" t="str">
        <f t="shared" si="5"/>
        <v>14 years 1 month in role</v>
      </c>
      <c r="P1761" s="5" t="str">
        <f t="shared" si="6"/>
        <v>Vancouver</v>
      </c>
      <c r="Q1761" s="5" t="str">
        <f t="shared" si="7"/>
        <v>British Columbia</v>
      </c>
      <c r="R1761" s="5" t="str">
        <f t="shared" si="8"/>
        <v>Canada</v>
      </c>
    </row>
    <row r="1762">
      <c r="A1762" s="8" t="s">
        <v>9232</v>
      </c>
      <c r="B1762" s="10" t="s">
        <v>9233</v>
      </c>
      <c r="C1762" s="10" t="s">
        <v>9234</v>
      </c>
      <c r="D1762" s="10"/>
      <c r="E1762" s="10" t="s">
        <v>9155</v>
      </c>
      <c r="F1762" s="10" t="s">
        <v>1123</v>
      </c>
      <c r="G1762" s="11" t="s">
        <v>5280</v>
      </c>
      <c r="H1762" s="11" t="s">
        <v>4638</v>
      </c>
      <c r="I1762" s="11" t="s">
        <v>4600</v>
      </c>
      <c r="J1762" s="9" t="str">
        <f>IFERROR(__xludf.DUMMYFUNCTION("""COMPUTED_VALUE"""),"https://www.google.com/search?newwindow=1&amp;ei=2MT0XrvGGM-vytMP1OyDgAY&amp;q=site%3Alinkedin.com+Meike+Schieb+International+Student+Advisor,+Scholarship+Programs")</f>
        <v>https://www.google.com/search?newwindow=1&amp;ei=2MT0XrvGGM-vytMP1OyDgAY&amp;q=site%3Alinkedin.com+Meike+Schieb+International+Student+Advisor,+Scholarship+Programs</v>
      </c>
      <c r="K1762" s="5" t="str">
        <f t="shared" si="1"/>
        <v>Meike Schieb</v>
      </c>
      <c r="L1762" s="5" t="str">
        <f t="shared" si="2"/>
        <v>International Student Advisor, Scholarship Programs</v>
      </c>
      <c r="M1762" s="5" t="str">
        <f t="shared" si="3"/>
        <v/>
      </c>
      <c r="N1762" s="5" t="str">
        <f t="shared" si="4"/>
        <v>The University of British Columbia</v>
      </c>
      <c r="O1762" s="5" t="str">
        <f t="shared" si="5"/>
        <v>5 months in role</v>
      </c>
      <c r="P1762" s="5" t="str">
        <f t="shared" si="6"/>
        <v>Vancouver</v>
      </c>
      <c r="Q1762" s="5" t="str">
        <f t="shared" si="7"/>
        <v>British Columbia</v>
      </c>
      <c r="R1762" s="5" t="str">
        <f t="shared" si="8"/>
        <v>Canada</v>
      </c>
    </row>
    <row r="1763">
      <c r="A1763" s="8" t="s">
        <v>9235</v>
      </c>
      <c r="B1763" s="10" t="s">
        <v>9236</v>
      </c>
      <c r="C1763" s="10" t="s">
        <v>9237</v>
      </c>
      <c r="D1763" s="10"/>
      <c r="E1763" s="10" t="s">
        <v>9238</v>
      </c>
      <c r="F1763" s="10" t="s">
        <v>774</v>
      </c>
      <c r="G1763" s="11" t="s">
        <v>5280</v>
      </c>
      <c r="H1763" s="11" t="s">
        <v>4638</v>
      </c>
      <c r="I1763" s="11" t="s">
        <v>4600</v>
      </c>
      <c r="J1763" s="9" t="str">
        <f>IFERROR(__xludf.DUMMYFUNCTION("""COMPUTED_VALUE"""),"https://www.google.com/search?newwindow=1&amp;ei=2MT0XrvGGM-vytMP1OyDgAY&amp;q=site%3Alinkedin.com+Tina+Borcanin+HR+Consulting+Services+Student")</f>
        <v>https://www.google.com/search?newwindow=1&amp;ei=2MT0XrvGGM-vytMP1OyDgAY&amp;q=site%3Alinkedin.com+Tina+Borcanin+HR+Consulting+Services+Student</v>
      </c>
      <c r="K1763" s="5" t="str">
        <f t="shared" si="1"/>
        <v>Tina Borcanin</v>
      </c>
      <c r="L1763" s="5" t="str">
        <f t="shared" si="2"/>
        <v>HR Consulting Services Student</v>
      </c>
      <c r="M1763" s="5" t="str">
        <f t="shared" si="3"/>
        <v/>
      </c>
      <c r="N1763" s="5" t="str">
        <f t="shared" si="4"/>
        <v>Fraser Health Authority</v>
      </c>
      <c r="O1763" s="5" t="str">
        <f t="shared" si="5"/>
        <v>2 months in role and company</v>
      </c>
      <c r="P1763" s="5" t="str">
        <f t="shared" si="6"/>
        <v>Vancouver</v>
      </c>
      <c r="Q1763" s="5" t="str">
        <f t="shared" si="7"/>
        <v>British Columbia</v>
      </c>
      <c r="R1763" s="5" t="str">
        <f t="shared" si="8"/>
        <v>Canada</v>
      </c>
    </row>
    <row r="1764">
      <c r="A1764" s="8" t="s">
        <v>9239</v>
      </c>
      <c r="B1764" s="10" t="s">
        <v>9240</v>
      </c>
      <c r="C1764" s="10" t="s">
        <v>3424</v>
      </c>
      <c r="D1764" s="10"/>
      <c r="E1764" s="10" t="s">
        <v>9155</v>
      </c>
      <c r="F1764" s="10" t="s">
        <v>496</v>
      </c>
      <c r="G1764" s="11" t="s">
        <v>5280</v>
      </c>
      <c r="H1764" s="11" t="s">
        <v>4638</v>
      </c>
      <c r="I1764" s="11" t="s">
        <v>4600</v>
      </c>
      <c r="J1764" s="9" t="str">
        <f>IFERROR(__xludf.DUMMYFUNCTION("""COMPUTED_VALUE"""),"https://www.google.com/search?newwindow=1&amp;ei=2MT0XrvGGM-vytMP1OyDgAY&amp;q=site%3Alinkedin.com+Ben+Lee+Undergraduate+Advisor+&amp;+Recruiter")</f>
        <v>https://www.google.com/search?newwindow=1&amp;ei=2MT0XrvGGM-vytMP1OyDgAY&amp;q=site%3Alinkedin.com+Ben+Lee+Undergraduate+Advisor+&amp;+Recruiter</v>
      </c>
      <c r="K1764" s="5" t="str">
        <f t="shared" si="1"/>
        <v>Ben Lee</v>
      </c>
      <c r="L1764" s="5" t="str">
        <f t="shared" si="2"/>
        <v>Undergraduate Advisor &amp; Recruiter</v>
      </c>
      <c r="M1764" s="5" t="str">
        <f t="shared" si="3"/>
        <v/>
      </c>
      <c r="N1764" s="5" t="str">
        <f t="shared" si="4"/>
        <v>Simon Fraser University</v>
      </c>
      <c r="O1764" s="5" t="str">
        <f t="shared" si="5"/>
        <v>2 months in role and company</v>
      </c>
      <c r="P1764" s="5" t="str">
        <f t="shared" si="6"/>
        <v>Vancouver</v>
      </c>
      <c r="Q1764" s="5" t="str">
        <f t="shared" si="7"/>
        <v>British Columbia</v>
      </c>
      <c r="R1764" s="5" t="str">
        <f t="shared" si="8"/>
        <v>Canada</v>
      </c>
    </row>
    <row r="1765">
      <c r="A1765" s="8" t="s">
        <v>9241</v>
      </c>
      <c r="B1765" s="12" t="s">
        <v>9242</v>
      </c>
      <c r="C1765" s="10" t="s">
        <v>480</v>
      </c>
      <c r="D1765" s="10"/>
      <c r="E1765" s="10" t="s">
        <v>5376</v>
      </c>
      <c r="F1765" s="10" t="s">
        <v>339</v>
      </c>
      <c r="G1765" s="11" t="s">
        <v>5280</v>
      </c>
      <c r="H1765" s="11" t="s">
        <v>4638</v>
      </c>
      <c r="I1765" s="11" t="s">
        <v>4600</v>
      </c>
      <c r="J1765" s="9" t="str">
        <f>IFERROR(__xludf.DUMMYFUNCTION("""COMPUTED_VALUE"""),"https://www.google.com/search?newwindow=1&amp;ei=2MT0XrvGGM-vytMP1OyDgAY&amp;q=site%3Alinkedin.com+Lisa+Midgley+Talent+Specialist,+Associate+&amp;+Student+Programs")</f>
        <v>https://www.google.com/search?newwindow=1&amp;ei=2MT0XrvGGM-vytMP1OyDgAY&amp;q=site%3Alinkedin.com+Lisa+Midgley+Talent+Specialist,+Associate+&amp;+Student+Programs</v>
      </c>
      <c r="K1765" s="5" t="str">
        <f t="shared" si="1"/>
        <v>Lisa Midgley</v>
      </c>
      <c r="L1765" s="5" t="str">
        <f t="shared" si="2"/>
        <v>Talent Specialist, Associate &amp; Student Programs</v>
      </c>
      <c r="M1765" s="5" t="str">
        <f t="shared" si="3"/>
        <v/>
      </c>
      <c r="N1765" s="5" t="str">
        <f t="shared" si="4"/>
        <v>Dentons</v>
      </c>
      <c r="O1765" s="5" t="str">
        <f t="shared" si="5"/>
        <v>4 years 7 months in role</v>
      </c>
      <c r="P1765" s="5" t="str">
        <f t="shared" si="6"/>
        <v>Vancouver</v>
      </c>
      <c r="Q1765" s="5" t="str">
        <f t="shared" si="7"/>
        <v>British Columbia</v>
      </c>
      <c r="R1765" s="5" t="str">
        <f t="shared" si="8"/>
        <v>Canada</v>
      </c>
    </row>
    <row r="1766">
      <c r="A1766" s="8" t="s">
        <v>9243</v>
      </c>
      <c r="B1766" s="12" t="s">
        <v>9244</v>
      </c>
      <c r="C1766" s="10" t="s">
        <v>4596</v>
      </c>
      <c r="D1766" s="10"/>
      <c r="E1766" s="10" t="s">
        <v>6576</v>
      </c>
      <c r="F1766" s="10" t="s">
        <v>1846</v>
      </c>
      <c r="G1766" s="11" t="s">
        <v>5280</v>
      </c>
      <c r="H1766" s="11" t="s">
        <v>4638</v>
      </c>
      <c r="I1766" s="11" t="s">
        <v>4600</v>
      </c>
      <c r="J1766" s="9" t="str">
        <f>IFERROR(__xludf.DUMMYFUNCTION("""COMPUTED_VALUE"""),"https://www.google.com/search?newwindow=1&amp;ei=2MT0XrvGGM-vytMP1OyDgAY&amp;q=site%3Alinkedin.com+William+C.+Student+Programs+Assistant+(Faculty+of+Medicine)")</f>
        <v>https://www.google.com/search?newwindow=1&amp;ei=2MT0XrvGGM-vytMP1OyDgAY&amp;q=site%3Alinkedin.com+William+C.+Student+Programs+Assistant+(Faculty+of+Medicine)</v>
      </c>
      <c r="K1766" s="5" t="str">
        <f t="shared" si="1"/>
        <v>William C.</v>
      </c>
      <c r="L1766" s="5" t="str">
        <f t="shared" si="2"/>
        <v>Student Programs Assistant (Faculty of Medicine)</v>
      </c>
      <c r="M1766" s="5" t="str">
        <f t="shared" si="3"/>
        <v/>
      </c>
      <c r="N1766" s="5" t="str">
        <f t="shared" si="4"/>
        <v>The University of British Columbia</v>
      </c>
      <c r="O1766" s="5" t="str">
        <f t="shared" si="5"/>
        <v>1 year 2 months in role and company</v>
      </c>
      <c r="P1766" s="5" t="str">
        <f t="shared" si="6"/>
        <v>Vancouver</v>
      </c>
      <c r="Q1766" s="5" t="str">
        <f t="shared" si="7"/>
        <v>British Columbia</v>
      </c>
      <c r="R1766" s="5" t="str">
        <f t="shared" si="8"/>
        <v>Canada</v>
      </c>
    </row>
    <row r="1767">
      <c r="A1767" s="8" t="s">
        <v>9245</v>
      </c>
      <c r="B1767" s="12" t="s">
        <v>9246</v>
      </c>
      <c r="C1767" s="10" t="s">
        <v>9247</v>
      </c>
      <c r="D1767" s="10"/>
      <c r="E1767" s="10" t="s">
        <v>9174</v>
      </c>
      <c r="F1767" s="10" t="s">
        <v>1460</v>
      </c>
      <c r="G1767" s="11" t="s">
        <v>5280</v>
      </c>
      <c r="H1767" s="11" t="s">
        <v>4638</v>
      </c>
      <c r="I1767" s="11" t="s">
        <v>4600</v>
      </c>
      <c r="J1767" s="9" t="str">
        <f>IFERROR(__xludf.DUMMYFUNCTION("""COMPUTED_VALUE"""),"https://www.google.com/search?newwindow=1&amp;ei=2MT0XrvGGM-vytMP1OyDgAY&amp;q=site%3Alinkedin.com+Hanna+J.+L.+International+Student+Advisor,+Programs+and+Settlement")</f>
        <v>https://www.google.com/search?newwindow=1&amp;ei=2MT0XrvGGM-vytMP1OyDgAY&amp;q=site%3Alinkedin.com+Hanna+J.+L.+International+Student+Advisor,+Programs+and+Settlement</v>
      </c>
      <c r="K1767" s="5" t="str">
        <f t="shared" si="1"/>
        <v>Hanna J. L.</v>
      </c>
      <c r="L1767" s="5" t="str">
        <f t="shared" si="2"/>
        <v>International Student Advisor, Programs and Settlement</v>
      </c>
      <c r="M1767" s="5" t="str">
        <f t="shared" si="3"/>
        <v/>
      </c>
      <c r="N1767" s="5" t="str">
        <f t="shared" si="4"/>
        <v>Simon Fraser University</v>
      </c>
      <c r="O1767" s="5" t="str">
        <f t="shared" si="5"/>
        <v>2 years 4 months in role</v>
      </c>
      <c r="P1767" s="5" t="str">
        <f t="shared" si="6"/>
        <v>Vancouver</v>
      </c>
      <c r="Q1767" s="5" t="str">
        <f t="shared" si="7"/>
        <v>British Columbia</v>
      </c>
      <c r="R1767" s="5" t="str">
        <f t="shared" si="8"/>
        <v>Canada</v>
      </c>
    </row>
    <row r="1768">
      <c r="A1768" s="8" t="s">
        <v>9248</v>
      </c>
      <c r="B1768" s="12" t="s">
        <v>9249</v>
      </c>
      <c r="C1768" s="10" t="s">
        <v>9250</v>
      </c>
      <c r="D1768" s="10"/>
      <c r="E1768" s="10" t="s">
        <v>4701</v>
      </c>
      <c r="F1768" s="10" t="s">
        <v>1300</v>
      </c>
      <c r="G1768" s="11" t="s">
        <v>5280</v>
      </c>
      <c r="H1768" s="11" t="s">
        <v>4638</v>
      </c>
      <c r="I1768" s="11" t="s">
        <v>4600</v>
      </c>
      <c r="J1768" s="9" t="str">
        <f>IFERROR(__xludf.DUMMYFUNCTION("""COMPUTED_VALUE"""),"https://www.google.com/search?newwindow=1&amp;ei=2MT0XrvGGM-vytMP1OyDgAY&amp;q=site%3Alinkedin.com+Courtney+Apps,+MBA+Undergraduate+Advisor+&amp;+Recruiter+-+Political+Science")</f>
        <v>https://www.google.com/search?newwindow=1&amp;ei=2MT0XrvGGM-vytMP1OyDgAY&amp;q=site%3Alinkedin.com+Courtney+Apps,+MBA+Undergraduate+Advisor+&amp;+Recruiter+-+Political+Science</v>
      </c>
      <c r="K1768" s="5" t="str">
        <f t="shared" si="1"/>
        <v>Courtney Apps, MBA</v>
      </c>
      <c r="L1768" s="5" t="str">
        <f t="shared" si="2"/>
        <v>Undergraduate Advisor &amp; Recruiter - Political Science</v>
      </c>
      <c r="M1768" s="5" t="str">
        <f t="shared" si="3"/>
        <v/>
      </c>
      <c r="N1768" s="5" t="str">
        <f t="shared" si="4"/>
        <v>Simon Fraser University</v>
      </c>
      <c r="O1768" s="5" t="str">
        <f t="shared" si="5"/>
        <v>2 years 1 month in role and company</v>
      </c>
      <c r="P1768" s="5" t="str">
        <f t="shared" si="6"/>
        <v>Vancouver</v>
      </c>
      <c r="Q1768" s="5" t="str">
        <f t="shared" si="7"/>
        <v>British Columbia</v>
      </c>
      <c r="R1768" s="5" t="str">
        <f t="shared" si="8"/>
        <v>Canada</v>
      </c>
    </row>
    <row r="1769">
      <c r="A1769" s="8" t="s">
        <v>9251</v>
      </c>
      <c r="B1769" s="12" t="s">
        <v>9252</v>
      </c>
      <c r="C1769" s="10" t="s">
        <v>25</v>
      </c>
      <c r="D1769" s="10"/>
      <c r="E1769" s="10" t="s">
        <v>14</v>
      </c>
      <c r="F1769" s="10" t="s">
        <v>574</v>
      </c>
      <c r="G1769" s="11" t="s">
        <v>5280</v>
      </c>
      <c r="H1769" s="11" t="s">
        <v>4638</v>
      </c>
      <c r="I1769" s="11" t="s">
        <v>4600</v>
      </c>
      <c r="J1769" s="9" t="str">
        <f>IFERROR(__xludf.DUMMYFUNCTION("""COMPUTED_VALUE"""),"https://www.google.com/search?newwindow=1&amp;ei=2MT0XrvGGM-vytMP1OyDgAY&amp;q=site%3Alinkedin.com+Elisa+C.+Coordinator,+Student+and+Associate+Programs+(West)")</f>
        <v>https://www.google.com/search?newwindow=1&amp;ei=2MT0XrvGGM-vytMP1OyDgAY&amp;q=site%3Alinkedin.com+Elisa+C.+Coordinator,+Student+and+Associate+Programs+(West)</v>
      </c>
      <c r="K1769" s="5" t="str">
        <f t="shared" si="1"/>
        <v>Elisa C.</v>
      </c>
      <c r="L1769" s="5" t="str">
        <f t="shared" si="2"/>
        <v>Coordinator, Student and Associate Programs (West)</v>
      </c>
      <c r="M1769" s="5" t="str">
        <f t="shared" si="3"/>
        <v/>
      </c>
      <c r="N1769" s="5" t="str">
        <f t="shared" si="4"/>
        <v>Miller Thomson LLP</v>
      </c>
      <c r="O1769" s="5" t="str">
        <f t="shared" si="5"/>
        <v>1 year  in role</v>
      </c>
      <c r="P1769" s="5" t="str">
        <f t="shared" si="6"/>
        <v>Vancouver</v>
      </c>
      <c r="Q1769" s="5" t="str">
        <f t="shared" si="7"/>
        <v>British Columbia</v>
      </c>
      <c r="R1769" s="5" t="str">
        <f t="shared" si="8"/>
        <v>Canada</v>
      </c>
    </row>
    <row r="1770">
      <c r="A1770" s="8" t="s">
        <v>9253</v>
      </c>
      <c r="B1770" s="12" t="s">
        <v>9254</v>
      </c>
      <c r="C1770" s="10" t="s">
        <v>9255</v>
      </c>
      <c r="D1770" s="10"/>
      <c r="E1770" s="10" t="s">
        <v>9256</v>
      </c>
      <c r="F1770" s="10" t="s">
        <v>48</v>
      </c>
      <c r="G1770" s="11" t="s">
        <v>5280</v>
      </c>
      <c r="H1770" s="11" t="s">
        <v>4638</v>
      </c>
      <c r="I1770" s="11" t="s">
        <v>4600</v>
      </c>
      <c r="J1770" s="9" t="str">
        <f>IFERROR(__xludf.DUMMYFUNCTION("""COMPUTED_VALUE"""),"https://www.google.com/search?newwindow=1&amp;ei=2MT0XrvGGM-vytMP1OyDgAY&amp;q=site%3Alinkedin.com+Lisa+Sidhu+Associate+Director,+Associate+and+Student+Programs")</f>
        <v>https://www.google.com/search?newwindow=1&amp;ei=2MT0XrvGGM-vytMP1OyDgAY&amp;q=site%3Alinkedin.com+Lisa+Sidhu+Associate+Director,+Associate+and+Student+Programs</v>
      </c>
      <c r="K1770" s="5" t="str">
        <f t="shared" si="1"/>
        <v>Lisa Sidhu</v>
      </c>
      <c r="L1770" s="5" t="str">
        <f t="shared" si="2"/>
        <v>Associate Director, Associate and Student Programs</v>
      </c>
      <c r="M1770" s="5" t="str">
        <f t="shared" si="3"/>
        <v/>
      </c>
      <c r="N1770" s="5" t="str">
        <f t="shared" si="4"/>
        <v>Stikeman Elliott LLP</v>
      </c>
      <c r="O1770" s="5" t="str">
        <f t="shared" si="5"/>
        <v>1 year 3 months in role</v>
      </c>
      <c r="P1770" s="5" t="str">
        <f t="shared" si="6"/>
        <v>Vancouver</v>
      </c>
      <c r="Q1770" s="5" t="str">
        <f t="shared" si="7"/>
        <v>British Columbia</v>
      </c>
      <c r="R1770" s="5" t="str">
        <f t="shared" si="8"/>
        <v>Canada</v>
      </c>
    </row>
    <row r="1771">
      <c r="A1771" s="8" t="s">
        <v>9257</v>
      </c>
      <c r="B1771" s="12" t="s">
        <v>9258</v>
      </c>
      <c r="C1771" s="10" t="s">
        <v>9259</v>
      </c>
      <c r="D1771" s="10"/>
      <c r="E1771" s="10" t="s">
        <v>6576</v>
      </c>
      <c r="F1771" s="10" t="s">
        <v>2975</v>
      </c>
      <c r="G1771" s="11" t="s">
        <v>5280</v>
      </c>
      <c r="H1771" s="11" t="s">
        <v>4638</v>
      </c>
      <c r="I1771" s="11" t="s">
        <v>4600</v>
      </c>
      <c r="J1771" s="9" t="str">
        <f>IFERROR(__xludf.DUMMYFUNCTION("""COMPUTED_VALUE"""),"https://www.google.com/search?newwindow=1&amp;ei=2MT0XrvGGM-vytMP1OyDgAY&amp;q=site%3Alinkedin.com+Christine+York+Director+of+Associate+and+Student+Programs")</f>
        <v>https://www.google.com/search?newwindow=1&amp;ei=2MT0XrvGGM-vytMP1OyDgAY&amp;q=site%3Alinkedin.com+Christine+York+Director+of+Associate+and+Student+Programs</v>
      </c>
      <c r="K1771" s="5" t="str">
        <f t="shared" si="1"/>
        <v>Christine York</v>
      </c>
      <c r="L1771" s="5" t="str">
        <f t="shared" si="2"/>
        <v>Director of Associate and Student Programs</v>
      </c>
      <c r="M1771" s="5" t="str">
        <f t="shared" si="3"/>
        <v/>
      </c>
      <c r="N1771" s="5" t="str">
        <f t="shared" si="4"/>
        <v>Alexander Holburn Beaudin + Lang LLP</v>
      </c>
      <c r="O1771" s="5" t="str">
        <f t="shared" si="5"/>
        <v>24 years 2 months in role and company</v>
      </c>
      <c r="P1771" s="5" t="str">
        <f t="shared" si="6"/>
        <v>Vancouver</v>
      </c>
      <c r="Q1771" s="5" t="str">
        <f t="shared" si="7"/>
        <v>British Columbia</v>
      </c>
      <c r="R1771" s="5" t="str">
        <f t="shared" si="8"/>
        <v>Canada</v>
      </c>
    </row>
    <row r="1772">
      <c r="A1772" s="8" t="s">
        <v>9260</v>
      </c>
      <c r="B1772" s="10" t="s">
        <v>9261</v>
      </c>
      <c r="C1772" s="10" t="s">
        <v>3886</v>
      </c>
      <c r="D1772" s="10"/>
      <c r="E1772" s="10" t="s">
        <v>9262</v>
      </c>
      <c r="F1772" s="10" t="s">
        <v>182</v>
      </c>
      <c r="G1772" s="11" t="s">
        <v>5280</v>
      </c>
      <c r="H1772" s="11" t="s">
        <v>4638</v>
      </c>
      <c r="I1772" s="11" t="s">
        <v>4600</v>
      </c>
      <c r="J1772" s="9" t="str">
        <f>IFERROR(__xludf.DUMMYFUNCTION("""COMPUTED_VALUE"""),"https://www.google.com/search?newwindow=1&amp;ei=2MT0XrvGGM-vytMP1OyDgAY&amp;q=site%3Alinkedin.com+Joseph+Topornycky+Manager,+Graduate+Student+Programs")</f>
        <v>https://www.google.com/search?newwindow=1&amp;ei=2MT0XrvGGM-vytMP1OyDgAY&amp;q=site%3Alinkedin.com+Joseph+Topornycky+Manager,+Graduate+Student+Programs</v>
      </c>
      <c r="K1772" s="5" t="str">
        <f t="shared" si="1"/>
        <v>Joseph Topornycky</v>
      </c>
      <c r="L1772" s="5" t="str">
        <f t="shared" si="2"/>
        <v>Manager, Graduate Student Programs</v>
      </c>
      <c r="M1772" s="5" t="str">
        <f t="shared" si="3"/>
        <v/>
      </c>
      <c r="N1772" s="5" t="str">
        <f t="shared" si="4"/>
        <v>The University of British Columbia</v>
      </c>
      <c r="O1772" s="5" t="str">
        <f t="shared" si="5"/>
        <v>6 years 10 months in role</v>
      </c>
      <c r="P1772" s="5" t="str">
        <f t="shared" si="6"/>
        <v>Vancouver</v>
      </c>
      <c r="Q1772" s="5" t="str">
        <f t="shared" si="7"/>
        <v>British Columbia</v>
      </c>
      <c r="R1772" s="5" t="str">
        <f t="shared" si="8"/>
        <v>Canada</v>
      </c>
    </row>
    <row r="1773">
      <c r="A1773" s="8" t="s">
        <v>9263</v>
      </c>
      <c r="B1773" s="10" t="s">
        <v>9264</v>
      </c>
      <c r="C1773" s="10" t="s">
        <v>9265</v>
      </c>
      <c r="D1773" s="10"/>
      <c r="E1773" s="10" t="s">
        <v>9266</v>
      </c>
      <c r="F1773" s="10" t="s">
        <v>222</v>
      </c>
      <c r="G1773" s="11" t="s">
        <v>5280</v>
      </c>
      <c r="H1773" s="11" t="s">
        <v>4638</v>
      </c>
      <c r="I1773" s="11" t="s">
        <v>4600</v>
      </c>
      <c r="J1773" s="9" t="str">
        <f>IFERROR(__xludf.DUMMYFUNCTION("""COMPUTED_VALUE"""),"https://www.google.com/search?newwindow=1&amp;ei=2MT0XrvGGM-vytMP1OyDgAY&amp;q=site%3Alinkedin.com+Kathleen+Coupland+Coordinator+for+the+Professional+Masters+Programs")</f>
        <v>https://www.google.com/search?newwindow=1&amp;ei=2MT0XrvGGM-vytMP1OyDgAY&amp;q=site%3Alinkedin.com+Kathleen+Coupland+Coordinator+for+the+Professional+Masters+Programs</v>
      </c>
      <c r="K1773" s="5" t="str">
        <f t="shared" si="1"/>
        <v>Kathleen Coupland</v>
      </c>
      <c r="L1773" s="5" t="str">
        <f t="shared" si="2"/>
        <v>Coordinator for the Professional Masters Programs</v>
      </c>
      <c r="M1773" s="5" t="str">
        <f t="shared" si="3"/>
        <v/>
      </c>
      <c r="N1773" s="5" t="str">
        <f t="shared" si="4"/>
        <v>The University of British Columbia - Faculty of Forestry</v>
      </c>
      <c r="O1773" s="5" t="str">
        <f t="shared" si="5"/>
        <v>5 months in role and company</v>
      </c>
      <c r="P1773" s="5" t="str">
        <f t="shared" si="6"/>
        <v>Vancouver</v>
      </c>
      <c r="Q1773" s="5" t="str">
        <f t="shared" si="7"/>
        <v>British Columbia</v>
      </c>
      <c r="R1773" s="5" t="str">
        <f t="shared" si="8"/>
        <v>Canada</v>
      </c>
    </row>
    <row r="1774">
      <c r="A1774" s="8" t="s">
        <v>9267</v>
      </c>
      <c r="B1774" s="10" t="s">
        <v>9268</v>
      </c>
      <c r="C1774" s="10" t="s">
        <v>9269</v>
      </c>
      <c r="D1774" s="10"/>
      <c r="E1774" s="10" t="s">
        <v>6237</v>
      </c>
      <c r="F1774" s="10" t="s">
        <v>237</v>
      </c>
      <c r="G1774" s="11" t="s">
        <v>5280</v>
      </c>
      <c r="H1774" s="11" t="s">
        <v>4638</v>
      </c>
      <c r="I1774" s="11" t="s">
        <v>4600</v>
      </c>
      <c r="J1774" s="9" t="str">
        <f>IFERROR(__xludf.DUMMYFUNCTION("""COMPUTED_VALUE"""),"https://www.google.com/search?newwindow=1&amp;ei=2MT0XrvGGM-vytMP1OyDgAY&amp;q=site%3Alinkedin.com+Kelsey+Dyck+Practicum+Student")</f>
        <v>https://www.google.com/search?newwindow=1&amp;ei=2MT0XrvGGM-vytMP1OyDgAY&amp;q=site%3Alinkedin.com+Kelsey+Dyck+Practicum+Student</v>
      </c>
      <c r="K1774" s="5" t="str">
        <f t="shared" si="1"/>
        <v>Kelsey Dyck</v>
      </c>
      <c r="L1774" s="5" t="str">
        <f t="shared" si="2"/>
        <v>Practicum Student</v>
      </c>
      <c r="M1774" s="5" t="str">
        <f t="shared" si="3"/>
        <v/>
      </c>
      <c r="N1774" s="5" t="str">
        <f t="shared" si="4"/>
        <v>CityHive Vancouver</v>
      </c>
      <c r="O1774" s="5" t="str">
        <f t="shared" si="5"/>
        <v>2 months in role and company</v>
      </c>
      <c r="P1774" s="5" t="str">
        <f t="shared" si="6"/>
        <v>Vancouver</v>
      </c>
      <c r="Q1774" s="5" t="str">
        <f t="shared" si="7"/>
        <v>British Columbia</v>
      </c>
      <c r="R1774" s="5" t="str">
        <f t="shared" si="8"/>
        <v>Canada</v>
      </c>
    </row>
    <row r="1775">
      <c r="A1775" s="8" t="s">
        <v>9270</v>
      </c>
      <c r="B1775" s="10" t="s">
        <v>9271</v>
      </c>
      <c r="C1775" s="10" t="s">
        <v>5068</v>
      </c>
      <c r="D1775" s="12"/>
      <c r="E1775" s="12" t="s">
        <v>9272</v>
      </c>
      <c r="F1775" s="10"/>
      <c r="G1775" s="11" t="s">
        <v>5280</v>
      </c>
      <c r="H1775" s="11" t="s">
        <v>4638</v>
      </c>
      <c r="I1775" s="11" t="s">
        <v>4600</v>
      </c>
      <c r="J1775" s="9" t="str">
        <f>IFERROR(__xludf.DUMMYFUNCTION("""COMPUTED_VALUE"""),"https://www.google.com/search?newwindow=1&amp;ei=2MT0XrvGGM-vytMP1OyDgAY&amp;q=site%3Alinkedin.com+Carol+Chestnut+Director,+Associate+&amp;+Student+Programs")</f>
        <v>https://www.google.com/search?newwindow=1&amp;ei=2MT0XrvGGM-vytMP1OyDgAY&amp;q=site%3Alinkedin.com+Carol+Chestnut+Director,+Associate+&amp;+Student+Programs</v>
      </c>
      <c r="K1775" s="5" t="str">
        <f t="shared" si="1"/>
        <v>Carol Chestnut</v>
      </c>
      <c r="L1775" s="5" t="str">
        <f t="shared" si="2"/>
        <v>Director, Associate &amp; Student Programs</v>
      </c>
      <c r="M1775" s="5" t="str">
        <f t="shared" si="3"/>
        <v/>
      </c>
      <c r="N1775" s="5" t="str">
        <f t="shared" si="4"/>
        <v>Stikeman Elliott LLP</v>
      </c>
      <c r="O1775" s="5" t="str">
        <f t="shared" si="5"/>
        <v>13 years 3 months in role and company</v>
      </c>
      <c r="P1775" s="5" t="str">
        <f t="shared" si="6"/>
        <v>Vancouver</v>
      </c>
      <c r="Q1775" s="5" t="str">
        <f t="shared" si="7"/>
        <v>British Columbia</v>
      </c>
      <c r="R1775" s="5" t="str">
        <f t="shared" si="8"/>
        <v>Canada</v>
      </c>
    </row>
    <row r="1776">
      <c r="A1776" s="8" t="s">
        <v>9273</v>
      </c>
      <c r="B1776" s="10" t="s">
        <v>9274</v>
      </c>
      <c r="C1776" s="10" t="s">
        <v>9275</v>
      </c>
      <c r="D1776" s="10"/>
      <c r="E1776" s="10" t="s">
        <v>5374</v>
      </c>
      <c r="F1776" s="10" t="s">
        <v>144</v>
      </c>
      <c r="G1776" s="11" t="s">
        <v>5280</v>
      </c>
      <c r="H1776" s="11" t="s">
        <v>4638</v>
      </c>
      <c r="I1776" s="11" t="s">
        <v>4600</v>
      </c>
      <c r="J1776" s="9" t="str">
        <f>IFERROR(__xludf.DUMMYFUNCTION("""COMPUTED_VALUE"""),"https://www.google.com/search?newwindow=1&amp;ei=2MT0XrvGGM-vytMP1OyDgAY&amp;q=site%3Alinkedin.com+Gabriel+Sauro+Undergraduate+Advisor+&amp;+Recruiter+(School+of+Criminology)")</f>
        <v>https://www.google.com/search?newwindow=1&amp;ei=2MT0XrvGGM-vytMP1OyDgAY&amp;q=site%3Alinkedin.com+Gabriel+Sauro+Undergraduate+Advisor+&amp;+Recruiter+(School+of+Criminology)</v>
      </c>
      <c r="K1776" s="5" t="str">
        <f t="shared" si="1"/>
        <v>Gabriel Sauro</v>
      </c>
      <c r="L1776" s="5" t="str">
        <f t="shared" si="2"/>
        <v>Undergraduate Advisor &amp; Recruiter (School of Criminology)</v>
      </c>
      <c r="M1776" s="5" t="str">
        <f t="shared" si="3"/>
        <v/>
      </c>
      <c r="N1776" s="5" t="str">
        <f t="shared" si="4"/>
        <v>Simon Fraser University</v>
      </c>
      <c r="O1776" s="5" t="str">
        <f t="shared" si="5"/>
        <v>5 years 8 months in role and company</v>
      </c>
      <c r="P1776" s="5" t="str">
        <f t="shared" si="6"/>
        <v>Vancouver</v>
      </c>
      <c r="Q1776" s="5" t="str">
        <f t="shared" si="7"/>
        <v>British Columbia</v>
      </c>
      <c r="R1776" s="5" t="str">
        <f t="shared" si="8"/>
        <v>Canada</v>
      </c>
    </row>
    <row r="1777">
      <c r="A1777" s="8" t="s">
        <v>9276</v>
      </c>
      <c r="B1777" s="10" t="s">
        <v>9277</v>
      </c>
      <c r="C1777" s="10" t="s">
        <v>9278</v>
      </c>
      <c r="D1777" s="10"/>
      <c r="E1777" s="10" t="s">
        <v>6264</v>
      </c>
      <c r="F1777" s="10" t="s">
        <v>399</v>
      </c>
      <c r="G1777" s="11" t="s">
        <v>5280</v>
      </c>
      <c r="H1777" s="11" t="s">
        <v>4638</v>
      </c>
      <c r="I1777" s="11" t="s">
        <v>4600</v>
      </c>
      <c r="J1777" s="9" t="str">
        <f>IFERROR(__xludf.DUMMYFUNCTION("""COMPUTED_VALUE"""),"https://www.google.com/search?newwindow=1&amp;ei=2MT0XrvGGM-vytMP1OyDgAY&amp;q=site%3Alinkedin.com+Andrea+Walterhouse+Senior+Programs+Assistant,+Operations+&amp;+Administration")</f>
        <v>https://www.google.com/search?newwindow=1&amp;ei=2MT0XrvGGM-vytMP1OyDgAY&amp;q=site%3Alinkedin.com+Andrea+Walterhouse+Senior+Programs+Assistant,+Operations+&amp;+Administration</v>
      </c>
      <c r="K1777" s="5" t="str">
        <f t="shared" si="1"/>
        <v>Andrea Walterhouse</v>
      </c>
      <c r="L1777" s="5" t="str">
        <f t="shared" si="2"/>
        <v>Senior Programs Assistant, Operations &amp; Administration</v>
      </c>
      <c r="M1777" s="5" t="str">
        <f t="shared" si="3"/>
        <v/>
      </c>
      <c r="N1777" s="5" t="str">
        <f t="shared" si="4"/>
        <v>Robert H. Lee Graduate School, UBC Sauder School of Business</v>
      </c>
      <c r="O1777" s="5" t="str">
        <f t="shared" si="5"/>
        <v>3 years 2 months in role and company</v>
      </c>
      <c r="P1777" s="5" t="str">
        <f t="shared" si="6"/>
        <v>Vancouver</v>
      </c>
      <c r="Q1777" s="5" t="str">
        <f t="shared" si="7"/>
        <v>British Columbia</v>
      </c>
      <c r="R1777" s="5" t="str">
        <f t="shared" si="8"/>
        <v>Canada</v>
      </c>
    </row>
    <row r="1778">
      <c r="A1778" s="8" t="s">
        <v>9279</v>
      </c>
      <c r="B1778" s="10" t="s">
        <v>9280</v>
      </c>
      <c r="C1778" s="10" t="s">
        <v>7604</v>
      </c>
      <c r="D1778" s="10"/>
      <c r="E1778" s="10" t="s">
        <v>9281</v>
      </c>
      <c r="F1778" s="10" t="s">
        <v>626</v>
      </c>
      <c r="G1778" s="11" t="s">
        <v>5280</v>
      </c>
      <c r="H1778" s="11" t="s">
        <v>4638</v>
      </c>
      <c r="I1778" s="11" t="s">
        <v>4600</v>
      </c>
      <c r="J1778" s="9" t="str">
        <f>IFERROR(__xludf.DUMMYFUNCTION("""COMPUTED_VALUE"""),"https://www.google.com/search?newwindow=1&amp;ei=2MT0XrvGGM-vytMP1OyDgAY&amp;q=site%3Alinkedin.com+Emily+Naing+Student+Intern:+Student+Programs+Coordinator")</f>
        <v>https://www.google.com/search?newwindow=1&amp;ei=2MT0XrvGGM-vytMP1OyDgAY&amp;q=site%3Alinkedin.com+Emily+Naing+Student+Intern:+Student+Programs+Coordinator</v>
      </c>
      <c r="K1778" s="5" t="str">
        <f t="shared" si="1"/>
        <v>Emily Naing</v>
      </c>
      <c r="L1778" s="5" t="str">
        <f t="shared" si="2"/>
        <v>Student Intern: Student Programs Coordinator</v>
      </c>
      <c r="M1778" s="5" t="str">
        <f t="shared" si="3"/>
        <v/>
      </c>
      <c r="N1778" s="5" t="str">
        <f t="shared" si="4"/>
        <v>YELL Canada</v>
      </c>
      <c r="O1778" s="5" t="str">
        <f t="shared" si="5"/>
        <v>3 years 6 months in role and company</v>
      </c>
      <c r="P1778" s="5" t="str">
        <f t="shared" si="6"/>
        <v>Vancouver</v>
      </c>
      <c r="Q1778" s="5" t="str">
        <f t="shared" si="7"/>
        <v>British Columbia</v>
      </c>
      <c r="R1778" s="5" t="str">
        <f t="shared" si="8"/>
        <v>Canada</v>
      </c>
    </row>
    <row r="1779">
      <c r="A1779" s="8" t="s">
        <v>9282</v>
      </c>
      <c r="B1779" s="12" t="s">
        <v>9283</v>
      </c>
      <c r="C1779" s="10" t="s">
        <v>4596</v>
      </c>
      <c r="D1779" s="10"/>
      <c r="E1779" s="10" t="s">
        <v>5413</v>
      </c>
      <c r="F1779" s="10" t="s">
        <v>376</v>
      </c>
      <c r="G1779" s="11" t="s">
        <v>5280</v>
      </c>
      <c r="H1779" s="11" t="s">
        <v>4638</v>
      </c>
      <c r="I1779" s="11" t="s">
        <v>4600</v>
      </c>
      <c r="J1779" s="9" t="str">
        <f>IFERROR(__xludf.DUMMYFUNCTION("""COMPUTED_VALUE"""),"https://www.google.com/search?newwindow=1&amp;ei=2MT0XrvGGM-vytMP1OyDgAY&amp;q=site%3Alinkedin.com+Alisha+Samnani+Officer,+Student+Engagement+Programs")</f>
        <v>https://www.google.com/search?newwindow=1&amp;ei=2MT0XrvGGM-vytMP1OyDgAY&amp;q=site%3Alinkedin.com+Alisha+Samnani+Officer,+Student+Engagement+Programs</v>
      </c>
      <c r="K1779" s="5" t="str">
        <f t="shared" si="1"/>
        <v>Alisha Samnani</v>
      </c>
      <c r="L1779" s="5" t="str">
        <f t="shared" si="2"/>
        <v>Officer, Student Engagement Programs</v>
      </c>
      <c r="M1779" s="5" t="str">
        <f t="shared" si="3"/>
        <v/>
      </c>
      <c r="N1779" s="5" t="str">
        <f t="shared" si="4"/>
        <v>Langara College</v>
      </c>
      <c r="O1779" s="5" t="str">
        <f t="shared" si="5"/>
        <v>4 years 6 months in role and company</v>
      </c>
      <c r="P1779" s="5" t="str">
        <f t="shared" si="6"/>
        <v>Vancouver</v>
      </c>
      <c r="Q1779" s="5" t="str">
        <f t="shared" si="7"/>
        <v>British Columbia</v>
      </c>
      <c r="R1779" s="5" t="str">
        <f t="shared" si="8"/>
        <v>Canada</v>
      </c>
    </row>
    <row r="1780">
      <c r="A1780" s="8" t="s">
        <v>9284</v>
      </c>
      <c r="B1780" s="10" t="s">
        <v>9285</v>
      </c>
      <c r="C1780" s="10" t="s">
        <v>9286</v>
      </c>
      <c r="D1780" s="10"/>
      <c r="E1780" s="10" t="s">
        <v>9287</v>
      </c>
      <c r="F1780" s="10" t="s">
        <v>322</v>
      </c>
      <c r="G1780" s="11" t="s">
        <v>5280</v>
      </c>
      <c r="H1780" s="11" t="s">
        <v>4638</v>
      </c>
      <c r="I1780" s="11" t="s">
        <v>4600</v>
      </c>
      <c r="J1780" s="9" t="str">
        <f>IFERROR(__xludf.DUMMYFUNCTION("""COMPUTED_VALUE"""),"https://www.google.com/search?newwindow=1&amp;ei=2MT0XrvGGM-vytMP1OyDgAY&amp;q=site%3Alinkedin.com+Stephanie+Paige+Coordinator,+Professional+Development+and+Student+Programs+(BC)")</f>
        <v>https://www.google.com/search?newwindow=1&amp;ei=2MT0XrvGGM-vytMP1OyDgAY&amp;q=site%3Alinkedin.com+Stephanie+Paige+Coordinator,+Professional+Development+and+Student+Programs+(BC)</v>
      </c>
      <c r="K1780" s="5" t="str">
        <f t="shared" si="1"/>
        <v>Stephanie Paige</v>
      </c>
      <c r="L1780" s="5" t="str">
        <f t="shared" si="2"/>
        <v>Coordinator, Professional Development and Student Programs (BC)</v>
      </c>
      <c r="M1780" s="5" t="str">
        <f t="shared" si="3"/>
        <v/>
      </c>
      <c r="N1780" s="5" t="str">
        <f t="shared" si="4"/>
        <v>Bennett Jones LLP</v>
      </c>
      <c r="O1780" s="5" t="str">
        <f t="shared" si="5"/>
        <v>2 years 10 months in role and company</v>
      </c>
      <c r="P1780" s="5" t="str">
        <f t="shared" si="6"/>
        <v>Vancouver</v>
      </c>
      <c r="Q1780" s="5" t="str">
        <f t="shared" si="7"/>
        <v>British Columbia</v>
      </c>
      <c r="R1780" s="5" t="str">
        <f t="shared" si="8"/>
        <v>Canada</v>
      </c>
    </row>
    <row r="1781">
      <c r="A1781" s="8" t="s">
        <v>9288</v>
      </c>
      <c r="B1781" s="10" t="s">
        <v>9289</v>
      </c>
      <c r="C1781" s="10" t="s">
        <v>25</v>
      </c>
      <c r="D1781" s="10"/>
      <c r="E1781" s="10" t="s">
        <v>3545</v>
      </c>
      <c r="F1781" s="10" t="s">
        <v>29</v>
      </c>
      <c r="G1781" s="11" t="s">
        <v>5280</v>
      </c>
      <c r="H1781" s="11" t="s">
        <v>4638</v>
      </c>
      <c r="I1781" s="11" t="s">
        <v>4600</v>
      </c>
      <c r="J1781" s="9" t="str">
        <f>IFERROR(__xludf.DUMMYFUNCTION("""COMPUTED_VALUE"""),"https://www.google.com/search?newwindow=1&amp;ei=2MT0XrvGGM-vytMP1OyDgAY&amp;q=site%3Alinkedin.com+Jessie+C.+Academic+Programs+Coordinator+-+School+of+Computing+Science")</f>
        <v>https://www.google.com/search?newwindow=1&amp;ei=2MT0XrvGGM-vytMP1OyDgAY&amp;q=site%3Alinkedin.com+Jessie+C.+Academic+Programs+Coordinator+-+School+of+Computing+Science</v>
      </c>
      <c r="K1781" s="5" t="str">
        <f t="shared" si="1"/>
        <v>Jessie C.</v>
      </c>
      <c r="L1781" s="5" t="str">
        <f t="shared" si="2"/>
        <v>Academic Programs Coordinator - School of Computing Science</v>
      </c>
      <c r="M1781" s="5" t="str">
        <f t="shared" si="3"/>
        <v/>
      </c>
      <c r="N1781" s="5" t="str">
        <f t="shared" si="4"/>
        <v>Simon Fraser University</v>
      </c>
      <c r="O1781" s="5" t="str">
        <f t="shared" si="5"/>
        <v>3 months in role</v>
      </c>
      <c r="P1781" s="5" t="str">
        <f t="shared" si="6"/>
        <v>Vancouver</v>
      </c>
      <c r="Q1781" s="5" t="str">
        <f t="shared" si="7"/>
        <v>British Columbia</v>
      </c>
      <c r="R1781" s="5" t="str">
        <f t="shared" si="8"/>
        <v>Canada</v>
      </c>
    </row>
    <row r="1782">
      <c r="A1782" s="8" t="s">
        <v>9290</v>
      </c>
      <c r="B1782" s="10" t="s">
        <v>9291</v>
      </c>
      <c r="C1782" s="10" t="s">
        <v>25</v>
      </c>
      <c r="D1782" s="10"/>
      <c r="E1782" s="10" t="s">
        <v>9292</v>
      </c>
      <c r="F1782" s="10" t="s">
        <v>237</v>
      </c>
      <c r="G1782" s="11" t="s">
        <v>5280</v>
      </c>
      <c r="H1782" s="11" t="s">
        <v>4638</v>
      </c>
      <c r="I1782" s="11" t="s">
        <v>4600</v>
      </c>
      <c r="J1782" s="9" t="str">
        <f>IFERROR(__xludf.DUMMYFUNCTION("""COMPUTED_VALUE"""),"https://www.google.com/search?newwindow=1&amp;ei=2MT0XrvGGM-vytMP1OyDgAY&amp;q=site%3Alinkedin.com+Alexis+Vanderveen+Special+Programs+Advisor+and+Recruiter,+Faculty+of+Education")</f>
        <v>https://www.google.com/search?newwindow=1&amp;ei=2MT0XrvGGM-vytMP1OyDgAY&amp;q=site%3Alinkedin.com+Alexis+Vanderveen+Special+Programs+Advisor+and+Recruiter,+Faculty+of+Education</v>
      </c>
      <c r="K1782" s="5" t="str">
        <f t="shared" si="1"/>
        <v>Alexis Vanderveen</v>
      </c>
      <c r="L1782" s="5" t="str">
        <f t="shared" si="2"/>
        <v>Special Programs Advisor and Recruiter, Faculty of Education</v>
      </c>
      <c r="M1782" s="5" t="str">
        <f t="shared" si="3"/>
        <v/>
      </c>
      <c r="N1782" s="5" t="str">
        <f t="shared" si="4"/>
        <v>Simon Fraser University</v>
      </c>
      <c r="O1782" s="5" t="str">
        <f t="shared" si="5"/>
        <v>1 year 6 months in role and company</v>
      </c>
      <c r="P1782" s="5" t="str">
        <f t="shared" si="6"/>
        <v>Vancouver</v>
      </c>
      <c r="Q1782" s="5" t="str">
        <f t="shared" si="7"/>
        <v>British Columbia</v>
      </c>
      <c r="R1782" s="5" t="str">
        <f t="shared" si="8"/>
        <v>Canada</v>
      </c>
    </row>
    <row r="1783">
      <c r="A1783" s="8" t="s">
        <v>9293</v>
      </c>
      <c r="B1783" s="12" t="s">
        <v>9294</v>
      </c>
      <c r="C1783" s="10" t="s">
        <v>9295</v>
      </c>
      <c r="D1783" s="10"/>
      <c r="E1783" s="10" t="s">
        <v>8103</v>
      </c>
      <c r="F1783" s="10" t="s">
        <v>29</v>
      </c>
      <c r="G1783" s="11" t="s">
        <v>5280</v>
      </c>
      <c r="H1783" s="11" t="s">
        <v>4638</v>
      </c>
      <c r="I1783" s="11" t="s">
        <v>4600</v>
      </c>
      <c r="J1783" s="9" t="str">
        <f>IFERROR(__xludf.DUMMYFUNCTION("""COMPUTED_VALUE"""),"https://www.google.com/search?newwindow=1&amp;ei=2MT0XrvGGM-vytMP1OyDgAY&amp;q=site%3Alinkedin.com+Syskova+Nadia+Associate+International+Student+Recruiter+and+Advisor")</f>
        <v>https://www.google.com/search?newwindow=1&amp;ei=2MT0XrvGGM-vytMP1OyDgAY&amp;q=site%3Alinkedin.com+Syskova+Nadia+Associate+International+Student+Recruiter+and+Advisor</v>
      </c>
      <c r="K1783" s="5" t="str">
        <f t="shared" si="1"/>
        <v>Syskova Nadia</v>
      </c>
      <c r="L1783" s="5" t="str">
        <f t="shared" si="2"/>
        <v>Associate International Student Recruiter and Advisor</v>
      </c>
      <c r="M1783" s="5" t="str">
        <f t="shared" si="3"/>
        <v/>
      </c>
      <c r="N1783" s="5" t="str">
        <f t="shared" si="4"/>
        <v>UBC</v>
      </c>
      <c r="O1783" s="5" t="str">
        <f t="shared" si="5"/>
        <v/>
      </c>
      <c r="P1783" s="5" t="str">
        <f t="shared" si="6"/>
        <v>Vancouver</v>
      </c>
      <c r="Q1783" s="5" t="str">
        <f t="shared" si="7"/>
        <v>British Columbia</v>
      </c>
      <c r="R1783" s="5" t="str">
        <f t="shared" si="8"/>
        <v>Canada</v>
      </c>
    </row>
    <row r="1784">
      <c r="A1784" s="8" t="s">
        <v>9296</v>
      </c>
      <c r="B1784" s="10" t="s">
        <v>9297</v>
      </c>
      <c r="C1784" s="10" t="s">
        <v>9298</v>
      </c>
      <c r="D1784" s="10"/>
      <c r="E1784" s="10" t="s">
        <v>9299</v>
      </c>
      <c r="F1784" s="10" t="s">
        <v>727</v>
      </c>
      <c r="G1784" s="11" t="s">
        <v>5280</v>
      </c>
      <c r="H1784" s="11" t="s">
        <v>4638</v>
      </c>
      <c r="I1784" s="11" t="s">
        <v>4600</v>
      </c>
      <c r="J1784" s="9" t="str">
        <f>IFERROR(__xludf.DUMMYFUNCTION("""COMPUTED_VALUE"""),"https://www.google.com/search?newwindow=1&amp;ei=2MT0XrvGGM-vytMP1OyDgAY&amp;q=site%3Alinkedin.com+Dr.+Mishy+Elmpak,+C.+Psych.+Professor,+Faculty+of+Psychology,+Director+of+International+Student+Programs")</f>
        <v>https://www.google.com/search?newwindow=1&amp;ei=2MT0XrvGGM-vytMP1OyDgAY&amp;q=site%3Alinkedin.com+Dr.+Mishy+Elmpak,+C.+Psych.+Professor,+Faculty+of+Psychology,+Director+of+International+Student+Programs</v>
      </c>
      <c r="K1784" s="5" t="str">
        <f t="shared" si="1"/>
        <v>Dr. Mishy Elmpak, C. Psych.</v>
      </c>
      <c r="L1784" s="5" t="str">
        <f t="shared" si="2"/>
        <v>Professor, Faculty of Psychology, Director of International Student Programs</v>
      </c>
      <c r="M1784" s="5" t="str">
        <f t="shared" si="3"/>
        <v/>
      </c>
      <c r="N1784" s="5" t="str">
        <f t="shared" si="4"/>
        <v>Adler Graduate Professional School</v>
      </c>
      <c r="O1784" s="5" t="str">
        <f t="shared" si="5"/>
        <v>9 years 10 months in role</v>
      </c>
      <c r="P1784" s="5" t="str">
        <f t="shared" si="6"/>
        <v>Vaughan</v>
      </c>
      <c r="Q1784" s="5" t="str">
        <f t="shared" si="7"/>
        <v>Ontario</v>
      </c>
      <c r="R1784" s="5" t="str">
        <f t="shared" si="8"/>
        <v>Canada</v>
      </c>
    </row>
    <row r="1785">
      <c r="A1785" s="8" t="s">
        <v>9300</v>
      </c>
      <c r="B1785" s="10" t="s">
        <v>9301</v>
      </c>
      <c r="C1785" s="10" t="s">
        <v>9302</v>
      </c>
      <c r="D1785" s="10"/>
      <c r="E1785" s="10" t="s">
        <v>9303</v>
      </c>
      <c r="F1785" s="10" t="s">
        <v>1564</v>
      </c>
      <c r="G1785" s="11" t="s">
        <v>5280</v>
      </c>
      <c r="H1785" s="11" t="s">
        <v>4638</v>
      </c>
      <c r="I1785" s="11" t="s">
        <v>4600</v>
      </c>
      <c r="J1785" s="9" t="str">
        <f>IFERROR(__xludf.DUMMYFUNCTION("""COMPUTED_VALUE"""),"https://www.google.com/search?newwindow=1&amp;ei=2MT0XrvGGM-vytMP1OyDgAY&amp;q=site%3Alinkedin.com+Karen+Waugh+Senior+International+Recruiter/Advisor+Awards+and+On-Campus")</f>
        <v>https://www.google.com/search?newwindow=1&amp;ei=2MT0XrvGGM-vytMP1OyDgAY&amp;q=site%3Alinkedin.com+Karen+Waugh+Senior+International+Recruiter/Advisor+Awards+and+On-Campus</v>
      </c>
      <c r="K1785" s="5" t="str">
        <f t="shared" si="1"/>
        <v>Karen Waugh</v>
      </c>
      <c r="L1785" s="5" t="str">
        <f t="shared" si="2"/>
        <v>Senior International Recruiter/Advisor Awards and On-Campus</v>
      </c>
      <c r="M1785" s="5" t="str">
        <f t="shared" si="3"/>
        <v/>
      </c>
      <c r="N1785" s="5" t="str">
        <f t="shared" si="4"/>
        <v>The University of British Columbia</v>
      </c>
      <c r="O1785" s="5" t="str">
        <f t="shared" si="5"/>
        <v>8 years 7 months in role and company</v>
      </c>
      <c r="P1785" s="5" t="str">
        <f t="shared" si="6"/>
        <v>Victoria</v>
      </c>
      <c r="Q1785" s="5" t="str">
        <f t="shared" si="7"/>
        <v>British Columbia</v>
      </c>
      <c r="R1785" s="5" t="str">
        <f t="shared" si="8"/>
        <v>Canada</v>
      </c>
    </row>
    <row r="1786">
      <c r="A1786" s="8" t="s">
        <v>9304</v>
      </c>
      <c r="B1786" s="12" t="s">
        <v>9305</v>
      </c>
      <c r="C1786" s="10" t="s">
        <v>25</v>
      </c>
      <c r="D1786" s="10"/>
      <c r="E1786" s="10" t="s">
        <v>4701</v>
      </c>
      <c r="F1786" s="10" t="s">
        <v>654</v>
      </c>
      <c r="G1786" s="11" t="s">
        <v>5280</v>
      </c>
      <c r="H1786" s="11" t="s">
        <v>4638</v>
      </c>
      <c r="I1786" s="11" t="s">
        <v>4600</v>
      </c>
      <c r="J1786" s="9" t="str">
        <f>IFERROR(__xludf.DUMMYFUNCTION("""COMPUTED_VALUE"""),"https://www.google.com/search?newwindow=1&amp;ei=2MT0XrvGGM-vytMP1OyDgAY&amp;q=site%3Alinkedin.com+Clare+Walton+Engineering+and+Computer+Science+Student+Recruiter")</f>
        <v>https://www.google.com/search?newwindow=1&amp;ei=2MT0XrvGGM-vytMP1OyDgAY&amp;q=site%3Alinkedin.com+Clare+Walton+Engineering+and+Computer+Science+Student+Recruiter</v>
      </c>
      <c r="K1786" s="5" t="str">
        <f t="shared" si="1"/>
        <v>Clare Walton</v>
      </c>
      <c r="L1786" s="5" t="str">
        <f t="shared" si="2"/>
        <v>Engineering and Computer Science Student Recruiter</v>
      </c>
      <c r="M1786" s="5" t="str">
        <f t="shared" si="3"/>
        <v/>
      </c>
      <c r="N1786" s="5" t="str">
        <f t="shared" si="4"/>
        <v>University of Victoria</v>
      </c>
      <c r="O1786" s="5" t="str">
        <f t="shared" si="5"/>
        <v>1 year  in role</v>
      </c>
      <c r="P1786" s="5" t="str">
        <f t="shared" si="6"/>
        <v>Victoria</v>
      </c>
      <c r="Q1786" s="5" t="str">
        <f t="shared" si="7"/>
        <v>British Columbia</v>
      </c>
      <c r="R1786" s="5" t="str">
        <f t="shared" si="8"/>
        <v>Canada</v>
      </c>
    </row>
    <row r="1787">
      <c r="A1787" s="8" t="s">
        <v>9306</v>
      </c>
      <c r="B1787" s="12" t="s">
        <v>9307</v>
      </c>
      <c r="C1787" s="10" t="s">
        <v>9308</v>
      </c>
      <c r="D1787" s="10"/>
      <c r="E1787" s="10" t="s">
        <v>9309</v>
      </c>
      <c r="F1787" s="10" t="s">
        <v>4905</v>
      </c>
      <c r="G1787" s="11" t="s">
        <v>5280</v>
      </c>
      <c r="H1787" s="11" t="s">
        <v>4638</v>
      </c>
      <c r="I1787" s="11" t="s">
        <v>4600</v>
      </c>
      <c r="J1787" s="9" t="str">
        <f>IFERROR(__xludf.DUMMYFUNCTION("""COMPUTED_VALUE"""),"https://www.google.com/search?newwindow=1&amp;ei=2MT0XrvGGM-vytMP1OyDgAY&amp;q=site%3Alinkedin.com+Kyoungsook(Kim)+Sjoblom+Student+Recruiter")</f>
        <v>https://www.google.com/search?newwindow=1&amp;ei=2MT0XrvGGM-vytMP1OyDgAY&amp;q=site%3Alinkedin.com+Kyoungsook(Kim)+Sjoblom+Student+Recruiter</v>
      </c>
      <c r="K1787" s="5" t="str">
        <f t="shared" si="1"/>
        <v>Kyoungsook(Kim) Sjoblom</v>
      </c>
      <c r="L1787" s="5" t="str">
        <f t="shared" si="2"/>
        <v>Student Recruiter</v>
      </c>
      <c r="M1787" s="5" t="str">
        <f t="shared" si="3"/>
        <v/>
      </c>
      <c r="N1787" s="5" t="str">
        <f t="shared" si="4"/>
        <v>Self-Employed</v>
      </c>
      <c r="O1787" s="5" t="str">
        <f t="shared" si="5"/>
        <v>11 years 8 months in role and company</v>
      </c>
      <c r="P1787" s="5" t="str">
        <f t="shared" si="6"/>
        <v>Victoria</v>
      </c>
      <c r="Q1787" s="5" t="str">
        <f t="shared" si="7"/>
        <v>British Columbia</v>
      </c>
      <c r="R1787" s="5" t="str">
        <f t="shared" si="8"/>
        <v>Canada</v>
      </c>
    </row>
    <row r="1788">
      <c r="A1788" s="8" t="s">
        <v>9310</v>
      </c>
      <c r="B1788" s="12" t="s">
        <v>9311</v>
      </c>
      <c r="C1788" s="10" t="s">
        <v>9312</v>
      </c>
      <c r="D1788" s="10"/>
      <c r="E1788" s="10" t="s">
        <v>4701</v>
      </c>
      <c r="F1788" s="10" t="s">
        <v>268</v>
      </c>
      <c r="G1788" s="11" t="s">
        <v>5280</v>
      </c>
      <c r="H1788" s="11" t="s">
        <v>4638</v>
      </c>
      <c r="I1788" s="11" t="s">
        <v>4600</v>
      </c>
      <c r="J1788" s="9" t="str">
        <f>IFERROR(__xludf.DUMMYFUNCTION("""COMPUTED_VALUE"""),"https://www.google.com/search?newwindow=1&amp;ei=2MT0XrvGGM-vytMP1OyDgAY&amp;q=site%3Alinkedin.com+Gabrielle+Costin+Deputy+Principal+-+Student+Programs+and+Staffing")</f>
        <v>https://www.google.com/search?newwindow=1&amp;ei=2MT0XrvGGM-vytMP1OyDgAY&amp;q=site%3Alinkedin.com+Gabrielle+Costin+Deputy+Principal+-+Student+Programs+and+Staffing</v>
      </c>
      <c r="K1788" s="5" t="str">
        <f t="shared" si="1"/>
        <v>Gabrielle Costin</v>
      </c>
      <c r="L1788" s="5" t="str">
        <f t="shared" si="2"/>
        <v>Deputy Principal - Student Programs and Staffing</v>
      </c>
      <c r="M1788" s="5" t="str">
        <f t="shared" si="3"/>
        <v/>
      </c>
      <c r="N1788" s="5" t="str">
        <f t="shared" si="4"/>
        <v>Nagle College Bairnsdale</v>
      </c>
      <c r="O1788" s="5" t="str">
        <f t="shared" si="5"/>
        <v>1 year 10 months in role and company</v>
      </c>
      <c r="P1788" s="5" t="str">
        <f t="shared" si="6"/>
        <v>Victoria</v>
      </c>
      <c r="Q1788" s="5" t="str">
        <f t="shared" si="7"/>
        <v/>
      </c>
      <c r="R1788" s="5" t="str">
        <f t="shared" si="8"/>
        <v>Australia</v>
      </c>
    </row>
    <row r="1789">
      <c r="A1789" s="8" t="s">
        <v>9313</v>
      </c>
      <c r="B1789" s="10" t="s">
        <v>9314</v>
      </c>
      <c r="C1789" s="10" t="s">
        <v>9315</v>
      </c>
      <c r="D1789" s="10"/>
      <c r="E1789" s="10" t="s">
        <v>9316</v>
      </c>
      <c r="F1789" s="10" t="s">
        <v>3578</v>
      </c>
      <c r="G1789" s="11" t="s">
        <v>5280</v>
      </c>
      <c r="H1789" s="11" t="s">
        <v>4638</v>
      </c>
      <c r="I1789" s="11" t="s">
        <v>4600</v>
      </c>
      <c r="J1789" s="9" t="str">
        <f>IFERROR(__xludf.DUMMYFUNCTION("""COMPUTED_VALUE"""),"https://www.google.com/search?newwindow=1&amp;ei=2MT0XrvGGM-vytMP1OyDgAY&amp;q=site%3Alinkedin.com+Jeff+Davis+Director+-+International+Student+Programs")</f>
        <v>https://www.google.com/search?newwindow=1&amp;ei=2MT0XrvGGM-vytMP1OyDgAY&amp;q=site%3Alinkedin.com+Jeff+Davis+Director+-+International+Student+Programs</v>
      </c>
      <c r="K1789" s="5" t="str">
        <f t="shared" si="1"/>
        <v>Jeff Davis</v>
      </c>
      <c r="L1789" s="5" t="str">
        <f t="shared" si="2"/>
        <v>Director - International Student Programs</v>
      </c>
      <c r="M1789" s="5" t="str">
        <f t="shared" si="3"/>
        <v/>
      </c>
      <c r="N1789" s="5" t="str">
        <f t="shared" si="4"/>
        <v>Greater Victoria School District</v>
      </c>
      <c r="O1789" s="5" t="str">
        <f t="shared" si="5"/>
        <v>5 years 3 months in role</v>
      </c>
      <c r="P1789" s="5" t="str">
        <f t="shared" si="6"/>
        <v>Victoria</v>
      </c>
      <c r="Q1789" s="5" t="str">
        <f t="shared" si="7"/>
        <v>British Columbia</v>
      </c>
      <c r="R1789" s="5" t="str">
        <f t="shared" si="8"/>
        <v>Canada</v>
      </c>
    </row>
    <row r="1790">
      <c r="A1790" s="8" t="s">
        <v>9317</v>
      </c>
      <c r="B1790" s="10" t="s">
        <v>9318</v>
      </c>
      <c r="C1790" s="10" t="s">
        <v>9319</v>
      </c>
      <c r="D1790" s="10"/>
      <c r="E1790" s="10" t="s">
        <v>9320</v>
      </c>
      <c r="F1790" s="10" t="s">
        <v>15</v>
      </c>
      <c r="G1790" s="11" t="s">
        <v>5280</v>
      </c>
      <c r="H1790" s="11" t="s">
        <v>4638</v>
      </c>
      <c r="I1790" s="11" t="s">
        <v>4600</v>
      </c>
      <c r="J1790" s="9" t="str">
        <f>IFERROR(__xludf.DUMMYFUNCTION("""COMPUTED_VALUE"""),"https://www.google.com/search?newwindow=1&amp;ei=2MT0XrvGGM-vytMP1OyDgAY&amp;q=site%3Alinkedin.com+Jennifer+Lei+K.+INTERNATIONAL+STUDENT+FACILITATOR.+INTERNATIONAL+STUDENT+PROGRAMS")</f>
        <v>https://www.google.com/search?newwindow=1&amp;ei=2MT0XrvGGM-vytMP1OyDgAY&amp;q=site%3Alinkedin.com+Jennifer+Lei+K.+INTERNATIONAL+STUDENT+FACILITATOR.+INTERNATIONAL+STUDENT+PROGRAMS</v>
      </c>
      <c r="K1790" s="5" t="str">
        <f t="shared" si="1"/>
        <v>Jennifer Lei K.</v>
      </c>
      <c r="L1790" s="5" t="str">
        <f t="shared" si="2"/>
        <v>INTERNATIONAL STUDENT FACILITATOR. INTERNATIONAL STUDENT PROGRAMS</v>
      </c>
      <c r="M1790" s="5" t="str">
        <f t="shared" si="3"/>
        <v/>
      </c>
      <c r="N1790" s="5" t="str">
        <f t="shared" si="4"/>
        <v>Greater Victoria School District</v>
      </c>
      <c r="O1790" s="5" t="str">
        <f t="shared" si="5"/>
        <v>3 years 10 months in role and company</v>
      </c>
      <c r="P1790" s="5" t="str">
        <f t="shared" si="6"/>
        <v>Victoria</v>
      </c>
      <c r="Q1790" s="5" t="str">
        <f t="shared" si="7"/>
        <v>British Columbia</v>
      </c>
      <c r="R1790" s="5" t="str">
        <f t="shared" si="8"/>
        <v>Canada</v>
      </c>
    </row>
    <row r="1791">
      <c r="A1791" s="8" t="s">
        <v>9321</v>
      </c>
      <c r="B1791" s="10" t="s">
        <v>9322</v>
      </c>
      <c r="C1791" s="10" t="s">
        <v>9323</v>
      </c>
      <c r="D1791" s="10"/>
      <c r="E1791" s="10" t="s">
        <v>9324</v>
      </c>
      <c r="F1791" s="10" t="s">
        <v>716</v>
      </c>
      <c r="G1791" s="11" t="s">
        <v>5280</v>
      </c>
      <c r="H1791" s="11" t="s">
        <v>4638</v>
      </c>
      <c r="I1791" s="11" t="s">
        <v>4600</v>
      </c>
      <c r="J1791" s="9" t="str">
        <f>IFERROR(__xludf.DUMMYFUNCTION("""COMPUTED_VALUE"""),"https://www.google.com/search?newwindow=1&amp;ei=2MT0XrvGGM-vytMP1OyDgAY&amp;q=site%3Alinkedin.com+Linda+Nicoll+Manager,+Student+and+Alumni+Programs")</f>
        <v>https://www.google.com/search?newwindow=1&amp;ei=2MT0XrvGGM-vytMP1OyDgAY&amp;q=site%3Alinkedin.com+Linda+Nicoll+Manager,+Student+and+Alumni+Programs</v>
      </c>
      <c r="K1791" s="5" t="str">
        <f t="shared" si="1"/>
        <v>Linda Nicoll</v>
      </c>
      <c r="L1791" s="5" t="str">
        <f t="shared" si="2"/>
        <v>Manager, Student and Alumni Programs</v>
      </c>
      <c r="M1791" s="5" t="str">
        <f t="shared" si="3"/>
        <v/>
      </c>
      <c r="N1791" s="5" t="str">
        <f t="shared" si="4"/>
        <v>University of Victoria</v>
      </c>
      <c r="O1791" s="5" t="str">
        <f t="shared" si="5"/>
        <v>20 years 2 months in role</v>
      </c>
      <c r="P1791" s="5" t="str">
        <f t="shared" si="6"/>
        <v>Victoria</v>
      </c>
      <c r="Q1791" s="5" t="str">
        <f t="shared" si="7"/>
        <v>British Columbia</v>
      </c>
      <c r="R1791" s="5" t="str">
        <f t="shared" si="8"/>
        <v>Canada</v>
      </c>
    </row>
    <row r="1792">
      <c r="A1792" s="8" t="s">
        <v>9325</v>
      </c>
      <c r="B1792" s="10" t="s">
        <v>9326</v>
      </c>
      <c r="C1792" s="10" t="s">
        <v>9327</v>
      </c>
      <c r="D1792" s="10"/>
      <c r="E1792" s="10" t="s">
        <v>9328</v>
      </c>
      <c r="F1792" s="10" t="s">
        <v>22</v>
      </c>
      <c r="G1792" s="11" t="s">
        <v>5280</v>
      </c>
      <c r="H1792" s="11" t="s">
        <v>4638</v>
      </c>
      <c r="I1792" s="11" t="s">
        <v>4600</v>
      </c>
      <c r="J1792" s="9" t="str">
        <f>IFERROR(__xludf.DUMMYFUNCTION("""COMPUTED_VALUE"""),"https://www.google.com/search?newwindow=1&amp;ei=2MT0XrvGGM-vytMP1OyDgAY&amp;q=site%3Alinkedin.com+Sabrina+Williams+Student")</f>
        <v>https://www.google.com/search?newwindow=1&amp;ei=2MT0XrvGGM-vytMP1OyDgAY&amp;q=site%3Alinkedin.com+Sabrina+Williams+Student</v>
      </c>
      <c r="K1792" s="5" t="str">
        <f t="shared" si="1"/>
        <v>Sabrina Williams</v>
      </c>
      <c r="L1792" s="5" t="str">
        <f t="shared" si="2"/>
        <v>Student</v>
      </c>
      <c r="M1792" s="5" t="str">
        <f t="shared" si="3"/>
        <v/>
      </c>
      <c r="N1792" s="5" t="str">
        <f t="shared" si="4"/>
        <v>University of Victoria</v>
      </c>
      <c r="O1792" s="5" t="str">
        <f t="shared" si="5"/>
        <v>2 years 2 months in role and company</v>
      </c>
      <c r="P1792" s="5" t="str">
        <f t="shared" si="6"/>
        <v>Victoria</v>
      </c>
      <c r="Q1792" s="5" t="str">
        <f t="shared" si="7"/>
        <v>British Columbia</v>
      </c>
      <c r="R1792" s="5" t="str">
        <f t="shared" si="8"/>
        <v>Canada</v>
      </c>
    </row>
    <row r="1793">
      <c r="A1793" s="8" t="s">
        <v>9329</v>
      </c>
      <c r="B1793" s="12" t="s">
        <v>9330</v>
      </c>
      <c r="C1793" s="10" t="s">
        <v>9331</v>
      </c>
      <c r="D1793" s="10"/>
      <c r="E1793" s="10" t="s">
        <v>5409</v>
      </c>
      <c r="F1793" s="10" t="s">
        <v>691</v>
      </c>
      <c r="G1793" s="11" t="s">
        <v>5280</v>
      </c>
      <c r="H1793" s="11" t="s">
        <v>4638</v>
      </c>
      <c r="I1793" s="11" t="s">
        <v>4600</v>
      </c>
      <c r="J1793" s="9" t="str">
        <f>IFERROR(__xludf.DUMMYFUNCTION("""COMPUTED_VALUE"""),"https://www.google.com/search?newwindow=1&amp;ei=2MT0XrvGGM-vytMP1OyDgAY&amp;q=site%3Alinkedin.com+Radhika+Nair+Exchange+Student+Advisor,+International+Programs")</f>
        <v>https://www.google.com/search?newwindow=1&amp;ei=2MT0XrvGGM-vytMP1OyDgAY&amp;q=site%3Alinkedin.com+Radhika+Nair+Exchange+Student+Advisor,+International+Programs</v>
      </c>
      <c r="K1793" s="5" t="str">
        <f t="shared" si="1"/>
        <v>Radhika Nair</v>
      </c>
      <c r="L1793" s="5" t="str">
        <f t="shared" si="2"/>
        <v>Exchange Student Advisor, International Programs</v>
      </c>
      <c r="M1793" s="5" t="str">
        <f t="shared" si="3"/>
        <v/>
      </c>
      <c r="N1793" s="5" t="str">
        <f t="shared" si="4"/>
        <v>Gustavson School of Business, University of Victoria</v>
      </c>
      <c r="O1793" s="5" t="str">
        <f t="shared" si="5"/>
        <v/>
      </c>
      <c r="P1793" s="5" t="str">
        <f t="shared" si="6"/>
        <v>Victoria</v>
      </c>
      <c r="Q1793" s="5" t="str">
        <f t="shared" si="7"/>
        <v>British Columbia</v>
      </c>
      <c r="R1793" s="5" t="str">
        <f t="shared" si="8"/>
        <v>Canada</v>
      </c>
    </row>
    <row r="1794">
      <c r="A1794" s="8" t="s">
        <v>9332</v>
      </c>
      <c r="B1794" s="10" t="s">
        <v>9333</v>
      </c>
      <c r="C1794" s="10" t="s">
        <v>4596</v>
      </c>
      <c r="D1794" s="10"/>
      <c r="E1794" s="10" t="s">
        <v>6576</v>
      </c>
      <c r="F1794" s="10" t="s">
        <v>5985</v>
      </c>
      <c r="G1794" s="11" t="s">
        <v>5280</v>
      </c>
      <c r="H1794" s="11" t="s">
        <v>4638</v>
      </c>
      <c r="I1794" s="11" t="s">
        <v>4600</v>
      </c>
      <c r="J1794" s="9" t="str">
        <f>IFERROR(__xludf.DUMMYFUNCTION("""COMPUTED_VALUE"""),"https://www.google.com/search?newwindow=1&amp;ei=2MT0XrvGGM-vytMP1OyDgAY&amp;q=site%3Alinkedin.com+Ellen+Podbury+Student+and+Staff+Programs+Leading+Teacher")</f>
        <v>https://www.google.com/search?newwindow=1&amp;ei=2MT0XrvGGM-vytMP1OyDgAY&amp;q=site%3Alinkedin.com+Ellen+Podbury+Student+and+Staff+Programs+Leading+Teacher</v>
      </c>
      <c r="K1794" s="5" t="str">
        <f t="shared" si="1"/>
        <v>Ellen Podbury</v>
      </c>
      <c r="L1794" s="5" t="str">
        <f t="shared" si="2"/>
        <v>Student and Staff Programs Leading Teacher</v>
      </c>
      <c r="M1794" s="5" t="str">
        <f t="shared" si="3"/>
        <v/>
      </c>
      <c r="N1794" s="5" t="str">
        <f t="shared" si="4"/>
        <v>Timboon P-12 School</v>
      </c>
      <c r="O1794" s="5" t="str">
        <f t="shared" si="5"/>
        <v>10 months in role and company</v>
      </c>
      <c r="P1794" s="5" t="str">
        <f t="shared" si="6"/>
        <v>Victoria</v>
      </c>
      <c r="Q1794" s="5" t="str">
        <f t="shared" si="7"/>
        <v/>
      </c>
      <c r="R1794" s="5" t="str">
        <f t="shared" si="8"/>
        <v>Australia</v>
      </c>
    </row>
    <row r="1795">
      <c r="A1795" s="8" t="s">
        <v>9334</v>
      </c>
      <c r="B1795" s="12" t="s">
        <v>9335</v>
      </c>
      <c r="C1795" s="10" t="s">
        <v>4596</v>
      </c>
      <c r="D1795" s="10"/>
      <c r="E1795" s="10" t="s">
        <v>9336</v>
      </c>
      <c r="F1795" s="10" t="s">
        <v>1249</v>
      </c>
      <c r="G1795" s="11" t="s">
        <v>5280</v>
      </c>
      <c r="H1795" s="11" t="s">
        <v>4638</v>
      </c>
      <c r="I1795" s="11" t="s">
        <v>4600</v>
      </c>
      <c r="J1795" s="9" t="str">
        <f>IFERROR(__xludf.DUMMYFUNCTION("""COMPUTED_VALUE"""),"https://www.google.com/search?newwindow=1&amp;ei=2MT0XrvGGM-vytMP1OyDgAY&amp;q=site%3Alinkedin.com+Mark+Johnston+District+Vice-Principal;+International+Student+Programs")</f>
        <v>https://www.google.com/search?newwindow=1&amp;ei=2MT0XrvGGM-vytMP1OyDgAY&amp;q=site%3Alinkedin.com+Mark+Johnston+District+Vice-Principal;+International+Student+Programs</v>
      </c>
      <c r="K1795" s="5" t="str">
        <f t="shared" si="1"/>
        <v>Mark Johnston</v>
      </c>
      <c r="L1795" s="5" t="str">
        <f t="shared" si="2"/>
        <v>District Vice-Principal; International Student Programs</v>
      </c>
      <c r="M1795" s="5" t="str">
        <f t="shared" si="3"/>
        <v/>
      </c>
      <c r="N1795" s="5" t="str">
        <f t="shared" si="4"/>
        <v>Sooke School District</v>
      </c>
      <c r="O1795" s="5" t="str">
        <f t="shared" si="5"/>
        <v>7 years 3 months in role and company</v>
      </c>
      <c r="P1795" s="5" t="str">
        <f t="shared" si="6"/>
        <v>Victoria</v>
      </c>
      <c r="Q1795" s="5" t="str">
        <f t="shared" si="7"/>
        <v>British Columbia</v>
      </c>
      <c r="R1795" s="5" t="str">
        <f t="shared" si="8"/>
        <v>Canada</v>
      </c>
    </row>
    <row r="1796">
      <c r="A1796" s="8" t="s">
        <v>9337</v>
      </c>
      <c r="B1796" s="12" t="s">
        <v>9338</v>
      </c>
      <c r="C1796" s="10" t="s">
        <v>4596</v>
      </c>
      <c r="D1796" s="10"/>
      <c r="E1796" s="10" t="s">
        <v>9339</v>
      </c>
      <c r="F1796" s="10" t="s">
        <v>5386</v>
      </c>
      <c r="G1796" s="11" t="s">
        <v>5280</v>
      </c>
      <c r="H1796" s="11" t="s">
        <v>4638</v>
      </c>
      <c r="I1796" s="11" t="s">
        <v>4600</v>
      </c>
      <c r="J1796" s="9" t="str">
        <f>IFERROR(__xludf.DUMMYFUNCTION("""COMPUTED_VALUE"""),"https://www.google.com/search?newwindow=1&amp;ei=2MT0XrvGGM-vytMP1OyDgAY&amp;q=site%3Alinkedin.com+Pauline+Bedford+Director+of+the+Admissions+and+Recruitment+Centre,+University+Partnerships+Europe")</f>
        <v>https://www.google.com/search?newwindow=1&amp;ei=2MT0XrvGGM-vytMP1OyDgAY&amp;q=site%3Alinkedin.com+Pauline+Bedford+Director+of+the+Admissions+and+Recruitment+Centre,+University+Partnerships+Europe</v>
      </c>
      <c r="K1796" s="5" t="str">
        <f t="shared" si="1"/>
        <v>Pauline Bedford</v>
      </c>
      <c r="L1796" s="5" t="str">
        <f t="shared" si="2"/>
        <v>Director of the Admissions and Recruitment Centre, University Partnerships Europe</v>
      </c>
      <c r="M1796" s="5" t="str">
        <f t="shared" si="3"/>
        <v/>
      </c>
      <c r="N1796" s="5" t="str">
        <f t="shared" si="4"/>
        <v>Navitas</v>
      </c>
      <c r="O1796" s="5" t="str">
        <f t="shared" si="5"/>
        <v>2 years 4 months in role and company</v>
      </c>
      <c r="P1796" s="5" t="str">
        <f t="shared" si="6"/>
        <v>Wallingford</v>
      </c>
      <c r="Q1796" s="5" t="str">
        <f t="shared" si="7"/>
        <v>England</v>
      </c>
      <c r="R1796" s="5" t="str">
        <f t="shared" si="8"/>
        <v>United Kingdom</v>
      </c>
    </row>
    <row r="1797">
      <c r="A1797" s="8" t="s">
        <v>9340</v>
      </c>
      <c r="B1797" s="12" t="s">
        <v>9341</v>
      </c>
      <c r="C1797" s="10" t="s">
        <v>5068</v>
      </c>
      <c r="D1797" s="12"/>
      <c r="E1797" s="12" t="s">
        <v>9342</v>
      </c>
      <c r="F1797" s="10"/>
      <c r="G1797" s="11" t="s">
        <v>5280</v>
      </c>
      <c r="H1797" s="11" t="s">
        <v>4638</v>
      </c>
      <c r="I1797" s="11" t="s">
        <v>4600</v>
      </c>
      <c r="J1797" s="9" t="str">
        <f>IFERROR(__xludf.DUMMYFUNCTION("""COMPUTED_VALUE"""),"https://www.google.com/search?newwindow=1&amp;ei=2MT0XrvGGM-vytMP1OyDgAY&amp;q=site%3Alinkedin.com+Tara+Parandak+Campus+Recruiting+Ambassador")</f>
        <v>https://www.google.com/search?newwindow=1&amp;ei=2MT0XrvGGM-vytMP1OyDgAY&amp;q=site%3Alinkedin.com+Tara+Parandak+Campus+Recruiting+Ambassador</v>
      </c>
      <c r="K1797" s="5" t="str">
        <f t="shared" si="1"/>
        <v>Tara Parandak</v>
      </c>
      <c r="L1797" s="5" t="str">
        <f t="shared" si="2"/>
        <v>Campus Recruiting Ambassador</v>
      </c>
      <c r="M1797" s="5" t="str">
        <f t="shared" si="3"/>
        <v/>
      </c>
      <c r="N1797" s="5" t="str">
        <f t="shared" si="4"/>
        <v>KPMG US</v>
      </c>
      <c r="O1797" s="5" t="str">
        <f t="shared" si="5"/>
        <v>3 months in role</v>
      </c>
      <c r="P1797" s="5" t="str">
        <f t="shared" si="6"/>
        <v>Walnut Creek</v>
      </c>
      <c r="Q1797" s="5" t="str">
        <f t="shared" si="7"/>
        <v>California</v>
      </c>
      <c r="R1797" s="5" t="str">
        <f t="shared" si="8"/>
        <v>United States</v>
      </c>
    </row>
    <row r="1798">
      <c r="A1798" s="8" t="s">
        <v>9343</v>
      </c>
      <c r="B1798" s="10" t="s">
        <v>9344</v>
      </c>
      <c r="C1798" s="10" t="s">
        <v>5270</v>
      </c>
      <c r="D1798" s="10"/>
      <c r="E1798" s="10" t="s">
        <v>9345</v>
      </c>
      <c r="F1798" s="10" t="s">
        <v>1357</v>
      </c>
      <c r="G1798" s="11" t="s">
        <v>5280</v>
      </c>
      <c r="H1798" s="11" t="s">
        <v>4638</v>
      </c>
      <c r="I1798" s="11" t="s">
        <v>4600</v>
      </c>
      <c r="J1798" s="9" t="str">
        <f>IFERROR(__xludf.DUMMYFUNCTION("""COMPUTED_VALUE"""),"https://www.google.com/search?newwindow=1&amp;ei=2MT0XrvGGM-vytMP1OyDgAY&amp;q=site%3Alinkedin.com+Christine+Savery+Campus+Recruiter")</f>
        <v>https://www.google.com/search?newwindow=1&amp;ei=2MT0XrvGGM-vytMP1OyDgAY&amp;q=site%3Alinkedin.com+Christine+Savery+Campus+Recruiter</v>
      </c>
      <c r="K1798" s="5" t="str">
        <f t="shared" si="1"/>
        <v>Christine Savery</v>
      </c>
      <c r="L1798" s="5" t="str">
        <f t="shared" si="2"/>
        <v>Campus Recruiter</v>
      </c>
      <c r="M1798" s="5" t="str">
        <f t="shared" si="3"/>
        <v/>
      </c>
      <c r="N1798" s="5" t="str">
        <f t="shared" si="4"/>
        <v>EY-Parthenon</v>
      </c>
      <c r="O1798" s="5" t="str">
        <f t="shared" si="5"/>
        <v>1 year 5 months in role and company</v>
      </c>
      <c r="P1798" s="5" t="str">
        <f t="shared" si="6"/>
        <v>Waltham</v>
      </c>
      <c r="Q1798" s="5" t="str">
        <f t="shared" si="7"/>
        <v>Massachusetts</v>
      </c>
      <c r="R1798" s="5" t="str">
        <f t="shared" si="8"/>
        <v>United States</v>
      </c>
    </row>
    <row r="1799">
      <c r="A1799" s="8" t="s">
        <v>9346</v>
      </c>
      <c r="B1799" s="12" t="s">
        <v>9347</v>
      </c>
      <c r="C1799" s="10" t="s">
        <v>9348</v>
      </c>
      <c r="D1799" s="12"/>
      <c r="E1799" s="12" t="s">
        <v>2625</v>
      </c>
      <c r="F1799" s="10"/>
      <c r="G1799" s="11" t="s">
        <v>5280</v>
      </c>
      <c r="H1799" s="11" t="s">
        <v>4638</v>
      </c>
      <c r="I1799" s="11" t="s">
        <v>4600</v>
      </c>
      <c r="J1799" s="9" t="str">
        <f>IFERROR(__xludf.DUMMYFUNCTION("""COMPUTED_VALUE"""),"https://www.google.com/search?newwindow=1&amp;ei=2MT0XrvGGM-vytMP1OyDgAY&amp;q=site%3Alinkedin.com+Olivia+Storer+Student+Ambassador")</f>
        <v>https://www.google.com/search?newwindow=1&amp;ei=2MT0XrvGGM-vytMP1OyDgAY&amp;q=site%3Alinkedin.com+Olivia+Storer+Student+Ambassador</v>
      </c>
      <c r="K1799" s="5" t="str">
        <f t="shared" si="1"/>
        <v>Olivia Storer</v>
      </c>
      <c r="L1799" s="5" t="str">
        <f t="shared" si="2"/>
        <v>Student Ambassador</v>
      </c>
      <c r="M1799" s="5" t="str">
        <f t="shared" si="3"/>
        <v/>
      </c>
      <c r="N1799" s="5" t="str">
        <f t="shared" si="4"/>
        <v>McDaniel College Center for Experience and Opportunity</v>
      </c>
      <c r="O1799" s="5" t="str">
        <f t="shared" si="5"/>
        <v>2 years 3 months in role and company</v>
      </c>
      <c r="P1799" s="5" t="str">
        <f t="shared" si="6"/>
        <v>Wangaratta</v>
      </c>
      <c r="Q1799" s="5" t="str">
        <f t="shared" si="7"/>
        <v>Victoria</v>
      </c>
      <c r="R1799" s="5" t="str">
        <f t="shared" si="8"/>
        <v>Australia</v>
      </c>
    </row>
    <row r="1800">
      <c r="A1800" s="8" t="s">
        <v>9349</v>
      </c>
      <c r="B1800" s="10" t="s">
        <v>9350</v>
      </c>
      <c r="C1800" s="10" t="s">
        <v>5635</v>
      </c>
      <c r="D1800" s="12"/>
      <c r="E1800" s="12" t="s">
        <v>9351</v>
      </c>
      <c r="F1800" s="10"/>
      <c r="G1800" s="11" t="s">
        <v>5280</v>
      </c>
      <c r="H1800" s="11" t="s">
        <v>4638</v>
      </c>
      <c r="I1800" s="11" t="s">
        <v>4600</v>
      </c>
      <c r="J1800" s="9" t="str">
        <f>IFERROR(__xludf.DUMMYFUNCTION("""COMPUTED_VALUE"""),"https://www.google.com/search?newwindow=1&amp;ei=2MT0XrvGGM-vytMP1OyDgAY&amp;q=site%3Alinkedin.com+Nicole+Floyd+Associate,+Campus+Recruiting")</f>
        <v>https://www.google.com/search?newwindow=1&amp;ei=2MT0XrvGGM-vytMP1OyDgAY&amp;q=site%3Alinkedin.com+Nicole+Floyd+Associate,+Campus+Recruiting</v>
      </c>
      <c r="K1800" s="5" t="str">
        <f t="shared" si="1"/>
        <v>Nicole Floyd</v>
      </c>
      <c r="L1800" s="5" t="str">
        <f t="shared" si="2"/>
        <v>Associate, Campus Recruiting</v>
      </c>
      <c r="M1800" s="5" t="str">
        <f t="shared" si="3"/>
        <v/>
      </c>
      <c r="N1800" s="5" t="str">
        <f t="shared" si="4"/>
        <v>KPMG US</v>
      </c>
      <c r="O1800" s="5" t="str">
        <f t="shared" si="5"/>
        <v>2 years 2 months in role and company</v>
      </c>
      <c r="P1800" s="5" t="str">
        <f t="shared" si="6"/>
        <v>Warren</v>
      </c>
      <c r="Q1800" s="5" t="str">
        <f t="shared" si="7"/>
        <v>New Jersey</v>
      </c>
      <c r="R1800" s="5" t="str">
        <f t="shared" si="8"/>
        <v>United States</v>
      </c>
    </row>
    <row r="1801">
      <c r="A1801" s="8" t="s">
        <v>9352</v>
      </c>
      <c r="B1801" s="10" t="s">
        <v>9353</v>
      </c>
      <c r="C1801" s="10" t="s">
        <v>9354</v>
      </c>
      <c r="D1801" s="10"/>
      <c r="E1801" s="10" t="s">
        <v>9355</v>
      </c>
      <c r="F1801" s="10" t="s">
        <v>33</v>
      </c>
      <c r="G1801" s="11" t="s">
        <v>5280</v>
      </c>
      <c r="H1801" s="11" t="s">
        <v>4638</v>
      </c>
      <c r="I1801" s="11" t="s">
        <v>4600</v>
      </c>
      <c r="J1801" s="9" t="str">
        <f>IFERROR(__xludf.DUMMYFUNCTION("""COMPUTED_VALUE"""),"https://www.google.com/search?newwindow=1&amp;ei=2MT0XrvGGM-vytMP1OyDgAY&amp;q=site%3Alinkedin.com+Lucy+Woodrow+Graduate+Recruiter")</f>
        <v>https://www.google.com/search?newwindow=1&amp;ei=2MT0XrvGGM-vytMP1OyDgAY&amp;q=site%3Alinkedin.com+Lucy+Woodrow+Graduate+Recruiter</v>
      </c>
      <c r="K1801" s="5" t="str">
        <f t="shared" si="1"/>
        <v>Lucy Woodrow</v>
      </c>
      <c r="L1801" s="5" t="str">
        <f t="shared" si="2"/>
        <v>Graduate Recruiter</v>
      </c>
      <c r="M1801" s="5" t="str">
        <f t="shared" si="3"/>
        <v/>
      </c>
      <c r="N1801" s="5" t="str">
        <f t="shared" si="4"/>
        <v>Fircroft</v>
      </c>
      <c r="O1801" s="5" t="str">
        <f t="shared" si="5"/>
        <v>2 years 2 months in role and company</v>
      </c>
      <c r="P1801" s="5" t="str">
        <f t="shared" si="6"/>
        <v>Warrington</v>
      </c>
      <c r="Q1801" s="5" t="str">
        <f t="shared" si="7"/>
        <v>England</v>
      </c>
      <c r="R1801" s="5" t="str">
        <f t="shared" si="8"/>
        <v>United Kingdom</v>
      </c>
    </row>
    <row r="1802">
      <c r="A1802" s="8" t="s">
        <v>9356</v>
      </c>
      <c r="B1802" s="12" t="s">
        <v>9357</v>
      </c>
      <c r="C1802" s="10" t="s">
        <v>5068</v>
      </c>
      <c r="D1802" s="10"/>
      <c r="E1802" s="10" t="s">
        <v>9358</v>
      </c>
      <c r="F1802" s="10" t="s">
        <v>36</v>
      </c>
      <c r="G1802" s="11" t="s">
        <v>5280</v>
      </c>
      <c r="H1802" s="11" t="s">
        <v>4638</v>
      </c>
      <c r="I1802" s="11" t="s">
        <v>4600</v>
      </c>
      <c r="J1802" s="9" t="str">
        <f>IFERROR(__xludf.DUMMYFUNCTION("""COMPUTED_VALUE"""),"https://www.google.com/search?newwindow=1&amp;ei=2MT0XrvGGM-vytMP1OyDgAY&amp;q=site%3Alinkedin.com+Faith+Holland+Tech+Recruiter,+Campus+Recruiting")</f>
        <v>https://www.google.com/search?newwindow=1&amp;ei=2MT0XrvGGM-vytMP1OyDgAY&amp;q=site%3Alinkedin.com+Faith+Holland+Tech+Recruiter,+Campus+Recruiting</v>
      </c>
      <c r="K1802" s="5" t="str">
        <f t="shared" si="1"/>
        <v>Faith Holland</v>
      </c>
      <c r="L1802" s="5" t="str">
        <f t="shared" si="2"/>
        <v>Tech Recruiter, Campus Recruiting</v>
      </c>
      <c r="M1802" s="5" t="str">
        <f t="shared" si="3"/>
        <v/>
      </c>
      <c r="N1802" s="5" t="str">
        <f t="shared" si="4"/>
        <v>Capital One</v>
      </c>
      <c r="O1802" s="5" t="str">
        <f t="shared" si="5"/>
        <v>1 year 6 months in role and company</v>
      </c>
      <c r="P1802" s="5" t="str">
        <f t="shared" si="6"/>
        <v>Washington</v>
      </c>
      <c r="Q1802" s="5" t="str">
        <f t="shared" si="7"/>
        <v>District of Columbia</v>
      </c>
      <c r="R1802" s="5" t="str">
        <f t="shared" si="8"/>
        <v>United States</v>
      </c>
    </row>
    <row r="1803">
      <c r="A1803" s="8" t="s">
        <v>9359</v>
      </c>
      <c r="B1803" s="12" t="s">
        <v>9360</v>
      </c>
      <c r="C1803" s="10" t="s">
        <v>9361</v>
      </c>
      <c r="D1803" s="12"/>
      <c r="E1803" s="12" t="s">
        <v>9362</v>
      </c>
      <c r="F1803" s="10"/>
      <c r="G1803" s="11" t="s">
        <v>5280</v>
      </c>
      <c r="H1803" s="11" t="s">
        <v>4638</v>
      </c>
      <c r="I1803" s="11" t="s">
        <v>4600</v>
      </c>
      <c r="J1803" s="9" t="str">
        <f>IFERROR(__xludf.DUMMYFUNCTION("""COMPUTED_VALUE"""),"https://www.google.com/search?newwindow=1&amp;ei=2MT0XrvGGM-vytMP1OyDgAY&amp;q=site%3Alinkedin.com+Christa+Sublett+Campus+Recruiting+Manager")</f>
        <v>https://www.google.com/search?newwindow=1&amp;ei=2MT0XrvGGM-vytMP1OyDgAY&amp;q=site%3Alinkedin.com+Christa+Sublett+Campus+Recruiting+Manager</v>
      </c>
      <c r="K1803" s="5" t="str">
        <f t="shared" si="1"/>
        <v>Christa Sublett</v>
      </c>
      <c r="L1803" s="5" t="str">
        <f t="shared" si="2"/>
        <v>Campus Recruiting Manager</v>
      </c>
      <c r="M1803" s="5" t="str">
        <f t="shared" si="3"/>
        <v/>
      </c>
      <c r="N1803" s="5" t="str">
        <f t="shared" si="4"/>
        <v>Deloitte</v>
      </c>
      <c r="O1803" s="5" t="str">
        <f t="shared" si="5"/>
        <v>1 year  in role</v>
      </c>
      <c r="P1803" s="5" t="str">
        <f t="shared" si="6"/>
        <v>Washington</v>
      </c>
      <c r="Q1803" s="5" t="str">
        <f t="shared" si="7"/>
        <v>District of Columbia</v>
      </c>
      <c r="R1803" s="5" t="str">
        <f t="shared" si="8"/>
        <v>United States</v>
      </c>
    </row>
    <row r="1804">
      <c r="A1804" s="8" t="s">
        <v>9363</v>
      </c>
      <c r="B1804" s="10" t="s">
        <v>9364</v>
      </c>
      <c r="C1804" s="10" t="s">
        <v>7156</v>
      </c>
      <c r="D1804" s="10"/>
      <c r="E1804" s="10" t="s">
        <v>9365</v>
      </c>
      <c r="F1804" s="10"/>
      <c r="G1804" s="11" t="s">
        <v>5280</v>
      </c>
      <c r="H1804" s="11" t="s">
        <v>4638</v>
      </c>
      <c r="I1804" s="11" t="s">
        <v>4600</v>
      </c>
      <c r="J1804" s="9" t="str">
        <f>IFERROR(__xludf.DUMMYFUNCTION("""COMPUTED_VALUE"""),"https://www.google.com/search?newwindow=1&amp;ei=2MT0XrvGGM-vytMP1OyDgAY&amp;q=site%3Alinkedin.com+Meredith+TenHoeve+Campus+Recruiting+Manager")</f>
        <v>https://www.google.com/search?newwindow=1&amp;ei=2MT0XrvGGM-vytMP1OyDgAY&amp;q=site%3Alinkedin.com+Meredith+TenHoeve+Campus+Recruiting+Manager</v>
      </c>
      <c r="K1804" s="5" t="str">
        <f t="shared" si="1"/>
        <v>Meredith TenHoeve</v>
      </c>
      <c r="L1804" s="5" t="str">
        <f t="shared" si="2"/>
        <v>Campus Recruiting Manager</v>
      </c>
      <c r="M1804" s="5" t="str">
        <f t="shared" si="3"/>
        <v/>
      </c>
      <c r="N1804" s="5" t="str">
        <f t="shared" si="4"/>
        <v>PwC</v>
      </c>
      <c r="O1804" s="5" t="str">
        <f t="shared" si="5"/>
        <v>1 year 10 months in role</v>
      </c>
      <c r="P1804" s="5" t="str">
        <f t="shared" si="6"/>
        <v>Washington</v>
      </c>
      <c r="Q1804" s="5" t="str">
        <f t="shared" si="7"/>
        <v>District of Columbia</v>
      </c>
      <c r="R1804" s="5" t="str">
        <f t="shared" si="8"/>
        <v>United States</v>
      </c>
    </row>
    <row r="1805">
      <c r="A1805" s="8" t="s">
        <v>9133</v>
      </c>
      <c r="B1805" s="12" t="s">
        <v>9134</v>
      </c>
      <c r="C1805" s="10" t="s">
        <v>9135</v>
      </c>
      <c r="D1805" s="10"/>
      <c r="E1805" s="10" t="s">
        <v>9136</v>
      </c>
      <c r="F1805" s="10" t="s">
        <v>1460</v>
      </c>
      <c r="G1805" s="11" t="s">
        <v>5280</v>
      </c>
      <c r="H1805" s="11" t="s">
        <v>4638</v>
      </c>
      <c r="I1805" s="11" t="s">
        <v>4600</v>
      </c>
      <c r="J1805" s="9" t="str">
        <f>IFERROR(__xludf.DUMMYFUNCTION("""COMPUTED_VALUE"""),"https://www.google.com/search?newwindow=1&amp;ei=2MT0XrvGGM-vytMP1OyDgAY&amp;q=site%3Alinkedin.com+Laura+Vitale+Manager,+Campus+Recruiting")</f>
        <v>https://www.google.com/search?newwindow=1&amp;ei=2MT0XrvGGM-vytMP1OyDgAY&amp;q=site%3Alinkedin.com+Laura+Vitale+Manager,+Campus+Recruiting</v>
      </c>
      <c r="K1805" s="5" t="str">
        <f t="shared" si="1"/>
        <v>Laura Vitale</v>
      </c>
      <c r="L1805" s="5" t="str">
        <f t="shared" si="2"/>
        <v>Manager, Campus Recruiting</v>
      </c>
      <c r="M1805" s="5" t="str">
        <f t="shared" si="3"/>
        <v/>
      </c>
      <c r="N1805" s="5" t="str">
        <f t="shared" si="4"/>
        <v>KPMG</v>
      </c>
      <c r="O1805" s="5" t="str">
        <f t="shared" si="5"/>
        <v>3 years 10 months in role</v>
      </c>
      <c r="P1805" s="5" t="str">
        <f t="shared" si="6"/>
        <v>Washington</v>
      </c>
      <c r="Q1805" s="5" t="str">
        <f t="shared" si="7"/>
        <v>District of Columbia</v>
      </c>
      <c r="R1805" s="5" t="str">
        <f t="shared" si="8"/>
        <v>United States</v>
      </c>
    </row>
    <row r="1806">
      <c r="A1806" s="8" t="s">
        <v>9140</v>
      </c>
      <c r="B1806" s="10" t="s">
        <v>9141</v>
      </c>
      <c r="C1806" s="10" t="s">
        <v>9142</v>
      </c>
      <c r="D1806" s="10"/>
      <c r="E1806" s="10" t="s">
        <v>9143</v>
      </c>
      <c r="F1806" s="10" t="s">
        <v>237</v>
      </c>
      <c r="G1806" s="11" t="s">
        <v>5280</v>
      </c>
      <c r="H1806" s="11" t="s">
        <v>4638</v>
      </c>
      <c r="I1806" s="11" t="s">
        <v>4600</v>
      </c>
      <c r="J1806" s="9" t="str">
        <f>IFERROR(__xludf.DUMMYFUNCTION("""COMPUTED_VALUE"""),"https://www.google.com/search?newwindow=1&amp;ei=2MT0XrvGGM-vytMP1OyDgAY&amp;q=site%3Alinkedin.com+Courtney+Lynch+Campus+Recruiting+Specialist")</f>
        <v>https://www.google.com/search?newwindow=1&amp;ei=2MT0XrvGGM-vytMP1OyDgAY&amp;q=site%3Alinkedin.com+Courtney+Lynch+Campus+Recruiting+Specialist</v>
      </c>
      <c r="K1806" s="5" t="str">
        <f t="shared" si="1"/>
        <v>Courtney Lynch</v>
      </c>
      <c r="L1806" s="5" t="str">
        <f t="shared" si="2"/>
        <v>Campus Recruiting Specialist</v>
      </c>
      <c r="M1806" s="5" t="str">
        <f t="shared" si="3"/>
        <v/>
      </c>
      <c r="N1806" s="5" t="str">
        <f t="shared" si="4"/>
        <v>Deloitte</v>
      </c>
      <c r="O1806" s="5" t="str">
        <f t="shared" si="5"/>
        <v>1 year 5 months in role</v>
      </c>
      <c r="P1806" s="5" t="str">
        <f t="shared" si="6"/>
        <v>Washington</v>
      </c>
      <c r="Q1806" s="5" t="str">
        <f t="shared" si="7"/>
        <v>District of Columbia</v>
      </c>
      <c r="R1806" s="5" t="str">
        <f t="shared" si="8"/>
        <v>United States</v>
      </c>
    </row>
    <row r="1807">
      <c r="A1807" s="8" t="s">
        <v>9137</v>
      </c>
      <c r="B1807" s="10" t="s">
        <v>9138</v>
      </c>
      <c r="C1807" s="10" t="s">
        <v>7604</v>
      </c>
      <c r="D1807" s="10"/>
      <c r="E1807" s="10" t="s">
        <v>9139</v>
      </c>
      <c r="F1807" s="10" t="s">
        <v>241</v>
      </c>
      <c r="G1807" s="11" t="s">
        <v>5280</v>
      </c>
      <c r="H1807" s="11" t="s">
        <v>4638</v>
      </c>
      <c r="I1807" s="11" t="s">
        <v>4600</v>
      </c>
      <c r="J1807" s="9" t="str">
        <f>IFERROR(__xludf.DUMMYFUNCTION("""COMPUTED_VALUE"""),"https://www.google.com/search?newwindow=1&amp;ei=2MT0XrvGGM-vytMP1OyDgAY&amp;q=site%3Alinkedin.com+Natalie+Choe+Vice+President+-+Diversity+Campus+Recruiting+&amp;+Veterans+Associate+Recruiter/Program+Manager")</f>
        <v>https://www.google.com/search?newwindow=1&amp;ei=2MT0XrvGGM-vytMP1OyDgAY&amp;q=site%3Alinkedin.com+Natalie+Choe+Vice+President+-+Diversity+Campus+Recruiting+&amp;+Veterans+Associate+Recruiter/Program+Manager</v>
      </c>
      <c r="K1807" s="5" t="str">
        <f t="shared" si="1"/>
        <v>Natalie Choe</v>
      </c>
      <c r="L1807" s="5" t="str">
        <f t="shared" si="2"/>
        <v>Vice President - Diversity Campus Recruiting &amp; Veterans Associate Recruiter/Program Manager</v>
      </c>
      <c r="M1807" s="5" t="str">
        <f t="shared" si="3"/>
        <v/>
      </c>
      <c r="N1807" s="5" t="str">
        <f t="shared" si="4"/>
        <v>Bank of America</v>
      </c>
      <c r="O1807" s="5" t="str">
        <f t="shared" si="5"/>
        <v>2 years 9 months in role and company</v>
      </c>
      <c r="P1807" s="5" t="str">
        <f t="shared" si="6"/>
        <v>Washington</v>
      </c>
      <c r="Q1807" s="5" t="str">
        <f t="shared" si="7"/>
        <v>District of Columbia</v>
      </c>
      <c r="R1807" s="5" t="str">
        <f t="shared" si="8"/>
        <v>United States</v>
      </c>
    </row>
    <row r="1808">
      <c r="A1808" s="8" t="s">
        <v>9144</v>
      </c>
      <c r="B1808" s="10" t="s">
        <v>9145</v>
      </c>
      <c r="C1808" s="10" t="s">
        <v>25</v>
      </c>
      <c r="D1808" s="10"/>
      <c r="E1808" s="10" t="s">
        <v>14</v>
      </c>
      <c r="F1808" s="10" t="s">
        <v>36</v>
      </c>
      <c r="G1808" s="11" t="s">
        <v>5280</v>
      </c>
      <c r="H1808" s="11" t="s">
        <v>4638</v>
      </c>
      <c r="I1808" s="11" t="s">
        <v>4600</v>
      </c>
      <c r="J1808" s="9" t="str">
        <f>IFERROR(__xludf.DUMMYFUNCTION("""COMPUTED_VALUE"""),"https://www.google.com/search?newwindow=1&amp;ei=2MT0XrvGGM-vytMP1OyDgAY&amp;q=site%3Alinkedin.com+Libby+Wallin+Lead+Campus+Recruiting+Specialist")</f>
        <v>https://www.google.com/search?newwindow=1&amp;ei=2MT0XrvGGM-vytMP1OyDgAY&amp;q=site%3Alinkedin.com+Libby+Wallin+Lead+Campus+Recruiting+Specialist</v>
      </c>
      <c r="K1808" s="5" t="str">
        <f t="shared" si="1"/>
        <v>Libby Wallin</v>
      </c>
      <c r="L1808" s="5" t="str">
        <f t="shared" si="2"/>
        <v>Lead Campus Recruiting Specialist</v>
      </c>
      <c r="M1808" s="5" t="str">
        <f t="shared" si="3"/>
        <v/>
      </c>
      <c r="N1808" s="5" t="str">
        <f t="shared" si="4"/>
        <v>Deloitte</v>
      </c>
      <c r="O1808" s="5" t="str">
        <f t="shared" si="5"/>
        <v>2 years 3 months in role</v>
      </c>
      <c r="P1808" s="5" t="str">
        <f t="shared" si="6"/>
        <v>Washington</v>
      </c>
      <c r="Q1808" s="5" t="str">
        <f t="shared" si="7"/>
        <v>District of Columbia</v>
      </c>
      <c r="R1808" s="5" t="str">
        <f t="shared" si="8"/>
        <v>United States</v>
      </c>
    </row>
    <row r="1809">
      <c r="A1809" s="8" t="s">
        <v>9146</v>
      </c>
      <c r="B1809" s="10" t="s">
        <v>9147</v>
      </c>
      <c r="C1809" s="10" t="s">
        <v>9148</v>
      </c>
      <c r="D1809" s="10"/>
      <c r="E1809" s="10" t="s">
        <v>5314</v>
      </c>
      <c r="F1809" s="10" t="s">
        <v>651</v>
      </c>
      <c r="G1809" s="11" t="s">
        <v>5280</v>
      </c>
      <c r="H1809" s="11" t="s">
        <v>4638</v>
      </c>
      <c r="I1809" s="11" t="s">
        <v>4600</v>
      </c>
      <c r="J1809" s="9" t="str">
        <f>IFERROR(__xludf.DUMMYFUNCTION("""COMPUTED_VALUE"""),"https://www.google.com/search?newwindow=1&amp;ei=2MT0XrvGGM-vytMP1OyDgAY&amp;q=site%3Alinkedin.com+Julia+Dearchs+Campus+Recruiting+Specialist")</f>
        <v>https://www.google.com/search?newwindow=1&amp;ei=2MT0XrvGGM-vytMP1OyDgAY&amp;q=site%3Alinkedin.com+Julia+Dearchs+Campus+Recruiting+Specialist</v>
      </c>
      <c r="K1809" s="5" t="str">
        <f t="shared" si="1"/>
        <v>Julia Dearchs</v>
      </c>
      <c r="L1809" s="5" t="str">
        <f t="shared" si="2"/>
        <v>Campus Recruiting Specialist</v>
      </c>
      <c r="M1809" s="5" t="str">
        <f t="shared" si="3"/>
        <v/>
      </c>
      <c r="N1809" s="5" t="str">
        <f t="shared" si="4"/>
        <v>Deloitte</v>
      </c>
      <c r="O1809" s="5" t="str">
        <f t="shared" si="5"/>
        <v>2 years 3 months in role</v>
      </c>
      <c r="P1809" s="5" t="str">
        <f t="shared" si="6"/>
        <v>Washington</v>
      </c>
      <c r="Q1809" s="5" t="str">
        <f t="shared" si="7"/>
        <v>District of Columbia</v>
      </c>
      <c r="R1809" s="5" t="str">
        <f t="shared" si="8"/>
        <v>United States</v>
      </c>
    </row>
    <row r="1810">
      <c r="A1810" s="8" t="s">
        <v>9149</v>
      </c>
      <c r="B1810" s="12" t="s">
        <v>9150</v>
      </c>
      <c r="C1810" s="10" t="s">
        <v>25</v>
      </c>
      <c r="D1810" s="10"/>
      <c r="E1810" s="10" t="s">
        <v>9151</v>
      </c>
      <c r="F1810" s="10" t="s">
        <v>192</v>
      </c>
      <c r="G1810" s="11" t="s">
        <v>5280</v>
      </c>
      <c r="H1810" s="11" t="s">
        <v>4638</v>
      </c>
      <c r="I1810" s="11" t="s">
        <v>4600</v>
      </c>
      <c r="J1810" s="9" t="str">
        <f>IFERROR(__xludf.DUMMYFUNCTION("""COMPUTED_VALUE"""),"https://www.google.com/search?newwindow=1&amp;ei=2MT0XrvGGM-vytMP1OyDgAY&amp;q=site%3Alinkedin.com+Kwanza+K.+Nunn,+SPHR,+SHRM-SCP+Campus+Recruiting+Manager")</f>
        <v>https://www.google.com/search?newwindow=1&amp;ei=2MT0XrvGGM-vytMP1OyDgAY&amp;q=site%3Alinkedin.com+Kwanza+K.+Nunn,+SPHR,+SHRM-SCP+Campus+Recruiting+Manager</v>
      </c>
      <c r="K1810" s="5" t="str">
        <f t="shared" si="1"/>
        <v>Kwanza K. Nunn, SPHR, SHRM-SCP</v>
      </c>
      <c r="L1810" s="5" t="str">
        <f t="shared" si="2"/>
        <v>Campus Recruiting Manager</v>
      </c>
      <c r="M1810" s="5" t="str">
        <f t="shared" si="3"/>
        <v/>
      </c>
      <c r="N1810" s="5" t="str">
        <f t="shared" si="4"/>
        <v>Capital One</v>
      </c>
      <c r="O1810" s="5" t="str">
        <f t="shared" si="5"/>
        <v>1 year  in role and company</v>
      </c>
      <c r="P1810" s="5" t="str">
        <f t="shared" si="6"/>
        <v>Washington</v>
      </c>
      <c r="Q1810" s="5" t="str">
        <f t="shared" si="7"/>
        <v>District of Columbia</v>
      </c>
      <c r="R1810" s="5" t="str">
        <f t="shared" si="8"/>
        <v>United States</v>
      </c>
    </row>
    <row r="1811">
      <c r="A1811" s="8" t="s">
        <v>9152</v>
      </c>
      <c r="B1811" s="10" t="s">
        <v>9153</v>
      </c>
      <c r="C1811" s="10" t="s">
        <v>9154</v>
      </c>
      <c r="D1811" s="10"/>
      <c r="E1811" s="10" t="s">
        <v>9155</v>
      </c>
      <c r="F1811" s="10" t="s">
        <v>15</v>
      </c>
      <c r="G1811" s="11" t="s">
        <v>5280</v>
      </c>
      <c r="H1811" s="11" t="s">
        <v>4638</v>
      </c>
      <c r="I1811" s="11" t="s">
        <v>4600</v>
      </c>
      <c r="J1811" s="9" t="str">
        <f>IFERROR(__xludf.DUMMYFUNCTION("""COMPUTED_VALUE"""),"https://www.google.com/search?newwindow=1&amp;ei=2MT0XrvGGM-vytMP1OyDgAY&amp;q=site%3Alinkedin.com+Kristopher+(Kris)+Corey+(he/him/they)+Campus+Recruiting+Coordinator")</f>
        <v>https://www.google.com/search?newwindow=1&amp;ei=2MT0XrvGGM-vytMP1OyDgAY&amp;q=site%3Alinkedin.com+Kristopher+(Kris)+Corey+(he/him/they)+Campus+Recruiting+Coordinator</v>
      </c>
      <c r="K1811" s="5" t="str">
        <f t="shared" si="1"/>
        <v>Kristopher (Kris) Corey (he/him/they)</v>
      </c>
      <c r="L1811" s="5" t="str">
        <f t="shared" si="2"/>
        <v>Campus Recruiting Coordinator</v>
      </c>
      <c r="M1811" s="5" t="str">
        <f t="shared" si="3"/>
        <v/>
      </c>
      <c r="N1811" s="5" t="str">
        <f t="shared" si="4"/>
        <v>Capital One</v>
      </c>
      <c r="O1811" s="5" t="str">
        <f t="shared" si="5"/>
        <v>2 months in role</v>
      </c>
      <c r="P1811" s="5" t="str">
        <f t="shared" si="6"/>
        <v>Washington</v>
      </c>
      <c r="Q1811" s="5" t="str">
        <f t="shared" si="7"/>
        <v>District of Columbia</v>
      </c>
      <c r="R1811" s="5" t="str">
        <f t="shared" si="8"/>
        <v>United States</v>
      </c>
    </row>
    <row r="1812">
      <c r="A1812" s="8" t="s">
        <v>9366</v>
      </c>
      <c r="B1812" s="10" t="s">
        <v>9367</v>
      </c>
      <c r="C1812" s="10" t="s">
        <v>9368</v>
      </c>
      <c r="D1812" s="10"/>
      <c r="E1812" s="10" t="s">
        <v>9155</v>
      </c>
      <c r="F1812" s="10" t="s">
        <v>686</v>
      </c>
      <c r="G1812" s="11" t="s">
        <v>5280</v>
      </c>
      <c r="H1812" s="11" t="s">
        <v>4638</v>
      </c>
      <c r="I1812" s="11" t="s">
        <v>4600</v>
      </c>
      <c r="J1812" s="9" t="str">
        <f>IFERROR(__xludf.DUMMYFUNCTION("""COMPUTED_VALUE"""),"https://www.google.com/search?newwindow=1&amp;ei=2MT0XrvGGM-vytMP1OyDgAY&amp;q=site%3Alinkedin.com+Sarah+Johnston+Campus+Recruiting+Coordinator")</f>
        <v>https://www.google.com/search?newwindow=1&amp;ei=2MT0XrvGGM-vytMP1OyDgAY&amp;q=site%3Alinkedin.com+Sarah+Johnston+Campus+Recruiting+Coordinator</v>
      </c>
      <c r="K1812" s="5" t="str">
        <f t="shared" si="1"/>
        <v>Sarah Johnston</v>
      </c>
      <c r="L1812" s="5" t="str">
        <f t="shared" si="2"/>
        <v>Campus Recruiting Coordinator</v>
      </c>
      <c r="M1812" s="5" t="str">
        <f t="shared" si="3"/>
        <v/>
      </c>
      <c r="N1812" s="5" t="str">
        <f t="shared" si="4"/>
        <v>Deloitte</v>
      </c>
      <c r="O1812" s="5" t="str">
        <f t="shared" si="5"/>
        <v>8 months in role and company</v>
      </c>
      <c r="P1812" s="5" t="str">
        <f t="shared" si="6"/>
        <v>Washington</v>
      </c>
      <c r="Q1812" s="5" t="str">
        <f t="shared" si="7"/>
        <v>District of Columbia</v>
      </c>
      <c r="R1812" s="5" t="str">
        <f t="shared" si="8"/>
        <v>United States</v>
      </c>
    </row>
    <row r="1813">
      <c r="A1813" s="8" t="s">
        <v>9171</v>
      </c>
      <c r="B1813" s="12" t="s">
        <v>9172</v>
      </c>
      <c r="C1813" s="10" t="s">
        <v>9173</v>
      </c>
      <c r="D1813" s="10"/>
      <c r="E1813" s="10" t="s">
        <v>9174</v>
      </c>
      <c r="F1813" s="10" t="s">
        <v>26</v>
      </c>
      <c r="G1813" s="11" t="s">
        <v>5280</v>
      </c>
      <c r="H1813" s="11" t="s">
        <v>4638</v>
      </c>
      <c r="I1813" s="11" t="s">
        <v>4600</v>
      </c>
      <c r="J1813" s="9" t="str">
        <f>IFERROR(__xludf.DUMMYFUNCTION("""COMPUTED_VALUE"""),"https://www.google.com/search?newwindow=1&amp;ei=2MT0XrvGGM-vytMP1OyDgAY&amp;q=site%3Alinkedin.com+Eric+A.+Arellano+Senior+Campus+Recruiting+Specialist+(Government+&amp;+Public+Service)")</f>
        <v>https://www.google.com/search?newwindow=1&amp;ei=2MT0XrvGGM-vytMP1OyDgAY&amp;q=site%3Alinkedin.com+Eric+A.+Arellano+Senior+Campus+Recruiting+Specialist+(Government+&amp;+Public+Service)</v>
      </c>
      <c r="K1813" s="5" t="str">
        <f t="shared" si="1"/>
        <v>Eric A. Arellano</v>
      </c>
      <c r="L1813" s="5" t="str">
        <f t="shared" si="2"/>
        <v>Senior Campus Recruiting Specialist (Government &amp; Public Service)</v>
      </c>
      <c r="M1813" s="5" t="str">
        <f t="shared" si="3"/>
        <v/>
      </c>
      <c r="N1813" s="5" t="str">
        <f t="shared" si="4"/>
        <v>Deloitte</v>
      </c>
      <c r="O1813" s="5" t="str">
        <f t="shared" si="5"/>
        <v>5 years 4 months in role and company</v>
      </c>
      <c r="P1813" s="5" t="str">
        <f t="shared" si="6"/>
        <v>Washington</v>
      </c>
      <c r="Q1813" s="5" t="str">
        <f t="shared" si="7"/>
        <v>District of Columbia</v>
      </c>
      <c r="R1813" s="5" t="str">
        <f t="shared" si="8"/>
        <v>United States</v>
      </c>
    </row>
    <row r="1814">
      <c r="A1814" s="8" t="s">
        <v>9156</v>
      </c>
      <c r="B1814" s="10" t="s">
        <v>9157</v>
      </c>
      <c r="C1814" s="10" t="s">
        <v>32</v>
      </c>
      <c r="D1814" s="10"/>
      <c r="E1814" s="10" t="s">
        <v>5295</v>
      </c>
      <c r="F1814" s="10" t="s">
        <v>222</v>
      </c>
      <c r="G1814" s="11" t="s">
        <v>5280</v>
      </c>
      <c r="H1814" s="11" t="s">
        <v>4638</v>
      </c>
      <c r="I1814" s="11" t="s">
        <v>4600</v>
      </c>
      <c r="J1814" s="9" t="str">
        <f>IFERROR(__xludf.DUMMYFUNCTION("""COMPUTED_VALUE"""),"https://www.google.com/search?newwindow=1&amp;ei=2MT0XrvGGM-vytMP1OyDgAY&amp;q=site%3Alinkedin.com+Nicole+Sullivan+Campus+Recruiting")</f>
        <v>https://www.google.com/search?newwindow=1&amp;ei=2MT0XrvGGM-vytMP1OyDgAY&amp;q=site%3Alinkedin.com+Nicole+Sullivan+Campus+Recruiting</v>
      </c>
      <c r="K1814" s="5" t="str">
        <f t="shared" si="1"/>
        <v>Nicole Sullivan</v>
      </c>
      <c r="L1814" s="5" t="str">
        <f t="shared" si="2"/>
        <v>Campus Recruiting</v>
      </c>
      <c r="M1814" s="5" t="str">
        <f t="shared" si="3"/>
        <v/>
      </c>
      <c r="N1814" s="5" t="str">
        <f t="shared" si="4"/>
        <v>EY</v>
      </c>
      <c r="O1814" s="5" t="str">
        <f t="shared" si="5"/>
        <v>2 years 10 months in role and company</v>
      </c>
      <c r="P1814" s="5" t="str">
        <f t="shared" si="6"/>
        <v>Washington</v>
      </c>
      <c r="Q1814" s="5" t="str">
        <f t="shared" si="7"/>
        <v>District of Columbia</v>
      </c>
      <c r="R1814" s="5" t="str">
        <f t="shared" si="8"/>
        <v>United States</v>
      </c>
    </row>
    <row r="1815">
      <c r="A1815" s="8" t="s">
        <v>9161</v>
      </c>
      <c r="B1815" s="10" t="s">
        <v>9162</v>
      </c>
      <c r="C1815" s="10" t="s">
        <v>9163</v>
      </c>
      <c r="D1815" s="10"/>
      <c r="E1815" s="10" t="s">
        <v>9155</v>
      </c>
      <c r="F1815" s="10" t="s">
        <v>651</v>
      </c>
      <c r="G1815" s="11" t="s">
        <v>5280</v>
      </c>
      <c r="H1815" s="11" t="s">
        <v>4638</v>
      </c>
      <c r="I1815" s="11" t="s">
        <v>4600</v>
      </c>
      <c r="J1815" s="9" t="str">
        <f>IFERROR(__xludf.DUMMYFUNCTION("""COMPUTED_VALUE"""),"https://www.google.com/search?newwindow=1&amp;ei=2MT0XrvGGM-vytMP1OyDgAY&amp;q=site%3Alinkedin.com+Melissa+Pohlman+Campus+Recruiting+Coordinator")</f>
        <v>https://www.google.com/search?newwindow=1&amp;ei=2MT0XrvGGM-vytMP1OyDgAY&amp;q=site%3Alinkedin.com+Melissa+Pohlman+Campus+Recruiting+Coordinator</v>
      </c>
      <c r="K1815" s="5" t="str">
        <f t="shared" si="1"/>
        <v>Melissa Pohlman</v>
      </c>
      <c r="L1815" s="5" t="str">
        <f t="shared" si="2"/>
        <v>Campus Recruiting Coordinator</v>
      </c>
      <c r="M1815" s="5" t="str">
        <f t="shared" si="3"/>
        <v/>
      </c>
      <c r="N1815" s="5" t="str">
        <f t="shared" si="4"/>
        <v>Ernst &amp; Young</v>
      </c>
      <c r="O1815" s="5" t="str">
        <f t="shared" si="5"/>
        <v/>
      </c>
      <c r="P1815" s="5" t="str">
        <f t="shared" si="6"/>
        <v>Washington</v>
      </c>
      <c r="Q1815" s="5" t="str">
        <f t="shared" si="7"/>
        <v>District of Columbia</v>
      </c>
      <c r="R1815" s="5" t="str">
        <f t="shared" si="8"/>
        <v>United States</v>
      </c>
    </row>
    <row r="1816">
      <c r="A1816" s="8" t="s">
        <v>9158</v>
      </c>
      <c r="B1816" s="10" t="s">
        <v>9159</v>
      </c>
      <c r="C1816" s="10" t="s">
        <v>32</v>
      </c>
      <c r="D1816" s="10"/>
      <c r="E1816" s="10" t="s">
        <v>9160</v>
      </c>
      <c r="F1816" s="10" t="s">
        <v>237</v>
      </c>
      <c r="G1816" s="11" t="s">
        <v>5280</v>
      </c>
      <c r="H1816" s="11" t="s">
        <v>4638</v>
      </c>
      <c r="I1816" s="11" t="s">
        <v>4600</v>
      </c>
      <c r="J1816" s="9" t="str">
        <f>IFERROR(__xludf.DUMMYFUNCTION("""COMPUTED_VALUE"""),"https://www.google.com/search?newwindow=1&amp;ei=2MT0XrvGGM-vytMP1OyDgAY&amp;q=site%3Alinkedin.com+Stephanie+Plageman+Senior+Campus+Recruiting+Specialist")</f>
        <v>https://www.google.com/search?newwindow=1&amp;ei=2MT0XrvGGM-vytMP1OyDgAY&amp;q=site%3Alinkedin.com+Stephanie+Plageman+Senior+Campus+Recruiting+Specialist</v>
      </c>
      <c r="K1816" s="5" t="str">
        <f t="shared" si="1"/>
        <v>Stephanie Plageman</v>
      </c>
      <c r="L1816" s="5" t="str">
        <f t="shared" si="2"/>
        <v>Senior Campus Recruiting Specialist</v>
      </c>
      <c r="M1816" s="5" t="str">
        <f t="shared" si="3"/>
        <v/>
      </c>
      <c r="N1816" s="5" t="str">
        <f t="shared" si="4"/>
        <v>Deloitte</v>
      </c>
      <c r="O1816" s="5" t="str">
        <f t="shared" si="5"/>
        <v>3 months in role</v>
      </c>
      <c r="P1816" s="5" t="str">
        <f t="shared" si="6"/>
        <v>Washington</v>
      </c>
      <c r="Q1816" s="5" t="str">
        <f t="shared" si="7"/>
        <v>District of Columbia</v>
      </c>
      <c r="R1816" s="5" t="str">
        <f t="shared" si="8"/>
        <v>United States</v>
      </c>
    </row>
    <row r="1817">
      <c r="A1817" s="8" t="s">
        <v>9167</v>
      </c>
      <c r="B1817" s="10" t="s">
        <v>9168</v>
      </c>
      <c r="C1817" s="10" t="s">
        <v>9169</v>
      </c>
      <c r="D1817" s="10"/>
      <c r="E1817" s="10" t="s">
        <v>9170</v>
      </c>
      <c r="F1817" s="10" t="s">
        <v>165</v>
      </c>
      <c r="G1817" s="11" t="s">
        <v>5280</v>
      </c>
      <c r="H1817" s="11" t="s">
        <v>4638</v>
      </c>
      <c r="I1817" s="11" t="s">
        <v>4600</v>
      </c>
      <c r="J1817" s="9" t="str">
        <f>IFERROR(__xludf.DUMMYFUNCTION("""COMPUTED_VALUE"""),"https://www.google.com/search?newwindow=1&amp;ei=2MT0XrvGGM-vytMP1OyDgAY&amp;q=site%3Alinkedin.com+Anthony+Jimenez+Tech+Recruiter+-+Campus+Recruiting")</f>
        <v>https://www.google.com/search?newwindow=1&amp;ei=2MT0XrvGGM-vytMP1OyDgAY&amp;q=site%3Alinkedin.com+Anthony+Jimenez+Tech+Recruiter+-+Campus+Recruiting</v>
      </c>
      <c r="K1817" s="5" t="str">
        <f t="shared" si="1"/>
        <v>Anthony Jimenez</v>
      </c>
      <c r="L1817" s="5" t="str">
        <f t="shared" si="2"/>
        <v>Tech Recruiter - Campus Recruiting</v>
      </c>
      <c r="M1817" s="5" t="str">
        <f t="shared" si="3"/>
        <v/>
      </c>
      <c r="N1817" s="5" t="str">
        <f t="shared" si="4"/>
        <v>Capital One</v>
      </c>
      <c r="O1817" s="5" t="str">
        <f t="shared" si="5"/>
        <v>1 year 6 months in role</v>
      </c>
      <c r="P1817" s="5" t="str">
        <f t="shared" si="6"/>
        <v>Washington</v>
      </c>
      <c r="Q1817" s="5" t="str">
        <f t="shared" si="7"/>
        <v>District of Columbia</v>
      </c>
      <c r="R1817" s="5" t="str">
        <f t="shared" si="8"/>
        <v>United States</v>
      </c>
    </row>
    <row r="1818">
      <c r="A1818" s="8" t="s">
        <v>9175</v>
      </c>
      <c r="B1818" s="10" t="s">
        <v>9176</v>
      </c>
      <c r="C1818" s="10" t="s">
        <v>9177</v>
      </c>
      <c r="D1818" s="10"/>
      <c r="E1818" s="10" t="s">
        <v>1064</v>
      </c>
      <c r="F1818" s="10" t="s">
        <v>399</v>
      </c>
      <c r="G1818" s="11" t="s">
        <v>5280</v>
      </c>
      <c r="H1818" s="11" t="s">
        <v>4638</v>
      </c>
      <c r="I1818" s="11" t="s">
        <v>4600</v>
      </c>
      <c r="J1818" s="9" t="str">
        <f>IFERROR(__xludf.DUMMYFUNCTION("""COMPUTED_VALUE"""),"https://www.google.com/search?newwindow=1&amp;ei=2MT0XrvGGM-vytMP1OyDgAY&amp;q=site%3Alinkedin.com+Kelsey+Marshall+Campus+Recruiting")</f>
        <v>https://www.google.com/search?newwindow=1&amp;ei=2MT0XrvGGM-vytMP1OyDgAY&amp;q=site%3Alinkedin.com+Kelsey+Marshall+Campus+Recruiting</v>
      </c>
      <c r="K1818" s="5" t="str">
        <f t="shared" si="1"/>
        <v>Kelsey Marshall</v>
      </c>
      <c r="L1818" s="5" t="str">
        <f t="shared" si="2"/>
        <v>Campus Recruiting</v>
      </c>
      <c r="M1818" s="5" t="str">
        <f t="shared" si="3"/>
        <v/>
      </c>
      <c r="N1818" s="5" t="str">
        <f t="shared" si="4"/>
        <v>Capital One</v>
      </c>
      <c r="O1818" s="5" t="str">
        <f t="shared" si="5"/>
        <v>5 months in role</v>
      </c>
      <c r="P1818" s="5" t="str">
        <f t="shared" si="6"/>
        <v>Washington</v>
      </c>
      <c r="Q1818" s="5" t="str">
        <f t="shared" si="7"/>
        <v>District of Columbia</v>
      </c>
      <c r="R1818" s="5" t="str">
        <f t="shared" si="8"/>
        <v>United States</v>
      </c>
    </row>
    <row r="1819">
      <c r="A1819" s="8" t="s">
        <v>9164</v>
      </c>
      <c r="B1819" s="10" t="s">
        <v>9165</v>
      </c>
      <c r="C1819" s="10" t="s">
        <v>25</v>
      </c>
      <c r="D1819" s="10"/>
      <c r="E1819" s="10" t="s">
        <v>9166</v>
      </c>
      <c r="F1819" s="10" t="s">
        <v>351</v>
      </c>
      <c r="G1819" s="11" t="s">
        <v>5280</v>
      </c>
      <c r="H1819" s="11" t="s">
        <v>4638</v>
      </c>
      <c r="I1819" s="11" t="s">
        <v>4600</v>
      </c>
      <c r="J1819" s="9" t="str">
        <f>IFERROR(__xludf.DUMMYFUNCTION("""COMPUTED_VALUE"""),"https://www.google.com/search?newwindow=1&amp;ei=2MT0XrvGGM-vytMP1OyDgAY&amp;q=site%3Alinkedin.com+Laura+Schneiders+Campus+Recruiting+Coordinator")</f>
        <v>https://www.google.com/search?newwindow=1&amp;ei=2MT0XrvGGM-vytMP1OyDgAY&amp;q=site%3Alinkedin.com+Laura+Schneiders+Campus+Recruiting+Coordinator</v>
      </c>
      <c r="K1819" s="5" t="str">
        <f t="shared" si="1"/>
        <v>Laura Schneiders</v>
      </c>
      <c r="L1819" s="5" t="str">
        <f t="shared" si="2"/>
        <v>Campus Recruiting Coordinator</v>
      </c>
      <c r="M1819" s="5" t="str">
        <f t="shared" si="3"/>
        <v/>
      </c>
      <c r="N1819" s="5" t="str">
        <f t="shared" si="4"/>
        <v>KPMG US</v>
      </c>
      <c r="O1819" s="5" t="str">
        <f t="shared" si="5"/>
        <v>2 years 1 month in role and company</v>
      </c>
      <c r="P1819" s="5" t="str">
        <f t="shared" si="6"/>
        <v>Washington</v>
      </c>
      <c r="Q1819" s="5" t="str">
        <f t="shared" si="7"/>
        <v>District of Columbia</v>
      </c>
      <c r="R1819" s="5" t="str">
        <f t="shared" si="8"/>
        <v>United States</v>
      </c>
    </row>
    <row r="1820">
      <c r="A1820" s="8" t="s">
        <v>9369</v>
      </c>
      <c r="B1820" s="12" t="s">
        <v>9370</v>
      </c>
      <c r="C1820" s="10" t="s">
        <v>9371</v>
      </c>
      <c r="D1820" s="10"/>
      <c r="E1820" s="10" t="s">
        <v>5450</v>
      </c>
      <c r="F1820" s="10" t="s">
        <v>26</v>
      </c>
      <c r="G1820" s="11" t="s">
        <v>5280</v>
      </c>
      <c r="H1820" s="11" t="s">
        <v>4638</v>
      </c>
      <c r="I1820" s="11" t="s">
        <v>4600</v>
      </c>
      <c r="J1820" s="9" t="str">
        <f>IFERROR(__xludf.DUMMYFUNCTION("""COMPUTED_VALUE"""),"https://www.google.com/search?newwindow=1&amp;ei=2MT0XrvGGM-vytMP1OyDgAY&amp;q=site%3Alinkedin.com+Taylor+Thesing+Campus+Recruiting+Specialist")</f>
        <v>https://www.google.com/search?newwindow=1&amp;ei=2MT0XrvGGM-vytMP1OyDgAY&amp;q=site%3Alinkedin.com+Taylor+Thesing+Campus+Recruiting+Specialist</v>
      </c>
      <c r="K1820" s="5" t="str">
        <f t="shared" si="1"/>
        <v>Taylor Thesing</v>
      </c>
      <c r="L1820" s="5" t="str">
        <f t="shared" si="2"/>
        <v>Campus Recruiting Specialist</v>
      </c>
      <c r="M1820" s="5" t="str">
        <f t="shared" si="3"/>
        <v/>
      </c>
      <c r="N1820" s="5" t="str">
        <f t="shared" si="4"/>
        <v>Deloitte</v>
      </c>
      <c r="O1820" s="5" t="str">
        <f t="shared" si="5"/>
        <v>2 years 5 months in role and company</v>
      </c>
      <c r="P1820" s="5" t="str">
        <f t="shared" si="6"/>
        <v>Washington</v>
      </c>
      <c r="Q1820" s="5" t="str">
        <f t="shared" si="7"/>
        <v>District of Columbia</v>
      </c>
      <c r="R1820" s="5" t="str">
        <f t="shared" si="8"/>
        <v>United States</v>
      </c>
    </row>
    <row r="1821">
      <c r="A1821" s="8" t="s">
        <v>9178</v>
      </c>
      <c r="B1821" s="10" t="s">
        <v>9179</v>
      </c>
      <c r="C1821" s="10" t="s">
        <v>25</v>
      </c>
      <c r="D1821" s="10"/>
      <c r="E1821" s="10" t="s">
        <v>6237</v>
      </c>
      <c r="F1821" s="10" t="s">
        <v>237</v>
      </c>
      <c r="G1821" s="11" t="s">
        <v>5280</v>
      </c>
      <c r="H1821" s="11" t="s">
        <v>4638</v>
      </c>
      <c r="I1821" s="11" t="s">
        <v>4600</v>
      </c>
      <c r="J1821" s="9" t="str">
        <f>IFERROR(__xludf.DUMMYFUNCTION("""COMPUTED_VALUE"""),"https://www.google.com/search?newwindow=1&amp;ei=2MT0XrvGGM-vytMP1OyDgAY&amp;q=site%3Alinkedin.com+Chelsea+Bruchs+Mid-Atlantic+/+Carolina+Regional+Events+Lead,+Campus+Recruiting")</f>
        <v>https://www.google.com/search?newwindow=1&amp;ei=2MT0XrvGGM-vytMP1OyDgAY&amp;q=site%3Alinkedin.com+Chelsea+Bruchs+Mid-Atlantic+/+Carolina+Regional+Events+Lead,+Campus+Recruiting</v>
      </c>
      <c r="K1821" s="5" t="str">
        <f t="shared" si="1"/>
        <v>Chelsea Bruchs</v>
      </c>
      <c r="L1821" s="5" t="str">
        <f t="shared" si="2"/>
        <v>Mid-Atlantic / Carolina Regional Events Lead, Campus Recruiting</v>
      </c>
      <c r="M1821" s="5" t="str">
        <f t="shared" si="3"/>
        <v/>
      </c>
      <c r="N1821" s="5" t="str">
        <f t="shared" si="4"/>
        <v>Capital One</v>
      </c>
      <c r="O1821" s="5" t="str">
        <f t="shared" si="5"/>
        <v>1 year 3 months in role</v>
      </c>
      <c r="P1821" s="5" t="str">
        <f t="shared" si="6"/>
        <v>Washington</v>
      </c>
      <c r="Q1821" s="5" t="str">
        <f t="shared" si="7"/>
        <v>District of Columbia</v>
      </c>
      <c r="R1821" s="5" t="str">
        <f t="shared" si="8"/>
        <v>United States</v>
      </c>
    </row>
    <row r="1822">
      <c r="A1822" s="8" t="s">
        <v>9180</v>
      </c>
      <c r="B1822" s="10" t="s">
        <v>9181</v>
      </c>
      <c r="C1822" s="10" t="s">
        <v>4596</v>
      </c>
      <c r="D1822" s="10"/>
      <c r="E1822" s="10" t="s">
        <v>6576</v>
      </c>
      <c r="F1822" s="10" t="s">
        <v>691</v>
      </c>
      <c r="G1822" s="11" t="s">
        <v>5280</v>
      </c>
      <c r="H1822" s="11" t="s">
        <v>4638</v>
      </c>
      <c r="I1822" s="11" t="s">
        <v>4600</v>
      </c>
      <c r="J1822" s="9" t="str">
        <f>IFERROR(__xludf.DUMMYFUNCTION("""COMPUTED_VALUE"""),"https://www.google.com/search?newwindow=1&amp;ei=2MT0XrvGGM-vytMP1OyDgAY&amp;q=site%3Alinkedin.com+Lolita+Hill+Supervising+Associate,+Campus+Recruiting")</f>
        <v>https://www.google.com/search?newwindow=1&amp;ei=2MT0XrvGGM-vytMP1OyDgAY&amp;q=site%3Alinkedin.com+Lolita+Hill+Supervising+Associate,+Campus+Recruiting</v>
      </c>
      <c r="K1822" s="5" t="str">
        <f t="shared" si="1"/>
        <v>Lolita Hill</v>
      </c>
      <c r="L1822" s="5" t="str">
        <f t="shared" si="2"/>
        <v>Supervising Associate, Campus Recruiting</v>
      </c>
      <c r="M1822" s="5" t="str">
        <f t="shared" si="3"/>
        <v/>
      </c>
      <c r="N1822" s="5" t="str">
        <f t="shared" si="4"/>
        <v>EY</v>
      </c>
      <c r="O1822" s="5" t="str">
        <f t="shared" si="5"/>
        <v>1 year 2 months in role and company</v>
      </c>
      <c r="P1822" s="5" t="str">
        <f t="shared" si="6"/>
        <v>Washington</v>
      </c>
      <c r="Q1822" s="5" t="str">
        <f t="shared" si="7"/>
        <v>District of Columbia</v>
      </c>
      <c r="R1822" s="5" t="str">
        <f t="shared" si="8"/>
        <v>United States</v>
      </c>
    </row>
    <row r="1823">
      <c r="A1823" s="8" t="s">
        <v>9182</v>
      </c>
      <c r="B1823" s="10" t="s">
        <v>9183</v>
      </c>
      <c r="C1823" s="10" t="s">
        <v>4596</v>
      </c>
      <c r="D1823" s="10"/>
      <c r="E1823" s="10" t="s">
        <v>6576</v>
      </c>
      <c r="F1823" s="10" t="s">
        <v>136</v>
      </c>
      <c r="G1823" s="11" t="s">
        <v>5280</v>
      </c>
      <c r="H1823" s="11" t="s">
        <v>4638</v>
      </c>
      <c r="I1823" s="11" t="s">
        <v>4600</v>
      </c>
      <c r="J1823" s="9" t="str">
        <f>IFERROR(__xludf.DUMMYFUNCTION("""COMPUTED_VALUE"""),"https://www.google.com/search?newwindow=1&amp;ei=2MT0XrvGGM-vytMP1OyDgAY&amp;q=site%3Alinkedin.com+Sean+Woolford+Supervising+Associate,+Financial+Services+Organization,+Campus+Recruiting")</f>
        <v>https://www.google.com/search?newwindow=1&amp;ei=2MT0XrvGGM-vytMP1OyDgAY&amp;q=site%3Alinkedin.com+Sean+Woolford+Supervising+Associate,+Financial+Services+Organization,+Campus+Recruiting</v>
      </c>
      <c r="K1823" s="5" t="str">
        <f t="shared" si="1"/>
        <v>Sean Woolford</v>
      </c>
      <c r="L1823" s="5" t="str">
        <f t="shared" si="2"/>
        <v>Supervising Associate, Financial Services Organization, Campus Recruiting</v>
      </c>
      <c r="M1823" s="5" t="str">
        <f t="shared" si="3"/>
        <v/>
      </c>
      <c r="N1823" s="5" t="str">
        <f t="shared" si="4"/>
        <v>EY</v>
      </c>
      <c r="O1823" s="5" t="str">
        <f t="shared" si="5"/>
        <v>1 year 1 month in role</v>
      </c>
      <c r="P1823" s="5" t="str">
        <f t="shared" si="6"/>
        <v>Washington</v>
      </c>
      <c r="Q1823" s="5" t="str">
        <f t="shared" si="7"/>
        <v>District of Columbia</v>
      </c>
      <c r="R1823" s="5" t="str">
        <f t="shared" si="8"/>
        <v>United States</v>
      </c>
    </row>
    <row r="1824">
      <c r="A1824" s="8" t="s">
        <v>9184</v>
      </c>
      <c r="B1824" s="10" t="s">
        <v>9185</v>
      </c>
      <c r="C1824" s="10" t="s">
        <v>9186</v>
      </c>
      <c r="D1824" s="10"/>
      <c r="E1824" s="10" t="s">
        <v>9187</v>
      </c>
      <c r="F1824" s="10" t="s">
        <v>651</v>
      </c>
      <c r="G1824" s="11" t="s">
        <v>5280</v>
      </c>
      <c r="H1824" s="11" t="s">
        <v>4638</v>
      </c>
      <c r="I1824" s="11" t="s">
        <v>4600</v>
      </c>
      <c r="J1824" s="9" t="str">
        <f>IFERROR(__xludf.DUMMYFUNCTION("""COMPUTED_VALUE"""),"https://www.google.com/search?newwindow=1&amp;ei=2MT0XrvGGM-vytMP1OyDgAY&amp;q=site%3Alinkedin.com+Cinthia+Lopez+Senior+Director,+Human+Resources,+Head+of+Campus+Recruiting+and+Programs")</f>
        <v>https://www.google.com/search?newwindow=1&amp;ei=2MT0XrvGGM-vytMP1OyDgAY&amp;q=site%3Alinkedin.com+Cinthia+Lopez+Senior+Director,+Human+Resources,+Head+of+Campus+Recruiting+and+Programs</v>
      </c>
      <c r="K1824" s="5" t="str">
        <f t="shared" si="1"/>
        <v>Cinthia Lopez</v>
      </c>
      <c r="L1824" s="5" t="str">
        <f t="shared" si="2"/>
        <v>Senior Director, Human Resources, Head of Campus Recruiting and Programs</v>
      </c>
      <c r="M1824" s="5" t="str">
        <f t="shared" si="3"/>
        <v/>
      </c>
      <c r="N1824" s="5" t="str">
        <f t="shared" si="4"/>
        <v>Capital One</v>
      </c>
      <c r="O1824" s="5" t="str">
        <f t="shared" si="5"/>
        <v>2 years 5 months in role</v>
      </c>
      <c r="P1824" s="5" t="str">
        <f t="shared" si="6"/>
        <v>Washington</v>
      </c>
      <c r="Q1824" s="5" t="str">
        <f t="shared" si="7"/>
        <v>District of Columbia</v>
      </c>
      <c r="R1824" s="5" t="str">
        <f t="shared" si="8"/>
        <v>United States</v>
      </c>
    </row>
    <row r="1825">
      <c r="A1825" s="8" t="s">
        <v>9372</v>
      </c>
      <c r="B1825" s="10" t="s">
        <v>9373</v>
      </c>
      <c r="C1825" s="10" t="s">
        <v>9374</v>
      </c>
      <c r="D1825" s="10"/>
      <c r="E1825" s="10" t="s">
        <v>9375</v>
      </c>
      <c r="F1825" s="10" t="s">
        <v>188</v>
      </c>
      <c r="G1825" s="11" t="s">
        <v>5280</v>
      </c>
      <c r="H1825" s="11" t="s">
        <v>4638</v>
      </c>
      <c r="I1825" s="11" t="s">
        <v>4600</v>
      </c>
      <c r="J1825" s="9" t="str">
        <f>IFERROR(__xludf.DUMMYFUNCTION("""COMPUTED_VALUE"""),"https://www.google.com/search?newwindow=1&amp;ei=2MT0XrvGGM-vytMP1OyDgAY&amp;q=site%3Alinkedin.com+Isabel+Rose+Kadiri+Analyst+Campus+Recruiting+&amp;+Programs+|+Human+Resources+Rotational+Program+Associate")</f>
        <v>https://www.google.com/search?newwindow=1&amp;ei=2MT0XrvGGM-vytMP1OyDgAY&amp;q=site%3Alinkedin.com+Isabel+Rose+Kadiri+Analyst+Campus+Recruiting+&amp;+Programs+|+Human+Resources+Rotational+Program+Associate</v>
      </c>
      <c r="K1825" s="5" t="str">
        <f t="shared" si="1"/>
        <v>Isabel Rose Kadiri</v>
      </c>
      <c r="L1825" s="5" t="str">
        <f t="shared" si="2"/>
        <v>Analyst Campus Recruiting &amp; Programs | Human Resources Rotational Program Associate</v>
      </c>
      <c r="M1825" s="5" t="str">
        <f t="shared" si="3"/>
        <v/>
      </c>
      <c r="N1825" s="5" t="str">
        <f t="shared" si="4"/>
        <v>Capital One</v>
      </c>
      <c r="O1825" s="5" t="str">
        <f t="shared" si="5"/>
        <v>4 months in role</v>
      </c>
      <c r="P1825" s="5" t="str">
        <f t="shared" si="6"/>
        <v>Washington</v>
      </c>
      <c r="Q1825" s="5" t="str">
        <f t="shared" si="7"/>
        <v>District of Columbia</v>
      </c>
      <c r="R1825" s="5" t="str">
        <f t="shared" si="8"/>
        <v>United States</v>
      </c>
    </row>
    <row r="1826">
      <c r="A1826" s="8" t="s">
        <v>9188</v>
      </c>
      <c r="B1826" s="10" t="s">
        <v>9189</v>
      </c>
      <c r="C1826" s="10" t="s">
        <v>9190</v>
      </c>
      <c r="D1826" s="10"/>
      <c r="E1826" s="10" t="s">
        <v>6576</v>
      </c>
      <c r="F1826" s="10" t="s">
        <v>179</v>
      </c>
      <c r="G1826" s="11" t="s">
        <v>5280</v>
      </c>
      <c r="H1826" s="11" t="s">
        <v>4638</v>
      </c>
      <c r="I1826" s="11" t="s">
        <v>4600</v>
      </c>
      <c r="J1826" s="9" t="str">
        <f>IFERROR(__xludf.DUMMYFUNCTION("""COMPUTED_VALUE"""),"https://www.google.com/search?newwindow=1&amp;ei=2MT0XrvGGM-vytMP1OyDgAY&amp;q=site%3Alinkedin.com+Shayda+Tavakoli+Principal+Coordinator,+Campus+Recruiting")</f>
        <v>https://www.google.com/search?newwindow=1&amp;ei=2MT0XrvGGM-vytMP1OyDgAY&amp;q=site%3Alinkedin.com+Shayda+Tavakoli+Principal+Coordinator,+Campus+Recruiting</v>
      </c>
      <c r="K1826" s="5" t="str">
        <f t="shared" si="1"/>
        <v>Shayda Tavakoli</v>
      </c>
      <c r="L1826" s="5" t="str">
        <f t="shared" si="2"/>
        <v>Principal Coordinator, Campus Recruiting</v>
      </c>
      <c r="M1826" s="5" t="str">
        <f t="shared" si="3"/>
        <v/>
      </c>
      <c r="N1826" s="5" t="str">
        <f t="shared" si="4"/>
        <v>Capital One</v>
      </c>
      <c r="O1826" s="5" t="str">
        <f t="shared" si="5"/>
        <v>1 year 2 months in role</v>
      </c>
      <c r="P1826" s="5" t="str">
        <f t="shared" si="6"/>
        <v>Washington</v>
      </c>
      <c r="Q1826" s="5" t="str">
        <f t="shared" si="7"/>
        <v>District of Columbia</v>
      </c>
      <c r="R1826" s="5" t="str">
        <f t="shared" si="8"/>
        <v>United States</v>
      </c>
    </row>
    <row r="1827">
      <c r="A1827" s="8" t="s">
        <v>9191</v>
      </c>
      <c r="B1827" s="10" t="s">
        <v>9192</v>
      </c>
      <c r="C1827" s="10" t="s">
        <v>9193</v>
      </c>
      <c r="D1827" s="10"/>
      <c r="E1827" s="10" t="s">
        <v>5314</v>
      </c>
      <c r="F1827" s="10" t="s">
        <v>512</v>
      </c>
      <c r="G1827" s="11" t="s">
        <v>5280</v>
      </c>
      <c r="H1827" s="11" t="s">
        <v>4638</v>
      </c>
      <c r="I1827" s="11" t="s">
        <v>4600</v>
      </c>
      <c r="J1827" s="9" t="str">
        <f>IFERROR(__xludf.DUMMYFUNCTION("""COMPUTED_VALUE"""),"https://www.google.com/search?newwindow=1&amp;ei=2MT0XrvGGM-vytMP1OyDgAY&amp;q=site%3Alinkedin.com+Kelsey+Indorf+Campus+Recruiting+Senior+Manager")</f>
        <v>https://www.google.com/search?newwindow=1&amp;ei=2MT0XrvGGM-vytMP1OyDgAY&amp;q=site%3Alinkedin.com+Kelsey+Indorf+Campus+Recruiting+Senior+Manager</v>
      </c>
      <c r="K1827" s="5" t="str">
        <f t="shared" si="1"/>
        <v>Kelsey Indorf</v>
      </c>
      <c r="L1827" s="5" t="str">
        <f t="shared" si="2"/>
        <v>Campus Recruiting Senior Manager</v>
      </c>
      <c r="M1827" s="5" t="str">
        <f t="shared" si="3"/>
        <v/>
      </c>
      <c r="N1827" s="5" t="str">
        <f t="shared" si="4"/>
        <v>Capital One</v>
      </c>
      <c r="O1827" s="5" t="str">
        <f t="shared" si="5"/>
        <v>10 months in role</v>
      </c>
      <c r="P1827" s="5" t="str">
        <f t="shared" si="6"/>
        <v>Washington</v>
      </c>
      <c r="Q1827" s="5" t="str">
        <f t="shared" si="7"/>
        <v>District of Columbia</v>
      </c>
      <c r="R1827" s="5" t="str">
        <f t="shared" si="8"/>
        <v>United States</v>
      </c>
    </row>
    <row r="1828">
      <c r="A1828" s="8" t="s">
        <v>9197</v>
      </c>
      <c r="B1828" s="12" t="s">
        <v>9198</v>
      </c>
      <c r="C1828" s="10" t="s">
        <v>9199</v>
      </c>
      <c r="D1828" s="10"/>
      <c r="E1828" s="10" t="s">
        <v>4914</v>
      </c>
      <c r="F1828" s="10" t="s">
        <v>63</v>
      </c>
      <c r="G1828" s="11" t="s">
        <v>5280</v>
      </c>
      <c r="H1828" s="11" t="s">
        <v>4638</v>
      </c>
      <c r="I1828" s="11" t="s">
        <v>4600</v>
      </c>
      <c r="J1828" s="9" t="str">
        <f>IFERROR(__xludf.DUMMYFUNCTION("""COMPUTED_VALUE"""),"https://www.google.com/search?newwindow=1&amp;ei=2MT0XrvGGM-vytMP1OyDgAY&amp;q=site%3Alinkedin.com+Ciara+Delehanty+Senior+Campus+Recruiting+Coordinator")</f>
        <v>https://www.google.com/search?newwindow=1&amp;ei=2MT0XrvGGM-vytMP1OyDgAY&amp;q=site%3Alinkedin.com+Ciara+Delehanty+Senior+Campus+Recruiting+Coordinator</v>
      </c>
      <c r="K1828" s="5" t="str">
        <f t="shared" si="1"/>
        <v>Ciara Delehanty</v>
      </c>
      <c r="L1828" s="5" t="str">
        <f t="shared" si="2"/>
        <v>Senior Campus Recruiting Coordinator</v>
      </c>
      <c r="M1828" s="5" t="str">
        <f t="shared" si="3"/>
        <v/>
      </c>
      <c r="N1828" s="5" t="str">
        <f t="shared" si="4"/>
        <v>Deloitte</v>
      </c>
      <c r="O1828" s="5" t="str">
        <f t="shared" si="5"/>
        <v>2 years 3 months in role and company</v>
      </c>
      <c r="P1828" s="5" t="str">
        <f t="shared" si="6"/>
        <v>Washington</v>
      </c>
      <c r="Q1828" s="5" t="str">
        <f t="shared" si="7"/>
        <v>District of Columbia</v>
      </c>
      <c r="R1828" s="5" t="str">
        <f t="shared" si="8"/>
        <v>United States</v>
      </c>
    </row>
    <row r="1829">
      <c r="A1829" s="8" t="s">
        <v>9200</v>
      </c>
      <c r="B1829" s="10" t="s">
        <v>9201</v>
      </c>
      <c r="C1829" s="10" t="s">
        <v>371</v>
      </c>
      <c r="D1829" s="10"/>
      <c r="E1829" s="10" t="s">
        <v>845</v>
      </c>
      <c r="F1829" s="10" t="s">
        <v>100</v>
      </c>
      <c r="G1829" s="11" t="s">
        <v>5280</v>
      </c>
      <c r="H1829" s="11" t="s">
        <v>4638</v>
      </c>
      <c r="I1829" s="11" t="s">
        <v>4600</v>
      </c>
      <c r="J1829" s="9" t="str">
        <f>IFERROR(__xludf.DUMMYFUNCTION("""COMPUTED_VALUE"""),"https://www.google.com/search?newwindow=1&amp;ei=2MT0XrvGGM-vytMP1OyDgAY&amp;q=site%3Alinkedin.com+Laura+Borak+Director,+Analyst+Campus+Recruiting+&amp;+Programs")</f>
        <v>https://www.google.com/search?newwindow=1&amp;ei=2MT0XrvGGM-vytMP1OyDgAY&amp;q=site%3Alinkedin.com+Laura+Borak+Director,+Analyst+Campus+Recruiting+&amp;+Programs</v>
      </c>
      <c r="K1829" s="5" t="str">
        <f t="shared" si="1"/>
        <v>Laura Borak</v>
      </c>
      <c r="L1829" s="5" t="str">
        <f t="shared" si="2"/>
        <v>Director, Analyst Campus Recruiting &amp; Programs</v>
      </c>
      <c r="M1829" s="5" t="str">
        <f t="shared" si="3"/>
        <v/>
      </c>
      <c r="N1829" s="5" t="str">
        <f t="shared" si="4"/>
        <v>Capital One</v>
      </c>
      <c r="O1829" s="5" t="str">
        <f t="shared" si="5"/>
        <v>2 years 9 months in role</v>
      </c>
      <c r="P1829" s="5" t="str">
        <f t="shared" si="6"/>
        <v>Washington</v>
      </c>
      <c r="Q1829" s="5" t="str">
        <f t="shared" si="7"/>
        <v>District of Columbia</v>
      </c>
      <c r="R1829" s="5" t="str">
        <f t="shared" si="8"/>
        <v>United States</v>
      </c>
    </row>
    <row r="1830">
      <c r="A1830" s="8" t="s">
        <v>9204</v>
      </c>
      <c r="B1830" s="12" t="s">
        <v>9205</v>
      </c>
      <c r="C1830" s="10" t="s">
        <v>9206</v>
      </c>
      <c r="D1830" s="10"/>
      <c r="E1830" s="10" t="s">
        <v>6576</v>
      </c>
      <c r="F1830" s="10" t="s">
        <v>125</v>
      </c>
      <c r="G1830" s="11" t="s">
        <v>5280</v>
      </c>
      <c r="H1830" s="11" t="s">
        <v>4638</v>
      </c>
      <c r="I1830" s="11" t="s">
        <v>4600</v>
      </c>
      <c r="J1830" s="9" t="str">
        <f>IFERROR(__xludf.DUMMYFUNCTION("""COMPUTED_VALUE"""),"https://www.google.com/search?newwindow=1&amp;ei=2MT0XrvGGM-vytMP1OyDgAY&amp;q=site%3Alinkedin.com+Jessica+Consalvo+Senior+Campus+Recruiting+Specialist+-+Government+&amp;+Public+Services")</f>
        <v>https://www.google.com/search?newwindow=1&amp;ei=2MT0XrvGGM-vytMP1OyDgAY&amp;q=site%3Alinkedin.com+Jessica+Consalvo+Senior+Campus+Recruiting+Specialist+-+Government+&amp;+Public+Services</v>
      </c>
      <c r="K1830" s="5" t="str">
        <f t="shared" si="1"/>
        <v>Jessica Consalvo</v>
      </c>
      <c r="L1830" s="5" t="str">
        <f t="shared" si="2"/>
        <v>Senior Campus Recruiting Specialist - Government &amp; Public Services</v>
      </c>
      <c r="M1830" s="5" t="str">
        <f t="shared" si="3"/>
        <v/>
      </c>
      <c r="N1830" s="5" t="str">
        <f t="shared" si="4"/>
        <v>Deloitte</v>
      </c>
      <c r="O1830" s="5" t="str">
        <f t="shared" si="5"/>
        <v>3 months in role</v>
      </c>
      <c r="P1830" s="5" t="str">
        <f t="shared" si="6"/>
        <v>Washington</v>
      </c>
      <c r="Q1830" s="5" t="str">
        <f t="shared" si="7"/>
        <v>District of Columbia</v>
      </c>
      <c r="R1830" s="5" t="str">
        <f t="shared" si="8"/>
        <v>United States</v>
      </c>
    </row>
    <row r="1831">
      <c r="A1831" s="8" t="s">
        <v>9202</v>
      </c>
      <c r="B1831" s="12" t="s">
        <v>9203</v>
      </c>
      <c r="C1831" s="10" t="s">
        <v>6862</v>
      </c>
      <c r="D1831" s="10"/>
      <c r="E1831" s="10" t="s">
        <v>9136</v>
      </c>
      <c r="F1831" s="10" t="s">
        <v>686</v>
      </c>
      <c r="G1831" s="11" t="s">
        <v>5280</v>
      </c>
      <c r="H1831" s="11" t="s">
        <v>4638</v>
      </c>
      <c r="I1831" s="11" t="s">
        <v>4600</v>
      </c>
      <c r="J1831" s="9" t="str">
        <f>IFERROR(__xludf.DUMMYFUNCTION("""COMPUTED_VALUE"""),"https://www.google.com/search?newwindow=1&amp;ei=2MT0XrvGGM-vytMP1OyDgAY&amp;q=site%3Alinkedin.com+Renee+T.+Campus+Recruiting+Manager+-+Advisory+&amp;+Tax+Primary+Recruiter")</f>
        <v>https://www.google.com/search?newwindow=1&amp;ei=2MT0XrvGGM-vytMP1OyDgAY&amp;q=site%3Alinkedin.com+Renee+T.+Campus+Recruiting+Manager+-+Advisory+&amp;+Tax+Primary+Recruiter</v>
      </c>
      <c r="K1831" s="5" t="str">
        <f t="shared" si="1"/>
        <v>Renee T.</v>
      </c>
      <c r="L1831" s="5" t="str">
        <f t="shared" si="2"/>
        <v>Campus Recruiting Manager - Advisory &amp; Tax Primary Recruiter</v>
      </c>
      <c r="M1831" s="5" t="str">
        <f t="shared" si="3"/>
        <v/>
      </c>
      <c r="N1831" s="5" t="str">
        <f t="shared" si="4"/>
        <v>KPMG US</v>
      </c>
      <c r="O1831" s="5" t="str">
        <f t="shared" si="5"/>
        <v>4 years 1 month in role</v>
      </c>
      <c r="P1831" s="5" t="str">
        <f t="shared" si="6"/>
        <v>Washington</v>
      </c>
      <c r="Q1831" s="5" t="str">
        <f t="shared" si="7"/>
        <v>District of Columbia</v>
      </c>
      <c r="R1831" s="5" t="str">
        <f t="shared" si="8"/>
        <v>United States</v>
      </c>
    </row>
    <row r="1832">
      <c r="A1832" s="8" t="s">
        <v>9376</v>
      </c>
      <c r="B1832" s="10" t="s">
        <v>9377</v>
      </c>
      <c r="C1832" s="10" t="s">
        <v>9378</v>
      </c>
      <c r="D1832" s="10"/>
      <c r="E1832" s="10" t="s">
        <v>9379</v>
      </c>
      <c r="F1832" s="10" t="s">
        <v>182</v>
      </c>
      <c r="G1832" s="11" t="s">
        <v>5280</v>
      </c>
      <c r="H1832" s="11" t="s">
        <v>4638</v>
      </c>
      <c r="I1832" s="11" t="s">
        <v>4600</v>
      </c>
      <c r="J1832" s="9" t="str">
        <f>IFERROR(__xludf.DUMMYFUNCTION("""COMPUTED_VALUE"""),"https://www.google.com/search?newwindow=1&amp;ei=2MT0XrvGGM-vytMP1OyDgAY&amp;q=site%3Alinkedin.com+Caitlin+Pershe+Manager")</f>
        <v>https://www.google.com/search?newwindow=1&amp;ei=2MT0XrvGGM-vytMP1OyDgAY&amp;q=site%3Alinkedin.com+Caitlin+Pershe+Manager</v>
      </c>
      <c r="K1832" s="5" t="str">
        <f t="shared" si="1"/>
        <v>Caitlin Pershe</v>
      </c>
      <c r="L1832" s="5" t="str">
        <f t="shared" si="2"/>
        <v>Manager</v>
      </c>
      <c r="M1832" s="5" t="str">
        <f t="shared" si="3"/>
        <v/>
      </c>
      <c r="N1832" s="5" t="str">
        <f t="shared" si="4"/>
        <v>KPMG</v>
      </c>
      <c r="O1832" s="5" t="str">
        <f t="shared" si="5"/>
        <v>1 year 1 month in role and company</v>
      </c>
      <c r="P1832" s="5" t="str">
        <f t="shared" si="6"/>
        <v>Washington</v>
      </c>
      <c r="Q1832" s="5" t="str">
        <f t="shared" si="7"/>
        <v>District of Columbia</v>
      </c>
      <c r="R1832" s="5" t="str">
        <f t="shared" si="8"/>
        <v>United States</v>
      </c>
    </row>
    <row r="1833">
      <c r="A1833" s="8" t="s">
        <v>9380</v>
      </c>
      <c r="B1833" s="10" t="s">
        <v>9381</v>
      </c>
      <c r="C1833" s="10" t="s">
        <v>9382</v>
      </c>
      <c r="D1833" s="10"/>
      <c r="E1833" s="10" t="s">
        <v>5217</v>
      </c>
      <c r="F1833" s="10" t="s">
        <v>182</v>
      </c>
      <c r="G1833" s="11" t="s">
        <v>5280</v>
      </c>
      <c r="H1833" s="11" t="s">
        <v>4638</v>
      </c>
      <c r="I1833" s="11" t="s">
        <v>4600</v>
      </c>
      <c r="J1833" s="9" t="str">
        <f>IFERROR(__xludf.DUMMYFUNCTION("""COMPUTED_VALUE"""),"https://www.google.com/search?newwindow=1&amp;ei=2MT0XrvGGM-vytMP1OyDgAY&amp;q=site%3Alinkedin.com+Hayley+(Ford)+Nainani+Campus+Recruiting+Manager")</f>
        <v>https://www.google.com/search?newwindow=1&amp;ei=2MT0XrvGGM-vytMP1OyDgAY&amp;q=site%3Alinkedin.com+Hayley+(Ford)+Nainani+Campus+Recruiting+Manager</v>
      </c>
      <c r="K1833" s="5" t="str">
        <f t="shared" si="1"/>
        <v>Hayley (Ford) Nainani</v>
      </c>
      <c r="L1833" s="5" t="str">
        <f t="shared" si="2"/>
        <v>Campus Recruiting Manager</v>
      </c>
      <c r="M1833" s="5" t="str">
        <f t="shared" si="3"/>
        <v/>
      </c>
      <c r="N1833" s="5" t="str">
        <f t="shared" si="4"/>
        <v>Capital One</v>
      </c>
      <c r="O1833" s="5" t="str">
        <f t="shared" si="5"/>
        <v>2 years 2 months in role and company</v>
      </c>
      <c r="P1833" s="5" t="str">
        <f t="shared" si="6"/>
        <v>Washington</v>
      </c>
      <c r="Q1833" s="5" t="str">
        <f t="shared" si="7"/>
        <v>District of Columbia</v>
      </c>
      <c r="R1833" s="5" t="str">
        <f t="shared" si="8"/>
        <v>United States</v>
      </c>
    </row>
    <row r="1834">
      <c r="A1834" s="8" t="s">
        <v>9383</v>
      </c>
      <c r="B1834" s="10" t="s">
        <v>9384</v>
      </c>
      <c r="C1834" s="10" t="s">
        <v>9385</v>
      </c>
      <c r="D1834" s="10"/>
      <c r="E1834" s="10" t="s">
        <v>5417</v>
      </c>
      <c r="F1834" s="10" t="s">
        <v>233</v>
      </c>
      <c r="G1834" s="11" t="s">
        <v>5280</v>
      </c>
      <c r="H1834" s="11" t="s">
        <v>4638</v>
      </c>
      <c r="I1834" s="11" t="s">
        <v>4600</v>
      </c>
      <c r="J1834" s="9" t="str">
        <f>IFERROR(__xludf.DUMMYFUNCTION("""COMPUTED_VALUE"""),"https://www.google.com/search?newwindow=1&amp;ei=2MT0XrvGGM-vytMP1OyDgAY&amp;q=site%3Alinkedin.com+Meghan+Horning+Senior+Campus+Recruiting+Specialist")</f>
        <v>https://www.google.com/search?newwindow=1&amp;ei=2MT0XrvGGM-vytMP1OyDgAY&amp;q=site%3Alinkedin.com+Meghan+Horning+Senior+Campus+Recruiting+Specialist</v>
      </c>
      <c r="K1834" s="5" t="str">
        <f t="shared" si="1"/>
        <v>Meghan Horning</v>
      </c>
      <c r="L1834" s="5" t="str">
        <f t="shared" si="2"/>
        <v>Senior Campus Recruiting Specialist</v>
      </c>
      <c r="M1834" s="5" t="str">
        <f t="shared" si="3"/>
        <v/>
      </c>
      <c r="N1834" s="5" t="str">
        <f t="shared" si="4"/>
        <v>Deloitte</v>
      </c>
      <c r="O1834" s="5" t="str">
        <f t="shared" si="5"/>
        <v>1 year 3 months in role</v>
      </c>
      <c r="P1834" s="5" t="str">
        <f t="shared" si="6"/>
        <v>Washington</v>
      </c>
      <c r="Q1834" s="5" t="str">
        <f t="shared" si="7"/>
        <v>District of Columbia</v>
      </c>
      <c r="R1834" s="5" t="str">
        <f t="shared" si="8"/>
        <v>United States</v>
      </c>
    </row>
    <row r="1835">
      <c r="A1835" s="8" t="s">
        <v>9211</v>
      </c>
      <c r="B1835" s="10" t="s">
        <v>9212</v>
      </c>
      <c r="C1835" s="10" t="s">
        <v>9213</v>
      </c>
      <c r="D1835" s="10"/>
      <c r="E1835" s="10" t="s">
        <v>9214</v>
      </c>
      <c r="F1835" s="10" t="s">
        <v>222</v>
      </c>
      <c r="G1835" s="11" t="s">
        <v>5280</v>
      </c>
      <c r="H1835" s="11" t="s">
        <v>4638</v>
      </c>
      <c r="I1835" s="11" t="s">
        <v>4600</v>
      </c>
      <c r="J1835" s="9" t="str">
        <f>IFERROR(__xludf.DUMMYFUNCTION("""COMPUTED_VALUE"""),"https://www.google.com/search?newwindow=1&amp;ei=2MT0XrvGGM-vytMP1OyDgAY&amp;q=site%3Alinkedin.com+Angela+Sorrell+Director,+US+Campus+Recruiting+Leader--Transaction+and+Strategy+at+Ernst+&amp;+Young,+LLP")</f>
        <v>https://www.google.com/search?newwindow=1&amp;ei=2MT0XrvGGM-vytMP1OyDgAY&amp;q=site%3Alinkedin.com+Angela+Sorrell+Director,+US+Campus+Recruiting+Leader--Transaction+and+Strategy+at+Ernst+&amp;+Young,+LLP</v>
      </c>
      <c r="K1835" s="5" t="str">
        <f t="shared" si="1"/>
        <v>Angela Sorrell</v>
      </c>
      <c r="L1835" s="5" t="str">
        <f t="shared" si="2"/>
        <v>Director, US Campus Recruiting Leader--Transaction and Strategy at Ernst &amp; Young, LLP</v>
      </c>
      <c r="M1835" s="5" t="str">
        <f t="shared" si="3"/>
        <v/>
      </c>
      <c r="N1835" s="5" t="str">
        <f t="shared" si="4"/>
        <v>EY</v>
      </c>
      <c r="O1835" s="5" t="str">
        <f t="shared" si="5"/>
        <v>17 years 4 months in role and company</v>
      </c>
      <c r="P1835" s="5" t="str">
        <f t="shared" si="6"/>
        <v>Washington</v>
      </c>
      <c r="Q1835" s="5" t="str">
        <f t="shared" si="7"/>
        <v>District of Columbia</v>
      </c>
      <c r="R1835" s="5" t="str">
        <f t="shared" si="8"/>
        <v>United States</v>
      </c>
    </row>
    <row r="1836">
      <c r="A1836" s="8" t="s">
        <v>9207</v>
      </c>
      <c r="B1836" s="10" t="s">
        <v>9208</v>
      </c>
      <c r="C1836" s="10" t="s">
        <v>4745</v>
      </c>
      <c r="D1836" s="10"/>
      <c r="E1836" s="10" t="s">
        <v>4701</v>
      </c>
      <c r="F1836" s="10" t="s">
        <v>331</v>
      </c>
      <c r="G1836" s="11" t="s">
        <v>5280</v>
      </c>
      <c r="H1836" s="11" t="s">
        <v>4638</v>
      </c>
      <c r="I1836" s="11" t="s">
        <v>4600</v>
      </c>
      <c r="J1836" s="9" t="str">
        <f>IFERROR(__xludf.DUMMYFUNCTION("""COMPUTED_VALUE"""),"https://www.google.com/search?newwindow=1&amp;ei=2MT0XrvGGM-vytMP1OyDgAY&amp;q=site%3Alinkedin.com+Gloria+Huh+Campus+Recruiting+Coordinator")</f>
        <v>https://www.google.com/search?newwindow=1&amp;ei=2MT0XrvGGM-vytMP1OyDgAY&amp;q=site%3Alinkedin.com+Gloria+Huh+Campus+Recruiting+Coordinator</v>
      </c>
      <c r="K1836" s="5" t="str">
        <f t="shared" si="1"/>
        <v>Gloria Huh</v>
      </c>
      <c r="L1836" s="5" t="str">
        <f t="shared" si="2"/>
        <v>Campus Recruiting Coordinator</v>
      </c>
      <c r="M1836" s="5" t="str">
        <f t="shared" si="3"/>
        <v/>
      </c>
      <c r="N1836" s="5" t="str">
        <f t="shared" si="4"/>
        <v>EY</v>
      </c>
      <c r="O1836" s="5" t="str">
        <f t="shared" si="5"/>
        <v>2 years 7 months in role and company</v>
      </c>
      <c r="P1836" s="5" t="str">
        <f t="shared" si="6"/>
        <v>Washington</v>
      </c>
      <c r="Q1836" s="5" t="str">
        <f t="shared" si="7"/>
        <v>District of Columbia</v>
      </c>
      <c r="R1836" s="5" t="str">
        <f t="shared" si="8"/>
        <v>United States</v>
      </c>
    </row>
    <row r="1837">
      <c r="A1837" s="8" t="s">
        <v>9217</v>
      </c>
      <c r="B1837" s="12" t="s">
        <v>9218</v>
      </c>
      <c r="C1837" s="10" t="s">
        <v>25</v>
      </c>
      <c r="D1837" s="10"/>
      <c r="E1837" s="10" t="s">
        <v>4701</v>
      </c>
      <c r="F1837" s="10" t="s">
        <v>179</v>
      </c>
      <c r="G1837" s="11" t="s">
        <v>5280</v>
      </c>
      <c r="H1837" s="11" t="s">
        <v>4638</v>
      </c>
      <c r="I1837" s="11" t="s">
        <v>4600</v>
      </c>
      <c r="J1837" s="9" t="str">
        <f>IFERROR(__xludf.DUMMYFUNCTION("""COMPUTED_VALUE"""),"https://www.google.com/search?newwindow=1&amp;ei=2MT0XrvGGM-vytMP1OyDgAY&amp;q=site%3Alinkedin.com+Kelly+Kasenetz+Campus+Recruiting")</f>
        <v>https://www.google.com/search?newwindow=1&amp;ei=2MT0XrvGGM-vytMP1OyDgAY&amp;q=site%3Alinkedin.com+Kelly+Kasenetz+Campus+Recruiting</v>
      </c>
      <c r="K1837" s="5" t="str">
        <f t="shared" si="1"/>
        <v>Kelly Kasenetz</v>
      </c>
      <c r="L1837" s="5" t="str">
        <f t="shared" si="2"/>
        <v>Campus Recruiting</v>
      </c>
      <c r="M1837" s="5" t="str">
        <f t="shared" si="3"/>
        <v/>
      </c>
      <c r="N1837" s="5" t="str">
        <f t="shared" si="4"/>
        <v>EY</v>
      </c>
      <c r="O1837" s="5" t="str">
        <f t="shared" si="5"/>
        <v>1 year 8 months in role and company</v>
      </c>
      <c r="P1837" s="5" t="str">
        <f t="shared" si="6"/>
        <v>Washington</v>
      </c>
      <c r="Q1837" s="5" t="str">
        <f t="shared" si="7"/>
        <v>District of Columbia</v>
      </c>
      <c r="R1837" s="5" t="str">
        <f t="shared" si="8"/>
        <v>United States</v>
      </c>
    </row>
    <row r="1838">
      <c r="A1838" s="8" t="s">
        <v>9386</v>
      </c>
      <c r="B1838" s="10" t="s">
        <v>9387</v>
      </c>
      <c r="C1838" s="10" t="s">
        <v>5449</v>
      </c>
      <c r="D1838" s="10"/>
      <c r="E1838" s="10" t="s">
        <v>9388</v>
      </c>
      <c r="F1838" s="10" t="s">
        <v>4033</v>
      </c>
      <c r="G1838" s="11" t="s">
        <v>5280</v>
      </c>
      <c r="H1838" s="11" t="s">
        <v>4638</v>
      </c>
      <c r="I1838" s="11" t="s">
        <v>4600</v>
      </c>
      <c r="J1838" s="9" t="str">
        <f>IFERROR(__xludf.DUMMYFUNCTION("""COMPUTED_VALUE"""),"https://www.google.com/search?newwindow=1&amp;ei=2MT0XrvGGM-vytMP1OyDgAY&amp;q=site%3Alinkedin.com+Jessica+Buck+Campus+Recruiter")</f>
        <v>https://www.google.com/search?newwindow=1&amp;ei=2MT0XrvGGM-vytMP1OyDgAY&amp;q=site%3Alinkedin.com+Jessica+Buck+Campus+Recruiter</v>
      </c>
      <c r="K1838" s="5" t="str">
        <f t="shared" si="1"/>
        <v>Jessica Buck</v>
      </c>
      <c r="L1838" s="5" t="str">
        <f t="shared" si="2"/>
        <v>Campus Recruiter</v>
      </c>
      <c r="M1838" s="5" t="str">
        <f t="shared" si="3"/>
        <v/>
      </c>
      <c r="N1838" s="5" t="str">
        <f t="shared" si="4"/>
        <v>Linamar Corporation</v>
      </c>
      <c r="O1838" s="5" t="str">
        <f t="shared" si="5"/>
        <v>1 year 2 months in role and company</v>
      </c>
      <c r="P1838" s="5" t="str">
        <f t="shared" si="6"/>
        <v>Waterloo</v>
      </c>
      <c r="Q1838" s="5" t="str">
        <f t="shared" si="7"/>
        <v>Ontario</v>
      </c>
      <c r="R1838" s="5" t="str">
        <f t="shared" si="8"/>
        <v>Canada</v>
      </c>
    </row>
    <row r="1839">
      <c r="A1839" s="8" t="s">
        <v>9219</v>
      </c>
      <c r="B1839" s="12" t="s">
        <v>9220</v>
      </c>
      <c r="C1839" s="10" t="s">
        <v>9221</v>
      </c>
      <c r="D1839" s="10"/>
      <c r="E1839" s="10" t="s">
        <v>9222</v>
      </c>
      <c r="F1839" s="10" t="s">
        <v>727</v>
      </c>
      <c r="G1839" s="11" t="s">
        <v>5280</v>
      </c>
      <c r="H1839" s="11" t="s">
        <v>4638</v>
      </c>
      <c r="I1839" s="11" t="s">
        <v>4600</v>
      </c>
      <c r="J1839" s="9" t="str">
        <f>IFERROR(__xludf.DUMMYFUNCTION("""COMPUTED_VALUE"""),"https://www.google.com/search?newwindow=1&amp;ei=2MT0XrvGGM-vytMP1OyDgAY&amp;q=site%3Alinkedin.com+Cayla+Chen+Campus+Recruiting+Specialist")</f>
        <v>https://www.google.com/search?newwindow=1&amp;ei=2MT0XrvGGM-vytMP1OyDgAY&amp;q=site%3Alinkedin.com+Cayla+Chen+Campus+Recruiting+Specialist</v>
      </c>
      <c r="K1839" s="5" t="str">
        <f t="shared" si="1"/>
        <v>Cayla Chen</v>
      </c>
      <c r="L1839" s="5" t="str">
        <f t="shared" si="2"/>
        <v>Campus Recruiting Specialist</v>
      </c>
      <c r="M1839" s="5" t="str">
        <f t="shared" si="3"/>
        <v/>
      </c>
      <c r="N1839" s="5" t="str">
        <f t="shared" si="4"/>
        <v>Midea Group (Fortune Global 500 Company)</v>
      </c>
      <c r="O1839" s="5" t="str">
        <f t="shared" si="5"/>
        <v>3 months in role and company</v>
      </c>
      <c r="P1839" s="5" t="str">
        <f t="shared" si="6"/>
        <v>Waterloo</v>
      </c>
      <c r="Q1839" s="5" t="str">
        <f t="shared" si="7"/>
        <v>Ontario</v>
      </c>
      <c r="R1839" s="5" t="str">
        <f t="shared" si="8"/>
        <v>Canada</v>
      </c>
    </row>
    <row r="1840">
      <c r="A1840" s="8" t="s">
        <v>9209</v>
      </c>
      <c r="B1840" s="12" t="s">
        <v>9210</v>
      </c>
      <c r="C1840" s="10" t="s">
        <v>4596</v>
      </c>
      <c r="D1840" s="10"/>
      <c r="E1840" s="10" t="s">
        <v>6576</v>
      </c>
      <c r="F1840" s="10" t="s">
        <v>654</v>
      </c>
      <c r="G1840" s="11" t="s">
        <v>5280</v>
      </c>
      <c r="H1840" s="11" t="s">
        <v>4638</v>
      </c>
      <c r="I1840" s="11" t="s">
        <v>4600</v>
      </c>
      <c r="J1840" s="9" t="str">
        <f>IFERROR(__xludf.DUMMYFUNCTION("""COMPUTED_VALUE"""),"https://www.google.com/search?newwindow=1&amp;ei=2MT0XrvGGM-vytMP1OyDgAY&amp;q=site%3Alinkedin.com+Heather+Roberts+HRBP+&amp;+Director,+Global+University+Recruitment+&amp;+Staffing")</f>
        <v>https://www.google.com/search?newwindow=1&amp;ei=2MT0XrvGGM-vytMP1OyDgAY&amp;q=site%3Alinkedin.com+Heather+Roberts+HRBP+&amp;+Director,+Global+University+Recruitment+&amp;+Staffing</v>
      </c>
      <c r="K1840" s="5" t="str">
        <f t="shared" si="1"/>
        <v>Heather Roberts</v>
      </c>
      <c r="L1840" s="5" t="str">
        <f t="shared" si="2"/>
        <v>HRBP &amp; Director, Global University Recruitment &amp; Staffing</v>
      </c>
      <c r="M1840" s="5" t="str">
        <f t="shared" si="3"/>
        <v/>
      </c>
      <c r="N1840" s="5" t="str">
        <f t="shared" si="4"/>
        <v>BlackBerry</v>
      </c>
      <c r="O1840" s="5" t="str">
        <f t="shared" si="5"/>
        <v>6 months in role</v>
      </c>
      <c r="P1840" s="5" t="str">
        <f t="shared" si="6"/>
        <v>Waterloo</v>
      </c>
      <c r="Q1840" s="5" t="str">
        <f t="shared" si="7"/>
        <v>Ontario</v>
      </c>
      <c r="R1840" s="5" t="str">
        <f t="shared" si="8"/>
        <v>Canada</v>
      </c>
    </row>
    <row r="1841">
      <c r="A1841" s="8" t="s">
        <v>9215</v>
      </c>
      <c r="B1841" s="12" t="s">
        <v>9216</v>
      </c>
      <c r="C1841" s="10" t="s">
        <v>4596</v>
      </c>
      <c r="D1841" s="10"/>
      <c r="E1841" s="10" t="s">
        <v>6576</v>
      </c>
      <c r="F1841" s="10" t="s">
        <v>182</v>
      </c>
      <c r="G1841" s="11" t="s">
        <v>5280</v>
      </c>
      <c r="H1841" s="11" t="s">
        <v>4638</v>
      </c>
      <c r="I1841" s="11" t="s">
        <v>4600</v>
      </c>
      <c r="J1841" s="9" t="str">
        <f>IFERROR(__xludf.DUMMYFUNCTION("""COMPUTED_VALUE"""),"https://www.google.com/search?newwindow=1&amp;ei=2MT0XrvGGM-vytMP1OyDgAY&amp;q=site%3Alinkedin.com+Snezana+Savic+Academic+Advisor|School+of+Business+-+Conestoga+College")</f>
        <v>https://www.google.com/search?newwindow=1&amp;ei=2MT0XrvGGM-vytMP1OyDgAY&amp;q=site%3Alinkedin.com+Snezana+Savic+Academic+Advisor|School+of+Business+-+Conestoga+College</v>
      </c>
      <c r="K1841" s="5" t="str">
        <f t="shared" si="1"/>
        <v>Snezana Savic</v>
      </c>
      <c r="L1841" s="5" t="str">
        <f t="shared" si="2"/>
        <v>Academic Advisor|School of Business - Conestoga College</v>
      </c>
      <c r="M1841" s="5" t="str">
        <f t="shared" si="3"/>
        <v/>
      </c>
      <c r="N1841" s="5" t="str">
        <f t="shared" si="4"/>
        <v>Conestoga College</v>
      </c>
      <c r="O1841" s="5" t="str">
        <f t="shared" si="5"/>
        <v>2 years 3 months in role and company</v>
      </c>
      <c r="P1841" s="5" t="str">
        <f t="shared" si="6"/>
        <v>Waterloo</v>
      </c>
      <c r="Q1841" s="5" t="str">
        <f t="shared" si="7"/>
        <v>Ontario</v>
      </c>
      <c r="R1841" s="5" t="str">
        <f t="shared" si="8"/>
        <v>Canada</v>
      </c>
    </row>
    <row r="1842">
      <c r="A1842" s="8" t="s">
        <v>9223</v>
      </c>
      <c r="B1842" s="10" t="s">
        <v>9224</v>
      </c>
      <c r="C1842" s="10" t="s">
        <v>9225</v>
      </c>
      <c r="D1842" s="10"/>
      <c r="E1842" s="10" t="s">
        <v>845</v>
      </c>
      <c r="F1842" s="10" t="s">
        <v>121</v>
      </c>
      <c r="G1842" s="11" t="s">
        <v>5280</v>
      </c>
      <c r="H1842" s="11" t="s">
        <v>4638</v>
      </c>
      <c r="I1842" s="11" t="s">
        <v>4600</v>
      </c>
      <c r="J1842" s="9" t="str">
        <f>IFERROR(__xludf.DUMMYFUNCTION("""COMPUTED_VALUE"""),"https://www.google.com/search?newwindow=1&amp;ei=2MT0XrvGGM-vytMP1OyDgAY&amp;q=site%3Alinkedin.com+Brenda+Gilmore+Employer+Liaison+&amp;+Student+Recruiter")</f>
        <v>https://www.google.com/search?newwindow=1&amp;ei=2MT0XrvGGM-vytMP1OyDgAY&amp;q=site%3Alinkedin.com+Brenda+Gilmore+Employer+Liaison+&amp;+Student+Recruiter</v>
      </c>
      <c r="K1842" s="5" t="str">
        <f t="shared" si="1"/>
        <v>Brenda Gilmore</v>
      </c>
      <c r="L1842" s="5" t="str">
        <f t="shared" si="2"/>
        <v>Employer Liaison &amp; Student Recruiter</v>
      </c>
      <c r="M1842" s="5" t="str">
        <f t="shared" si="3"/>
        <v/>
      </c>
      <c r="N1842" s="5" t="str">
        <f t="shared" si="4"/>
        <v>Conestoga College ITAL</v>
      </c>
      <c r="O1842" s="5" t="str">
        <f t="shared" si="5"/>
        <v>14 years 1 month in role and company</v>
      </c>
      <c r="P1842" s="5" t="str">
        <f t="shared" si="6"/>
        <v>Waterloo</v>
      </c>
      <c r="Q1842" s="5" t="str">
        <f t="shared" si="7"/>
        <v>Ontario</v>
      </c>
      <c r="R1842" s="5" t="str">
        <f t="shared" si="8"/>
        <v>Canada</v>
      </c>
    </row>
    <row r="1843">
      <c r="A1843" s="8" t="s">
        <v>9226</v>
      </c>
      <c r="B1843" s="10" t="s">
        <v>9227</v>
      </c>
      <c r="C1843" s="10" t="s">
        <v>9228</v>
      </c>
      <c r="D1843" s="10"/>
      <c r="E1843" s="10" t="s">
        <v>9229</v>
      </c>
      <c r="F1843" s="10" t="s">
        <v>958</v>
      </c>
      <c r="G1843" s="11" t="s">
        <v>5280</v>
      </c>
      <c r="H1843" s="11" t="s">
        <v>4638</v>
      </c>
      <c r="I1843" s="11" t="s">
        <v>4600</v>
      </c>
      <c r="J1843" s="9" t="str">
        <f>IFERROR(__xludf.DUMMYFUNCTION("""COMPUTED_VALUE"""),"https://www.google.com/search?newwindow=1&amp;ei=2MT0XrvGGM-vytMP1OyDgAY&amp;q=site%3Alinkedin.com+Kristen+Wrigglesworth+Campus+Ambassador")</f>
        <v>https://www.google.com/search?newwindow=1&amp;ei=2MT0XrvGGM-vytMP1OyDgAY&amp;q=site%3Alinkedin.com+Kristen+Wrigglesworth+Campus+Ambassador</v>
      </c>
      <c r="K1843" s="5" t="str">
        <f t="shared" si="1"/>
        <v>Kristen Wrigglesworth</v>
      </c>
      <c r="L1843" s="5" t="str">
        <f t="shared" si="2"/>
        <v>Campus Ambassador</v>
      </c>
      <c r="M1843" s="5" t="str">
        <f t="shared" si="3"/>
        <v/>
      </c>
      <c r="N1843" s="5" t="str">
        <f t="shared" si="4"/>
        <v>Wilfrid Laurier University</v>
      </c>
      <c r="O1843" s="5" t="str">
        <f t="shared" si="5"/>
        <v>7 years 7 months in role and company</v>
      </c>
      <c r="P1843" s="5" t="str">
        <f t="shared" si="6"/>
        <v>Waterloo</v>
      </c>
      <c r="Q1843" s="5" t="str">
        <f t="shared" si="7"/>
        <v>Ontario</v>
      </c>
      <c r="R1843" s="5" t="str">
        <f t="shared" si="8"/>
        <v>Canada</v>
      </c>
    </row>
    <row r="1844">
      <c r="A1844" s="8" t="s">
        <v>9389</v>
      </c>
      <c r="B1844" s="10" t="s">
        <v>9390</v>
      </c>
      <c r="C1844" s="10" t="s">
        <v>9391</v>
      </c>
      <c r="D1844" s="10"/>
      <c r="E1844" s="10" t="s">
        <v>9392</v>
      </c>
      <c r="F1844" s="10" t="s">
        <v>48</v>
      </c>
      <c r="G1844" s="11" t="s">
        <v>5280</v>
      </c>
      <c r="H1844" s="11" t="s">
        <v>4638</v>
      </c>
      <c r="I1844" s="11" t="s">
        <v>4600</v>
      </c>
      <c r="J1844" s="9" t="str">
        <f>IFERROR(__xludf.DUMMYFUNCTION("""COMPUTED_VALUE"""),"https://www.google.com/search?newwindow=1&amp;ei=2MT0XrvGGM-vytMP1OyDgAY&amp;q=site%3Alinkedin.com+Cecilia+Doucette,+CPA,+CFE+Manager,+CPA+Student+Programs")</f>
        <v>https://www.google.com/search?newwindow=1&amp;ei=2MT0XrvGGM-vytMP1OyDgAY&amp;q=site%3Alinkedin.com+Cecilia+Doucette,+CPA,+CFE+Manager,+CPA+Student+Programs</v>
      </c>
      <c r="K1844" s="5" t="str">
        <f t="shared" si="1"/>
        <v>Cecilia Doucette, CPA, CFE</v>
      </c>
      <c r="L1844" s="5" t="str">
        <f t="shared" si="2"/>
        <v>Manager, CPA Student Programs</v>
      </c>
      <c r="M1844" s="5" t="str">
        <f t="shared" si="3"/>
        <v/>
      </c>
      <c r="N1844" s="5" t="str">
        <f t="shared" si="4"/>
        <v>BDO Canada</v>
      </c>
      <c r="O1844" s="5" t="str">
        <f t="shared" si="5"/>
        <v>2 years 4 months in role</v>
      </c>
      <c r="P1844" s="5" t="str">
        <f t="shared" si="6"/>
        <v>Waterloo</v>
      </c>
      <c r="Q1844" s="5" t="str">
        <f t="shared" si="7"/>
        <v>Ontario</v>
      </c>
      <c r="R1844" s="5" t="str">
        <f t="shared" si="8"/>
        <v>Canada</v>
      </c>
    </row>
    <row r="1845">
      <c r="A1845" s="8" t="s">
        <v>9393</v>
      </c>
      <c r="B1845" s="10" t="s">
        <v>9394</v>
      </c>
      <c r="C1845" s="10" t="s">
        <v>9395</v>
      </c>
      <c r="D1845" s="10"/>
      <c r="E1845" s="10" t="s">
        <v>9396</v>
      </c>
      <c r="F1845" s="10" t="s">
        <v>237</v>
      </c>
      <c r="G1845" s="11" t="s">
        <v>5280</v>
      </c>
      <c r="H1845" s="11" t="s">
        <v>4638</v>
      </c>
      <c r="I1845" s="11" t="s">
        <v>4600</v>
      </c>
      <c r="J1845" s="9" t="str">
        <f>IFERROR(__xludf.DUMMYFUNCTION("""COMPUTED_VALUE"""),"https://www.google.com/search?newwindow=1&amp;ei=2MT0XrvGGM-vytMP1OyDgAY&amp;q=site%3Alinkedin.com+Ronak+Arora+Intercultural+Programs+Assistant")</f>
        <v>https://www.google.com/search?newwindow=1&amp;ei=2MT0XrvGGM-vytMP1OyDgAY&amp;q=site%3Alinkedin.com+Ronak+Arora+Intercultural+Programs+Assistant</v>
      </c>
      <c r="K1845" s="5" t="str">
        <f t="shared" si="1"/>
        <v>Ronak Arora</v>
      </c>
      <c r="L1845" s="5" t="str">
        <f t="shared" si="2"/>
        <v>Intercultural Programs Assistant</v>
      </c>
      <c r="M1845" s="5" t="str">
        <f t="shared" si="3"/>
        <v/>
      </c>
      <c r="N1845" s="5" t="str">
        <f t="shared" si="4"/>
        <v>Wilfrid Laurier University</v>
      </c>
      <c r="O1845" s="5" t="str">
        <f t="shared" si="5"/>
        <v>2 months in role</v>
      </c>
      <c r="P1845" s="5" t="str">
        <f t="shared" si="6"/>
        <v>Waterloo</v>
      </c>
      <c r="Q1845" s="5" t="str">
        <f t="shared" si="7"/>
        <v>Ontario</v>
      </c>
      <c r="R1845" s="5" t="str">
        <f t="shared" si="8"/>
        <v>Canada</v>
      </c>
    </row>
    <row r="1846">
      <c r="A1846" s="8" t="s">
        <v>9235</v>
      </c>
      <c r="B1846" s="10" t="s">
        <v>9236</v>
      </c>
      <c r="C1846" s="10" t="s">
        <v>9237</v>
      </c>
      <c r="D1846" s="10"/>
      <c r="E1846" s="10" t="s">
        <v>9238</v>
      </c>
      <c r="F1846" s="10" t="s">
        <v>774</v>
      </c>
      <c r="G1846" s="11" t="s">
        <v>5280</v>
      </c>
      <c r="H1846" s="11" t="s">
        <v>4638</v>
      </c>
      <c r="I1846" s="11" t="s">
        <v>4600</v>
      </c>
      <c r="J1846" s="9" t="str">
        <f>IFERROR(__xludf.DUMMYFUNCTION("""COMPUTED_VALUE"""),"https://www.google.com/search?newwindow=1&amp;ei=2MT0XrvGGM-vytMP1OyDgAY&amp;q=site%3Alinkedin.com+Jennifer+Hutchinson+Manager+Student+Nutrition+Programs+for+Central-West+Ontario")</f>
        <v>https://www.google.com/search?newwindow=1&amp;ei=2MT0XrvGGM-vytMP1OyDgAY&amp;q=site%3Alinkedin.com+Jennifer+Hutchinson+Manager+Student+Nutrition+Programs+for+Central-West+Ontario</v>
      </c>
      <c r="K1846" s="5" t="str">
        <f t="shared" si="1"/>
        <v>Jennifer Hutchinson</v>
      </c>
      <c r="L1846" s="5" t="str">
        <f t="shared" si="2"/>
        <v>Manager Student Nutrition Programs for Central-West Ontario</v>
      </c>
      <c r="M1846" s="5" t="str">
        <f t="shared" si="3"/>
        <v/>
      </c>
      <c r="N1846" s="5" t="str">
        <f t="shared" si="4"/>
        <v>YMCAs of Cambridge &amp; Kitchener-Waterloo</v>
      </c>
      <c r="O1846" s="5" t="str">
        <f t="shared" si="5"/>
        <v>4 years 5 months in role and company</v>
      </c>
      <c r="P1846" s="5" t="str">
        <f t="shared" si="6"/>
        <v>Waterloo</v>
      </c>
      <c r="Q1846" s="5" t="str">
        <f t="shared" si="7"/>
        <v>Ontario</v>
      </c>
      <c r="R1846" s="5" t="str">
        <f t="shared" si="8"/>
        <v>Canada</v>
      </c>
    </row>
    <row r="1847">
      <c r="A1847" s="8" t="s">
        <v>9230</v>
      </c>
      <c r="B1847" s="12" t="s">
        <v>9231</v>
      </c>
      <c r="C1847" s="10" t="s">
        <v>4596</v>
      </c>
      <c r="D1847" s="10"/>
      <c r="E1847" s="10" t="s">
        <v>6576</v>
      </c>
      <c r="F1847" s="10" t="s">
        <v>574</v>
      </c>
      <c r="G1847" s="11" t="s">
        <v>5280</v>
      </c>
      <c r="H1847" s="11" t="s">
        <v>4638</v>
      </c>
      <c r="I1847" s="11" t="s">
        <v>4600</v>
      </c>
      <c r="J1847" s="9" t="str">
        <f>IFERROR(__xludf.DUMMYFUNCTION("""COMPUTED_VALUE"""),"https://www.google.com/search?newwindow=1&amp;ei=2MT0XrvGGM-vytMP1OyDgAY&amp;q=site%3Alinkedin.com+Karleigh+Nyman+Student+Experience+Manager,+Co-operative+Education")</f>
        <v>https://www.google.com/search?newwindow=1&amp;ei=2MT0XrvGGM-vytMP1OyDgAY&amp;q=site%3Alinkedin.com+Karleigh+Nyman+Student+Experience+Manager,+Co-operative+Education</v>
      </c>
      <c r="K1847" s="5" t="str">
        <f t="shared" si="1"/>
        <v>Karleigh Nyman</v>
      </c>
      <c r="L1847" s="5" t="str">
        <f t="shared" si="2"/>
        <v>Student Experience Manager, Co-operative Education</v>
      </c>
      <c r="M1847" s="5" t="str">
        <f t="shared" si="3"/>
        <v/>
      </c>
      <c r="N1847" s="5" t="str">
        <f t="shared" si="4"/>
        <v>University of Waterloo</v>
      </c>
      <c r="O1847" s="5" t="str">
        <f t="shared" si="5"/>
        <v>2 years 3 months in role</v>
      </c>
      <c r="P1847" s="5" t="str">
        <f t="shared" si="6"/>
        <v>Waterloo</v>
      </c>
      <c r="Q1847" s="5" t="str">
        <f t="shared" si="7"/>
        <v>Ontario</v>
      </c>
      <c r="R1847" s="5" t="str">
        <f t="shared" si="8"/>
        <v>Canada</v>
      </c>
    </row>
    <row r="1848">
      <c r="A1848" s="8" t="s">
        <v>9397</v>
      </c>
      <c r="B1848" s="10" t="s">
        <v>9398</v>
      </c>
      <c r="C1848" s="10" t="s">
        <v>9399</v>
      </c>
      <c r="D1848" s="10"/>
      <c r="E1848" s="10" t="s">
        <v>9400</v>
      </c>
      <c r="F1848" s="10" t="s">
        <v>9401</v>
      </c>
      <c r="G1848" s="11" t="s">
        <v>5280</v>
      </c>
      <c r="H1848" s="11" t="s">
        <v>4638</v>
      </c>
      <c r="I1848" s="11" t="s">
        <v>4600</v>
      </c>
      <c r="J1848" s="9" t="str">
        <f>IFERROR(__xludf.DUMMYFUNCTION("""COMPUTED_VALUE"""),"https://www.google.com/search?newwindow=1&amp;ei=2MT0XrvGGM-vytMP1OyDgAY&amp;q=site%3Alinkedin.com+Jieying+Wang+Undergraduate+academic+advisor,+international+programs")</f>
        <v>https://www.google.com/search?newwindow=1&amp;ei=2MT0XrvGGM-vytMP1OyDgAY&amp;q=site%3Alinkedin.com+Jieying+Wang+Undergraduate+academic+advisor,+international+programs</v>
      </c>
      <c r="K1848" s="5" t="str">
        <f t="shared" si="1"/>
        <v>Jieying Wang</v>
      </c>
      <c r="L1848" s="5" t="str">
        <f t="shared" si="2"/>
        <v>Undergraduate academic advisor, international programs</v>
      </c>
      <c r="M1848" s="5" t="str">
        <f t="shared" si="3"/>
        <v/>
      </c>
      <c r="N1848" s="5" t="str">
        <f t="shared" si="4"/>
        <v>University of Waterloo</v>
      </c>
      <c r="O1848" s="5" t="str">
        <f t="shared" si="5"/>
        <v>3 years 11 months in role and company</v>
      </c>
      <c r="P1848" s="5" t="str">
        <f t="shared" si="6"/>
        <v>Waterloo</v>
      </c>
      <c r="Q1848" s="5" t="str">
        <f t="shared" si="7"/>
        <v>Ontario</v>
      </c>
      <c r="R1848" s="5" t="str">
        <f t="shared" si="8"/>
        <v>Canada</v>
      </c>
    </row>
    <row r="1849">
      <c r="A1849" s="8" t="s">
        <v>9241</v>
      </c>
      <c r="B1849" s="12" t="s">
        <v>9242</v>
      </c>
      <c r="C1849" s="10" t="s">
        <v>480</v>
      </c>
      <c r="D1849" s="10"/>
      <c r="E1849" s="10" t="s">
        <v>5376</v>
      </c>
      <c r="F1849" s="10" t="s">
        <v>339</v>
      </c>
      <c r="G1849" s="11" t="s">
        <v>5280</v>
      </c>
      <c r="H1849" s="11" t="s">
        <v>4638</v>
      </c>
      <c r="I1849" s="11" t="s">
        <v>4600</v>
      </c>
      <c r="J1849" s="9" t="str">
        <f>IFERROR(__xludf.DUMMYFUNCTION("""COMPUTED_VALUE"""),"https://www.google.com/search?newwindow=1&amp;ei=2MT0XrvGGM-vytMP1OyDgAY&amp;q=site%3Alinkedin.com+Angela+Martinez+On+Campus+Recruiter")</f>
        <v>https://www.google.com/search?newwindow=1&amp;ei=2MT0XrvGGM-vytMP1OyDgAY&amp;q=site%3Alinkedin.com+Angela+Martinez+On+Campus+Recruiter</v>
      </c>
      <c r="K1849" s="5" t="str">
        <f t="shared" si="1"/>
        <v>Angela Martinez</v>
      </c>
      <c r="L1849" s="5" t="str">
        <f t="shared" si="2"/>
        <v>On Campus Recruiter</v>
      </c>
      <c r="M1849" s="5" t="str">
        <f t="shared" si="3"/>
        <v/>
      </c>
      <c r="N1849" s="5" t="str">
        <f t="shared" si="4"/>
        <v>Niagara College Canada</v>
      </c>
      <c r="O1849" s="5" t="str">
        <f t="shared" si="5"/>
        <v>5 years 9 months in role and company</v>
      </c>
      <c r="P1849" s="5" t="str">
        <f t="shared" si="6"/>
        <v>Welland</v>
      </c>
      <c r="Q1849" s="5" t="str">
        <f t="shared" si="7"/>
        <v>Ontario</v>
      </c>
      <c r="R1849" s="5" t="str">
        <f t="shared" si="8"/>
        <v>Canada</v>
      </c>
    </row>
    <row r="1850">
      <c r="A1850" s="8" t="s">
        <v>9245</v>
      </c>
      <c r="B1850" s="12" t="s">
        <v>9246</v>
      </c>
      <c r="C1850" s="10" t="s">
        <v>9247</v>
      </c>
      <c r="D1850" s="10"/>
      <c r="E1850" s="10" t="s">
        <v>9174</v>
      </c>
      <c r="F1850" s="10" t="s">
        <v>1460</v>
      </c>
      <c r="G1850" s="11" t="s">
        <v>5280</v>
      </c>
      <c r="H1850" s="11" t="s">
        <v>4638</v>
      </c>
      <c r="I1850" s="11" t="s">
        <v>4600</v>
      </c>
      <c r="J1850" s="9" t="str">
        <f>IFERROR(__xludf.DUMMYFUNCTION("""COMPUTED_VALUE"""),"https://www.google.com/search?newwindow=1&amp;ei=2MT0XrvGGM-vytMP1OyDgAY&amp;q=site%3Alinkedin.com+Michael+Luisi+Campus+Recruiting+-+Firmwide+Intern+Program+Management+Leader")</f>
        <v>https://www.google.com/search?newwindow=1&amp;ei=2MT0XrvGGM-vytMP1OyDgAY&amp;q=site%3Alinkedin.com+Michael+Luisi+Campus+Recruiting+-+Firmwide+Intern+Program+Management+Leader</v>
      </c>
      <c r="K1850" s="5" t="str">
        <f t="shared" si="1"/>
        <v>Michael Luisi</v>
      </c>
      <c r="L1850" s="5" t="str">
        <f t="shared" si="2"/>
        <v>Campus Recruiting - Firmwide Intern Program Management Leader</v>
      </c>
      <c r="M1850" s="5" t="str">
        <f t="shared" si="3"/>
        <v/>
      </c>
      <c r="N1850" s="5" t="str">
        <f t="shared" si="4"/>
        <v>JPMorgan Chase &amp; Co.</v>
      </c>
      <c r="O1850" s="5" t="str">
        <f t="shared" si="5"/>
        <v>11 months in role</v>
      </c>
      <c r="P1850" s="5" t="str">
        <f t="shared" si="6"/>
        <v>West Chester</v>
      </c>
      <c r="Q1850" s="5" t="str">
        <f t="shared" si="7"/>
        <v>Pennsylvania</v>
      </c>
      <c r="R1850" s="5" t="str">
        <f t="shared" si="8"/>
        <v>United States</v>
      </c>
    </row>
    <row r="1851">
      <c r="A1851" s="8" t="s">
        <v>9253</v>
      </c>
      <c r="B1851" s="12" t="s">
        <v>9254</v>
      </c>
      <c r="C1851" s="10" t="s">
        <v>9255</v>
      </c>
      <c r="D1851" s="10"/>
      <c r="E1851" s="10" t="s">
        <v>9256</v>
      </c>
      <c r="F1851" s="10" t="s">
        <v>48</v>
      </c>
      <c r="G1851" s="11" t="s">
        <v>5280</v>
      </c>
      <c r="H1851" s="11" t="s">
        <v>4638</v>
      </c>
      <c r="I1851" s="11" t="s">
        <v>4600</v>
      </c>
      <c r="J1851" s="9" t="str">
        <f>IFERROR(__xludf.DUMMYFUNCTION("""COMPUTED_VALUE"""),"https://www.google.com/search?newwindow=1&amp;ei=2MT0XrvGGM-vytMP1OyDgAY&amp;q=site%3Alinkedin.com+Amanda+Carr+Campus+Recruiting+Assistant")</f>
        <v>https://www.google.com/search?newwindow=1&amp;ei=2MT0XrvGGM-vytMP1OyDgAY&amp;q=site%3Alinkedin.com+Amanda+Carr+Campus+Recruiting+Assistant</v>
      </c>
      <c r="K1851" s="5" t="str">
        <f t="shared" si="1"/>
        <v>Amanda Carr</v>
      </c>
      <c r="L1851" s="5" t="str">
        <f t="shared" si="2"/>
        <v>Campus Recruiting Assistant</v>
      </c>
      <c r="M1851" s="5" t="str">
        <f t="shared" si="3"/>
        <v/>
      </c>
      <c r="N1851" s="5" t="str">
        <f t="shared" si="4"/>
        <v>Ernst and Young</v>
      </c>
      <c r="O1851" s="5" t="str">
        <f t="shared" si="5"/>
        <v/>
      </c>
      <c r="P1851" s="5" t="str">
        <f t="shared" si="6"/>
        <v>West Grove</v>
      </c>
      <c r="Q1851" s="5" t="str">
        <f t="shared" si="7"/>
        <v>Pennsylvania</v>
      </c>
      <c r="R1851" s="5" t="str">
        <f t="shared" si="8"/>
        <v>United States</v>
      </c>
    </row>
    <row r="1852">
      <c r="A1852" s="8" t="s">
        <v>9402</v>
      </c>
      <c r="B1852" s="10" t="s">
        <v>9403</v>
      </c>
      <c r="C1852" s="10" t="s">
        <v>5146</v>
      </c>
      <c r="D1852" s="10"/>
      <c r="E1852" s="10" t="s">
        <v>5217</v>
      </c>
      <c r="F1852" s="10" t="s">
        <v>79</v>
      </c>
      <c r="G1852" s="11" t="s">
        <v>5280</v>
      </c>
      <c r="H1852" s="11" t="s">
        <v>4638</v>
      </c>
      <c r="I1852" s="11" t="s">
        <v>4600</v>
      </c>
      <c r="J1852" s="9" t="str">
        <f>IFERROR(__xludf.DUMMYFUNCTION("""COMPUTED_VALUE"""),"https://www.google.com/search?newwindow=1&amp;ei=2MT0XrvGGM-vytMP1OyDgAY&amp;q=site%3Alinkedin.com+Eric+Paradis+Recruiter+-+Student+Programs")</f>
        <v>https://www.google.com/search?newwindow=1&amp;ei=2MT0XrvGGM-vytMP1OyDgAY&amp;q=site%3Alinkedin.com+Eric+Paradis+Recruiter+-+Student+Programs</v>
      </c>
      <c r="K1852" s="5" t="str">
        <f t="shared" si="1"/>
        <v>Eric Paradis</v>
      </c>
      <c r="L1852" s="5" t="str">
        <f t="shared" si="2"/>
        <v>Recruiter - Student Programs</v>
      </c>
      <c r="M1852" s="5" t="str">
        <f t="shared" si="3"/>
        <v/>
      </c>
      <c r="N1852" s="5" t="str">
        <f t="shared" si="4"/>
        <v>Amazon</v>
      </c>
      <c r="O1852" s="5" t="str">
        <f t="shared" si="5"/>
        <v>6 years 9 months in role and company</v>
      </c>
      <c r="P1852" s="5" t="str">
        <f t="shared" si="6"/>
        <v>West Linn</v>
      </c>
      <c r="Q1852" s="5" t="str">
        <f t="shared" si="7"/>
        <v>Oregon</v>
      </c>
      <c r="R1852" s="5" t="str">
        <f t="shared" si="8"/>
        <v>United States</v>
      </c>
    </row>
    <row r="1853">
      <c r="A1853" s="8" t="s">
        <v>9248</v>
      </c>
      <c r="B1853" s="12" t="s">
        <v>9249</v>
      </c>
      <c r="C1853" s="10" t="s">
        <v>9250</v>
      </c>
      <c r="D1853" s="10"/>
      <c r="E1853" s="10" t="s">
        <v>4701</v>
      </c>
      <c r="F1853" s="10" t="s">
        <v>1300</v>
      </c>
      <c r="G1853" s="11" t="s">
        <v>5280</v>
      </c>
      <c r="H1853" s="11" t="s">
        <v>4638</v>
      </c>
      <c r="I1853" s="11" t="s">
        <v>4600</v>
      </c>
      <c r="J1853" s="9" t="str">
        <f>IFERROR(__xludf.DUMMYFUNCTION("""COMPUTED_VALUE"""),"https://www.google.com/search?newwindow=1&amp;ei=2MT0XrvGGM-vytMP1OyDgAY&amp;q=site%3Alinkedin.com+Liz+Murphy+Director+Marketing+&amp;+Communication+University+Dean+Student+Recruitment+Interim+Consultant+Freelance")</f>
        <v>https://www.google.com/search?newwindow=1&amp;ei=2MT0XrvGGM-vytMP1OyDgAY&amp;q=site%3Alinkedin.com+Liz+Murphy+Director+Marketing+&amp;+Communication+University+Dean+Student+Recruitment+Interim+Consultant+Freelance</v>
      </c>
      <c r="K1853" s="5" t="str">
        <f t="shared" si="1"/>
        <v>Liz Murphy</v>
      </c>
      <c r="L1853" s="5" t="str">
        <f t="shared" si="2"/>
        <v>Director Marketing &amp; Communication University Dean Student Recruitment Interim Consultant Freelance</v>
      </c>
      <c r="M1853" s="5" t="str">
        <f t="shared" si="3"/>
        <v/>
      </c>
      <c r="N1853" s="5" t="str">
        <f t="shared" si="4"/>
        <v>Freelance, self-employed</v>
      </c>
      <c r="O1853" s="5" t="str">
        <f t="shared" si="5"/>
        <v>1 year 2 months in role and company</v>
      </c>
      <c r="P1853" s="5" t="str">
        <f t="shared" si="6"/>
        <v>West Midlands</v>
      </c>
      <c r="Q1853" s="5" t="str">
        <f t="shared" si="7"/>
        <v>England</v>
      </c>
      <c r="R1853" s="5" t="str">
        <f t="shared" si="8"/>
        <v>United Kingdom</v>
      </c>
    </row>
    <row r="1854">
      <c r="A1854" s="8" t="s">
        <v>9243</v>
      </c>
      <c r="B1854" s="12" t="s">
        <v>9244</v>
      </c>
      <c r="C1854" s="10" t="s">
        <v>4596</v>
      </c>
      <c r="D1854" s="10"/>
      <c r="E1854" s="10" t="s">
        <v>6576</v>
      </c>
      <c r="F1854" s="10" t="s">
        <v>1846</v>
      </c>
      <c r="G1854" s="11" t="s">
        <v>5280</v>
      </c>
      <c r="H1854" s="11" t="s">
        <v>4638</v>
      </c>
      <c r="I1854" s="11" t="s">
        <v>4600</v>
      </c>
      <c r="J1854" s="9" t="str">
        <f>IFERROR(__xludf.DUMMYFUNCTION("""COMPUTED_VALUE"""),"https://www.google.com/search?newwindow=1&amp;ei=2MT0XrvGGM-vytMP1OyDgAY&amp;q=site%3Alinkedin.com+Kristy+Littlewood+Graduate+Recruiter+and+University+Partnerships+Consultant")</f>
        <v>https://www.google.com/search?newwindow=1&amp;ei=2MT0XrvGGM-vytMP1OyDgAY&amp;q=site%3Alinkedin.com+Kristy+Littlewood+Graduate+Recruiter+and+University+Partnerships+Consultant</v>
      </c>
      <c r="K1854" s="5" t="str">
        <f t="shared" si="1"/>
        <v>Kristy Littlewood</v>
      </c>
      <c r="L1854" s="5" t="str">
        <f t="shared" si="2"/>
        <v>Graduate Recruiter and University Partnerships Consultant</v>
      </c>
      <c r="M1854" s="5" t="str">
        <f t="shared" si="3"/>
        <v/>
      </c>
      <c r="N1854" s="5" t="str">
        <f t="shared" si="4"/>
        <v>FDM Group</v>
      </c>
      <c r="O1854" s="5" t="str">
        <f t="shared" si="5"/>
        <v>1 year 2 months in role</v>
      </c>
      <c r="P1854" s="5" t="str">
        <f t="shared" si="6"/>
        <v>West Midlands</v>
      </c>
      <c r="Q1854" s="5" t="str">
        <f t="shared" si="7"/>
        <v>England</v>
      </c>
      <c r="R1854" s="5" t="str">
        <f t="shared" si="8"/>
        <v>United Kingdom</v>
      </c>
    </row>
    <row r="1855">
      <c r="A1855" s="8" t="s">
        <v>9404</v>
      </c>
      <c r="B1855" s="10" t="s">
        <v>9405</v>
      </c>
      <c r="C1855" s="10" t="s">
        <v>9406</v>
      </c>
      <c r="D1855" s="10"/>
      <c r="E1855" s="10" t="s">
        <v>9407</v>
      </c>
      <c r="F1855" s="10" t="s">
        <v>165</v>
      </c>
      <c r="G1855" s="11" t="s">
        <v>5280</v>
      </c>
      <c r="H1855" s="11" t="s">
        <v>4638</v>
      </c>
      <c r="I1855" s="11" t="s">
        <v>4600</v>
      </c>
      <c r="J1855" s="9" t="str">
        <f>IFERROR(__xludf.DUMMYFUNCTION("""COMPUTED_VALUE"""),"https://www.google.com/search?newwindow=1&amp;ei=2MT0XrvGGM-vytMP1OyDgAY&amp;q=site%3Alinkedin.com+Mark+Onikoyi+Senior+Campus+Recruiter,+EMEA")</f>
        <v>https://www.google.com/search?newwindow=1&amp;ei=2MT0XrvGGM-vytMP1OyDgAY&amp;q=site%3Alinkedin.com+Mark+Onikoyi+Senior+Campus+Recruiter,+EMEA</v>
      </c>
      <c r="K1855" s="5" t="str">
        <f t="shared" si="1"/>
        <v>Mark Onikoyi</v>
      </c>
      <c r="L1855" s="5" t="str">
        <f t="shared" si="2"/>
        <v>Senior Campus Recruiter, EMEA</v>
      </c>
      <c r="M1855" s="5" t="str">
        <f t="shared" si="3"/>
        <v/>
      </c>
      <c r="N1855" s="5" t="str">
        <f t="shared" si="4"/>
        <v>SOTI</v>
      </c>
      <c r="O1855" s="5" t="str">
        <f t="shared" si="5"/>
        <v>1 year 10 months in role and company</v>
      </c>
      <c r="P1855" s="5" t="str">
        <f t="shared" si="6"/>
        <v>West Midlands</v>
      </c>
      <c r="Q1855" s="5" t="str">
        <f t="shared" si="7"/>
        <v>England</v>
      </c>
      <c r="R1855" s="5" t="str">
        <f t="shared" si="8"/>
        <v>United Kingdom</v>
      </c>
    </row>
    <row r="1856">
      <c r="A1856" s="8" t="s">
        <v>9408</v>
      </c>
      <c r="B1856" s="10" t="s">
        <v>9409</v>
      </c>
      <c r="C1856" s="10" t="s">
        <v>9410</v>
      </c>
      <c r="D1856" s="10"/>
      <c r="E1856" s="10" t="s">
        <v>5374</v>
      </c>
      <c r="F1856" s="10" t="s">
        <v>60</v>
      </c>
      <c r="G1856" s="11" t="s">
        <v>5280</v>
      </c>
      <c r="H1856" s="11" t="s">
        <v>4638</v>
      </c>
      <c r="I1856" s="11" t="s">
        <v>4600</v>
      </c>
      <c r="J1856" s="9" t="str">
        <f>IFERROR(__xludf.DUMMYFUNCTION("""COMPUTED_VALUE"""),"https://www.google.com/search?newwindow=1&amp;ei=2MT0XrvGGM-vytMP1OyDgAY&amp;q=site%3Alinkedin.com+Sacha+Tyler+University+Recruiter")</f>
        <v>https://www.google.com/search?newwindow=1&amp;ei=2MT0XrvGGM-vytMP1OyDgAY&amp;q=site%3Alinkedin.com+Sacha+Tyler+University+Recruiter</v>
      </c>
      <c r="K1856" s="5" t="str">
        <f t="shared" si="1"/>
        <v>Sacha Tyler</v>
      </c>
      <c r="L1856" s="5" t="str">
        <f t="shared" si="2"/>
        <v>University Recruiter</v>
      </c>
      <c r="M1856" s="5" t="str">
        <f t="shared" si="3"/>
        <v/>
      </c>
      <c r="N1856" s="5" t="str">
        <f t="shared" si="4"/>
        <v>Teach First</v>
      </c>
      <c r="O1856" s="5" t="str">
        <f t="shared" si="5"/>
        <v>10 months in role and company</v>
      </c>
      <c r="P1856" s="5" t="str">
        <f t="shared" si="6"/>
        <v>West Midlands</v>
      </c>
      <c r="Q1856" s="5" t="str">
        <f t="shared" si="7"/>
        <v>England</v>
      </c>
      <c r="R1856" s="5" t="str">
        <f t="shared" si="8"/>
        <v>United Kingdom</v>
      </c>
    </row>
    <row r="1857">
      <c r="A1857" s="8" t="s">
        <v>9251</v>
      </c>
      <c r="B1857" s="12" t="s">
        <v>9252</v>
      </c>
      <c r="C1857" s="10" t="s">
        <v>25</v>
      </c>
      <c r="D1857" s="10"/>
      <c r="E1857" s="10" t="s">
        <v>14</v>
      </c>
      <c r="F1857" s="10" t="s">
        <v>574</v>
      </c>
      <c r="G1857" s="11" t="s">
        <v>5280</v>
      </c>
      <c r="H1857" s="11" t="s">
        <v>4638</v>
      </c>
      <c r="I1857" s="11" t="s">
        <v>4600</v>
      </c>
      <c r="J1857" s="9" t="str">
        <f>IFERROR(__xludf.DUMMYFUNCTION("""COMPUTED_VALUE"""),"https://www.google.com/search?newwindow=1&amp;ei=2MT0XrvGGM-vytMP1OyDgAY&amp;q=site%3Alinkedin.com+Kate+Weaver+University+Recruiter")</f>
        <v>https://www.google.com/search?newwindow=1&amp;ei=2MT0XrvGGM-vytMP1OyDgAY&amp;q=site%3Alinkedin.com+Kate+Weaver+University+Recruiter</v>
      </c>
      <c r="K1857" s="5" t="str">
        <f t="shared" si="1"/>
        <v>Kate Weaver</v>
      </c>
      <c r="L1857" s="5" t="str">
        <f t="shared" si="2"/>
        <v>University Recruiter</v>
      </c>
      <c r="M1857" s="5" t="str">
        <f t="shared" si="3"/>
        <v/>
      </c>
      <c r="N1857" s="5" t="str">
        <f t="shared" si="4"/>
        <v>Teach First</v>
      </c>
      <c r="O1857" s="5" t="str">
        <f t="shared" si="5"/>
        <v>2 years 4 months in role and company</v>
      </c>
      <c r="P1857" s="5" t="str">
        <f t="shared" si="6"/>
        <v>West Midlands</v>
      </c>
      <c r="Q1857" s="5" t="str">
        <f t="shared" si="7"/>
        <v>England</v>
      </c>
      <c r="R1857" s="5" t="str">
        <f t="shared" si="8"/>
        <v>United Kingdom</v>
      </c>
    </row>
    <row r="1858">
      <c r="A1858" s="8" t="s">
        <v>9411</v>
      </c>
      <c r="B1858" s="10" t="s">
        <v>9412</v>
      </c>
      <c r="C1858" s="10" t="s">
        <v>9413</v>
      </c>
      <c r="D1858" s="10"/>
      <c r="E1858" s="10" t="s">
        <v>5310</v>
      </c>
      <c r="F1858" s="10" t="s">
        <v>727</v>
      </c>
      <c r="G1858" s="11" t="s">
        <v>5280</v>
      </c>
      <c r="H1858" s="11" t="s">
        <v>4638</v>
      </c>
      <c r="I1858" s="11" t="s">
        <v>4600</v>
      </c>
      <c r="J1858" s="9" t="str">
        <f>IFERROR(__xludf.DUMMYFUNCTION("""COMPUTED_VALUE"""),"https://www.google.com/search?newwindow=1&amp;ei=2MT0XrvGGM-vytMP1OyDgAY&amp;q=site%3Alinkedin.com+Gábor+Tóth+Graduate+Recruiter+at+HSBC+via+Alexander+Mann+Solutions")</f>
        <v>https://www.google.com/search?newwindow=1&amp;ei=2MT0XrvGGM-vytMP1OyDgAY&amp;q=site%3Alinkedin.com+Gábor+Tóth+Graduate+Recruiter+at+HSBC+via+Alexander+Mann+Solutions</v>
      </c>
      <c r="K1858" s="5" t="str">
        <f t="shared" si="1"/>
        <v>Gábor Tóth</v>
      </c>
      <c r="L1858" s="5" t="str">
        <f t="shared" si="2"/>
        <v>Graduate Recruiter at HSBC via Alexander Mann Solutions</v>
      </c>
      <c r="M1858" s="5" t="str">
        <f t="shared" si="3"/>
        <v/>
      </c>
      <c r="N1858" s="5" t="str">
        <f t="shared" si="4"/>
        <v>Alexander Mann Solutions</v>
      </c>
      <c r="O1858" s="5" t="str">
        <f t="shared" si="5"/>
        <v>1 year 3 months in role</v>
      </c>
      <c r="P1858" s="5" t="str">
        <f t="shared" si="6"/>
        <v>West Midlands</v>
      </c>
      <c r="Q1858" s="5" t="str">
        <f t="shared" si="7"/>
        <v>England</v>
      </c>
      <c r="R1858" s="5" t="str">
        <f t="shared" si="8"/>
        <v>United Kingdom</v>
      </c>
    </row>
    <row r="1859">
      <c r="A1859" s="8" t="s">
        <v>9414</v>
      </c>
      <c r="B1859" s="12" t="s">
        <v>9415</v>
      </c>
      <c r="C1859" s="10" t="s">
        <v>9416</v>
      </c>
      <c r="D1859" s="10"/>
      <c r="E1859" s="10" t="s">
        <v>9417</v>
      </c>
      <c r="F1859" s="10" t="s">
        <v>237</v>
      </c>
      <c r="G1859" s="11" t="s">
        <v>5280</v>
      </c>
      <c r="H1859" s="11" t="s">
        <v>4638</v>
      </c>
      <c r="I1859" s="11" t="s">
        <v>4600</v>
      </c>
      <c r="J1859" s="9" t="str">
        <f>IFERROR(__xludf.DUMMYFUNCTION("""COMPUTED_VALUE"""),"https://www.google.com/search?newwindow=1&amp;ei=2MT0XrvGGM-vytMP1OyDgAY&amp;q=site%3Alinkedin.com+Molly+Jones+University+Student")</f>
        <v>https://www.google.com/search?newwindow=1&amp;ei=2MT0XrvGGM-vytMP1OyDgAY&amp;q=site%3Alinkedin.com+Molly+Jones+University+Student</v>
      </c>
      <c r="K1859" s="5" t="str">
        <f t="shared" si="1"/>
        <v>Molly Jones</v>
      </c>
      <c r="L1859" s="5" t="str">
        <f t="shared" si="2"/>
        <v>University Student</v>
      </c>
      <c r="M1859" s="5" t="str">
        <f t="shared" si="3"/>
        <v/>
      </c>
      <c r="N1859" s="5" t="str">
        <f t="shared" si="4"/>
        <v>University of Wolverhampton</v>
      </c>
      <c r="O1859" s="5" t="str">
        <f t="shared" si="5"/>
        <v>2 months in role and company</v>
      </c>
      <c r="P1859" s="5" t="str">
        <f t="shared" si="6"/>
        <v>West Midlands</v>
      </c>
      <c r="Q1859" s="5" t="str">
        <f t="shared" si="7"/>
        <v>England</v>
      </c>
      <c r="R1859" s="5" t="str">
        <f t="shared" si="8"/>
        <v>United Kingdom</v>
      </c>
    </row>
    <row r="1860">
      <c r="A1860" s="8" t="s">
        <v>9257</v>
      </c>
      <c r="B1860" s="12" t="s">
        <v>9258</v>
      </c>
      <c r="C1860" s="10" t="s">
        <v>9259</v>
      </c>
      <c r="D1860" s="10"/>
      <c r="E1860" s="10" t="s">
        <v>6576</v>
      </c>
      <c r="F1860" s="10" t="s">
        <v>2975</v>
      </c>
      <c r="G1860" s="11" t="s">
        <v>5280</v>
      </c>
      <c r="H1860" s="11" t="s">
        <v>4638</v>
      </c>
      <c r="I1860" s="11" t="s">
        <v>4600</v>
      </c>
      <c r="J1860" s="9" t="str">
        <f>IFERROR(__xludf.DUMMYFUNCTION("""COMPUTED_VALUE"""),"https://www.google.com/search?newwindow=1&amp;ei=2MT0XrvGGM-vytMP1OyDgAY&amp;q=site%3Alinkedin.com+Debbie+Bhermi+Student+Recruiter")</f>
        <v>https://www.google.com/search?newwindow=1&amp;ei=2MT0XrvGGM-vytMP1OyDgAY&amp;q=site%3Alinkedin.com+Debbie+Bhermi+Student+Recruiter</v>
      </c>
      <c r="K1860" s="5" t="str">
        <f t="shared" si="1"/>
        <v>Debbie Bhermi</v>
      </c>
      <c r="L1860" s="5" t="str">
        <f t="shared" si="2"/>
        <v>Student Recruiter</v>
      </c>
      <c r="M1860" s="5" t="str">
        <f t="shared" si="3"/>
        <v/>
      </c>
      <c r="N1860" s="5" t="str">
        <f t="shared" si="4"/>
        <v>EY</v>
      </c>
      <c r="O1860" s="5" t="str">
        <f t="shared" si="5"/>
        <v>4 years 7 months in role and company</v>
      </c>
      <c r="P1860" s="5" t="str">
        <f t="shared" si="6"/>
        <v>West Midlands</v>
      </c>
      <c r="Q1860" s="5" t="str">
        <f t="shared" si="7"/>
        <v>England</v>
      </c>
      <c r="R1860" s="5" t="str">
        <f t="shared" si="8"/>
        <v>United Kingdom</v>
      </c>
    </row>
    <row r="1861">
      <c r="A1861" s="8" t="s">
        <v>9260</v>
      </c>
      <c r="B1861" s="10" t="s">
        <v>9261</v>
      </c>
      <c r="C1861" s="10" t="s">
        <v>3886</v>
      </c>
      <c r="D1861" s="10"/>
      <c r="E1861" s="10" t="s">
        <v>9262</v>
      </c>
      <c r="F1861" s="10" t="s">
        <v>182</v>
      </c>
      <c r="G1861" s="11" t="s">
        <v>5280</v>
      </c>
      <c r="H1861" s="11" t="s">
        <v>4638</v>
      </c>
      <c r="I1861" s="11" t="s">
        <v>4600</v>
      </c>
      <c r="J1861" s="9" t="str">
        <f>IFERROR(__xludf.DUMMYFUNCTION("""COMPUTED_VALUE"""),"https://www.google.com/search?newwindow=1&amp;ei=2MT0XrvGGM-vytMP1OyDgAY&amp;q=site%3Alinkedin.com+Klara+Brittes+da+Silva+Business+and+Health+and+Social+Care+Lecturer/Freelance+Student+Recruiter")</f>
        <v>https://www.google.com/search?newwindow=1&amp;ei=2MT0XrvGGM-vytMP1OyDgAY&amp;q=site%3Alinkedin.com+Klara+Brittes+da+Silva+Business+and+Health+and+Social+Care+Lecturer/Freelance+Student+Recruiter</v>
      </c>
      <c r="K1861" s="5" t="str">
        <f t="shared" si="1"/>
        <v>Klara Brittes da Silva</v>
      </c>
      <c r="L1861" s="5" t="str">
        <f t="shared" si="2"/>
        <v>Business and Health and Social Care Lecturer/Freelance Student Recruiter</v>
      </c>
      <c r="M1861" s="5" t="str">
        <f t="shared" si="3"/>
        <v/>
      </c>
      <c r="N1861" s="5" t="str">
        <f t="shared" si="4"/>
        <v>London School of Science and Technology, Birmingham Campus</v>
      </c>
      <c r="O1861" s="5" t="str">
        <f t="shared" si="5"/>
        <v>3 years 8 months in role and company</v>
      </c>
      <c r="P1861" s="5" t="str">
        <f t="shared" si="6"/>
        <v>West Midlands</v>
      </c>
      <c r="Q1861" s="5" t="str">
        <f t="shared" si="7"/>
        <v>England</v>
      </c>
      <c r="R1861" s="5" t="str">
        <f t="shared" si="8"/>
        <v>United Kingdom</v>
      </c>
    </row>
    <row r="1862">
      <c r="A1862" s="8" t="s">
        <v>9263</v>
      </c>
      <c r="B1862" s="10" t="s">
        <v>9264</v>
      </c>
      <c r="C1862" s="10" t="s">
        <v>9265</v>
      </c>
      <c r="D1862" s="10"/>
      <c r="E1862" s="10" t="s">
        <v>9266</v>
      </c>
      <c r="F1862" s="10" t="s">
        <v>222</v>
      </c>
      <c r="G1862" s="11" t="s">
        <v>5280</v>
      </c>
      <c r="H1862" s="11" t="s">
        <v>4638</v>
      </c>
      <c r="I1862" s="11" t="s">
        <v>4600</v>
      </c>
      <c r="J1862" s="9" t="str">
        <f>IFERROR(__xludf.DUMMYFUNCTION("""COMPUTED_VALUE"""),"https://www.google.com/search?newwindow=1&amp;ei=2MT0XrvGGM-vytMP1OyDgAY&amp;q=site%3Alinkedin.com+Oscar+Wilton+Student+Recruiter+and+Advisor")</f>
        <v>https://www.google.com/search?newwindow=1&amp;ei=2MT0XrvGGM-vytMP1OyDgAY&amp;q=site%3Alinkedin.com+Oscar+Wilton+Student+Recruiter+and+Advisor</v>
      </c>
      <c r="K1862" s="5" t="str">
        <f t="shared" si="1"/>
        <v>Oscar Wilton</v>
      </c>
      <c r="L1862" s="5" t="str">
        <f t="shared" si="2"/>
        <v>Student Recruiter and Advisor</v>
      </c>
      <c r="M1862" s="5" t="str">
        <f t="shared" si="3"/>
        <v/>
      </c>
      <c r="N1862" s="5" t="str">
        <f t="shared" si="4"/>
        <v>The Open University</v>
      </c>
      <c r="O1862" s="5" t="str">
        <f t="shared" si="5"/>
        <v>4 months in role and company</v>
      </c>
      <c r="P1862" s="5" t="str">
        <f t="shared" si="6"/>
        <v>West Midlands</v>
      </c>
      <c r="Q1862" s="5" t="str">
        <f t="shared" si="7"/>
        <v>England</v>
      </c>
      <c r="R1862" s="5" t="str">
        <f t="shared" si="8"/>
        <v>United Kingdom</v>
      </c>
    </row>
    <row r="1863">
      <c r="A1863" s="8" t="s">
        <v>9418</v>
      </c>
      <c r="B1863" s="10" t="s">
        <v>9419</v>
      </c>
      <c r="C1863" s="10" t="s">
        <v>9420</v>
      </c>
      <c r="D1863" s="10"/>
      <c r="E1863" s="10" t="s">
        <v>9421</v>
      </c>
      <c r="F1863" s="10" t="s">
        <v>651</v>
      </c>
      <c r="G1863" s="11" t="s">
        <v>5280</v>
      </c>
      <c r="H1863" s="11" t="s">
        <v>4638</v>
      </c>
      <c r="I1863" s="11" t="s">
        <v>4600</v>
      </c>
      <c r="J1863" s="9" t="str">
        <f>IFERROR(__xludf.DUMMYFUNCTION("""COMPUTED_VALUE"""),"https://www.google.com/search?newwindow=1&amp;ei=2MT0XrvGGM-vytMP1OyDgAY&amp;q=site%3Alinkedin.com+Lindsey+Butterworth+Student+Recruiter")</f>
        <v>https://www.google.com/search?newwindow=1&amp;ei=2MT0XrvGGM-vytMP1OyDgAY&amp;q=site%3Alinkedin.com+Lindsey+Butterworth+Student+Recruiter</v>
      </c>
      <c r="K1863" s="5" t="str">
        <f t="shared" si="1"/>
        <v>Lindsey Butterworth</v>
      </c>
      <c r="L1863" s="5" t="str">
        <f t="shared" si="2"/>
        <v>Student Recruiter</v>
      </c>
      <c r="M1863" s="5" t="str">
        <f t="shared" si="3"/>
        <v/>
      </c>
      <c r="N1863" s="5" t="str">
        <f t="shared" si="4"/>
        <v>Simon Fraser University</v>
      </c>
      <c r="O1863" s="5" t="str">
        <f t="shared" si="5"/>
        <v>3 years 2 months in role and company</v>
      </c>
      <c r="P1863" s="5" t="str">
        <f t="shared" si="6"/>
        <v>West Vancouver</v>
      </c>
      <c r="Q1863" s="5" t="str">
        <f t="shared" si="7"/>
        <v>British Columbia</v>
      </c>
      <c r="R1863" s="5" t="str">
        <f t="shared" si="8"/>
        <v>Canada</v>
      </c>
    </row>
    <row r="1864">
      <c r="A1864" s="8" t="s">
        <v>9422</v>
      </c>
      <c r="B1864" s="12" t="s">
        <v>9423</v>
      </c>
      <c r="C1864" s="10" t="s">
        <v>9424</v>
      </c>
      <c r="D1864" s="10"/>
      <c r="E1864" s="10" t="s">
        <v>5374</v>
      </c>
      <c r="F1864" s="10" t="s">
        <v>192</v>
      </c>
      <c r="G1864" s="11" t="s">
        <v>5280</v>
      </c>
      <c r="H1864" s="11" t="s">
        <v>4638</v>
      </c>
      <c r="I1864" s="11" t="s">
        <v>4600</v>
      </c>
      <c r="J1864" s="9" t="str">
        <f>IFERROR(__xludf.DUMMYFUNCTION("""COMPUTED_VALUE"""),"https://www.google.com/search?newwindow=1&amp;ei=2MT0XrvGGM-vytMP1OyDgAY&amp;q=site%3Alinkedin.com+Sharon+Kenney+nee’+Wood+WA+Football+Commission+Winner+Ambassodor+Diversity+Programs")</f>
        <v>https://www.google.com/search?newwindow=1&amp;ei=2MT0XrvGGM-vytMP1OyDgAY&amp;q=site%3Alinkedin.com+Sharon+Kenney+nee’+Wood+WA+Football+Commission+Winner+Ambassodor+Diversity+Programs</v>
      </c>
      <c r="K1864" s="5" t="str">
        <f t="shared" si="1"/>
        <v>Sharon Kenney nee’ Wood</v>
      </c>
      <c r="L1864" s="5" t="str">
        <f t="shared" si="2"/>
        <v>WA Football Commission Winner Ambassodor Diversity Programs</v>
      </c>
      <c r="M1864" s="5" t="str">
        <f t="shared" si="3"/>
        <v/>
      </c>
      <c r="N1864" s="5" t="str">
        <f t="shared" si="4"/>
        <v>West Australian Football Commission</v>
      </c>
      <c r="O1864" s="5" t="str">
        <f t="shared" si="5"/>
        <v>1 year 2 months in role and company</v>
      </c>
      <c r="P1864" s="5" t="str">
        <f t="shared" si="6"/>
        <v>Western Australia</v>
      </c>
      <c r="Q1864" s="5" t="str">
        <f t="shared" si="7"/>
        <v>Australia</v>
      </c>
      <c r="R1864" s="5" t="str">
        <f t="shared" si="8"/>
        <v/>
      </c>
    </row>
    <row r="1865">
      <c r="A1865" s="8" t="s">
        <v>9425</v>
      </c>
      <c r="B1865" s="10" t="s">
        <v>9426</v>
      </c>
      <c r="C1865" s="10" t="s">
        <v>9427</v>
      </c>
      <c r="D1865" s="10"/>
      <c r="E1865" s="10" t="s">
        <v>5374</v>
      </c>
      <c r="F1865" s="10" t="s">
        <v>1676</v>
      </c>
      <c r="G1865" s="11" t="s">
        <v>5280</v>
      </c>
      <c r="H1865" s="11" t="s">
        <v>4638</v>
      </c>
      <c r="I1865" s="11" t="s">
        <v>4600</v>
      </c>
      <c r="J1865" s="9" t="str">
        <f>IFERROR(__xludf.DUMMYFUNCTION("""COMPUTED_VALUE"""),"https://www.google.com/search?newwindow=1&amp;ei=2MT0XrvGGM-vytMP1OyDgAY&amp;q=site%3Alinkedin.com+Stephanie+Schuck+University+and+Schools+Recruitment+Intern")</f>
        <v>https://www.google.com/search?newwindow=1&amp;ei=2MT0XrvGGM-vytMP1OyDgAY&amp;q=site%3Alinkedin.com+Stephanie+Schuck+University+and+Schools+Recruitment+Intern</v>
      </c>
      <c r="K1865" s="5" t="str">
        <f t="shared" si="1"/>
        <v>Stephanie Schuck</v>
      </c>
      <c r="L1865" s="5" t="str">
        <f t="shared" si="2"/>
        <v>University and Schools Recruitment Intern</v>
      </c>
      <c r="M1865" s="5" t="str">
        <f t="shared" si="3"/>
        <v/>
      </c>
      <c r="N1865" s="5" t="str">
        <f t="shared" si="4"/>
        <v>Operation Wallacea</v>
      </c>
      <c r="O1865" s="5" t="str">
        <f t="shared" si="5"/>
        <v>2 years 3 months in role</v>
      </c>
      <c r="P1865" s="5" t="str">
        <f t="shared" si="6"/>
        <v>Whitby</v>
      </c>
      <c r="Q1865" s="5" t="str">
        <f t="shared" si="7"/>
        <v>Ontario</v>
      </c>
      <c r="R1865" s="5" t="str">
        <f t="shared" si="8"/>
        <v>Canada</v>
      </c>
    </row>
    <row r="1866">
      <c r="A1866" s="8" t="s">
        <v>9428</v>
      </c>
      <c r="B1866" s="10" t="s">
        <v>9429</v>
      </c>
      <c r="C1866" s="10" t="s">
        <v>9430</v>
      </c>
      <c r="D1866" s="10"/>
      <c r="E1866" s="10" t="s">
        <v>9431</v>
      </c>
      <c r="F1866" s="10" t="s">
        <v>1244</v>
      </c>
      <c r="G1866" s="11" t="s">
        <v>5280</v>
      </c>
      <c r="H1866" s="11" t="s">
        <v>4638</v>
      </c>
      <c r="I1866" s="11" t="s">
        <v>4600</v>
      </c>
      <c r="J1866" s="9" t="str">
        <f>IFERROR(__xludf.DUMMYFUNCTION("""COMPUTED_VALUE"""),"https://www.google.com/search?newwindow=1&amp;ei=2MT0XrvGGM-vytMP1OyDgAY&amp;q=site%3Alinkedin.com+Karen+Davidson+Academic+Excellence+Team+Advisor+(Ontario+Tech+University)")</f>
        <v>https://www.google.com/search?newwindow=1&amp;ei=2MT0XrvGGM-vytMP1OyDgAY&amp;q=site%3Alinkedin.com+Karen+Davidson+Academic+Excellence+Team+Advisor+(Ontario+Tech+University)</v>
      </c>
      <c r="K1866" s="5" t="str">
        <f t="shared" si="1"/>
        <v>Karen Davidson</v>
      </c>
      <c r="L1866" s="5" t="str">
        <f t="shared" si="2"/>
        <v>Academic Excellence Team Advisor (Ontario Tech University)</v>
      </c>
      <c r="M1866" s="5" t="str">
        <f t="shared" si="3"/>
        <v/>
      </c>
      <c r="N1866" s="5" t="str">
        <f t="shared" si="4"/>
        <v>Alpha Gamma Delta</v>
      </c>
      <c r="O1866" s="5" t="str">
        <f t="shared" si="5"/>
        <v>9 months in role</v>
      </c>
      <c r="P1866" s="5" t="str">
        <f t="shared" si="6"/>
        <v>Whitby</v>
      </c>
      <c r="Q1866" s="5" t="str">
        <f t="shared" si="7"/>
        <v>Ontario</v>
      </c>
      <c r="R1866" s="5" t="str">
        <f t="shared" si="8"/>
        <v>Canada</v>
      </c>
    </row>
    <row r="1867">
      <c r="A1867" s="8" t="s">
        <v>9432</v>
      </c>
      <c r="B1867" s="10" t="s">
        <v>9433</v>
      </c>
      <c r="C1867" s="10" t="s">
        <v>9434</v>
      </c>
      <c r="D1867" s="10"/>
      <c r="E1867" s="10" t="s">
        <v>5374</v>
      </c>
      <c r="F1867" s="10" t="s">
        <v>237</v>
      </c>
      <c r="G1867" s="11" t="s">
        <v>5280</v>
      </c>
      <c r="H1867" s="11" t="s">
        <v>4638</v>
      </c>
      <c r="I1867" s="11" t="s">
        <v>4600</v>
      </c>
      <c r="J1867" s="9" t="str">
        <f>IFERROR(__xludf.DUMMYFUNCTION("""COMPUTED_VALUE"""),"https://www.google.com/search?newwindow=1&amp;ei=2MT0XrvGGM-vytMP1OyDgAY&amp;q=site%3Alinkedin.com+Emily+Oates+Campus+Recruiting+Coordinator")</f>
        <v>https://www.google.com/search?newwindow=1&amp;ei=2MT0XrvGGM-vytMP1OyDgAY&amp;q=site%3Alinkedin.com+Emily+Oates+Campus+Recruiting+Coordinator</v>
      </c>
      <c r="K1867" s="5" t="str">
        <f t="shared" si="1"/>
        <v>Emily Oates</v>
      </c>
      <c r="L1867" s="5" t="str">
        <f t="shared" si="2"/>
        <v>Campus Recruiting Coordinator</v>
      </c>
      <c r="M1867" s="5" t="str">
        <f t="shared" si="3"/>
        <v/>
      </c>
      <c r="N1867" s="5" t="str">
        <f t="shared" si="4"/>
        <v>Morgan Stanley</v>
      </c>
      <c r="O1867" s="5" t="str">
        <f t="shared" si="5"/>
        <v>1 year 5 months in role and company</v>
      </c>
      <c r="P1867" s="5" t="str">
        <f t="shared" si="6"/>
        <v>White Plains</v>
      </c>
      <c r="Q1867" s="5" t="str">
        <f t="shared" si="7"/>
        <v>New York</v>
      </c>
      <c r="R1867" s="5" t="str">
        <f t="shared" si="8"/>
        <v>United States</v>
      </c>
    </row>
    <row r="1868">
      <c r="A1868" s="8" t="s">
        <v>9435</v>
      </c>
      <c r="B1868" s="12" t="s">
        <v>9436</v>
      </c>
      <c r="C1868" s="10" t="s">
        <v>9437</v>
      </c>
      <c r="D1868" s="10"/>
      <c r="E1868" s="10" t="s">
        <v>5374</v>
      </c>
      <c r="F1868" s="10" t="s">
        <v>268</v>
      </c>
      <c r="G1868" s="11" t="s">
        <v>5280</v>
      </c>
      <c r="H1868" s="11" t="s">
        <v>4638</v>
      </c>
      <c r="I1868" s="11" t="s">
        <v>4600</v>
      </c>
      <c r="J1868" s="9" t="str">
        <f>IFERROR(__xludf.DUMMYFUNCTION("""COMPUTED_VALUE"""),"https://www.google.com/search?newwindow=1&amp;ei=2MT0XrvGGM-vytMP1OyDgAY&amp;q=site%3Alinkedin.com+Renata+Roncalli+UK+Campus+Recruiter")</f>
        <v>https://www.google.com/search?newwindow=1&amp;ei=2MT0XrvGGM-vytMP1OyDgAY&amp;q=site%3Alinkedin.com+Renata+Roncalli+UK+Campus+Recruiter</v>
      </c>
      <c r="K1868" s="5" t="str">
        <f t="shared" si="1"/>
        <v>Renata Roncalli</v>
      </c>
      <c r="L1868" s="5" t="str">
        <f t="shared" si="2"/>
        <v>UK Campus Recruiter</v>
      </c>
      <c r="M1868" s="5" t="str">
        <f t="shared" si="3"/>
        <v/>
      </c>
      <c r="N1868" s="5" t="str">
        <f t="shared" si="4"/>
        <v>Amazon</v>
      </c>
      <c r="O1868" s="5" t="str">
        <f t="shared" si="5"/>
        <v>10 months in role and company</v>
      </c>
      <c r="P1868" s="5" t="str">
        <f t="shared" si="6"/>
        <v>Whitnash</v>
      </c>
      <c r="Q1868" s="5" t="str">
        <f t="shared" si="7"/>
        <v>England</v>
      </c>
      <c r="R1868" s="5" t="str">
        <f t="shared" si="8"/>
        <v>United Kingdom</v>
      </c>
    </row>
    <row r="1869">
      <c r="A1869" s="8" t="s">
        <v>9438</v>
      </c>
      <c r="B1869" s="10" t="s">
        <v>9439</v>
      </c>
      <c r="C1869" s="10" t="s">
        <v>9440</v>
      </c>
      <c r="D1869" s="10"/>
      <c r="E1869" s="10" t="s">
        <v>9441</v>
      </c>
      <c r="F1869" s="10" t="s">
        <v>63</v>
      </c>
      <c r="G1869" s="11" t="s">
        <v>5280</v>
      </c>
      <c r="H1869" s="11" t="s">
        <v>4638</v>
      </c>
      <c r="I1869" s="11" t="s">
        <v>4600</v>
      </c>
      <c r="J1869" s="9" t="str">
        <f>IFERROR(__xludf.DUMMYFUNCTION("""COMPUTED_VALUE"""),"https://www.google.com/search?newwindow=1&amp;ei=2MT0XrvGGM-vytMP1OyDgAY&amp;q=site%3Alinkedin.com+Andre+Johnson+Senior+Associate+-+Campus+Recruiting")</f>
        <v>https://www.google.com/search?newwindow=1&amp;ei=2MT0XrvGGM-vytMP1OyDgAY&amp;q=site%3Alinkedin.com+Andre+Johnson+Senior+Associate+-+Campus+Recruiting</v>
      </c>
      <c r="K1869" s="5" t="str">
        <f t="shared" si="1"/>
        <v>Andre Johnson</v>
      </c>
      <c r="L1869" s="5" t="str">
        <f t="shared" si="2"/>
        <v>Senior Associate - Campus Recruiting</v>
      </c>
      <c r="M1869" s="5" t="str">
        <f t="shared" si="3"/>
        <v/>
      </c>
      <c r="N1869" s="5" t="str">
        <f t="shared" si="4"/>
        <v>Capital One</v>
      </c>
      <c r="O1869" s="5" t="str">
        <f t="shared" si="5"/>
        <v>10 months in role</v>
      </c>
      <c r="P1869" s="5" t="str">
        <f t="shared" si="6"/>
        <v>Wilmington</v>
      </c>
      <c r="Q1869" s="5" t="str">
        <f t="shared" si="7"/>
        <v>Delaware</v>
      </c>
      <c r="R1869" s="5" t="str">
        <f t="shared" si="8"/>
        <v>United States</v>
      </c>
    </row>
    <row r="1870">
      <c r="A1870" s="8" t="s">
        <v>9442</v>
      </c>
      <c r="B1870" s="10" t="s">
        <v>9443</v>
      </c>
      <c r="C1870" s="10" t="s">
        <v>9444</v>
      </c>
      <c r="D1870" s="10"/>
      <c r="E1870" s="10" t="s">
        <v>5409</v>
      </c>
      <c r="F1870" s="10" t="s">
        <v>257</v>
      </c>
      <c r="G1870" s="11" t="s">
        <v>5280</v>
      </c>
      <c r="H1870" s="11" t="s">
        <v>4638</v>
      </c>
      <c r="I1870" s="11" t="s">
        <v>4600</v>
      </c>
      <c r="J1870" s="9" t="str">
        <f>IFERROR(__xludf.DUMMYFUNCTION("""COMPUTED_VALUE"""),"https://www.google.com/search?newwindow=1&amp;ei=2MT0XrvGGM-vytMP1OyDgAY&amp;q=site%3Alinkedin.com+Sarah+Tegen+Supervising+Associate,+Campus+Recruiting")</f>
        <v>https://www.google.com/search?newwindow=1&amp;ei=2MT0XrvGGM-vytMP1OyDgAY&amp;q=site%3Alinkedin.com+Sarah+Tegen+Supervising+Associate,+Campus+Recruiting</v>
      </c>
      <c r="K1870" s="5" t="str">
        <f t="shared" si="1"/>
        <v>Sarah Tegen</v>
      </c>
      <c r="L1870" s="5" t="str">
        <f t="shared" si="2"/>
        <v>Supervising Associate, Campus Recruiting</v>
      </c>
      <c r="M1870" s="5" t="str">
        <f t="shared" si="3"/>
        <v/>
      </c>
      <c r="N1870" s="5" t="str">
        <f t="shared" si="4"/>
        <v>EY</v>
      </c>
      <c r="O1870" s="5" t="str">
        <f t="shared" si="5"/>
        <v>2 years 1 month in role</v>
      </c>
      <c r="P1870" s="5" t="str">
        <f t="shared" si="6"/>
        <v>Wilmington</v>
      </c>
      <c r="Q1870" s="5" t="str">
        <f t="shared" si="7"/>
        <v>North Carolina</v>
      </c>
      <c r="R1870" s="5" t="str">
        <f t="shared" si="8"/>
        <v>United States</v>
      </c>
    </row>
    <row r="1871">
      <c r="A1871" s="8" t="s">
        <v>9445</v>
      </c>
      <c r="B1871" s="10" t="s">
        <v>9446</v>
      </c>
      <c r="C1871" s="10" t="s">
        <v>9447</v>
      </c>
      <c r="D1871" s="10"/>
      <c r="E1871" s="10" t="s">
        <v>9448</v>
      </c>
      <c r="F1871" s="10" t="s">
        <v>9449</v>
      </c>
      <c r="G1871" s="11" t="s">
        <v>5280</v>
      </c>
      <c r="H1871" s="11" t="s">
        <v>4638</v>
      </c>
      <c r="I1871" s="11" t="s">
        <v>4600</v>
      </c>
      <c r="J1871" s="9" t="str">
        <f>IFERROR(__xludf.DUMMYFUNCTION("""COMPUTED_VALUE"""),"https://www.google.com/search?newwindow=1&amp;ei=2MT0XrvGGM-vytMP1OyDgAY&amp;q=site%3Alinkedin.com+Reece+Jagger+Campus+Recruiter")</f>
        <v>https://www.google.com/search?newwindow=1&amp;ei=2MT0XrvGGM-vytMP1OyDgAY&amp;q=site%3Alinkedin.com+Reece+Jagger+Campus+Recruiter</v>
      </c>
      <c r="K1871" s="5" t="str">
        <f t="shared" si="1"/>
        <v>Reece Jagger</v>
      </c>
      <c r="L1871" s="5" t="str">
        <f t="shared" si="2"/>
        <v>Campus Recruiter</v>
      </c>
      <c r="M1871" s="5" t="str">
        <f t="shared" si="3"/>
        <v/>
      </c>
      <c r="N1871" s="5" t="str">
        <f t="shared" si="4"/>
        <v>Greensill</v>
      </c>
      <c r="O1871" s="5" t="str">
        <f t="shared" si="5"/>
        <v>8 months in role and company</v>
      </c>
      <c r="P1871" s="5" t="str">
        <f t="shared" si="6"/>
        <v>Wilmslow</v>
      </c>
      <c r="Q1871" s="5" t="str">
        <f t="shared" si="7"/>
        <v>England</v>
      </c>
      <c r="R1871" s="5" t="str">
        <f t="shared" si="8"/>
        <v>United Kingdom</v>
      </c>
    </row>
    <row r="1872">
      <c r="A1872" s="8" t="s">
        <v>9267</v>
      </c>
      <c r="B1872" s="10" t="s">
        <v>9268</v>
      </c>
      <c r="C1872" s="10" t="s">
        <v>9269</v>
      </c>
      <c r="D1872" s="10"/>
      <c r="E1872" s="10" t="s">
        <v>6237</v>
      </c>
      <c r="F1872" s="10" t="s">
        <v>237</v>
      </c>
      <c r="G1872" s="11" t="s">
        <v>5280</v>
      </c>
      <c r="H1872" s="11" t="s">
        <v>4638</v>
      </c>
      <c r="I1872" s="11" t="s">
        <v>4600</v>
      </c>
      <c r="J1872" s="9" t="str">
        <f>IFERROR(__xludf.DUMMYFUNCTION("""COMPUTED_VALUE"""),"https://www.google.com/search?newwindow=1&amp;ei=2MT0XrvGGM-vytMP1OyDgAY&amp;q=site%3Alinkedin.com+Kristi+Breen+Vice+President,+Disney+International+and+Campus+Recruiting,+Disney+Cruise+LIne+Recruiting")</f>
        <v>https://www.google.com/search?newwindow=1&amp;ei=2MT0XrvGGM-vytMP1OyDgAY&amp;q=site%3Alinkedin.com+Kristi+Breen+Vice+President,+Disney+International+and+Campus+Recruiting,+Disney+Cruise+LIne+Recruiting</v>
      </c>
      <c r="K1872" s="5" t="str">
        <f t="shared" si="1"/>
        <v>Kristi Breen</v>
      </c>
      <c r="L1872" s="5" t="str">
        <f t="shared" si="2"/>
        <v>Vice President, Disney International and Campus Recruiting, Disney Cruise LIne Recruiting</v>
      </c>
      <c r="M1872" s="5" t="str">
        <f t="shared" si="3"/>
        <v/>
      </c>
      <c r="N1872" s="5" t="str">
        <f t="shared" si="4"/>
        <v>The Walt Disney Company</v>
      </c>
      <c r="O1872" s="5" t="str">
        <f t="shared" si="5"/>
        <v>7 years 8 months in role and company</v>
      </c>
      <c r="P1872" s="5" t="str">
        <f t="shared" si="6"/>
        <v>Windermere</v>
      </c>
      <c r="Q1872" s="5" t="str">
        <f t="shared" si="7"/>
        <v>Florida</v>
      </c>
      <c r="R1872" s="5" t="str">
        <f t="shared" si="8"/>
        <v>United States</v>
      </c>
    </row>
    <row r="1873">
      <c r="A1873" s="8" t="s">
        <v>9273</v>
      </c>
      <c r="B1873" s="10" t="s">
        <v>9274</v>
      </c>
      <c r="C1873" s="10" t="s">
        <v>9275</v>
      </c>
      <c r="D1873" s="10"/>
      <c r="E1873" s="10" t="s">
        <v>5374</v>
      </c>
      <c r="F1873" s="10" t="s">
        <v>144</v>
      </c>
      <c r="G1873" s="11" t="s">
        <v>5280</v>
      </c>
      <c r="H1873" s="11" t="s">
        <v>4638</v>
      </c>
      <c r="I1873" s="11" t="s">
        <v>4600</v>
      </c>
      <c r="J1873" s="9" t="str">
        <f>IFERROR(__xludf.DUMMYFUNCTION("""COMPUTED_VALUE"""),"https://www.google.com/search?newwindow=1&amp;ei=2MT0XrvGGM-vytMP1OyDgAY&amp;q=site%3Alinkedin.com+Nick+Cacciato+International+Student+Recruiter")</f>
        <v>https://www.google.com/search?newwindow=1&amp;ei=2MT0XrvGGM-vytMP1OyDgAY&amp;q=site%3Alinkedin.com+Nick+Cacciato+International+Student+Recruiter</v>
      </c>
      <c r="K1873" s="5" t="str">
        <f t="shared" si="1"/>
        <v>Nick Cacciato</v>
      </c>
      <c r="L1873" s="5" t="str">
        <f t="shared" si="2"/>
        <v>International Student Recruiter</v>
      </c>
      <c r="M1873" s="5" t="str">
        <f t="shared" si="3"/>
        <v/>
      </c>
      <c r="N1873" s="5" t="str">
        <f t="shared" si="4"/>
        <v>DC Language</v>
      </c>
      <c r="O1873" s="5" t="str">
        <f t="shared" si="5"/>
        <v>20 years 10 months in role and company</v>
      </c>
      <c r="P1873" s="5" t="str">
        <f t="shared" si="6"/>
        <v>Windsor</v>
      </c>
      <c r="Q1873" s="5" t="str">
        <f t="shared" si="7"/>
        <v>Ontario</v>
      </c>
      <c r="R1873" s="5" t="str">
        <f t="shared" si="8"/>
        <v>Canada</v>
      </c>
    </row>
    <row r="1874">
      <c r="A1874" s="8" t="s">
        <v>9270</v>
      </c>
      <c r="B1874" s="10" t="s">
        <v>9271</v>
      </c>
      <c r="C1874" s="10" t="s">
        <v>5068</v>
      </c>
      <c r="D1874" s="12"/>
      <c r="E1874" s="12" t="s">
        <v>9272</v>
      </c>
      <c r="F1874" s="10"/>
      <c r="G1874" s="11" t="s">
        <v>5280</v>
      </c>
      <c r="H1874" s="11" t="s">
        <v>4638</v>
      </c>
      <c r="I1874" s="11" t="s">
        <v>4600</v>
      </c>
      <c r="J1874" s="9" t="str">
        <f>IFERROR(__xludf.DUMMYFUNCTION("""COMPUTED_VALUE"""),"https://www.google.com/search?newwindow=1&amp;ei=2MT0XrvGGM-vytMP1OyDgAY&amp;q=site%3Alinkedin.com+Petar+Vidakovic+Student+Recruiter")</f>
        <v>https://www.google.com/search?newwindow=1&amp;ei=2MT0XrvGGM-vytMP1OyDgAY&amp;q=site%3Alinkedin.com+Petar+Vidakovic+Student+Recruiter</v>
      </c>
      <c r="K1874" s="5" t="str">
        <f t="shared" si="1"/>
        <v>Petar Vidakovic</v>
      </c>
      <c r="L1874" s="5" t="str">
        <f t="shared" si="2"/>
        <v>Student Recruiter</v>
      </c>
      <c r="M1874" s="5" t="str">
        <f t="shared" si="3"/>
        <v/>
      </c>
      <c r="N1874" s="5" t="str">
        <f t="shared" si="4"/>
        <v>St. Clair College</v>
      </c>
      <c r="O1874" s="5" t="str">
        <f t="shared" si="5"/>
        <v/>
      </c>
      <c r="P1874" s="5" t="str">
        <f t="shared" si="6"/>
        <v>Windsor</v>
      </c>
      <c r="Q1874" s="5" t="str">
        <f t="shared" si="7"/>
        <v>Ontario</v>
      </c>
      <c r="R1874" s="5" t="str">
        <f t="shared" si="8"/>
        <v>Canada</v>
      </c>
    </row>
    <row r="1875">
      <c r="A1875" s="8" t="s">
        <v>9450</v>
      </c>
      <c r="B1875" s="10" t="s">
        <v>9451</v>
      </c>
      <c r="C1875" s="10" t="s">
        <v>9452</v>
      </c>
      <c r="D1875" s="10"/>
      <c r="E1875" s="10" t="s">
        <v>9453</v>
      </c>
      <c r="F1875" s="10" t="s">
        <v>351</v>
      </c>
      <c r="G1875" s="11" t="s">
        <v>5280</v>
      </c>
      <c r="H1875" s="11" t="s">
        <v>4638</v>
      </c>
      <c r="I1875" s="11" t="s">
        <v>4600</v>
      </c>
      <c r="J1875" s="9" t="str">
        <f>IFERROR(__xludf.DUMMYFUNCTION("""COMPUTED_VALUE"""),"https://www.google.com/search?newwindow=1&amp;ei=2MT0XrvGGM-vytMP1OyDgAY&amp;q=site%3Alinkedin.com+Riley+C.+Proulx+IBEP+Student+Advisor+&amp;+Recruiter")</f>
        <v>https://www.google.com/search?newwindow=1&amp;ei=2MT0XrvGGM-vytMP1OyDgAY&amp;q=site%3Alinkedin.com+Riley+C.+Proulx+IBEP+Student+Advisor+&amp;+Recruiter</v>
      </c>
      <c r="K1875" s="5" t="str">
        <f t="shared" si="1"/>
        <v>Riley C. Proulx</v>
      </c>
      <c r="L1875" s="5" t="str">
        <f t="shared" si="2"/>
        <v>IBEP Student Advisor &amp; Recruiter</v>
      </c>
      <c r="M1875" s="5" t="str">
        <f t="shared" si="3"/>
        <v/>
      </c>
      <c r="N1875" s="5" t="str">
        <f t="shared" si="4"/>
        <v>Asper School of Business</v>
      </c>
      <c r="O1875" s="5" t="str">
        <f t="shared" si="5"/>
        <v>1 year 1 month in role and company</v>
      </c>
      <c r="P1875" s="5" t="str">
        <f t="shared" si="6"/>
        <v>Winnipeg</v>
      </c>
      <c r="Q1875" s="5" t="str">
        <f t="shared" si="7"/>
        <v>Manitoba</v>
      </c>
      <c r="R1875" s="5" t="str">
        <f t="shared" si="8"/>
        <v>Canada</v>
      </c>
    </row>
    <row r="1876">
      <c r="A1876" s="8" t="s">
        <v>9454</v>
      </c>
      <c r="B1876" s="12" t="s">
        <v>9455</v>
      </c>
      <c r="C1876" s="10" t="s">
        <v>9456</v>
      </c>
      <c r="D1876" s="10"/>
      <c r="E1876" s="10" t="s">
        <v>9457</v>
      </c>
      <c r="F1876" s="10" t="s">
        <v>441</v>
      </c>
      <c r="G1876" s="11" t="s">
        <v>5280</v>
      </c>
      <c r="H1876" s="11" t="s">
        <v>4638</v>
      </c>
      <c r="I1876" s="11" t="s">
        <v>4600</v>
      </c>
      <c r="J1876" s="9" t="str">
        <f>IFERROR(__xludf.DUMMYFUNCTION("""COMPUTED_VALUE"""),"https://www.google.com/search?newwindow=1&amp;ei=2MT0XrvGGM-vytMP1OyDgAY&amp;q=site%3Alinkedin.com+Colleen+Booth+Student+Recruiter+/+Trainer")</f>
        <v>https://www.google.com/search?newwindow=1&amp;ei=2MT0XrvGGM-vytMP1OyDgAY&amp;q=site%3Alinkedin.com+Colleen+Booth+Student+Recruiter+/+Trainer</v>
      </c>
      <c r="K1876" s="5" t="str">
        <f t="shared" si="1"/>
        <v>Colleen Booth</v>
      </c>
      <c r="L1876" s="5" t="str">
        <f t="shared" si="2"/>
        <v>Student Recruiter / Trainer</v>
      </c>
      <c r="M1876" s="5" t="str">
        <f t="shared" si="3"/>
        <v/>
      </c>
      <c r="N1876" s="5" t="str">
        <f t="shared" si="4"/>
        <v>Manitoba Tourism Education College (MTEC)</v>
      </c>
      <c r="O1876" s="5" t="str">
        <f t="shared" si="5"/>
        <v>3 years 10 months in role and company</v>
      </c>
      <c r="P1876" s="5" t="str">
        <f t="shared" si="6"/>
        <v>Winnipeg</v>
      </c>
      <c r="Q1876" s="5" t="str">
        <f t="shared" si="7"/>
        <v>Manitoba</v>
      </c>
      <c r="R1876" s="5" t="str">
        <f t="shared" si="8"/>
        <v>Canada</v>
      </c>
    </row>
    <row r="1877">
      <c r="A1877" s="8" t="s">
        <v>9458</v>
      </c>
      <c r="B1877" s="12" t="s">
        <v>9459</v>
      </c>
      <c r="C1877" s="10" t="s">
        <v>9460</v>
      </c>
      <c r="D1877" s="10"/>
      <c r="E1877" s="10" t="s">
        <v>5413</v>
      </c>
      <c r="F1877" s="10" t="s">
        <v>106</v>
      </c>
      <c r="G1877" s="11" t="s">
        <v>5280</v>
      </c>
      <c r="H1877" s="11" t="s">
        <v>4638</v>
      </c>
      <c r="I1877" s="11" t="s">
        <v>4600</v>
      </c>
      <c r="J1877" s="9" t="str">
        <f>IFERROR(__xludf.DUMMYFUNCTION("""COMPUTED_VALUE"""),"https://www.google.com/search?newwindow=1&amp;ei=2MT0XrvGGM-vytMP1OyDgAY&amp;q=site%3Alinkedin.com+Monele+Schrot+Director+of+French+Programs")</f>
        <v>https://www.google.com/search?newwindow=1&amp;ei=2MT0XrvGGM-vytMP1OyDgAY&amp;q=site%3Alinkedin.com+Monele+Schrot+Director+of+French+Programs</v>
      </c>
      <c r="K1877" s="5" t="str">
        <f t="shared" si="1"/>
        <v>Monele Schrot</v>
      </c>
      <c r="L1877" s="5" t="str">
        <f t="shared" si="2"/>
        <v>Director of French Programs</v>
      </c>
      <c r="M1877" s="5" t="str">
        <f t="shared" si="3"/>
        <v/>
      </c>
      <c r="N1877" s="5" t="str">
        <f t="shared" si="4"/>
        <v>ICEF</v>
      </c>
      <c r="O1877" s="5" t="str">
        <f t="shared" si="5"/>
        <v>2 years 10 months in role and company</v>
      </c>
      <c r="P1877" s="5" t="str">
        <f t="shared" si="6"/>
        <v>Winnipeg</v>
      </c>
      <c r="Q1877" s="5" t="str">
        <f t="shared" si="7"/>
        <v>Manitoba</v>
      </c>
      <c r="R1877" s="5" t="str">
        <f t="shared" si="8"/>
        <v>Canada</v>
      </c>
    </row>
    <row r="1878">
      <c r="A1878" s="8" t="s">
        <v>9461</v>
      </c>
      <c r="B1878" s="10" t="s">
        <v>9462</v>
      </c>
      <c r="C1878" s="10" t="s">
        <v>5485</v>
      </c>
      <c r="D1878" s="10"/>
      <c r="E1878" s="10" t="s">
        <v>5374</v>
      </c>
      <c r="F1878" s="10" t="s">
        <v>574</v>
      </c>
      <c r="G1878" s="11" t="s">
        <v>5280</v>
      </c>
      <c r="H1878" s="11" t="s">
        <v>4638</v>
      </c>
      <c r="I1878" s="11" t="s">
        <v>4600</v>
      </c>
      <c r="J1878" s="9" t="str">
        <f>IFERROR(__xludf.DUMMYFUNCTION("""COMPUTED_VALUE"""),"https://www.google.com/search?newwindow=1&amp;ei=2MT0XrvGGM-vytMP1OyDgAY&amp;q=site%3Alinkedin.com+Karen+Singleton+Graduate+Programs+Student+Advisor")</f>
        <v>https://www.google.com/search?newwindow=1&amp;ei=2MT0XrvGGM-vytMP1OyDgAY&amp;q=site%3Alinkedin.com+Karen+Singleton+Graduate+Programs+Student+Advisor</v>
      </c>
      <c r="K1878" s="5" t="str">
        <f t="shared" si="1"/>
        <v>Karen Singleton</v>
      </c>
      <c r="L1878" s="5" t="str">
        <f t="shared" si="2"/>
        <v>Graduate Programs Student Advisor</v>
      </c>
      <c r="M1878" s="5" t="str">
        <f t="shared" si="3"/>
        <v/>
      </c>
      <c r="N1878" s="5" t="str">
        <f t="shared" si="4"/>
        <v>Faculty of Social Work; University of Manitoba</v>
      </c>
      <c r="O1878" s="5" t="str">
        <f t="shared" si="5"/>
        <v>18 years 9 months in role and company</v>
      </c>
      <c r="P1878" s="5" t="str">
        <f t="shared" si="6"/>
        <v>Winnipeg</v>
      </c>
      <c r="Q1878" s="5" t="str">
        <f t="shared" si="7"/>
        <v>Manitoba</v>
      </c>
      <c r="R1878" s="5" t="str">
        <f t="shared" si="8"/>
        <v>Canada</v>
      </c>
    </row>
    <row r="1879">
      <c r="A1879" s="8" t="s">
        <v>9463</v>
      </c>
      <c r="B1879" s="10" t="s">
        <v>9464</v>
      </c>
      <c r="C1879" s="10" t="s">
        <v>9465</v>
      </c>
      <c r="D1879" s="10"/>
      <c r="E1879" s="10" t="s">
        <v>5450</v>
      </c>
      <c r="F1879" s="10" t="s">
        <v>345</v>
      </c>
      <c r="G1879" s="11" t="s">
        <v>5280</v>
      </c>
      <c r="H1879" s="11" t="s">
        <v>4638</v>
      </c>
      <c r="I1879" s="11" t="s">
        <v>4600</v>
      </c>
      <c r="J1879" s="9" t="str">
        <f>IFERROR(__xludf.DUMMYFUNCTION("""COMPUTED_VALUE"""),"https://www.google.com/search?newwindow=1&amp;ei=2MT0XrvGGM-vytMP1OyDgAY&amp;q=site%3Alinkedin.com+Lars+Feilberg+Division+Principal+of+Student+Services")</f>
        <v>https://www.google.com/search?newwindow=1&amp;ei=2MT0XrvGGM-vytMP1OyDgAY&amp;q=site%3Alinkedin.com+Lars+Feilberg+Division+Principal+of+Student+Services</v>
      </c>
      <c r="K1879" s="5" t="str">
        <f t="shared" si="1"/>
        <v>Lars Feilberg</v>
      </c>
      <c r="L1879" s="5" t="str">
        <f t="shared" si="2"/>
        <v>Division Principal of Student Services</v>
      </c>
      <c r="M1879" s="5" t="str">
        <f t="shared" si="3"/>
        <v/>
      </c>
      <c r="N1879" s="5" t="str">
        <f t="shared" si="4"/>
        <v>Sunrise School Division</v>
      </c>
      <c r="O1879" s="5" t="str">
        <f t="shared" si="5"/>
        <v>1 year 3 months in role</v>
      </c>
      <c r="P1879" s="5" t="str">
        <f t="shared" si="6"/>
        <v>Winnipeg</v>
      </c>
      <c r="Q1879" s="5" t="str">
        <f t="shared" si="7"/>
        <v>Manitoba</v>
      </c>
      <c r="R1879" s="5" t="str">
        <f t="shared" si="8"/>
        <v>Canada</v>
      </c>
    </row>
    <row r="1880">
      <c r="A1880" s="8" t="s">
        <v>9466</v>
      </c>
      <c r="B1880" s="12" t="s">
        <v>9467</v>
      </c>
      <c r="C1880" s="10" t="s">
        <v>9468</v>
      </c>
      <c r="D1880" s="10"/>
      <c r="E1880" s="10" t="s">
        <v>9469</v>
      </c>
      <c r="F1880" s="10" t="s">
        <v>512</v>
      </c>
      <c r="G1880" s="11" t="s">
        <v>5280</v>
      </c>
      <c r="H1880" s="11" t="s">
        <v>4638</v>
      </c>
      <c r="I1880" s="11" t="s">
        <v>4600</v>
      </c>
      <c r="J1880" s="9" t="str">
        <f>IFERROR(__xludf.DUMMYFUNCTION("""COMPUTED_VALUE"""),"https://www.google.com/search?newwindow=1&amp;ei=2MT0XrvGGM-vytMP1OyDgAY&amp;q=site%3Alinkedin.com+Rosanna+Caruso+Student+Services+Coordinator,+Undergraduate+Programs,+Faculty+of+Education")</f>
        <v>https://www.google.com/search?newwindow=1&amp;ei=2MT0XrvGGM-vytMP1OyDgAY&amp;q=site%3Alinkedin.com+Rosanna+Caruso+Student+Services+Coordinator,+Undergraduate+Programs,+Faculty+of+Education</v>
      </c>
      <c r="K1880" s="5" t="str">
        <f t="shared" si="1"/>
        <v>Rosanna Caruso</v>
      </c>
      <c r="L1880" s="5" t="str">
        <f t="shared" si="2"/>
        <v>Student Services Coordinator, Undergraduate Programs, Faculty of Education</v>
      </c>
      <c r="M1880" s="5" t="str">
        <f t="shared" si="3"/>
        <v/>
      </c>
      <c r="N1880" s="5" t="str">
        <f t="shared" si="4"/>
        <v>University of Manitoba</v>
      </c>
      <c r="O1880" s="5" t="str">
        <f t="shared" si="5"/>
        <v/>
      </c>
      <c r="P1880" s="5" t="str">
        <f t="shared" si="6"/>
        <v>Winnipeg</v>
      </c>
      <c r="Q1880" s="5" t="str">
        <f t="shared" si="7"/>
        <v>Manitoba</v>
      </c>
      <c r="R1880" s="5" t="str">
        <f t="shared" si="8"/>
        <v>Canada</v>
      </c>
    </row>
    <row r="1881">
      <c r="A1881" s="8" t="s">
        <v>9284</v>
      </c>
      <c r="B1881" s="10" t="s">
        <v>9285</v>
      </c>
      <c r="C1881" s="10" t="s">
        <v>9286</v>
      </c>
      <c r="D1881" s="10"/>
      <c r="E1881" s="10" t="s">
        <v>9287</v>
      </c>
      <c r="F1881" s="10" t="s">
        <v>322</v>
      </c>
      <c r="G1881" s="11" t="s">
        <v>5280</v>
      </c>
      <c r="H1881" s="11" t="s">
        <v>4638</v>
      </c>
      <c r="I1881" s="11" t="s">
        <v>4600</v>
      </c>
      <c r="J1881" s="9" t="str">
        <f>IFERROR(__xludf.DUMMYFUNCTION("""COMPUTED_VALUE"""),"https://www.google.com/search?newwindow=1&amp;ei=2MT0XrvGGM-vytMP1OyDgAY&amp;q=site%3Alinkedin.com+Marie+Jivan+Student+Services+Coordinator+-+Admissions+&amp;+Financial+Aid++J.D.+&amp;+LL.M.+Programs")</f>
        <v>https://www.google.com/search?newwindow=1&amp;ei=2MT0XrvGGM-vytMP1OyDgAY&amp;q=site%3Alinkedin.com+Marie+Jivan+Student+Services+Coordinator+-+Admissions+&amp;+Financial+Aid++J.D.+&amp;+LL.M.+Programs</v>
      </c>
      <c r="K1881" s="5" t="str">
        <f t="shared" si="1"/>
        <v>Marie Jivan</v>
      </c>
      <c r="L1881" s="5" t="str">
        <f t="shared" si="2"/>
        <v>Student Services Coordinator - Admissions &amp; Financial Aid  J.D. &amp; LL.M. Programs</v>
      </c>
      <c r="M1881" s="5" t="str">
        <f t="shared" si="3"/>
        <v/>
      </c>
      <c r="N1881" s="5" t="str">
        <f t="shared" si="4"/>
        <v>University of Manitoba</v>
      </c>
      <c r="O1881" s="5" t="str">
        <f t="shared" si="5"/>
        <v>14 years 10 months in role and company</v>
      </c>
      <c r="P1881" s="5" t="str">
        <f t="shared" si="6"/>
        <v>Winnipeg</v>
      </c>
      <c r="Q1881" s="5" t="str">
        <f t="shared" si="7"/>
        <v>Manitoba</v>
      </c>
      <c r="R1881" s="5" t="str">
        <f t="shared" si="8"/>
        <v>Canada</v>
      </c>
    </row>
    <row r="1882">
      <c r="A1882" s="8" t="s">
        <v>9276</v>
      </c>
      <c r="B1882" s="10" t="s">
        <v>9277</v>
      </c>
      <c r="C1882" s="10" t="s">
        <v>9278</v>
      </c>
      <c r="D1882" s="10"/>
      <c r="E1882" s="10" t="s">
        <v>6264</v>
      </c>
      <c r="F1882" s="10" t="s">
        <v>399</v>
      </c>
      <c r="G1882" s="11" t="s">
        <v>5280</v>
      </c>
      <c r="H1882" s="11" t="s">
        <v>4638</v>
      </c>
      <c r="I1882" s="11" t="s">
        <v>4600</v>
      </c>
      <c r="J1882" s="9" t="str">
        <f>IFERROR(__xludf.DUMMYFUNCTION("""COMPUTED_VALUE"""),"https://www.google.com/search?newwindow=1&amp;ei=2MT0XrvGGM-vytMP1OyDgAY&amp;q=site%3Alinkedin.com+Stephanie+Crook+Assistant+to+the+Coordinator+for+First+Year+Seminar+Programs")</f>
        <v>https://www.google.com/search?newwindow=1&amp;ei=2MT0XrvGGM-vytMP1OyDgAY&amp;q=site%3Alinkedin.com+Stephanie+Crook+Assistant+to+the+Coordinator+for+First+Year+Seminar+Programs</v>
      </c>
      <c r="K1882" s="5" t="str">
        <f t="shared" si="1"/>
        <v>Stephanie Crook</v>
      </c>
      <c r="L1882" s="5" t="str">
        <f t="shared" si="2"/>
        <v>Assistant to the Coordinator for First Year Seminar Programs</v>
      </c>
      <c r="M1882" s="5" t="str">
        <f t="shared" si="3"/>
        <v/>
      </c>
      <c r="N1882" s="5" t="str">
        <f t="shared" si="4"/>
        <v>University of Manitoba</v>
      </c>
      <c r="O1882" s="5" t="str">
        <f t="shared" si="5"/>
        <v>5 years 10 months in role</v>
      </c>
      <c r="P1882" s="5" t="str">
        <f t="shared" si="6"/>
        <v>Winnipeg</v>
      </c>
      <c r="Q1882" s="5" t="str">
        <f t="shared" si="7"/>
        <v>Manitoba</v>
      </c>
      <c r="R1882" s="5" t="str">
        <f t="shared" si="8"/>
        <v>Canada</v>
      </c>
    </row>
    <row r="1883">
      <c r="A1883" s="8" t="s">
        <v>9470</v>
      </c>
      <c r="B1883" s="12" t="s">
        <v>9471</v>
      </c>
      <c r="C1883" s="10" t="s">
        <v>9472</v>
      </c>
      <c r="D1883" s="10"/>
      <c r="E1883" s="10" t="s">
        <v>9473</v>
      </c>
      <c r="F1883" s="10" t="s">
        <v>42</v>
      </c>
      <c r="G1883" s="11" t="s">
        <v>5280</v>
      </c>
      <c r="H1883" s="11" t="s">
        <v>4638</v>
      </c>
      <c r="I1883" s="11" t="s">
        <v>4600</v>
      </c>
      <c r="J1883" s="9" t="str">
        <f>IFERROR(__xludf.DUMMYFUNCTION("""COMPUTED_VALUE"""),"https://www.google.com/search?newwindow=1&amp;ei=2MT0XrvGGM-vytMP1OyDgAY&amp;q=site%3Alinkedin.com+Rosanna+Caruso+Student+Services+Coordinator,+Undergraduate+Programs")</f>
        <v>https://www.google.com/search?newwindow=1&amp;ei=2MT0XrvGGM-vytMP1OyDgAY&amp;q=site%3Alinkedin.com+Rosanna+Caruso+Student+Services+Coordinator,+Undergraduate+Programs</v>
      </c>
      <c r="K1883" s="5" t="str">
        <f t="shared" si="1"/>
        <v>Rosanna Caruso</v>
      </c>
      <c r="L1883" s="5" t="str">
        <f t="shared" si="2"/>
        <v>Student Services Coordinator, Undergraduate Programs</v>
      </c>
      <c r="M1883" s="5" t="str">
        <f t="shared" si="3"/>
        <v/>
      </c>
      <c r="N1883" s="5" t="str">
        <f t="shared" si="4"/>
        <v>Faculty of Education, university of Manitoba</v>
      </c>
      <c r="O1883" s="5" t="str">
        <f t="shared" si="5"/>
        <v>21 years 10 months in role and company</v>
      </c>
      <c r="P1883" s="5" t="str">
        <f t="shared" si="6"/>
        <v>Winnipeg</v>
      </c>
      <c r="Q1883" s="5" t="str">
        <f t="shared" si="7"/>
        <v>Manitoba</v>
      </c>
      <c r="R1883" s="5" t="str">
        <f t="shared" si="8"/>
        <v>Canada</v>
      </c>
    </row>
    <row r="1884">
      <c r="A1884" s="8" t="s">
        <v>9282</v>
      </c>
      <c r="B1884" s="12" t="s">
        <v>9283</v>
      </c>
      <c r="C1884" s="10" t="s">
        <v>4596</v>
      </c>
      <c r="D1884" s="10"/>
      <c r="E1884" s="10" t="s">
        <v>5413</v>
      </c>
      <c r="F1884" s="10" t="s">
        <v>376</v>
      </c>
      <c r="G1884" s="11" t="s">
        <v>5280</v>
      </c>
      <c r="H1884" s="11" t="s">
        <v>4638</v>
      </c>
      <c r="I1884" s="11" t="s">
        <v>4600</v>
      </c>
      <c r="J1884" s="9" t="str">
        <f>IFERROR(__xludf.DUMMYFUNCTION("""COMPUTED_VALUE"""),"https://www.google.com/search?newwindow=1&amp;ei=2MT0XrvGGM-vytMP1OyDgAY&amp;q=site%3Alinkedin.com+Ed+Harms+University+College+Recruiter")</f>
        <v>https://www.google.com/search?newwindow=1&amp;ei=2MT0XrvGGM-vytMP1OyDgAY&amp;q=site%3Alinkedin.com+Ed+Harms+University+College+Recruiter</v>
      </c>
      <c r="K1884" s="5" t="str">
        <f t="shared" si="1"/>
        <v>Ed Harms</v>
      </c>
      <c r="L1884" s="5" t="str">
        <f t="shared" si="2"/>
        <v>University College Recruiter</v>
      </c>
      <c r="M1884" s="5" t="str">
        <f t="shared" si="3"/>
        <v/>
      </c>
      <c r="N1884" s="5" t="str">
        <f t="shared" si="4"/>
        <v>Booth University College</v>
      </c>
      <c r="O1884" s="5" t="str">
        <f t="shared" si="5"/>
        <v/>
      </c>
      <c r="P1884" s="5" t="str">
        <f t="shared" si="6"/>
        <v>Winnipeg</v>
      </c>
      <c r="Q1884" s="5" t="str">
        <f t="shared" si="7"/>
        <v>Manitoba</v>
      </c>
      <c r="R1884" s="5" t="str">
        <f t="shared" si="8"/>
        <v>Canada</v>
      </c>
    </row>
    <row r="1885">
      <c r="A1885" s="8" t="s">
        <v>9288</v>
      </c>
      <c r="B1885" s="10" t="s">
        <v>9289</v>
      </c>
      <c r="C1885" s="10" t="s">
        <v>25</v>
      </c>
      <c r="D1885" s="10"/>
      <c r="E1885" s="10" t="s">
        <v>3545</v>
      </c>
      <c r="F1885" s="10" t="s">
        <v>29</v>
      </c>
      <c r="G1885" s="11" t="s">
        <v>5280</v>
      </c>
      <c r="H1885" s="11" t="s">
        <v>4638</v>
      </c>
      <c r="I1885" s="11" t="s">
        <v>4600</v>
      </c>
      <c r="J1885" s="9" t="str">
        <f>IFERROR(__xludf.DUMMYFUNCTION("""COMPUTED_VALUE"""),"https://www.google.com/search?newwindow=1&amp;ei=2MT0XrvGGM-vytMP1OyDgAY&amp;q=site%3Alinkedin.com+Judy+Schroen-Galinaitis+Student+Services+Coordinator+(Undergrad+Programs)+Engr")</f>
        <v>https://www.google.com/search?newwindow=1&amp;ei=2MT0XrvGGM-vytMP1OyDgAY&amp;q=site%3Alinkedin.com+Judy+Schroen-Galinaitis+Student+Services+Coordinator+(Undergrad+Programs)+Engr</v>
      </c>
      <c r="K1885" s="5" t="str">
        <f t="shared" si="1"/>
        <v>Judy Schroen-Galinaitis</v>
      </c>
      <c r="L1885" s="5" t="str">
        <f t="shared" si="2"/>
        <v>Student Services Coordinator (Undergrad Programs) Engr</v>
      </c>
      <c r="M1885" s="5" t="str">
        <f t="shared" si="3"/>
        <v/>
      </c>
      <c r="N1885" s="5" t="str">
        <f t="shared" si="4"/>
        <v>Dean's Office Engineering</v>
      </c>
      <c r="O1885" s="5" t="str">
        <f t="shared" si="5"/>
        <v/>
      </c>
      <c r="P1885" s="5" t="str">
        <f t="shared" si="6"/>
        <v>Winnipeg</v>
      </c>
      <c r="Q1885" s="5" t="str">
        <f t="shared" si="7"/>
        <v>Manitoba</v>
      </c>
      <c r="R1885" s="5" t="str">
        <f t="shared" si="8"/>
        <v>Canada</v>
      </c>
    </row>
    <row r="1886">
      <c r="A1886" s="8" t="s">
        <v>9279</v>
      </c>
      <c r="B1886" s="10" t="s">
        <v>9280</v>
      </c>
      <c r="C1886" s="10" t="s">
        <v>7604</v>
      </c>
      <c r="D1886" s="10"/>
      <c r="E1886" s="10" t="s">
        <v>9281</v>
      </c>
      <c r="F1886" s="10" t="s">
        <v>626</v>
      </c>
      <c r="G1886" s="11" t="s">
        <v>5280</v>
      </c>
      <c r="H1886" s="11" t="s">
        <v>4638</v>
      </c>
      <c r="I1886" s="11" t="s">
        <v>4600</v>
      </c>
      <c r="J1886" s="9" t="str">
        <f>IFERROR(__xludf.DUMMYFUNCTION("""COMPUTED_VALUE"""),"https://www.google.com/search?newwindow=1&amp;ei=2MT0XrvGGM-vytMP1OyDgAY&amp;q=site%3Alinkedin.com+Pallavi+Singh+General+Manager+–+University+of+Wollongong+Humanitarian+Engineering+Project")</f>
        <v>https://www.google.com/search?newwindow=1&amp;ei=2MT0XrvGGM-vytMP1OyDgAY&amp;q=site%3Alinkedin.com+Pallavi+Singh+General+Manager+–+University+of+Wollongong+Humanitarian+Engineering+Project</v>
      </c>
      <c r="K1886" s="5" t="str">
        <f t="shared" si="1"/>
        <v>Pallavi Singh</v>
      </c>
      <c r="L1886" s="5" t="str">
        <f t="shared" si="2"/>
        <v>General Manager – University of Wollongong Humanitarian Engineering Project</v>
      </c>
      <c r="M1886" s="5" t="str">
        <f t="shared" si="3"/>
        <v/>
      </c>
      <c r="N1886" s="5" t="str">
        <f t="shared" si="4"/>
        <v>University of Wollongong</v>
      </c>
      <c r="O1886" s="5" t="str">
        <f t="shared" si="5"/>
        <v>9 months in role</v>
      </c>
      <c r="P1886" s="5" t="str">
        <f t="shared" si="6"/>
        <v>Wollongong</v>
      </c>
      <c r="Q1886" s="5" t="str">
        <f t="shared" si="7"/>
        <v>New South Wales</v>
      </c>
      <c r="R1886" s="5" t="str">
        <f t="shared" si="8"/>
        <v>Australia</v>
      </c>
    </row>
    <row r="1887">
      <c r="A1887" s="8" t="s">
        <v>9474</v>
      </c>
      <c r="B1887" s="12" t="s">
        <v>9475</v>
      </c>
      <c r="C1887" s="10" t="s">
        <v>9476</v>
      </c>
      <c r="D1887" s="10"/>
      <c r="E1887" s="10" t="s">
        <v>5374</v>
      </c>
      <c r="F1887" s="10" t="s">
        <v>1089</v>
      </c>
      <c r="G1887" s="11" t="s">
        <v>5280</v>
      </c>
      <c r="H1887" s="11" t="s">
        <v>4638</v>
      </c>
      <c r="I1887" s="11" t="s">
        <v>4600</v>
      </c>
      <c r="J1887" s="9" t="str">
        <f>IFERROR(__xludf.DUMMYFUNCTION("""COMPUTED_VALUE"""),"https://www.google.com/search?newwindow=1&amp;ei=2MT0XrvGGM-vytMP1OyDgAY&amp;q=site%3Alinkedin.com+Prithvi+Patil+International+Student+Ambassador+-+International+Student+Programs")</f>
        <v>https://www.google.com/search?newwindow=1&amp;ei=2MT0XrvGGM-vytMP1OyDgAY&amp;q=site%3Alinkedin.com+Prithvi+Patil+International+Student+Ambassador+-+International+Student+Programs</v>
      </c>
      <c r="K1887" s="5" t="str">
        <f t="shared" si="1"/>
        <v>Prithvi Patil</v>
      </c>
      <c r="L1887" s="5" t="str">
        <f t="shared" si="2"/>
        <v>International Student Ambassador - International Student Programs</v>
      </c>
      <c r="M1887" s="5" t="str">
        <f t="shared" si="3"/>
        <v/>
      </c>
      <c r="N1887" s="5" t="str">
        <f t="shared" si="4"/>
        <v>University of Wollongong</v>
      </c>
      <c r="O1887" s="5" t="str">
        <f t="shared" si="5"/>
        <v>9 months in role and company</v>
      </c>
      <c r="P1887" s="5" t="str">
        <f t="shared" si="6"/>
        <v>Wollongong</v>
      </c>
      <c r="Q1887" s="5" t="str">
        <f t="shared" si="7"/>
        <v>New South Wales</v>
      </c>
      <c r="R1887" s="5" t="str">
        <f t="shared" si="8"/>
        <v>Australia</v>
      </c>
    </row>
    <row r="1888">
      <c r="A1888" s="8" t="s">
        <v>9477</v>
      </c>
      <c r="B1888" s="12" t="s">
        <v>9478</v>
      </c>
      <c r="C1888" s="10" t="s">
        <v>4754</v>
      </c>
      <c r="D1888" s="10"/>
      <c r="E1888" s="10" t="s">
        <v>9479</v>
      </c>
      <c r="F1888" s="10" t="s">
        <v>512</v>
      </c>
      <c r="G1888" s="11" t="s">
        <v>5280</v>
      </c>
      <c r="H1888" s="11" t="s">
        <v>4638</v>
      </c>
      <c r="I1888" s="11" t="s">
        <v>4600</v>
      </c>
      <c r="J1888" s="9" t="str">
        <f>IFERROR(__xludf.DUMMYFUNCTION("""COMPUTED_VALUE"""),"https://www.google.com/search?newwindow=1&amp;ei=2MT0XrvGGM-vytMP1OyDgAY&amp;q=site%3Alinkedin.com+stacey+kerr+Community+Programs+Officer")</f>
        <v>https://www.google.com/search?newwindow=1&amp;ei=2MT0XrvGGM-vytMP1OyDgAY&amp;q=site%3Alinkedin.com+stacey+kerr+Community+Programs+Officer</v>
      </c>
      <c r="K1888" s="5" t="str">
        <f t="shared" si="1"/>
        <v>stacey kerr</v>
      </c>
      <c r="L1888" s="5" t="str">
        <f t="shared" si="2"/>
        <v>Community Programs Officer</v>
      </c>
      <c r="M1888" s="5" t="str">
        <f t="shared" si="3"/>
        <v/>
      </c>
      <c r="N1888" s="5" t="str">
        <f t="shared" si="4"/>
        <v>Australian Red Cross</v>
      </c>
      <c r="O1888" s="5" t="str">
        <f t="shared" si="5"/>
        <v>1 year 6 months in role and company</v>
      </c>
      <c r="P1888" s="5" t="str">
        <f t="shared" si="6"/>
        <v>Wollongong</v>
      </c>
      <c r="Q1888" s="5" t="str">
        <f t="shared" si="7"/>
        <v>New South Wales</v>
      </c>
      <c r="R1888" s="5" t="str">
        <f t="shared" si="8"/>
        <v>Australia</v>
      </c>
    </row>
    <row r="1889">
      <c r="A1889" s="8" t="s">
        <v>9293</v>
      </c>
      <c r="B1889" s="12" t="s">
        <v>9294</v>
      </c>
      <c r="C1889" s="10" t="s">
        <v>9295</v>
      </c>
      <c r="D1889" s="10"/>
      <c r="E1889" s="10" t="s">
        <v>8103</v>
      </c>
      <c r="F1889" s="10" t="s">
        <v>29</v>
      </c>
      <c r="G1889" s="11" t="s">
        <v>5280</v>
      </c>
      <c r="H1889" s="11" t="s">
        <v>4638</v>
      </c>
      <c r="I1889" s="11" t="s">
        <v>4600</v>
      </c>
      <c r="J1889" s="9" t="str">
        <f>IFERROR(__xludf.DUMMYFUNCTION("""COMPUTED_VALUE"""),"https://www.google.com/search?newwindow=1&amp;ei=2MT0XrvGGM-vytMP1OyDgAY&amp;q=site%3Alinkedin.com+Oscar+Forman+UOW+Global+Sports+Programs+Student+Recruitment+Coordinator")</f>
        <v>https://www.google.com/search?newwindow=1&amp;ei=2MT0XrvGGM-vytMP1OyDgAY&amp;q=site%3Alinkedin.com+Oscar+Forman+UOW+Global+Sports+Programs+Student+Recruitment+Coordinator</v>
      </c>
      <c r="K1889" s="5" t="str">
        <f t="shared" si="1"/>
        <v>Oscar Forman</v>
      </c>
      <c r="L1889" s="5" t="str">
        <f t="shared" si="2"/>
        <v>UOW Global Sports Programs Student Recruitment Coordinator</v>
      </c>
      <c r="M1889" s="5" t="str">
        <f t="shared" si="3"/>
        <v/>
      </c>
      <c r="N1889" s="5" t="str">
        <f t="shared" si="4"/>
        <v>University of Wollongong</v>
      </c>
      <c r="O1889" s="5" t="str">
        <f t="shared" si="5"/>
        <v>9 months in role and company</v>
      </c>
      <c r="P1889" s="5" t="str">
        <f t="shared" si="6"/>
        <v>Wollongong</v>
      </c>
      <c r="Q1889" s="5" t="str">
        <f t="shared" si="7"/>
        <v>New South Wales</v>
      </c>
      <c r="R1889" s="5" t="str">
        <f t="shared" si="8"/>
        <v>Australia</v>
      </c>
    </row>
    <row r="1890">
      <c r="A1890" s="8" t="s">
        <v>9290</v>
      </c>
      <c r="B1890" s="10" t="s">
        <v>9291</v>
      </c>
      <c r="C1890" s="10" t="s">
        <v>25</v>
      </c>
      <c r="D1890" s="10"/>
      <c r="E1890" s="10" t="s">
        <v>9292</v>
      </c>
      <c r="F1890" s="10" t="s">
        <v>237</v>
      </c>
      <c r="G1890" s="11" t="s">
        <v>5280</v>
      </c>
      <c r="H1890" s="11" t="s">
        <v>4638</v>
      </c>
      <c r="I1890" s="11" t="s">
        <v>4600</v>
      </c>
      <c r="J1890" s="9" t="str">
        <f>IFERROR(__xludf.DUMMYFUNCTION("""COMPUTED_VALUE"""),"https://www.google.com/search?newwindow=1&amp;ei=2MT0XrvGGM-vytMP1OyDgAY&amp;q=site%3Alinkedin.com+Naomi+Appleton+Professional+and+Clinical+Programs+Administration+Manager")</f>
        <v>https://www.google.com/search?newwindow=1&amp;ei=2MT0XrvGGM-vytMP1OyDgAY&amp;q=site%3Alinkedin.com+Naomi+Appleton+Professional+and+Clinical+Programs+Administration+Manager</v>
      </c>
      <c r="K1890" s="5" t="str">
        <f t="shared" si="1"/>
        <v>Naomi Appleton</v>
      </c>
      <c r="L1890" s="5" t="str">
        <f t="shared" si="2"/>
        <v>Professional and Clinical Programs Administration Manager</v>
      </c>
      <c r="M1890" s="5" t="str">
        <f t="shared" si="3"/>
        <v/>
      </c>
      <c r="N1890" s="5" t="str">
        <f t="shared" si="4"/>
        <v>School of Psychology, University of Wollongong</v>
      </c>
      <c r="O1890" s="5" t="str">
        <f t="shared" si="5"/>
        <v>2 years 1 month in role and company</v>
      </c>
      <c r="P1890" s="5" t="str">
        <f t="shared" si="6"/>
        <v>Wollongong</v>
      </c>
      <c r="Q1890" s="5" t="str">
        <f t="shared" si="7"/>
        <v>New South Wales</v>
      </c>
      <c r="R1890" s="5" t="str">
        <f t="shared" si="8"/>
        <v>Australia</v>
      </c>
    </row>
    <row r="1891">
      <c r="A1891" s="8" t="s">
        <v>9480</v>
      </c>
      <c r="B1891" s="10" t="s">
        <v>9481</v>
      </c>
      <c r="C1891" s="10" t="s">
        <v>9482</v>
      </c>
      <c r="D1891" s="10"/>
      <c r="E1891" s="10" t="s">
        <v>5516</v>
      </c>
      <c r="F1891" s="10" t="s">
        <v>257</v>
      </c>
      <c r="G1891" s="11" t="s">
        <v>5280</v>
      </c>
      <c r="H1891" s="11" t="s">
        <v>4638</v>
      </c>
      <c r="I1891" s="11" t="s">
        <v>4600</v>
      </c>
      <c r="J1891" s="9" t="str">
        <f>IFERROR(__xludf.DUMMYFUNCTION("""COMPUTED_VALUE"""),"https://www.google.com/search?newwindow=1&amp;ei=2MT0XrvGGM-vytMP1OyDgAY&amp;q=site%3Alinkedin.com+Conor+Beaumont+LIBS+Student+Buddy")</f>
        <v>https://www.google.com/search?newwindow=1&amp;ei=2MT0XrvGGM-vytMP1OyDgAY&amp;q=site%3Alinkedin.com+Conor+Beaumont+LIBS+Student+Buddy</v>
      </c>
      <c r="K1891" s="5" t="str">
        <f t="shared" si="1"/>
        <v>Conor Beaumont</v>
      </c>
      <c r="L1891" s="5" t="str">
        <f t="shared" si="2"/>
        <v>LIBS Student Buddy</v>
      </c>
      <c r="M1891" s="5" t="str">
        <f t="shared" si="3"/>
        <v/>
      </c>
      <c r="N1891" s="5" t="str">
        <f t="shared" si="4"/>
        <v>University of Lincoln</v>
      </c>
      <c r="O1891" s="5" t="str">
        <f t="shared" si="5"/>
        <v>2 months in role</v>
      </c>
      <c r="P1891" s="5" t="str">
        <f t="shared" si="6"/>
        <v>Wragby</v>
      </c>
      <c r="Q1891" s="5" t="str">
        <f t="shared" si="7"/>
        <v>England</v>
      </c>
      <c r="R1891" s="5" t="str">
        <f t="shared" si="8"/>
        <v>United Kingdom</v>
      </c>
    </row>
    <row r="1892">
      <c r="A1892" s="8" t="s">
        <v>9483</v>
      </c>
      <c r="B1892" s="10" t="s">
        <v>9484</v>
      </c>
      <c r="C1892" s="10" t="s">
        <v>9485</v>
      </c>
      <c r="D1892" s="10"/>
      <c r="E1892" s="10" t="s">
        <v>9392</v>
      </c>
      <c r="F1892" s="10" t="s">
        <v>9486</v>
      </c>
      <c r="G1892" s="11" t="s">
        <v>5280</v>
      </c>
      <c r="H1892" s="11" t="s">
        <v>4638</v>
      </c>
      <c r="I1892" s="11" t="s">
        <v>4600</v>
      </c>
      <c r="J1892" s="9" t="str">
        <f>IFERROR(__xludf.DUMMYFUNCTION("""COMPUTED_VALUE"""),"https://www.google.com/search?newwindow=1&amp;ei=2MT0XrvGGM-vytMP1OyDgAY&amp;q=site%3Alinkedin.com+Trevor+Cunningham+Director+of+Programs+and+Student+Services")</f>
        <v>https://www.google.com/search?newwindow=1&amp;ei=2MT0XrvGGM-vytMP1OyDgAY&amp;q=site%3Alinkedin.com+Trevor+Cunningham+Director+of+Programs+and+Student+Services</v>
      </c>
      <c r="K1892" s="5" t="str">
        <f t="shared" si="1"/>
        <v>Trevor Cunningham</v>
      </c>
      <c r="L1892" s="5" t="str">
        <f t="shared" si="2"/>
        <v>Director of Programs and Student Services</v>
      </c>
      <c r="M1892" s="5" t="str">
        <f t="shared" si="3"/>
        <v/>
      </c>
      <c r="N1892" s="5" t="str">
        <f t="shared" si="4"/>
        <v>Tri-County Regional School Board</v>
      </c>
      <c r="O1892" s="5" t="str">
        <f t="shared" si="5"/>
        <v>10 years 7 months in role and company</v>
      </c>
      <c r="P1892" s="5" t="str">
        <f t="shared" si="6"/>
        <v>Yarmouth County</v>
      </c>
      <c r="Q1892" s="5" t="str">
        <f t="shared" si="7"/>
        <v>Nova Scotia</v>
      </c>
      <c r="R1892" s="5" t="str">
        <f t="shared" si="8"/>
        <v>Canada</v>
      </c>
    </row>
    <row r="1893">
      <c r="A1893" s="8" t="s">
        <v>9296</v>
      </c>
      <c r="B1893" s="10" t="s">
        <v>9297</v>
      </c>
      <c r="C1893" s="10" t="s">
        <v>9298</v>
      </c>
      <c r="D1893" s="10"/>
      <c r="E1893" s="10" t="s">
        <v>9299</v>
      </c>
      <c r="F1893" s="10" t="s">
        <v>727</v>
      </c>
      <c r="G1893" s="11" t="s">
        <v>5280</v>
      </c>
      <c r="H1893" s="11" t="s">
        <v>4638</v>
      </c>
      <c r="I1893" s="11" t="s">
        <v>4600</v>
      </c>
      <c r="J1893" s="9" t="str">
        <f>IFERROR(__xludf.DUMMYFUNCTION("""COMPUTED_VALUE"""),"https://www.google.com/search?newwindow=1&amp;ei=2MT0XrvGGM-vytMP1OyDgAY&amp;q=site%3Alinkedin.com+Emma+Mc+Shane+Student+Recruitment+Officer+at+University+of+York")</f>
        <v>https://www.google.com/search?newwindow=1&amp;ei=2MT0XrvGGM-vytMP1OyDgAY&amp;q=site%3Alinkedin.com+Emma+Mc+Shane+Student+Recruitment+Officer+at+University+of+York</v>
      </c>
      <c r="K1893" s="5" t="str">
        <f t="shared" si="1"/>
        <v>Emma Mc Shane</v>
      </c>
      <c r="L1893" s="5" t="str">
        <f t="shared" si="2"/>
        <v>Student Recruitment Officer at University of York</v>
      </c>
      <c r="M1893" s="5" t="str">
        <f t="shared" si="3"/>
        <v/>
      </c>
      <c r="N1893" s="5" t="str">
        <f t="shared" si="4"/>
        <v>University of York</v>
      </c>
      <c r="O1893" s="5" t="str">
        <f t="shared" si="5"/>
        <v>5 years 6 months in role</v>
      </c>
      <c r="P1893" s="5" t="str">
        <f t="shared" si="6"/>
        <v>York</v>
      </c>
      <c r="Q1893" s="5" t="str">
        <f t="shared" si="7"/>
        <v>England</v>
      </c>
      <c r="R1893" s="5" t="str">
        <f t="shared" si="8"/>
        <v>United Kingdom</v>
      </c>
    </row>
    <row r="1894">
      <c r="A1894" s="8" t="s">
        <v>9487</v>
      </c>
      <c r="B1894" s="12" t="s">
        <v>9488</v>
      </c>
      <c r="C1894" s="10" t="s">
        <v>9489</v>
      </c>
      <c r="D1894" s="10"/>
      <c r="E1894" s="10" t="s">
        <v>9473</v>
      </c>
      <c r="F1894" s="10" t="s">
        <v>188</v>
      </c>
      <c r="G1894" s="11" t="s">
        <v>5280</v>
      </c>
      <c r="H1894" s="11" t="s">
        <v>4638</v>
      </c>
      <c r="I1894" s="11" t="s">
        <v>4600</v>
      </c>
      <c r="J1894" s="9" t="str">
        <f>IFERROR(__xludf.DUMMYFUNCTION("""COMPUTED_VALUE"""),"https://www.google.com/search?newwindow=1&amp;ei=2MT0XrvGGM-vytMP1OyDgAY&amp;q=site%3Alinkedin.com+Danny+Löwensberg+Director+of+European+Partnerships+and+Recruitment+and+Lecturer,+Hull+University+Business+School")</f>
        <v>https://www.google.com/search?newwindow=1&amp;ei=2MT0XrvGGM-vytMP1OyDgAY&amp;q=site%3Alinkedin.com+Danny+Löwensberg+Director+of+European+Partnerships+and+Recruitment+and+Lecturer,+Hull+University+Business+School</v>
      </c>
      <c r="K1894" s="5" t="str">
        <f t="shared" si="1"/>
        <v>Danny Löwensberg</v>
      </c>
      <c r="L1894" s="5" t="str">
        <f t="shared" si="2"/>
        <v>Director of European Partnerships and Recruitment and Lecturer, Hull University Business School</v>
      </c>
      <c r="M1894" s="5" t="str">
        <f t="shared" si="3"/>
        <v/>
      </c>
      <c r="N1894" s="5" t="str">
        <f t="shared" si="4"/>
        <v>The University of Hull</v>
      </c>
      <c r="O1894" s="5" t="str">
        <f t="shared" si="5"/>
        <v>16 years 10 months in role and company</v>
      </c>
      <c r="P1894" s="5" t="str">
        <f t="shared" si="6"/>
        <v>York</v>
      </c>
      <c r="Q1894" s="5" t="str">
        <f t="shared" si="7"/>
        <v>England</v>
      </c>
      <c r="R1894" s="5" t="str">
        <f t="shared" si="8"/>
        <v>United Kingdom</v>
      </c>
    </row>
    <row r="1895">
      <c r="A1895" s="8" t="s">
        <v>9490</v>
      </c>
      <c r="B1895" s="10" t="s">
        <v>9491</v>
      </c>
      <c r="C1895" s="10" t="s">
        <v>9492</v>
      </c>
      <c r="D1895" s="10"/>
      <c r="E1895" s="10" t="s">
        <v>5464</v>
      </c>
      <c r="F1895" s="10" t="s">
        <v>144</v>
      </c>
      <c r="G1895" s="11" t="s">
        <v>5280</v>
      </c>
      <c r="H1895" s="11" t="s">
        <v>4638</v>
      </c>
      <c r="I1895" s="11" t="s">
        <v>4600</v>
      </c>
      <c r="J1895" s="9" t="str">
        <f>IFERROR(__xludf.DUMMYFUNCTION("""COMPUTED_VALUE"""),"https://www.google.com/search?newwindow=1&amp;ei=2MT0XrvGGM-vytMP1OyDgAY&amp;q=site%3Alinkedin.com+Brittany+Roth+Healy+Campus+Recruiting+Associate+Manager+Accenture")</f>
        <v>https://www.google.com/search?newwindow=1&amp;ei=2MT0XrvGGM-vytMP1OyDgAY&amp;q=site%3Alinkedin.com+Brittany+Roth+Healy+Campus+Recruiting+Associate+Manager+Accenture</v>
      </c>
      <c r="K1895" s="5" t="str">
        <f t="shared" si="1"/>
        <v>Brittany Roth Healy</v>
      </c>
      <c r="L1895" s="5" t="str">
        <f t="shared" si="2"/>
        <v>Campus Recruiting Associate Manager</v>
      </c>
      <c r="M1895" s="5" t="str">
        <f t="shared" si="3"/>
        <v> </v>
      </c>
      <c r="N1895" s="5" t="str">
        <f t="shared" si="4"/>
        <v>Accenture</v>
      </c>
      <c r="O1895" s="5" t="str">
        <f t="shared" si="5"/>
        <v>1 year 5 months in role and company</v>
      </c>
      <c r="P1895" s="5" t="str">
        <f t="shared" si="6"/>
        <v>Atlanta</v>
      </c>
      <c r="Q1895" s="5" t="str">
        <f t="shared" si="7"/>
        <v>Georgia</v>
      </c>
      <c r="R1895" s="5" t="str">
        <f t="shared" si="8"/>
        <v>United States</v>
      </c>
    </row>
    <row r="1896">
      <c r="A1896" s="8" t="s">
        <v>9300</v>
      </c>
      <c r="B1896" s="10" t="s">
        <v>9301</v>
      </c>
      <c r="C1896" s="10" t="s">
        <v>9302</v>
      </c>
      <c r="D1896" s="10"/>
      <c r="E1896" s="10" t="s">
        <v>9303</v>
      </c>
      <c r="F1896" s="10" t="s">
        <v>1564</v>
      </c>
      <c r="G1896" s="11" t="s">
        <v>5280</v>
      </c>
      <c r="H1896" s="11" t="s">
        <v>4638</v>
      </c>
      <c r="I1896" s="11" t="s">
        <v>4600</v>
      </c>
      <c r="J1896" s="9" t="str">
        <f>IFERROR(__xludf.DUMMYFUNCTION("""COMPUTED_VALUE"""),"https://www.google.com/search?newwindow=1&amp;ei=2MT0XrvGGM-vytMP1OyDgAY&amp;q=site%3Alinkedin.com+Melissa+Harper+Davis+MBA+Campus+Recruiter+Accenture")</f>
        <v>https://www.google.com/search?newwindow=1&amp;ei=2MT0XrvGGM-vytMP1OyDgAY&amp;q=site%3Alinkedin.com+Melissa+Harper+Davis+MBA+Campus+Recruiter+Accenture</v>
      </c>
      <c r="K1896" s="5" t="str">
        <f t="shared" si="1"/>
        <v>Melissa Harper Davis</v>
      </c>
      <c r="L1896" s="5" t="str">
        <f t="shared" si="2"/>
        <v>MBA Campus Recruiter</v>
      </c>
      <c r="M1896" s="5" t="str">
        <f t="shared" si="3"/>
        <v>MBA</v>
      </c>
      <c r="N1896" s="5" t="str">
        <f t="shared" si="4"/>
        <v>Accenture</v>
      </c>
      <c r="O1896" s="5" t="str">
        <f t="shared" si="5"/>
        <v>5 years 10 months in role and company</v>
      </c>
      <c r="P1896" s="5" t="str">
        <f t="shared" si="6"/>
        <v>Atlanta</v>
      </c>
      <c r="Q1896" s="5" t="str">
        <f t="shared" si="7"/>
        <v>Georgia</v>
      </c>
      <c r="R1896" s="5" t="str">
        <f t="shared" si="8"/>
        <v>United States</v>
      </c>
    </row>
    <row r="1897">
      <c r="A1897" s="8" t="s">
        <v>9493</v>
      </c>
      <c r="B1897" s="12" t="s">
        <v>9494</v>
      </c>
      <c r="C1897" s="10" t="s">
        <v>9413</v>
      </c>
      <c r="D1897" s="10"/>
      <c r="E1897" s="10" t="s">
        <v>5310</v>
      </c>
      <c r="F1897" s="10" t="s">
        <v>60</v>
      </c>
      <c r="G1897" s="11" t="s">
        <v>5280</v>
      </c>
      <c r="H1897" s="11" t="s">
        <v>4638</v>
      </c>
      <c r="I1897" s="11" t="s">
        <v>4600</v>
      </c>
      <c r="J1897" s="9" t="str">
        <f>IFERROR(__xludf.DUMMYFUNCTION("""COMPUTED_VALUE"""),"https://www.google.com/search?newwindow=1&amp;ei=2MT0XrvGGM-vytMP1OyDgAY&amp;q=site%3Alinkedin.com+Catherine+Leonard,+M.Ed.+Campus+Recruiter+Accenture")</f>
        <v>https://www.google.com/search?newwindow=1&amp;ei=2MT0XrvGGM-vytMP1OyDgAY&amp;q=site%3Alinkedin.com+Catherine+Leonard,+M.Ed.+Campus+Recruiter+Accenture</v>
      </c>
      <c r="K1897" s="5" t="str">
        <f t="shared" si="1"/>
        <v>Catherine Leonard, M.Ed.</v>
      </c>
      <c r="L1897" s="5" t="str">
        <f t="shared" si="2"/>
        <v>Campus Recruiter</v>
      </c>
      <c r="M1897" s="5" t="str">
        <f t="shared" si="3"/>
        <v> </v>
      </c>
      <c r="N1897" s="5" t="str">
        <f t="shared" si="4"/>
        <v>Accenture</v>
      </c>
      <c r="O1897" s="5" t="str">
        <f t="shared" si="5"/>
        <v>1 year 2 months in role</v>
      </c>
      <c r="P1897" s="5" t="str">
        <f t="shared" si="6"/>
        <v>Atlanta</v>
      </c>
      <c r="Q1897" s="5" t="str">
        <f t="shared" si="7"/>
        <v>Georgia</v>
      </c>
      <c r="R1897" s="5" t="str">
        <f t="shared" si="8"/>
        <v>United States</v>
      </c>
    </row>
    <row r="1898">
      <c r="A1898" s="8" t="s">
        <v>9306</v>
      </c>
      <c r="B1898" s="12" t="s">
        <v>9307</v>
      </c>
      <c r="C1898" s="10" t="s">
        <v>9308</v>
      </c>
      <c r="D1898" s="10"/>
      <c r="E1898" s="10" t="s">
        <v>9309</v>
      </c>
      <c r="F1898" s="10" t="s">
        <v>4905</v>
      </c>
      <c r="G1898" s="11" t="s">
        <v>5280</v>
      </c>
      <c r="H1898" s="11" t="s">
        <v>4638</v>
      </c>
      <c r="I1898" s="11" t="s">
        <v>4600</v>
      </c>
      <c r="J1898" s="9" t="str">
        <f>IFERROR(__xludf.DUMMYFUNCTION("""COMPUTED_VALUE"""),"https://www.google.com/search?newwindow=1&amp;ei=2MT0XrvGGM-vytMP1OyDgAY&amp;q=site%3Alinkedin.com+Nicole+Bonilla+Owens+Campus+Recruiter+Accenture")</f>
        <v>https://www.google.com/search?newwindow=1&amp;ei=2MT0XrvGGM-vytMP1OyDgAY&amp;q=site%3Alinkedin.com+Nicole+Bonilla+Owens+Campus+Recruiter+Accenture</v>
      </c>
      <c r="K1898" s="5" t="str">
        <f t="shared" si="1"/>
        <v>Nicole Bonilla Owens</v>
      </c>
      <c r="L1898" s="5" t="str">
        <f t="shared" si="2"/>
        <v>Campus Recruiter</v>
      </c>
      <c r="M1898" s="5" t="str">
        <f t="shared" si="3"/>
        <v> </v>
      </c>
      <c r="N1898" s="5" t="str">
        <f t="shared" si="4"/>
        <v>Accenture</v>
      </c>
      <c r="O1898" s="5" t="str">
        <f t="shared" si="5"/>
        <v>1 year 9 months in role and company</v>
      </c>
      <c r="P1898" s="5" t="str">
        <f t="shared" si="6"/>
        <v>Atlanta</v>
      </c>
      <c r="Q1898" s="5" t="str">
        <f t="shared" si="7"/>
        <v>Georgia</v>
      </c>
      <c r="R1898" s="5" t="str">
        <f t="shared" si="8"/>
        <v>United States</v>
      </c>
    </row>
    <row r="1899">
      <c r="A1899" s="8" t="s">
        <v>9495</v>
      </c>
      <c r="B1899" s="10" t="s">
        <v>9496</v>
      </c>
      <c r="C1899" s="10" t="s">
        <v>9497</v>
      </c>
      <c r="D1899" s="10"/>
      <c r="E1899" s="10" t="s">
        <v>9498</v>
      </c>
      <c r="F1899" s="10" t="s">
        <v>222</v>
      </c>
      <c r="G1899" s="11" t="s">
        <v>5280</v>
      </c>
      <c r="H1899" s="11" t="s">
        <v>4638</v>
      </c>
      <c r="I1899" s="11" t="s">
        <v>4600</v>
      </c>
      <c r="J1899" s="9" t="str">
        <f>IFERROR(__xludf.DUMMYFUNCTION("""COMPUTED_VALUE"""),"https://www.google.com/search?newwindow=1&amp;ei=2MT0XrvGGM-vytMP1OyDgAY&amp;q=site%3Alinkedin.com+Betsy+Davis+Senior+Campus+Recruiter+Accenture")</f>
        <v>https://www.google.com/search?newwindow=1&amp;ei=2MT0XrvGGM-vytMP1OyDgAY&amp;q=site%3Alinkedin.com+Betsy+Davis+Senior+Campus+Recruiter+Accenture</v>
      </c>
      <c r="K1899" s="5" t="str">
        <f t="shared" si="1"/>
        <v>Betsy Davis</v>
      </c>
      <c r="L1899" s="5" t="str">
        <f t="shared" si="2"/>
        <v>Senior Campus Recruiter</v>
      </c>
      <c r="M1899" s="5" t="str">
        <f t="shared" si="3"/>
        <v> </v>
      </c>
      <c r="N1899" s="5" t="str">
        <f t="shared" si="4"/>
        <v>Accenture</v>
      </c>
      <c r="O1899" s="5" t="str">
        <f t="shared" si="5"/>
        <v>5 years 6 months in role and company</v>
      </c>
      <c r="P1899" s="5" t="str">
        <f t="shared" si="6"/>
        <v>Atlanta</v>
      </c>
      <c r="Q1899" s="5" t="str">
        <f t="shared" si="7"/>
        <v>Georgia</v>
      </c>
      <c r="R1899" s="5" t="str">
        <f t="shared" si="8"/>
        <v>United States</v>
      </c>
    </row>
    <row r="1900">
      <c r="A1900" s="8" t="s">
        <v>9499</v>
      </c>
      <c r="B1900" s="10" t="s">
        <v>9500</v>
      </c>
      <c r="C1900" s="10" t="s">
        <v>9501</v>
      </c>
      <c r="D1900" s="10"/>
      <c r="E1900" s="10" t="s">
        <v>9473</v>
      </c>
      <c r="F1900" s="10" t="s">
        <v>409</v>
      </c>
      <c r="G1900" s="11" t="s">
        <v>5280</v>
      </c>
      <c r="H1900" s="11" t="s">
        <v>4638</v>
      </c>
      <c r="I1900" s="11" t="s">
        <v>4600</v>
      </c>
      <c r="J1900" s="9" t="str">
        <f>IFERROR(__xludf.DUMMYFUNCTION("""COMPUTED_VALUE"""),"https://www.google.com/search?newwindow=1&amp;ei=2MT0XrvGGM-vytMP1OyDgAY&amp;q=site%3Alinkedin.com+Amy+Romero+Campus+Recruiter+Accenture")</f>
        <v>https://www.google.com/search?newwindow=1&amp;ei=2MT0XrvGGM-vytMP1OyDgAY&amp;q=site%3Alinkedin.com+Amy+Romero+Campus+Recruiter+Accenture</v>
      </c>
      <c r="K1900" s="5" t="str">
        <f t="shared" si="1"/>
        <v>Amy Romero</v>
      </c>
      <c r="L1900" s="5" t="str">
        <f t="shared" si="2"/>
        <v>Campus Recruiter</v>
      </c>
      <c r="M1900" s="5" t="str">
        <f t="shared" si="3"/>
        <v> </v>
      </c>
      <c r="N1900" s="5" t="str">
        <f t="shared" si="4"/>
        <v>Accenture</v>
      </c>
      <c r="O1900" s="5" t="str">
        <f t="shared" si="5"/>
        <v>2 years 4 months in role and company</v>
      </c>
      <c r="P1900" s="5" t="str">
        <f t="shared" si="6"/>
        <v>Austin</v>
      </c>
      <c r="Q1900" s="5" t="str">
        <f t="shared" si="7"/>
        <v>Texas</v>
      </c>
      <c r="R1900" s="5" t="str">
        <f t="shared" si="8"/>
        <v>United States</v>
      </c>
    </row>
    <row r="1901">
      <c r="A1901" s="8" t="s">
        <v>9502</v>
      </c>
      <c r="B1901" s="10" t="s">
        <v>9503</v>
      </c>
      <c r="C1901" s="10" t="s">
        <v>9504</v>
      </c>
      <c r="D1901" s="14" t="s">
        <v>4</v>
      </c>
      <c r="E1901" s="10" t="s">
        <v>5508</v>
      </c>
      <c r="F1901" s="10" t="s">
        <v>339</v>
      </c>
      <c r="G1901" s="11" t="s">
        <v>5280</v>
      </c>
      <c r="H1901" s="11" t="s">
        <v>4638</v>
      </c>
      <c r="I1901" s="11" t="s">
        <v>4600</v>
      </c>
      <c r="J1901" s="9" t="str">
        <f>IFERROR(__xludf.DUMMYFUNCTION("""COMPUTED_VALUE"""),"https://www.google.com/search?newwindow=1&amp;ei=2MT0XrvGGM-vytMP1OyDgAY&amp;q=site%3Alinkedin.com+Sara+Buxton+NorCal+Campus+Recruiting+Manager+Accenture")</f>
        <v>https://www.google.com/search?newwindow=1&amp;ei=2MT0XrvGGM-vytMP1OyDgAY&amp;q=site%3Alinkedin.com+Sara+Buxton+NorCal+Campus+Recruiting+Manager+Accenture</v>
      </c>
      <c r="K1901" s="5" t="str">
        <f t="shared" si="1"/>
        <v>Sara Buxton</v>
      </c>
      <c r="L1901" s="5" t="str">
        <f t="shared" si="2"/>
        <v>NorCal Campus Recruiting Manager</v>
      </c>
      <c r="M1901" s="5" t="str">
        <f t="shared" si="3"/>
        <v> </v>
      </c>
      <c r="N1901" s="5" t="str">
        <f t="shared" si="4"/>
        <v>Accenture</v>
      </c>
      <c r="O1901" s="5" t="str">
        <f t="shared" si="5"/>
        <v>2 years 2 months in role</v>
      </c>
      <c r="P1901" s="5" t="str">
        <f t="shared" si="6"/>
        <v>Campbell</v>
      </c>
      <c r="Q1901" s="5" t="str">
        <f t="shared" si="7"/>
        <v>California</v>
      </c>
      <c r="R1901" s="5" t="str">
        <f t="shared" si="8"/>
        <v>United States</v>
      </c>
    </row>
    <row r="1902">
      <c r="A1902" s="8" t="s">
        <v>9505</v>
      </c>
      <c r="B1902" s="10" t="s">
        <v>9506</v>
      </c>
      <c r="C1902" s="10" t="s">
        <v>9507</v>
      </c>
      <c r="D1902" s="10"/>
      <c r="E1902" s="10" t="s">
        <v>5374</v>
      </c>
      <c r="F1902" s="10" t="s">
        <v>257</v>
      </c>
      <c r="G1902" s="11" t="s">
        <v>5280</v>
      </c>
      <c r="H1902" s="11" t="s">
        <v>4638</v>
      </c>
      <c r="I1902" s="11" t="s">
        <v>4600</v>
      </c>
      <c r="J1902" s="9" t="str">
        <f>IFERROR(__xludf.DUMMYFUNCTION("""COMPUTED_VALUE"""),"https://www.google.com/search?newwindow=1&amp;ei=2MT0XrvGGM-vytMP1OyDgAY&amp;q=site%3Alinkedin.com+Mai+C.+Maye+Sr.+Campus+Recruiter+Accenture")</f>
        <v>https://www.google.com/search?newwindow=1&amp;ei=2MT0XrvGGM-vytMP1OyDgAY&amp;q=site%3Alinkedin.com+Mai+C.+Maye+Sr.+Campus+Recruiter+Accenture</v>
      </c>
      <c r="K1902" s="5" t="str">
        <f t="shared" si="1"/>
        <v>Mai C. Maye</v>
      </c>
      <c r="L1902" s="5" t="str">
        <f t="shared" si="2"/>
        <v>Sr. Campus Recruiter</v>
      </c>
      <c r="M1902" s="5" t="str">
        <f t="shared" si="3"/>
        <v> </v>
      </c>
      <c r="N1902" s="5" t="str">
        <f t="shared" si="4"/>
        <v>Accenture</v>
      </c>
      <c r="O1902" s="5" t="str">
        <f t="shared" si="5"/>
        <v>2 years 2 months in role and company</v>
      </c>
      <c r="P1902" s="5" t="str">
        <f t="shared" si="6"/>
        <v>Charlotte</v>
      </c>
      <c r="Q1902" s="5" t="str">
        <f t="shared" si="7"/>
        <v>North Carolina</v>
      </c>
      <c r="R1902" s="5" t="str">
        <f t="shared" si="8"/>
        <v>United States</v>
      </c>
    </row>
    <row r="1903">
      <c r="A1903" s="8" t="s">
        <v>9304</v>
      </c>
      <c r="B1903" s="12" t="s">
        <v>9305</v>
      </c>
      <c r="C1903" s="10" t="s">
        <v>25</v>
      </c>
      <c r="D1903" s="10"/>
      <c r="E1903" s="10" t="s">
        <v>4701</v>
      </c>
      <c r="F1903" s="10" t="s">
        <v>654</v>
      </c>
      <c r="G1903" s="11" t="s">
        <v>5280</v>
      </c>
      <c r="H1903" s="11" t="s">
        <v>4638</v>
      </c>
      <c r="I1903" s="11" t="s">
        <v>4600</v>
      </c>
      <c r="J1903" s="9" t="str">
        <f>IFERROR(__xludf.DUMMYFUNCTION("""COMPUTED_VALUE"""),"https://www.google.com/search?newwindow=1&amp;ei=2MT0XrvGGM-vytMP1OyDgAY&amp;q=site%3Alinkedin.com+Brooke+Steele+Campus+Recruiter+Accenture")</f>
        <v>https://www.google.com/search?newwindow=1&amp;ei=2MT0XrvGGM-vytMP1OyDgAY&amp;q=site%3Alinkedin.com+Brooke+Steele+Campus+Recruiter+Accenture</v>
      </c>
      <c r="K1903" s="5" t="str">
        <f t="shared" si="1"/>
        <v>Brooke Steele</v>
      </c>
      <c r="L1903" s="5" t="str">
        <f t="shared" si="2"/>
        <v>Campus Recruiter</v>
      </c>
      <c r="M1903" s="5" t="str">
        <f t="shared" si="3"/>
        <v> </v>
      </c>
      <c r="N1903" s="5" t="str">
        <f t="shared" si="4"/>
        <v>Accenture</v>
      </c>
      <c r="O1903" s="5" t="str">
        <f t="shared" si="5"/>
        <v>5 years 3 months in role</v>
      </c>
      <c r="P1903" s="5" t="str">
        <f t="shared" si="6"/>
        <v>Charlotte</v>
      </c>
      <c r="Q1903" s="5" t="str">
        <f t="shared" si="7"/>
        <v>North Carolina</v>
      </c>
      <c r="R1903" s="5" t="str">
        <f t="shared" si="8"/>
        <v>United States</v>
      </c>
    </row>
    <row r="1904">
      <c r="A1904" s="8" t="s">
        <v>9508</v>
      </c>
      <c r="B1904" s="10" t="s">
        <v>9509</v>
      </c>
      <c r="C1904" s="10" t="s">
        <v>9510</v>
      </c>
      <c r="D1904" s="10"/>
      <c r="E1904" s="10" t="s">
        <v>9511</v>
      </c>
      <c r="F1904" s="10" t="s">
        <v>188</v>
      </c>
      <c r="G1904" s="11" t="s">
        <v>5280</v>
      </c>
      <c r="H1904" s="11" t="s">
        <v>4638</v>
      </c>
      <c r="I1904" s="11" t="s">
        <v>4600</v>
      </c>
      <c r="J1904" s="9" t="str">
        <f>IFERROR(__xludf.DUMMYFUNCTION("""COMPUTED_VALUE"""),"https://www.google.com/search?newwindow=1&amp;ei=2MT0XrvGGM-vytMP1OyDgAY&amp;q=site%3Alinkedin.com+Krystin+Crane+Campus+Recruiter+Accenture")</f>
        <v>https://www.google.com/search?newwindow=1&amp;ei=2MT0XrvGGM-vytMP1OyDgAY&amp;q=site%3Alinkedin.com+Krystin+Crane+Campus+Recruiter+Accenture</v>
      </c>
      <c r="K1904" s="5" t="str">
        <f t="shared" si="1"/>
        <v>Krystin Crane</v>
      </c>
      <c r="L1904" s="5" t="str">
        <f t="shared" si="2"/>
        <v>Campus Recruiter</v>
      </c>
      <c r="M1904" s="5" t="str">
        <f t="shared" si="3"/>
        <v> </v>
      </c>
      <c r="N1904" s="5" t="str">
        <f t="shared" si="4"/>
        <v>Accenture</v>
      </c>
      <c r="O1904" s="5" t="str">
        <f t="shared" si="5"/>
        <v>6 years 5 months in role and company</v>
      </c>
      <c r="P1904" s="5" t="str">
        <f t="shared" si="6"/>
        <v>Charlotte</v>
      </c>
      <c r="Q1904" s="5" t="str">
        <f t="shared" si="7"/>
        <v>North Carolina</v>
      </c>
      <c r="R1904" s="5" t="str">
        <f t="shared" si="8"/>
        <v>United States</v>
      </c>
    </row>
    <row r="1905">
      <c r="A1905" s="8" t="s">
        <v>9512</v>
      </c>
      <c r="B1905" s="12" t="s">
        <v>9513</v>
      </c>
      <c r="C1905" s="10" t="s">
        <v>6268</v>
      </c>
      <c r="D1905" s="10"/>
      <c r="E1905" s="10" t="s">
        <v>9514</v>
      </c>
      <c r="F1905" s="10" t="s">
        <v>890</v>
      </c>
      <c r="G1905" s="11" t="s">
        <v>5280</v>
      </c>
      <c r="H1905" s="11" t="s">
        <v>4638</v>
      </c>
      <c r="I1905" s="11" t="s">
        <v>4600</v>
      </c>
      <c r="J1905" s="9" t="str">
        <f>IFERROR(__xludf.DUMMYFUNCTION("""COMPUTED_VALUE"""),"https://www.google.com/search?newwindow=1&amp;ei=2MT0XrvGGM-vytMP1OyDgAY&amp;q=site%3Alinkedin.com+Ashlei+Scott+Charlotte+Location+Lead+&amp;+Campus+Recruiter+Accenture")</f>
        <v>https://www.google.com/search?newwindow=1&amp;ei=2MT0XrvGGM-vytMP1OyDgAY&amp;q=site%3Alinkedin.com+Ashlei+Scott+Charlotte+Location+Lead+&amp;+Campus+Recruiter+Accenture</v>
      </c>
      <c r="K1905" s="5" t="str">
        <f t="shared" si="1"/>
        <v>Ashlei Scott</v>
      </c>
      <c r="L1905" s="5" t="str">
        <f t="shared" si="2"/>
        <v>Charlotte Location Lead &amp; Campus Recruiter</v>
      </c>
      <c r="M1905" s="5" t="str">
        <f t="shared" si="3"/>
        <v> </v>
      </c>
      <c r="N1905" s="5" t="str">
        <f t="shared" si="4"/>
        <v>Accenture</v>
      </c>
      <c r="O1905" s="5" t="str">
        <f t="shared" si="5"/>
        <v>5 months in role</v>
      </c>
      <c r="P1905" s="5" t="str">
        <f t="shared" si="6"/>
        <v>Charlotte</v>
      </c>
      <c r="Q1905" s="5" t="str">
        <f t="shared" si="7"/>
        <v>North Carolina</v>
      </c>
      <c r="R1905" s="5" t="str">
        <f t="shared" si="8"/>
        <v>United States</v>
      </c>
    </row>
    <row r="1906">
      <c r="A1906" s="8" t="s">
        <v>9313</v>
      </c>
      <c r="B1906" s="10" t="s">
        <v>9314</v>
      </c>
      <c r="C1906" s="10" t="s">
        <v>9315</v>
      </c>
      <c r="D1906" s="10"/>
      <c r="E1906" s="10" t="s">
        <v>9316</v>
      </c>
      <c r="F1906" s="10" t="s">
        <v>3578</v>
      </c>
      <c r="G1906" s="11" t="s">
        <v>5280</v>
      </c>
      <c r="H1906" s="11" t="s">
        <v>4638</v>
      </c>
      <c r="I1906" s="11" t="s">
        <v>4600</v>
      </c>
      <c r="J1906" s="9" t="str">
        <f>IFERROR(__xludf.DUMMYFUNCTION("""COMPUTED_VALUE"""),"https://www.google.com/search?newwindow=1&amp;ei=2MT0XrvGGM-vytMP1OyDgAY&amp;q=site%3Alinkedin.com+Linnea+Levy+Sr.+Campus+Recruiter+Accenture")</f>
        <v>https://www.google.com/search?newwindow=1&amp;ei=2MT0XrvGGM-vytMP1OyDgAY&amp;q=site%3Alinkedin.com+Linnea+Levy+Sr.+Campus+Recruiter+Accenture</v>
      </c>
      <c r="K1906" s="5" t="str">
        <f t="shared" si="1"/>
        <v>Linnea Levy</v>
      </c>
      <c r="L1906" s="5" t="str">
        <f t="shared" si="2"/>
        <v>Sr. Campus Recruiter</v>
      </c>
      <c r="M1906" s="5" t="str">
        <f t="shared" si="3"/>
        <v> </v>
      </c>
      <c r="N1906" s="5" t="str">
        <f t="shared" si="4"/>
        <v>Accenture</v>
      </c>
      <c r="O1906" s="5" t="str">
        <f t="shared" si="5"/>
        <v>1 year 10 months in role and company</v>
      </c>
      <c r="P1906" s="5" t="str">
        <f t="shared" si="6"/>
        <v>Chicago</v>
      </c>
      <c r="Q1906" s="5" t="str">
        <f t="shared" si="7"/>
        <v>Illinois</v>
      </c>
      <c r="R1906" s="5" t="str">
        <f t="shared" si="8"/>
        <v>United States</v>
      </c>
    </row>
    <row r="1907">
      <c r="A1907" s="8" t="s">
        <v>9317</v>
      </c>
      <c r="B1907" s="10" t="s">
        <v>9318</v>
      </c>
      <c r="C1907" s="10" t="s">
        <v>9319</v>
      </c>
      <c r="D1907" s="10"/>
      <c r="E1907" s="10" t="s">
        <v>9320</v>
      </c>
      <c r="F1907" s="10" t="s">
        <v>15</v>
      </c>
      <c r="G1907" s="11" t="s">
        <v>5280</v>
      </c>
      <c r="H1907" s="11" t="s">
        <v>4638</v>
      </c>
      <c r="I1907" s="11" t="s">
        <v>4600</v>
      </c>
      <c r="J1907" s="9" t="str">
        <f>IFERROR(__xludf.DUMMYFUNCTION("""COMPUTED_VALUE"""),"https://www.google.com/search?newwindow=1&amp;ei=2MT0XrvGGM-vytMP1OyDgAY&amp;q=site%3Alinkedin.com+Amy+LaPortre+Campus+Recruiter+Accenture")</f>
        <v>https://www.google.com/search?newwindow=1&amp;ei=2MT0XrvGGM-vytMP1OyDgAY&amp;q=site%3Alinkedin.com+Amy+LaPortre+Campus+Recruiter+Accenture</v>
      </c>
      <c r="K1907" s="5" t="str">
        <f t="shared" si="1"/>
        <v>Amy LaPortre</v>
      </c>
      <c r="L1907" s="5" t="str">
        <f t="shared" si="2"/>
        <v>Campus Recruiter</v>
      </c>
      <c r="M1907" s="5" t="str">
        <f t="shared" si="3"/>
        <v> </v>
      </c>
      <c r="N1907" s="5" t="str">
        <f t="shared" si="4"/>
        <v>Accenture</v>
      </c>
      <c r="O1907" s="5" t="str">
        <f t="shared" si="5"/>
        <v>2 years 8 months in role and company</v>
      </c>
      <c r="P1907" s="5" t="str">
        <f t="shared" si="6"/>
        <v>Chicago</v>
      </c>
      <c r="Q1907" s="5" t="str">
        <f t="shared" si="7"/>
        <v>Illinois</v>
      </c>
      <c r="R1907" s="5" t="str">
        <f t="shared" si="8"/>
        <v>United States</v>
      </c>
    </row>
    <row r="1908">
      <c r="A1908" s="8" t="s">
        <v>9310</v>
      </c>
      <c r="B1908" s="12" t="s">
        <v>9311</v>
      </c>
      <c r="C1908" s="10" t="s">
        <v>9312</v>
      </c>
      <c r="D1908" s="10"/>
      <c r="E1908" s="10" t="s">
        <v>4701</v>
      </c>
      <c r="F1908" s="10" t="s">
        <v>268</v>
      </c>
      <c r="G1908" s="11" t="s">
        <v>5280</v>
      </c>
      <c r="H1908" s="11" t="s">
        <v>4638</v>
      </c>
      <c r="I1908" s="11" t="s">
        <v>4600</v>
      </c>
      <c r="J1908" s="9" t="str">
        <f>IFERROR(__xludf.DUMMYFUNCTION("""COMPUTED_VALUE"""),"https://www.google.com/search?newwindow=1&amp;ei=2MT0XrvGGM-vytMP1OyDgAY&amp;q=site%3Alinkedin.com+Caroline+Stropes+Campus+Recruiter+Accenture")</f>
        <v>https://www.google.com/search?newwindow=1&amp;ei=2MT0XrvGGM-vytMP1OyDgAY&amp;q=site%3Alinkedin.com+Caroline+Stropes+Campus+Recruiter+Accenture</v>
      </c>
      <c r="K1908" s="5" t="str">
        <f t="shared" si="1"/>
        <v>Caroline Stropes</v>
      </c>
      <c r="L1908" s="5" t="str">
        <f t="shared" si="2"/>
        <v>Campus Recruiter</v>
      </c>
      <c r="M1908" s="5" t="str">
        <f t="shared" si="3"/>
        <v> </v>
      </c>
      <c r="N1908" s="5" t="str">
        <f t="shared" si="4"/>
        <v>Accenture</v>
      </c>
      <c r="O1908" s="5" t="str">
        <f t="shared" si="5"/>
        <v>1 year 9 months in role and company</v>
      </c>
      <c r="P1908" s="5" t="str">
        <f t="shared" si="6"/>
        <v>Chicago</v>
      </c>
      <c r="Q1908" s="5" t="str">
        <f t="shared" si="7"/>
        <v>Illinois</v>
      </c>
      <c r="R1908" s="5" t="str">
        <f t="shared" si="8"/>
        <v>United States</v>
      </c>
    </row>
    <row r="1909">
      <c r="A1909" s="8" t="s">
        <v>9515</v>
      </c>
      <c r="B1909" s="10" t="s">
        <v>9516</v>
      </c>
      <c r="C1909" s="10" t="s">
        <v>9517</v>
      </c>
      <c r="D1909" s="10"/>
      <c r="E1909" s="10" t="s">
        <v>6237</v>
      </c>
      <c r="F1909" s="10" t="s">
        <v>9518</v>
      </c>
      <c r="G1909" s="11" t="s">
        <v>5280</v>
      </c>
      <c r="H1909" s="11" t="s">
        <v>4638</v>
      </c>
      <c r="I1909" s="11" t="s">
        <v>4600</v>
      </c>
      <c r="J1909" s="9" t="str">
        <f>IFERROR(__xludf.DUMMYFUNCTION("""COMPUTED_VALUE"""),"https://www.google.com/search?newwindow=1&amp;ei=2MT0XrvGGM-vytMP1OyDgAY&amp;q=site%3Alinkedin.com+Krysta+Lewis+Associate+Manager+Accenture")</f>
        <v>https://www.google.com/search?newwindow=1&amp;ei=2MT0XrvGGM-vytMP1OyDgAY&amp;q=site%3Alinkedin.com+Krysta+Lewis+Associate+Manager+Accenture</v>
      </c>
      <c r="K1909" s="5" t="str">
        <f t="shared" si="1"/>
        <v>Krysta Lewis</v>
      </c>
      <c r="L1909" s="5" t="str">
        <f t="shared" si="2"/>
        <v>Associate Manager</v>
      </c>
      <c r="M1909" s="5" t="str">
        <f t="shared" si="3"/>
        <v> </v>
      </c>
      <c r="N1909" s="5" t="str">
        <f t="shared" si="4"/>
        <v>Accenture</v>
      </c>
      <c r="O1909" s="5" t="str">
        <f t="shared" si="5"/>
        <v>1 year 8 months in role</v>
      </c>
      <c r="P1909" s="5" t="str">
        <f t="shared" si="6"/>
        <v>Columbus</v>
      </c>
      <c r="Q1909" s="5" t="str">
        <f t="shared" si="7"/>
        <v>Ohio</v>
      </c>
      <c r="R1909" s="5" t="str">
        <f t="shared" si="8"/>
        <v>United States</v>
      </c>
    </row>
    <row r="1910">
      <c r="A1910" s="8" t="s">
        <v>9519</v>
      </c>
      <c r="B1910" s="12" t="s">
        <v>9520</v>
      </c>
      <c r="C1910" s="10" t="s">
        <v>9521</v>
      </c>
      <c r="D1910" s="10"/>
      <c r="E1910" s="10" t="s">
        <v>9522</v>
      </c>
      <c r="F1910" s="10" t="s">
        <v>1123</v>
      </c>
      <c r="G1910" s="11" t="s">
        <v>5280</v>
      </c>
      <c r="H1910" s="11" t="s">
        <v>4638</v>
      </c>
      <c r="I1910" s="11" t="s">
        <v>4600</v>
      </c>
      <c r="J1910" s="9" t="str">
        <f>IFERROR(__xludf.DUMMYFUNCTION("""COMPUTED_VALUE"""),"https://www.google.com/search?newwindow=1&amp;ei=2MT0XrvGGM-vytMP1OyDgAY&amp;q=site%3Alinkedin.com+Ilva+Fejzulla+Campus+Recruiter+Accenture")</f>
        <v>https://www.google.com/search?newwindow=1&amp;ei=2MT0XrvGGM-vytMP1OyDgAY&amp;q=site%3Alinkedin.com+Ilva+Fejzulla+Campus+Recruiter+Accenture</v>
      </c>
      <c r="K1910" s="5" t="str">
        <f t="shared" si="1"/>
        <v>Ilva Fejzulla</v>
      </c>
      <c r="L1910" s="5" t="str">
        <f t="shared" si="2"/>
        <v>Campus Recruiter</v>
      </c>
      <c r="M1910" s="5" t="str">
        <f t="shared" si="3"/>
        <v> </v>
      </c>
      <c r="N1910" s="5" t="str">
        <f t="shared" si="4"/>
        <v>Accenture</v>
      </c>
      <c r="O1910" s="5" t="str">
        <f t="shared" si="5"/>
        <v>1 year 3 months in role and company</v>
      </c>
      <c r="P1910" s="5" t="str">
        <f t="shared" si="6"/>
        <v>Dallas</v>
      </c>
      <c r="Q1910" s="5" t="str">
        <f t="shared" si="7"/>
        <v>Texas</v>
      </c>
      <c r="R1910" s="5" t="str">
        <f t="shared" si="8"/>
        <v>United States</v>
      </c>
    </row>
    <row r="1911">
      <c r="A1911" s="8" t="s">
        <v>9523</v>
      </c>
      <c r="B1911" s="12" t="s">
        <v>9524</v>
      </c>
      <c r="C1911" s="10" t="s">
        <v>9525</v>
      </c>
      <c r="D1911" s="10"/>
      <c r="E1911" s="10" t="s">
        <v>9526</v>
      </c>
      <c r="F1911" s="10" t="s">
        <v>144</v>
      </c>
      <c r="G1911" s="11" t="s">
        <v>5280</v>
      </c>
      <c r="H1911" s="11" t="s">
        <v>4638</v>
      </c>
      <c r="I1911" s="11" t="s">
        <v>4600</v>
      </c>
      <c r="J1911" s="9" t="str">
        <f>IFERROR(__xludf.DUMMYFUNCTION("""COMPUTED_VALUE"""),"https://www.google.com/search?newwindow=1&amp;ei=2MT0XrvGGM-vytMP1OyDgAY&amp;q=site%3Alinkedin.com+Joey+Adams+Project+Manager+-+Business+Process+Optimization+for+Financial+Reporting+(Resources)+Accenture")</f>
        <v>https://www.google.com/search?newwindow=1&amp;ei=2MT0XrvGGM-vytMP1OyDgAY&amp;q=site%3Alinkedin.com+Joey+Adams+Project+Manager+-+Business+Process+Optimization+for+Financial+Reporting+(Resources)+Accenture</v>
      </c>
      <c r="K1911" s="5" t="str">
        <f t="shared" si="1"/>
        <v>Joey Adams</v>
      </c>
      <c r="L1911" s="5" t="str">
        <f t="shared" si="2"/>
        <v>Project Manager - Business Process Optimization for Financial Reporting (Resources)</v>
      </c>
      <c r="M1911" s="5" t="str">
        <f t="shared" si="3"/>
        <v> </v>
      </c>
      <c r="N1911" s="5" t="str">
        <f t="shared" si="4"/>
        <v>Accenture</v>
      </c>
      <c r="O1911" s="5" t="str">
        <f t="shared" si="5"/>
        <v>2 years 1 month in role</v>
      </c>
      <c r="P1911" s="5" t="str">
        <f t="shared" si="6"/>
        <v>Denver</v>
      </c>
      <c r="Q1911" s="5" t="str">
        <f t="shared" si="7"/>
        <v>Colorado</v>
      </c>
      <c r="R1911" s="5" t="str">
        <f t="shared" si="8"/>
        <v>United States</v>
      </c>
    </row>
    <row r="1912">
      <c r="A1912" s="8" t="s">
        <v>9527</v>
      </c>
      <c r="B1912" s="12" t="s">
        <v>9528</v>
      </c>
      <c r="C1912" s="10" t="s">
        <v>9529</v>
      </c>
      <c r="D1912" s="10"/>
      <c r="E1912" s="10" t="s">
        <v>5374</v>
      </c>
      <c r="F1912" s="10" t="s">
        <v>1089</v>
      </c>
      <c r="G1912" s="11" t="s">
        <v>5280</v>
      </c>
      <c r="H1912" s="11" t="s">
        <v>4638</v>
      </c>
      <c r="I1912" s="11" t="s">
        <v>4600</v>
      </c>
      <c r="J1912" s="9" t="str">
        <f>IFERROR(__xludf.DUMMYFUNCTION("""COMPUTED_VALUE"""),"https://www.google.com/search?newwindow=1&amp;ei=2MT0XrvGGM-vytMP1OyDgAY&amp;q=site%3Alinkedin.com+Terrell+Johnson+Detroit+Co-Location+Lead+/+Campus+Recruiter+Accenture")</f>
        <v>https://www.google.com/search?newwindow=1&amp;ei=2MT0XrvGGM-vytMP1OyDgAY&amp;q=site%3Alinkedin.com+Terrell+Johnson+Detroit+Co-Location+Lead+/+Campus+Recruiter+Accenture</v>
      </c>
      <c r="K1912" s="5" t="str">
        <f t="shared" si="1"/>
        <v>Terrell Johnson</v>
      </c>
      <c r="L1912" s="5" t="str">
        <f t="shared" si="2"/>
        <v>Detroit Co-Location Lead / Campus Recruiter</v>
      </c>
      <c r="M1912" s="5" t="str">
        <f t="shared" si="3"/>
        <v> </v>
      </c>
      <c r="N1912" s="5" t="str">
        <f t="shared" si="4"/>
        <v>Accenture</v>
      </c>
      <c r="O1912" s="5" t="str">
        <f t="shared" si="5"/>
        <v>2 years 4 months in role and company</v>
      </c>
      <c r="P1912" s="5" t="str">
        <f t="shared" si="6"/>
        <v>Detroit</v>
      </c>
      <c r="Q1912" s="5" t="str">
        <f t="shared" si="7"/>
        <v>Michigan</v>
      </c>
      <c r="R1912" s="5" t="str">
        <f t="shared" si="8"/>
        <v>United States</v>
      </c>
    </row>
    <row r="1913">
      <c r="A1913" s="8" t="s">
        <v>9530</v>
      </c>
      <c r="B1913" s="10" t="s">
        <v>9531</v>
      </c>
      <c r="C1913" s="10" t="s">
        <v>9532</v>
      </c>
      <c r="D1913" s="10"/>
      <c r="E1913" s="10" t="s">
        <v>9473</v>
      </c>
      <c r="F1913" s="10" t="s">
        <v>79</v>
      </c>
      <c r="G1913" s="11" t="s">
        <v>5280</v>
      </c>
      <c r="H1913" s="11" t="s">
        <v>4638</v>
      </c>
      <c r="I1913" s="11" t="s">
        <v>4600</v>
      </c>
      <c r="J1913" s="9" t="str">
        <f>IFERROR(__xludf.DUMMYFUNCTION("""COMPUTED_VALUE"""),"https://www.google.com/search?newwindow=1&amp;ei=2MT0XrvGGM-vytMP1OyDgAY&amp;q=site%3Alinkedin.com+Robin+Ribeiro+Campus+Recruiter+Accenture")</f>
        <v>https://www.google.com/search?newwindow=1&amp;ei=2MT0XrvGGM-vytMP1OyDgAY&amp;q=site%3Alinkedin.com+Robin+Ribeiro+Campus+Recruiter+Accenture</v>
      </c>
      <c r="K1913" s="5" t="str">
        <f t="shared" si="1"/>
        <v>Robin Ribeiro</v>
      </c>
      <c r="L1913" s="5" t="str">
        <f t="shared" si="2"/>
        <v>Campus Recruiter</v>
      </c>
      <c r="M1913" s="5" t="str">
        <f t="shared" si="3"/>
        <v> </v>
      </c>
      <c r="N1913" s="5" t="str">
        <f t="shared" si="4"/>
        <v>Accenture</v>
      </c>
      <c r="O1913" s="5" t="str">
        <f t="shared" si="5"/>
        <v>2 years 4 months in role</v>
      </c>
      <c r="P1913" s="5" t="str">
        <f t="shared" si="6"/>
        <v>Dunellen</v>
      </c>
      <c r="Q1913" s="5" t="str">
        <f t="shared" si="7"/>
        <v>New Jersey</v>
      </c>
      <c r="R1913" s="5" t="str">
        <f t="shared" si="8"/>
        <v>United States</v>
      </c>
    </row>
    <row r="1914">
      <c r="A1914" s="8" t="s">
        <v>9533</v>
      </c>
      <c r="B1914" s="12" t="s">
        <v>9534</v>
      </c>
      <c r="C1914" s="10" t="s">
        <v>9535</v>
      </c>
      <c r="D1914" s="10"/>
      <c r="E1914" s="10" t="s">
        <v>6237</v>
      </c>
      <c r="F1914" s="10" t="s">
        <v>651</v>
      </c>
      <c r="G1914" s="11" t="s">
        <v>5280</v>
      </c>
      <c r="H1914" s="11" t="s">
        <v>4638</v>
      </c>
      <c r="I1914" s="11" t="s">
        <v>4600</v>
      </c>
      <c r="J1914" s="9" t="str">
        <f>IFERROR(__xludf.DUMMYFUNCTION("""COMPUTED_VALUE"""),"https://www.google.com/search?newwindow=1&amp;ei=2MT0XrvGGM-vytMP1OyDgAY&amp;q=site%3Alinkedin.com+Stephanie+Nevin+Campus+and+Entry+Level+Recruiter+Accenture")</f>
        <v>https://www.google.com/search?newwindow=1&amp;ei=2MT0XrvGGM-vytMP1OyDgAY&amp;q=site%3Alinkedin.com+Stephanie+Nevin+Campus+and+Entry+Level+Recruiter+Accenture</v>
      </c>
      <c r="K1914" s="5" t="str">
        <f t="shared" si="1"/>
        <v>Stephanie Nevin</v>
      </c>
      <c r="L1914" s="5" t="str">
        <f t="shared" si="2"/>
        <v>Campus and Entry Level Recruiter</v>
      </c>
      <c r="M1914" s="5" t="str">
        <f t="shared" si="3"/>
        <v> </v>
      </c>
      <c r="N1914" s="5" t="str">
        <f t="shared" si="4"/>
        <v>Accenture</v>
      </c>
      <c r="O1914" s="5" t="str">
        <f t="shared" si="5"/>
        <v>1 year 7 months in role and company</v>
      </c>
      <c r="P1914" s="5" t="str">
        <f t="shared" si="6"/>
        <v>Enumclaw</v>
      </c>
      <c r="Q1914" s="5" t="str">
        <f t="shared" si="7"/>
        <v>Washington</v>
      </c>
      <c r="R1914" s="5" t="str">
        <f t="shared" si="8"/>
        <v>United States</v>
      </c>
    </row>
    <row r="1915">
      <c r="A1915" s="8" t="s">
        <v>9536</v>
      </c>
      <c r="B1915" s="10" t="s">
        <v>9537</v>
      </c>
      <c r="C1915" s="10" t="s">
        <v>9538</v>
      </c>
      <c r="D1915" s="10"/>
      <c r="E1915" s="10" t="s">
        <v>5516</v>
      </c>
      <c r="F1915" s="10" t="s">
        <v>1637</v>
      </c>
      <c r="G1915" s="11" t="s">
        <v>5280</v>
      </c>
      <c r="H1915" s="11" t="s">
        <v>4638</v>
      </c>
      <c r="I1915" s="11" t="s">
        <v>4600</v>
      </c>
      <c r="J1915" s="9" t="str">
        <f>IFERROR(__xludf.DUMMYFUNCTION("""COMPUTED_VALUE"""),"https://www.google.com/search?newwindow=1&amp;ei=2MT0XrvGGM-vytMP1OyDgAY&amp;q=site%3Alinkedin.com+Melissa+Olson+Recruiting+Associate+Manager+Accenture")</f>
        <v>https://www.google.com/search?newwindow=1&amp;ei=2MT0XrvGGM-vytMP1OyDgAY&amp;q=site%3Alinkedin.com+Melissa+Olson+Recruiting+Associate+Manager+Accenture</v>
      </c>
      <c r="K1915" s="5" t="str">
        <f t="shared" si="1"/>
        <v>Melissa Olson</v>
      </c>
      <c r="L1915" s="5" t="str">
        <f t="shared" si="2"/>
        <v>Recruiting Associate Manager</v>
      </c>
      <c r="M1915" s="5" t="str">
        <f t="shared" si="3"/>
        <v> </v>
      </c>
      <c r="N1915" s="5" t="str">
        <f t="shared" si="4"/>
        <v>Accenture</v>
      </c>
      <c r="O1915" s="5" t="str">
        <f t="shared" si="5"/>
        <v>1 year 5 months in role</v>
      </c>
      <c r="P1915" s="5" t="str">
        <f t="shared" si="6"/>
        <v>Granite Falls</v>
      </c>
      <c r="Q1915" s="5" t="str">
        <f t="shared" si="7"/>
        <v>Washington</v>
      </c>
      <c r="R1915" s="5" t="str">
        <f t="shared" si="8"/>
        <v>United States</v>
      </c>
    </row>
    <row r="1916">
      <c r="A1916" s="8" t="s">
        <v>9539</v>
      </c>
      <c r="B1916" s="12" t="s">
        <v>9540</v>
      </c>
      <c r="C1916" s="10" t="s">
        <v>9541</v>
      </c>
      <c r="D1916" s="10"/>
      <c r="E1916" s="10" t="s">
        <v>9542</v>
      </c>
      <c r="F1916" s="10" t="s">
        <v>2035</v>
      </c>
      <c r="G1916" s="11" t="s">
        <v>5280</v>
      </c>
      <c r="H1916" s="11" t="s">
        <v>4638</v>
      </c>
      <c r="I1916" s="11" t="s">
        <v>4600</v>
      </c>
      <c r="J1916" s="9" t="str">
        <f>IFERROR(__xludf.DUMMYFUNCTION("""COMPUTED_VALUE"""),"https://www.google.com/search?newwindow=1&amp;ei=2MT0XrvGGM-vytMP1OyDgAY&amp;q=site%3Alinkedin.com+Kendrick+Harris+University+Recruiter+Accenture")</f>
        <v>https://www.google.com/search?newwindow=1&amp;ei=2MT0XrvGGM-vytMP1OyDgAY&amp;q=site%3Alinkedin.com+Kendrick+Harris+University+Recruiter+Accenture</v>
      </c>
      <c r="K1916" s="5" t="str">
        <f t="shared" si="1"/>
        <v>Kendrick Harris</v>
      </c>
      <c r="L1916" s="5" t="str">
        <f t="shared" si="2"/>
        <v>University Recruiter</v>
      </c>
      <c r="M1916" s="5" t="str">
        <f t="shared" si="3"/>
        <v> </v>
      </c>
      <c r="N1916" s="5" t="str">
        <f t="shared" si="4"/>
        <v>Accenture</v>
      </c>
      <c r="O1916" s="5" t="str">
        <f t="shared" si="5"/>
        <v>5 years 5 months in role and company</v>
      </c>
      <c r="P1916" s="5" t="str">
        <f t="shared" si="6"/>
        <v>Houston</v>
      </c>
      <c r="Q1916" s="5" t="str">
        <f t="shared" si="7"/>
        <v>Texas</v>
      </c>
      <c r="R1916" s="5" t="str">
        <f t="shared" si="8"/>
        <v>United States</v>
      </c>
    </row>
    <row r="1917">
      <c r="A1917" s="8" t="s">
        <v>9543</v>
      </c>
      <c r="B1917" s="10" t="s">
        <v>9544</v>
      </c>
      <c r="C1917" s="10" t="s">
        <v>9545</v>
      </c>
      <c r="D1917" s="10"/>
      <c r="E1917" s="10" t="s">
        <v>5516</v>
      </c>
      <c r="F1917" s="10" t="s">
        <v>2890</v>
      </c>
      <c r="G1917" s="11" t="s">
        <v>5280</v>
      </c>
      <c r="H1917" s="11" t="s">
        <v>4638</v>
      </c>
      <c r="I1917" s="11" t="s">
        <v>4600</v>
      </c>
      <c r="J1917" s="9" t="str">
        <f>IFERROR(__xludf.DUMMYFUNCTION("""COMPUTED_VALUE"""),"https://www.google.com/search?newwindow=1&amp;ei=2MT0XrvGGM-vytMP1OyDgAY&amp;q=site%3Alinkedin.com+Chris+Selbitschka+Recruiter+Accenture")</f>
        <v>https://www.google.com/search?newwindow=1&amp;ei=2MT0XrvGGM-vytMP1OyDgAY&amp;q=site%3Alinkedin.com+Chris+Selbitschka+Recruiter+Accenture</v>
      </c>
      <c r="K1917" s="5" t="str">
        <f t="shared" si="1"/>
        <v>Chris Selbitschka</v>
      </c>
      <c r="L1917" s="5" t="str">
        <f t="shared" si="2"/>
        <v>Recruiter</v>
      </c>
      <c r="M1917" s="5" t="str">
        <f t="shared" si="3"/>
        <v> </v>
      </c>
      <c r="N1917" s="5" t="str">
        <f t="shared" si="4"/>
        <v>Accenture</v>
      </c>
      <c r="O1917" s="5" t="str">
        <f t="shared" si="5"/>
        <v>11 years  in role and company</v>
      </c>
      <c r="P1917" s="5" t="str">
        <f t="shared" si="6"/>
        <v>Long Beach</v>
      </c>
      <c r="Q1917" s="5" t="str">
        <f t="shared" si="7"/>
        <v>California</v>
      </c>
      <c r="R1917" s="5" t="str">
        <f t="shared" si="8"/>
        <v>United States</v>
      </c>
    </row>
    <row r="1918">
      <c r="A1918" s="8" t="s">
        <v>9321</v>
      </c>
      <c r="B1918" s="10" t="s">
        <v>9322</v>
      </c>
      <c r="C1918" s="10" t="s">
        <v>9323</v>
      </c>
      <c r="D1918" s="10"/>
      <c r="E1918" s="10" t="s">
        <v>9324</v>
      </c>
      <c r="F1918" s="10" t="s">
        <v>716</v>
      </c>
      <c r="G1918" s="11" t="s">
        <v>5280</v>
      </c>
      <c r="H1918" s="11" t="s">
        <v>4638</v>
      </c>
      <c r="I1918" s="11" t="s">
        <v>4600</v>
      </c>
      <c r="J1918" s="9" t="str">
        <f>IFERROR(__xludf.DUMMYFUNCTION("""COMPUTED_VALUE"""),"https://www.google.com/search?newwindow=1&amp;ei=2MT0XrvGGM-vytMP1OyDgAY&amp;q=site%3Alinkedin.com+Madeline+McCooe+Campus+Recruiter+and+Location+Lead+(Southern+California)+Accenture")</f>
        <v>https://www.google.com/search?newwindow=1&amp;ei=2MT0XrvGGM-vytMP1OyDgAY&amp;q=site%3Alinkedin.com+Madeline+McCooe+Campus+Recruiter+and+Location+Lead+(Southern+California)+Accenture</v>
      </c>
      <c r="K1918" s="5" t="str">
        <f t="shared" si="1"/>
        <v>Madeline McCooe</v>
      </c>
      <c r="L1918" s="5" t="str">
        <f t="shared" si="2"/>
        <v>Campus Recruiter and Location Lead (Southern California)</v>
      </c>
      <c r="M1918" s="5" t="str">
        <f t="shared" si="3"/>
        <v> </v>
      </c>
      <c r="N1918" s="5" t="str">
        <f t="shared" si="4"/>
        <v>Accenture</v>
      </c>
      <c r="O1918" s="5" t="str">
        <f t="shared" si="5"/>
        <v>1 year 10 months in role</v>
      </c>
      <c r="P1918" s="5" t="str">
        <f t="shared" si="6"/>
        <v>Los Angeles</v>
      </c>
      <c r="Q1918" s="5" t="str">
        <f t="shared" si="7"/>
        <v>California</v>
      </c>
      <c r="R1918" s="5" t="str">
        <f t="shared" si="8"/>
        <v>United States</v>
      </c>
    </row>
    <row r="1919">
      <c r="A1919" s="8" t="s">
        <v>9546</v>
      </c>
      <c r="B1919" s="10" t="s">
        <v>9547</v>
      </c>
      <c r="C1919" s="10" t="s">
        <v>6868</v>
      </c>
      <c r="D1919" s="10"/>
      <c r="E1919" s="10" t="s">
        <v>5374</v>
      </c>
      <c r="F1919" s="10" t="s">
        <v>144</v>
      </c>
      <c r="G1919" s="11" t="s">
        <v>5280</v>
      </c>
      <c r="H1919" s="11" t="s">
        <v>4638</v>
      </c>
      <c r="I1919" s="11" t="s">
        <v>4600</v>
      </c>
      <c r="J1919" s="9" t="str">
        <f>IFERROR(__xludf.DUMMYFUNCTION("""COMPUTED_VALUE"""),"https://www.google.com/search?newwindow=1&amp;ei=2MT0XrvGGM-vytMP1OyDgAY&amp;q=site%3Alinkedin.com+Nancy+Pham+Campus+Recruiter+Accenture")</f>
        <v>https://www.google.com/search?newwindow=1&amp;ei=2MT0XrvGGM-vytMP1OyDgAY&amp;q=site%3Alinkedin.com+Nancy+Pham+Campus+Recruiter+Accenture</v>
      </c>
      <c r="K1919" s="5" t="str">
        <f t="shared" si="1"/>
        <v>Nancy Pham</v>
      </c>
      <c r="L1919" s="5" t="str">
        <f t="shared" si="2"/>
        <v>Campus Recruiter</v>
      </c>
      <c r="M1919" s="5" t="str">
        <f t="shared" si="3"/>
        <v> </v>
      </c>
      <c r="N1919" s="5" t="str">
        <f t="shared" si="4"/>
        <v>Accenture</v>
      </c>
      <c r="O1919" s="5" t="str">
        <f t="shared" si="5"/>
        <v>2 years 10 months in role and company</v>
      </c>
      <c r="P1919" s="5" t="str">
        <f t="shared" si="6"/>
        <v>Los Angeles</v>
      </c>
      <c r="Q1919" s="5" t="str">
        <f t="shared" si="7"/>
        <v>California</v>
      </c>
      <c r="R1919" s="5" t="str">
        <f t="shared" si="8"/>
        <v>United States</v>
      </c>
    </row>
    <row r="1920">
      <c r="A1920" s="8" t="s">
        <v>9325</v>
      </c>
      <c r="B1920" s="10" t="s">
        <v>9326</v>
      </c>
      <c r="C1920" s="10" t="s">
        <v>9327</v>
      </c>
      <c r="D1920" s="10"/>
      <c r="E1920" s="10" t="s">
        <v>9328</v>
      </c>
      <c r="F1920" s="10" t="s">
        <v>22</v>
      </c>
      <c r="G1920" s="11" t="s">
        <v>5280</v>
      </c>
      <c r="H1920" s="11" t="s">
        <v>4638</v>
      </c>
      <c r="I1920" s="11" t="s">
        <v>4600</v>
      </c>
      <c r="J1920" s="9" t="str">
        <f>IFERROR(__xludf.DUMMYFUNCTION("""COMPUTED_VALUE"""),"https://www.google.com/search?newwindow=1&amp;ei=2MT0XrvGGM-vytMP1OyDgAY&amp;q=site%3Alinkedin.com+Ashley.+Vonderahe+Campus+Recruiter+Accenture")</f>
        <v>https://www.google.com/search?newwindow=1&amp;ei=2MT0XrvGGM-vytMP1OyDgAY&amp;q=site%3Alinkedin.com+Ashley.+Vonderahe+Campus+Recruiter+Accenture</v>
      </c>
      <c r="K1920" s="5" t="str">
        <f t="shared" si="1"/>
        <v>Ashley. Vonderahe</v>
      </c>
      <c r="L1920" s="5" t="str">
        <f t="shared" si="2"/>
        <v>Campus Recruiter</v>
      </c>
      <c r="M1920" s="5" t="str">
        <f t="shared" si="3"/>
        <v> </v>
      </c>
      <c r="N1920" s="5" t="str">
        <f t="shared" si="4"/>
        <v>Accenture</v>
      </c>
      <c r="O1920" s="5" t="str">
        <f t="shared" si="5"/>
        <v/>
      </c>
      <c r="P1920" s="5" t="str">
        <f t="shared" si="6"/>
        <v>Mableton</v>
      </c>
      <c r="Q1920" s="5" t="str">
        <f t="shared" si="7"/>
        <v>Georgia</v>
      </c>
      <c r="R1920" s="5" t="str">
        <f t="shared" si="8"/>
        <v>United States</v>
      </c>
    </row>
    <row r="1921">
      <c r="A1921" s="8" t="s">
        <v>9548</v>
      </c>
      <c r="B1921" s="12" t="s">
        <v>9549</v>
      </c>
      <c r="C1921" s="10" t="s">
        <v>9550</v>
      </c>
      <c r="D1921" s="10"/>
      <c r="E1921" s="10" t="s">
        <v>5605</v>
      </c>
      <c r="F1921" s="10" t="s">
        <v>9551</v>
      </c>
      <c r="G1921" s="11" t="s">
        <v>5280</v>
      </c>
      <c r="H1921" s="11" t="s">
        <v>4638</v>
      </c>
      <c r="I1921" s="11" t="s">
        <v>4600</v>
      </c>
      <c r="J1921" s="9" t="str">
        <f>IFERROR(__xludf.DUMMYFUNCTION("""COMPUTED_VALUE"""),"https://www.google.com/search?newwindow=1&amp;ei=2MT0XrvGGM-vytMP1OyDgAY&amp;q=site%3Alinkedin.com+Alexandrea+Bittle+Campus+Recruiter+Accenture")</f>
        <v>https://www.google.com/search?newwindow=1&amp;ei=2MT0XrvGGM-vytMP1OyDgAY&amp;q=site%3Alinkedin.com+Alexandrea+Bittle+Campus+Recruiter+Accenture</v>
      </c>
      <c r="K1921" s="5" t="str">
        <f t="shared" si="1"/>
        <v>Alexandrea Bittle</v>
      </c>
      <c r="L1921" s="5" t="str">
        <f t="shared" si="2"/>
        <v>Campus Recruiter</v>
      </c>
      <c r="M1921" s="5" t="str">
        <f t="shared" si="3"/>
        <v> </v>
      </c>
      <c r="N1921" s="5" t="str">
        <f t="shared" si="4"/>
        <v>Accenture</v>
      </c>
      <c r="O1921" s="5" t="str">
        <f t="shared" si="5"/>
        <v>3 years 8 months in role and company</v>
      </c>
      <c r="P1921" s="5" t="str">
        <f t="shared" si="6"/>
        <v>Nashville</v>
      </c>
      <c r="Q1921" s="5" t="str">
        <f t="shared" si="7"/>
        <v>Tennessee</v>
      </c>
      <c r="R1921" s="5" t="str">
        <f t="shared" si="8"/>
        <v>United States</v>
      </c>
    </row>
    <row r="1922">
      <c r="A1922" s="8" t="s">
        <v>9329</v>
      </c>
      <c r="B1922" s="12" t="s">
        <v>9330</v>
      </c>
      <c r="C1922" s="10" t="s">
        <v>9331</v>
      </c>
      <c r="D1922" s="10"/>
      <c r="E1922" s="10" t="s">
        <v>5409</v>
      </c>
      <c r="F1922" s="10" t="s">
        <v>691</v>
      </c>
      <c r="G1922" s="11" t="s">
        <v>5280</v>
      </c>
      <c r="H1922" s="11" t="s">
        <v>4638</v>
      </c>
      <c r="I1922" s="11" t="s">
        <v>4600</v>
      </c>
      <c r="J1922" s="9" t="str">
        <f>IFERROR(__xludf.DUMMYFUNCTION("""COMPUTED_VALUE"""),"https://www.google.com/search?newwindow=1&amp;ei=2MT0XrvGGM-vytMP1OyDgAY&amp;q=site%3Alinkedin.com+Christina+Coy+Campus+Recruiter+Accenture")</f>
        <v>https://www.google.com/search?newwindow=1&amp;ei=2MT0XrvGGM-vytMP1OyDgAY&amp;q=site%3Alinkedin.com+Christina+Coy+Campus+Recruiter+Accenture</v>
      </c>
      <c r="K1922" s="5" t="str">
        <f t="shared" si="1"/>
        <v>Christina Coy</v>
      </c>
      <c r="L1922" s="5" t="str">
        <f t="shared" si="2"/>
        <v>Campus Recruiter</v>
      </c>
      <c r="M1922" s="5" t="str">
        <f t="shared" si="3"/>
        <v> </v>
      </c>
      <c r="N1922" s="5" t="str">
        <f t="shared" si="4"/>
        <v>Accenture</v>
      </c>
      <c r="O1922" s="5" t="str">
        <f t="shared" si="5"/>
        <v>1 year  in role and company</v>
      </c>
      <c r="P1922" s="5" t="str">
        <f t="shared" si="6"/>
        <v>New York</v>
      </c>
      <c r="Q1922" s="5" t="str">
        <f t="shared" si="7"/>
        <v>New York</v>
      </c>
      <c r="R1922" s="5" t="str">
        <f t="shared" si="8"/>
        <v>United States</v>
      </c>
    </row>
    <row r="1923">
      <c r="A1923" s="8" t="s">
        <v>9332</v>
      </c>
      <c r="B1923" s="10" t="s">
        <v>9333</v>
      </c>
      <c r="C1923" s="10" t="s">
        <v>4596</v>
      </c>
      <c r="D1923" s="10"/>
      <c r="E1923" s="10" t="s">
        <v>6576</v>
      </c>
      <c r="F1923" s="10" t="s">
        <v>5985</v>
      </c>
      <c r="G1923" s="11" t="s">
        <v>5280</v>
      </c>
      <c r="H1923" s="11" t="s">
        <v>4638</v>
      </c>
      <c r="I1923" s="11" t="s">
        <v>4600</v>
      </c>
      <c r="J1923" s="9" t="str">
        <f>IFERROR(__xludf.DUMMYFUNCTION("""COMPUTED_VALUE"""),"https://www.google.com/search?newwindow=1&amp;ei=2MT0XrvGGM-vytMP1OyDgAY&amp;q=site%3Alinkedin.com+Rachel+McGrath+Sr.+Campus+Recruiter-+Strategy+Accenture")</f>
        <v>https://www.google.com/search?newwindow=1&amp;ei=2MT0XrvGGM-vytMP1OyDgAY&amp;q=site%3Alinkedin.com+Rachel+McGrath+Sr.+Campus+Recruiter-+Strategy+Accenture</v>
      </c>
      <c r="K1923" s="5" t="str">
        <f t="shared" si="1"/>
        <v>Rachel McGrath</v>
      </c>
      <c r="L1923" s="5" t="str">
        <f t="shared" si="2"/>
        <v>Sr. Campus Recruiter- Strategy</v>
      </c>
      <c r="M1923" s="5" t="str">
        <f t="shared" si="3"/>
        <v> </v>
      </c>
      <c r="N1923" s="5" t="str">
        <f t="shared" si="4"/>
        <v>Accenture</v>
      </c>
      <c r="O1923" s="5" t="str">
        <f t="shared" si="5"/>
        <v/>
      </c>
      <c r="P1923" s="5" t="str">
        <f t="shared" si="6"/>
        <v>New York</v>
      </c>
      <c r="Q1923" s="5" t="str">
        <f t="shared" si="7"/>
        <v>New York</v>
      </c>
      <c r="R1923" s="5" t="str">
        <f t="shared" si="8"/>
        <v>United States</v>
      </c>
    </row>
    <row r="1924">
      <c r="A1924" s="8" t="s">
        <v>9552</v>
      </c>
      <c r="B1924" s="10" t="s">
        <v>9553</v>
      </c>
      <c r="C1924" s="10" t="s">
        <v>7284</v>
      </c>
      <c r="D1924" s="10"/>
      <c r="E1924" s="10" t="s">
        <v>9554</v>
      </c>
      <c r="F1924" s="10" t="s">
        <v>237</v>
      </c>
      <c r="G1924" s="11" t="s">
        <v>5280</v>
      </c>
      <c r="H1924" s="11" t="s">
        <v>4638</v>
      </c>
      <c r="I1924" s="11" t="s">
        <v>4600</v>
      </c>
      <c r="J1924" s="9" t="str">
        <f>IFERROR(__xludf.DUMMYFUNCTION("""COMPUTED_VALUE"""),"https://www.google.com/search?newwindow=1&amp;ei=2MT0XrvGGM-vytMP1OyDgAY&amp;q=site%3Alinkedin.com+Courtney+Schroeder+Associate+Recruiter+-+Campus+Recruiting+Accenture")</f>
        <v>https://www.google.com/search?newwindow=1&amp;ei=2MT0XrvGGM-vytMP1OyDgAY&amp;q=site%3Alinkedin.com+Courtney+Schroeder+Associate+Recruiter+-+Campus+Recruiting+Accenture</v>
      </c>
      <c r="K1924" s="5" t="str">
        <f t="shared" si="1"/>
        <v>Courtney Schroeder</v>
      </c>
      <c r="L1924" s="5" t="str">
        <f t="shared" si="2"/>
        <v>Associate Recruiter - Campus Recruiting</v>
      </c>
      <c r="M1924" s="5" t="str">
        <f t="shared" si="3"/>
        <v> </v>
      </c>
      <c r="N1924" s="5" t="str">
        <f t="shared" si="4"/>
        <v>Accenture</v>
      </c>
      <c r="O1924" s="5" t="str">
        <f t="shared" si="5"/>
        <v>1 year 2 months in role and company</v>
      </c>
      <c r="P1924" s="5" t="str">
        <f t="shared" si="6"/>
        <v>New York</v>
      </c>
      <c r="Q1924" s="5" t="str">
        <f t="shared" si="7"/>
        <v>New York</v>
      </c>
      <c r="R1924" s="5" t="str">
        <f t="shared" si="8"/>
        <v>United States</v>
      </c>
    </row>
    <row r="1925">
      <c r="A1925" s="8" t="s">
        <v>9555</v>
      </c>
      <c r="B1925" s="12" t="s">
        <v>9556</v>
      </c>
      <c r="C1925" s="10" t="s">
        <v>9391</v>
      </c>
      <c r="D1925" s="10"/>
      <c r="E1925" s="10" t="s">
        <v>9392</v>
      </c>
      <c r="F1925" s="10" t="s">
        <v>694</v>
      </c>
      <c r="G1925" s="11" t="s">
        <v>5280</v>
      </c>
      <c r="H1925" s="11" t="s">
        <v>4638</v>
      </c>
      <c r="I1925" s="11" t="s">
        <v>4600</v>
      </c>
      <c r="J1925" s="9" t="str">
        <f>IFERROR(__xludf.DUMMYFUNCTION("""COMPUTED_VALUE"""),"https://www.google.com/search?newwindow=1&amp;ei=2MT0XrvGGM-vytMP1OyDgAY&amp;q=site%3Alinkedin.com+Elsa+Wilcox+Campus+Recruiter+Accenture")</f>
        <v>https://www.google.com/search?newwindow=1&amp;ei=2MT0XrvGGM-vytMP1OyDgAY&amp;q=site%3Alinkedin.com+Elsa+Wilcox+Campus+Recruiter+Accenture</v>
      </c>
      <c r="K1925" s="5" t="str">
        <f t="shared" si="1"/>
        <v>Elsa Wilcox</v>
      </c>
      <c r="L1925" s="5" t="str">
        <f t="shared" si="2"/>
        <v>Campus Recruiter</v>
      </c>
      <c r="M1925" s="5" t="str">
        <f t="shared" si="3"/>
        <v> </v>
      </c>
      <c r="N1925" s="5" t="str">
        <f t="shared" si="4"/>
        <v>Accenture</v>
      </c>
      <c r="O1925" s="5" t="str">
        <f t="shared" si="5"/>
        <v>2 years 4 months in role and company</v>
      </c>
      <c r="P1925" s="5" t="str">
        <f t="shared" si="6"/>
        <v>New York</v>
      </c>
      <c r="Q1925" s="5" t="str">
        <f t="shared" si="7"/>
        <v>New York</v>
      </c>
      <c r="R1925" s="5" t="str">
        <f t="shared" si="8"/>
        <v>United States</v>
      </c>
    </row>
    <row r="1926">
      <c r="A1926" s="8" t="s">
        <v>9334</v>
      </c>
      <c r="B1926" s="12" t="s">
        <v>9335</v>
      </c>
      <c r="C1926" s="10" t="s">
        <v>4596</v>
      </c>
      <c r="D1926" s="10"/>
      <c r="E1926" s="10" t="s">
        <v>9336</v>
      </c>
      <c r="F1926" s="10" t="s">
        <v>1249</v>
      </c>
      <c r="G1926" s="11" t="s">
        <v>5280</v>
      </c>
      <c r="H1926" s="11" t="s">
        <v>4638</v>
      </c>
      <c r="I1926" s="11" t="s">
        <v>4600</v>
      </c>
      <c r="J1926" s="9" t="str">
        <f>IFERROR(__xludf.DUMMYFUNCTION("""COMPUTED_VALUE"""),"https://www.google.com/search?newwindow=1&amp;ei=2MT0XrvGGM-vytMP1OyDgAY&amp;q=site%3Alinkedin.com+Suzie+Cochran+Campus+Recruiter+Accenture")</f>
        <v>https://www.google.com/search?newwindow=1&amp;ei=2MT0XrvGGM-vytMP1OyDgAY&amp;q=site%3Alinkedin.com+Suzie+Cochran+Campus+Recruiter+Accenture</v>
      </c>
      <c r="K1926" s="5" t="str">
        <f t="shared" si="1"/>
        <v>Suzie Cochran</v>
      </c>
      <c r="L1926" s="5" t="str">
        <f t="shared" si="2"/>
        <v>Campus Recruiter</v>
      </c>
      <c r="M1926" s="5" t="str">
        <f t="shared" si="3"/>
        <v> </v>
      </c>
      <c r="N1926" s="5" t="str">
        <f t="shared" si="4"/>
        <v>Accenture</v>
      </c>
      <c r="O1926" s="5" t="str">
        <f t="shared" si="5"/>
        <v>4 months in role</v>
      </c>
      <c r="P1926" s="5" t="str">
        <f t="shared" si="6"/>
        <v>Oakland</v>
      </c>
      <c r="Q1926" s="5" t="str">
        <f t="shared" si="7"/>
        <v>California</v>
      </c>
      <c r="R1926" s="5" t="str">
        <f t="shared" si="8"/>
        <v>United States</v>
      </c>
    </row>
    <row r="1927">
      <c r="A1927" s="8" t="s">
        <v>9557</v>
      </c>
      <c r="B1927" s="10" t="s">
        <v>9558</v>
      </c>
      <c r="C1927" s="10" t="s">
        <v>9559</v>
      </c>
      <c r="D1927" s="10"/>
      <c r="E1927" s="10" t="s">
        <v>9560</v>
      </c>
      <c r="F1927" s="10" t="s">
        <v>36</v>
      </c>
      <c r="G1927" s="11" t="s">
        <v>5280</v>
      </c>
      <c r="H1927" s="11" t="s">
        <v>4638</v>
      </c>
      <c r="I1927" s="11" t="s">
        <v>4600</v>
      </c>
      <c r="J1927" s="9" t="str">
        <f>IFERROR(__xludf.DUMMYFUNCTION("""COMPUTED_VALUE"""),"https://www.google.com/search?newwindow=1&amp;ei=2MT0XrvGGM-vytMP1OyDgAY&amp;q=site%3Alinkedin.com+Jessica+Steciw+Campus+Recruiter+Accenture")</f>
        <v>https://www.google.com/search?newwindow=1&amp;ei=2MT0XrvGGM-vytMP1OyDgAY&amp;q=site%3Alinkedin.com+Jessica+Steciw+Campus+Recruiter+Accenture</v>
      </c>
      <c r="K1927" s="5" t="str">
        <f t="shared" si="1"/>
        <v>Jessica Steciw</v>
      </c>
      <c r="L1927" s="5" t="str">
        <f t="shared" si="2"/>
        <v>Campus Recruiter</v>
      </c>
      <c r="M1927" s="5" t="str">
        <f t="shared" si="3"/>
        <v> </v>
      </c>
      <c r="N1927" s="5" t="str">
        <f t="shared" si="4"/>
        <v>Accenture</v>
      </c>
      <c r="O1927" s="5" t="str">
        <f t="shared" si="5"/>
        <v>5 years 5 months in role and company</v>
      </c>
      <c r="P1927" s="5" t="str">
        <f t="shared" si="6"/>
        <v>Philadelphia</v>
      </c>
      <c r="Q1927" s="5" t="str">
        <f t="shared" si="7"/>
        <v>Pennsylvania</v>
      </c>
      <c r="R1927" s="5" t="str">
        <f t="shared" si="8"/>
        <v>United States</v>
      </c>
    </row>
    <row r="1928">
      <c r="A1928" s="8" t="s">
        <v>9346</v>
      </c>
      <c r="B1928" s="12" t="s">
        <v>9347</v>
      </c>
      <c r="C1928" s="10" t="s">
        <v>9348</v>
      </c>
      <c r="D1928" s="12"/>
      <c r="E1928" s="12" t="s">
        <v>2625</v>
      </c>
      <c r="F1928" s="10"/>
      <c r="G1928" s="11" t="s">
        <v>5280</v>
      </c>
      <c r="H1928" s="11" t="s">
        <v>4638</v>
      </c>
      <c r="I1928" s="11" t="s">
        <v>4600</v>
      </c>
      <c r="J1928" s="9" t="str">
        <f>IFERROR(__xludf.DUMMYFUNCTION("""COMPUTED_VALUE"""),"https://www.google.com/search?newwindow=1&amp;ei=2MT0XrvGGM-vytMP1OyDgAY&amp;q=site%3Alinkedin.com+Porsha+Alexander+Strategy+Campus+Recruiting+Associate+Manager+Accenture")</f>
        <v>https://www.google.com/search?newwindow=1&amp;ei=2MT0XrvGGM-vytMP1OyDgAY&amp;q=site%3Alinkedin.com+Porsha+Alexander+Strategy+Campus+Recruiting+Associate+Manager+Accenture</v>
      </c>
      <c r="K1928" s="5" t="str">
        <f t="shared" si="1"/>
        <v>Porsha Alexander</v>
      </c>
      <c r="L1928" s="5" t="str">
        <f t="shared" si="2"/>
        <v>Strategy Campus Recruiting Associate Manager</v>
      </c>
      <c r="M1928" s="5" t="str">
        <f t="shared" si="3"/>
        <v> </v>
      </c>
      <c r="N1928" s="5" t="str">
        <f t="shared" si="4"/>
        <v>Accenture</v>
      </c>
      <c r="O1928" s="5" t="str">
        <f t="shared" si="5"/>
        <v>2 years 4 months in role</v>
      </c>
      <c r="P1928" s="5" t="str">
        <f t="shared" si="6"/>
        <v>Philadelphia</v>
      </c>
      <c r="Q1928" s="5" t="str">
        <f t="shared" si="7"/>
        <v>Pennsylvania</v>
      </c>
      <c r="R1928" s="5" t="str">
        <f t="shared" si="8"/>
        <v>United States</v>
      </c>
    </row>
    <row r="1929">
      <c r="A1929" s="8" t="s">
        <v>9340</v>
      </c>
      <c r="B1929" s="12" t="s">
        <v>9341</v>
      </c>
      <c r="C1929" s="10" t="s">
        <v>5068</v>
      </c>
      <c r="D1929" s="12"/>
      <c r="E1929" s="12" t="s">
        <v>9342</v>
      </c>
      <c r="F1929" s="10"/>
      <c r="G1929" s="11" t="s">
        <v>5280</v>
      </c>
      <c r="H1929" s="11" t="s">
        <v>4638</v>
      </c>
      <c r="I1929" s="11" t="s">
        <v>4600</v>
      </c>
      <c r="J1929" s="9" t="str">
        <f>IFERROR(__xludf.DUMMYFUNCTION("""COMPUTED_VALUE"""),"https://www.google.com/search?newwindow=1&amp;ei=2MT0XrvGGM-vytMP1OyDgAY&amp;q=site%3Alinkedin.com+Taylor+Spikes+Strategy+Campus+Recruiter+Accenture")</f>
        <v>https://www.google.com/search?newwindow=1&amp;ei=2MT0XrvGGM-vytMP1OyDgAY&amp;q=site%3Alinkedin.com+Taylor+Spikes+Strategy+Campus+Recruiter+Accenture</v>
      </c>
      <c r="K1929" s="5" t="str">
        <f t="shared" si="1"/>
        <v>Taylor Spikes</v>
      </c>
      <c r="L1929" s="5" t="str">
        <f t="shared" si="2"/>
        <v>Strategy Campus Recruiter</v>
      </c>
      <c r="M1929" s="5" t="str">
        <f t="shared" si="3"/>
        <v> </v>
      </c>
      <c r="N1929" s="5" t="str">
        <f t="shared" si="4"/>
        <v>Accenture</v>
      </c>
      <c r="O1929" s="5" t="str">
        <f t="shared" si="5"/>
        <v>1 year 3 months in role and company</v>
      </c>
      <c r="P1929" s="5" t="str">
        <f t="shared" si="6"/>
        <v>Philadelphia</v>
      </c>
      <c r="Q1929" s="5" t="str">
        <f t="shared" si="7"/>
        <v>Pennsylvania</v>
      </c>
      <c r="R1929" s="5" t="str">
        <f t="shared" si="8"/>
        <v>United States</v>
      </c>
    </row>
    <row r="1930">
      <c r="A1930" s="8" t="s">
        <v>9561</v>
      </c>
      <c r="B1930" s="12" t="s">
        <v>9562</v>
      </c>
      <c r="C1930" s="10" t="s">
        <v>9563</v>
      </c>
      <c r="D1930" s="10"/>
      <c r="E1930" s="10" t="s">
        <v>9564</v>
      </c>
      <c r="F1930" s="10" t="s">
        <v>901</v>
      </c>
      <c r="G1930" s="11" t="s">
        <v>5280</v>
      </c>
      <c r="H1930" s="11" t="s">
        <v>4638</v>
      </c>
      <c r="I1930" s="11" t="s">
        <v>4600</v>
      </c>
      <c r="J1930" s="9" t="str">
        <f>IFERROR(__xludf.DUMMYFUNCTION("""COMPUTED_VALUE"""),"https://www.google.com/search?newwindow=1&amp;ei=2MT0XrvGGM-vytMP1OyDgAY&amp;q=site%3Alinkedin.com+Keyanea+Marrow+Campus+Recruiter+Accenture")</f>
        <v>https://www.google.com/search?newwindow=1&amp;ei=2MT0XrvGGM-vytMP1OyDgAY&amp;q=site%3Alinkedin.com+Keyanea+Marrow+Campus+Recruiter+Accenture</v>
      </c>
      <c r="K1930" s="5" t="str">
        <f t="shared" si="1"/>
        <v>Keyanea Marrow</v>
      </c>
      <c r="L1930" s="5" t="str">
        <f t="shared" si="2"/>
        <v>Campus Recruiter</v>
      </c>
      <c r="M1930" s="5" t="str">
        <f t="shared" si="3"/>
        <v> </v>
      </c>
      <c r="N1930" s="5" t="str">
        <f t="shared" si="4"/>
        <v>Accenture</v>
      </c>
      <c r="O1930" s="5" t="str">
        <f t="shared" si="5"/>
        <v>2 years 4 months in role and company</v>
      </c>
      <c r="P1930" s="5" t="str">
        <f t="shared" si="6"/>
        <v>Philadelphia</v>
      </c>
      <c r="Q1930" s="5" t="str">
        <f t="shared" si="7"/>
        <v>Pennsylvania</v>
      </c>
      <c r="R1930" s="5" t="str">
        <f t="shared" si="8"/>
        <v>United States</v>
      </c>
    </row>
    <row r="1931">
      <c r="A1931" s="8" t="s">
        <v>9565</v>
      </c>
      <c r="B1931" s="10" t="s">
        <v>9566</v>
      </c>
      <c r="C1931" s="10" t="s">
        <v>9567</v>
      </c>
      <c r="D1931" s="10"/>
      <c r="E1931" s="10" t="s">
        <v>9568</v>
      </c>
      <c r="F1931" s="10" t="s">
        <v>100</v>
      </c>
      <c r="G1931" s="11" t="s">
        <v>5280</v>
      </c>
      <c r="H1931" s="11" t="s">
        <v>4638</v>
      </c>
      <c r="I1931" s="11" t="s">
        <v>4600</v>
      </c>
      <c r="J1931" s="9" t="str">
        <f>IFERROR(__xludf.DUMMYFUNCTION("""COMPUTED_VALUE"""),"https://www.google.com/search?newwindow=1&amp;ei=2MT0XrvGGM-vytMP1OyDgAY&amp;q=site%3Alinkedin.com+Catherine+Halcewicz+Pleskaczewski+Campus+Recruiter+Accenture")</f>
        <v>https://www.google.com/search?newwindow=1&amp;ei=2MT0XrvGGM-vytMP1OyDgAY&amp;q=site%3Alinkedin.com+Catherine+Halcewicz+Pleskaczewski+Campus+Recruiter+Accenture</v>
      </c>
      <c r="K1931" s="5" t="str">
        <f t="shared" si="1"/>
        <v>Catherine Halcewicz Pleskaczewski</v>
      </c>
      <c r="L1931" s="5" t="str">
        <f t="shared" si="2"/>
        <v>Campus Recruiter</v>
      </c>
      <c r="M1931" s="5" t="str">
        <f t="shared" si="3"/>
        <v> </v>
      </c>
      <c r="N1931" s="5" t="str">
        <f t="shared" si="4"/>
        <v>Accenture</v>
      </c>
      <c r="O1931" s="5" t="str">
        <f t="shared" si="5"/>
        <v>10 months in role and company</v>
      </c>
      <c r="P1931" s="5" t="str">
        <f t="shared" si="6"/>
        <v>San Francisco</v>
      </c>
      <c r="Q1931" s="5" t="str">
        <f t="shared" si="7"/>
        <v>California</v>
      </c>
      <c r="R1931" s="5" t="str">
        <f t="shared" si="8"/>
        <v>United States</v>
      </c>
    </row>
    <row r="1932">
      <c r="A1932" s="8" t="s">
        <v>9337</v>
      </c>
      <c r="B1932" s="12" t="s">
        <v>9338</v>
      </c>
      <c r="C1932" s="10" t="s">
        <v>4596</v>
      </c>
      <c r="D1932" s="10"/>
      <c r="E1932" s="10" t="s">
        <v>9339</v>
      </c>
      <c r="F1932" s="10" t="s">
        <v>5386</v>
      </c>
      <c r="G1932" s="11" t="s">
        <v>5280</v>
      </c>
      <c r="H1932" s="11" t="s">
        <v>4638</v>
      </c>
      <c r="I1932" s="11" t="s">
        <v>4600</v>
      </c>
      <c r="J1932" s="9" t="str">
        <f>IFERROR(__xludf.DUMMYFUNCTION("""COMPUTED_VALUE"""),"https://www.google.com/search?newwindow=1&amp;ei=2MT0XrvGGM-vytMP1OyDgAY&amp;q=site%3Alinkedin.com+Alejandra+Mora+Campus+Recruiter+Accenture")</f>
        <v>https://www.google.com/search?newwindow=1&amp;ei=2MT0XrvGGM-vytMP1OyDgAY&amp;q=site%3Alinkedin.com+Alejandra+Mora+Campus+Recruiter+Accenture</v>
      </c>
      <c r="K1932" s="5" t="str">
        <f t="shared" si="1"/>
        <v>Alejandra Mora</v>
      </c>
      <c r="L1932" s="5" t="str">
        <f t="shared" si="2"/>
        <v>Campus Recruiter</v>
      </c>
      <c r="M1932" s="5" t="str">
        <f t="shared" si="3"/>
        <v> </v>
      </c>
      <c r="N1932" s="5" t="str">
        <f t="shared" si="4"/>
        <v>Accenture</v>
      </c>
      <c r="O1932" s="5" t="str">
        <f t="shared" si="5"/>
        <v>1 year 10 months in role</v>
      </c>
      <c r="P1932" s="5" t="str">
        <f t="shared" si="6"/>
        <v>San Jose</v>
      </c>
      <c r="Q1932" s="5" t="str">
        <f t="shared" si="7"/>
        <v>California</v>
      </c>
      <c r="R1932" s="5" t="str">
        <f t="shared" si="8"/>
        <v>United States</v>
      </c>
    </row>
    <row r="1933">
      <c r="A1933" s="8" t="s">
        <v>9343</v>
      </c>
      <c r="B1933" s="10" t="s">
        <v>9344</v>
      </c>
      <c r="C1933" s="10" t="s">
        <v>5270</v>
      </c>
      <c r="D1933" s="10"/>
      <c r="E1933" s="10" t="s">
        <v>9345</v>
      </c>
      <c r="F1933" s="10" t="s">
        <v>1357</v>
      </c>
      <c r="G1933" s="11" t="s">
        <v>5280</v>
      </c>
      <c r="H1933" s="11" t="s">
        <v>4638</v>
      </c>
      <c r="I1933" s="11" t="s">
        <v>4600</v>
      </c>
      <c r="J1933" s="9" t="str">
        <f>IFERROR(__xludf.DUMMYFUNCTION("""COMPUTED_VALUE"""),"https://www.google.com/search?newwindow=1&amp;ei=2MT0XrvGGM-vytMP1OyDgAY&amp;q=site%3Alinkedin.com+Rory+Merrill+Campus+Recruiter+Accenture")</f>
        <v>https://www.google.com/search?newwindow=1&amp;ei=2MT0XrvGGM-vytMP1OyDgAY&amp;q=site%3Alinkedin.com+Rory+Merrill+Campus+Recruiter+Accenture</v>
      </c>
      <c r="K1933" s="5" t="str">
        <f t="shared" si="1"/>
        <v>Rory Merrill</v>
      </c>
      <c r="L1933" s="5" t="str">
        <f t="shared" si="2"/>
        <v>Campus Recruiter</v>
      </c>
      <c r="M1933" s="5" t="str">
        <f t="shared" si="3"/>
        <v> </v>
      </c>
      <c r="N1933" s="5" t="str">
        <f t="shared" si="4"/>
        <v>Accenture</v>
      </c>
      <c r="O1933" s="5" t="str">
        <f t="shared" si="5"/>
        <v>2 years 2 months in role and company</v>
      </c>
      <c r="P1933" s="5" t="str">
        <f t="shared" si="6"/>
        <v>Washington</v>
      </c>
      <c r="Q1933" s="5" t="str">
        <f t="shared" si="7"/>
        <v>District of Columbia</v>
      </c>
      <c r="R1933" s="5" t="str">
        <f t="shared" si="8"/>
        <v>United States</v>
      </c>
    </row>
    <row r="1934">
      <c r="A1934" s="8" t="s">
        <v>9349</v>
      </c>
      <c r="B1934" s="10" t="s">
        <v>9350</v>
      </c>
      <c r="C1934" s="10" t="s">
        <v>5635</v>
      </c>
      <c r="D1934" s="12"/>
      <c r="E1934" s="12" t="s">
        <v>9351</v>
      </c>
      <c r="F1934" s="10"/>
      <c r="G1934" s="11" t="s">
        <v>5280</v>
      </c>
      <c r="H1934" s="11" t="s">
        <v>4638</v>
      </c>
      <c r="I1934" s="11" t="s">
        <v>4600</v>
      </c>
      <c r="J1934" s="9" t="str">
        <f>IFERROR(__xludf.DUMMYFUNCTION("""COMPUTED_VALUE"""),"https://www.google.com/search?newwindow=1&amp;ei=2MT0XrvGGM-vytMP1OyDgAY&amp;q=site%3Alinkedin.com+Caroline+Shook+Campus+Recruiter+Accenture")</f>
        <v>https://www.google.com/search?newwindow=1&amp;ei=2MT0XrvGGM-vytMP1OyDgAY&amp;q=site%3Alinkedin.com+Caroline+Shook+Campus+Recruiter+Accenture</v>
      </c>
      <c r="K1934" s="5" t="str">
        <f t="shared" si="1"/>
        <v>Caroline Shook</v>
      </c>
      <c r="L1934" s="5" t="str">
        <f t="shared" si="2"/>
        <v>Campus Recruiter</v>
      </c>
      <c r="M1934" s="5" t="str">
        <f t="shared" si="3"/>
        <v> </v>
      </c>
      <c r="N1934" s="5" t="str">
        <f t="shared" si="4"/>
        <v>Accenture</v>
      </c>
      <c r="O1934" s="5" t="str">
        <f t="shared" si="5"/>
        <v>3 years 4 months in role</v>
      </c>
      <c r="P1934" s="5" t="str">
        <f t="shared" si="6"/>
        <v>Washington</v>
      </c>
      <c r="Q1934" s="5" t="str">
        <f t="shared" si="7"/>
        <v>District of Columbia</v>
      </c>
      <c r="R1934" s="5" t="str">
        <f t="shared" si="8"/>
        <v>United States</v>
      </c>
    </row>
    <row r="1935">
      <c r="A1935" s="8" t="s">
        <v>9569</v>
      </c>
      <c r="B1935" s="10" t="s">
        <v>9570</v>
      </c>
      <c r="C1935" s="10" t="s">
        <v>9571</v>
      </c>
      <c r="D1935" s="12"/>
      <c r="E1935" s="12" t="s">
        <v>5374</v>
      </c>
      <c r="F1935" s="10"/>
      <c r="G1935" s="11" t="s">
        <v>5280</v>
      </c>
      <c r="H1935" s="11" t="s">
        <v>4638</v>
      </c>
      <c r="I1935" s="11" t="s">
        <v>4600</v>
      </c>
      <c r="J1935" s="9" t="str">
        <f>IFERROR(__xludf.DUMMYFUNCTION("""COMPUTED_VALUE"""),"https://www.google.com/search?newwindow=1&amp;ei=2MT0XrvGGM-vytMP1OyDgAY&amp;q=site%3Alinkedin.com+Mark+Acquaye+Diversity+Campus+Recruiter+Accenture")</f>
        <v>https://www.google.com/search?newwindow=1&amp;ei=2MT0XrvGGM-vytMP1OyDgAY&amp;q=site%3Alinkedin.com+Mark+Acquaye+Diversity+Campus+Recruiter+Accenture</v>
      </c>
      <c r="K1935" s="5" t="str">
        <f t="shared" si="1"/>
        <v>Mark Acquaye</v>
      </c>
      <c r="L1935" s="5" t="str">
        <f t="shared" si="2"/>
        <v>Diversity Campus Recruiter</v>
      </c>
      <c r="M1935" s="5" t="str">
        <f t="shared" si="3"/>
        <v> </v>
      </c>
      <c r="N1935" s="5" t="str">
        <f t="shared" si="4"/>
        <v>Accenture</v>
      </c>
      <c r="O1935" s="5" t="str">
        <f t="shared" si="5"/>
        <v>3 years 6 months in role and company</v>
      </c>
      <c r="P1935" s="5" t="str">
        <f t="shared" si="6"/>
        <v>Washington</v>
      </c>
      <c r="Q1935" s="5" t="str">
        <f t="shared" si="7"/>
        <v>District of Columbia</v>
      </c>
      <c r="R1935" s="5" t="str">
        <f t="shared" si="8"/>
        <v>United States</v>
      </c>
    </row>
    <row r="1936">
      <c r="A1936" s="8" t="s">
        <v>9352</v>
      </c>
      <c r="B1936" s="10" t="s">
        <v>9353</v>
      </c>
      <c r="C1936" s="10" t="s">
        <v>9354</v>
      </c>
      <c r="D1936" s="10"/>
      <c r="E1936" s="10" t="s">
        <v>9355</v>
      </c>
      <c r="F1936" s="10" t="s">
        <v>33</v>
      </c>
      <c r="G1936" s="11" t="s">
        <v>5280</v>
      </c>
      <c r="H1936" s="11" t="s">
        <v>4638</v>
      </c>
      <c r="I1936" s="11" t="s">
        <v>4600</v>
      </c>
      <c r="J1936" s="9" t="str">
        <f>IFERROR(__xludf.DUMMYFUNCTION("""COMPUTED_VALUE"""),"https://www.google.com/search?newwindow=1&amp;ei=2MT0XrvGGM-vytMP1OyDgAY&amp;q=site%3Alinkedin.com+Samantha+Meason+Campus+Recruiter+Accenture+Federal+Services")</f>
        <v>https://www.google.com/search?newwindow=1&amp;ei=2MT0XrvGGM-vytMP1OyDgAY&amp;q=site%3Alinkedin.com+Samantha+Meason+Campus+Recruiter+Accenture+Federal+Services</v>
      </c>
      <c r="K1936" s="5" t="str">
        <f t="shared" si="1"/>
        <v>Samantha Meason</v>
      </c>
      <c r="L1936" s="5" t="str">
        <f t="shared" si="2"/>
        <v>Campus Recruiter</v>
      </c>
      <c r="M1936" s="5" t="str">
        <f t="shared" si="3"/>
        <v> </v>
      </c>
      <c r="N1936" s="5" t="str">
        <f t="shared" si="4"/>
        <v>Accenture</v>
      </c>
      <c r="O1936" s="5" t="str">
        <f t="shared" si="5"/>
        <v>2 years 3 months in role and company</v>
      </c>
      <c r="P1936" s="5" t="str">
        <f t="shared" si="6"/>
        <v>Arlington</v>
      </c>
      <c r="Q1936" s="5" t="str">
        <f t="shared" si="7"/>
        <v>Virginia</v>
      </c>
      <c r="R1936" s="5" t="str">
        <f t="shared" si="8"/>
        <v>United States</v>
      </c>
    </row>
    <row r="1937">
      <c r="A1937" s="8" t="s">
        <v>9356</v>
      </c>
      <c r="B1937" s="12" t="s">
        <v>9357</v>
      </c>
      <c r="C1937" s="10" t="s">
        <v>5068</v>
      </c>
      <c r="D1937" s="10"/>
      <c r="E1937" s="10" t="s">
        <v>9358</v>
      </c>
      <c r="F1937" s="10" t="s">
        <v>36</v>
      </c>
      <c r="G1937" s="11" t="s">
        <v>5280</v>
      </c>
      <c r="H1937" s="11" t="s">
        <v>4638</v>
      </c>
      <c r="I1937" s="11" t="s">
        <v>4600</v>
      </c>
      <c r="J1937" s="9" t="str">
        <f>IFERROR(__xludf.DUMMYFUNCTION("""COMPUTED_VALUE"""),"https://www.google.com/search?newwindow=1&amp;ei=2MT0XrvGGM-vytMP1OyDgAY&amp;q=site%3Alinkedin.com+Rachel+Neuschaefer+Recruiting+Manager/Lead,+Campus+and+Entry+Level+Recruitment+Accenture+Federal+Services")</f>
        <v>https://www.google.com/search?newwindow=1&amp;ei=2MT0XrvGGM-vytMP1OyDgAY&amp;q=site%3Alinkedin.com+Rachel+Neuschaefer+Recruiting+Manager/Lead,+Campus+and+Entry+Level+Recruitment+Accenture+Federal+Services</v>
      </c>
      <c r="K1937" s="5" t="str">
        <f t="shared" si="1"/>
        <v>Rachel Neuschaefer</v>
      </c>
      <c r="L1937" s="5" t="str">
        <f t="shared" si="2"/>
        <v>Recruiting Manager/Lead, Campus and Entry Level Recruitment</v>
      </c>
      <c r="M1937" s="5" t="str">
        <f t="shared" si="3"/>
        <v> </v>
      </c>
      <c r="N1937" s="5" t="str">
        <f t="shared" si="4"/>
        <v>Accenture</v>
      </c>
      <c r="O1937" s="5" t="str">
        <f t="shared" si="5"/>
        <v>1 year 1 month in role and company</v>
      </c>
      <c r="P1937" s="5" t="str">
        <f t="shared" si="6"/>
        <v>Ashburn</v>
      </c>
      <c r="Q1937" s="5" t="str">
        <f t="shared" si="7"/>
        <v>Virginia</v>
      </c>
      <c r="R1937" s="5" t="str">
        <f t="shared" si="8"/>
        <v>United States</v>
      </c>
    </row>
    <row r="1938">
      <c r="A1938" s="8" t="s">
        <v>9572</v>
      </c>
      <c r="B1938" s="12" t="s">
        <v>9573</v>
      </c>
      <c r="C1938" s="10" t="s">
        <v>9574</v>
      </c>
      <c r="D1938" s="10"/>
      <c r="E1938" s="10" t="s">
        <v>9575</v>
      </c>
      <c r="F1938" s="10" t="s">
        <v>1357</v>
      </c>
      <c r="G1938" s="11" t="s">
        <v>5280</v>
      </c>
      <c r="H1938" s="11" t="s">
        <v>4638</v>
      </c>
      <c r="I1938" s="11" t="s">
        <v>4600</v>
      </c>
      <c r="J1938" s="9" t="str">
        <f>IFERROR(__xludf.DUMMYFUNCTION("""COMPUTED_VALUE"""),"https://www.google.com/search?newwindow=1&amp;ei=2MT0XrvGGM-vytMP1OyDgAY&amp;q=site%3Alinkedin.com+Lexi+Lubin+Campus+Recruiter+Accenture+Federal+Services")</f>
        <v>https://www.google.com/search?newwindow=1&amp;ei=2MT0XrvGGM-vytMP1OyDgAY&amp;q=site%3Alinkedin.com+Lexi+Lubin+Campus+Recruiter+Accenture+Federal+Services</v>
      </c>
      <c r="K1938" s="5" t="str">
        <f t="shared" si="1"/>
        <v>Lexi Lubin</v>
      </c>
      <c r="L1938" s="5" t="str">
        <f t="shared" si="2"/>
        <v>Campus Recruiter</v>
      </c>
      <c r="M1938" s="5" t="str">
        <f t="shared" si="3"/>
        <v> </v>
      </c>
      <c r="N1938" s="5" t="str">
        <f t="shared" si="4"/>
        <v>Accenture</v>
      </c>
      <c r="O1938" s="5" t="str">
        <f t="shared" si="5"/>
        <v>1 year 3 months in role</v>
      </c>
      <c r="P1938" s="5" t="str">
        <f t="shared" si="6"/>
        <v>Washington</v>
      </c>
      <c r="Q1938" s="5" t="str">
        <f t="shared" si="7"/>
        <v>District of Columbia</v>
      </c>
      <c r="R1938" s="5" t="str">
        <f t="shared" si="8"/>
        <v>United States</v>
      </c>
    </row>
    <row r="1939">
      <c r="A1939" s="8" t="s">
        <v>9576</v>
      </c>
      <c r="B1939" s="10" t="s">
        <v>9577</v>
      </c>
      <c r="C1939" s="10" t="s">
        <v>9067</v>
      </c>
      <c r="D1939" s="12"/>
      <c r="E1939" s="12" t="s">
        <v>9578</v>
      </c>
      <c r="F1939" s="10"/>
      <c r="G1939" s="11" t="s">
        <v>5280</v>
      </c>
      <c r="H1939" s="11" t="s">
        <v>4638</v>
      </c>
      <c r="I1939" s="11" t="s">
        <v>4600</v>
      </c>
      <c r="J1939" s="9" t="str">
        <f>IFERROR(__xludf.DUMMYFUNCTION("""COMPUTED_VALUE"""),"https://www.google.com/search?newwindow=1&amp;ei=2MT0XrvGGM-vytMP1OyDgAY&amp;q=site%3Alinkedin.com+Brandon+Moore+Senior+Campus+Recruiter+Accenture+Strategy")</f>
        <v>https://www.google.com/search?newwindow=1&amp;ei=2MT0XrvGGM-vytMP1OyDgAY&amp;q=site%3Alinkedin.com+Brandon+Moore+Senior+Campus+Recruiter+Accenture+Strategy</v>
      </c>
      <c r="K1939" s="5" t="str">
        <f t="shared" si="1"/>
        <v>Brandon Moore</v>
      </c>
      <c r="L1939" s="5" t="str">
        <f t="shared" si="2"/>
        <v>Senior Campus Recruiter</v>
      </c>
      <c r="M1939" s="5" t="str">
        <f t="shared" si="3"/>
        <v> </v>
      </c>
      <c r="N1939" s="5" t="str">
        <f t="shared" si="4"/>
        <v>Accenture</v>
      </c>
      <c r="O1939" s="5" t="str">
        <f t="shared" si="5"/>
        <v>2 years 4 months in role and company</v>
      </c>
      <c r="P1939" s="5" t="str">
        <f t="shared" si="6"/>
        <v>Chicago</v>
      </c>
      <c r="Q1939" s="5" t="str">
        <f t="shared" si="7"/>
        <v>Illinois</v>
      </c>
      <c r="R1939" s="5" t="str">
        <f t="shared" si="8"/>
        <v>United States</v>
      </c>
    </row>
    <row r="1940">
      <c r="A1940" s="8" t="s">
        <v>9579</v>
      </c>
      <c r="B1940" s="10" t="s">
        <v>9580</v>
      </c>
      <c r="C1940" s="10" t="s">
        <v>9581</v>
      </c>
      <c r="D1940" s="12"/>
      <c r="E1940" s="12" t="s">
        <v>9582</v>
      </c>
      <c r="F1940" s="10"/>
      <c r="G1940" s="11" t="s">
        <v>5280</v>
      </c>
      <c r="H1940" s="11" t="s">
        <v>4638</v>
      </c>
      <c r="I1940" s="11" t="s">
        <v>4600</v>
      </c>
      <c r="J1940" s="9" t="str">
        <f>IFERROR(__xludf.DUMMYFUNCTION("""COMPUTED_VALUE"""),"https://www.google.com/search?newwindow=1&amp;ei=2MT0XrvGGM-vytMP1OyDgAY&amp;q=site%3Alinkedin.com+Erin+Breslin-Garcia+Sr.+Recruiter,+Campus+Recruiting+Activision")</f>
        <v>https://www.google.com/search?newwindow=1&amp;ei=2MT0XrvGGM-vytMP1OyDgAY&amp;q=site%3Alinkedin.com+Erin+Breslin-Garcia+Sr.+Recruiter,+Campus+Recruiting+Activision</v>
      </c>
      <c r="K1940" s="5" t="str">
        <f t="shared" si="1"/>
        <v>Erin Breslin-Garcia</v>
      </c>
      <c r="L1940" s="5" t="str">
        <f t="shared" si="2"/>
        <v>Sr. Recruiter, Campus Recruiting</v>
      </c>
      <c r="M1940" s="5" t="str">
        <f t="shared" si="3"/>
        <v> </v>
      </c>
      <c r="N1940" s="5" t="str">
        <f t="shared" si="4"/>
        <v>Activision</v>
      </c>
      <c r="O1940" s="5" t="str">
        <f t="shared" si="5"/>
        <v>4 months in role</v>
      </c>
      <c r="P1940" s="5" t="str">
        <f t="shared" si="6"/>
        <v>Los Angeles</v>
      </c>
      <c r="Q1940" s="5" t="str">
        <f t="shared" si="7"/>
        <v>California</v>
      </c>
      <c r="R1940" s="5" t="str">
        <f t="shared" si="8"/>
        <v>United States</v>
      </c>
    </row>
    <row r="1941">
      <c r="A1941" s="8" t="s">
        <v>9359</v>
      </c>
      <c r="B1941" s="12" t="s">
        <v>9360</v>
      </c>
      <c r="C1941" s="10" t="s">
        <v>9361</v>
      </c>
      <c r="D1941" s="12"/>
      <c r="E1941" s="12" t="s">
        <v>9362</v>
      </c>
      <c r="F1941" s="10"/>
      <c r="G1941" s="11" t="s">
        <v>5280</v>
      </c>
      <c r="H1941" s="11" t="s">
        <v>4638</v>
      </c>
      <c r="I1941" s="11" t="s">
        <v>4600</v>
      </c>
      <c r="J1941" s="9" t="str">
        <f>IFERROR(__xludf.DUMMYFUNCTION("""COMPUTED_VALUE"""),"https://www.google.com/search?newwindow=1&amp;ei=2MT0XrvGGM-vytMP1OyDgAY&amp;q=site%3Alinkedin.com+JoAnne+Jean-Noel+Campus+Recruiter+Allstate")</f>
        <v>https://www.google.com/search?newwindow=1&amp;ei=2MT0XrvGGM-vytMP1OyDgAY&amp;q=site%3Alinkedin.com+JoAnne+Jean-Noel+Campus+Recruiter+Allstate</v>
      </c>
      <c r="K1941" s="5" t="str">
        <f t="shared" si="1"/>
        <v>JoAnne Jean-Noel</v>
      </c>
      <c r="L1941" s="5" t="str">
        <f t="shared" si="2"/>
        <v>Campus Recruiter</v>
      </c>
      <c r="M1941" s="5" t="str">
        <f t="shared" si="3"/>
        <v> </v>
      </c>
      <c r="N1941" s="5" t="str">
        <f t="shared" si="4"/>
        <v>Allstate</v>
      </c>
      <c r="O1941" s="5" t="str">
        <f t="shared" si="5"/>
        <v>2 years 2 months in role</v>
      </c>
      <c r="P1941" s="5" t="str">
        <f t="shared" si="6"/>
        <v>Boynton Beach</v>
      </c>
      <c r="Q1941" s="5" t="str">
        <f t="shared" si="7"/>
        <v>Florida</v>
      </c>
      <c r="R1941" s="5" t="str">
        <f t="shared" si="8"/>
        <v>United States</v>
      </c>
    </row>
    <row r="1942">
      <c r="A1942" s="8" t="s">
        <v>9583</v>
      </c>
      <c r="B1942" s="10" t="s">
        <v>9584</v>
      </c>
      <c r="C1942" s="10" t="s">
        <v>9585</v>
      </c>
      <c r="D1942" s="10"/>
      <c r="E1942" s="10" t="s">
        <v>9526</v>
      </c>
      <c r="F1942" s="10" t="s">
        <v>125</v>
      </c>
      <c r="G1942" s="11" t="s">
        <v>5280</v>
      </c>
      <c r="H1942" s="11" t="s">
        <v>4638</v>
      </c>
      <c r="I1942" s="11" t="s">
        <v>4600</v>
      </c>
      <c r="J1942" s="9" t="str">
        <f>IFERROR(__xludf.DUMMYFUNCTION("""COMPUTED_VALUE"""),"https://www.google.com/search?newwindow=1&amp;ei=2MT0XrvGGM-vytMP1OyDgAY&amp;q=site%3Alinkedin.com+David+Tarkenton,+MBA+Technology+Campus+Recruiter+Allstate")</f>
        <v>https://www.google.com/search?newwindow=1&amp;ei=2MT0XrvGGM-vytMP1OyDgAY&amp;q=site%3Alinkedin.com+David+Tarkenton,+MBA+Technology+Campus+Recruiter+Allstate</v>
      </c>
      <c r="K1942" s="5" t="str">
        <f t="shared" si="1"/>
        <v>David Tarkenton, MBA</v>
      </c>
      <c r="L1942" s="5" t="str">
        <f t="shared" si="2"/>
        <v>Technology Campus Recruiter</v>
      </c>
      <c r="M1942" s="5" t="str">
        <f t="shared" si="3"/>
        <v> </v>
      </c>
      <c r="N1942" s="5" t="str">
        <f t="shared" si="4"/>
        <v>Allstate</v>
      </c>
      <c r="O1942" s="5" t="str">
        <f t="shared" si="5"/>
        <v>2 years 1 month in role and company</v>
      </c>
      <c r="P1942" s="5" t="str">
        <f t="shared" si="6"/>
        <v>Charlotte</v>
      </c>
      <c r="Q1942" s="5" t="str">
        <f t="shared" si="7"/>
        <v>North Carolina</v>
      </c>
      <c r="R1942" s="5" t="str">
        <f t="shared" si="8"/>
        <v>United States</v>
      </c>
    </row>
    <row r="1943">
      <c r="A1943" s="8" t="s">
        <v>9363</v>
      </c>
      <c r="B1943" s="10" t="s">
        <v>9364</v>
      </c>
      <c r="C1943" s="10" t="s">
        <v>7156</v>
      </c>
      <c r="D1943" s="10"/>
      <c r="E1943" s="10" t="s">
        <v>9365</v>
      </c>
      <c r="F1943" s="10"/>
      <c r="G1943" s="11" t="s">
        <v>5280</v>
      </c>
      <c r="H1943" s="11" t="s">
        <v>4638</v>
      </c>
      <c r="I1943" s="11" t="s">
        <v>4600</v>
      </c>
      <c r="J1943" s="9" t="str">
        <f>IFERROR(__xludf.DUMMYFUNCTION("""COMPUTED_VALUE"""),"https://www.google.com/search?newwindow=1&amp;ei=2MT0XrvGGM-vytMP1OyDgAY&amp;q=site%3Alinkedin.com+Kayla+King,+MPA+Campus+Recruiter+Allstate")</f>
        <v>https://www.google.com/search?newwindow=1&amp;ei=2MT0XrvGGM-vytMP1OyDgAY&amp;q=site%3Alinkedin.com+Kayla+King,+MPA+Campus+Recruiter+Allstate</v>
      </c>
      <c r="K1943" s="5" t="str">
        <f t="shared" si="1"/>
        <v>Kayla King, MPA</v>
      </c>
      <c r="L1943" s="5" t="str">
        <f t="shared" si="2"/>
        <v>Campus Recruiter</v>
      </c>
      <c r="M1943" s="5" t="str">
        <f t="shared" si="3"/>
        <v> </v>
      </c>
      <c r="N1943" s="5" t="str">
        <f t="shared" si="4"/>
        <v>Allstate</v>
      </c>
      <c r="O1943" s="5" t="str">
        <f t="shared" si="5"/>
        <v>10 months in role and company</v>
      </c>
      <c r="P1943" s="5" t="str">
        <f t="shared" si="6"/>
        <v>Dallas</v>
      </c>
      <c r="Q1943" s="5" t="str">
        <f t="shared" si="7"/>
        <v>Texas</v>
      </c>
      <c r="R1943" s="5" t="str">
        <f t="shared" si="8"/>
        <v>United States</v>
      </c>
    </row>
    <row r="1944">
      <c r="A1944" s="8" t="s">
        <v>9586</v>
      </c>
      <c r="B1944" s="10" t="s">
        <v>9587</v>
      </c>
      <c r="C1944" s="10" t="s">
        <v>9588</v>
      </c>
      <c r="D1944" s="10"/>
      <c r="E1944" s="10" t="s">
        <v>9589</v>
      </c>
      <c r="F1944" s="10" t="s">
        <v>822</v>
      </c>
      <c r="G1944" s="11" t="s">
        <v>9590</v>
      </c>
      <c r="H1944" s="11" t="s">
        <v>4971</v>
      </c>
      <c r="I1944" s="11" t="s">
        <v>4619</v>
      </c>
      <c r="J1944" s="9" t="str">
        <f>IFERROR(__xludf.DUMMYFUNCTION("""COMPUTED_VALUE"""),"https://www.google.com/search?newwindow=1&amp;ei=2MT0XrvGGM-vytMP1OyDgAY&amp;q=site%3Alinkedin.com+Jillian+Farrell+Campus+Recruiting+Lead+Allstate")</f>
        <v>https://www.google.com/search?newwindow=1&amp;ei=2MT0XrvGGM-vytMP1OyDgAY&amp;q=site%3Alinkedin.com+Jillian+Farrell+Campus+Recruiting+Lead+Allstate</v>
      </c>
      <c r="K1944" s="5" t="str">
        <f t="shared" si="1"/>
        <v>Jillian Farrell</v>
      </c>
      <c r="L1944" s="5" t="str">
        <f t="shared" si="2"/>
        <v>Campus Recruiting Lead</v>
      </c>
      <c r="M1944" s="5" t="str">
        <f t="shared" si="3"/>
        <v> </v>
      </c>
      <c r="N1944" s="5" t="str">
        <f t="shared" si="4"/>
        <v>Allstate</v>
      </c>
      <c r="O1944" s="5" t="str">
        <f t="shared" si="5"/>
        <v>2 years 9 months in role and company</v>
      </c>
      <c r="P1944" s="5" t="str">
        <f t="shared" si="6"/>
        <v>Dayton</v>
      </c>
      <c r="Q1944" s="5" t="str">
        <f t="shared" si="7"/>
        <v>Ohio</v>
      </c>
      <c r="R1944" s="5" t="str">
        <f t="shared" si="8"/>
        <v>United States</v>
      </c>
    </row>
    <row r="1945">
      <c r="A1945" s="8" t="s">
        <v>9591</v>
      </c>
      <c r="B1945" s="12" t="s">
        <v>9592</v>
      </c>
      <c r="C1945" s="10" t="s">
        <v>5054</v>
      </c>
      <c r="D1945" s="10"/>
      <c r="E1945" s="10" t="s">
        <v>4632</v>
      </c>
      <c r="F1945" s="10" t="s">
        <v>26</v>
      </c>
      <c r="G1945" s="11" t="s">
        <v>9593</v>
      </c>
      <c r="H1945" s="11" t="s">
        <v>4606</v>
      </c>
      <c r="I1945" s="11" t="s">
        <v>4607</v>
      </c>
      <c r="J1945" s="9" t="str">
        <f>IFERROR(__xludf.DUMMYFUNCTION("""COMPUTED_VALUE"""),"https://www.google.com/search?newwindow=1&amp;ei=2MT0XrvGGM-vytMP1OyDgAY&amp;q=site%3Alinkedin.com+Madison+Bruchsaler+Campus+Recruiter+Allstate")</f>
        <v>https://www.google.com/search?newwindow=1&amp;ei=2MT0XrvGGM-vytMP1OyDgAY&amp;q=site%3Alinkedin.com+Madison+Bruchsaler+Campus+Recruiter+Allstate</v>
      </c>
      <c r="K1945" s="5" t="str">
        <f t="shared" si="1"/>
        <v>Madison Bruchsaler</v>
      </c>
      <c r="L1945" s="5" t="str">
        <f t="shared" si="2"/>
        <v>Campus Recruiter</v>
      </c>
      <c r="M1945" s="5" t="str">
        <f t="shared" si="3"/>
        <v> </v>
      </c>
      <c r="N1945" s="5" t="str">
        <f t="shared" si="4"/>
        <v>Allstate</v>
      </c>
      <c r="O1945" s="5" t="str">
        <f t="shared" si="5"/>
        <v>1 year 6 months in role</v>
      </c>
      <c r="P1945" s="5" t="str">
        <f t="shared" si="6"/>
        <v>Milwaukee</v>
      </c>
      <c r="Q1945" s="5" t="str">
        <f t="shared" si="7"/>
        <v>Wisconsin</v>
      </c>
      <c r="R1945" s="5" t="str">
        <f t="shared" si="8"/>
        <v>United States</v>
      </c>
    </row>
    <row r="1946">
      <c r="A1946" s="8" t="s">
        <v>9594</v>
      </c>
      <c r="B1946" s="12" t="s">
        <v>9595</v>
      </c>
      <c r="C1946" s="10" t="s">
        <v>4677</v>
      </c>
      <c r="D1946" s="10"/>
      <c r="E1946" s="10" t="s">
        <v>1233</v>
      </c>
      <c r="F1946" s="10" t="s">
        <v>694</v>
      </c>
      <c r="G1946" s="11" t="s">
        <v>9596</v>
      </c>
      <c r="H1946" s="11" t="s">
        <v>91</v>
      </c>
      <c r="I1946" s="11" t="s">
        <v>18</v>
      </c>
      <c r="J1946" s="9" t="str">
        <f>IFERROR(__xludf.DUMMYFUNCTION("""COMPUTED_VALUE"""),"https://www.google.com/search?newwindow=1&amp;ei=2MT0XrvGGM-vytMP1OyDgAY&amp;q=site%3Alinkedin.com+Candace+Gerads+Campus+Recruiter+Allstate")</f>
        <v>https://www.google.com/search?newwindow=1&amp;ei=2MT0XrvGGM-vytMP1OyDgAY&amp;q=site%3Alinkedin.com+Candace+Gerads+Campus+Recruiter+Allstate</v>
      </c>
      <c r="K1946" s="5" t="str">
        <f t="shared" si="1"/>
        <v>Candace Gerads</v>
      </c>
      <c r="L1946" s="5" t="str">
        <f t="shared" si="2"/>
        <v>Campus Recruiter</v>
      </c>
      <c r="M1946" s="5" t="str">
        <f t="shared" si="3"/>
        <v> </v>
      </c>
      <c r="N1946" s="5" t="str">
        <f t="shared" si="4"/>
        <v>Allstate</v>
      </c>
      <c r="O1946" s="5" t="str">
        <f t="shared" si="5"/>
        <v>8 months in role and company</v>
      </c>
      <c r="P1946" s="5" t="str">
        <f t="shared" si="6"/>
        <v>Phoenix</v>
      </c>
      <c r="Q1946" s="5" t="str">
        <f t="shared" si="7"/>
        <v>Arizona</v>
      </c>
      <c r="R1946" s="5" t="str">
        <f t="shared" si="8"/>
        <v>United States</v>
      </c>
    </row>
    <row r="1947">
      <c r="A1947" s="8" t="s">
        <v>9597</v>
      </c>
      <c r="B1947" s="10" t="s">
        <v>9598</v>
      </c>
      <c r="C1947" s="10" t="s">
        <v>9599</v>
      </c>
      <c r="D1947" s="10"/>
      <c r="E1947" s="10" t="s">
        <v>9600</v>
      </c>
      <c r="F1947" s="10" t="s">
        <v>354</v>
      </c>
      <c r="G1947" s="11" t="s">
        <v>9601</v>
      </c>
      <c r="H1947" s="11" t="s">
        <v>4757</v>
      </c>
      <c r="I1947" s="11" t="s">
        <v>4607</v>
      </c>
      <c r="J1947" s="9" t="str">
        <f>IFERROR(__xludf.DUMMYFUNCTION("""COMPUTED_VALUE"""),"https://www.google.com/search?newwindow=1&amp;ei=2MT0XrvGGM-vytMP1OyDgAY&amp;q=site%3Alinkedin.com+Nina+Pantich+University+Recruiter+Amazon")</f>
        <v>https://www.google.com/search?newwindow=1&amp;ei=2MT0XrvGGM-vytMP1OyDgAY&amp;q=site%3Alinkedin.com+Nina+Pantich+University+Recruiter+Amazon</v>
      </c>
      <c r="K1947" s="5" t="str">
        <f t="shared" si="1"/>
        <v>Nina Pantich</v>
      </c>
      <c r="L1947" s="5" t="str">
        <f t="shared" si="2"/>
        <v>University Recruiter</v>
      </c>
      <c r="M1947" s="5" t="str">
        <f t="shared" si="3"/>
        <v> </v>
      </c>
      <c r="N1947" s="5" t="str">
        <f t="shared" si="4"/>
        <v>Amazon</v>
      </c>
      <c r="O1947" s="5" t="str">
        <f t="shared" si="5"/>
        <v>3 months in role</v>
      </c>
      <c r="P1947" s="5" t="str">
        <f t="shared" si="6"/>
        <v>Aurora</v>
      </c>
      <c r="Q1947" s="5" t="str">
        <f t="shared" si="7"/>
        <v>Colorado</v>
      </c>
      <c r="R1947" s="5" t="str">
        <f t="shared" si="8"/>
        <v>United States</v>
      </c>
    </row>
    <row r="1948">
      <c r="A1948" s="8" t="s">
        <v>9602</v>
      </c>
      <c r="B1948" s="12" t="s">
        <v>9603</v>
      </c>
      <c r="C1948" s="10" t="s">
        <v>9604</v>
      </c>
      <c r="D1948" s="10"/>
      <c r="E1948" s="10" t="s">
        <v>9605</v>
      </c>
      <c r="F1948" s="10" t="s">
        <v>268</v>
      </c>
      <c r="G1948" s="11" t="s">
        <v>9606</v>
      </c>
      <c r="H1948" s="11" t="s">
        <v>4757</v>
      </c>
      <c r="I1948" s="11" t="s">
        <v>4607</v>
      </c>
      <c r="J1948" s="9" t="str">
        <f>IFERROR(__xludf.DUMMYFUNCTION("""COMPUTED_VALUE"""),"https://www.google.com/search?newwindow=1&amp;ei=2MT0XrvGGM-vytMP1OyDgAY&amp;q=site%3Alinkedin.com+Anna+McQuaid+Recruiter+-+University+Ops+Amazon")</f>
        <v>https://www.google.com/search?newwindow=1&amp;ei=2MT0XrvGGM-vytMP1OyDgAY&amp;q=site%3Alinkedin.com+Anna+McQuaid+Recruiter+-+University+Ops+Amazon</v>
      </c>
      <c r="K1948" s="5" t="str">
        <f t="shared" si="1"/>
        <v>Anna McQuaid</v>
      </c>
      <c r="L1948" s="5" t="str">
        <f t="shared" si="2"/>
        <v>Recruiter - University Ops</v>
      </c>
      <c r="M1948" s="5" t="str">
        <f t="shared" si="3"/>
        <v> </v>
      </c>
      <c r="N1948" s="5" t="str">
        <f t="shared" si="4"/>
        <v>Amazon</v>
      </c>
      <c r="O1948" s="5" t="str">
        <f t="shared" si="5"/>
        <v>3 months in role and company</v>
      </c>
      <c r="P1948" s="5" t="str">
        <f t="shared" si="6"/>
        <v>Austin</v>
      </c>
      <c r="Q1948" s="5" t="str">
        <f t="shared" si="7"/>
        <v>Texas</v>
      </c>
      <c r="R1948" s="5" t="str">
        <f t="shared" si="8"/>
        <v>United States</v>
      </c>
    </row>
    <row r="1949">
      <c r="A1949" s="8" t="s">
        <v>9607</v>
      </c>
      <c r="B1949" s="10" t="s">
        <v>9608</v>
      </c>
      <c r="C1949" s="10" t="s">
        <v>9609</v>
      </c>
      <c r="D1949" s="10"/>
      <c r="E1949" s="10" t="s">
        <v>386</v>
      </c>
      <c r="F1949" s="10" t="s">
        <v>554</v>
      </c>
      <c r="G1949" s="6" t="s">
        <v>6577</v>
      </c>
      <c r="H1949" s="11" t="s">
        <v>4757</v>
      </c>
      <c r="I1949" s="11" t="s">
        <v>4607</v>
      </c>
      <c r="J1949" s="9" t="str">
        <f>IFERROR(__xludf.DUMMYFUNCTION("""COMPUTED_VALUE"""),"https://www.google.com/search?newwindow=1&amp;ei=2MT0XrvGGM-vytMP1OyDgAY&amp;q=site%3Alinkedin.com+Olivia+Hopkins+University+Recruiter+-+Corporate+Operations+Amazon")</f>
        <v>https://www.google.com/search?newwindow=1&amp;ei=2MT0XrvGGM-vytMP1OyDgAY&amp;q=site%3Alinkedin.com+Olivia+Hopkins+University+Recruiter+-+Corporate+Operations+Amazon</v>
      </c>
      <c r="K1949" s="5" t="str">
        <f t="shared" si="1"/>
        <v>Olivia Hopkins</v>
      </c>
      <c r="L1949" s="5" t="str">
        <f t="shared" si="2"/>
        <v>University Recruiter - Corporate Operations</v>
      </c>
      <c r="M1949" s="5" t="str">
        <f t="shared" si="3"/>
        <v> </v>
      </c>
      <c r="N1949" s="5" t="str">
        <f t="shared" si="4"/>
        <v>Amazon</v>
      </c>
      <c r="O1949" s="5" t="str">
        <f t="shared" si="5"/>
        <v>2 months in role and company</v>
      </c>
      <c r="P1949" s="5" t="str">
        <f t="shared" si="6"/>
        <v>Chicago</v>
      </c>
      <c r="Q1949" s="5" t="str">
        <f t="shared" si="7"/>
        <v>Illinois</v>
      </c>
      <c r="R1949" s="5" t="str">
        <f t="shared" si="8"/>
        <v>United States</v>
      </c>
    </row>
    <row r="1950">
      <c r="A1950" s="8" t="s">
        <v>9610</v>
      </c>
      <c r="B1950" s="10" t="s">
        <v>9611</v>
      </c>
      <c r="C1950" s="10" t="s">
        <v>9612</v>
      </c>
      <c r="D1950" s="10"/>
      <c r="E1950" s="10" t="s">
        <v>9613</v>
      </c>
      <c r="F1950" s="10" t="s">
        <v>63</v>
      </c>
      <c r="G1950" s="6" t="s">
        <v>6577</v>
      </c>
      <c r="H1950" s="11" t="s">
        <v>4757</v>
      </c>
      <c r="I1950" s="11" t="s">
        <v>4607</v>
      </c>
      <c r="J1950" s="9" t="str">
        <f>IFERROR(__xludf.DUMMYFUNCTION("""COMPUTED_VALUE"""),"https://www.google.com/search?newwindow=1&amp;ei=2MT0XrvGGM-vytMP1OyDgAY&amp;q=site%3Alinkedin.com+Jen+Bednar+Sr.+Recruiter,+Student+(University)+Programs+-+MBA+Amazon")</f>
        <v>https://www.google.com/search?newwindow=1&amp;ei=2MT0XrvGGM-vytMP1OyDgAY&amp;q=site%3Alinkedin.com+Jen+Bednar+Sr.+Recruiter,+Student+(University)+Programs+-+MBA+Amazon</v>
      </c>
      <c r="K1950" s="5" t="str">
        <f t="shared" si="1"/>
        <v>Jen Bednar</v>
      </c>
      <c r="L1950" s="5" t="str">
        <f t="shared" si="2"/>
        <v>Sr. Recruiter, Student (University) Programs - MBA</v>
      </c>
      <c r="M1950" s="5" t="str">
        <f t="shared" si="3"/>
        <v>MBA</v>
      </c>
      <c r="N1950" s="5" t="str">
        <f t="shared" si="4"/>
        <v>Amazon</v>
      </c>
      <c r="O1950" s="5" t="str">
        <f t="shared" si="5"/>
        <v>3 years 9 months in role and company</v>
      </c>
      <c r="P1950" s="5" t="str">
        <f t="shared" si="6"/>
        <v>Denver</v>
      </c>
      <c r="Q1950" s="5" t="str">
        <f t="shared" si="7"/>
        <v>Colorado</v>
      </c>
      <c r="R1950" s="5" t="str">
        <f t="shared" si="8"/>
        <v>United States</v>
      </c>
    </row>
    <row r="1951">
      <c r="A1951" s="8" t="s">
        <v>9614</v>
      </c>
      <c r="B1951" s="10" t="s">
        <v>9615</v>
      </c>
      <c r="C1951" s="10" t="s">
        <v>9616</v>
      </c>
      <c r="D1951" s="10"/>
      <c r="E1951" s="10" t="s">
        <v>4632</v>
      </c>
      <c r="F1951" s="10" t="s">
        <v>222</v>
      </c>
      <c r="G1951" s="6" t="s">
        <v>6577</v>
      </c>
      <c r="H1951" s="11" t="s">
        <v>4757</v>
      </c>
      <c r="I1951" s="11" t="s">
        <v>4607</v>
      </c>
      <c r="J1951" s="9" t="str">
        <f>IFERROR(__xludf.DUMMYFUNCTION("""COMPUTED_VALUE"""),"https://www.google.com/search?newwindow=1&amp;ei=2MT0XrvGGM-vytMP1OyDgAY&amp;q=site%3Alinkedin.com+Vannessa+Trahan+Client+Lead+University+Recruiter+Amazon")</f>
        <v>https://www.google.com/search?newwindow=1&amp;ei=2MT0XrvGGM-vytMP1OyDgAY&amp;q=site%3Alinkedin.com+Vannessa+Trahan+Client+Lead+University+Recruiter+Amazon</v>
      </c>
      <c r="K1951" s="5" t="str">
        <f t="shared" si="1"/>
        <v>Vannessa Trahan</v>
      </c>
      <c r="L1951" s="5" t="str">
        <f t="shared" si="2"/>
        <v>Client Lead University Recruiter</v>
      </c>
      <c r="M1951" s="5" t="str">
        <f t="shared" si="3"/>
        <v> </v>
      </c>
      <c r="N1951" s="5" t="str">
        <f t="shared" si="4"/>
        <v>Amazon</v>
      </c>
      <c r="O1951" s="5" t="str">
        <f t="shared" si="5"/>
        <v>2 months in role and company</v>
      </c>
      <c r="P1951" s="5" t="str">
        <f t="shared" si="6"/>
        <v>Denver</v>
      </c>
      <c r="Q1951" s="5" t="str">
        <f t="shared" si="7"/>
        <v>Colorado</v>
      </c>
      <c r="R1951" s="5" t="str">
        <f t="shared" si="8"/>
        <v>United States</v>
      </c>
    </row>
    <row r="1952">
      <c r="A1952" s="8" t="s">
        <v>9617</v>
      </c>
      <c r="B1952" s="10" t="s">
        <v>9618</v>
      </c>
      <c r="C1952" s="10" t="s">
        <v>9619</v>
      </c>
      <c r="D1952" s="10"/>
      <c r="E1952" s="10" t="s">
        <v>7256</v>
      </c>
      <c r="F1952" s="10" t="s">
        <v>15</v>
      </c>
      <c r="G1952" s="6" t="s">
        <v>6577</v>
      </c>
      <c r="H1952" s="11" t="s">
        <v>4757</v>
      </c>
      <c r="I1952" s="11" t="s">
        <v>4607</v>
      </c>
      <c r="J1952" s="9" t="str">
        <f>IFERROR(__xludf.DUMMYFUNCTION("""COMPUTED_VALUE"""),"https://www.google.com/search?newwindow=1&amp;ei=2MT0XrvGGM-vytMP1OyDgAY&amp;q=site%3Alinkedin.com+Jennifer+Sula+University+Recruiter+Amazon")</f>
        <v>https://www.google.com/search?newwindow=1&amp;ei=2MT0XrvGGM-vytMP1OyDgAY&amp;q=site%3Alinkedin.com+Jennifer+Sula+University+Recruiter+Amazon</v>
      </c>
      <c r="K1952" s="5" t="str">
        <f t="shared" si="1"/>
        <v>Jennifer Sula</v>
      </c>
      <c r="L1952" s="5" t="str">
        <f t="shared" si="2"/>
        <v>University Recruiter</v>
      </c>
      <c r="M1952" s="5" t="str">
        <f t="shared" si="3"/>
        <v> </v>
      </c>
      <c r="N1952" s="5" t="str">
        <f t="shared" si="4"/>
        <v>Amazon</v>
      </c>
      <c r="O1952" s="5" t="str">
        <f t="shared" si="5"/>
        <v>3 months in role</v>
      </c>
      <c r="P1952" s="5" t="str">
        <f t="shared" si="6"/>
        <v>Detroit</v>
      </c>
      <c r="Q1952" s="5" t="str">
        <f t="shared" si="7"/>
        <v>Michigan</v>
      </c>
      <c r="R1952" s="5" t="str">
        <f t="shared" si="8"/>
        <v>United States</v>
      </c>
    </row>
    <row r="1953">
      <c r="A1953" s="8" t="s">
        <v>9620</v>
      </c>
      <c r="B1953" s="10" t="s">
        <v>9621</v>
      </c>
      <c r="C1953" s="10" t="s">
        <v>5054</v>
      </c>
      <c r="D1953" s="10"/>
      <c r="E1953" s="10" t="s">
        <v>4953</v>
      </c>
      <c r="F1953" s="10" t="s">
        <v>909</v>
      </c>
      <c r="G1953" s="6" t="s">
        <v>6577</v>
      </c>
      <c r="H1953" s="11" t="s">
        <v>4757</v>
      </c>
      <c r="I1953" s="11" t="s">
        <v>4607</v>
      </c>
      <c r="J1953" s="9" t="str">
        <f>IFERROR(__xludf.DUMMYFUNCTION("""COMPUTED_VALUE"""),"https://www.google.com/search?newwindow=1&amp;ei=2MT0XrvGGM-vytMP1OyDgAY&amp;q=site%3Alinkedin.com+Kristen+Stygar+University+Recruiter+Amazon")</f>
        <v>https://www.google.com/search?newwindow=1&amp;ei=2MT0XrvGGM-vytMP1OyDgAY&amp;q=site%3Alinkedin.com+Kristen+Stygar+University+Recruiter+Amazon</v>
      </c>
      <c r="K1953" s="5" t="str">
        <f t="shared" si="1"/>
        <v>Kristen Stygar</v>
      </c>
      <c r="L1953" s="5" t="str">
        <f t="shared" si="2"/>
        <v>University Recruiter</v>
      </c>
      <c r="M1953" s="5" t="str">
        <f t="shared" si="3"/>
        <v> </v>
      </c>
      <c r="N1953" s="5" t="str">
        <f t="shared" si="4"/>
        <v>Amazon</v>
      </c>
      <c r="O1953" s="5" t="str">
        <f t="shared" si="5"/>
        <v>2 months in role and company</v>
      </c>
      <c r="P1953" s="5" t="str">
        <f t="shared" si="6"/>
        <v>Escondido</v>
      </c>
      <c r="Q1953" s="5" t="str">
        <f t="shared" si="7"/>
        <v>California</v>
      </c>
      <c r="R1953" s="5" t="str">
        <f t="shared" si="8"/>
        <v>United States</v>
      </c>
    </row>
    <row r="1954">
      <c r="A1954" s="8" t="s">
        <v>9622</v>
      </c>
      <c r="B1954" s="10" t="s">
        <v>9623</v>
      </c>
      <c r="C1954" s="10" t="s">
        <v>5054</v>
      </c>
      <c r="D1954" s="10"/>
      <c r="E1954" s="10" t="s">
        <v>1007</v>
      </c>
      <c r="F1954" s="10" t="s">
        <v>222</v>
      </c>
      <c r="G1954" s="6" t="s">
        <v>6577</v>
      </c>
      <c r="H1954" s="11" t="s">
        <v>4757</v>
      </c>
      <c r="I1954" s="11" t="s">
        <v>4607</v>
      </c>
      <c r="J1954" s="9" t="str">
        <f>IFERROR(__xludf.DUMMYFUNCTION("""COMPUTED_VALUE"""),"https://www.google.com/search?newwindow=1&amp;ei=2MT0XrvGGM-vytMP1OyDgAY&amp;q=site%3Alinkedin.com+Angelica+Loya+University+Recruiter+-+Amazon+Amazon")</f>
        <v>https://www.google.com/search?newwindow=1&amp;ei=2MT0XrvGGM-vytMP1OyDgAY&amp;q=site%3Alinkedin.com+Angelica+Loya+University+Recruiter+-+Amazon+Amazon</v>
      </c>
      <c r="K1954" s="5" t="str">
        <f t="shared" si="1"/>
        <v>Angelica Loya</v>
      </c>
      <c r="L1954" s="5" t="str">
        <f t="shared" si="2"/>
        <v>University Recruiter - Amazon</v>
      </c>
      <c r="M1954" s="5" t="str">
        <f t="shared" si="3"/>
        <v> </v>
      </c>
      <c r="N1954" s="5" t="str">
        <f t="shared" si="4"/>
        <v>Amazon</v>
      </c>
      <c r="O1954" s="5" t="str">
        <f t="shared" si="5"/>
        <v>2 months in role and company</v>
      </c>
      <c r="P1954" s="5" t="str">
        <f t="shared" si="6"/>
        <v>Glendale</v>
      </c>
      <c r="Q1954" s="5" t="str">
        <f t="shared" si="7"/>
        <v>Arizona</v>
      </c>
      <c r="R1954" s="5" t="str">
        <f t="shared" si="8"/>
        <v>United States</v>
      </c>
    </row>
    <row r="1955">
      <c r="A1955" s="8" t="s">
        <v>9624</v>
      </c>
      <c r="B1955" s="10" t="s">
        <v>9625</v>
      </c>
      <c r="C1955" s="10" t="s">
        <v>110</v>
      </c>
      <c r="D1955" s="10"/>
      <c r="E1955" s="10" t="s">
        <v>1908</v>
      </c>
      <c r="F1955" s="10" t="s">
        <v>455</v>
      </c>
      <c r="G1955" s="6" t="s">
        <v>6577</v>
      </c>
      <c r="H1955" s="11" t="s">
        <v>4757</v>
      </c>
      <c r="I1955" s="11" t="s">
        <v>4607</v>
      </c>
      <c r="J1955" s="9" t="str">
        <f>IFERROR(__xludf.DUMMYFUNCTION("""COMPUTED_VALUE"""),"https://www.google.com/search?newwindow=1&amp;ei=2MT0XrvGGM-vytMP1OyDgAY&amp;q=site%3Alinkedin.com+Dillon+Draper+University+Operations+Recruiter+Amazon")</f>
        <v>https://www.google.com/search?newwindow=1&amp;ei=2MT0XrvGGM-vytMP1OyDgAY&amp;q=site%3Alinkedin.com+Dillon+Draper+University+Operations+Recruiter+Amazon</v>
      </c>
      <c r="K1955" s="5" t="str">
        <f t="shared" si="1"/>
        <v>Dillon Draper</v>
      </c>
      <c r="L1955" s="5" t="str">
        <f t="shared" si="2"/>
        <v>University Operations Recruiter</v>
      </c>
      <c r="M1955" s="5" t="str">
        <f t="shared" si="3"/>
        <v> </v>
      </c>
      <c r="N1955" s="5" t="str">
        <f t="shared" si="4"/>
        <v>Amazon</v>
      </c>
      <c r="O1955" s="5" t="str">
        <f t="shared" si="5"/>
        <v>2 months in role</v>
      </c>
      <c r="P1955" s="5" t="str">
        <f t="shared" si="6"/>
        <v>Henderson</v>
      </c>
      <c r="Q1955" s="5" t="str">
        <f t="shared" si="7"/>
        <v>Nevada</v>
      </c>
      <c r="R1955" s="5" t="str">
        <f t="shared" si="8"/>
        <v>United States</v>
      </c>
    </row>
    <row r="1956">
      <c r="A1956" s="8" t="s">
        <v>9626</v>
      </c>
      <c r="B1956" s="12" t="s">
        <v>9627</v>
      </c>
      <c r="C1956" s="10" t="s">
        <v>5054</v>
      </c>
      <c r="D1956" s="10"/>
      <c r="E1956" s="10" t="s">
        <v>9628</v>
      </c>
      <c r="F1956" s="10" t="s">
        <v>144</v>
      </c>
      <c r="G1956" s="6" t="s">
        <v>6577</v>
      </c>
      <c r="H1956" s="11" t="s">
        <v>4757</v>
      </c>
      <c r="I1956" s="11" t="s">
        <v>4607</v>
      </c>
      <c r="J1956" s="9" t="str">
        <f>IFERROR(__xludf.DUMMYFUNCTION("""COMPUTED_VALUE"""),"https://www.google.com/search?newwindow=1&amp;ei=2MT0XrvGGM-vytMP1OyDgAY&amp;q=site%3Alinkedin.com+Jessica+Campbell+University+Recruiter-Ops+TA+Amazon")</f>
        <v>https://www.google.com/search?newwindow=1&amp;ei=2MT0XrvGGM-vytMP1OyDgAY&amp;q=site%3Alinkedin.com+Jessica+Campbell+University+Recruiter-Ops+TA+Amazon</v>
      </c>
      <c r="K1956" s="5" t="str">
        <f t="shared" si="1"/>
        <v>Jessica Campbell</v>
      </c>
      <c r="L1956" s="5" t="str">
        <f t="shared" si="2"/>
        <v>University Recruiter-Ops TA</v>
      </c>
      <c r="M1956" s="5" t="str">
        <f t="shared" si="3"/>
        <v> </v>
      </c>
      <c r="N1956" s="5" t="str">
        <f t="shared" si="4"/>
        <v>Amazon</v>
      </c>
      <c r="O1956" s="5" t="str">
        <f t="shared" si="5"/>
        <v>2 months in role and company</v>
      </c>
      <c r="P1956" s="5" t="str">
        <f t="shared" si="6"/>
        <v>Lake Ozark</v>
      </c>
      <c r="Q1956" s="5" t="str">
        <f t="shared" si="7"/>
        <v>Missouri</v>
      </c>
      <c r="R1956" s="5" t="str">
        <f t="shared" si="8"/>
        <v>United States</v>
      </c>
    </row>
    <row r="1957">
      <c r="A1957" s="8" t="s">
        <v>9629</v>
      </c>
      <c r="B1957" s="10" t="s">
        <v>9630</v>
      </c>
      <c r="C1957" s="10" t="s">
        <v>110</v>
      </c>
      <c r="D1957" s="10"/>
      <c r="E1957" s="10" t="s">
        <v>1908</v>
      </c>
      <c r="F1957" s="10" t="s">
        <v>207</v>
      </c>
      <c r="G1957" s="6" t="s">
        <v>6577</v>
      </c>
      <c r="H1957" s="11" t="s">
        <v>4757</v>
      </c>
      <c r="I1957" s="11" t="s">
        <v>4607</v>
      </c>
      <c r="J1957" s="9" t="str">
        <f>IFERROR(__xludf.DUMMYFUNCTION("""COMPUTED_VALUE"""),"https://www.google.com/search?newwindow=1&amp;ei=2MT0XrvGGM-vytMP1OyDgAY&amp;q=site%3Alinkedin.com+Wade+Irwin,+CTL+Ops+University+Recruiter+Amazon")</f>
        <v>https://www.google.com/search?newwindow=1&amp;ei=2MT0XrvGGM-vytMP1OyDgAY&amp;q=site%3Alinkedin.com+Wade+Irwin,+CTL+Ops+University+Recruiter+Amazon</v>
      </c>
      <c r="K1957" s="5" t="str">
        <f t="shared" si="1"/>
        <v>Wade Irwin, CTL</v>
      </c>
      <c r="L1957" s="5" t="str">
        <f t="shared" si="2"/>
        <v>Ops University Recruiter</v>
      </c>
      <c r="M1957" s="5" t="str">
        <f t="shared" si="3"/>
        <v> </v>
      </c>
      <c r="N1957" s="5" t="str">
        <f t="shared" si="4"/>
        <v>Amazon</v>
      </c>
      <c r="O1957" s="5" t="str">
        <f t="shared" si="5"/>
        <v>1 year 4 months in role</v>
      </c>
      <c r="P1957" s="5" t="str">
        <f t="shared" si="6"/>
        <v>Lebanon</v>
      </c>
      <c r="Q1957" s="5" t="str">
        <f t="shared" si="7"/>
        <v>Tennessee</v>
      </c>
      <c r="R1957" s="5" t="str">
        <f t="shared" si="8"/>
        <v>United States</v>
      </c>
    </row>
    <row r="1958">
      <c r="A1958" s="8" t="s">
        <v>9631</v>
      </c>
      <c r="B1958" s="10" t="s">
        <v>9632</v>
      </c>
      <c r="C1958" s="10" t="s">
        <v>5054</v>
      </c>
      <c r="D1958" s="10"/>
      <c r="E1958" s="10" t="s">
        <v>227</v>
      </c>
      <c r="F1958" s="10" t="s">
        <v>165</v>
      </c>
      <c r="G1958" s="6" t="s">
        <v>6577</v>
      </c>
      <c r="H1958" s="11" t="s">
        <v>4757</v>
      </c>
      <c r="I1958" s="11" t="s">
        <v>4607</v>
      </c>
      <c r="J1958" s="9" t="str">
        <f>IFERROR(__xludf.DUMMYFUNCTION("""COMPUTED_VALUE"""),"https://www.google.com/search?newwindow=1&amp;ei=2MT0XrvGGM-vytMP1OyDgAY&amp;q=site%3Alinkedin.com+Kinnera+Kokulla+University+Ops+recruiter+Amazon")</f>
        <v>https://www.google.com/search?newwindow=1&amp;ei=2MT0XrvGGM-vytMP1OyDgAY&amp;q=site%3Alinkedin.com+Kinnera+Kokulla+University+Ops+recruiter+Amazon</v>
      </c>
      <c r="K1958" s="5" t="str">
        <f t="shared" si="1"/>
        <v>Kinnera Kokulla</v>
      </c>
      <c r="L1958" s="5" t="str">
        <f t="shared" si="2"/>
        <v>University Ops recruiter</v>
      </c>
      <c r="M1958" s="5" t="str">
        <f t="shared" si="3"/>
        <v> </v>
      </c>
      <c r="N1958" s="5" t="str">
        <f t="shared" si="4"/>
        <v>Amazon</v>
      </c>
      <c r="O1958" s="5" t="str">
        <f t="shared" si="5"/>
        <v>2 months in role and company</v>
      </c>
      <c r="P1958" s="5" t="str">
        <f t="shared" si="6"/>
        <v>Marietta</v>
      </c>
      <c r="Q1958" s="5" t="str">
        <f t="shared" si="7"/>
        <v>Georgia</v>
      </c>
      <c r="R1958" s="5" t="str">
        <f t="shared" si="8"/>
        <v>United States</v>
      </c>
    </row>
    <row r="1959">
      <c r="A1959" s="8" t="s">
        <v>9633</v>
      </c>
      <c r="B1959" s="12" t="s">
        <v>9634</v>
      </c>
      <c r="C1959" s="10" t="s">
        <v>2368</v>
      </c>
      <c r="D1959" s="10"/>
      <c r="E1959" s="10" t="s">
        <v>2349</v>
      </c>
      <c r="F1959" s="10" t="s">
        <v>666</v>
      </c>
      <c r="G1959" s="6" t="s">
        <v>6577</v>
      </c>
      <c r="H1959" s="11" t="s">
        <v>4757</v>
      </c>
      <c r="I1959" s="11" t="s">
        <v>4607</v>
      </c>
      <c r="J1959" s="9" t="str">
        <f>IFERROR(__xludf.DUMMYFUNCTION("""COMPUTED_VALUE"""),"https://www.google.com/search?newwindow=1&amp;ei=2MT0XrvGGM-vytMP1OyDgAY&amp;q=site%3Alinkedin.com+Symone+Black+University+Recruiter+II+Amazon")</f>
        <v>https://www.google.com/search?newwindow=1&amp;ei=2MT0XrvGGM-vytMP1OyDgAY&amp;q=site%3Alinkedin.com+Symone+Black+University+Recruiter+II+Amazon</v>
      </c>
      <c r="K1959" s="5" t="str">
        <f t="shared" si="1"/>
        <v>Symone Black</v>
      </c>
      <c r="L1959" s="5" t="str">
        <f t="shared" si="2"/>
        <v>University Recruiter II</v>
      </c>
      <c r="M1959" s="5" t="str">
        <f t="shared" si="3"/>
        <v> </v>
      </c>
      <c r="N1959" s="5" t="str">
        <f t="shared" si="4"/>
        <v>Amazon</v>
      </c>
      <c r="O1959" s="5" t="str">
        <f t="shared" si="5"/>
        <v>1 year 1 month in role</v>
      </c>
      <c r="P1959" s="5" t="str">
        <f t="shared" si="6"/>
        <v>Nashville</v>
      </c>
      <c r="Q1959" s="5" t="str">
        <f t="shared" si="7"/>
        <v>Tennessee</v>
      </c>
      <c r="R1959" s="5" t="str">
        <f t="shared" si="8"/>
        <v>United States</v>
      </c>
    </row>
    <row r="1960">
      <c r="A1960" s="8" t="s">
        <v>9635</v>
      </c>
      <c r="B1960" s="10" t="s">
        <v>9636</v>
      </c>
      <c r="C1960" s="10" t="s">
        <v>110</v>
      </c>
      <c r="D1960" s="10"/>
      <c r="E1960" s="10" t="s">
        <v>4836</v>
      </c>
      <c r="F1960" s="10" t="s">
        <v>354</v>
      </c>
      <c r="G1960" s="6" t="s">
        <v>6577</v>
      </c>
      <c r="H1960" s="11" t="s">
        <v>4757</v>
      </c>
      <c r="I1960" s="11" t="s">
        <v>4607</v>
      </c>
      <c r="J1960" s="9" t="str">
        <f>IFERROR(__xludf.DUMMYFUNCTION("""COMPUTED_VALUE"""),"https://www.google.com/search?newwindow=1&amp;ei=2MT0XrvGGM-vytMP1OyDgAY&amp;q=site%3Alinkedin.com+Nimon+Macid+University+Recruiter+Amazon")</f>
        <v>https://www.google.com/search?newwindow=1&amp;ei=2MT0XrvGGM-vytMP1OyDgAY&amp;q=site%3Alinkedin.com+Nimon+Macid+University+Recruiter+Amazon</v>
      </c>
      <c r="K1960" s="5" t="str">
        <f t="shared" si="1"/>
        <v>Nimon Macid</v>
      </c>
      <c r="L1960" s="5" t="str">
        <f t="shared" si="2"/>
        <v>University Recruiter</v>
      </c>
      <c r="M1960" s="5" t="str">
        <f t="shared" si="3"/>
        <v> </v>
      </c>
      <c r="N1960" s="5" t="str">
        <f t="shared" si="4"/>
        <v>Amazon</v>
      </c>
      <c r="O1960" s="5" t="str">
        <f t="shared" si="5"/>
        <v>2 months in role and company</v>
      </c>
      <c r="P1960" s="5" t="str">
        <f t="shared" si="6"/>
        <v>Nashville</v>
      </c>
      <c r="Q1960" s="5" t="str">
        <f t="shared" si="7"/>
        <v>Tennessee</v>
      </c>
      <c r="R1960" s="5" t="str">
        <f t="shared" si="8"/>
        <v>United States</v>
      </c>
    </row>
    <row r="1961">
      <c r="A1961" s="8" t="s">
        <v>9637</v>
      </c>
      <c r="B1961" s="10" t="s">
        <v>9638</v>
      </c>
      <c r="C1961" s="10" t="s">
        <v>5054</v>
      </c>
      <c r="D1961" s="10"/>
      <c r="E1961" s="10" t="s">
        <v>4632</v>
      </c>
      <c r="F1961" s="10" t="s">
        <v>697</v>
      </c>
      <c r="G1961" s="6" t="s">
        <v>6577</v>
      </c>
      <c r="H1961" s="11" t="s">
        <v>4757</v>
      </c>
      <c r="I1961" s="11" t="s">
        <v>4607</v>
      </c>
      <c r="J1961" s="9" t="str">
        <f>IFERROR(__xludf.DUMMYFUNCTION("""COMPUTED_VALUE"""),"https://www.google.com/search?newwindow=1&amp;ei=2MT0XrvGGM-vytMP1OyDgAY&amp;q=site%3Alinkedin.com+Henal+Majethia+Operations+University+Recruiter+Amazon")</f>
        <v>https://www.google.com/search?newwindow=1&amp;ei=2MT0XrvGGM-vytMP1OyDgAY&amp;q=site%3Alinkedin.com+Henal+Majethia+Operations+University+Recruiter+Amazon</v>
      </c>
      <c r="K1961" s="5" t="str">
        <f t="shared" si="1"/>
        <v>Henal Majethia</v>
      </c>
      <c r="L1961" s="5" t="str">
        <f t="shared" si="2"/>
        <v>Operations University Recruiter</v>
      </c>
      <c r="M1961" s="5" t="str">
        <f t="shared" si="3"/>
        <v> </v>
      </c>
      <c r="N1961" s="5" t="str">
        <f t="shared" si="4"/>
        <v>Amazon</v>
      </c>
      <c r="O1961" s="5" t="str">
        <f t="shared" si="5"/>
        <v>1 year 7 months in role</v>
      </c>
      <c r="P1961" s="5" t="str">
        <f t="shared" si="6"/>
        <v>Nashville</v>
      </c>
      <c r="Q1961" s="5" t="str">
        <f t="shared" si="7"/>
        <v>Tennessee</v>
      </c>
      <c r="R1961" s="5" t="str">
        <f t="shared" si="8"/>
        <v>United States</v>
      </c>
    </row>
    <row r="1962">
      <c r="A1962" s="8" t="s">
        <v>9639</v>
      </c>
      <c r="B1962" s="10" t="s">
        <v>9640</v>
      </c>
      <c r="C1962" s="10" t="s">
        <v>9641</v>
      </c>
      <c r="D1962" s="10"/>
      <c r="E1962" s="10" t="s">
        <v>9642</v>
      </c>
      <c r="F1962" s="10" t="s">
        <v>192</v>
      </c>
      <c r="G1962" s="6" t="s">
        <v>6577</v>
      </c>
      <c r="H1962" s="11" t="s">
        <v>4757</v>
      </c>
      <c r="I1962" s="11" t="s">
        <v>4607</v>
      </c>
      <c r="J1962" s="9" t="str">
        <f>IFERROR(__xludf.DUMMYFUNCTION("""COMPUTED_VALUE"""),"https://www.google.com/search?newwindow=1&amp;ei=2MT0XrvGGM-vytMP1OyDgAY&amp;q=site%3Alinkedin.com+Luann+A.+University+Recruiter-+HR+Operations+Amazon")</f>
        <v>https://www.google.com/search?newwindow=1&amp;ei=2MT0XrvGGM-vytMP1OyDgAY&amp;q=site%3Alinkedin.com+Luann+A.+University+Recruiter-+HR+Operations+Amazon</v>
      </c>
      <c r="K1962" s="5" t="str">
        <f t="shared" si="1"/>
        <v>Luann A.</v>
      </c>
      <c r="L1962" s="5" t="str">
        <f t="shared" si="2"/>
        <v>University Recruiter- HR Operations</v>
      </c>
      <c r="M1962" s="5" t="str">
        <f t="shared" si="3"/>
        <v> </v>
      </c>
      <c r="N1962" s="5" t="str">
        <f t="shared" si="4"/>
        <v>Amazon</v>
      </c>
      <c r="O1962" s="5" t="str">
        <f t="shared" si="5"/>
        <v>2 months in role and company</v>
      </c>
      <c r="P1962" s="5" t="str">
        <f t="shared" si="6"/>
        <v>New Hartford</v>
      </c>
      <c r="Q1962" s="5" t="str">
        <f t="shared" si="7"/>
        <v>New York</v>
      </c>
      <c r="R1962" s="5" t="str">
        <f t="shared" si="8"/>
        <v>United States</v>
      </c>
    </row>
    <row r="1963">
      <c r="A1963" s="8" t="s">
        <v>9643</v>
      </c>
      <c r="B1963" s="10" t="s">
        <v>9644</v>
      </c>
      <c r="C1963" s="10" t="s">
        <v>25</v>
      </c>
      <c r="D1963" s="10"/>
      <c r="E1963" s="10" t="s">
        <v>386</v>
      </c>
      <c r="F1963" s="10" t="s">
        <v>512</v>
      </c>
      <c r="G1963" s="6" t="s">
        <v>6577</v>
      </c>
      <c r="H1963" s="11" t="s">
        <v>4757</v>
      </c>
      <c r="I1963" s="11" t="s">
        <v>4607</v>
      </c>
      <c r="J1963" s="9" t="str">
        <f>IFERROR(__xludf.DUMMYFUNCTION("""COMPUTED_VALUE"""),"https://www.google.com/search?newwindow=1&amp;ei=2MT0XrvGGM-vytMP1OyDgAY&amp;q=site%3Alinkedin.com+Teresa+Landry+University+Recruiter+(Contract)+Amazon")</f>
        <v>https://www.google.com/search?newwindow=1&amp;ei=2MT0XrvGGM-vytMP1OyDgAY&amp;q=site%3Alinkedin.com+Teresa+Landry+University+Recruiter+(Contract)+Amazon</v>
      </c>
      <c r="K1963" s="5" t="str">
        <f t="shared" si="1"/>
        <v>Teresa Landry</v>
      </c>
      <c r="L1963" s="5" t="str">
        <f t="shared" si="2"/>
        <v>University Recruiter (Contract)</v>
      </c>
      <c r="M1963" s="5" t="str">
        <f t="shared" si="3"/>
        <v> </v>
      </c>
      <c r="N1963" s="5" t="str">
        <f t="shared" si="4"/>
        <v>Amazon</v>
      </c>
      <c r="O1963" s="5" t="str">
        <f t="shared" si="5"/>
        <v>2 months in role and company</v>
      </c>
      <c r="P1963" s="5" t="str">
        <f t="shared" si="6"/>
        <v>Pacifica</v>
      </c>
      <c r="Q1963" s="5" t="str">
        <f t="shared" si="7"/>
        <v>California</v>
      </c>
      <c r="R1963" s="5" t="str">
        <f t="shared" si="8"/>
        <v>United States</v>
      </c>
    </row>
    <row r="1964">
      <c r="A1964" s="8" t="s">
        <v>9645</v>
      </c>
      <c r="B1964" s="10" t="s">
        <v>9646</v>
      </c>
      <c r="C1964" s="10" t="s">
        <v>480</v>
      </c>
      <c r="D1964" s="10"/>
      <c r="E1964" s="10" t="s">
        <v>9647</v>
      </c>
      <c r="F1964" s="10" t="s">
        <v>188</v>
      </c>
      <c r="G1964" s="6" t="s">
        <v>6577</v>
      </c>
      <c r="H1964" s="11" t="s">
        <v>4757</v>
      </c>
      <c r="I1964" s="11" t="s">
        <v>4607</v>
      </c>
      <c r="J1964" s="9" t="str">
        <f>IFERROR(__xludf.DUMMYFUNCTION("""COMPUTED_VALUE"""),"https://www.google.com/search?newwindow=1&amp;ei=2MT0XrvGGM-vytMP1OyDgAY&amp;q=site%3Alinkedin.com+Lucas+Burton+Recruiter+-+University+Operations+Amazon")</f>
        <v>https://www.google.com/search?newwindow=1&amp;ei=2MT0XrvGGM-vytMP1OyDgAY&amp;q=site%3Alinkedin.com+Lucas+Burton+Recruiter+-+University+Operations+Amazon</v>
      </c>
      <c r="K1964" s="5" t="str">
        <f t="shared" si="1"/>
        <v>Lucas Burton</v>
      </c>
      <c r="L1964" s="5" t="str">
        <f t="shared" si="2"/>
        <v>Recruiter - University Operations</v>
      </c>
      <c r="M1964" s="5" t="str">
        <f t="shared" si="3"/>
        <v> </v>
      </c>
      <c r="N1964" s="5" t="str">
        <f t="shared" si="4"/>
        <v>Amazon</v>
      </c>
      <c r="O1964" s="5" t="str">
        <f t="shared" si="5"/>
        <v>2 months in role and company</v>
      </c>
      <c r="P1964" s="5" t="str">
        <f t="shared" si="6"/>
        <v>Pittsburgh</v>
      </c>
      <c r="Q1964" s="5" t="str">
        <f t="shared" si="7"/>
        <v>Pennsylvania</v>
      </c>
      <c r="R1964" s="5" t="str">
        <f t="shared" si="8"/>
        <v>United States</v>
      </c>
    </row>
    <row r="1965">
      <c r="A1965" s="8" t="s">
        <v>9648</v>
      </c>
      <c r="B1965" s="10" t="s">
        <v>9649</v>
      </c>
      <c r="C1965" s="10" t="s">
        <v>9650</v>
      </c>
      <c r="D1965" s="10"/>
      <c r="E1965" s="10" t="s">
        <v>227</v>
      </c>
      <c r="F1965" s="10" t="s">
        <v>774</v>
      </c>
      <c r="G1965" s="6" t="s">
        <v>6577</v>
      </c>
      <c r="H1965" s="11" t="s">
        <v>4757</v>
      </c>
      <c r="I1965" s="11" t="s">
        <v>4607</v>
      </c>
      <c r="J1965" s="9" t="str">
        <f>IFERROR(__xludf.DUMMYFUNCTION("""COMPUTED_VALUE"""),"https://www.google.com/search?newwindow=1&amp;ei=2MT0XrvGGM-vytMP1OyDgAY&amp;q=site%3Alinkedin.com+Macarena+Arceo+University+Recruiter+-+Ops+Amazon")</f>
        <v>https://www.google.com/search?newwindow=1&amp;ei=2MT0XrvGGM-vytMP1OyDgAY&amp;q=site%3Alinkedin.com+Macarena+Arceo+University+Recruiter+-+Ops+Amazon</v>
      </c>
      <c r="K1965" s="5" t="str">
        <f t="shared" si="1"/>
        <v>Macarena Arceo</v>
      </c>
      <c r="L1965" s="5" t="str">
        <f t="shared" si="2"/>
        <v>University Recruiter - Ops</v>
      </c>
      <c r="M1965" s="5" t="str">
        <f t="shared" si="3"/>
        <v> </v>
      </c>
      <c r="N1965" s="5" t="str">
        <f t="shared" si="4"/>
        <v>Amazon</v>
      </c>
      <c r="O1965" s="5" t="str">
        <f t="shared" si="5"/>
        <v>2 months in role and company</v>
      </c>
      <c r="P1965" s="5" t="str">
        <f t="shared" si="6"/>
        <v>San Diego County</v>
      </c>
      <c r="Q1965" s="5" t="str">
        <f t="shared" si="7"/>
        <v>California</v>
      </c>
      <c r="R1965" s="5" t="str">
        <f t="shared" si="8"/>
        <v>United States</v>
      </c>
    </row>
    <row r="1966">
      <c r="A1966" s="8" t="s">
        <v>9651</v>
      </c>
      <c r="B1966" s="10" t="s">
        <v>9652</v>
      </c>
      <c r="C1966" s="10" t="s">
        <v>110</v>
      </c>
      <c r="D1966" s="10"/>
      <c r="E1966" s="10" t="s">
        <v>6736</v>
      </c>
      <c r="F1966" s="10" t="s">
        <v>455</v>
      </c>
      <c r="G1966" s="6" t="s">
        <v>6577</v>
      </c>
      <c r="H1966" s="11" t="s">
        <v>4757</v>
      </c>
      <c r="I1966" s="11" t="s">
        <v>4607</v>
      </c>
      <c r="J1966" s="9" t="str">
        <f>IFERROR(__xludf.DUMMYFUNCTION("""COMPUTED_VALUE"""),"https://www.google.com/search?newwindow=1&amp;ei=2MT0XrvGGM-vytMP1OyDgAY&amp;q=site%3Alinkedin.com+Debora+P.+University+Recruiter-+Worldwide+Operations+Team+Amazon")</f>
        <v>https://www.google.com/search?newwindow=1&amp;ei=2MT0XrvGGM-vytMP1OyDgAY&amp;q=site%3Alinkedin.com+Debora+P.+University+Recruiter-+Worldwide+Operations+Team+Amazon</v>
      </c>
      <c r="K1966" s="5" t="str">
        <f t="shared" si="1"/>
        <v>Debora P.</v>
      </c>
      <c r="L1966" s="5" t="str">
        <f t="shared" si="2"/>
        <v>University Recruiter- Worldwide Operations Team</v>
      </c>
      <c r="M1966" s="5" t="str">
        <f t="shared" si="3"/>
        <v> </v>
      </c>
      <c r="N1966" s="5" t="str">
        <f t="shared" si="4"/>
        <v>Amazon</v>
      </c>
      <c r="O1966" s="5" t="str">
        <f t="shared" si="5"/>
        <v>3 months in role and company</v>
      </c>
      <c r="P1966" s="5" t="str">
        <f t="shared" si="6"/>
        <v>San Francisco</v>
      </c>
      <c r="Q1966" s="5" t="str">
        <f t="shared" si="7"/>
        <v>California</v>
      </c>
      <c r="R1966" s="5" t="str">
        <f t="shared" si="8"/>
        <v>United States</v>
      </c>
    </row>
    <row r="1967">
      <c r="A1967" s="8" t="s">
        <v>9653</v>
      </c>
      <c r="B1967" s="10" t="s">
        <v>9654</v>
      </c>
      <c r="C1967" s="10" t="s">
        <v>9655</v>
      </c>
      <c r="D1967" s="10"/>
      <c r="E1967" s="10" t="s">
        <v>227</v>
      </c>
      <c r="F1967" s="10" t="s">
        <v>345</v>
      </c>
      <c r="G1967" s="6" t="s">
        <v>6577</v>
      </c>
      <c r="H1967" s="11" t="s">
        <v>4757</v>
      </c>
      <c r="I1967" s="11" t="s">
        <v>4607</v>
      </c>
      <c r="J1967" s="9" t="str">
        <f>IFERROR(__xludf.DUMMYFUNCTION("""COMPUTED_VALUE"""),"https://www.google.com/search?newwindow=1&amp;ei=2MT0XrvGGM-vytMP1OyDgAY&amp;q=site%3Alinkedin.com+Jessie+Flores+University+Recruiter/Sourcer+l+and+ll+Amazon")</f>
        <v>https://www.google.com/search?newwindow=1&amp;ei=2MT0XrvGGM-vytMP1OyDgAY&amp;q=site%3Alinkedin.com+Jessie+Flores+University+Recruiter/Sourcer+l+and+ll+Amazon</v>
      </c>
      <c r="K1967" s="5" t="str">
        <f t="shared" si="1"/>
        <v>Jessie Flores</v>
      </c>
      <c r="L1967" s="5" t="str">
        <f t="shared" si="2"/>
        <v>University Recruiter/Sourcer l and ll</v>
      </c>
      <c r="M1967" s="5" t="str">
        <f t="shared" si="3"/>
        <v> </v>
      </c>
      <c r="N1967" s="5" t="str">
        <f t="shared" si="4"/>
        <v>Amazon</v>
      </c>
      <c r="O1967" s="5" t="str">
        <f t="shared" si="5"/>
        <v>3 months in role and company</v>
      </c>
      <c r="P1967" s="5" t="str">
        <f t="shared" si="6"/>
        <v>San Francisco</v>
      </c>
      <c r="Q1967" s="5" t="str">
        <f t="shared" si="7"/>
        <v>California</v>
      </c>
      <c r="R1967" s="5" t="str">
        <f t="shared" si="8"/>
        <v>United States</v>
      </c>
    </row>
    <row r="1968">
      <c r="A1968" s="8" t="s">
        <v>9656</v>
      </c>
      <c r="B1968" s="12" t="s">
        <v>9657</v>
      </c>
      <c r="C1968" s="10" t="s">
        <v>9658</v>
      </c>
      <c r="D1968" s="10"/>
      <c r="E1968" s="10" t="s">
        <v>227</v>
      </c>
      <c r="F1968" s="10" t="s">
        <v>237</v>
      </c>
      <c r="G1968" s="6" t="s">
        <v>6577</v>
      </c>
      <c r="H1968" s="11" t="s">
        <v>4757</v>
      </c>
      <c r="I1968" s="11" t="s">
        <v>4607</v>
      </c>
      <c r="J1968" s="9" t="str">
        <f>IFERROR(__xludf.DUMMYFUNCTION("""COMPUTED_VALUE"""),"https://www.google.com/search?newwindow=1&amp;ei=2MT0XrvGGM-vytMP1OyDgAY&amp;q=site%3Alinkedin.com+Renee+M.+Senior+University+Recruiter,+MBA+Recruiting+Amazon")</f>
        <v>https://www.google.com/search?newwindow=1&amp;ei=2MT0XrvGGM-vytMP1OyDgAY&amp;q=site%3Alinkedin.com+Renee+M.+Senior+University+Recruiter,+MBA+Recruiting+Amazon</v>
      </c>
      <c r="K1968" s="5" t="str">
        <f t="shared" si="1"/>
        <v>Renee M.</v>
      </c>
      <c r="L1968" s="5" t="str">
        <f t="shared" si="2"/>
        <v>Senior University Recruiter, MBA Recruiting</v>
      </c>
      <c r="M1968" s="5" t="str">
        <f t="shared" si="3"/>
        <v>MBA</v>
      </c>
      <c r="N1968" s="5" t="str">
        <f t="shared" si="4"/>
        <v>Amazon</v>
      </c>
      <c r="O1968" s="5" t="str">
        <f t="shared" si="5"/>
        <v>10 months in role and company</v>
      </c>
      <c r="P1968" s="5" t="str">
        <f t="shared" si="6"/>
        <v>San Francisco</v>
      </c>
      <c r="Q1968" s="5" t="str">
        <f t="shared" si="7"/>
        <v>California</v>
      </c>
      <c r="R1968" s="5" t="str">
        <f t="shared" si="8"/>
        <v>United States</v>
      </c>
    </row>
    <row r="1969">
      <c r="A1969" s="8" t="s">
        <v>9659</v>
      </c>
      <c r="B1969" s="10" t="s">
        <v>9660</v>
      </c>
      <c r="C1969" s="10" t="s">
        <v>9661</v>
      </c>
      <c r="D1969" s="10"/>
      <c r="E1969" s="10" t="s">
        <v>4895</v>
      </c>
      <c r="F1969" s="10" t="s">
        <v>832</v>
      </c>
      <c r="G1969" s="6" t="s">
        <v>6577</v>
      </c>
      <c r="H1969" s="11" t="s">
        <v>4757</v>
      </c>
      <c r="I1969" s="11" t="s">
        <v>4607</v>
      </c>
      <c r="J1969" s="9" t="str">
        <f>IFERROR(__xludf.DUMMYFUNCTION("""COMPUTED_VALUE"""),"https://www.google.com/search?newwindow=1&amp;ei=2MT0XrvGGM-vytMP1OyDgAY&amp;q=site%3Alinkedin.com+Jewel+Rose+University+Recruiter+Amazon")</f>
        <v>https://www.google.com/search?newwindow=1&amp;ei=2MT0XrvGGM-vytMP1OyDgAY&amp;q=site%3Alinkedin.com+Jewel+Rose+University+Recruiter+Amazon</v>
      </c>
      <c r="K1969" s="5" t="str">
        <f t="shared" si="1"/>
        <v>Jewel Rose</v>
      </c>
      <c r="L1969" s="5" t="str">
        <f t="shared" si="2"/>
        <v>University Recruiter</v>
      </c>
      <c r="M1969" s="5" t="str">
        <f t="shared" si="3"/>
        <v> </v>
      </c>
      <c r="N1969" s="5" t="str">
        <f t="shared" si="4"/>
        <v>Amazon</v>
      </c>
      <c r="O1969" s="5" t="str">
        <f t="shared" si="5"/>
        <v>1 year 3 months in role and company</v>
      </c>
      <c r="P1969" s="5" t="str">
        <f t="shared" si="6"/>
        <v>Seattle</v>
      </c>
      <c r="Q1969" s="5" t="str">
        <f t="shared" si="7"/>
        <v>Washington</v>
      </c>
      <c r="R1969" s="5" t="str">
        <f t="shared" si="8"/>
        <v>United States</v>
      </c>
    </row>
    <row r="1970">
      <c r="A1970" s="8" t="s">
        <v>9662</v>
      </c>
      <c r="B1970" s="12" t="s">
        <v>9663</v>
      </c>
      <c r="C1970" s="10" t="s">
        <v>5341</v>
      </c>
      <c r="D1970" s="10"/>
      <c r="E1970" s="10" t="s">
        <v>1908</v>
      </c>
      <c r="F1970" s="10" t="s">
        <v>727</v>
      </c>
      <c r="G1970" s="6" t="s">
        <v>6577</v>
      </c>
      <c r="H1970" s="11" t="s">
        <v>4757</v>
      </c>
      <c r="I1970" s="11" t="s">
        <v>4607</v>
      </c>
      <c r="J1970" s="9" t="str">
        <f>IFERROR(__xludf.DUMMYFUNCTION("""COMPUTED_VALUE"""),"https://www.google.com/search?newwindow=1&amp;ei=2MT0XrvGGM-vytMP1OyDgAY&amp;q=site%3Alinkedin.com+Zack+Summers+University+Recruiter+Amazon")</f>
        <v>https://www.google.com/search?newwindow=1&amp;ei=2MT0XrvGGM-vytMP1OyDgAY&amp;q=site%3Alinkedin.com+Zack+Summers+University+Recruiter+Amazon</v>
      </c>
      <c r="K1970" s="5" t="str">
        <f t="shared" si="1"/>
        <v>Zack Summers</v>
      </c>
      <c r="L1970" s="5" t="str">
        <f t="shared" si="2"/>
        <v>University Recruiter</v>
      </c>
      <c r="M1970" s="5" t="str">
        <f t="shared" si="3"/>
        <v> </v>
      </c>
      <c r="N1970" s="5" t="str">
        <f t="shared" si="4"/>
        <v>Amazon</v>
      </c>
      <c r="O1970" s="5" t="str">
        <f t="shared" si="5"/>
        <v>1 month in role</v>
      </c>
      <c r="P1970" s="5" t="str">
        <f t="shared" si="6"/>
        <v>Seattle</v>
      </c>
      <c r="Q1970" s="5" t="str">
        <f t="shared" si="7"/>
        <v>Washington</v>
      </c>
      <c r="R1970" s="5" t="str">
        <f t="shared" si="8"/>
        <v>United States</v>
      </c>
    </row>
    <row r="1971">
      <c r="A1971" s="8" t="s">
        <v>9664</v>
      </c>
      <c r="B1971" s="10" t="s">
        <v>9665</v>
      </c>
      <c r="C1971" s="10" t="s">
        <v>6635</v>
      </c>
      <c r="D1971" s="10"/>
      <c r="E1971" s="10" t="s">
        <v>702</v>
      </c>
      <c r="F1971" s="10" t="s">
        <v>26</v>
      </c>
      <c r="G1971" s="6" t="s">
        <v>6577</v>
      </c>
      <c r="H1971" s="11" t="s">
        <v>4757</v>
      </c>
      <c r="I1971" s="11" t="s">
        <v>4607</v>
      </c>
      <c r="J1971" s="9" t="str">
        <f>IFERROR(__xludf.DUMMYFUNCTION("""COMPUTED_VALUE"""),"https://www.google.com/search?newwindow=1&amp;ei=2MT0XrvGGM-vytMP1OyDgAY&amp;q=site%3Alinkedin.com+J.J.+Wilford+University+Operations+Recruiter+Amazon")</f>
        <v>https://www.google.com/search?newwindow=1&amp;ei=2MT0XrvGGM-vytMP1OyDgAY&amp;q=site%3Alinkedin.com+J.J.+Wilford+University+Operations+Recruiter+Amazon</v>
      </c>
      <c r="K1971" s="5" t="str">
        <f t="shared" si="1"/>
        <v>J.J. Wilford</v>
      </c>
      <c r="L1971" s="5" t="str">
        <f t="shared" si="2"/>
        <v>University Operations Recruiter</v>
      </c>
      <c r="M1971" s="5" t="str">
        <f t="shared" si="3"/>
        <v> </v>
      </c>
      <c r="N1971" s="5" t="str">
        <f t="shared" si="4"/>
        <v>Amazon</v>
      </c>
      <c r="O1971" s="5" t="str">
        <f t="shared" si="5"/>
        <v>3 months in role</v>
      </c>
      <c r="P1971" s="5" t="str">
        <f t="shared" si="6"/>
        <v>Seattle</v>
      </c>
      <c r="Q1971" s="5" t="str">
        <f t="shared" si="7"/>
        <v>Washington</v>
      </c>
      <c r="R1971" s="5" t="str">
        <f t="shared" si="8"/>
        <v>United States</v>
      </c>
    </row>
    <row r="1972">
      <c r="A1972" s="8" t="s">
        <v>9666</v>
      </c>
      <c r="B1972" s="10" t="s">
        <v>9667</v>
      </c>
      <c r="C1972" s="10" t="s">
        <v>9668</v>
      </c>
      <c r="D1972" s="10"/>
      <c r="E1972" s="10" t="s">
        <v>227</v>
      </c>
      <c r="F1972" s="10" t="s">
        <v>455</v>
      </c>
      <c r="G1972" s="6" t="s">
        <v>6577</v>
      </c>
      <c r="H1972" s="11" t="s">
        <v>4757</v>
      </c>
      <c r="I1972" s="11" t="s">
        <v>4607</v>
      </c>
      <c r="J1972" s="9" t="str">
        <f>IFERROR(__xludf.DUMMYFUNCTION("""COMPUTED_VALUE"""),"https://www.google.com/search?newwindow=1&amp;ei=2MT0XrvGGM-vytMP1OyDgAY&amp;q=site%3Alinkedin.com+David+Magnotta+Lead+University+Recruiter+(Recruiter+II)+Amazon")</f>
        <v>https://www.google.com/search?newwindow=1&amp;ei=2MT0XrvGGM-vytMP1OyDgAY&amp;q=site%3Alinkedin.com+David+Magnotta+Lead+University+Recruiter+(Recruiter+II)+Amazon</v>
      </c>
      <c r="K1972" s="5" t="str">
        <f t="shared" si="1"/>
        <v>David Magnotta</v>
      </c>
      <c r="L1972" s="5" t="str">
        <f t="shared" si="2"/>
        <v>Lead University Recruiter (Recruiter II)</v>
      </c>
      <c r="M1972" s="5" t="str">
        <f t="shared" si="3"/>
        <v> </v>
      </c>
      <c r="N1972" s="5" t="str">
        <f t="shared" si="4"/>
        <v>Amazon</v>
      </c>
      <c r="O1972" s="5" t="str">
        <f t="shared" si="5"/>
        <v>1 year 2 months in role</v>
      </c>
      <c r="P1972" s="5" t="str">
        <f t="shared" si="6"/>
        <v>Seattle</v>
      </c>
      <c r="Q1972" s="5" t="str">
        <f t="shared" si="7"/>
        <v>Washington</v>
      </c>
      <c r="R1972" s="5" t="str">
        <f t="shared" si="8"/>
        <v>United States</v>
      </c>
    </row>
    <row r="1973">
      <c r="A1973" s="8" t="s">
        <v>9669</v>
      </c>
      <c r="B1973" s="10" t="s">
        <v>9670</v>
      </c>
      <c r="C1973" s="10" t="s">
        <v>5054</v>
      </c>
      <c r="D1973" s="10"/>
      <c r="E1973" s="10" t="s">
        <v>2297</v>
      </c>
      <c r="F1973" s="10" t="s">
        <v>409</v>
      </c>
      <c r="G1973" s="6" t="s">
        <v>6577</v>
      </c>
      <c r="H1973" s="11" t="s">
        <v>4757</v>
      </c>
      <c r="I1973" s="11" t="s">
        <v>4607</v>
      </c>
      <c r="J1973" s="9" t="str">
        <f>IFERROR(__xludf.DUMMYFUNCTION("""COMPUTED_VALUE"""),"https://www.google.com/search?newwindow=1&amp;ei=2MT0XrvGGM-vytMP1OyDgAY&amp;q=site%3Alinkedin.com+Stephanie+Kang+University+Recruiter+Amazon")</f>
        <v>https://www.google.com/search?newwindow=1&amp;ei=2MT0XrvGGM-vytMP1OyDgAY&amp;q=site%3Alinkedin.com+Stephanie+Kang+University+Recruiter+Amazon</v>
      </c>
      <c r="K1973" s="5" t="str">
        <f t="shared" si="1"/>
        <v>Stephanie Kang</v>
      </c>
      <c r="L1973" s="5" t="str">
        <f t="shared" si="2"/>
        <v>University Recruiter</v>
      </c>
      <c r="M1973" s="5" t="str">
        <f t="shared" si="3"/>
        <v> </v>
      </c>
      <c r="N1973" s="5" t="str">
        <f t="shared" si="4"/>
        <v>Amazon</v>
      </c>
      <c r="O1973" s="5" t="str">
        <f t="shared" si="5"/>
        <v>1 month in role and company</v>
      </c>
      <c r="P1973" s="5" t="str">
        <f t="shared" si="6"/>
        <v>Seattle</v>
      </c>
      <c r="Q1973" s="5" t="str">
        <f t="shared" si="7"/>
        <v>Washington</v>
      </c>
      <c r="R1973" s="5" t="str">
        <f t="shared" si="8"/>
        <v>United States</v>
      </c>
    </row>
    <row r="1974">
      <c r="A1974" s="8" t="s">
        <v>9671</v>
      </c>
      <c r="B1974" s="10" t="s">
        <v>9672</v>
      </c>
      <c r="C1974" s="10" t="s">
        <v>5054</v>
      </c>
      <c r="D1974" s="10"/>
      <c r="E1974" s="10" t="s">
        <v>2297</v>
      </c>
      <c r="F1974" s="10" t="s">
        <v>1809</v>
      </c>
      <c r="G1974" s="6" t="s">
        <v>6577</v>
      </c>
      <c r="H1974" s="11" t="s">
        <v>4757</v>
      </c>
      <c r="I1974" s="11" t="s">
        <v>4607</v>
      </c>
      <c r="J1974" s="9" t="str">
        <f>IFERROR(__xludf.DUMMYFUNCTION("""COMPUTED_VALUE"""),"https://www.google.com/search?newwindow=1&amp;ei=2MT0XrvGGM-vytMP1OyDgAY&amp;q=site%3Alinkedin.com+Laynee+Brown+Client+Lead+Recruiter,+University+Operations+Amazon")</f>
        <v>https://www.google.com/search?newwindow=1&amp;ei=2MT0XrvGGM-vytMP1OyDgAY&amp;q=site%3Alinkedin.com+Laynee+Brown+Client+Lead+Recruiter,+University+Operations+Amazon</v>
      </c>
      <c r="K1974" s="5" t="str">
        <f t="shared" si="1"/>
        <v>Laynee Brown</v>
      </c>
      <c r="L1974" s="5" t="str">
        <f t="shared" si="2"/>
        <v>Client Lead Recruiter, University Operations</v>
      </c>
      <c r="M1974" s="5" t="str">
        <f t="shared" si="3"/>
        <v> </v>
      </c>
      <c r="N1974" s="5" t="str">
        <f t="shared" si="4"/>
        <v>Amazon</v>
      </c>
      <c r="O1974" s="5" t="str">
        <f t="shared" si="5"/>
        <v>3 months in role</v>
      </c>
      <c r="P1974" s="5" t="str">
        <f t="shared" si="6"/>
        <v>Seattle</v>
      </c>
      <c r="Q1974" s="5" t="str">
        <f t="shared" si="7"/>
        <v>Washington</v>
      </c>
      <c r="R1974" s="5" t="str">
        <f t="shared" si="8"/>
        <v>United States</v>
      </c>
    </row>
    <row r="1975">
      <c r="A1975" s="8" t="s">
        <v>9673</v>
      </c>
      <c r="B1975" s="10" t="s">
        <v>9674</v>
      </c>
      <c r="C1975" s="10" t="s">
        <v>9675</v>
      </c>
      <c r="D1975" s="14" t="s">
        <v>4</v>
      </c>
      <c r="E1975" s="10" t="s">
        <v>7927</v>
      </c>
      <c r="F1975" s="10" t="s">
        <v>686</v>
      </c>
      <c r="G1975" s="6" t="s">
        <v>6577</v>
      </c>
      <c r="H1975" s="11" t="s">
        <v>4757</v>
      </c>
      <c r="I1975" s="11" t="s">
        <v>4607</v>
      </c>
      <c r="J1975" s="9" t="str">
        <f>IFERROR(__xludf.DUMMYFUNCTION("""COMPUTED_VALUE"""),"https://www.google.com/search?newwindow=1&amp;ei=2MT0XrvGGM-vytMP1OyDgAY&amp;q=site%3Alinkedin.com+Andreea+Patruta+University+Tech+Recruiter+Amazon")</f>
        <v>https://www.google.com/search?newwindow=1&amp;ei=2MT0XrvGGM-vytMP1OyDgAY&amp;q=site%3Alinkedin.com+Andreea+Patruta+University+Tech+Recruiter+Amazon</v>
      </c>
      <c r="K1975" s="5" t="str">
        <f t="shared" si="1"/>
        <v>Andreea Patruta</v>
      </c>
      <c r="L1975" s="5" t="str">
        <f t="shared" si="2"/>
        <v>University Tech Recruiter</v>
      </c>
      <c r="M1975" s="5" t="str">
        <f t="shared" si="3"/>
        <v> </v>
      </c>
      <c r="N1975" s="5" t="str">
        <f t="shared" si="4"/>
        <v>Amazon</v>
      </c>
      <c r="O1975" s="5" t="str">
        <f t="shared" si="5"/>
        <v>1 year 1 month in role and company</v>
      </c>
      <c r="P1975" s="5" t="str">
        <f t="shared" si="6"/>
        <v>Seattle</v>
      </c>
      <c r="Q1975" s="5" t="str">
        <f t="shared" si="7"/>
        <v>Washington</v>
      </c>
      <c r="R1975" s="5" t="str">
        <f t="shared" si="8"/>
        <v>United States</v>
      </c>
    </row>
    <row r="1976">
      <c r="A1976" s="8" t="s">
        <v>9676</v>
      </c>
      <c r="B1976" s="12" t="s">
        <v>9677</v>
      </c>
      <c r="C1976" s="10" t="s">
        <v>9678</v>
      </c>
      <c r="D1976" s="10"/>
      <c r="E1976" s="10" t="s">
        <v>1064</v>
      </c>
      <c r="F1976" s="10" t="s">
        <v>144</v>
      </c>
      <c r="G1976" s="6" t="s">
        <v>6577</v>
      </c>
      <c r="H1976" s="11" t="s">
        <v>4757</v>
      </c>
      <c r="I1976" s="11" t="s">
        <v>4607</v>
      </c>
      <c r="J1976" s="9" t="str">
        <f>IFERROR(__xludf.DUMMYFUNCTION("""COMPUTED_VALUE"""),"https://www.google.com/search?newwindow=1&amp;ei=2MT0XrvGGM-vytMP1OyDgAY&amp;q=site%3Alinkedin.com+Jessica+Shellan+University+Recruiter+Amazon")</f>
        <v>https://www.google.com/search?newwindow=1&amp;ei=2MT0XrvGGM-vytMP1OyDgAY&amp;q=site%3Alinkedin.com+Jessica+Shellan+University+Recruiter+Amazon</v>
      </c>
      <c r="K1976" s="5" t="str">
        <f t="shared" si="1"/>
        <v>Jessica Shellan</v>
      </c>
      <c r="L1976" s="5" t="str">
        <f t="shared" si="2"/>
        <v>University Recruiter</v>
      </c>
      <c r="M1976" s="5" t="str">
        <f t="shared" si="3"/>
        <v> </v>
      </c>
      <c r="N1976" s="5" t="str">
        <f t="shared" si="4"/>
        <v>Amazon</v>
      </c>
      <c r="O1976" s="5" t="str">
        <f t="shared" si="5"/>
        <v>3 years 10 months in role and company</v>
      </c>
      <c r="P1976" s="5" t="str">
        <f t="shared" si="6"/>
        <v>Seattle</v>
      </c>
      <c r="Q1976" s="5" t="str">
        <f t="shared" si="7"/>
        <v>Washington</v>
      </c>
      <c r="R1976" s="5" t="str">
        <f t="shared" si="8"/>
        <v>United States</v>
      </c>
    </row>
    <row r="1977">
      <c r="A1977" s="8" t="s">
        <v>9679</v>
      </c>
      <c r="B1977" s="12" t="s">
        <v>9680</v>
      </c>
      <c r="C1977" s="10" t="s">
        <v>9681</v>
      </c>
      <c r="D1977" s="10"/>
      <c r="E1977" s="10" t="s">
        <v>9682</v>
      </c>
      <c r="F1977" s="10" t="s">
        <v>351</v>
      </c>
      <c r="G1977" s="6" t="s">
        <v>6577</v>
      </c>
      <c r="H1977" s="11" t="s">
        <v>4757</v>
      </c>
      <c r="I1977" s="11" t="s">
        <v>4607</v>
      </c>
      <c r="J1977" s="9" t="str">
        <f>IFERROR(__xludf.DUMMYFUNCTION("""COMPUTED_VALUE"""),"https://www.google.com/search?newwindow=1&amp;ei=2MT0XrvGGM-vytMP1OyDgAY&amp;q=site%3Alinkedin.com+Joshua+Ng+University+Operations+Recruiter+Amazon")</f>
        <v>https://www.google.com/search?newwindow=1&amp;ei=2MT0XrvGGM-vytMP1OyDgAY&amp;q=site%3Alinkedin.com+Joshua+Ng+University+Operations+Recruiter+Amazon</v>
      </c>
      <c r="K1977" s="5" t="str">
        <f t="shared" si="1"/>
        <v>Joshua Ng</v>
      </c>
      <c r="L1977" s="5" t="str">
        <f t="shared" si="2"/>
        <v>University Operations Recruiter</v>
      </c>
      <c r="M1977" s="5" t="str">
        <f t="shared" si="3"/>
        <v> </v>
      </c>
      <c r="N1977" s="5" t="str">
        <f t="shared" si="4"/>
        <v>Amazon</v>
      </c>
      <c r="O1977" s="5" t="str">
        <f t="shared" si="5"/>
        <v>3 months in role</v>
      </c>
      <c r="P1977" s="5" t="str">
        <f t="shared" si="6"/>
        <v>Seattle</v>
      </c>
      <c r="Q1977" s="5" t="str">
        <f t="shared" si="7"/>
        <v>Washington</v>
      </c>
      <c r="R1977" s="5" t="str">
        <f t="shared" si="8"/>
        <v>United States</v>
      </c>
    </row>
    <row r="1978">
      <c r="A1978" s="8" t="s">
        <v>9683</v>
      </c>
      <c r="B1978" s="10" t="s">
        <v>9684</v>
      </c>
      <c r="C1978" s="10" t="s">
        <v>9685</v>
      </c>
      <c r="D1978" s="10"/>
      <c r="E1978" s="10" t="s">
        <v>3177</v>
      </c>
      <c r="F1978" s="10" t="s">
        <v>63</v>
      </c>
      <c r="G1978" s="6" t="s">
        <v>6577</v>
      </c>
      <c r="H1978" s="11" t="s">
        <v>4757</v>
      </c>
      <c r="I1978" s="11" t="s">
        <v>4607</v>
      </c>
      <c r="J1978" s="9" t="str">
        <f>IFERROR(__xludf.DUMMYFUNCTION("""COMPUTED_VALUE"""),"https://www.google.com/search?newwindow=1&amp;ei=2MT0XrvGGM-vytMP1OyDgAY&amp;q=site%3Alinkedin.com+Sharon+Kim+University+Recruiter+Amazon")</f>
        <v>https://www.google.com/search?newwindow=1&amp;ei=2MT0XrvGGM-vytMP1OyDgAY&amp;q=site%3Alinkedin.com+Sharon+Kim+University+Recruiter+Amazon</v>
      </c>
      <c r="K1978" s="5" t="str">
        <f t="shared" si="1"/>
        <v>Sharon Kim</v>
      </c>
      <c r="L1978" s="5" t="str">
        <f t="shared" si="2"/>
        <v>University Recruiter</v>
      </c>
      <c r="M1978" s="5" t="str">
        <f t="shared" si="3"/>
        <v> </v>
      </c>
      <c r="N1978" s="5" t="str">
        <f t="shared" si="4"/>
        <v>Amazon</v>
      </c>
      <c r="O1978" s="5" t="str">
        <f t="shared" si="5"/>
        <v>3 months in role</v>
      </c>
      <c r="P1978" s="5" t="str">
        <f t="shared" si="6"/>
        <v>Seattle</v>
      </c>
      <c r="Q1978" s="5" t="str">
        <f t="shared" si="7"/>
        <v>Washington</v>
      </c>
      <c r="R1978" s="5" t="str">
        <f t="shared" si="8"/>
        <v>United States</v>
      </c>
    </row>
    <row r="1979">
      <c r="A1979" s="8" t="s">
        <v>9686</v>
      </c>
      <c r="B1979" s="10" t="s">
        <v>9687</v>
      </c>
      <c r="C1979" s="10" t="s">
        <v>110</v>
      </c>
      <c r="D1979" s="10"/>
      <c r="E1979" s="10" t="s">
        <v>4836</v>
      </c>
      <c r="F1979" s="10" t="s">
        <v>909</v>
      </c>
      <c r="G1979" s="6" t="s">
        <v>6577</v>
      </c>
      <c r="H1979" s="11" t="s">
        <v>4757</v>
      </c>
      <c r="I1979" s="11" t="s">
        <v>4607</v>
      </c>
      <c r="J1979" s="9" t="str">
        <f>IFERROR(__xludf.DUMMYFUNCTION("""COMPUTED_VALUE"""),"https://www.google.com/search?newwindow=1&amp;ei=2MT0XrvGGM-vytMP1OyDgAY&amp;q=site%3Alinkedin.com+Jennifer+Lindquist+University+Recruiter+-+Operations+Amazon")</f>
        <v>https://www.google.com/search?newwindow=1&amp;ei=2MT0XrvGGM-vytMP1OyDgAY&amp;q=site%3Alinkedin.com+Jennifer+Lindquist+University+Recruiter+-+Operations+Amazon</v>
      </c>
      <c r="K1979" s="5" t="str">
        <f t="shared" si="1"/>
        <v>Jennifer Lindquist</v>
      </c>
      <c r="L1979" s="5" t="str">
        <f t="shared" si="2"/>
        <v>University Recruiter - Operations</v>
      </c>
      <c r="M1979" s="5" t="str">
        <f t="shared" si="3"/>
        <v> </v>
      </c>
      <c r="N1979" s="5" t="str">
        <f t="shared" si="4"/>
        <v>Amazon</v>
      </c>
      <c r="O1979" s="5" t="str">
        <f t="shared" si="5"/>
        <v>11 months in role and company</v>
      </c>
      <c r="P1979" s="5" t="str">
        <f t="shared" si="6"/>
        <v>Seattle</v>
      </c>
      <c r="Q1979" s="5" t="str">
        <f t="shared" si="7"/>
        <v>Washington</v>
      </c>
      <c r="R1979" s="5" t="str">
        <f t="shared" si="8"/>
        <v>United States</v>
      </c>
    </row>
    <row r="1980">
      <c r="A1980" s="8" t="s">
        <v>9688</v>
      </c>
      <c r="B1980" s="12" t="s">
        <v>9689</v>
      </c>
      <c r="C1980" s="10" t="s">
        <v>9690</v>
      </c>
      <c r="D1980" s="10"/>
      <c r="E1980" s="10" t="s">
        <v>9691</v>
      </c>
      <c r="F1980" s="10" t="s">
        <v>365</v>
      </c>
      <c r="G1980" s="6" t="s">
        <v>6577</v>
      </c>
      <c r="H1980" s="11" t="s">
        <v>4757</v>
      </c>
      <c r="I1980" s="11" t="s">
        <v>4607</v>
      </c>
      <c r="J1980" s="9" t="str">
        <f>IFERROR(__xludf.DUMMYFUNCTION("""COMPUTED_VALUE"""),"https://www.google.com/search?newwindow=1&amp;ei=2MT0XrvGGM-vytMP1OyDgAY&amp;q=site%3Alinkedin.com+Shreya+Shah+University+Operations+Recruiter+(Non-Tech)+Amazon")</f>
        <v>https://www.google.com/search?newwindow=1&amp;ei=2MT0XrvGGM-vytMP1OyDgAY&amp;q=site%3Alinkedin.com+Shreya+Shah+University+Operations+Recruiter+(Non-Tech)+Amazon</v>
      </c>
      <c r="K1980" s="5" t="str">
        <f t="shared" si="1"/>
        <v>Shreya Shah</v>
      </c>
      <c r="L1980" s="5" t="str">
        <f t="shared" si="2"/>
        <v>University Operations Recruiter (Non-Tech)</v>
      </c>
      <c r="M1980" s="5" t="str">
        <f t="shared" si="3"/>
        <v> </v>
      </c>
      <c r="N1980" s="5" t="str">
        <f t="shared" si="4"/>
        <v>Amazon</v>
      </c>
      <c r="O1980" s="5" t="str">
        <f t="shared" si="5"/>
        <v>1 year 2 months in role</v>
      </c>
      <c r="P1980" s="5" t="str">
        <f t="shared" si="6"/>
        <v>Seattle</v>
      </c>
      <c r="Q1980" s="5" t="str">
        <f t="shared" si="7"/>
        <v>Washington</v>
      </c>
      <c r="R1980" s="5" t="str">
        <f t="shared" si="8"/>
        <v>United States</v>
      </c>
    </row>
    <row r="1981">
      <c r="A1981" s="8" t="s">
        <v>9692</v>
      </c>
      <c r="B1981" s="10" t="s">
        <v>9693</v>
      </c>
      <c r="C1981" s="10" t="s">
        <v>9694</v>
      </c>
      <c r="D1981" s="10"/>
      <c r="E1981" s="10" t="s">
        <v>9695</v>
      </c>
      <c r="F1981" s="10" t="s">
        <v>512</v>
      </c>
      <c r="G1981" s="6" t="s">
        <v>6577</v>
      </c>
      <c r="H1981" s="11" t="s">
        <v>4757</v>
      </c>
      <c r="I1981" s="11" t="s">
        <v>4607</v>
      </c>
      <c r="J1981" s="9" t="str">
        <f>IFERROR(__xludf.DUMMYFUNCTION("""COMPUTED_VALUE"""),"https://www.google.com/search?newwindow=1&amp;ei=2MT0XrvGGM-vytMP1OyDgAY&amp;q=site%3Alinkedin.com+Cristina+LeCuyer+Client+Lead+Recruiter,+University+Operations+Amazon")</f>
        <v>https://www.google.com/search?newwindow=1&amp;ei=2MT0XrvGGM-vytMP1OyDgAY&amp;q=site%3Alinkedin.com+Cristina+LeCuyer+Client+Lead+Recruiter,+University+Operations+Amazon</v>
      </c>
      <c r="K1981" s="5" t="str">
        <f t="shared" si="1"/>
        <v>Cristina LeCuyer</v>
      </c>
      <c r="L1981" s="5" t="str">
        <f t="shared" si="2"/>
        <v>Client Lead Recruiter, University Operations</v>
      </c>
      <c r="M1981" s="5" t="str">
        <f t="shared" si="3"/>
        <v> </v>
      </c>
      <c r="N1981" s="5" t="str">
        <f t="shared" si="4"/>
        <v>Amazon</v>
      </c>
      <c r="O1981" s="5" t="str">
        <f t="shared" si="5"/>
        <v>2 years 3 months in role</v>
      </c>
      <c r="P1981" s="5" t="str">
        <f t="shared" si="6"/>
        <v>Seattle</v>
      </c>
      <c r="Q1981" s="5" t="str">
        <f t="shared" si="7"/>
        <v>Washington</v>
      </c>
      <c r="R1981" s="5" t="str">
        <f t="shared" si="8"/>
        <v>United States</v>
      </c>
    </row>
    <row r="1982">
      <c r="A1982" s="8" t="s">
        <v>9696</v>
      </c>
      <c r="B1982" s="10" t="s">
        <v>9697</v>
      </c>
      <c r="C1982" s="10" t="s">
        <v>9698</v>
      </c>
      <c r="D1982" s="10"/>
      <c r="E1982" s="10" t="s">
        <v>812</v>
      </c>
      <c r="F1982" s="10" t="s">
        <v>686</v>
      </c>
      <c r="G1982" s="6" t="s">
        <v>6577</v>
      </c>
      <c r="H1982" s="11" t="s">
        <v>4757</v>
      </c>
      <c r="I1982" s="11" t="s">
        <v>4607</v>
      </c>
      <c r="J1982" s="9" t="str">
        <f>IFERROR(__xludf.DUMMYFUNCTION("""COMPUTED_VALUE"""),"https://www.google.com/search?newwindow=1&amp;ei=2MT0XrvGGM-vytMP1OyDgAY&amp;q=site%3Alinkedin.com+Taylor+Rowland+University+Recruiter,+Amazon+Operations+Amazon")</f>
        <v>https://www.google.com/search?newwindow=1&amp;ei=2MT0XrvGGM-vytMP1OyDgAY&amp;q=site%3Alinkedin.com+Taylor+Rowland+University+Recruiter,+Amazon+Operations+Amazon</v>
      </c>
      <c r="K1982" s="5" t="str">
        <f t="shared" si="1"/>
        <v>Taylor Rowland</v>
      </c>
      <c r="L1982" s="5" t="str">
        <f t="shared" si="2"/>
        <v>University Recruiter, Amazon Operations</v>
      </c>
      <c r="M1982" s="5" t="str">
        <f t="shared" si="3"/>
        <v> </v>
      </c>
      <c r="N1982" s="5" t="str">
        <f t="shared" si="4"/>
        <v>Amazon</v>
      </c>
      <c r="O1982" s="5" t="str">
        <f t="shared" si="5"/>
        <v>3 months in role</v>
      </c>
      <c r="P1982" s="5" t="str">
        <f t="shared" si="6"/>
        <v>Seattle</v>
      </c>
      <c r="Q1982" s="5" t="str">
        <f t="shared" si="7"/>
        <v>Washington</v>
      </c>
      <c r="R1982" s="5" t="str">
        <f t="shared" si="8"/>
        <v>United States</v>
      </c>
    </row>
    <row r="1983">
      <c r="A1983" s="8" t="s">
        <v>9699</v>
      </c>
      <c r="B1983" s="10" t="s">
        <v>9700</v>
      </c>
      <c r="C1983" s="10" t="s">
        <v>5054</v>
      </c>
      <c r="D1983" s="10"/>
      <c r="E1983" s="10" t="s">
        <v>812</v>
      </c>
      <c r="F1983" s="10" t="s">
        <v>2840</v>
      </c>
      <c r="G1983" s="6" t="s">
        <v>6577</v>
      </c>
      <c r="H1983" s="11" t="s">
        <v>4757</v>
      </c>
      <c r="I1983" s="11" t="s">
        <v>4607</v>
      </c>
      <c r="J1983" s="9" t="str">
        <f>IFERROR(__xludf.DUMMYFUNCTION("""COMPUTED_VALUE"""),"https://www.google.com/search?newwindow=1&amp;ei=2MT0XrvGGM-vytMP1OyDgAY&amp;q=site%3Alinkedin.com+Shavonne+Mehaffey+University+Recruiter+Amazon")</f>
        <v>https://www.google.com/search?newwindow=1&amp;ei=2MT0XrvGGM-vytMP1OyDgAY&amp;q=site%3Alinkedin.com+Shavonne+Mehaffey+University+Recruiter+Amazon</v>
      </c>
      <c r="K1983" s="5" t="str">
        <f t="shared" si="1"/>
        <v>Shavonne Mehaffey</v>
      </c>
      <c r="L1983" s="5" t="str">
        <f t="shared" si="2"/>
        <v>University Recruiter</v>
      </c>
      <c r="M1983" s="5" t="str">
        <f t="shared" si="3"/>
        <v> </v>
      </c>
      <c r="N1983" s="5" t="str">
        <f t="shared" si="4"/>
        <v>Amazon</v>
      </c>
      <c r="O1983" s="5" t="str">
        <f t="shared" si="5"/>
        <v>4 months in role and company</v>
      </c>
      <c r="P1983" s="5" t="str">
        <f t="shared" si="6"/>
        <v>Seattle</v>
      </c>
      <c r="Q1983" s="5" t="str">
        <f t="shared" si="7"/>
        <v>Washington</v>
      </c>
      <c r="R1983" s="5" t="str">
        <f t="shared" si="8"/>
        <v>United States</v>
      </c>
    </row>
    <row r="1984">
      <c r="A1984" s="8" t="s">
        <v>9701</v>
      </c>
      <c r="B1984" s="10" t="s">
        <v>9702</v>
      </c>
      <c r="C1984" s="10" t="s">
        <v>9703</v>
      </c>
      <c r="D1984" s="10"/>
      <c r="E1984" s="10" t="s">
        <v>9704</v>
      </c>
      <c r="F1984" s="10" t="s">
        <v>121</v>
      </c>
      <c r="G1984" s="6" t="s">
        <v>6577</v>
      </c>
      <c r="H1984" s="11" t="s">
        <v>4757</v>
      </c>
      <c r="I1984" s="11" t="s">
        <v>4607</v>
      </c>
      <c r="J1984" s="9" t="str">
        <f>IFERROR(__xludf.DUMMYFUNCTION("""COMPUTED_VALUE"""),"https://www.google.com/search?newwindow=1&amp;ei=2MT0XrvGGM-vytMP1OyDgAY&amp;q=site%3Alinkedin.com+Talitha+S.+University+Recruiter,+Amazon+Operations+Amazon")</f>
        <v>https://www.google.com/search?newwindow=1&amp;ei=2MT0XrvGGM-vytMP1OyDgAY&amp;q=site%3Alinkedin.com+Talitha+S.+University+Recruiter,+Amazon+Operations+Amazon</v>
      </c>
      <c r="K1984" s="5" t="str">
        <f t="shared" si="1"/>
        <v>Talitha S.</v>
      </c>
      <c r="L1984" s="5" t="str">
        <f t="shared" si="2"/>
        <v>University Recruiter, Amazon Operations</v>
      </c>
      <c r="M1984" s="5" t="str">
        <f t="shared" si="3"/>
        <v> </v>
      </c>
      <c r="N1984" s="5" t="str">
        <f t="shared" si="4"/>
        <v>Amazon</v>
      </c>
      <c r="O1984" s="5" t="str">
        <f t="shared" si="5"/>
        <v>3 years  in role and company</v>
      </c>
      <c r="P1984" s="5" t="str">
        <f t="shared" si="6"/>
        <v>Seattle</v>
      </c>
      <c r="Q1984" s="5" t="str">
        <f t="shared" si="7"/>
        <v>Washington</v>
      </c>
      <c r="R1984" s="5" t="str">
        <f t="shared" si="8"/>
        <v>United States</v>
      </c>
    </row>
    <row r="1985">
      <c r="A1985" s="8" t="s">
        <v>9705</v>
      </c>
      <c r="B1985" s="12" t="s">
        <v>9706</v>
      </c>
      <c r="C1985" s="10" t="s">
        <v>9707</v>
      </c>
      <c r="D1985" s="10"/>
      <c r="E1985" s="10" t="s">
        <v>7016</v>
      </c>
      <c r="F1985" s="10" t="s">
        <v>106</v>
      </c>
      <c r="G1985" s="6" t="s">
        <v>6577</v>
      </c>
      <c r="H1985" s="11" t="s">
        <v>4757</v>
      </c>
      <c r="I1985" s="11" t="s">
        <v>4607</v>
      </c>
      <c r="J1985" s="9" t="str">
        <f>IFERROR(__xludf.DUMMYFUNCTION("""COMPUTED_VALUE"""),"https://www.google.com/search?newwindow=1&amp;ei=2MT0XrvGGM-vytMP1OyDgAY&amp;q=site%3Alinkedin.com+ShanShan+Tan+University+Recruiter+Amazon")</f>
        <v>https://www.google.com/search?newwindow=1&amp;ei=2MT0XrvGGM-vytMP1OyDgAY&amp;q=site%3Alinkedin.com+ShanShan+Tan+University+Recruiter+Amazon</v>
      </c>
      <c r="K1985" s="5" t="str">
        <f t="shared" si="1"/>
        <v>ShanShan Tan</v>
      </c>
      <c r="L1985" s="5" t="str">
        <f t="shared" si="2"/>
        <v>University Recruiter</v>
      </c>
      <c r="M1985" s="5" t="str">
        <f t="shared" si="3"/>
        <v> </v>
      </c>
      <c r="N1985" s="5" t="str">
        <f t="shared" si="4"/>
        <v>Amazon</v>
      </c>
      <c r="O1985" s="5" t="str">
        <f t="shared" si="5"/>
        <v>3 months in role</v>
      </c>
      <c r="P1985" s="5" t="str">
        <f t="shared" si="6"/>
        <v>Seattle</v>
      </c>
      <c r="Q1985" s="5" t="str">
        <f t="shared" si="7"/>
        <v>Washington</v>
      </c>
      <c r="R1985" s="5" t="str">
        <f t="shared" si="8"/>
        <v>United States</v>
      </c>
    </row>
    <row r="1986">
      <c r="A1986" s="8" t="s">
        <v>9708</v>
      </c>
      <c r="B1986" s="10" t="s">
        <v>9709</v>
      </c>
      <c r="C1986" s="10" t="s">
        <v>9710</v>
      </c>
      <c r="D1986" s="10"/>
      <c r="E1986" s="10" t="s">
        <v>9711</v>
      </c>
      <c r="F1986" s="10" t="s">
        <v>60</v>
      </c>
      <c r="G1986" s="6" t="s">
        <v>6577</v>
      </c>
      <c r="H1986" s="11" t="s">
        <v>4757</v>
      </c>
      <c r="I1986" s="11" t="s">
        <v>4607</v>
      </c>
      <c r="J1986" s="9" t="str">
        <f>IFERROR(__xludf.DUMMYFUNCTION("""COMPUTED_VALUE"""),"https://www.google.com/search?newwindow=1&amp;ei=2MT0XrvGGM-vytMP1OyDgAY&amp;q=site%3Alinkedin.com+Jessica+Bates+University+Recruiter+Amazon")</f>
        <v>https://www.google.com/search?newwindow=1&amp;ei=2MT0XrvGGM-vytMP1OyDgAY&amp;q=site%3Alinkedin.com+Jessica+Bates+University+Recruiter+Amazon</v>
      </c>
      <c r="K1986" s="5" t="str">
        <f t="shared" si="1"/>
        <v>Jessica Bates</v>
      </c>
      <c r="L1986" s="5" t="str">
        <f t="shared" si="2"/>
        <v>University Recruiter</v>
      </c>
      <c r="M1986" s="5" t="str">
        <f t="shared" si="3"/>
        <v> </v>
      </c>
      <c r="N1986" s="5" t="str">
        <f t="shared" si="4"/>
        <v>Amazon</v>
      </c>
      <c r="O1986" s="5" t="str">
        <f t="shared" si="5"/>
        <v>4 months in role and company</v>
      </c>
      <c r="P1986" s="5" t="str">
        <f t="shared" si="6"/>
        <v>Seattle</v>
      </c>
      <c r="Q1986" s="5" t="str">
        <f t="shared" si="7"/>
        <v>Washington</v>
      </c>
      <c r="R1986" s="5" t="str">
        <f t="shared" si="8"/>
        <v>United States</v>
      </c>
    </row>
    <row r="1987">
      <c r="A1987" s="8" t="s">
        <v>9712</v>
      </c>
      <c r="B1987" s="10" t="s">
        <v>9713</v>
      </c>
      <c r="C1987" s="10" t="s">
        <v>9714</v>
      </c>
      <c r="D1987" s="10"/>
      <c r="E1987" s="10" t="s">
        <v>9715</v>
      </c>
      <c r="F1987" s="10" t="s">
        <v>523</v>
      </c>
      <c r="G1987" s="6" t="s">
        <v>6577</v>
      </c>
      <c r="H1987" s="11" t="s">
        <v>4757</v>
      </c>
      <c r="I1987" s="11" t="s">
        <v>4607</v>
      </c>
      <c r="J1987" s="9" t="str">
        <f>IFERROR(__xludf.DUMMYFUNCTION("""COMPUTED_VALUE"""),"https://www.google.com/search?newwindow=1&amp;ei=2MT0XrvGGM-vytMP1OyDgAY&amp;q=site%3Alinkedin.com+Tony+Liu+Tech+Campus+Recruiter+Amazon")</f>
        <v>https://www.google.com/search?newwindow=1&amp;ei=2MT0XrvGGM-vytMP1OyDgAY&amp;q=site%3Alinkedin.com+Tony+Liu+Tech+Campus+Recruiter+Amazon</v>
      </c>
      <c r="K1987" s="5" t="str">
        <f t="shared" si="1"/>
        <v>Tony Liu</v>
      </c>
      <c r="L1987" s="5" t="str">
        <f t="shared" si="2"/>
        <v>Tech Campus Recruiter</v>
      </c>
      <c r="M1987" s="5" t="str">
        <f t="shared" si="3"/>
        <v> </v>
      </c>
      <c r="N1987" s="5" t="str">
        <f t="shared" si="4"/>
        <v>Amazon</v>
      </c>
      <c r="O1987" s="5" t="str">
        <f t="shared" si="5"/>
        <v>1 year 2 months in role</v>
      </c>
      <c r="P1987" s="5" t="str">
        <f t="shared" si="6"/>
        <v>Seattle</v>
      </c>
      <c r="Q1987" s="5" t="str">
        <f t="shared" si="7"/>
        <v>Washington</v>
      </c>
      <c r="R1987" s="5" t="str">
        <f t="shared" si="8"/>
        <v>United States</v>
      </c>
    </row>
    <row r="1988">
      <c r="A1988" s="8" t="s">
        <v>9716</v>
      </c>
      <c r="B1988" s="10" t="s">
        <v>9717</v>
      </c>
      <c r="C1988" s="10" t="s">
        <v>9718</v>
      </c>
      <c r="D1988" s="10"/>
      <c r="E1988" s="10" t="s">
        <v>227</v>
      </c>
      <c r="F1988" s="10" t="s">
        <v>94</v>
      </c>
      <c r="G1988" s="6" t="s">
        <v>6577</v>
      </c>
      <c r="H1988" s="11" t="s">
        <v>4757</v>
      </c>
      <c r="I1988" s="11" t="s">
        <v>4607</v>
      </c>
      <c r="J1988" s="9" t="str">
        <f>IFERROR(__xludf.DUMMYFUNCTION("""COMPUTED_VALUE"""),"https://www.google.com/search?newwindow=1&amp;ei=2MT0XrvGGM-vytMP1OyDgAY&amp;q=site%3Alinkedin.com+Carly+Porter+Student+Programs,+Campus+Recruiter+Amazon")</f>
        <v>https://www.google.com/search?newwindow=1&amp;ei=2MT0XrvGGM-vytMP1OyDgAY&amp;q=site%3Alinkedin.com+Carly+Porter+Student+Programs,+Campus+Recruiter+Amazon</v>
      </c>
      <c r="K1988" s="5" t="str">
        <f t="shared" si="1"/>
        <v>Carly Porter</v>
      </c>
      <c r="L1988" s="5" t="str">
        <f t="shared" si="2"/>
        <v>Student Programs, Campus Recruiter</v>
      </c>
      <c r="M1988" s="5" t="str">
        <f t="shared" si="3"/>
        <v> </v>
      </c>
      <c r="N1988" s="5" t="str">
        <f t="shared" si="4"/>
        <v>Amazon</v>
      </c>
      <c r="O1988" s="5" t="str">
        <f t="shared" si="5"/>
        <v>2 years  in role</v>
      </c>
      <c r="P1988" s="5" t="str">
        <f t="shared" si="6"/>
        <v>Seattle</v>
      </c>
      <c r="Q1988" s="5" t="str">
        <f t="shared" si="7"/>
        <v>Washington</v>
      </c>
      <c r="R1988" s="5" t="str">
        <f t="shared" si="8"/>
        <v>United States</v>
      </c>
    </row>
    <row r="1989">
      <c r="A1989" s="8" t="s">
        <v>9719</v>
      </c>
      <c r="B1989" s="10" t="s">
        <v>9720</v>
      </c>
      <c r="C1989" s="10" t="s">
        <v>8217</v>
      </c>
      <c r="D1989" s="10"/>
      <c r="E1989" s="10" t="s">
        <v>9721</v>
      </c>
      <c r="F1989" s="10" t="s">
        <v>144</v>
      </c>
      <c r="G1989" s="6" t="s">
        <v>6577</v>
      </c>
      <c r="H1989" s="11" t="s">
        <v>4757</v>
      </c>
      <c r="I1989" s="11" t="s">
        <v>4607</v>
      </c>
      <c r="J1989" s="9" t="str">
        <f>IFERROR(__xludf.DUMMYFUNCTION("""COMPUTED_VALUE"""),"https://www.google.com/search?newwindow=1&amp;ei=2MT0XrvGGM-vytMP1OyDgAY&amp;q=site%3Alinkedin.com+Jessica+Mantel+University+Recruiter+Amazon")</f>
        <v>https://www.google.com/search?newwindow=1&amp;ei=2MT0XrvGGM-vytMP1OyDgAY&amp;q=site%3Alinkedin.com+Jessica+Mantel+University+Recruiter+Amazon</v>
      </c>
      <c r="K1989" s="5" t="str">
        <f t="shared" si="1"/>
        <v>Jessica Mantel</v>
      </c>
      <c r="L1989" s="5" t="str">
        <f t="shared" si="2"/>
        <v>University Recruiter</v>
      </c>
      <c r="M1989" s="5" t="str">
        <f t="shared" si="3"/>
        <v> </v>
      </c>
      <c r="N1989" s="5" t="str">
        <f t="shared" si="4"/>
        <v>Amazon</v>
      </c>
      <c r="O1989" s="5" t="str">
        <f t="shared" si="5"/>
        <v>3 months in role</v>
      </c>
      <c r="P1989" s="5" t="str">
        <f t="shared" si="6"/>
        <v>Walled Lake</v>
      </c>
      <c r="Q1989" s="5" t="str">
        <f t="shared" si="7"/>
        <v>Michigan</v>
      </c>
      <c r="R1989" s="5" t="str">
        <f t="shared" si="8"/>
        <v>United States</v>
      </c>
    </row>
    <row r="1990">
      <c r="A1990" s="8" t="s">
        <v>9722</v>
      </c>
      <c r="B1990" s="10" t="s">
        <v>9723</v>
      </c>
      <c r="C1990" s="10" t="s">
        <v>110</v>
      </c>
      <c r="D1990" s="10"/>
      <c r="E1990" s="10" t="s">
        <v>4836</v>
      </c>
      <c r="F1990" s="10" t="s">
        <v>79</v>
      </c>
      <c r="G1990" s="6" t="s">
        <v>6577</v>
      </c>
      <c r="H1990" s="11" t="s">
        <v>4757</v>
      </c>
      <c r="I1990" s="11" t="s">
        <v>4607</v>
      </c>
      <c r="J1990" s="9" t="str">
        <f>IFERROR(__xludf.DUMMYFUNCTION("""COMPUTED_VALUE"""),"https://www.google.com/search?newwindow=1&amp;ei=2MT0XrvGGM-vytMP1OyDgAY&amp;q=site%3Alinkedin.com+Gabby+Ellis+Campus+Recruiting+Manager+Amazon+Prime+Student")</f>
        <v>https://www.google.com/search?newwindow=1&amp;ei=2MT0XrvGGM-vytMP1OyDgAY&amp;q=site%3Alinkedin.com+Gabby+Ellis+Campus+Recruiting+Manager+Amazon+Prime+Student</v>
      </c>
      <c r="K1990" s="5" t="str">
        <f t="shared" si="1"/>
        <v>Gabby Ellis</v>
      </c>
      <c r="L1990" s="5" t="str">
        <f t="shared" si="2"/>
        <v>Campus Recruiting Manager</v>
      </c>
      <c r="M1990" s="5" t="str">
        <f t="shared" si="3"/>
        <v> </v>
      </c>
      <c r="N1990" s="5" t="str">
        <f t="shared" si="4"/>
        <v>Amazon</v>
      </c>
      <c r="O1990" s="5" t="str">
        <f t="shared" si="5"/>
        <v>1 year 2 months in role and company</v>
      </c>
      <c r="P1990" s="5" t="str">
        <f t="shared" si="6"/>
        <v>Greeley</v>
      </c>
      <c r="Q1990" s="5" t="str">
        <f t="shared" si="7"/>
        <v>Colorado</v>
      </c>
      <c r="R1990" s="5" t="str">
        <f t="shared" si="8"/>
        <v>United States</v>
      </c>
    </row>
    <row r="1991">
      <c r="A1991" s="8" t="s">
        <v>9724</v>
      </c>
      <c r="B1991" s="12" t="s">
        <v>9725</v>
      </c>
      <c r="C1991" s="10" t="s">
        <v>9726</v>
      </c>
      <c r="D1991" s="10"/>
      <c r="E1991" s="10" t="s">
        <v>9727</v>
      </c>
      <c r="F1991" s="10" t="s">
        <v>585</v>
      </c>
      <c r="G1991" s="6" t="s">
        <v>6577</v>
      </c>
      <c r="H1991" s="11" t="s">
        <v>4757</v>
      </c>
      <c r="I1991" s="11" t="s">
        <v>4607</v>
      </c>
      <c r="J1991" s="9" t="str">
        <f>IFERROR(__xludf.DUMMYFUNCTION("""COMPUTED_VALUE"""),"https://www.google.com/search?newwindow=1&amp;ei=2MT0XrvGGM-vytMP1OyDgAY&amp;q=site%3Alinkedin.com+Carrie+Perretta-Murphy+Sr.+Technical+Recruiter+and+Campus+Lead+Amazon+Robotics")</f>
        <v>https://www.google.com/search?newwindow=1&amp;ei=2MT0XrvGGM-vytMP1OyDgAY&amp;q=site%3Alinkedin.com+Carrie+Perretta-Murphy+Sr.+Technical+Recruiter+and+Campus+Lead+Amazon+Robotics</v>
      </c>
      <c r="K1991" s="5" t="str">
        <f t="shared" si="1"/>
        <v>Carrie Perretta-Murphy</v>
      </c>
      <c r="L1991" s="5" t="str">
        <f t="shared" si="2"/>
        <v>Sr. Technical Recruiter and Campus Lead</v>
      </c>
      <c r="M1991" s="5" t="str">
        <f t="shared" si="3"/>
        <v> </v>
      </c>
      <c r="N1991" s="5" t="str">
        <f t="shared" si="4"/>
        <v>Amazon</v>
      </c>
      <c r="O1991" s="5" t="str">
        <f t="shared" si="5"/>
        <v>4 years 3 months in role and company</v>
      </c>
      <c r="P1991" s="5" t="str">
        <f t="shared" si="6"/>
        <v>Boston</v>
      </c>
      <c r="Q1991" s="5" t="str">
        <f t="shared" si="7"/>
        <v>Massachusetts</v>
      </c>
      <c r="R1991" s="5" t="str">
        <f t="shared" si="8"/>
        <v>United States</v>
      </c>
    </row>
    <row r="1992">
      <c r="A1992" s="8" t="s">
        <v>9728</v>
      </c>
      <c r="B1992" s="10" t="s">
        <v>9729</v>
      </c>
      <c r="C1992" s="10" t="s">
        <v>9730</v>
      </c>
      <c r="D1992" s="10"/>
      <c r="E1992" s="10" t="s">
        <v>9731</v>
      </c>
      <c r="F1992" s="10" t="s">
        <v>351</v>
      </c>
      <c r="G1992" s="6" t="s">
        <v>6577</v>
      </c>
      <c r="H1992" s="11" t="s">
        <v>4757</v>
      </c>
      <c r="I1992" s="11" t="s">
        <v>4607</v>
      </c>
      <c r="J1992" s="9" t="str">
        <f>IFERROR(__xludf.DUMMYFUNCTION("""COMPUTED_VALUE"""),"https://www.google.com/search?newwindow=1&amp;ei=2MT0XrvGGM-vytMP1OyDgAY&amp;q=site%3Alinkedin.com+Betty+Quach+Program+Manager+Amazon+Web+Services")</f>
        <v>https://www.google.com/search?newwindow=1&amp;ei=2MT0XrvGGM-vytMP1OyDgAY&amp;q=site%3Alinkedin.com+Betty+Quach+Program+Manager+Amazon+Web+Services</v>
      </c>
      <c r="K1992" s="5" t="str">
        <f t="shared" si="1"/>
        <v>Betty Quach</v>
      </c>
      <c r="L1992" s="5" t="str">
        <f t="shared" si="2"/>
        <v>Program Manager</v>
      </c>
      <c r="M1992" s="5" t="str">
        <f t="shared" si="3"/>
        <v> </v>
      </c>
      <c r="N1992" s="5" t="str">
        <f t="shared" si="4"/>
        <v>Amazon</v>
      </c>
      <c r="O1992" s="5" t="str">
        <f t="shared" si="5"/>
        <v>3 years 10 months in role and company</v>
      </c>
      <c r="P1992" s="5" t="str">
        <f t="shared" si="6"/>
        <v>Kent</v>
      </c>
      <c r="Q1992" s="5" t="str">
        <f t="shared" si="7"/>
        <v>Washington</v>
      </c>
      <c r="R1992" s="5" t="str">
        <f t="shared" si="8"/>
        <v>United States</v>
      </c>
    </row>
    <row r="1993">
      <c r="A1993" s="8" t="s">
        <v>9732</v>
      </c>
      <c r="B1993" s="10" t="s">
        <v>9733</v>
      </c>
      <c r="C1993" s="10" t="s">
        <v>4596</v>
      </c>
      <c r="D1993" s="10"/>
      <c r="E1993" s="10" t="s">
        <v>9734</v>
      </c>
      <c r="F1993" s="10" t="s">
        <v>2035</v>
      </c>
      <c r="G1993" s="6" t="s">
        <v>6577</v>
      </c>
      <c r="H1993" s="11" t="s">
        <v>4757</v>
      </c>
      <c r="I1993" s="11" t="s">
        <v>4607</v>
      </c>
      <c r="J1993" s="9" t="str">
        <f>IFERROR(__xludf.DUMMYFUNCTION("""COMPUTED_VALUE"""),"https://www.google.com/search?newwindow=1&amp;ei=2MT0XrvGGM-vytMP1OyDgAY&amp;q=site%3Alinkedin.com+Anne-Marie+Corrales+US+Campus+Recruiter+American+Express")</f>
        <v>https://www.google.com/search?newwindow=1&amp;ei=2MT0XrvGGM-vytMP1OyDgAY&amp;q=site%3Alinkedin.com+Anne-Marie+Corrales+US+Campus+Recruiter+American+Express</v>
      </c>
      <c r="K1993" s="5" t="str">
        <f t="shared" si="1"/>
        <v>Anne-Marie Corrales</v>
      </c>
      <c r="L1993" s="5" t="str">
        <f t="shared" si="2"/>
        <v>US Campus Recruiter</v>
      </c>
      <c r="M1993" s="5" t="str">
        <f t="shared" si="3"/>
        <v> </v>
      </c>
      <c r="N1993" s="5" t="str">
        <f t="shared" si="4"/>
        <v>American Express</v>
      </c>
      <c r="O1993" s="5" t="str">
        <f t="shared" si="5"/>
        <v>6 months in role</v>
      </c>
      <c r="P1993" s="5" t="str">
        <f t="shared" si="6"/>
        <v>Miami</v>
      </c>
      <c r="Q1993" s="5" t="str">
        <f t="shared" si="7"/>
        <v>Florida</v>
      </c>
      <c r="R1993" s="5" t="str">
        <f t="shared" si="8"/>
        <v>United States</v>
      </c>
    </row>
    <row r="1994">
      <c r="A1994" s="8" t="s">
        <v>9735</v>
      </c>
      <c r="B1994" s="10" t="s">
        <v>9736</v>
      </c>
      <c r="C1994" s="10" t="s">
        <v>9737</v>
      </c>
      <c r="D1994" s="10"/>
      <c r="E1994" s="10" t="s">
        <v>1186</v>
      </c>
      <c r="F1994" s="10" t="s">
        <v>1676</v>
      </c>
      <c r="G1994" s="6" t="s">
        <v>6577</v>
      </c>
      <c r="H1994" s="11" t="s">
        <v>4757</v>
      </c>
      <c r="I1994" s="11" t="s">
        <v>4607</v>
      </c>
      <c r="J1994" s="9" t="str">
        <f>IFERROR(__xludf.DUMMYFUNCTION("""COMPUTED_VALUE"""),"https://www.google.com/search?newwindow=1&amp;ei=2MT0XrvGGM-vytMP1OyDgAY&amp;q=site%3Alinkedin.com+Matthew+Bommarito+Campus+Recruiting+Manager+American+Express")</f>
        <v>https://www.google.com/search?newwindow=1&amp;ei=2MT0XrvGGM-vytMP1OyDgAY&amp;q=site%3Alinkedin.com+Matthew+Bommarito+Campus+Recruiting+Manager+American+Express</v>
      </c>
      <c r="K1994" s="5" t="str">
        <f t="shared" si="1"/>
        <v>Matthew Bommarito</v>
      </c>
      <c r="L1994" s="5" t="str">
        <f t="shared" si="2"/>
        <v>Campus Recruiting Manager</v>
      </c>
      <c r="M1994" s="5" t="str">
        <f t="shared" si="3"/>
        <v> </v>
      </c>
      <c r="N1994" s="5" t="str">
        <f t="shared" si="4"/>
        <v>American Express</v>
      </c>
      <c r="O1994" s="5" t="str">
        <f t="shared" si="5"/>
        <v>11 months in role and company</v>
      </c>
      <c r="P1994" s="5" t="str">
        <f t="shared" si="6"/>
        <v>New York</v>
      </c>
      <c r="Q1994" s="5" t="str">
        <f t="shared" si="7"/>
        <v>New York</v>
      </c>
      <c r="R1994" s="5" t="str">
        <f t="shared" si="8"/>
        <v>United States</v>
      </c>
    </row>
    <row r="1995">
      <c r="A1995" s="8" t="s">
        <v>9738</v>
      </c>
      <c r="B1995" s="10" t="s">
        <v>9739</v>
      </c>
      <c r="C1995" s="10" t="s">
        <v>9740</v>
      </c>
      <c r="D1995" s="10"/>
      <c r="E1995" s="10" t="s">
        <v>9741</v>
      </c>
      <c r="F1995" s="10" t="s">
        <v>1034</v>
      </c>
      <c r="G1995" s="6" t="s">
        <v>6577</v>
      </c>
      <c r="H1995" s="11" t="s">
        <v>4757</v>
      </c>
      <c r="I1995" s="11" t="s">
        <v>4607</v>
      </c>
      <c r="J1995" s="9" t="str">
        <f>IFERROR(__xludf.DUMMYFUNCTION("""COMPUTED_VALUE"""),"https://www.google.com/search?newwindow=1&amp;ei=2MT0XrvGGM-vytMP1OyDgAY&amp;q=site%3Alinkedin.com+Mary+Curtis+U.S.+Campus+Recruiter+American+Express")</f>
        <v>https://www.google.com/search?newwindow=1&amp;ei=2MT0XrvGGM-vytMP1OyDgAY&amp;q=site%3Alinkedin.com+Mary+Curtis+U.S.+Campus+Recruiter+American+Express</v>
      </c>
      <c r="K1995" s="5" t="str">
        <f t="shared" si="1"/>
        <v>Mary Curtis</v>
      </c>
      <c r="L1995" s="5" t="str">
        <f t="shared" si="2"/>
        <v>U.S. Campus Recruiter</v>
      </c>
      <c r="M1995" s="5" t="str">
        <f t="shared" si="3"/>
        <v> </v>
      </c>
      <c r="N1995" s="5" t="str">
        <f t="shared" si="4"/>
        <v>American Express</v>
      </c>
      <c r="O1995" s="5" t="str">
        <f t="shared" si="5"/>
        <v>1 year 10 months in role and company</v>
      </c>
      <c r="P1995" s="5" t="str">
        <f t="shared" si="6"/>
        <v>New York</v>
      </c>
      <c r="Q1995" s="5" t="str">
        <f t="shared" si="7"/>
        <v>New York</v>
      </c>
      <c r="R1995" s="5" t="str">
        <f t="shared" si="8"/>
        <v>United States</v>
      </c>
    </row>
    <row r="1996">
      <c r="A1996" s="8" t="s">
        <v>9742</v>
      </c>
      <c r="B1996" s="10" t="s">
        <v>9743</v>
      </c>
      <c r="C1996" s="10" t="s">
        <v>4596</v>
      </c>
      <c r="D1996" s="10"/>
      <c r="E1996" s="10" t="s">
        <v>6625</v>
      </c>
      <c r="F1996" s="10" t="s">
        <v>15</v>
      </c>
      <c r="G1996" s="6" t="s">
        <v>6577</v>
      </c>
      <c r="H1996" s="11" t="s">
        <v>4757</v>
      </c>
      <c r="I1996" s="11" t="s">
        <v>4607</v>
      </c>
      <c r="J1996" s="9" t="str">
        <f>IFERROR(__xludf.DUMMYFUNCTION("""COMPUTED_VALUE"""),"https://www.google.com/search?newwindow=1&amp;ei=2MT0XrvGGM-vytMP1OyDgAY&amp;q=site%3Alinkedin.com+Caroline+Croy+Campus+Recruiter+American+Express")</f>
        <v>https://www.google.com/search?newwindow=1&amp;ei=2MT0XrvGGM-vytMP1OyDgAY&amp;q=site%3Alinkedin.com+Caroline+Croy+Campus+Recruiter+American+Express</v>
      </c>
      <c r="K1996" s="5" t="str">
        <f t="shared" si="1"/>
        <v>Caroline Croy</v>
      </c>
      <c r="L1996" s="5" t="str">
        <f t="shared" si="2"/>
        <v>Campus Recruiter</v>
      </c>
      <c r="M1996" s="5" t="str">
        <f t="shared" si="3"/>
        <v> </v>
      </c>
      <c r="N1996" s="5" t="str">
        <f t="shared" si="4"/>
        <v>American Express</v>
      </c>
      <c r="O1996" s="5" t="str">
        <f t="shared" si="5"/>
        <v>2 years 1 month in role</v>
      </c>
      <c r="P1996" s="5" t="str">
        <f t="shared" si="6"/>
        <v>New York</v>
      </c>
      <c r="Q1996" s="5" t="str">
        <f t="shared" si="7"/>
        <v>New York</v>
      </c>
      <c r="R1996" s="5" t="str">
        <f t="shared" si="8"/>
        <v>United States</v>
      </c>
    </row>
    <row r="1997">
      <c r="A1997" s="8" t="s">
        <v>9744</v>
      </c>
      <c r="B1997" s="12" t="s">
        <v>9745</v>
      </c>
      <c r="C1997" s="10" t="s">
        <v>9746</v>
      </c>
      <c r="D1997" s="10"/>
      <c r="E1997" s="10" t="s">
        <v>6303</v>
      </c>
      <c r="F1997" s="10" t="s">
        <v>4105</v>
      </c>
      <c r="G1997" s="6" t="s">
        <v>6577</v>
      </c>
      <c r="H1997" s="11" t="s">
        <v>4757</v>
      </c>
      <c r="I1997" s="11" t="s">
        <v>4607</v>
      </c>
      <c r="J1997" s="9" t="str">
        <f>IFERROR(__xludf.DUMMYFUNCTION("""COMPUTED_VALUE"""),"https://www.google.com/search?newwindow=1&amp;ei=2MT0XrvGGM-vytMP1OyDgAY&amp;q=site%3Alinkedin.com+Kameelah+White,+MBA+Senior+Campus+Recruiter-+Tech+American+Express")</f>
        <v>https://www.google.com/search?newwindow=1&amp;ei=2MT0XrvGGM-vytMP1OyDgAY&amp;q=site%3Alinkedin.com+Kameelah+White,+MBA+Senior+Campus+Recruiter-+Tech+American+Express</v>
      </c>
      <c r="K1997" s="5" t="str">
        <f t="shared" si="1"/>
        <v>Kameelah White, MBA</v>
      </c>
      <c r="L1997" s="5" t="str">
        <f t="shared" si="2"/>
        <v>Senior Campus Recruiter- Tech</v>
      </c>
      <c r="M1997" s="5" t="str">
        <f t="shared" si="3"/>
        <v> </v>
      </c>
      <c r="N1997" s="5" t="str">
        <f t="shared" si="4"/>
        <v>American Express</v>
      </c>
      <c r="O1997" s="5" t="str">
        <f t="shared" si="5"/>
        <v>7 months in role and company</v>
      </c>
      <c r="P1997" s="5" t="str">
        <f t="shared" si="6"/>
        <v>Phoenix</v>
      </c>
      <c r="Q1997" s="5" t="str">
        <f t="shared" si="7"/>
        <v>Arizona</v>
      </c>
      <c r="R1997" s="5" t="str">
        <f t="shared" si="8"/>
        <v>United States</v>
      </c>
    </row>
    <row r="1998">
      <c r="A1998" s="8" t="s">
        <v>9747</v>
      </c>
      <c r="B1998" s="10" t="s">
        <v>9748</v>
      </c>
      <c r="C1998" s="10" t="s">
        <v>5341</v>
      </c>
      <c r="D1998" s="10"/>
      <c r="E1998" s="10" t="s">
        <v>1908</v>
      </c>
      <c r="F1998" s="10"/>
      <c r="G1998" s="6" t="s">
        <v>6577</v>
      </c>
      <c r="H1998" s="11" t="s">
        <v>4757</v>
      </c>
      <c r="I1998" s="11" t="s">
        <v>4607</v>
      </c>
      <c r="J1998" s="9" t="str">
        <f>IFERROR(__xludf.DUMMYFUNCTION("""COMPUTED_VALUE"""),"https://www.google.com/search?newwindow=1&amp;ei=2MT0XrvGGM-vytMP1OyDgAY&amp;q=site%3Alinkedin.com+Naomi+Hillsman+Campus+Recruiter+American+Express")</f>
        <v>https://www.google.com/search?newwindow=1&amp;ei=2MT0XrvGGM-vytMP1OyDgAY&amp;q=site%3Alinkedin.com+Naomi+Hillsman+Campus+Recruiter+American+Express</v>
      </c>
      <c r="K1998" s="5" t="str">
        <f t="shared" si="1"/>
        <v>Naomi Hillsman</v>
      </c>
      <c r="L1998" s="5" t="str">
        <f t="shared" si="2"/>
        <v>Campus Recruiter</v>
      </c>
      <c r="M1998" s="5" t="str">
        <f t="shared" si="3"/>
        <v> </v>
      </c>
      <c r="N1998" s="5" t="str">
        <f t="shared" si="4"/>
        <v>American Express</v>
      </c>
      <c r="O1998" s="5" t="str">
        <f t="shared" si="5"/>
        <v>1 year 9 months in role and company</v>
      </c>
      <c r="P1998" s="5" t="str">
        <f t="shared" si="6"/>
        <v>Phoenix</v>
      </c>
      <c r="Q1998" s="5" t="str">
        <f t="shared" si="7"/>
        <v>Arizona</v>
      </c>
      <c r="R1998" s="5" t="str">
        <f t="shared" si="8"/>
        <v>United States</v>
      </c>
    </row>
    <row r="1999">
      <c r="A1999" s="8" t="s">
        <v>9749</v>
      </c>
      <c r="B1999" s="12" t="s">
        <v>9750</v>
      </c>
      <c r="C1999" s="10" t="s">
        <v>5054</v>
      </c>
      <c r="D1999" s="10"/>
      <c r="E1999" s="10" t="s">
        <v>9751</v>
      </c>
      <c r="F1999" s="10" t="s">
        <v>1249</v>
      </c>
      <c r="G1999" s="6" t="s">
        <v>6577</v>
      </c>
      <c r="H1999" s="11" t="s">
        <v>4757</v>
      </c>
      <c r="I1999" s="11" t="s">
        <v>4607</v>
      </c>
      <c r="J1999" s="9" t="str">
        <f>IFERROR(__xludf.DUMMYFUNCTION("""COMPUTED_VALUE"""),"https://www.google.com/search?newwindow=1&amp;ei=2MT0XrvGGM-vytMP1OyDgAY&amp;q=site%3Alinkedin.com+Gina+Willett+University+Relations+Recruiter+Apple")</f>
        <v>https://www.google.com/search?newwindow=1&amp;ei=2MT0XrvGGM-vytMP1OyDgAY&amp;q=site%3Alinkedin.com+Gina+Willett+University+Relations+Recruiter+Apple</v>
      </c>
      <c r="K1999" s="5" t="str">
        <f t="shared" si="1"/>
        <v>Gina Willett</v>
      </c>
      <c r="L1999" s="5" t="str">
        <f t="shared" si="2"/>
        <v>University Relations Recruiter</v>
      </c>
      <c r="M1999" s="5" t="str">
        <f t="shared" si="3"/>
        <v> </v>
      </c>
      <c r="N1999" s="5" t="str">
        <f t="shared" si="4"/>
        <v>Apple</v>
      </c>
      <c r="O1999" s="5" t="str">
        <f t="shared" si="5"/>
        <v>1 year 10 months in role and company</v>
      </c>
      <c r="P1999" s="5" t="str">
        <f t="shared" si="6"/>
        <v>Campbell</v>
      </c>
      <c r="Q1999" s="5" t="str">
        <f t="shared" si="7"/>
        <v>California</v>
      </c>
      <c r="R1999" s="5" t="str">
        <f t="shared" si="8"/>
        <v>United States</v>
      </c>
    </row>
    <row r="2000">
      <c r="A2000" s="8" t="s">
        <v>9752</v>
      </c>
      <c r="B2000" s="10" t="s">
        <v>9753</v>
      </c>
      <c r="C2000" s="10" t="s">
        <v>5054</v>
      </c>
      <c r="D2000" s="10"/>
      <c r="E2000" s="10" t="s">
        <v>9754</v>
      </c>
      <c r="F2000" s="10"/>
      <c r="G2000" s="6" t="s">
        <v>6577</v>
      </c>
      <c r="H2000" s="11" t="s">
        <v>4757</v>
      </c>
      <c r="I2000" s="11" t="s">
        <v>4607</v>
      </c>
      <c r="J2000" s="9" t="str">
        <f>IFERROR(__xludf.DUMMYFUNCTION("""COMPUTED_VALUE"""),"https://www.google.com/search?newwindow=1&amp;ei=2MT0XrvGGM-vytMP1OyDgAY&amp;q=site%3Alinkedin.com+Tabitha+James+AppleCare+College+Career+Experience+Recruiter+Apple")</f>
        <v>https://www.google.com/search?newwindow=1&amp;ei=2MT0XrvGGM-vytMP1OyDgAY&amp;q=site%3Alinkedin.com+Tabitha+James+AppleCare+College+Career+Experience+Recruiter+Apple</v>
      </c>
      <c r="K2000" s="5" t="str">
        <f t="shared" si="1"/>
        <v>Tabitha James</v>
      </c>
      <c r="L2000" s="5" t="str">
        <f t="shared" si="2"/>
        <v>AppleCare College Career Experience Recruiter</v>
      </c>
      <c r="M2000" s="5" t="str">
        <f t="shared" si="3"/>
        <v> </v>
      </c>
      <c r="N2000" s="5" t="str">
        <f t="shared" si="4"/>
        <v>Apple</v>
      </c>
      <c r="O2000" s="5" t="str">
        <f t="shared" si="5"/>
        <v>3 years 6 months in role</v>
      </c>
      <c r="P2000" s="5" t="str">
        <f t="shared" si="6"/>
        <v>Corona</v>
      </c>
      <c r="Q2000" s="5" t="str">
        <f t="shared" si="7"/>
        <v>California</v>
      </c>
      <c r="R2000" s="5" t="str">
        <f t="shared" si="8"/>
        <v>United States</v>
      </c>
    </row>
    <row r="2001">
      <c r="A2001" s="8" t="s">
        <v>9755</v>
      </c>
      <c r="B2001" s="10" t="s">
        <v>9756</v>
      </c>
      <c r="C2001" s="10" t="s">
        <v>9757</v>
      </c>
      <c r="D2001" s="10"/>
      <c r="E2001" s="10" t="s">
        <v>9758</v>
      </c>
      <c r="F2001" s="10" t="s">
        <v>1065</v>
      </c>
      <c r="G2001" s="6" t="s">
        <v>6577</v>
      </c>
      <c r="H2001" s="11" t="s">
        <v>4757</v>
      </c>
      <c r="I2001" s="11" t="s">
        <v>4607</v>
      </c>
      <c r="J2001" s="9" t="str">
        <f>IFERROR(__xludf.DUMMYFUNCTION("""COMPUTED_VALUE"""),"https://www.google.com/search?newwindow=1&amp;ei=2MT0XrvGGM-vytMP1OyDgAY&amp;q=site%3Alinkedin.com+Courtney+Yeager+Recruiter,+University+Relations+Apple")</f>
        <v>https://www.google.com/search?newwindow=1&amp;ei=2MT0XrvGGM-vytMP1OyDgAY&amp;q=site%3Alinkedin.com+Courtney+Yeager+Recruiter,+University+Relations+Apple</v>
      </c>
      <c r="K2001" s="5" t="str">
        <f t="shared" si="1"/>
        <v>Courtney Yeager</v>
      </c>
      <c r="L2001" s="5" t="str">
        <f t="shared" si="2"/>
        <v>Recruiter, University Relations</v>
      </c>
      <c r="M2001" s="5" t="str">
        <f t="shared" si="3"/>
        <v> </v>
      </c>
      <c r="N2001" s="5" t="str">
        <f t="shared" si="4"/>
        <v>Apple</v>
      </c>
      <c r="O2001" s="5" t="str">
        <f t="shared" si="5"/>
        <v>2 years 2 months in role and company</v>
      </c>
      <c r="P2001" s="5" t="str">
        <f t="shared" si="6"/>
        <v>Cupertino</v>
      </c>
      <c r="Q2001" s="5" t="str">
        <f t="shared" si="7"/>
        <v>California</v>
      </c>
      <c r="R2001" s="5" t="str">
        <f t="shared" si="8"/>
        <v>United States</v>
      </c>
    </row>
    <row r="2002">
      <c r="A2002" s="8" t="s">
        <v>9759</v>
      </c>
      <c r="B2002" s="10" t="s">
        <v>9760</v>
      </c>
      <c r="C2002" s="10" t="s">
        <v>5054</v>
      </c>
      <c r="D2002" s="10"/>
      <c r="E2002" s="10" t="s">
        <v>9761</v>
      </c>
      <c r="F2002" s="10"/>
      <c r="G2002" s="6" t="s">
        <v>6577</v>
      </c>
      <c r="H2002" s="11" t="s">
        <v>4757</v>
      </c>
      <c r="I2002" s="11" t="s">
        <v>4607</v>
      </c>
      <c r="J2002" s="9" t="str">
        <f>IFERROR(__xludf.DUMMYFUNCTION("""COMPUTED_VALUE"""),"https://www.google.com/search?newwindow=1&amp;ei=2MT0XrvGGM-vytMP1OyDgAY&amp;q=site%3Alinkedin.com+Heather+French+Senior+University+Recruiter+-+MBA+Recruiting+Lead+Apple")</f>
        <v>https://www.google.com/search?newwindow=1&amp;ei=2MT0XrvGGM-vytMP1OyDgAY&amp;q=site%3Alinkedin.com+Heather+French+Senior+University+Recruiter+-+MBA+Recruiting+Lead+Apple</v>
      </c>
      <c r="K2002" s="5" t="str">
        <f t="shared" si="1"/>
        <v>Heather French</v>
      </c>
      <c r="L2002" s="5" t="str">
        <f t="shared" si="2"/>
        <v>Senior University Recruiter - MBA Recruiting Lead</v>
      </c>
      <c r="M2002" s="5" t="str">
        <f t="shared" si="3"/>
        <v>MBA</v>
      </c>
      <c r="N2002" s="5" t="str">
        <f t="shared" si="4"/>
        <v>Apple</v>
      </c>
      <c r="O2002" s="5" t="str">
        <f t="shared" si="5"/>
        <v>5 years 4 months in role and company</v>
      </c>
      <c r="P2002" s="5" t="str">
        <f t="shared" si="6"/>
        <v>Cupertino</v>
      </c>
      <c r="Q2002" s="5" t="str">
        <f t="shared" si="7"/>
        <v>California</v>
      </c>
      <c r="R2002" s="5" t="str">
        <f t="shared" si="8"/>
        <v>United States</v>
      </c>
    </row>
    <row r="2003">
      <c r="A2003" s="8" t="s">
        <v>9762</v>
      </c>
      <c r="B2003" s="10" t="s">
        <v>9763</v>
      </c>
      <c r="C2003" s="10" t="s">
        <v>5054</v>
      </c>
      <c r="D2003" s="12"/>
      <c r="E2003" s="12" t="s">
        <v>9764</v>
      </c>
      <c r="F2003" s="10"/>
      <c r="G2003" s="6" t="s">
        <v>6577</v>
      </c>
      <c r="H2003" s="11" t="s">
        <v>4757</v>
      </c>
      <c r="I2003" s="11" t="s">
        <v>4607</v>
      </c>
      <c r="J2003" s="9" t="str">
        <f>IFERROR(__xludf.DUMMYFUNCTION("""COMPUTED_VALUE"""),"https://www.google.com/search?newwindow=1&amp;ei=2MT0XrvGGM-vytMP1OyDgAY&amp;q=site%3Alinkedin.com+Dianna+Chourarath+University+Relations+Recruiter+Apple")</f>
        <v>https://www.google.com/search?newwindow=1&amp;ei=2MT0XrvGGM-vytMP1OyDgAY&amp;q=site%3Alinkedin.com+Dianna+Chourarath+University+Relations+Recruiter+Apple</v>
      </c>
      <c r="K2003" s="5" t="str">
        <f t="shared" si="1"/>
        <v>Dianna Chourarath</v>
      </c>
      <c r="L2003" s="5" t="str">
        <f t="shared" si="2"/>
        <v>University Relations Recruiter</v>
      </c>
      <c r="M2003" s="5" t="str">
        <f t="shared" si="3"/>
        <v> </v>
      </c>
      <c r="N2003" s="5" t="str">
        <f t="shared" si="4"/>
        <v>Apple</v>
      </c>
      <c r="O2003" s="5" t="str">
        <f t="shared" si="5"/>
        <v>2 years  in role and company</v>
      </c>
      <c r="P2003" s="5" t="str">
        <f t="shared" si="6"/>
        <v>Cupertino</v>
      </c>
      <c r="Q2003" s="5" t="str">
        <f t="shared" si="7"/>
        <v>California</v>
      </c>
      <c r="R2003" s="5" t="str">
        <f t="shared" si="8"/>
        <v>United States</v>
      </c>
    </row>
    <row r="2004">
      <c r="A2004" s="8" t="s">
        <v>9765</v>
      </c>
      <c r="B2004" s="12" t="s">
        <v>9766</v>
      </c>
      <c r="C2004" s="10" t="s">
        <v>9767</v>
      </c>
      <c r="D2004" s="10"/>
      <c r="E2004" s="10" t="s">
        <v>7317</v>
      </c>
      <c r="F2004" s="10" t="s">
        <v>1300</v>
      </c>
      <c r="G2004" s="13" t="s">
        <v>7313</v>
      </c>
      <c r="H2004" s="11" t="s">
        <v>5736</v>
      </c>
      <c r="I2004" s="11" t="s">
        <v>4619</v>
      </c>
      <c r="J2004" s="9" t="str">
        <f>IFERROR(__xludf.DUMMYFUNCTION("""COMPUTED_VALUE"""),"https://www.google.com/search?newwindow=1&amp;ei=2MT0XrvGGM-vytMP1OyDgAY&amp;q=site%3Alinkedin.com+Greg+Emory+Tier+2+At+Home+Technical+Advisor+and+Mentor.++LSU+on+campus+recruiter+Apple")</f>
        <v>https://www.google.com/search?newwindow=1&amp;ei=2MT0XrvGGM-vytMP1OyDgAY&amp;q=site%3Alinkedin.com+Greg+Emory+Tier+2+At+Home+Technical+Advisor+and+Mentor.++LSU+on+campus+recruiter+Apple</v>
      </c>
      <c r="K2004" s="5" t="str">
        <f t="shared" si="1"/>
        <v>Greg Emory</v>
      </c>
      <c r="L2004" s="5" t="str">
        <f t="shared" si="2"/>
        <v>Tier 2 At Home Technical Advisor and Mentor.  LSU on campus recruiter</v>
      </c>
      <c r="M2004" s="5" t="str">
        <f t="shared" si="3"/>
        <v> </v>
      </c>
      <c r="N2004" s="5" t="str">
        <f t="shared" si="4"/>
        <v>Apple</v>
      </c>
      <c r="O2004" s="5" t="str">
        <f t="shared" si="5"/>
        <v>8 years 6 months in role and company</v>
      </c>
      <c r="P2004" s="5" t="str">
        <f t="shared" si="6"/>
        <v>Denham Springs</v>
      </c>
      <c r="Q2004" s="5" t="str">
        <f t="shared" si="7"/>
        <v>Louisiana</v>
      </c>
      <c r="R2004" s="5" t="str">
        <f t="shared" si="8"/>
        <v>United States</v>
      </c>
    </row>
    <row r="2005">
      <c r="A2005" s="8" t="s">
        <v>9768</v>
      </c>
      <c r="B2005" s="10" t="s">
        <v>9769</v>
      </c>
      <c r="C2005" s="10" t="s">
        <v>9770</v>
      </c>
      <c r="D2005" s="10"/>
      <c r="E2005" s="10" t="s">
        <v>5948</v>
      </c>
      <c r="F2005" s="10" t="s">
        <v>144</v>
      </c>
      <c r="G2005" s="11" t="s">
        <v>2113</v>
      </c>
      <c r="H2005" s="11" t="s">
        <v>4599</v>
      </c>
      <c r="I2005" s="11" t="s">
        <v>4600</v>
      </c>
      <c r="J2005" s="9" t="str">
        <f>IFERROR(__xludf.DUMMYFUNCTION("""COMPUTED_VALUE"""),"https://www.google.com/search?newwindow=1&amp;ei=2MT0XrvGGM-vytMP1OyDgAY&amp;q=site%3Alinkedin.com+Antonio+Salinas+University+Relations+Recruiter+Apple")</f>
        <v>https://www.google.com/search?newwindow=1&amp;ei=2MT0XrvGGM-vytMP1OyDgAY&amp;q=site%3Alinkedin.com+Antonio+Salinas+University+Relations+Recruiter+Apple</v>
      </c>
      <c r="K2005" s="5" t="str">
        <f t="shared" si="1"/>
        <v>Antonio Salinas</v>
      </c>
      <c r="L2005" s="5" t="str">
        <f t="shared" si="2"/>
        <v>University Relations Recruiter</v>
      </c>
      <c r="M2005" s="5" t="str">
        <f t="shared" si="3"/>
        <v> </v>
      </c>
      <c r="N2005" s="5" t="str">
        <f t="shared" si="4"/>
        <v>Apple</v>
      </c>
      <c r="O2005" s="5" t="str">
        <f t="shared" si="5"/>
        <v>4 years 10 months in role and company</v>
      </c>
      <c r="P2005" s="5" t="str">
        <f t="shared" si="6"/>
        <v>Houston</v>
      </c>
      <c r="Q2005" s="5" t="str">
        <f t="shared" si="7"/>
        <v>Texas</v>
      </c>
      <c r="R2005" s="5" t="str">
        <f t="shared" si="8"/>
        <v>United States</v>
      </c>
    </row>
    <row r="2006">
      <c r="A2006" s="8" t="s">
        <v>9771</v>
      </c>
      <c r="B2006" s="12" t="s">
        <v>9772</v>
      </c>
      <c r="C2006" s="10" t="s">
        <v>9773</v>
      </c>
      <c r="D2006" s="10"/>
      <c r="E2006" s="10" t="s">
        <v>4701</v>
      </c>
      <c r="F2006" s="10" t="s">
        <v>2241</v>
      </c>
      <c r="G2006" s="11" t="s">
        <v>2113</v>
      </c>
      <c r="H2006" s="11" t="s">
        <v>4599</v>
      </c>
      <c r="I2006" s="11" t="s">
        <v>4600</v>
      </c>
      <c r="J2006" s="9" t="str">
        <f>IFERROR(__xludf.DUMMYFUNCTION("""COMPUTED_VALUE"""),"https://www.google.com/search?newwindow=1&amp;ei=2MT0XrvGGM-vytMP1OyDgAY&amp;q=site%3Alinkedin.com+Darren+Nakata+Recruiter,+University+Relations+Apple")</f>
        <v>https://www.google.com/search?newwindow=1&amp;ei=2MT0XrvGGM-vytMP1OyDgAY&amp;q=site%3Alinkedin.com+Darren+Nakata+Recruiter,+University+Relations+Apple</v>
      </c>
      <c r="K2006" s="5" t="str">
        <f t="shared" si="1"/>
        <v>Darren Nakata</v>
      </c>
      <c r="L2006" s="5" t="str">
        <f t="shared" si="2"/>
        <v>Recruiter, University Relations</v>
      </c>
      <c r="M2006" s="5" t="str">
        <f t="shared" si="3"/>
        <v> </v>
      </c>
      <c r="N2006" s="5" t="str">
        <f t="shared" si="4"/>
        <v>Apple</v>
      </c>
      <c r="O2006" s="5" t="str">
        <f t="shared" si="5"/>
        <v>2 years 2 months in role and company</v>
      </c>
      <c r="P2006" s="5" t="str">
        <f t="shared" si="6"/>
        <v>Mountain View</v>
      </c>
      <c r="Q2006" s="5" t="str">
        <f t="shared" si="7"/>
        <v>California</v>
      </c>
      <c r="R2006" s="5" t="str">
        <f t="shared" si="8"/>
        <v>United States</v>
      </c>
    </row>
    <row r="2007">
      <c r="A2007" s="8" t="s">
        <v>9774</v>
      </c>
      <c r="B2007" s="10" t="s">
        <v>9775</v>
      </c>
      <c r="C2007" s="10" t="s">
        <v>9776</v>
      </c>
      <c r="D2007" s="10"/>
      <c r="E2007" s="10" t="s">
        <v>227</v>
      </c>
      <c r="F2007" s="10" t="s">
        <v>188</v>
      </c>
      <c r="G2007" s="11" t="s">
        <v>2113</v>
      </c>
      <c r="H2007" s="11" t="s">
        <v>4599</v>
      </c>
      <c r="I2007" s="11" t="s">
        <v>4600</v>
      </c>
      <c r="J2007" s="9" t="str">
        <f>IFERROR(__xludf.DUMMYFUNCTION("""COMPUTED_VALUE"""),"https://www.google.com/search?newwindow=1&amp;ei=2MT0XrvGGM-vytMP1OyDgAY&amp;q=site%3Alinkedin.com+Ina+Williams+-+ACIR+Tech+Recruiter+/+Sourcer+Apple")</f>
        <v>https://www.google.com/search?newwindow=1&amp;ei=2MT0XrvGGM-vytMP1OyDgAY&amp;q=site%3Alinkedin.com+Ina+Williams+-+ACIR+Tech+Recruiter+/+Sourcer+Apple</v>
      </c>
      <c r="K2007" s="5" t="str">
        <f t="shared" si="1"/>
        <v>Ina Williams - ACIR</v>
      </c>
      <c r="L2007" s="5" t="str">
        <f t="shared" si="2"/>
        <v>Tech Recruiter / Sourcer</v>
      </c>
      <c r="M2007" s="5" t="str">
        <f t="shared" si="3"/>
        <v> </v>
      </c>
      <c r="N2007" s="5" t="str">
        <f t="shared" si="4"/>
        <v>Apple</v>
      </c>
      <c r="O2007" s="5" t="str">
        <f t="shared" si="5"/>
        <v>2 years 9 months in role</v>
      </c>
      <c r="P2007" s="5" t="str">
        <f t="shared" si="6"/>
        <v>Mountain View</v>
      </c>
      <c r="Q2007" s="5" t="str">
        <f t="shared" si="7"/>
        <v>California</v>
      </c>
      <c r="R2007" s="5" t="str">
        <f t="shared" si="8"/>
        <v>United States</v>
      </c>
    </row>
    <row r="2008">
      <c r="A2008" s="8" t="s">
        <v>9777</v>
      </c>
      <c r="B2008" s="12" t="s">
        <v>9778</v>
      </c>
      <c r="C2008" s="10" t="s">
        <v>9779</v>
      </c>
      <c r="D2008" s="10"/>
      <c r="E2008" s="10" t="s">
        <v>5090</v>
      </c>
      <c r="F2008" s="10" t="s">
        <v>399</v>
      </c>
      <c r="G2008" s="11" t="s">
        <v>2113</v>
      </c>
      <c r="H2008" s="11" t="s">
        <v>4599</v>
      </c>
      <c r="I2008" s="11" t="s">
        <v>4600</v>
      </c>
      <c r="J2008" s="9" t="str">
        <f>IFERROR(__xludf.DUMMYFUNCTION("""COMPUTED_VALUE"""),"https://www.google.com/search?newwindow=1&amp;ei=2MT0XrvGGM-vytMP1OyDgAY&amp;q=site%3Alinkedin.com+Kayleigh+Bottini+University+Relations+R&amp;D+Recruiter+Apple")</f>
        <v>https://www.google.com/search?newwindow=1&amp;ei=2MT0XrvGGM-vytMP1OyDgAY&amp;q=site%3Alinkedin.com+Kayleigh+Bottini+University+Relations+R&amp;D+Recruiter+Apple</v>
      </c>
      <c r="K2008" s="5" t="str">
        <f t="shared" si="1"/>
        <v>Kayleigh Bottini</v>
      </c>
      <c r="L2008" s="5" t="str">
        <f t="shared" si="2"/>
        <v>University Relations R&amp;D Recruiter</v>
      </c>
      <c r="M2008" s="5" t="str">
        <f t="shared" si="3"/>
        <v> </v>
      </c>
      <c r="N2008" s="5" t="str">
        <f t="shared" si="4"/>
        <v>Apple</v>
      </c>
      <c r="O2008" s="5" t="str">
        <f t="shared" si="5"/>
        <v>9 months in role and company</v>
      </c>
      <c r="P2008" s="5" t="str">
        <f t="shared" si="6"/>
        <v>San Francisco</v>
      </c>
      <c r="Q2008" s="5" t="str">
        <f t="shared" si="7"/>
        <v>California</v>
      </c>
      <c r="R2008" s="5" t="str">
        <f t="shared" si="8"/>
        <v>United States</v>
      </c>
    </row>
    <row r="2009">
      <c r="A2009" s="8" t="s">
        <v>9780</v>
      </c>
      <c r="B2009" s="12" t="s">
        <v>9781</v>
      </c>
      <c r="C2009" s="10" t="s">
        <v>9782</v>
      </c>
      <c r="D2009" s="10"/>
      <c r="E2009" s="10" t="s">
        <v>5090</v>
      </c>
      <c r="F2009" s="10" t="s">
        <v>217</v>
      </c>
      <c r="G2009" s="11" t="s">
        <v>2113</v>
      </c>
      <c r="H2009" s="11" t="s">
        <v>4599</v>
      </c>
      <c r="I2009" s="11" t="s">
        <v>4600</v>
      </c>
      <c r="J2009" s="9" t="str">
        <f>IFERROR(__xludf.DUMMYFUNCTION("""COMPUTED_VALUE"""),"https://www.google.com/search?newwindow=1&amp;ei=2MT0XrvGGM-vytMP1OyDgAY&amp;q=site%3Alinkedin.com+Brooke+Mannelly+University+Relations+Recruiter+Apple")</f>
        <v>https://www.google.com/search?newwindow=1&amp;ei=2MT0XrvGGM-vytMP1OyDgAY&amp;q=site%3Alinkedin.com+Brooke+Mannelly+University+Relations+Recruiter+Apple</v>
      </c>
      <c r="K2009" s="5" t="str">
        <f t="shared" si="1"/>
        <v>Brooke Mannelly</v>
      </c>
      <c r="L2009" s="5" t="str">
        <f t="shared" si="2"/>
        <v>University Relations Recruiter</v>
      </c>
      <c r="M2009" s="5" t="str">
        <f t="shared" si="3"/>
        <v> </v>
      </c>
      <c r="N2009" s="5" t="str">
        <f t="shared" si="4"/>
        <v>Apple</v>
      </c>
      <c r="O2009" s="5" t="str">
        <f t="shared" si="5"/>
        <v>7 months in role and company</v>
      </c>
      <c r="P2009" s="5" t="str">
        <f t="shared" si="6"/>
        <v>San Francisco</v>
      </c>
      <c r="Q2009" s="5" t="str">
        <f t="shared" si="7"/>
        <v>California</v>
      </c>
      <c r="R2009" s="5" t="str">
        <f t="shared" si="8"/>
        <v>United States</v>
      </c>
    </row>
    <row r="2010">
      <c r="A2010" s="8" t="s">
        <v>9783</v>
      </c>
      <c r="B2010" s="10" t="s">
        <v>9784</v>
      </c>
      <c r="C2010" s="10" t="s">
        <v>9785</v>
      </c>
      <c r="D2010" s="10"/>
      <c r="E2010" s="10" t="s">
        <v>9786</v>
      </c>
      <c r="F2010" s="10" t="s">
        <v>331</v>
      </c>
      <c r="G2010" s="11" t="s">
        <v>2113</v>
      </c>
      <c r="H2010" s="11" t="s">
        <v>4599</v>
      </c>
      <c r="I2010" s="11" t="s">
        <v>4600</v>
      </c>
      <c r="J2010" s="9" t="str">
        <f>IFERROR(__xludf.DUMMYFUNCTION("""COMPUTED_VALUE"""),"https://www.google.com/search?newwindow=1&amp;ei=2MT0XrvGGM-vytMP1OyDgAY&amp;q=site%3Alinkedin.com+Nadya+Shapiro+University+Relations+Recruiter+Apple")</f>
        <v>https://www.google.com/search?newwindow=1&amp;ei=2MT0XrvGGM-vytMP1OyDgAY&amp;q=site%3Alinkedin.com+Nadya+Shapiro+University+Relations+Recruiter+Apple</v>
      </c>
      <c r="K2010" s="5" t="str">
        <f t="shared" si="1"/>
        <v>Nadya Shapiro</v>
      </c>
      <c r="L2010" s="5" t="str">
        <f t="shared" si="2"/>
        <v>University Relations Recruiter</v>
      </c>
      <c r="M2010" s="5" t="str">
        <f t="shared" si="3"/>
        <v> </v>
      </c>
      <c r="N2010" s="5" t="str">
        <f t="shared" si="4"/>
        <v>Apple</v>
      </c>
      <c r="O2010" s="5" t="str">
        <f t="shared" si="5"/>
        <v>2 years 7 months in role and company</v>
      </c>
      <c r="P2010" s="5" t="str">
        <f t="shared" si="6"/>
        <v>San Francisco</v>
      </c>
      <c r="Q2010" s="5" t="str">
        <f t="shared" si="7"/>
        <v>California</v>
      </c>
      <c r="R2010" s="5" t="str">
        <f t="shared" si="8"/>
        <v>United States</v>
      </c>
    </row>
    <row r="2011">
      <c r="A2011" s="8" t="s">
        <v>9787</v>
      </c>
      <c r="B2011" s="12" t="s">
        <v>9788</v>
      </c>
      <c r="C2011" s="10" t="s">
        <v>9789</v>
      </c>
      <c r="D2011" s="10"/>
      <c r="E2011" s="10" t="s">
        <v>5090</v>
      </c>
      <c r="F2011" s="10" t="s">
        <v>144</v>
      </c>
      <c r="G2011" s="11" t="s">
        <v>2113</v>
      </c>
      <c r="H2011" s="11" t="s">
        <v>4599</v>
      </c>
      <c r="I2011" s="11" t="s">
        <v>4600</v>
      </c>
      <c r="J2011" s="9" t="str">
        <f>IFERROR(__xludf.DUMMYFUNCTION("""COMPUTED_VALUE"""),"https://www.google.com/search?newwindow=1&amp;ei=2MT0XrvGGM-vytMP1OyDgAY&amp;q=site%3Alinkedin.com+Joanna+Mackow+University+Relations+-+R&amp;D+Recruiter+Apple")</f>
        <v>https://www.google.com/search?newwindow=1&amp;ei=2MT0XrvGGM-vytMP1OyDgAY&amp;q=site%3Alinkedin.com+Joanna+Mackow+University+Relations+-+R&amp;D+Recruiter+Apple</v>
      </c>
      <c r="K2011" s="5" t="str">
        <f t="shared" si="1"/>
        <v>Joanna Mackow</v>
      </c>
      <c r="L2011" s="5" t="str">
        <f t="shared" si="2"/>
        <v>University Relations - R&amp;D Recruiter</v>
      </c>
      <c r="M2011" s="5" t="str">
        <f t="shared" si="3"/>
        <v> </v>
      </c>
      <c r="N2011" s="5" t="str">
        <f t="shared" si="4"/>
        <v>Apple</v>
      </c>
      <c r="O2011" s="5" t="str">
        <f t="shared" si="5"/>
        <v>7 months in role and company</v>
      </c>
      <c r="P2011" s="5" t="str">
        <f t="shared" si="6"/>
        <v>San Francisco</v>
      </c>
      <c r="Q2011" s="5" t="str">
        <f t="shared" si="7"/>
        <v>California</v>
      </c>
      <c r="R2011" s="5" t="str">
        <f t="shared" si="8"/>
        <v>United States</v>
      </c>
    </row>
    <row r="2012">
      <c r="A2012" s="8" t="s">
        <v>9790</v>
      </c>
      <c r="B2012" s="12" t="s">
        <v>9791</v>
      </c>
      <c r="C2012" s="10" t="s">
        <v>9792</v>
      </c>
      <c r="D2012" s="10"/>
      <c r="E2012" s="10" t="s">
        <v>5090</v>
      </c>
      <c r="F2012" s="10" t="s">
        <v>79</v>
      </c>
      <c r="G2012" s="11" t="s">
        <v>2113</v>
      </c>
      <c r="H2012" s="11" t="s">
        <v>4599</v>
      </c>
      <c r="I2012" s="11" t="s">
        <v>4600</v>
      </c>
      <c r="J2012" s="9" t="str">
        <f>IFERROR(__xludf.DUMMYFUNCTION("""COMPUTED_VALUE"""),"https://www.google.com/search?newwindow=1&amp;ei=2MT0XrvGGM-vytMP1OyDgAY&amp;q=site%3Alinkedin.com+Woanhwa+(Winnie)+Feng+University+Relations+Recruiter+Apple")</f>
        <v>https://www.google.com/search?newwindow=1&amp;ei=2MT0XrvGGM-vytMP1OyDgAY&amp;q=site%3Alinkedin.com+Woanhwa+(Winnie)+Feng+University+Relations+Recruiter+Apple</v>
      </c>
      <c r="K2012" s="5" t="str">
        <f t="shared" si="1"/>
        <v>Woanhwa (Winnie) Feng</v>
      </c>
      <c r="L2012" s="5" t="str">
        <f t="shared" si="2"/>
        <v>University Relations Recruiter</v>
      </c>
      <c r="M2012" s="5" t="str">
        <f t="shared" si="3"/>
        <v> </v>
      </c>
      <c r="N2012" s="5" t="str">
        <f t="shared" si="4"/>
        <v>Apple</v>
      </c>
      <c r="O2012" s="5" t="str">
        <f t="shared" si="5"/>
        <v>10 months in role and company</v>
      </c>
      <c r="P2012" s="5" t="str">
        <f t="shared" si="6"/>
        <v>San Francisco</v>
      </c>
      <c r="Q2012" s="5" t="str">
        <f t="shared" si="7"/>
        <v>California</v>
      </c>
      <c r="R2012" s="5" t="str">
        <f t="shared" si="8"/>
        <v>United States</v>
      </c>
    </row>
    <row r="2013">
      <c r="A2013" s="8" t="s">
        <v>9793</v>
      </c>
      <c r="B2013" s="10" t="s">
        <v>9794</v>
      </c>
      <c r="C2013" s="10" t="s">
        <v>9795</v>
      </c>
      <c r="D2013" s="10"/>
      <c r="E2013" s="10" t="s">
        <v>9796</v>
      </c>
      <c r="F2013" s="10" t="s">
        <v>136</v>
      </c>
      <c r="G2013" s="11" t="s">
        <v>2113</v>
      </c>
      <c r="H2013" s="11" t="s">
        <v>4599</v>
      </c>
      <c r="I2013" s="11" t="s">
        <v>4600</v>
      </c>
      <c r="J2013" s="9" t="str">
        <f>IFERROR(__xludf.DUMMYFUNCTION("""COMPUTED_VALUE"""),"https://www.google.com/search?newwindow=1&amp;ei=2MT0XrvGGM-vytMP1OyDgAY&amp;q=site%3Alinkedin.com+Michelle+Glass+Sr.+Recruiter+&amp;+Global+Program+Manager,+University+Relations+Apple")</f>
        <v>https://www.google.com/search?newwindow=1&amp;ei=2MT0XrvGGM-vytMP1OyDgAY&amp;q=site%3Alinkedin.com+Michelle+Glass+Sr.+Recruiter+&amp;+Global+Program+Manager,+University+Relations+Apple</v>
      </c>
      <c r="K2013" s="5" t="str">
        <f t="shared" si="1"/>
        <v>Michelle Glass</v>
      </c>
      <c r="L2013" s="5" t="str">
        <f t="shared" si="2"/>
        <v>Sr. Recruiter &amp; Global Program Manager, University Relations</v>
      </c>
      <c r="M2013" s="5" t="str">
        <f t="shared" si="3"/>
        <v> </v>
      </c>
      <c r="N2013" s="5" t="str">
        <f t="shared" si="4"/>
        <v>Apple</v>
      </c>
      <c r="O2013" s="5" t="str">
        <f t="shared" si="5"/>
        <v>8 months in role</v>
      </c>
      <c r="P2013" s="5" t="str">
        <f t="shared" si="6"/>
        <v>San Francisco</v>
      </c>
      <c r="Q2013" s="5" t="str">
        <f t="shared" si="7"/>
        <v>California</v>
      </c>
      <c r="R2013" s="5" t="str">
        <f t="shared" si="8"/>
        <v>United States</v>
      </c>
    </row>
    <row r="2014">
      <c r="A2014" s="8" t="s">
        <v>9797</v>
      </c>
      <c r="B2014" s="10" t="s">
        <v>9798</v>
      </c>
      <c r="C2014" s="10" t="s">
        <v>9799</v>
      </c>
      <c r="D2014" s="10"/>
      <c r="E2014" s="10" t="s">
        <v>5090</v>
      </c>
      <c r="F2014" s="10" t="s">
        <v>8559</v>
      </c>
      <c r="G2014" s="11" t="s">
        <v>2113</v>
      </c>
      <c r="H2014" s="11" t="s">
        <v>4599</v>
      </c>
      <c r="I2014" s="11" t="s">
        <v>4600</v>
      </c>
      <c r="J2014" s="9" t="str">
        <f>IFERROR(__xludf.DUMMYFUNCTION("""COMPUTED_VALUE"""),"https://www.google.com/search?newwindow=1&amp;ei=2MT0XrvGGM-vytMP1OyDgAY&amp;q=site%3Alinkedin.com+Gretchen+Farr+Senior+Technical+Recruiter+-++University+Relations+-+Operations+&amp;+Software+Engineering+Apple")</f>
        <v>https://www.google.com/search?newwindow=1&amp;ei=2MT0XrvGGM-vytMP1OyDgAY&amp;q=site%3Alinkedin.com+Gretchen+Farr+Senior+Technical+Recruiter+-++University+Relations+-+Operations+&amp;+Software+Engineering+Apple</v>
      </c>
      <c r="K2014" s="5" t="str">
        <f t="shared" si="1"/>
        <v>Gretchen Farr</v>
      </c>
      <c r="L2014" s="5" t="str">
        <f t="shared" si="2"/>
        <v>Senior Technical Recruiter -  University Relations - Operations &amp; Software Engineering</v>
      </c>
      <c r="M2014" s="5" t="str">
        <f t="shared" si="3"/>
        <v> </v>
      </c>
      <c r="N2014" s="5" t="str">
        <f t="shared" si="4"/>
        <v>Apple</v>
      </c>
      <c r="O2014" s="5" t="str">
        <f t="shared" si="5"/>
        <v>6 years 7 months in role and company</v>
      </c>
      <c r="P2014" s="5" t="str">
        <f t="shared" si="6"/>
        <v>San Jose</v>
      </c>
      <c r="Q2014" s="5" t="str">
        <f t="shared" si="7"/>
        <v>California</v>
      </c>
      <c r="R2014" s="5" t="str">
        <f t="shared" si="8"/>
        <v>United States</v>
      </c>
    </row>
    <row r="2015">
      <c r="A2015" s="8" t="s">
        <v>9800</v>
      </c>
      <c r="B2015" s="10" t="s">
        <v>9801</v>
      </c>
      <c r="C2015" s="10" t="s">
        <v>9802</v>
      </c>
      <c r="D2015" s="10"/>
      <c r="E2015" s="10" t="s">
        <v>5090</v>
      </c>
      <c r="F2015" s="10" t="s">
        <v>217</v>
      </c>
      <c r="G2015" s="11" t="s">
        <v>2113</v>
      </c>
      <c r="H2015" s="11" t="s">
        <v>4599</v>
      </c>
      <c r="I2015" s="11" t="s">
        <v>4600</v>
      </c>
      <c r="J2015" s="9" t="str">
        <f>IFERROR(__xludf.DUMMYFUNCTION("""COMPUTED_VALUE"""),"https://www.google.com/search?newwindow=1&amp;ei=2MT0XrvGGM-vytMP1OyDgAY&amp;q=site%3Alinkedin.com+Cory+Johnson+University+Relations-+Software+Recruiter-+iTunes,+Core+OS,+iOS/OS+X,+Software+Engineering+Programs+Apple")</f>
        <v>https://www.google.com/search?newwindow=1&amp;ei=2MT0XrvGGM-vytMP1OyDgAY&amp;q=site%3Alinkedin.com+Cory+Johnson+University+Relations-+Software+Recruiter-+iTunes,+Core+OS,+iOS/OS+X,+Software+Engineering+Programs+Apple</v>
      </c>
      <c r="K2015" s="5" t="str">
        <f t="shared" si="1"/>
        <v>Cory Johnson</v>
      </c>
      <c r="L2015" s="5" t="str">
        <f t="shared" si="2"/>
        <v>University Relations- Software Recruiter- iTunes, Core OS, iOS/OS X, Software Engineering Programs</v>
      </c>
      <c r="M2015" s="5" t="str">
        <f t="shared" si="3"/>
        <v> </v>
      </c>
      <c r="N2015" s="5" t="str">
        <f t="shared" si="4"/>
        <v>Apple</v>
      </c>
      <c r="O2015" s="5" t="str">
        <f t="shared" si="5"/>
        <v>6 years 9 months in role</v>
      </c>
      <c r="P2015" s="5" t="str">
        <f t="shared" si="6"/>
        <v>San Jose</v>
      </c>
      <c r="Q2015" s="5" t="str">
        <f t="shared" si="7"/>
        <v>California</v>
      </c>
      <c r="R2015" s="5" t="str">
        <f t="shared" si="8"/>
        <v>United States</v>
      </c>
    </row>
    <row r="2016">
      <c r="A2016" s="8" t="s">
        <v>9803</v>
      </c>
      <c r="B2016" s="10" t="s">
        <v>9804</v>
      </c>
      <c r="C2016" s="10" t="s">
        <v>9805</v>
      </c>
      <c r="D2016" s="10"/>
      <c r="E2016" s="10" t="s">
        <v>9796</v>
      </c>
      <c r="F2016" s="10" t="s">
        <v>2544</v>
      </c>
      <c r="G2016" s="11" t="s">
        <v>2113</v>
      </c>
      <c r="H2016" s="11" t="s">
        <v>4599</v>
      </c>
      <c r="I2016" s="11" t="s">
        <v>4600</v>
      </c>
      <c r="J2016" s="9" t="str">
        <f>IFERROR(__xludf.DUMMYFUNCTION("""COMPUTED_VALUE"""),"https://www.google.com/search?newwindow=1&amp;ei=2MT0XrvGGM-vytMP1OyDgAY&amp;q=site%3Alinkedin.com+Chanelle+Yee+University+Relations+Recruiter+Apple")</f>
        <v>https://www.google.com/search?newwindow=1&amp;ei=2MT0XrvGGM-vytMP1OyDgAY&amp;q=site%3Alinkedin.com+Chanelle+Yee+University+Relations+Recruiter+Apple</v>
      </c>
      <c r="K2016" s="5" t="str">
        <f t="shared" si="1"/>
        <v>Chanelle Yee</v>
      </c>
      <c r="L2016" s="5" t="str">
        <f t="shared" si="2"/>
        <v>University Relations Recruiter</v>
      </c>
      <c r="M2016" s="5" t="str">
        <f t="shared" si="3"/>
        <v> </v>
      </c>
      <c r="N2016" s="5" t="str">
        <f t="shared" si="4"/>
        <v>Apple</v>
      </c>
      <c r="O2016" s="5" t="str">
        <f t="shared" si="5"/>
        <v>1 year 5 months in role and company</v>
      </c>
      <c r="P2016" s="5" t="str">
        <f t="shared" si="6"/>
        <v>San Jose</v>
      </c>
      <c r="Q2016" s="5" t="str">
        <f t="shared" si="7"/>
        <v>California</v>
      </c>
      <c r="R2016" s="5" t="str">
        <f t="shared" si="8"/>
        <v>United States</v>
      </c>
    </row>
    <row r="2017">
      <c r="A2017" s="8" t="s">
        <v>9806</v>
      </c>
      <c r="B2017" s="12" t="s">
        <v>9807</v>
      </c>
      <c r="C2017" s="10" t="s">
        <v>115</v>
      </c>
      <c r="D2017" s="10"/>
      <c r="E2017" s="10" t="s">
        <v>9808</v>
      </c>
      <c r="F2017" s="10" t="s">
        <v>727</v>
      </c>
      <c r="G2017" s="11" t="s">
        <v>2113</v>
      </c>
      <c r="H2017" s="11" t="s">
        <v>4599</v>
      </c>
      <c r="I2017" s="11" t="s">
        <v>4600</v>
      </c>
      <c r="J2017" s="9" t="str">
        <f>IFERROR(__xludf.DUMMYFUNCTION("""COMPUTED_VALUE"""),"https://www.google.com/search?newwindow=1&amp;ei=2MT0XrvGGM-vytMP1OyDgAY&amp;q=site%3Alinkedin.com+Stephanie+Parks+University+Relations+Recruiter+Apple")</f>
        <v>https://www.google.com/search?newwindow=1&amp;ei=2MT0XrvGGM-vytMP1OyDgAY&amp;q=site%3Alinkedin.com+Stephanie+Parks+University+Relations+Recruiter+Apple</v>
      </c>
      <c r="K2017" s="5" t="str">
        <f t="shared" si="1"/>
        <v>Stephanie Parks</v>
      </c>
      <c r="L2017" s="5" t="str">
        <f t="shared" si="2"/>
        <v>University Relations Recruiter</v>
      </c>
      <c r="M2017" s="5" t="str">
        <f t="shared" si="3"/>
        <v> </v>
      </c>
      <c r="N2017" s="5" t="str">
        <f t="shared" si="4"/>
        <v>Apple</v>
      </c>
      <c r="O2017" s="5" t="str">
        <f t="shared" si="5"/>
        <v>8 months in role and company</v>
      </c>
      <c r="P2017" s="5" t="str">
        <f t="shared" si="6"/>
        <v>Sunnyvale</v>
      </c>
      <c r="Q2017" s="5" t="str">
        <f t="shared" si="7"/>
        <v>California</v>
      </c>
      <c r="R2017" s="5" t="str">
        <f t="shared" si="8"/>
        <v>United States</v>
      </c>
    </row>
    <row r="2018">
      <c r="A2018" s="8" t="s">
        <v>9809</v>
      </c>
      <c r="B2018" s="10" t="s">
        <v>9810</v>
      </c>
      <c r="C2018" s="10" t="s">
        <v>9811</v>
      </c>
      <c r="D2018" s="10"/>
      <c r="E2018" s="10" t="s">
        <v>9812</v>
      </c>
      <c r="F2018" s="10" t="s">
        <v>100</v>
      </c>
      <c r="G2018" s="11" t="s">
        <v>2113</v>
      </c>
      <c r="H2018" s="11" t="s">
        <v>4599</v>
      </c>
      <c r="I2018" s="11" t="s">
        <v>4600</v>
      </c>
      <c r="J2018" s="9" t="str">
        <f>IFERROR(__xludf.DUMMYFUNCTION("""COMPUTED_VALUE"""),"https://www.google.com/search?newwindow=1&amp;ei=2MT0XrvGGM-vytMP1OyDgAY&amp;q=site%3Alinkedin.com+Mary+Rose+Moynihan+University+Relations+Recruiter+-+R&amp;D+Apple")</f>
        <v>https://www.google.com/search?newwindow=1&amp;ei=2MT0XrvGGM-vytMP1OyDgAY&amp;q=site%3Alinkedin.com+Mary+Rose+Moynihan+University+Relations+Recruiter+-+R&amp;D+Apple</v>
      </c>
      <c r="K2018" s="5" t="str">
        <f t="shared" si="1"/>
        <v>Mary Rose Moynihan</v>
      </c>
      <c r="L2018" s="5" t="str">
        <f t="shared" si="2"/>
        <v>University Relations Recruiter - R&amp;D</v>
      </c>
      <c r="M2018" s="5" t="str">
        <f t="shared" si="3"/>
        <v> </v>
      </c>
      <c r="N2018" s="5" t="str">
        <f t="shared" si="4"/>
        <v>Apple</v>
      </c>
      <c r="O2018" s="5" t="str">
        <f t="shared" si="5"/>
        <v>4 years 3 months in role</v>
      </c>
      <c r="P2018" s="5" t="str">
        <f t="shared" si="6"/>
        <v>Sunnyvale</v>
      </c>
      <c r="Q2018" s="5" t="str">
        <f t="shared" si="7"/>
        <v>California</v>
      </c>
      <c r="R2018" s="5" t="str">
        <f t="shared" si="8"/>
        <v>United States</v>
      </c>
    </row>
    <row r="2019">
      <c r="A2019" s="8" t="s">
        <v>9813</v>
      </c>
      <c r="B2019" s="10" t="s">
        <v>9814</v>
      </c>
      <c r="C2019" s="10" t="s">
        <v>4596</v>
      </c>
      <c r="D2019" s="10"/>
      <c r="E2019" s="10" t="s">
        <v>9815</v>
      </c>
      <c r="F2019" s="10" t="s">
        <v>399</v>
      </c>
      <c r="G2019" s="11" t="s">
        <v>2113</v>
      </c>
      <c r="H2019" s="11" t="s">
        <v>4599</v>
      </c>
      <c r="I2019" s="11" t="s">
        <v>4600</v>
      </c>
      <c r="J2019" s="9" t="str">
        <f>IFERROR(__xludf.DUMMYFUNCTION("""COMPUTED_VALUE"""),"https://www.google.com/search?newwindow=1&amp;ei=2MT0XrvGGM-vytMP1OyDgAY&amp;q=site%3Alinkedin.com+Rich+Heffernan+Sr.+College+Recruiter+AT+&amp;T")</f>
        <v>https://www.google.com/search?newwindow=1&amp;ei=2MT0XrvGGM-vytMP1OyDgAY&amp;q=site%3Alinkedin.com+Rich+Heffernan+Sr.+College+Recruiter+AT+&amp;T</v>
      </c>
      <c r="K2019" s="5" t="str">
        <f t="shared" si="1"/>
        <v>Rich Heffernan</v>
      </c>
      <c r="L2019" s="5" t="str">
        <f t="shared" si="2"/>
        <v>Sr. College Recruiter</v>
      </c>
      <c r="M2019" s="5" t="str">
        <f t="shared" si="3"/>
        <v> </v>
      </c>
      <c r="N2019" s="5" t="str">
        <f t="shared" si="4"/>
        <v>AT&amp;T</v>
      </c>
      <c r="O2019" s="5" t="str">
        <f t="shared" si="5"/>
        <v>36 years 2 months in role and company</v>
      </c>
      <c r="P2019" s="5" t="str">
        <f t="shared" si="6"/>
        <v>Los Angeles</v>
      </c>
      <c r="Q2019" s="5" t="str">
        <f t="shared" si="7"/>
        <v>California</v>
      </c>
      <c r="R2019" s="5" t="str">
        <f t="shared" si="8"/>
        <v>United States</v>
      </c>
    </row>
    <row r="2020">
      <c r="A2020" s="8" t="s">
        <v>9816</v>
      </c>
      <c r="B2020" s="12" t="s">
        <v>9817</v>
      </c>
      <c r="C2020" s="10" t="s">
        <v>9818</v>
      </c>
      <c r="D2020" s="10"/>
      <c r="E2020" s="10" t="s">
        <v>9819</v>
      </c>
      <c r="F2020" s="10" t="s">
        <v>734</v>
      </c>
      <c r="G2020" s="11" t="s">
        <v>2113</v>
      </c>
      <c r="H2020" s="11" t="s">
        <v>4599</v>
      </c>
      <c r="I2020" s="11" t="s">
        <v>4600</v>
      </c>
      <c r="J2020" s="9" t="str">
        <f>IFERROR(__xludf.DUMMYFUNCTION("""COMPUTED_VALUE"""),"https://www.google.com/search?newwindow=1&amp;ei=2MT0XrvGGM-vytMP1OyDgAY&amp;q=site%3Alinkedin.com+Ashley+Rich+College+Recruiter+AT&amp;T")</f>
        <v>https://www.google.com/search?newwindow=1&amp;ei=2MT0XrvGGM-vytMP1OyDgAY&amp;q=site%3Alinkedin.com+Ashley+Rich+College+Recruiter+AT&amp;T</v>
      </c>
      <c r="K2020" s="5" t="str">
        <f t="shared" si="1"/>
        <v>Ashley Rich</v>
      </c>
      <c r="L2020" s="5" t="str">
        <f t="shared" si="2"/>
        <v>College Recruiter</v>
      </c>
      <c r="M2020" s="5" t="str">
        <f t="shared" si="3"/>
        <v> </v>
      </c>
      <c r="N2020" s="5" t="str">
        <f t="shared" si="4"/>
        <v>AT&amp;T</v>
      </c>
      <c r="O2020" s="5" t="str">
        <f t="shared" si="5"/>
        <v>1 year 9 months in role and company</v>
      </c>
      <c r="P2020" s="5" t="str">
        <f t="shared" si="6"/>
        <v>Dallas</v>
      </c>
      <c r="Q2020" s="5" t="str">
        <f t="shared" si="7"/>
        <v>Texas</v>
      </c>
      <c r="R2020" s="5" t="str">
        <f t="shared" si="8"/>
        <v>United States</v>
      </c>
    </row>
    <row r="2021">
      <c r="A2021" s="8" t="s">
        <v>9820</v>
      </c>
      <c r="B2021" s="10" t="s">
        <v>9821</v>
      </c>
      <c r="C2021" s="10" t="s">
        <v>9822</v>
      </c>
      <c r="D2021" s="10"/>
      <c r="E2021" s="10" t="s">
        <v>9823</v>
      </c>
      <c r="F2021" s="10" t="s">
        <v>22</v>
      </c>
      <c r="G2021" s="11" t="s">
        <v>2113</v>
      </c>
      <c r="H2021" s="11" t="s">
        <v>4599</v>
      </c>
      <c r="I2021" s="11" t="s">
        <v>4600</v>
      </c>
      <c r="J2021" s="9" t="str">
        <f>IFERROR(__xludf.DUMMYFUNCTION("""COMPUTED_VALUE"""),"https://www.google.com/search?newwindow=1&amp;ei=2MT0XrvGGM-vytMP1OyDgAY&amp;q=site%3Alinkedin.com+Claudia+Willis+Lead+College+Recruiter+AT&amp;T")</f>
        <v>https://www.google.com/search?newwindow=1&amp;ei=2MT0XrvGGM-vytMP1OyDgAY&amp;q=site%3Alinkedin.com+Claudia+Willis+Lead+College+Recruiter+AT&amp;T</v>
      </c>
      <c r="K2021" s="5" t="str">
        <f t="shared" si="1"/>
        <v>Claudia Willis</v>
      </c>
      <c r="L2021" s="5" t="str">
        <f t="shared" si="2"/>
        <v>Lead College Recruiter</v>
      </c>
      <c r="M2021" s="5" t="str">
        <f t="shared" si="3"/>
        <v> </v>
      </c>
      <c r="N2021" s="5" t="str">
        <f t="shared" si="4"/>
        <v>AT&amp;T</v>
      </c>
      <c r="O2021" s="5" t="str">
        <f t="shared" si="5"/>
        <v>7 years 10 months in role</v>
      </c>
      <c r="P2021" s="5" t="str">
        <f t="shared" si="6"/>
        <v>San Ramon</v>
      </c>
      <c r="Q2021" s="5" t="str">
        <f t="shared" si="7"/>
        <v>California</v>
      </c>
      <c r="R2021" s="5" t="str">
        <f t="shared" si="8"/>
        <v>United States</v>
      </c>
    </row>
    <row r="2022">
      <c r="A2022" s="8" t="s">
        <v>9824</v>
      </c>
      <c r="B2022" s="12" t="s">
        <v>9825</v>
      </c>
      <c r="C2022" s="10" t="s">
        <v>9826</v>
      </c>
      <c r="D2022" s="10"/>
      <c r="E2022" s="10" t="s">
        <v>5090</v>
      </c>
      <c r="F2022" s="10" t="s">
        <v>1950</v>
      </c>
      <c r="G2022" s="11" t="s">
        <v>2113</v>
      </c>
      <c r="H2022" s="11" t="s">
        <v>4599</v>
      </c>
      <c r="I2022" s="11" t="s">
        <v>4600</v>
      </c>
      <c r="J2022" s="9" t="str">
        <f>IFERROR(__xludf.DUMMYFUNCTION("""COMPUTED_VALUE"""),"https://www.google.com/search?newwindow=1&amp;ei=2MT0XrvGGM-vytMP1OyDgAY&amp;q=site%3Alinkedin.com+Keiyana+Arnold+Lead+College+Recruiter+AT&amp;T")</f>
        <v>https://www.google.com/search?newwindow=1&amp;ei=2MT0XrvGGM-vytMP1OyDgAY&amp;q=site%3Alinkedin.com+Keiyana+Arnold+Lead+College+Recruiter+AT&amp;T</v>
      </c>
      <c r="K2022" s="5" t="str">
        <f t="shared" si="1"/>
        <v>Keiyana Arnold</v>
      </c>
      <c r="L2022" s="5" t="str">
        <f t="shared" si="2"/>
        <v>Lead College Recruiter</v>
      </c>
      <c r="M2022" s="5" t="str">
        <f t="shared" si="3"/>
        <v> </v>
      </c>
      <c r="N2022" s="5" t="str">
        <f t="shared" si="4"/>
        <v>AT&amp;T</v>
      </c>
      <c r="O2022" s="5" t="str">
        <f t="shared" si="5"/>
        <v>6 years 3 months in role and company</v>
      </c>
      <c r="P2022" s="5" t="str">
        <f t="shared" si="6"/>
        <v>San Ramon</v>
      </c>
      <c r="Q2022" s="5" t="str">
        <f t="shared" si="7"/>
        <v>California</v>
      </c>
      <c r="R2022" s="5" t="str">
        <f t="shared" si="8"/>
        <v>United States</v>
      </c>
    </row>
    <row r="2023">
      <c r="A2023" s="8" t="s">
        <v>9827</v>
      </c>
      <c r="B2023" s="10" t="s">
        <v>9828</v>
      </c>
      <c r="C2023" s="10" t="s">
        <v>9829</v>
      </c>
      <c r="D2023" s="10"/>
      <c r="E2023" s="10" t="s">
        <v>9830</v>
      </c>
      <c r="F2023" s="10" t="s">
        <v>9401</v>
      </c>
      <c r="G2023" s="11" t="s">
        <v>2113</v>
      </c>
      <c r="H2023" s="11" t="s">
        <v>4599</v>
      </c>
      <c r="I2023" s="11" t="s">
        <v>4600</v>
      </c>
      <c r="J2023" s="9" t="str">
        <f>IFERROR(__xludf.DUMMYFUNCTION("""COMPUTED_VALUE"""),"https://www.google.com/search?newwindow=1&amp;ei=2MT0XrvGGM-vytMP1OyDgAY&amp;q=site%3Alinkedin.com+Brian+Poznanski+Officer-+Campus+Recruiter+Bank+of+America")</f>
        <v>https://www.google.com/search?newwindow=1&amp;ei=2MT0XrvGGM-vytMP1OyDgAY&amp;q=site%3Alinkedin.com+Brian+Poznanski+Officer-+Campus+Recruiter+Bank+of+America</v>
      </c>
      <c r="K2023" s="5" t="str">
        <f t="shared" si="1"/>
        <v>Brian Poznanski</v>
      </c>
      <c r="L2023" s="5" t="str">
        <f t="shared" si="2"/>
        <v>Officer- Campus Recruiter</v>
      </c>
      <c r="M2023" s="5" t="str">
        <f t="shared" si="3"/>
        <v> </v>
      </c>
      <c r="N2023" s="5" t="str">
        <f t="shared" si="4"/>
        <v>Bank of America</v>
      </c>
      <c r="O2023" s="5" t="str">
        <f t="shared" si="5"/>
        <v>1 year 2 months in role and company</v>
      </c>
      <c r="P2023" s="5" t="str">
        <f t="shared" si="6"/>
        <v>Boston</v>
      </c>
      <c r="Q2023" s="5" t="str">
        <f t="shared" si="7"/>
        <v>Massachusetts</v>
      </c>
      <c r="R2023" s="5" t="str">
        <f t="shared" si="8"/>
        <v>United States</v>
      </c>
    </row>
    <row r="2024">
      <c r="A2024" s="8" t="s">
        <v>9831</v>
      </c>
      <c r="B2024" s="10" t="s">
        <v>9832</v>
      </c>
      <c r="C2024" s="10" t="s">
        <v>4596</v>
      </c>
      <c r="D2024" s="10"/>
      <c r="E2024" s="10" t="s">
        <v>9833</v>
      </c>
      <c r="F2024" s="10" t="s">
        <v>9016</v>
      </c>
      <c r="G2024" s="11" t="s">
        <v>2113</v>
      </c>
      <c r="H2024" s="11" t="s">
        <v>4599</v>
      </c>
      <c r="I2024" s="11" t="s">
        <v>4600</v>
      </c>
      <c r="J2024" s="9" t="str">
        <f>IFERROR(__xludf.DUMMYFUNCTION("""COMPUTED_VALUE"""),"https://www.google.com/search?newwindow=1&amp;ei=2MT0XrvGGM-vytMP1OyDgAY&amp;q=site%3Alinkedin.com+Rachel+Johnson+Assistant+Vice+President;+University+Relations+Recruiter+Bank+of+America")</f>
        <v>https://www.google.com/search?newwindow=1&amp;ei=2MT0XrvGGM-vytMP1OyDgAY&amp;q=site%3Alinkedin.com+Rachel+Johnson+Assistant+Vice+President;+University+Relations+Recruiter+Bank+of+America</v>
      </c>
      <c r="K2024" s="5" t="str">
        <f t="shared" si="1"/>
        <v>Rachel Johnson</v>
      </c>
      <c r="L2024" s="5" t="str">
        <f t="shared" si="2"/>
        <v>Assistant Vice President; University Relations Recruiter</v>
      </c>
      <c r="M2024" s="5" t="str">
        <f t="shared" si="3"/>
        <v> </v>
      </c>
      <c r="N2024" s="5" t="str">
        <f t="shared" si="4"/>
        <v>Bank of America</v>
      </c>
      <c r="O2024" s="5" t="str">
        <f t="shared" si="5"/>
        <v>9 months in role</v>
      </c>
      <c r="P2024" s="5" t="str">
        <f t="shared" si="6"/>
        <v>Charlotte</v>
      </c>
      <c r="Q2024" s="5" t="str">
        <f t="shared" si="7"/>
        <v>North Carolina</v>
      </c>
      <c r="R2024" s="5" t="str">
        <f t="shared" si="8"/>
        <v>United States</v>
      </c>
    </row>
    <row r="2025">
      <c r="A2025" s="8" t="s">
        <v>9834</v>
      </c>
      <c r="B2025" s="10" t="s">
        <v>9835</v>
      </c>
      <c r="C2025" s="10" t="s">
        <v>9836</v>
      </c>
      <c r="D2025" s="10"/>
      <c r="E2025" s="10" t="s">
        <v>5132</v>
      </c>
      <c r="F2025" s="10" t="s">
        <v>9837</v>
      </c>
      <c r="G2025" s="11" t="s">
        <v>2113</v>
      </c>
      <c r="H2025" s="11" t="s">
        <v>4599</v>
      </c>
      <c r="I2025" s="11" t="s">
        <v>4600</v>
      </c>
      <c r="J2025" s="9" t="str">
        <f>IFERROR(__xludf.DUMMYFUNCTION("""COMPUTED_VALUE"""),"https://www.google.com/search?newwindow=1&amp;ei=2MT0XrvGGM-vytMP1OyDgAY&amp;q=site%3Alinkedin.com+Abigail+Roberson+AVP,+University+Relations+Campus+Recruiter+Bank+of+America")</f>
        <v>https://www.google.com/search?newwindow=1&amp;ei=2MT0XrvGGM-vytMP1OyDgAY&amp;q=site%3Alinkedin.com+Abigail+Roberson+AVP,+University+Relations+Campus+Recruiter+Bank+of+America</v>
      </c>
      <c r="K2025" s="5" t="str">
        <f t="shared" si="1"/>
        <v>Abigail Roberson</v>
      </c>
      <c r="L2025" s="5" t="str">
        <f t="shared" si="2"/>
        <v>AVP, University Relations Campus Recruiter</v>
      </c>
      <c r="M2025" s="5" t="str">
        <f t="shared" si="3"/>
        <v> </v>
      </c>
      <c r="N2025" s="5" t="str">
        <f t="shared" si="4"/>
        <v>Bank of America</v>
      </c>
      <c r="O2025" s="5" t="str">
        <f t="shared" si="5"/>
        <v>2 years 11 months in role and company</v>
      </c>
      <c r="P2025" s="5" t="str">
        <f t="shared" si="6"/>
        <v>Charlotte</v>
      </c>
      <c r="Q2025" s="5" t="str">
        <f t="shared" si="7"/>
        <v>North Carolina</v>
      </c>
      <c r="R2025" s="5" t="str">
        <f t="shared" si="8"/>
        <v>United States</v>
      </c>
    </row>
    <row r="2026">
      <c r="A2026" s="8" t="s">
        <v>9838</v>
      </c>
      <c r="B2026" s="12" t="s">
        <v>9839</v>
      </c>
      <c r="C2026" s="10" t="s">
        <v>9840</v>
      </c>
      <c r="D2026" s="10"/>
      <c r="E2026" s="10" t="s">
        <v>9841</v>
      </c>
      <c r="F2026" s="10" t="s">
        <v>365</v>
      </c>
      <c r="G2026" s="11" t="s">
        <v>2113</v>
      </c>
      <c r="H2026" s="11" t="s">
        <v>4599</v>
      </c>
      <c r="I2026" s="11" t="s">
        <v>4600</v>
      </c>
      <c r="J2026" s="9" t="str">
        <f>IFERROR(__xludf.DUMMYFUNCTION("""COMPUTED_VALUE"""),"https://www.google.com/search?newwindow=1&amp;ei=2MT0XrvGGM-vytMP1OyDgAY&amp;q=site%3Alinkedin.com+Alexander+Watkins,+MBA+Campus+Recruiter+&amp;+Program+Manager+(Global+Technology+&amp;+Operations)+Bank+of+America")</f>
        <v>https://www.google.com/search?newwindow=1&amp;ei=2MT0XrvGGM-vytMP1OyDgAY&amp;q=site%3Alinkedin.com+Alexander+Watkins,+MBA+Campus+Recruiter+&amp;+Program+Manager+(Global+Technology+&amp;+Operations)+Bank+of+America</v>
      </c>
      <c r="K2026" s="5" t="str">
        <f t="shared" si="1"/>
        <v>Alexander Watkins, MBA</v>
      </c>
      <c r="L2026" s="5" t="str">
        <f t="shared" si="2"/>
        <v>Campus Recruiter &amp; Program Manager (Global Technology &amp; Operations)</v>
      </c>
      <c r="M2026" s="5" t="str">
        <f t="shared" si="3"/>
        <v> </v>
      </c>
      <c r="N2026" s="5" t="str">
        <f t="shared" si="4"/>
        <v>Bank of America</v>
      </c>
      <c r="O2026" s="5" t="str">
        <f t="shared" si="5"/>
        <v>11 months in role and company</v>
      </c>
      <c r="P2026" s="5" t="str">
        <f t="shared" si="6"/>
        <v>Charlotte</v>
      </c>
      <c r="Q2026" s="5" t="str">
        <f t="shared" si="7"/>
        <v>North Carolina</v>
      </c>
      <c r="R2026" s="5" t="str">
        <f t="shared" si="8"/>
        <v>United States</v>
      </c>
    </row>
    <row r="2027">
      <c r="A2027" s="8" t="s">
        <v>9842</v>
      </c>
      <c r="B2027" s="10" t="s">
        <v>9843</v>
      </c>
      <c r="C2027" s="10" t="s">
        <v>5072</v>
      </c>
      <c r="D2027" s="12"/>
      <c r="E2027" s="12" t="s">
        <v>9844</v>
      </c>
      <c r="F2027" s="10"/>
      <c r="G2027" s="11" t="s">
        <v>2113</v>
      </c>
      <c r="H2027" s="11" t="s">
        <v>4599</v>
      </c>
      <c r="I2027" s="11" t="s">
        <v>4600</v>
      </c>
      <c r="J2027" s="9" t="str">
        <f>IFERROR(__xludf.DUMMYFUNCTION("""COMPUTED_VALUE"""),"https://www.google.com/search?newwindow=1&amp;ei=2MT0XrvGGM-vytMP1OyDgAY&amp;q=site%3Alinkedin.com+Vanessa+Sterling+Campus+Recruiter+Bank+of+America")</f>
        <v>https://www.google.com/search?newwindow=1&amp;ei=2MT0XrvGGM-vytMP1OyDgAY&amp;q=site%3Alinkedin.com+Vanessa+Sterling+Campus+Recruiter+Bank+of+America</v>
      </c>
      <c r="K2027" s="5" t="str">
        <f t="shared" si="1"/>
        <v>Vanessa Sterling</v>
      </c>
      <c r="L2027" s="5" t="str">
        <f t="shared" si="2"/>
        <v>Campus Recruiter</v>
      </c>
      <c r="M2027" s="5" t="str">
        <f t="shared" si="3"/>
        <v> </v>
      </c>
      <c r="N2027" s="5" t="str">
        <f t="shared" si="4"/>
        <v>Bank of America</v>
      </c>
      <c r="O2027" s="5" t="str">
        <f t="shared" si="5"/>
        <v>2 years 7 months in role and company</v>
      </c>
      <c r="P2027" s="5" t="str">
        <f t="shared" si="6"/>
        <v>Charlotte</v>
      </c>
      <c r="Q2027" s="5" t="str">
        <f t="shared" si="7"/>
        <v>North Carolina</v>
      </c>
      <c r="R2027" s="5" t="str">
        <f t="shared" si="8"/>
        <v>United States</v>
      </c>
    </row>
    <row r="2028">
      <c r="A2028" s="8" t="s">
        <v>9845</v>
      </c>
      <c r="B2028" s="10" t="s">
        <v>9846</v>
      </c>
      <c r="C2028" s="10" t="s">
        <v>9847</v>
      </c>
      <c r="D2028" s="10"/>
      <c r="E2028" s="10" t="s">
        <v>9848</v>
      </c>
      <c r="F2028" s="10" t="s">
        <v>9849</v>
      </c>
      <c r="G2028" s="11" t="s">
        <v>2113</v>
      </c>
      <c r="H2028" s="11" t="s">
        <v>4599</v>
      </c>
      <c r="I2028" s="11" t="s">
        <v>4600</v>
      </c>
      <c r="J2028" s="9" t="str">
        <f>IFERROR(__xludf.DUMMYFUNCTION("""COMPUTED_VALUE"""),"https://www.google.com/search?newwindow=1&amp;ei=2MT0XrvGGM-vytMP1OyDgAY&amp;q=site%3Alinkedin.com+Jamie+Wright+Campus+Recruiter+-+CFO+Group+Bank+of+America")</f>
        <v>https://www.google.com/search?newwindow=1&amp;ei=2MT0XrvGGM-vytMP1OyDgAY&amp;q=site%3Alinkedin.com+Jamie+Wright+Campus+Recruiter+-+CFO+Group+Bank+of+America</v>
      </c>
      <c r="K2028" s="5" t="str">
        <f t="shared" si="1"/>
        <v>Jamie Wright</v>
      </c>
      <c r="L2028" s="5" t="str">
        <f t="shared" si="2"/>
        <v>Campus Recruiter - CFO Group</v>
      </c>
      <c r="M2028" s="5" t="str">
        <f t="shared" si="3"/>
        <v> </v>
      </c>
      <c r="N2028" s="5" t="str">
        <f t="shared" si="4"/>
        <v>Bank of America</v>
      </c>
      <c r="O2028" s="5" t="str">
        <f t="shared" si="5"/>
        <v>7 months in role and company</v>
      </c>
      <c r="P2028" s="5" t="str">
        <f t="shared" si="6"/>
        <v>Charlotte</v>
      </c>
      <c r="Q2028" s="5" t="str">
        <f t="shared" si="7"/>
        <v>North Carolina</v>
      </c>
      <c r="R2028" s="5" t="str">
        <f t="shared" si="8"/>
        <v>United States</v>
      </c>
    </row>
    <row r="2029">
      <c r="A2029" s="8" t="s">
        <v>9768</v>
      </c>
      <c r="B2029" s="10" t="s">
        <v>9769</v>
      </c>
      <c r="C2029" s="10" t="s">
        <v>9770</v>
      </c>
      <c r="D2029" s="10"/>
      <c r="E2029" s="10" t="s">
        <v>5948</v>
      </c>
      <c r="F2029" s="10" t="s">
        <v>144</v>
      </c>
      <c r="G2029" s="11" t="s">
        <v>2113</v>
      </c>
      <c r="H2029" s="11" t="s">
        <v>4599</v>
      </c>
      <c r="I2029" s="11" t="s">
        <v>4600</v>
      </c>
      <c r="J2029" s="9" t="str">
        <f>IFERROR(__xludf.DUMMYFUNCTION("""COMPUTED_VALUE"""),"https://www.google.com/search?newwindow=1&amp;ei=2MT0XrvGGM-vytMP1OyDgAY&amp;q=site%3Alinkedin.com+Mary+Cameron+Grice+Assistant+Vice+President,+Campus+Recruiter+Bank+of+America")</f>
        <v>https://www.google.com/search?newwindow=1&amp;ei=2MT0XrvGGM-vytMP1OyDgAY&amp;q=site%3Alinkedin.com+Mary+Cameron+Grice+Assistant+Vice+President,+Campus+Recruiter+Bank+of+America</v>
      </c>
      <c r="K2029" s="5" t="str">
        <f t="shared" si="1"/>
        <v>Mary Cameron Grice</v>
      </c>
      <c r="L2029" s="5" t="str">
        <f t="shared" si="2"/>
        <v>Assistant Vice President, Campus Recruiter</v>
      </c>
      <c r="M2029" s="5" t="str">
        <f t="shared" si="3"/>
        <v> </v>
      </c>
      <c r="N2029" s="5" t="str">
        <f t="shared" si="4"/>
        <v>Bank of America</v>
      </c>
      <c r="O2029" s="5" t="str">
        <f t="shared" si="5"/>
        <v>10 months in role</v>
      </c>
      <c r="P2029" s="5" t="str">
        <f t="shared" si="6"/>
        <v>Charlotte</v>
      </c>
      <c r="Q2029" s="5" t="str">
        <f t="shared" si="7"/>
        <v>North Carolina</v>
      </c>
      <c r="R2029" s="5" t="str">
        <f t="shared" si="8"/>
        <v>United States</v>
      </c>
    </row>
    <row r="2030">
      <c r="A2030" s="8" t="s">
        <v>9771</v>
      </c>
      <c r="B2030" s="12" t="s">
        <v>9772</v>
      </c>
      <c r="C2030" s="10" t="s">
        <v>9773</v>
      </c>
      <c r="D2030" s="10"/>
      <c r="E2030" s="10" t="s">
        <v>4701</v>
      </c>
      <c r="F2030" s="10" t="s">
        <v>2241</v>
      </c>
      <c r="G2030" s="11" t="s">
        <v>2113</v>
      </c>
      <c r="H2030" s="11" t="s">
        <v>4599</v>
      </c>
      <c r="I2030" s="11" t="s">
        <v>4600</v>
      </c>
      <c r="J2030" s="9" t="str">
        <f>IFERROR(__xludf.DUMMYFUNCTION("""COMPUTED_VALUE"""),"https://www.google.com/search?newwindow=1&amp;ei=2MT0XrvGGM-vytMP1OyDgAY&amp;q=site%3Alinkedin.com+Jessie+Fredrickson+Campus+Recruiter+&amp;+Program+Manager+Bank+of+America")</f>
        <v>https://www.google.com/search?newwindow=1&amp;ei=2MT0XrvGGM-vytMP1OyDgAY&amp;q=site%3Alinkedin.com+Jessie+Fredrickson+Campus+Recruiter+&amp;+Program+Manager+Bank+of+America</v>
      </c>
      <c r="K2030" s="5" t="str">
        <f t="shared" si="1"/>
        <v>Jessie Fredrickson</v>
      </c>
      <c r="L2030" s="5" t="str">
        <f t="shared" si="2"/>
        <v>Campus Recruiter &amp; Program Manager</v>
      </c>
      <c r="M2030" s="5" t="str">
        <f t="shared" si="3"/>
        <v> </v>
      </c>
      <c r="N2030" s="5" t="str">
        <f t="shared" si="4"/>
        <v>Bank of America</v>
      </c>
      <c r="O2030" s="5" t="str">
        <f t="shared" si="5"/>
        <v>1 year 2 months in role and company</v>
      </c>
      <c r="P2030" s="5" t="str">
        <f t="shared" si="6"/>
        <v>Charlotte</v>
      </c>
      <c r="Q2030" s="5" t="str">
        <f t="shared" si="7"/>
        <v>North Carolina</v>
      </c>
      <c r="R2030" s="5" t="str">
        <f t="shared" si="8"/>
        <v>United States</v>
      </c>
    </row>
    <row r="2031">
      <c r="A2031" s="8" t="s">
        <v>9774</v>
      </c>
      <c r="B2031" s="10" t="s">
        <v>9775</v>
      </c>
      <c r="C2031" s="10" t="s">
        <v>9776</v>
      </c>
      <c r="D2031" s="10"/>
      <c r="E2031" s="10" t="s">
        <v>227</v>
      </c>
      <c r="F2031" s="10" t="s">
        <v>188</v>
      </c>
      <c r="G2031" s="11" t="s">
        <v>2113</v>
      </c>
      <c r="H2031" s="11" t="s">
        <v>4599</v>
      </c>
      <c r="I2031" s="11" t="s">
        <v>4600</v>
      </c>
      <c r="J2031" s="9" t="str">
        <f>IFERROR(__xludf.DUMMYFUNCTION("""COMPUTED_VALUE"""),"https://www.google.com/search?newwindow=1&amp;ei=2MT0XrvGGM-vytMP1OyDgAY&amp;q=site%3Alinkedin.com+Amelie+Speer+Campus+Recruiter+&amp;+Intern+Program+Manager+Bank+of+America")</f>
        <v>https://www.google.com/search?newwindow=1&amp;ei=2MT0XrvGGM-vytMP1OyDgAY&amp;q=site%3Alinkedin.com+Amelie+Speer+Campus+Recruiter+&amp;+Intern+Program+Manager+Bank+of+America</v>
      </c>
      <c r="K2031" s="5" t="str">
        <f t="shared" si="1"/>
        <v>Amelie Speer</v>
      </c>
      <c r="L2031" s="5" t="str">
        <f t="shared" si="2"/>
        <v>Campus Recruiter &amp; Intern Program Manager</v>
      </c>
      <c r="M2031" s="5" t="str">
        <f t="shared" si="3"/>
        <v> </v>
      </c>
      <c r="N2031" s="5" t="str">
        <f t="shared" si="4"/>
        <v>Bank of America</v>
      </c>
      <c r="O2031" s="5" t="str">
        <f t="shared" si="5"/>
        <v>1 year 3 months in role and company</v>
      </c>
      <c r="P2031" s="5" t="str">
        <f t="shared" si="6"/>
        <v>Charlotte</v>
      </c>
      <c r="Q2031" s="5" t="str">
        <f t="shared" si="7"/>
        <v>North Carolina</v>
      </c>
      <c r="R2031" s="5" t="str">
        <f t="shared" si="8"/>
        <v>United States</v>
      </c>
    </row>
    <row r="2032">
      <c r="A2032" s="8" t="s">
        <v>9777</v>
      </c>
      <c r="B2032" s="12" t="s">
        <v>9778</v>
      </c>
      <c r="C2032" s="10" t="s">
        <v>9779</v>
      </c>
      <c r="D2032" s="10"/>
      <c r="E2032" s="10" t="s">
        <v>5090</v>
      </c>
      <c r="F2032" s="10" t="s">
        <v>399</v>
      </c>
      <c r="G2032" s="11" t="s">
        <v>2113</v>
      </c>
      <c r="H2032" s="11" t="s">
        <v>4599</v>
      </c>
      <c r="I2032" s="11" t="s">
        <v>4600</v>
      </c>
      <c r="J2032" s="9" t="str">
        <f>IFERROR(__xludf.DUMMYFUNCTION("""COMPUTED_VALUE"""),"https://www.google.com/search?newwindow=1&amp;ei=2MT0XrvGGM-vytMP1OyDgAY&amp;q=site%3Alinkedin.com+Rachel+Johnson+Assistant+Vice+President,+Program+Manager+&amp;+Campus+Recruiter+Bank+of+America")</f>
        <v>https://www.google.com/search?newwindow=1&amp;ei=2MT0XrvGGM-vytMP1OyDgAY&amp;q=site%3Alinkedin.com+Rachel+Johnson+Assistant+Vice+President,+Program+Manager+&amp;+Campus+Recruiter+Bank+of+America</v>
      </c>
      <c r="K2032" s="5" t="str">
        <f t="shared" si="1"/>
        <v>Rachel Johnson</v>
      </c>
      <c r="L2032" s="5" t="str">
        <f t="shared" si="2"/>
        <v>Assistant Vice President, Program Manager &amp; Campus Recruiter</v>
      </c>
      <c r="M2032" s="5" t="str">
        <f t="shared" si="3"/>
        <v> </v>
      </c>
      <c r="N2032" s="5" t="str">
        <f t="shared" si="4"/>
        <v>Bank of America</v>
      </c>
      <c r="O2032" s="5" t="str">
        <f t="shared" si="5"/>
        <v>1 year 10 months in role</v>
      </c>
      <c r="P2032" s="5" t="str">
        <f t="shared" si="6"/>
        <v>Charlotte</v>
      </c>
      <c r="Q2032" s="5" t="str">
        <f t="shared" si="7"/>
        <v>North Carolina</v>
      </c>
      <c r="R2032" s="5" t="str">
        <f t="shared" si="8"/>
        <v>United States</v>
      </c>
    </row>
    <row r="2033">
      <c r="A2033" s="8" t="s">
        <v>9850</v>
      </c>
      <c r="B2033" s="10" t="s">
        <v>9851</v>
      </c>
      <c r="C2033" s="10" t="s">
        <v>9852</v>
      </c>
      <c r="D2033" s="10"/>
      <c r="E2033" s="10" t="s">
        <v>5090</v>
      </c>
      <c r="F2033" s="10" t="s">
        <v>60</v>
      </c>
      <c r="G2033" s="11" t="s">
        <v>2113</v>
      </c>
      <c r="H2033" s="11" t="s">
        <v>4599</v>
      </c>
      <c r="I2033" s="11" t="s">
        <v>4600</v>
      </c>
      <c r="J2033" s="9" t="str">
        <f>IFERROR(__xludf.DUMMYFUNCTION("""COMPUTED_VALUE"""),"https://www.google.com/search?newwindow=1&amp;ei=2MT0XrvGGM-vytMP1OyDgAY&amp;q=site%3Alinkedin.com+Dwayne+Brown+Diversity+Campus+Recruiter+Bank+of+America")</f>
        <v>https://www.google.com/search?newwindow=1&amp;ei=2MT0XrvGGM-vytMP1OyDgAY&amp;q=site%3Alinkedin.com+Dwayne+Brown+Diversity+Campus+Recruiter+Bank+of+America</v>
      </c>
      <c r="K2033" s="5" t="str">
        <f t="shared" si="1"/>
        <v>Dwayne Brown</v>
      </c>
      <c r="L2033" s="5" t="str">
        <f t="shared" si="2"/>
        <v>Diversity Campus Recruiter</v>
      </c>
      <c r="M2033" s="5" t="str">
        <f t="shared" si="3"/>
        <v> </v>
      </c>
      <c r="N2033" s="5" t="str">
        <f t="shared" si="4"/>
        <v>Bank of America</v>
      </c>
      <c r="O2033" s="5" t="str">
        <f t="shared" si="5"/>
        <v>3 years 2 months in role</v>
      </c>
      <c r="P2033" s="5" t="str">
        <f t="shared" si="6"/>
        <v>Charlotte</v>
      </c>
      <c r="Q2033" s="5" t="str">
        <f t="shared" si="7"/>
        <v>North Carolina</v>
      </c>
      <c r="R2033" s="5" t="str">
        <f t="shared" si="8"/>
        <v>United States</v>
      </c>
    </row>
    <row r="2034">
      <c r="A2034" s="8" t="s">
        <v>9783</v>
      </c>
      <c r="B2034" s="10" t="s">
        <v>9784</v>
      </c>
      <c r="C2034" s="10" t="s">
        <v>9785</v>
      </c>
      <c r="D2034" s="10"/>
      <c r="E2034" s="10" t="s">
        <v>9786</v>
      </c>
      <c r="F2034" s="10" t="s">
        <v>331</v>
      </c>
      <c r="G2034" s="11" t="s">
        <v>2113</v>
      </c>
      <c r="H2034" s="11" t="s">
        <v>4599</v>
      </c>
      <c r="I2034" s="11" t="s">
        <v>4600</v>
      </c>
      <c r="J2034" s="9" t="str">
        <f>IFERROR(__xludf.DUMMYFUNCTION("""COMPUTED_VALUE"""),"https://www.google.com/search?newwindow=1&amp;ei=2MT0XrvGGM-vytMP1OyDgAY&amp;q=site%3Alinkedin.com+Danielle+Smith+Campus+Recruiter+Bank+of+America")</f>
        <v>https://www.google.com/search?newwindow=1&amp;ei=2MT0XrvGGM-vytMP1OyDgAY&amp;q=site%3Alinkedin.com+Danielle+Smith+Campus+Recruiter+Bank+of+America</v>
      </c>
      <c r="K2034" s="5" t="str">
        <f t="shared" si="1"/>
        <v>Danielle Smith</v>
      </c>
      <c r="L2034" s="5" t="str">
        <f t="shared" si="2"/>
        <v>Campus Recruiter</v>
      </c>
      <c r="M2034" s="5" t="str">
        <f t="shared" si="3"/>
        <v> </v>
      </c>
      <c r="N2034" s="5" t="str">
        <f t="shared" si="4"/>
        <v>Bank of America</v>
      </c>
      <c r="O2034" s="5" t="str">
        <f t="shared" si="5"/>
        <v>4 years 4 months in role</v>
      </c>
      <c r="P2034" s="5" t="str">
        <f t="shared" si="6"/>
        <v>Charlotte</v>
      </c>
      <c r="Q2034" s="5" t="str">
        <f t="shared" si="7"/>
        <v>North Carolina</v>
      </c>
      <c r="R2034" s="5" t="str">
        <f t="shared" si="8"/>
        <v>United States</v>
      </c>
    </row>
    <row r="2035">
      <c r="A2035" s="8" t="s">
        <v>9780</v>
      </c>
      <c r="B2035" s="12" t="s">
        <v>9781</v>
      </c>
      <c r="C2035" s="10" t="s">
        <v>9782</v>
      </c>
      <c r="D2035" s="10"/>
      <c r="E2035" s="10" t="s">
        <v>5090</v>
      </c>
      <c r="F2035" s="10" t="s">
        <v>217</v>
      </c>
      <c r="G2035" s="11" t="s">
        <v>2113</v>
      </c>
      <c r="H2035" s="11" t="s">
        <v>4599</v>
      </c>
      <c r="I2035" s="11" t="s">
        <v>4600</v>
      </c>
      <c r="J2035" s="9" t="str">
        <f>IFERROR(__xludf.DUMMYFUNCTION("""COMPUTED_VALUE"""),"https://www.google.com/search?newwindow=1&amp;ei=2MT0XrvGGM-vytMP1OyDgAY&amp;q=site%3Alinkedin.com+Susan+Elworthy+Program+Manager+&amp;+Campus+Recruiter+Bank+of+America")</f>
        <v>https://www.google.com/search?newwindow=1&amp;ei=2MT0XrvGGM-vytMP1OyDgAY&amp;q=site%3Alinkedin.com+Susan+Elworthy+Program+Manager+&amp;+Campus+Recruiter+Bank+of+America</v>
      </c>
      <c r="K2035" s="5" t="str">
        <f t="shared" si="1"/>
        <v>Susan Elworthy</v>
      </c>
      <c r="L2035" s="5" t="str">
        <f t="shared" si="2"/>
        <v>Program Manager &amp; Campus Recruiter</v>
      </c>
      <c r="M2035" s="5" t="str">
        <f t="shared" si="3"/>
        <v> </v>
      </c>
      <c r="N2035" s="5" t="str">
        <f t="shared" si="4"/>
        <v>Bank of America</v>
      </c>
      <c r="O2035" s="5" t="str">
        <f t="shared" si="5"/>
        <v/>
      </c>
      <c r="P2035" s="5" t="str">
        <f t="shared" si="6"/>
        <v>Charlotte</v>
      </c>
      <c r="Q2035" s="5" t="str">
        <f t="shared" si="7"/>
        <v>North Carolina</v>
      </c>
      <c r="R2035" s="5" t="str">
        <f t="shared" si="8"/>
        <v>United States</v>
      </c>
    </row>
    <row r="2036">
      <c r="A2036" s="8" t="s">
        <v>9853</v>
      </c>
      <c r="B2036" s="10" t="s">
        <v>9854</v>
      </c>
      <c r="C2036" s="10" t="s">
        <v>9855</v>
      </c>
      <c r="D2036" s="10"/>
      <c r="E2036" s="10" t="s">
        <v>9856</v>
      </c>
      <c r="F2036" s="10" t="s">
        <v>237</v>
      </c>
      <c r="G2036" s="11" t="s">
        <v>2113</v>
      </c>
      <c r="H2036" s="11" t="s">
        <v>4599</v>
      </c>
      <c r="I2036" s="11" t="s">
        <v>4600</v>
      </c>
      <c r="J2036" s="9" t="str">
        <f>IFERROR(__xludf.DUMMYFUNCTION("""COMPUTED_VALUE"""),"https://www.google.com/search?newwindow=1&amp;ei=2MT0XrvGGM-vytMP1OyDgAY&amp;q=site%3Alinkedin.com+David+Busshart+College+Recruiter+Bank+of+America")</f>
        <v>https://www.google.com/search?newwindow=1&amp;ei=2MT0XrvGGM-vytMP1OyDgAY&amp;q=site%3Alinkedin.com+David+Busshart+College+Recruiter+Bank+of+America</v>
      </c>
      <c r="K2036" s="5" t="str">
        <f t="shared" si="1"/>
        <v>David Busshart</v>
      </c>
      <c r="L2036" s="5" t="str">
        <f t="shared" si="2"/>
        <v>College Recruiter</v>
      </c>
      <c r="M2036" s="5" t="str">
        <f t="shared" si="3"/>
        <v> </v>
      </c>
      <c r="N2036" s="5" t="str">
        <f t="shared" si="4"/>
        <v>Bank of America</v>
      </c>
      <c r="O2036" s="5" t="str">
        <f t="shared" si="5"/>
        <v>2 years 10 months in role and company</v>
      </c>
      <c r="P2036" s="5" t="str">
        <f t="shared" si="6"/>
        <v>Charlotte</v>
      </c>
      <c r="Q2036" s="5" t="str">
        <f t="shared" si="7"/>
        <v>North Carolina</v>
      </c>
      <c r="R2036" s="5" t="str">
        <f t="shared" si="8"/>
        <v>United States</v>
      </c>
    </row>
    <row r="2037">
      <c r="A2037" s="8" t="s">
        <v>9857</v>
      </c>
      <c r="B2037" s="10" t="s">
        <v>9858</v>
      </c>
      <c r="C2037" s="10" t="s">
        <v>5428</v>
      </c>
      <c r="D2037" s="10"/>
      <c r="E2037" s="10" t="s">
        <v>5132</v>
      </c>
      <c r="F2037" s="10" t="s">
        <v>237</v>
      </c>
      <c r="G2037" s="11" t="s">
        <v>2113</v>
      </c>
      <c r="H2037" s="11" t="s">
        <v>4599</v>
      </c>
      <c r="I2037" s="11" t="s">
        <v>4600</v>
      </c>
      <c r="J2037" s="9" t="str">
        <f>IFERROR(__xludf.DUMMYFUNCTION("""COMPUTED_VALUE"""),"https://www.google.com/search?newwindow=1&amp;ei=2MT0XrvGGM-vytMP1OyDgAY&amp;q=site%3Alinkedin.com+Courtney+Dickens+Campus+Recruiter+&amp;+Program+Manager+Bank+of+America")</f>
        <v>https://www.google.com/search?newwindow=1&amp;ei=2MT0XrvGGM-vytMP1OyDgAY&amp;q=site%3Alinkedin.com+Courtney+Dickens+Campus+Recruiter+&amp;+Program+Manager+Bank+of+America</v>
      </c>
      <c r="K2037" s="5" t="str">
        <f t="shared" si="1"/>
        <v>Courtney Dickens</v>
      </c>
      <c r="L2037" s="5" t="str">
        <f t="shared" si="2"/>
        <v>Campus Recruiter &amp; Program Manager</v>
      </c>
      <c r="M2037" s="5" t="str">
        <f t="shared" si="3"/>
        <v> </v>
      </c>
      <c r="N2037" s="5" t="str">
        <f t="shared" si="4"/>
        <v>Bank of America</v>
      </c>
      <c r="O2037" s="5" t="str">
        <f t="shared" si="5"/>
        <v>1 year 2 months in role</v>
      </c>
      <c r="P2037" s="5" t="str">
        <f t="shared" si="6"/>
        <v>Charlotte</v>
      </c>
      <c r="Q2037" s="5" t="str">
        <f t="shared" si="7"/>
        <v>North Carolina</v>
      </c>
      <c r="R2037" s="5" t="str">
        <f t="shared" si="8"/>
        <v>United States</v>
      </c>
    </row>
    <row r="2038">
      <c r="A2038" s="8" t="s">
        <v>9859</v>
      </c>
      <c r="B2038" s="10" t="s">
        <v>9860</v>
      </c>
      <c r="C2038" s="10" t="s">
        <v>9861</v>
      </c>
      <c r="D2038" s="10"/>
      <c r="E2038" s="10" t="s">
        <v>8211</v>
      </c>
      <c r="F2038" s="10" t="s">
        <v>7978</v>
      </c>
      <c r="G2038" s="11" t="s">
        <v>2113</v>
      </c>
      <c r="H2038" s="11" t="s">
        <v>4599</v>
      </c>
      <c r="I2038" s="11" t="s">
        <v>4600</v>
      </c>
      <c r="J2038" s="9" t="str">
        <f>IFERROR(__xludf.DUMMYFUNCTION("""COMPUTED_VALUE"""),"https://www.google.com/search?newwindow=1&amp;ei=2MT0XrvGGM-vytMP1OyDgAY&amp;q=site%3Alinkedin.com+Caroline+La+Roche+Vice+President,+Campus+Recruiter+&amp;+Program+Manager+Bank+of+America")</f>
        <v>https://www.google.com/search?newwindow=1&amp;ei=2MT0XrvGGM-vytMP1OyDgAY&amp;q=site%3Alinkedin.com+Caroline+La+Roche+Vice+President,+Campus+Recruiter+&amp;+Program+Manager+Bank+of+America</v>
      </c>
      <c r="K2038" s="5" t="str">
        <f t="shared" si="1"/>
        <v>Caroline La Roche</v>
      </c>
      <c r="L2038" s="5" t="str">
        <f t="shared" si="2"/>
        <v>Vice President, Campus Recruiter &amp; Program Manager</v>
      </c>
      <c r="M2038" s="5" t="str">
        <f t="shared" si="3"/>
        <v> </v>
      </c>
      <c r="N2038" s="5" t="str">
        <f t="shared" si="4"/>
        <v>Bank of America</v>
      </c>
      <c r="O2038" s="5" t="str">
        <f t="shared" si="5"/>
        <v>9 months in role</v>
      </c>
      <c r="P2038" s="5" t="str">
        <f t="shared" si="6"/>
        <v>Charlotte</v>
      </c>
      <c r="Q2038" s="5" t="str">
        <f t="shared" si="7"/>
        <v>North Carolina</v>
      </c>
      <c r="R2038" s="5" t="str">
        <f t="shared" si="8"/>
        <v>United States</v>
      </c>
    </row>
    <row r="2039">
      <c r="A2039" s="8" t="s">
        <v>9787</v>
      </c>
      <c r="B2039" s="12" t="s">
        <v>9788</v>
      </c>
      <c r="C2039" s="10" t="s">
        <v>9789</v>
      </c>
      <c r="D2039" s="10"/>
      <c r="E2039" s="10" t="s">
        <v>5090</v>
      </c>
      <c r="F2039" s="10" t="s">
        <v>144</v>
      </c>
      <c r="G2039" s="11" t="s">
        <v>2113</v>
      </c>
      <c r="H2039" s="11" t="s">
        <v>4599</v>
      </c>
      <c r="I2039" s="11" t="s">
        <v>4600</v>
      </c>
      <c r="J2039" s="9" t="str">
        <f>IFERROR(__xludf.DUMMYFUNCTION("""COMPUTED_VALUE"""),"https://www.google.com/search?newwindow=1&amp;ei=2MT0XrvGGM-vytMP1OyDgAY&amp;q=site%3Alinkedin.com+Deetra+Hill+MBA+Campus+Recruiter+and+Program+Manager+Bank+of+America")</f>
        <v>https://www.google.com/search?newwindow=1&amp;ei=2MT0XrvGGM-vytMP1OyDgAY&amp;q=site%3Alinkedin.com+Deetra+Hill+MBA+Campus+Recruiter+and+Program+Manager+Bank+of+America</v>
      </c>
      <c r="K2039" s="5" t="str">
        <f t="shared" si="1"/>
        <v>Deetra Hill</v>
      </c>
      <c r="L2039" s="5" t="str">
        <f t="shared" si="2"/>
        <v>MBA Campus Recruiter and Program Manager</v>
      </c>
      <c r="M2039" s="5" t="str">
        <f t="shared" si="3"/>
        <v>MBA</v>
      </c>
      <c r="N2039" s="5" t="str">
        <f t="shared" si="4"/>
        <v>Bank of America</v>
      </c>
      <c r="O2039" s="5" t="str">
        <f t="shared" si="5"/>
        <v>1 year 6 months in role</v>
      </c>
      <c r="P2039" s="5" t="str">
        <f t="shared" si="6"/>
        <v>Charlotte</v>
      </c>
      <c r="Q2039" s="5" t="str">
        <f t="shared" si="7"/>
        <v>North Carolina</v>
      </c>
      <c r="R2039" s="5" t="str">
        <f t="shared" si="8"/>
        <v>United States</v>
      </c>
    </row>
    <row r="2040">
      <c r="A2040" s="8" t="s">
        <v>9862</v>
      </c>
      <c r="B2040" s="10" t="s">
        <v>9863</v>
      </c>
      <c r="C2040" s="10" t="s">
        <v>9864</v>
      </c>
      <c r="D2040" s="10"/>
      <c r="E2040" s="10" t="s">
        <v>5090</v>
      </c>
      <c r="F2040" s="10" t="s">
        <v>144</v>
      </c>
      <c r="G2040" s="11" t="s">
        <v>2113</v>
      </c>
      <c r="H2040" s="11" t="s">
        <v>4599</v>
      </c>
      <c r="I2040" s="11" t="s">
        <v>4600</v>
      </c>
      <c r="J2040" s="9" t="str">
        <f>IFERROR(__xludf.DUMMYFUNCTION("""COMPUTED_VALUE"""),"https://www.google.com/search?newwindow=1&amp;ei=2MT0XrvGGM-vytMP1OyDgAY&amp;q=site%3Alinkedin.com+Dontia+Barrett+Assistant+Vice+President,+Diversity+Campus+Recruiter+Bank+of+America")</f>
        <v>https://www.google.com/search?newwindow=1&amp;ei=2MT0XrvGGM-vytMP1OyDgAY&amp;q=site%3Alinkedin.com+Dontia+Barrett+Assistant+Vice+President,+Diversity+Campus+Recruiter+Bank+of+America</v>
      </c>
      <c r="K2040" s="5" t="str">
        <f t="shared" si="1"/>
        <v>Dontia Barrett</v>
      </c>
      <c r="L2040" s="5" t="str">
        <f t="shared" si="2"/>
        <v>Assistant Vice President, Diversity Campus Recruiter</v>
      </c>
      <c r="M2040" s="5" t="str">
        <f t="shared" si="3"/>
        <v> </v>
      </c>
      <c r="N2040" s="5" t="str">
        <f t="shared" si="4"/>
        <v>Bank of America</v>
      </c>
      <c r="O2040" s="5" t="str">
        <f t="shared" si="5"/>
        <v>11 months in role and company</v>
      </c>
      <c r="P2040" s="5" t="str">
        <f t="shared" si="6"/>
        <v>Charlotte</v>
      </c>
      <c r="Q2040" s="5" t="str">
        <f t="shared" si="7"/>
        <v>North Carolina</v>
      </c>
      <c r="R2040" s="5" t="str">
        <f t="shared" si="8"/>
        <v>United States</v>
      </c>
    </row>
    <row r="2041">
      <c r="A2041" s="8" t="s">
        <v>9790</v>
      </c>
      <c r="B2041" s="12" t="s">
        <v>9791</v>
      </c>
      <c r="C2041" s="10" t="s">
        <v>9792</v>
      </c>
      <c r="D2041" s="10"/>
      <c r="E2041" s="10" t="s">
        <v>5090</v>
      </c>
      <c r="F2041" s="10" t="s">
        <v>79</v>
      </c>
      <c r="G2041" s="11" t="s">
        <v>2113</v>
      </c>
      <c r="H2041" s="11" t="s">
        <v>4599</v>
      </c>
      <c r="I2041" s="11" t="s">
        <v>4600</v>
      </c>
      <c r="J2041" s="9" t="str">
        <f>IFERROR(__xludf.DUMMYFUNCTION("""COMPUTED_VALUE"""),"https://www.google.com/search?newwindow=1&amp;ei=2MT0XrvGGM-vytMP1OyDgAY&amp;q=site%3Alinkedin.com+Richard+Long+Campus+Strategy+Recruiter+Bank+of+America")</f>
        <v>https://www.google.com/search?newwindow=1&amp;ei=2MT0XrvGGM-vytMP1OyDgAY&amp;q=site%3Alinkedin.com+Richard+Long+Campus+Strategy+Recruiter+Bank+of+America</v>
      </c>
      <c r="K2041" s="5" t="str">
        <f t="shared" si="1"/>
        <v>Richard Long</v>
      </c>
      <c r="L2041" s="5" t="str">
        <f t="shared" si="2"/>
        <v>Campus Strategy Recruiter</v>
      </c>
      <c r="M2041" s="5" t="str">
        <f t="shared" si="3"/>
        <v> </v>
      </c>
      <c r="N2041" s="5" t="str">
        <f t="shared" si="4"/>
        <v>Bank of America</v>
      </c>
      <c r="O2041" s="5" t="str">
        <f t="shared" si="5"/>
        <v>1 year 2 months in role and company</v>
      </c>
      <c r="P2041" s="5" t="str">
        <f t="shared" si="6"/>
        <v>Charlotte</v>
      </c>
      <c r="Q2041" s="5" t="str">
        <f t="shared" si="7"/>
        <v>North Carolina</v>
      </c>
      <c r="R2041" s="5" t="str">
        <f t="shared" si="8"/>
        <v>United States</v>
      </c>
    </row>
    <row r="2042">
      <c r="A2042" s="8" t="s">
        <v>9793</v>
      </c>
      <c r="B2042" s="10" t="s">
        <v>9794</v>
      </c>
      <c r="C2042" s="10" t="s">
        <v>9795</v>
      </c>
      <c r="D2042" s="10"/>
      <c r="E2042" s="10" t="s">
        <v>9796</v>
      </c>
      <c r="F2042" s="10" t="s">
        <v>136</v>
      </c>
      <c r="G2042" s="11" t="s">
        <v>2113</v>
      </c>
      <c r="H2042" s="11" t="s">
        <v>4599</v>
      </c>
      <c r="I2042" s="11" t="s">
        <v>4600</v>
      </c>
      <c r="J2042" s="9" t="str">
        <f>IFERROR(__xludf.DUMMYFUNCTION("""COMPUTED_VALUE"""),"https://www.google.com/search?newwindow=1&amp;ei=2MT0XrvGGM-vytMP1OyDgAY&amp;q=site%3Alinkedin.com+Aubrey+D.+Campus+Recruiter+-+Global+Risk+Development+Program+Bank+of+America")</f>
        <v>https://www.google.com/search?newwindow=1&amp;ei=2MT0XrvGGM-vytMP1OyDgAY&amp;q=site%3Alinkedin.com+Aubrey+D.+Campus+Recruiter+-+Global+Risk+Development+Program+Bank+of+America</v>
      </c>
      <c r="K2042" s="5" t="str">
        <f t="shared" si="1"/>
        <v>Aubrey D.</v>
      </c>
      <c r="L2042" s="5" t="str">
        <f t="shared" si="2"/>
        <v>Campus Recruiter - Global Risk Development Program</v>
      </c>
      <c r="M2042" s="5" t="str">
        <f t="shared" si="3"/>
        <v> </v>
      </c>
      <c r="N2042" s="5" t="str">
        <f t="shared" si="4"/>
        <v>Bank of America</v>
      </c>
      <c r="O2042" s="5" t="str">
        <f t="shared" si="5"/>
        <v>1 year 3 months in role</v>
      </c>
      <c r="P2042" s="5" t="str">
        <f t="shared" si="6"/>
        <v>Charlotte</v>
      </c>
      <c r="Q2042" s="5" t="str">
        <f t="shared" si="7"/>
        <v>North Carolina</v>
      </c>
      <c r="R2042" s="5" t="str">
        <f t="shared" si="8"/>
        <v>United States</v>
      </c>
    </row>
    <row r="2043">
      <c r="A2043" s="8" t="s">
        <v>9797</v>
      </c>
      <c r="B2043" s="10" t="s">
        <v>9798</v>
      </c>
      <c r="C2043" s="10" t="s">
        <v>9799</v>
      </c>
      <c r="D2043" s="10"/>
      <c r="E2043" s="10" t="s">
        <v>5090</v>
      </c>
      <c r="F2043" s="10" t="s">
        <v>8559</v>
      </c>
      <c r="G2043" s="11" t="s">
        <v>2113</v>
      </c>
      <c r="H2043" s="11" t="s">
        <v>4599</v>
      </c>
      <c r="I2043" s="11" t="s">
        <v>4600</v>
      </c>
      <c r="J2043" s="9" t="str">
        <f>IFERROR(__xludf.DUMMYFUNCTION("""COMPUTED_VALUE"""),"https://www.google.com/search?newwindow=1&amp;ei=2MT0XrvGGM-vytMP1OyDgAY&amp;q=site%3Alinkedin.com+Abbie+Zollinger+Campus+Recruiter+Bank+of+America")</f>
        <v>https://www.google.com/search?newwindow=1&amp;ei=2MT0XrvGGM-vytMP1OyDgAY&amp;q=site%3Alinkedin.com+Abbie+Zollinger+Campus+Recruiter+Bank+of+America</v>
      </c>
      <c r="K2043" s="5" t="str">
        <f t="shared" si="1"/>
        <v>Abbie Zollinger</v>
      </c>
      <c r="L2043" s="5" t="str">
        <f t="shared" si="2"/>
        <v>Campus Recruiter</v>
      </c>
      <c r="M2043" s="5" t="str">
        <f t="shared" si="3"/>
        <v> </v>
      </c>
      <c r="N2043" s="5" t="str">
        <f t="shared" si="4"/>
        <v>Bank of America</v>
      </c>
      <c r="O2043" s="5" t="str">
        <f t="shared" si="5"/>
        <v/>
      </c>
      <c r="P2043" s="5" t="str">
        <f t="shared" si="6"/>
        <v>Charlotte</v>
      </c>
      <c r="Q2043" s="5" t="str">
        <f t="shared" si="7"/>
        <v>North Carolina</v>
      </c>
      <c r="R2043" s="5" t="str">
        <f t="shared" si="8"/>
        <v>United States</v>
      </c>
    </row>
    <row r="2044">
      <c r="A2044" s="8" t="s">
        <v>9803</v>
      </c>
      <c r="B2044" s="10" t="s">
        <v>9804</v>
      </c>
      <c r="C2044" s="10" t="s">
        <v>9805</v>
      </c>
      <c r="D2044" s="10"/>
      <c r="E2044" s="10" t="s">
        <v>9796</v>
      </c>
      <c r="F2044" s="10" t="s">
        <v>2544</v>
      </c>
      <c r="G2044" s="11" t="s">
        <v>2113</v>
      </c>
      <c r="H2044" s="11" t="s">
        <v>4599</v>
      </c>
      <c r="I2044" s="11" t="s">
        <v>4600</v>
      </c>
      <c r="J2044" s="9" t="str">
        <f>IFERROR(__xludf.DUMMYFUNCTION("""COMPUTED_VALUE"""),"https://www.google.com/search?newwindow=1&amp;ei=2MT0XrvGGM-vytMP1OyDgAY&amp;q=site%3Alinkedin.com+Conita+Neal+AVP+Campus+Recruiter+Bank+of+America")</f>
        <v>https://www.google.com/search?newwindow=1&amp;ei=2MT0XrvGGM-vytMP1OyDgAY&amp;q=site%3Alinkedin.com+Conita+Neal+AVP+Campus+Recruiter+Bank+of+America</v>
      </c>
      <c r="K2044" s="5" t="str">
        <f t="shared" si="1"/>
        <v>Conita Neal</v>
      </c>
      <c r="L2044" s="5" t="str">
        <f t="shared" si="2"/>
        <v>AVP Campus Recruiter</v>
      </c>
      <c r="M2044" s="5" t="str">
        <f t="shared" si="3"/>
        <v> </v>
      </c>
      <c r="N2044" s="5" t="str">
        <f t="shared" si="4"/>
        <v>Bank of America</v>
      </c>
      <c r="O2044" s="5" t="str">
        <f t="shared" si="5"/>
        <v>2 years 6 months in role and company</v>
      </c>
      <c r="P2044" s="5" t="str">
        <f t="shared" si="6"/>
        <v>Columbus</v>
      </c>
      <c r="Q2044" s="5" t="str">
        <f t="shared" si="7"/>
        <v>Ohio</v>
      </c>
      <c r="R2044" s="5" t="str">
        <f t="shared" si="8"/>
        <v>United States</v>
      </c>
    </row>
    <row r="2045">
      <c r="A2045" s="8" t="s">
        <v>9800</v>
      </c>
      <c r="B2045" s="10" t="s">
        <v>9801</v>
      </c>
      <c r="C2045" s="10" t="s">
        <v>9802</v>
      </c>
      <c r="D2045" s="10"/>
      <c r="E2045" s="10" t="s">
        <v>5090</v>
      </c>
      <c r="F2045" s="10" t="s">
        <v>217</v>
      </c>
      <c r="G2045" s="11" t="s">
        <v>2113</v>
      </c>
      <c r="H2045" s="11" t="s">
        <v>4599</v>
      </c>
      <c r="I2045" s="11" t="s">
        <v>4600</v>
      </c>
      <c r="J2045" s="9" t="str">
        <f>IFERROR(__xludf.DUMMYFUNCTION("""COMPUTED_VALUE"""),"https://www.google.com/search?newwindow=1&amp;ei=2MT0XrvGGM-vytMP1OyDgAY&amp;q=site%3Alinkedin.com+Lindsey+Everidge+AVP-+College+Recruiter+Bank+of+America")</f>
        <v>https://www.google.com/search?newwindow=1&amp;ei=2MT0XrvGGM-vytMP1OyDgAY&amp;q=site%3Alinkedin.com+Lindsey+Everidge+AVP-+College+Recruiter+Bank+of+America</v>
      </c>
      <c r="K2045" s="5" t="str">
        <f t="shared" si="1"/>
        <v>Lindsey Everidge</v>
      </c>
      <c r="L2045" s="5" t="str">
        <f t="shared" si="2"/>
        <v>AVP- College Recruiter</v>
      </c>
      <c r="M2045" s="5" t="str">
        <f t="shared" si="3"/>
        <v> </v>
      </c>
      <c r="N2045" s="5" t="str">
        <f t="shared" si="4"/>
        <v>Bank of America</v>
      </c>
      <c r="O2045" s="5" t="str">
        <f t="shared" si="5"/>
        <v/>
      </c>
      <c r="P2045" s="5" t="str">
        <f t="shared" si="6"/>
        <v>Cornelius</v>
      </c>
      <c r="Q2045" s="5" t="str">
        <f t="shared" si="7"/>
        <v>North Carolina</v>
      </c>
      <c r="R2045" s="5" t="str">
        <f t="shared" si="8"/>
        <v>United States</v>
      </c>
    </row>
    <row r="2046">
      <c r="A2046" s="8" t="s">
        <v>9809</v>
      </c>
      <c r="B2046" s="10" t="s">
        <v>9810</v>
      </c>
      <c r="C2046" s="10" t="s">
        <v>9811</v>
      </c>
      <c r="D2046" s="10"/>
      <c r="E2046" s="10" t="s">
        <v>9812</v>
      </c>
      <c r="F2046" s="10" t="s">
        <v>100</v>
      </c>
      <c r="G2046" s="11" t="s">
        <v>2113</v>
      </c>
      <c r="H2046" s="11" t="s">
        <v>4599</v>
      </c>
      <c r="I2046" s="11" t="s">
        <v>4600</v>
      </c>
      <c r="J2046" s="9" t="str">
        <f>IFERROR(__xludf.DUMMYFUNCTION("""COMPUTED_VALUE"""),"https://www.google.com/search?newwindow=1&amp;ei=2MT0XrvGGM-vytMP1OyDgAY&amp;q=site%3Alinkedin.com+Payal+Patel+Assistant+Vice+President,+Corporate+Recruiter+Bank+of+America")</f>
        <v>https://www.google.com/search?newwindow=1&amp;ei=2MT0XrvGGM-vytMP1OyDgAY&amp;q=site%3Alinkedin.com+Payal+Patel+Assistant+Vice+President,+Corporate+Recruiter+Bank+of+America</v>
      </c>
      <c r="K2046" s="5" t="str">
        <f t="shared" si="1"/>
        <v>Payal Patel</v>
      </c>
      <c r="L2046" s="5" t="str">
        <f t="shared" si="2"/>
        <v>Assistant Vice President, Corporate Recruiter</v>
      </c>
      <c r="M2046" s="5" t="str">
        <f t="shared" si="3"/>
        <v> </v>
      </c>
      <c r="N2046" s="5" t="str">
        <f t="shared" si="4"/>
        <v>Bank of America</v>
      </c>
      <c r="O2046" s="5" t="str">
        <f t="shared" si="5"/>
        <v>1 year 10 months in role and company</v>
      </c>
      <c r="P2046" s="5" t="str">
        <f t="shared" si="6"/>
        <v>Dallas</v>
      </c>
      <c r="Q2046" s="5" t="str">
        <f t="shared" si="7"/>
        <v>Texas</v>
      </c>
      <c r="R2046" s="5" t="str">
        <f t="shared" si="8"/>
        <v>United States</v>
      </c>
    </row>
    <row r="2047">
      <c r="A2047" s="8" t="s">
        <v>9806</v>
      </c>
      <c r="B2047" s="12" t="s">
        <v>9807</v>
      </c>
      <c r="C2047" s="10" t="s">
        <v>115</v>
      </c>
      <c r="D2047" s="10"/>
      <c r="E2047" s="10" t="s">
        <v>9808</v>
      </c>
      <c r="F2047" s="10" t="s">
        <v>727</v>
      </c>
      <c r="G2047" s="11" t="s">
        <v>2113</v>
      </c>
      <c r="H2047" s="11" t="s">
        <v>4599</v>
      </c>
      <c r="I2047" s="11" t="s">
        <v>4600</v>
      </c>
      <c r="J2047" s="9" t="str">
        <f>IFERROR(__xludf.DUMMYFUNCTION("""COMPUTED_VALUE"""),"https://www.google.com/search?newwindow=1&amp;ei=2MT0XrvGGM-vytMP1OyDgAY&amp;q=site%3Alinkedin.com+Beth+Richard+VP,+Campus+Recruiter+Bank+of+America")</f>
        <v>https://www.google.com/search?newwindow=1&amp;ei=2MT0XrvGGM-vytMP1OyDgAY&amp;q=site%3Alinkedin.com+Beth+Richard+VP,+Campus+Recruiter+Bank+of+America</v>
      </c>
      <c r="K2047" s="5" t="str">
        <f t="shared" si="1"/>
        <v>Beth Richard</v>
      </c>
      <c r="L2047" s="5" t="str">
        <f t="shared" si="2"/>
        <v>VP, Campus Recruiter</v>
      </c>
      <c r="M2047" s="5" t="str">
        <f t="shared" si="3"/>
        <v> </v>
      </c>
      <c r="N2047" s="5" t="str">
        <f t="shared" si="4"/>
        <v>Bank of America</v>
      </c>
      <c r="O2047" s="5" t="str">
        <f t="shared" si="5"/>
        <v>8 years 10 months in role</v>
      </c>
      <c r="P2047" s="5" t="str">
        <f t="shared" si="6"/>
        <v>Flower Mound</v>
      </c>
      <c r="Q2047" s="5" t="str">
        <f t="shared" si="7"/>
        <v>Texas</v>
      </c>
      <c r="R2047" s="5" t="str">
        <f t="shared" si="8"/>
        <v>United States</v>
      </c>
    </row>
    <row r="2048">
      <c r="A2048" s="8" t="s">
        <v>9865</v>
      </c>
      <c r="B2048" s="10" t="s">
        <v>9866</v>
      </c>
      <c r="C2048" s="10" t="s">
        <v>9867</v>
      </c>
      <c r="D2048" s="10"/>
      <c r="E2048" s="10" t="s">
        <v>5132</v>
      </c>
      <c r="F2048" s="10" t="s">
        <v>94</v>
      </c>
      <c r="G2048" s="11" t="s">
        <v>2113</v>
      </c>
      <c r="H2048" s="11" t="s">
        <v>4599</v>
      </c>
      <c r="I2048" s="11" t="s">
        <v>4600</v>
      </c>
      <c r="J2048" s="9" t="str">
        <f>IFERROR(__xludf.DUMMYFUNCTION("""COMPUTED_VALUE"""),"https://www.google.com/search?newwindow=1&amp;ei=2MT0XrvGGM-vytMP1OyDgAY&amp;q=site%3Alinkedin.com+Amy+Yandell+Vice+President,+Campus+Recruiter+Bank+of+America")</f>
        <v>https://www.google.com/search?newwindow=1&amp;ei=2MT0XrvGGM-vytMP1OyDgAY&amp;q=site%3Alinkedin.com+Amy+Yandell+Vice+President,+Campus+Recruiter+Bank+of+America</v>
      </c>
      <c r="K2048" s="5" t="str">
        <f t="shared" si="1"/>
        <v>Amy Yandell</v>
      </c>
      <c r="L2048" s="5" t="str">
        <f t="shared" si="2"/>
        <v>Vice President, Campus Recruiter</v>
      </c>
      <c r="M2048" s="5" t="str">
        <f t="shared" si="3"/>
        <v> </v>
      </c>
      <c r="N2048" s="5" t="str">
        <f t="shared" si="4"/>
        <v>Bank of America</v>
      </c>
      <c r="O2048" s="5" t="str">
        <f t="shared" si="5"/>
        <v>5 years 10 months in role</v>
      </c>
      <c r="P2048" s="5" t="str">
        <f t="shared" si="6"/>
        <v>Los Angeles</v>
      </c>
      <c r="Q2048" s="5" t="str">
        <f t="shared" si="7"/>
        <v>California</v>
      </c>
      <c r="R2048" s="5" t="str">
        <f t="shared" si="8"/>
        <v>United States</v>
      </c>
    </row>
    <row r="2049">
      <c r="A2049" s="8" t="s">
        <v>9868</v>
      </c>
      <c r="B2049" s="12" t="s">
        <v>9869</v>
      </c>
      <c r="C2049" s="10" t="s">
        <v>9870</v>
      </c>
      <c r="D2049" s="10"/>
      <c r="E2049" s="10" t="s">
        <v>5132</v>
      </c>
      <c r="F2049" s="10" t="s">
        <v>207</v>
      </c>
      <c r="G2049" s="11" t="s">
        <v>2113</v>
      </c>
      <c r="H2049" s="11" t="s">
        <v>4599</v>
      </c>
      <c r="I2049" s="11" t="s">
        <v>4600</v>
      </c>
      <c r="J2049" s="9" t="str">
        <f>IFERROR(__xludf.DUMMYFUNCTION("""COMPUTED_VALUE"""),"https://www.google.com/search?newwindow=1&amp;ei=2MT0XrvGGM-vytMP1OyDgAY&amp;q=site%3Alinkedin.com+Jada+Smith+Campus+Recruiter,+Global+Corporate+&amp;+Investment+Banking+Bank+of+America")</f>
        <v>https://www.google.com/search?newwindow=1&amp;ei=2MT0XrvGGM-vytMP1OyDgAY&amp;q=site%3Alinkedin.com+Jada+Smith+Campus+Recruiter,+Global+Corporate+&amp;+Investment+Banking+Bank+of+America</v>
      </c>
      <c r="K2049" s="5" t="str">
        <f t="shared" si="1"/>
        <v>Jada Smith</v>
      </c>
      <c r="L2049" s="5" t="str">
        <f t="shared" si="2"/>
        <v>Campus Recruiter, Global Corporate &amp; Investment Banking</v>
      </c>
      <c r="M2049" s="5" t="str">
        <f t="shared" si="3"/>
        <v> </v>
      </c>
      <c r="N2049" s="5" t="str">
        <f t="shared" si="4"/>
        <v>Bank of America</v>
      </c>
      <c r="O2049" s="5" t="str">
        <f t="shared" si="5"/>
        <v>1 year 6 months in role and company</v>
      </c>
      <c r="P2049" s="5" t="str">
        <f t="shared" si="6"/>
        <v>Mount Vernon</v>
      </c>
      <c r="Q2049" s="5" t="str">
        <f t="shared" si="7"/>
        <v>New York</v>
      </c>
      <c r="R2049" s="5" t="str">
        <f t="shared" si="8"/>
        <v>United States</v>
      </c>
    </row>
    <row r="2050">
      <c r="A2050" s="8" t="s">
        <v>9871</v>
      </c>
      <c r="B2050" s="10" t="s">
        <v>9872</v>
      </c>
      <c r="C2050" s="10" t="s">
        <v>9873</v>
      </c>
      <c r="D2050" s="10"/>
      <c r="E2050" s="10" t="s">
        <v>9522</v>
      </c>
      <c r="F2050" s="10" t="s">
        <v>1123</v>
      </c>
      <c r="G2050" s="11" t="s">
        <v>2113</v>
      </c>
      <c r="H2050" s="11" t="s">
        <v>4599</v>
      </c>
      <c r="I2050" s="11" t="s">
        <v>4600</v>
      </c>
      <c r="J2050" s="9" t="str">
        <f>IFERROR(__xludf.DUMMYFUNCTION("""COMPUTED_VALUE"""),"https://www.google.com/search?newwindow=1&amp;ei=2MT0XrvGGM-vytMP1OyDgAY&amp;q=site%3Alinkedin.com+Amanda+Hertzberg+Campus+Recruiter,+University+Relations+Bank+of+America")</f>
        <v>https://www.google.com/search?newwindow=1&amp;ei=2MT0XrvGGM-vytMP1OyDgAY&amp;q=site%3Alinkedin.com+Amanda+Hertzberg+Campus+Recruiter,+University+Relations+Bank+of+America</v>
      </c>
      <c r="K2050" s="5" t="str">
        <f t="shared" si="1"/>
        <v>Amanda Hertzberg</v>
      </c>
      <c r="L2050" s="5" t="str">
        <f t="shared" si="2"/>
        <v>Campus Recruiter, University Relations</v>
      </c>
      <c r="M2050" s="5" t="str">
        <f t="shared" si="3"/>
        <v> </v>
      </c>
      <c r="N2050" s="5" t="str">
        <f t="shared" si="4"/>
        <v>Bank of America</v>
      </c>
      <c r="O2050" s="5" t="str">
        <f t="shared" si="5"/>
        <v>11 months in role</v>
      </c>
      <c r="P2050" s="5" t="str">
        <f t="shared" si="6"/>
        <v>New York</v>
      </c>
      <c r="Q2050" s="5" t="str">
        <f t="shared" si="7"/>
        <v>New York</v>
      </c>
      <c r="R2050" s="5" t="str">
        <f t="shared" si="8"/>
        <v>United States</v>
      </c>
    </row>
    <row r="2051">
      <c r="A2051" s="8" t="s">
        <v>9874</v>
      </c>
      <c r="B2051" s="10" t="s">
        <v>9875</v>
      </c>
      <c r="C2051" s="10" t="s">
        <v>9876</v>
      </c>
      <c r="D2051" s="10"/>
      <c r="E2051" s="10" t="s">
        <v>5450</v>
      </c>
      <c r="F2051" s="10" t="s">
        <v>192</v>
      </c>
      <c r="G2051" s="11" t="s">
        <v>2113</v>
      </c>
      <c r="H2051" s="11" t="s">
        <v>4599</v>
      </c>
      <c r="I2051" s="11" t="s">
        <v>4600</v>
      </c>
      <c r="J2051" s="9" t="str">
        <f>IFERROR(__xludf.DUMMYFUNCTION("""COMPUTED_VALUE"""),"https://www.google.com/search?newwindow=1&amp;ei=2MT0XrvGGM-vytMP1OyDgAY&amp;q=site%3Alinkedin.com+Noelle+Mattessich+Campus+Recruiter+-+Global+Banking+and+Markets+Bank+of+America")</f>
        <v>https://www.google.com/search?newwindow=1&amp;ei=2MT0XrvGGM-vytMP1OyDgAY&amp;q=site%3Alinkedin.com+Noelle+Mattessich+Campus+Recruiter+-+Global+Banking+and+Markets+Bank+of+America</v>
      </c>
      <c r="K2051" s="5" t="str">
        <f t="shared" si="1"/>
        <v>Noelle Mattessich</v>
      </c>
      <c r="L2051" s="5" t="str">
        <f t="shared" si="2"/>
        <v>Campus Recruiter - Global Banking and Markets</v>
      </c>
      <c r="M2051" s="5" t="str">
        <f t="shared" si="3"/>
        <v> </v>
      </c>
      <c r="N2051" s="5" t="str">
        <f t="shared" si="4"/>
        <v>Bank of America</v>
      </c>
      <c r="O2051" s="5" t="str">
        <f t="shared" si="5"/>
        <v>10 months in role and company</v>
      </c>
      <c r="P2051" s="5" t="str">
        <f t="shared" si="6"/>
        <v>New York</v>
      </c>
      <c r="Q2051" s="5" t="str">
        <f t="shared" si="7"/>
        <v>New York</v>
      </c>
      <c r="R2051" s="5" t="str">
        <f t="shared" si="8"/>
        <v>United States</v>
      </c>
    </row>
    <row r="2052">
      <c r="A2052" s="8" t="s">
        <v>9816</v>
      </c>
      <c r="B2052" s="12" t="s">
        <v>9817</v>
      </c>
      <c r="C2052" s="10" t="s">
        <v>9818</v>
      </c>
      <c r="D2052" s="10"/>
      <c r="E2052" s="10" t="s">
        <v>9819</v>
      </c>
      <c r="F2052" s="10" t="s">
        <v>734</v>
      </c>
      <c r="G2052" s="11" t="s">
        <v>2113</v>
      </c>
      <c r="H2052" s="11" t="s">
        <v>4599</v>
      </c>
      <c r="I2052" s="11" t="s">
        <v>4600</v>
      </c>
      <c r="J2052" s="9" t="str">
        <f>IFERROR(__xludf.DUMMYFUNCTION("""COMPUTED_VALUE"""),"https://www.google.com/search?newwindow=1&amp;ei=2MT0XrvGGM-vytMP1OyDgAY&amp;q=site%3Alinkedin.com+Sean+Hille+Assistant+Vice+President,+Campus+Recruiter+Bank+of+America")</f>
        <v>https://www.google.com/search?newwindow=1&amp;ei=2MT0XrvGGM-vytMP1OyDgAY&amp;q=site%3Alinkedin.com+Sean+Hille+Assistant+Vice+President,+Campus+Recruiter+Bank+of+America</v>
      </c>
      <c r="K2052" s="5" t="str">
        <f t="shared" si="1"/>
        <v>Sean Hille</v>
      </c>
      <c r="L2052" s="5" t="str">
        <f t="shared" si="2"/>
        <v>Assistant Vice President, Campus Recruiter</v>
      </c>
      <c r="M2052" s="5" t="str">
        <f t="shared" si="3"/>
        <v> </v>
      </c>
      <c r="N2052" s="5" t="str">
        <f t="shared" si="4"/>
        <v>Bank of America</v>
      </c>
      <c r="O2052" s="5" t="str">
        <f t="shared" si="5"/>
        <v>3 years 4 months in role and company</v>
      </c>
      <c r="P2052" s="5" t="str">
        <f t="shared" si="6"/>
        <v>New York</v>
      </c>
      <c r="Q2052" s="5" t="str">
        <f t="shared" si="7"/>
        <v>New York</v>
      </c>
      <c r="R2052" s="5" t="str">
        <f t="shared" si="8"/>
        <v>United States</v>
      </c>
    </row>
    <row r="2053">
      <c r="A2053" s="8" t="s">
        <v>9813</v>
      </c>
      <c r="B2053" s="10" t="s">
        <v>9814</v>
      </c>
      <c r="C2053" s="10" t="s">
        <v>4596</v>
      </c>
      <c r="D2053" s="10"/>
      <c r="E2053" s="10" t="s">
        <v>9815</v>
      </c>
      <c r="F2053" s="10" t="s">
        <v>399</v>
      </c>
      <c r="G2053" s="11" t="s">
        <v>2113</v>
      </c>
      <c r="H2053" s="11" t="s">
        <v>4599</v>
      </c>
      <c r="I2053" s="11" t="s">
        <v>4600</v>
      </c>
      <c r="J2053" s="9" t="str">
        <f>IFERROR(__xludf.DUMMYFUNCTION("""COMPUTED_VALUE"""),"https://www.google.com/search?newwindow=1&amp;ei=2MT0XrvGGM-vytMP1OyDgAY&amp;q=site%3Alinkedin.com+Stephanie+Moss+Assistant+Vice+President,+Campus+Recruiter+Bank+of+America")</f>
        <v>https://www.google.com/search?newwindow=1&amp;ei=2MT0XrvGGM-vytMP1OyDgAY&amp;q=site%3Alinkedin.com+Stephanie+Moss+Assistant+Vice+President,+Campus+Recruiter+Bank+of+America</v>
      </c>
      <c r="K2053" s="5" t="str">
        <f t="shared" si="1"/>
        <v>Stephanie Moss</v>
      </c>
      <c r="L2053" s="5" t="str">
        <f t="shared" si="2"/>
        <v>Assistant Vice President, Campus Recruiter</v>
      </c>
      <c r="M2053" s="5" t="str">
        <f t="shared" si="3"/>
        <v> </v>
      </c>
      <c r="N2053" s="5" t="str">
        <f t="shared" si="4"/>
        <v>Bank of America</v>
      </c>
      <c r="O2053" s="5" t="str">
        <f t="shared" si="5"/>
        <v>1 year 10 months in role</v>
      </c>
      <c r="P2053" s="5" t="str">
        <f t="shared" si="6"/>
        <v>New York</v>
      </c>
      <c r="Q2053" s="5" t="str">
        <f t="shared" si="7"/>
        <v>New York</v>
      </c>
      <c r="R2053" s="5" t="str">
        <f t="shared" si="8"/>
        <v>United States</v>
      </c>
    </row>
    <row r="2054">
      <c r="A2054" s="8" t="s">
        <v>9877</v>
      </c>
      <c r="B2054" s="10" t="s">
        <v>9878</v>
      </c>
      <c r="C2054" s="10" t="s">
        <v>9879</v>
      </c>
      <c r="D2054" s="10"/>
      <c r="E2054" s="10" t="s">
        <v>9880</v>
      </c>
      <c r="F2054" s="10" t="s">
        <v>9881</v>
      </c>
      <c r="G2054" s="11" t="s">
        <v>2113</v>
      </c>
      <c r="H2054" s="11" t="s">
        <v>4599</v>
      </c>
      <c r="I2054" s="11" t="s">
        <v>4600</v>
      </c>
      <c r="J2054" s="9" t="str">
        <f>IFERROR(__xludf.DUMMYFUNCTION("""COMPUTED_VALUE"""),"https://www.google.com/search?newwindow=1&amp;ei=2MT0XrvGGM-vytMP1OyDgAY&amp;q=site%3Alinkedin.com+Jessica+Sheldon+Campus+Recruiter+Bank+of+America")</f>
        <v>https://www.google.com/search?newwindow=1&amp;ei=2MT0XrvGGM-vytMP1OyDgAY&amp;q=site%3Alinkedin.com+Jessica+Sheldon+Campus+Recruiter+Bank+of+America</v>
      </c>
      <c r="K2054" s="5" t="str">
        <f t="shared" si="1"/>
        <v>Jessica Sheldon</v>
      </c>
      <c r="L2054" s="5" t="str">
        <f t="shared" si="2"/>
        <v>Campus Recruiter</v>
      </c>
      <c r="M2054" s="5" t="str">
        <f t="shared" si="3"/>
        <v> </v>
      </c>
      <c r="N2054" s="5" t="str">
        <f t="shared" si="4"/>
        <v>Bank of America</v>
      </c>
      <c r="O2054" s="5" t="str">
        <f t="shared" si="5"/>
        <v>3 months in role and company</v>
      </c>
      <c r="P2054" s="5" t="str">
        <f t="shared" si="6"/>
        <v>New York</v>
      </c>
      <c r="Q2054" s="5" t="str">
        <f t="shared" si="7"/>
        <v>New York</v>
      </c>
      <c r="R2054" s="5" t="str">
        <f t="shared" si="8"/>
        <v>United States</v>
      </c>
    </row>
    <row r="2055">
      <c r="A2055" s="8" t="s">
        <v>9820</v>
      </c>
      <c r="B2055" s="10" t="s">
        <v>9821</v>
      </c>
      <c r="C2055" s="10" t="s">
        <v>9822</v>
      </c>
      <c r="D2055" s="10"/>
      <c r="E2055" s="10" t="s">
        <v>9823</v>
      </c>
      <c r="F2055" s="10" t="s">
        <v>22</v>
      </c>
      <c r="G2055" s="11" t="s">
        <v>2113</v>
      </c>
      <c r="H2055" s="11" t="s">
        <v>4599</v>
      </c>
      <c r="I2055" s="11" t="s">
        <v>4600</v>
      </c>
      <c r="J2055" s="9" t="str">
        <f>IFERROR(__xludf.DUMMYFUNCTION("""COMPUTED_VALUE"""),"https://www.google.com/search?newwindow=1&amp;ei=2MT0XrvGGM-vytMP1OyDgAY&amp;q=site%3Alinkedin.com+Bryan+C.+Vice+President;+Campus+Recruiter+&amp;+Program+Manager+Bank+of+America")</f>
        <v>https://www.google.com/search?newwindow=1&amp;ei=2MT0XrvGGM-vytMP1OyDgAY&amp;q=site%3Alinkedin.com+Bryan+C.+Vice+President;+Campus+Recruiter+&amp;+Program+Manager+Bank+of+America</v>
      </c>
      <c r="K2055" s="5" t="str">
        <f t="shared" si="1"/>
        <v>Bryan C.</v>
      </c>
      <c r="L2055" s="5" t="str">
        <f t="shared" si="2"/>
        <v>Vice President; Campus Recruiter &amp; Program Manager</v>
      </c>
      <c r="M2055" s="5" t="str">
        <f t="shared" si="3"/>
        <v> </v>
      </c>
      <c r="N2055" s="5" t="str">
        <f t="shared" si="4"/>
        <v>Bank of America</v>
      </c>
      <c r="O2055" s="5" t="str">
        <f t="shared" si="5"/>
        <v>1 year 4 months in role</v>
      </c>
      <c r="P2055" s="5" t="str">
        <f t="shared" si="6"/>
        <v>New York</v>
      </c>
      <c r="Q2055" s="5" t="str">
        <f t="shared" si="7"/>
        <v>New York</v>
      </c>
      <c r="R2055" s="5" t="str">
        <f t="shared" si="8"/>
        <v>United States</v>
      </c>
    </row>
    <row r="2056">
      <c r="A2056" s="8" t="s">
        <v>9824</v>
      </c>
      <c r="B2056" s="12" t="s">
        <v>9825</v>
      </c>
      <c r="C2056" s="10" t="s">
        <v>9826</v>
      </c>
      <c r="D2056" s="10"/>
      <c r="E2056" s="10" t="s">
        <v>5090</v>
      </c>
      <c r="F2056" s="10" t="s">
        <v>1950</v>
      </c>
      <c r="G2056" s="11" t="s">
        <v>2113</v>
      </c>
      <c r="H2056" s="11" t="s">
        <v>4599</v>
      </c>
      <c r="I2056" s="11" t="s">
        <v>4600</v>
      </c>
      <c r="J2056" s="9" t="str">
        <f>IFERROR(__xludf.DUMMYFUNCTION("""COMPUTED_VALUE"""),"https://www.google.com/search?newwindow=1&amp;ei=2MT0XrvGGM-vytMP1OyDgAY&amp;q=site%3Alinkedin.com+Carmen+Del+Valle+Vice+President,+Diversity+Campus+Recruiter,+Global+Banking+&amp;+Markets+Bank+of+America")</f>
        <v>https://www.google.com/search?newwindow=1&amp;ei=2MT0XrvGGM-vytMP1OyDgAY&amp;q=site%3Alinkedin.com+Carmen+Del+Valle+Vice+President,+Diversity+Campus+Recruiter,+Global+Banking+&amp;+Markets+Bank+of+America</v>
      </c>
      <c r="K2056" s="5" t="str">
        <f t="shared" si="1"/>
        <v>Carmen Del Valle</v>
      </c>
      <c r="L2056" s="5" t="str">
        <f t="shared" si="2"/>
        <v>Vice President, Diversity Campus Recruiter, Global Banking &amp; Markets</v>
      </c>
      <c r="M2056" s="5" t="str">
        <f t="shared" si="3"/>
        <v> </v>
      </c>
      <c r="N2056" s="5" t="str">
        <f t="shared" si="4"/>
        <v>Bank of America</v>
      </c>
      <c r="O2056" s="5" t="str">
        <f t="shared" si="5"/>
        <v>1 year  in role and company</v>
      </c>
      <c r="P2056" s="5" t="str">
        <f t="shared" si="6"/>
        <v>New York</v>
      </c>
      <c r="Q2056" s="5" t="str">
        <f t="shared" si="7"/>
        <v>New York</v>
      </c>
      <c r="R2056" s="5" t="str">
        <f t="shared" si="8"/>
        <v>United States</v>
      </c>
    </row>
    <row r="2057">
      <c r="A2057" s="8" t="s">
        <v>9882</v>
      </c>
      <c r="B2057" s="12" t="s">
        <v>9883</v>
      </c>
      <c r="C2057" s="10" t="s">
        <v>9884</v>
      </c>
      <c r="D2057" s="10"/>
      <c r="E2057" s="10" t="s">
        <v>5090</v>
      </c>
      <c r="F2057" s="10" t="s">
        <v>2241</v>
      </c>
      <c r="G2057" s="11" t="s">
        <v>2113</v>
      </c>
      <c r="H2057" s="11" t="s">
        <v>4599</v>
      </c>
      <c r="I2057" s="11" t="s">
        <v>4600</v>
      </c>
      <c r="J2057" s="9" t="str">
        <f>IFERROR(__xludf.DUMMYFUNCTION("""COMPUTED_VALUE"""),"https://www.google.com/search?newwindow=1&amp;ei=2MT0XrvGGM-vytMP1OyDgAY&amp;q=site%3Alinkedin.com+Alexa+Migton+Campus+Recruiter+Bank+of+America")</f>
        <v>https://www.google.com/search?newwindow=1&amp;ei=2MT0XrvGGM-vytMP1OyDgAY&amp;q=site%3Alinkedin.com+Alexa+Migton+Campus+Recruiter+Bank+of+America</v>
      </c>
      <c r="K2057" s="5" t="str">
        <f t="shared" si="1"/>
        <v>Alexa Migton</v>
      </c>
      <c r="L2057" s="5" t="str">
        <f t="shared" si="2"/>
        <v>Campus Recruiter</v>
      </c>
      <c r="M2057" s="5" t="str">
        <f t="shared" si="3"/>
        <v> </v>
      </c>
      <c r="N2057" s="5" t="str">
        <f t="shared" si="4"/>
        <v>Bank of America</v>
      </c>
      <c r="O2057" s="5" t="str">
        <f t="shared" si="5"/>
        <v>1 year 7 months in role and company</v>
      </c>
      <c r="P2057" s="5" t="str">
        <f t="shared" si="6"/>
        <v>New York</v>
      </c>
      <c r="Q2057" s="5" t="str">
        <f t="shared" si="7"/>
        <v>New York</v>
      </c>
      <c r="R2057" s="5" t="str">
        <f t="shared" si="8"/>
        <v>United States</v>
      </c>
    </row>
    <row r="2058">
      <c r="A2058" s="8" t="s">
        <v>9885</v>
      </c>
      <c r="B2058" s="12" t="s">
        <v>9886</v>
      </c>
      <c r="C2058" s="10" t="s">
        <v>9887</v>
      </c>
      <c r="D2058" s="10"/>
      <c r="E2058" s="10" t="s">
        <v>9888</v>
      </c>
      <c r="F2058" s="10" t="s">
        <v>727</v>
      </c>
      <c r="G2058" s="11" t="s">
        <v>2113</v>
      </c>
      <c r="H2058" s="11" t="s">
        <v>4599</v>
      </c>
      <c r="I2058" s="11" t="s">
        <v>4600</v>
      </c>
      <c r="J2058" s="9" t="str">
        <f>IFERROR(__xludf.DUMMYFUNCTION("""COMPUTED_VALUE"""),"https://www.google.com/search?newwindow=1&amp;ei=2MT0XrvGGM-vytMP1OyDgAY&amp;q=site%3Alinkedin.com+Izabel+Tropnasse+Assistant+Vice+President;+MBA+Campus+Recruiter+Bank+of+America")</f>
        <v>https://www.google.com/search?newwindow=1&amp;ei=2MT0XrvGGM-vytMP1OyDgAY&amp;q=site%3Alinkedin.com+Izabel+Tropnasse+Assistant+Vice+President;+MBA+Campus+Recruiter+Bank+of+America</v>
      </c>
      <c r="K2058" s="5" t="str">
        <f t="shared" si="1"/>
        <v>Izabel Tropnasse</v>
      </c>
      <c r="L2058" s="5" t="str">
        <f t="shared" si="2"/>
        <v>Assistant Vice President; MBA Campus Recruiter</v>
      </c>
      <c r="M2058" s="5" t="str">
        <f t="shared" si="3"/>
        <v>MBA</v>
      </c>
      <c r="N2058" s="5" t="str">
        <f t="shared" si="4"/>
        <v>Bank of America</v>
      </c>
      <c r="O2058" s="5" t="str">
        <f t="shared" si="5"/>
        <v>3 months in role</v>
      </c>
      <c r="P2058" s="5" t="str">
        <f t="shared" si="6"/>
        <v>Wantagh</v>
      </c>
      <c r="Q2058" s="5" t="str">
        <f t="shared" si="7"/>
        <v>New York</v>
      </c>
      <c r="R2058" s="5" t="str">
        <f t="shared" si="8"/>
        <v>United States</v>
      </c>
    </row>
    <row r="2059">
      <c r="A2059" s="8" t="s">
        <v>9827</v>
      </c>
      <c r="B2059" s="10" t="s">
        <v>9828</v>
      </c>
      <c r="C2059" s="10" t="s">
        <v>9829</v>
      </c>
      <c r="D2059" s="10"/>
      <c r="E2059" s="10" t="s">
        <v>9830</v>
      </c>
      <c r="F2059" s="10" t="s">
        <v>9401</v>
      </c>
      <c r="G2059" s="11" t="s">
        <v>2113</v>
      </c>
      <c r="H2059" s="11" t="s">
        <v>4599</v>
      </c>
      <c r="I2059" s="11" t="s">
        <v>4600</v>
      </c>
      <c r="J2059" s="9" t="str">
        <f>IFERROR(__xludf.DUMMYFUNCTION("""COMPUTED_VALUE"""),"https://www.google.com/search?newwindow=1&amp;ei=2MT0XrvGGM-vytMP1OyDgAY&amp;q=site%3Alinkedin.com+Natalie+Choe+Vice+President+-+Diversity+Campus+Recruiting+&amp;+Veterans+Associate+Recruiter/Program+Manager+Bank+of+America")</f>
        <v>https://www.google.com/search?newwindow=1&amp;ei=2MT0XrvGGM-vytMP1OyDgAY&amp;q=site%3Alinkedin.com+Natalie+Choe+Vice+President+-+Diversity+Campus+Recruiting+&amp;+Veterans+Associate+Recruiter/Program+Manager+Bank+of+America</v>
      </c>
      <c r="K2059" s="5" t="str">
        <f t="shared" si="1"/>
        <v>Natalie Choe</v>
      </c>
      <c r="L2059" s="5" t="str">
        <f t="shared" si="2"/>
        <v>Vice President - Diversity Campus Recruiting &amp; Veterans Associate Recruiter/Program Manager</v>
      </c>
      <c r="M2059" s="5" t="str">
        <f t="shared" si="3"/>
        <v> </v>
      </c>
      <c r="N2059" s="5" t="str">
        <f t="shared" si="4"/>
        <v>Bank of America</v>
      </c>
      <c r="O2059" s="5" t="str">
        <f t="shared" si="5"/>
        <v>2 years 9 months in role and company</v>
      </c>
      <c r="P2059" s="5" t="str">
        <f t="shared" si="6"/>
        <v>Washington</v>
      </c>
      <c r="Q2059" s="5" t="str">
        <f t="shared" si="7"/>
        <v>District of Columbia</v>
      </c>
      <c r="R2059" s="5" t="str">
        <f t="shared" si="8"/>
        <v>United States</v>
      </c>
    </row>
    <row r="2060">
      <c r="A2060" s="8" t="s">
        <v>9889</v>
      </c>
      <c r="B2060" s="10" t="s">
        <v>9890</v>
      </c>
      <c r="C2060" s="10" t="s">
        <v>9891</v>
      </c>
      <c r="D2060" s="10"/>
      <c r="E2060" s="10" t="s">
        <v>9892</v>
      </c>
      <c r="F2060" s="10" t="s">
        <v>237</v>
      </c>
      <c r="G2060" s="11" t="s">
        <v>2113</v>
      </c>
      <c r="H2060" s="11" t="s">
        <v>4599</v>
      </c>
      <c r="I2060" s="11" t="s">
        <v>4600</v>
      </c>
      <c r="J2060" s="9" t="str">
        <f>IFERROR(__xludf.DUMMYFUNCTION("""COMPUTED_VALUE"""),"https://www.google.com/search?newwindow=1&amp;ei=2MT0XrvGGM-vytMP1OyDgAY&amp;q=site%3Alinkedin.com+Gail+Diaz+Campus+Recruiter+Bank+of+America")</f>
        <v>https://www.google.com/search?newwindow=1&amp;ei=2MT0XrvGGM-vytMP1OyDgAY&amp;q=site%3Alinkedin.com+Gail+Diaz+Campus+Recruiter+Bank+of+America</v>
      </c>
      <c r="K2060" s="5" t="str">
        <f t="shared" si="1"/>
        <v>Gail Diaz</v>
      </c>
      <c r="L2060" s="5" t="str">
        <f t="shared" si="2"/>
        <v>Campus Recruiter</v>
      </c>
      <c r="M2060" s="5" t="str">
        <f t="shared" si="3"/>
        <v> </v>
      </c>
      <c r="N2060" s="5" t="str">
        <f t="shared" si="4"/>
        <v>Bank of America</v>
      </c>
      <c r="O2060" s="5" t="str">
        <f t="shared" si="5"/>
        <v>12 years 2 months in role and company</v>
      </c>
      <c r="P2060" s="5" t="str">
        <f t="shared" si="6"/>
        <v>Wilmington</v>
      </c>
      <c r="Q2060" s="5" t="str">
        <f t="shared" si="7"/>
        <v>Delaware</v>
      </c>
      <c r="R2060" s="5" t="str">
        <f t="shared" si="8"/>
        <v>United States</v>
      </c>
    </row>
    <row r="2061">
      <c r="A2061" s="8" t="s">
        <v>9893</v>
      </c>
      <c r="B2061" s="10" t="s">
        <v>9894</v>
      </c>
      <c r="C2061" s="10" t="s">
        <v>9895</v>
      </c>
      <c r="D2061" s="10"/>
      <c r="E2061" s="10" t="s">
        <v>5450</v>
      </c>
      <c r="F2061" s="10" t="s">
        <v>8705</v>
      </c>
      <c r="G2061" s="11" t="s">
        <v>2113</v>
      </c>
      <c r="H2061" s="11" t="s">
        <v>4599</v>
      </c>
      <c r="I2061" s="11" t="s">
        <v>4600</v>
      </c>
      <c r="J2061" s="9" t="str">
        <f>IFERROR(__xludf.DUMMYFUNCTION("""COMPUTED_VALUE"""),"https://www.google.com/search?newwindow=1&amp;ei=2MT0XrvGGM-vytMP1OyDgAY&amp;q=site%3Alinkedin.com+Jennie+Montoya+Campus+Recruiter+Bank+of+America")</f>
        <v>https://www.google.com/search?newwindow=1&amp;ei=2MT0XrvGGM-vytMP1OyDgAY&amp;q=site%3Alinkedin.com+Jennie+Montoya+Campus+Recruiter+Bank+of+America</v>
      </c>
      <c r="K2061" s="5" t="str">
        <f t="shared" si="1"/>
        <v>Jennie Montoya</v>
      </c>
      <c r="L2061" s="5" t="str">
        <f t="shared" si="2"/>
        <v>Campus Recruiter</v>
      </c>
      <c r="M2061" s="5" t="str">
        <f t="shared" si="3"/>
        <v> </v>
      </c>
      <c r="N2061" s="5" t="str">
        <f t="shared" si="4"/>
        <v>Bank of America</v>
      </c>
      <c r="O2061" s="5" t="str">
        <f t="shared" si="5"/>
        <v>15 years 8 months in role and company</v>
      </c>
      <c r="P2061" s="5" t="str">
        <f t="shared" si="6"/>
        <v>Wilmington</v>
      </c>
      <c r="Q2061" s="5" t="str">
        <f t="shared" si="7"/>
        <v>North Carolina</v>
      </c>
      <c r="R2061" s="5" t="str">
        <f t="shared" si="8"/>
        <v>United States</v>
      </c>
    </row>
    <row r="2062">
      <c r="A2062" s="8" t="s">
        <v>9831</v>
      </c>
      <c r="B2062" s="10" t="s">
        <v>9832</v>
      </c>
      <c r="C2062" s="10" t="s">
        <v>4596</v>
      </c>
      <c r="D2062" s="10"/>
      <c r="E2062" s="10" t="s">
        <v>9833</v>
      </c>
      <c r="F2062" s="10" t="s">
        <v>9016</v>
      </c>
      <c r="G2062" s="11" t="s">
        <v>2113</v>
      </c>
      <c r="H2062" s="11" t="s">
        <v>4599</v>
      </c>
      <c r="I2062" s="11" t="s">
        <v>4600</v>
      </c>
      <c r="J2062" s="9" t="str">
        <f>IFERROR(__xludf.DUMMYFUNCTION("""COMPUTED_VALUE"""),"https://www.google.com/search?newwindow=1&amp;ei=2MT0XrvGGM-vytMP1OyDgAY&amp;q=site%3Alinkedin.com+Paula+Rose+Campus+Recruiter+Bank+of+America+Merrill+Lynch")</f>
        <v>https://www.google.com/search?newwindow=1&amp;ei=2MT0XrvGGM-vytMP1OyDgAY&amp;q=site%3Alinkedin.com+Paula+Rose+Campus+Recruiter+Bank+of+America+Merrill+Lynch</v>
      </c>
      <c r="K2062" s="5" t="str">
        <f t="shared" si="1"/>
        <v>Paula Rose</v>
      </c>
      <c r="L2062" s="5" t="str">
        <f t="shared" si="2"/>
        <v>Campus Recruiter</v>
      </c>
      <c r="M2062" s="5" t="str">
        <f t="shared" si="3"/>
        <v> </v>
      </c>
      <c r="N2062" s="5" t="str">
        <f t="shared" si="4"/>
        <v>Bank of America</v>
      </c>
      <c r="O2062" s="5" t="str">
        <f t="shared" si="5"/>
        <v>3 years 10 months in role and company</v>
      </c>
      <c r="P2062" s="5" t="str">
        <f t="shared" si="6"/>
        <v>Los Angeles</v>
      </c>
      <c r="Q2062" s="5" t="str">
        <f t="shared" si="7"/>
        <v>California</v>
      </c>
      <c r="R2062" s="5" t="str">
        <f t="shared" si="8"/>
        <v>United States</v>
      </c>
    </row>
    <row r="2063">
      <c r="A2063" s="8" t="s">
        <v>9896</v>
      </c>
      <c r="B2063" s="10" t="s">
        <v>9897</v>
      </c>
      <c r="C2063" s="10" t="s">
        <v>9898</v>
      </c>
      <c r="D2063" s="10"/>
      <c r="E2063" s="10" t="s">
        <v>5132</v>
      </c>
      <c r="F2063" s="10" t="s">
        <v>1729</v>
      </c>
      <c r="G2063" s="11" t="s">
        <v>2113</v>
      </c>
      <c r="H2063" s="11" t="s">
        <v>4599</v>
      </c>
      <c r="I2063" s="11" t="s">
        <v>4600</v>
      </c>
      <c r="J2063" s="9" t="str">
        <f>IFERROR(__xludf.DUMMYFUNCTION("""COMPUTED_VALUE"""),"https://www.google.com/search?newwindow=1&amp;ei=2MT0XrvGGM-vytMP1OyDgAY&amp;q=site%3Alinkedin.com+Christie+Neuhaus+Campus+Recruiter+Bank+of+America+Merrill+Lynch")</f>
        <v>https://www.google.com/search?newwindow=1&amp;ei=2MT0XrvGGM-vytMP1OyDgAY&amp;q=site%3Alinkedin.com+Christie+Neuhaus+Campus+Recruiter+Bank+of+America+Merrill+Lynch</v>
      </c>
      <c r="K2063" s="5" t="str">
        <f t="shared" si="1"/>
        <v>Christie Neuhaus</v>
      </c>
      <c r="L2063" s="5" t="str">
        <f t="shared" si="2"/>
        <v>Campus Recruiter</v>
      </c>
      <c r="M2063" s="5" t="str">
        <f t="shared" si="3"/>
        <v> </v>
      </c>
      <c r="N2063" s="5" t="str">
        <f t="shared" si="4"/>
        <v>Bank of America</v>
      </c>
      <c r="O2063" s="5" t="str">
        <f t="shared" si="5"/>
        <v>1 year 7 months in role</v>
      </c>
      <c r="P2063" s="5" t="str">
        <f t="shared" si="6"/>
        <v>New York</v>
      </c>
      <c r="Q2063" s="5" t="str">
        <f t="shared" si="7"/>
        <v>New York</v>
      </c>
      <c r="R2063" s="5" t="str">
        <f t="shared" si="8"/>
        <v>United States</v>
      </c>
    </row>
    <row r="2064">
      <c r="A2064" s="8" t="s">
        <v>9899</v>
      </c>
      <c r="B2064" s="12" t="s">
        <v>9900</v>
      </c>
      <c r="C2064" s="10" t="s">
        <v>9901</v>
      </c>
      <c r="D2064" s="10"/>
      <c r="E2064" s="10" t="s">
        <v>9902</v>
      </c>
      <c r="F2064" s="10" t="s">
        <v>691</v>
      </c>
      <c r="G2064" s="11" t="s">
        <v>2113</v>
      </c>
      <c r="H2064" s="11" t="s">
        <v>4599</v>
      </c>
      <c r="I2064" s="11" t="s">
        <v>4600</v>
      </c>
      <c r="J2064" s="9" t="str">
        <f>IFERROR(__xludf.DUMMYFUNCTION("""COMPUTED_VALUE"""),"https://www.google.com/search?newwindow=1&amp;ei=2MT0XrvGGM-vytMP1OyDgAY&amp;q=site%3Alinkedin.com+Brittany+Convery+Assistant+Vice+President,+Campus+Recruiter+Bank+of+America+Merrill+Lynch")</f>
        <v>https://www.google.com/search?newwindow=1&amp;ei=2MT0XrvGGM-vytMP1OyDgAY&amp;q=site%3Alinkedin.com+Brittany+Convery+Assistant+Vice+President,+Campus+Recruiter+Bank+of+America+Merrill+Lynch</v>
      </c>
      <c r="K2064" s="5" t="str">
        <f t="shared" si="1"/>
        <v>Brittany Convery</v>
      </c>
      <c r="L2064" s="5" t="str">
        <f t="shared" si="2"/>
        <v>Assistant Vice President, Campus Recruiter</v>
      </c>
      <c r="M2064" s="5" t="str">
        <f t="shared" si="3"/>
        <v> </v>
      </c>
      <c r="N2064" s="5" t="str">
        <f t="shared" si="4"/>
        <v>Bank of America</v>
      </c>
      <c r="O2064" s="5" t="str">
        <f t="shared" si="5"/>
        <v>1 year 2 months in role and company</v>
      </c>
      <c r="P2064" s="5" t="str">
        <f t="shared" si="6"/>
        <v>New York</v>
      </c>
      <c r="Q2064" s="5" t="str">
        <f t="shared" si="7"/>
        <v>New York</v>
      </c>
      <c r="R2064" s="5" t="str">
        <f t="shared" si="8"/>
        <v>United States</v>
      </c>
    </row>
    <row r="2065">
      <c r="A2065" s="8" t="s">
        <v>9834</v>
      </c>
      <c r="B2065" s="10" t="s">
        <v>9835</v>
      </c>
      <c r="C2065" s="10" t="s">
        <v>9836</v>
      </c>
      <c r="D2065" s="10"/>
      <c r="E2065" s="10" t="s">
        <v>5132</v>
      </c>
      <c r="F2065" s="10" t="s">
        <v>9837</v>
      </c>
      <c r="G2065" s="11" t="s">
        <v>2113</v>
      </c>
      <c r="H2065" s="11" t="s">
        <v>4599</v>
      </c>
      <c r="I2065" s="11" t="s">
        <v>4600</v>
      </c>
      <c r="J2065" s="9" t="str">
        <f>IFERROR(__xludf.DUMMYFUNCTION("""COMPUTED_VALUE"""),"https://www.google.com/search?newwindow=1&amp;ei=2MT0XrvGGM-vytMP1OyDgAY&amp;q=site%3Alinkedin.com+Andrea+Parsley+Diversity+Campus+Recruiter+Barclays+Capital")</f>
        <v>https://www.google.com/search?newwindow=1&amp;ei=2MT0XrvGGM-vytMP1OyDgAY&amp;q=site%3Alinkedin.com+Andrea+Parsley+Diversity+Campus+Recruiter+Barclays+Capital</v>
      </c>
      <c r="K2065" s="5" t="str">
        <f t="shared" si="1"/>
        <v>Andrea Parsley</v>
      </c>
      <c r="L2065" s="5" t="str">
        <f t="shared" si="2"/>
        <v>Diversity Campus Recruiter</v>
      </c>
      <c r="M2065" s="5" t="str">
        <f t="shared" si="3"/>
        <v> </v>
      </c>
      <c r="N2065" s="5" t="str">
        <f t="shared" si="4"/>
        <v>Barclays Capital</v>
      </c>
      <c r="O2065" s="5" t="str">
        <f t="shared" si="5"/>
        <v>9 years 3 months in role and company</v>
      </c>
      <c r="P2065" s="5" t="str">
        <f t="shared" si="6"/>
        <v>New York</v>
      </c>
      <c r="Q2065" s="5" t="str">
        <f t="shared" si="7"/>
        <v>New York</v>
      </c>
      <c r="R2065" s="5" t="str">
        <f t="shared" si="8"/>
        <v>United States</v>
      </c>
    </row>
    <row r="2066">
      <c r="A2066" s="8" t="s">
        <v>9903</v>
      </c>
      <c r="B2066" s="10" t="s">
        <v>9904</v>
      </c>
      <c r="C2066" s="10" t="s">
        <v>9905</v>
      </c>
      <c r="D2066" s="10"/>
      <c r="E2066" s="10" t="s">
        <v>9906</v>
      </c>
      <c r="F2066" s="10" t="s">
        <v>179</v>
      </c>
      <c r="G2066" s="11" t="s">
        <v>2113</v>
      </c>
      <c r="H2066" s="11" t="s">
        <v>4599</v>
      </c>
      <c r="I2066" s="11" t="s">
        <v>4600</v>
      </c>
      <c r="J2066" s="9" t="str">
        <f>IFERROR(__xludf.DUMMYFUNCTION("""COMPUTED_VALUE"""),"https://www.google.com/search?newwindow=1&amp;ei=2MT0XrvGGM-vytMP1OyDgAY&amp;q=site%3Alinkedin.com+Courtney+Goldsmith+Associate+Campus+Recruiter+Barclays+Capital")</f>
        <v>https://www.google.com/search?newwindow=1&amp;ei=2MT0XrvGGM-vytMP1OyDgAY&amp;q=site%3Alinkedin.com+Courtney+Goldsmith+Associate+Campus+Recruiter+Barclays+Capital</v>
      </c>
      <c r="K2066" s="5" t="str">
        <f t="shared" si="1"/>
        <v>Courtney Goldsmith</v>
      </c>
      <c r="L2066" s="5" t="str">
        <f t="shared" si="2"/>
        <v>Associate Campus Recruiter</v>
      </c>
      <c r="M2066" s="5" t="str">
        <f t="shared" si="3"/>
        <v> </v>
      </c>
      <c r="N2066" s="5" t="str">
        <f t="shared" si="4"/>
        <v>Barclays Capital</v>
      </c>
      <c r="O2066" s="5" t="str">
        <f t="shared" si="5"/>
        <v>12 years 10 months in role and company</v>
      </c>
      <c r="P2066" s="5" t="str">
        <f t="shared" si="6"/>
        <v>New York</v>
      </c>
      <c r="Q2066" s="5" t="str">
        <f t="shared" si="7"/>
        <v>New York</v>
      </c>
      <c r="R2066" s="5" t="str">
        <f t="shared" si="8"/>
        <v>United States</v>
      </c>
    </row>
    <row r="2067">
      <c r="A2067" s="8" t="s">
        <v>9838</v>
      </c>
      <c r="B2067" s="12" t="s">
        <v>9839</v>
      </c>
      <c r="C2067" s="10" t="s">
        <v>9840</v>
      </c>
      <c r="D2067" s="10"/>
      <c r="E2067" s="10" t="s">
        <v>9841</v>
      </c>
      <c r="F2067" s="10" t="s">
        <v>365</v>
      </c>
      <c r="G2067" s="11" t="s">
        <v>2113</v>
      </c>
      <c r="H2067" s="11" t="s">
        <v>4599</v>
      </c>
      <c r="I2067" s="11" t="s">
        <v>4600</v>
      </c>
      <c r="J2067" s="9" t="str">
        <f>IFERROR(__xludf.DUMMYFUNCTION("""COMPUTED_VALUE"""),"https://www.google.com/search?newwindow=1&amp;ei=2MT0XrvGGM-vytMP1OyDgAY&amp;q=site%3Alinkedin.com+Kelly+Doyle+Campus+Recruiter+Barclays+Capital")</f>
        <v>https://www.google.com/search?newwindow=1&amp;ei=2MT0XrvGGM-vytMP1OyDgAY&amp;q=site%3Alinkedin.com+Kelly+Doyle+Campus+Recruiter+Barclays+Capital</v>
      </c>
      <c r="K2067" s="5" t="str">
        <f t="shared" si="1"/>
        <v>Kelly Doyle</v>
      </c>
      <c r="L2067" s="5" t="str">
        <f t="shared" si="2"/>
        <v>Campus Recruiter</v>
      </c>
      <c r="M2067" s="5" t="str">
        <f t="shared" si="3"/>
        <v> </v>
      </c>
      <c r="N2067" s="5" t="str">
        <f t="shared" si="4"/>
        <v>Barclays Capital</v>
      </c>
      <c r="O2067" s="5" t="str">
        <f t="shared" si="5"/>
        <v/>
      </c>
      <c r="P2067" s="5" t="str">
        <f t="shared" si="6"/>
        <v>New York</v>
      </c>
      <c r="Q2067" s="5" t="str">
        <f t="shared" si="7"/>
        <v>New York</v>
      </c>
      <c r="R2067" s="5" t="str">
        <f t="shared" si="8"/>
        <v>United States</v>
      </c>
    </row>
    <row r="2068">
      <c r="A2068" s="8" t="s">
        <v>9907</v>
      </c>
      <c r="B2068" s="10" t="s">
        <v>9908</v>
      </c>
      <c r="C2068" s="10" t="s">
        <v>9909</v>
      </c>
      <c r="D2068" s="10"/>
      <c r="E2068" s="10" t="s">
        <v>8507</v>
      </c>
      <c r="F2068" s="10" t="s">
        <v>901</v>
      </c>
      <c r="G2068" s="11" t="s">
        <v>2113</v>
      </c>
      <c r="H2068" s="11" t="s">
        <v>4599</v>
      </c>
      <c r="I2068" s="11" t="s">
        <v>4600</v>
      </c>
      <c r="J2068" s="9" t="str">
        <f>IFERROR(__xludf.DUMMYFUNCTION("""COMPUTED_VALUE"""),"https://www.google.com/search?newwindow=1&amp;ei=2MT0XrvGGM-vytMP1OyDgAY&amp;q=site%3Alinkedin.com+Renee+Savino+Banking+Analyst+Campus+Recruiter+Barclays+Investment+Bank")</f>
        <v>https://www.google.com/search?newwindow=1&amp;ei=2MT0XrvGGM-vytMP1OyDgAY&amp;q=site%3Alinkedin.com+Renee+Savino+Banking+Analyst+Campus+Recruiter+Barclays+Investment+Bank</v>
      </c>
      <c r="K2068" s="5" t="str">
        <f t="shared" si="1"/>
        <v>Renee Savino</v>
      </c>
      <c r="L2068" s="5" t="str">
        <f t="shared" si="2"/>
        <v>Banking Analyst Campus Recruiter</v>
      </c>
      <c r="M2068" s="5" t="str">
        <f t="shared" si="3"/>
        <v> </v>
      </c>
      <c r="N2068" s="5" t="str">
        <f t="shared" si="4"/>
        <v>Barclays Capital</v>
      </c>
      <c r="O2068" s="5" t="str">
        <f t="shared" si="5"/>
        <v>9 months in role and company</v>
      </c>
      <c r="P2068" s="5" t="str">
        <f t="shared" si="6"/>
        <v>New York</v>
      </c>
      <c r="Q2068" s="5" t="str">
        <f t="shared" si="7"/>
        <v>New York</v>
      </c>
      <c r="R2068" s="5" t="str">
        <f t="shared" si="8"/>
        <v>United States</v>
      </c>
    </row>
    <row r="2069">
      <c r="A2069" s="8" t="s">
        <v>9910</v>
      </c>
      <c r="B2069" s="12" t="s">
        <v>9911</v>
      </c>
      <c r="C2069" s="10" t="s">
        <v>9912</v>
      </c>
      <c r="D2069" s="10"/>
      <c r="E2069" s="10" t="s">
        <v>5201</v>
      </c>
      <c r="F2069" s="10" t="s">
        <v>125</v>
      </c>
      <c r="G2069" s="11" t="s">
        <v>2113</v>
      </c>
      <c r="H2069" s="11" t="s">
        <v>4599</v>
      </c>
      <c r="I2069" s="11" t="s">
        <v>4600</v>
      </c>
      <c r="J2069" s="9" t="str">
        <f>IFERROR(__xludf.DUMMYFUNCTION("""COMPUTED_VALUE"""),"https://www.google.com/search?newwindow=1&amp;ei=2MT0XrvGGM-vytMP1OyDgAY&amp;q=site%3Alinkedin.com+Olivia+Forte+Campus+Recruiter+BDO")</f>
        <v>https://www.google.com/search?newwindow=1&amp;ei=2MT0XrvGGM-vytMP1OyDgAY&amp;q=site%3Alinkedin.com+Olivia+Forte+Campus+Recruiter+BDO</v>
      </c>
      <c r="K2069" s="5" t="str">
        <f t="shared" si="1"/>
        <v>Olivia Forte</v>
      </c>
      <c r="L2069" s="5" t="str">
        <f t="shared" si="2"/>
        <v>Campus Recruiter</v>
      </c>
      <c r="M2069" s="5" t="str">
        <f t="shared" si="3"/>
        <v> </v>
      </c>
      <c r="N2069" s="5" t="str">
        <f t="shared" si="4"/>
        <v>BDO</v>
      </c>
      <c r="O2069" s="5" t="str">
        <f t="shared" si="5"/>
        <v>1 year 5 months in role and company</v>
      </c>
      <c r="P2069" s="5" t="str">
        <f t="shared" si="6"/>
        <v>Cleveland</v>
      </c>
      <c r="Q2069" s="5" t="str">
        <f t="shared" si="7"/>
        <v>Ohio</v>
      </c>
      <c r="R2069" s="5" t="str">
        <f t="shared" si="8"/>
        <v>United States</v>
      </c>
    </row>
    <row r="2070">
      <c r="A2070" s="8" t="s">
        <v>9845</v>
      </c>
      <c r="B2070" s="10" t="s">
        <v>9846</v>
      </c>
      <c r="C2070" s="10" t="s">
        <v>9847</v>
      </c>
      <c r="D2070" s="10"/>
      <c r="E2070" s="10" t="s">
        <v>9848</v>
      </c>
      <c r="F2070" s="10" t="s">
        <v>9849</v>
      </c>
      <c r="G2070" s="11" t="s">
        <v>2113</v>
      </c>
      <c r="H2070" s="11" t="s">
        <v>4599</v>
      </c>
      <c r="I2070" s="11" t="s">
        <v>4600</v>
      </c>
      <c r="J2070" s="9" t="str">
        <f>IFERROR(__xludf.DUMMYFUNCTION("""COMPUTED_VALUE"""),"https://www.google.com/search?newwindow=1&amp;ei=2MT0XrvGGM-vytMP1OyDgAY&amp;q=site%3Alinkedin.com+Annie+Allred+Campus+Recruiting+Manager+BDO")</f>
        <v>https://www.google.com/search?newwindow=1&amp;ei=2MT0XrvGGM-vytMP1OyDgAY&amp;q=site%3Alinkedin.com+Annie+Allred+Campus+Recruiting+Manager+BDO</v>
      </c>
      <c r="K2070" s="5" t="str">
        <f t="shared" si="1"/>
        <v>Annie Allred</v>
      </c>
      <c r="L2070" s="5" t="str">
        <f t="shared" si="2"/>
        <v>Campus Recruiting Manager</v>
      </c>
      <c r="M2070" s="5" t="str">
        <f t="shared" si="3"/>
        <v> </v>
      </c>
      <c r="N2070" s="5" t="str">
        <f t="shared" si="4"/>
        <v>BDO</v>
      </c>
      <c r="O2070" s="5" t="str">
        <f t="shared" si="5"/>
        <v>3 years 8 months in role and company</v>
      </c>
      <c r="P2070" s="5" t="str">
        <f t="shared" si="6"/>
        <v>Dallas</v>
      </c>
      <c r="Q2070" s="5" t="str">
        <f t="shared" si="7"/>
        <v>Texas</v>
      </c>
      <c r="R2070" s="5" t="str">
        <f t="shared" si="8"/>
        <v>United States</v>
      </c>
    </row>
    <row r="2071">
      <c r="A2071" s="8" t="s">
        <v>9913</v>
      </c>
      <c r="B2071" s="10" t="s">
        <v>9914</v>
      </c>
      <c r="C2071" s="10" t="s">
        <v>9915</v>
      </c>
      <c r="D2071" s="10"/>
      <c r="E2071" s="10" t="s">
        <v>5132</v>
      </c>
      <c r="F2071" s="10" t="s">
        <v>228</v>
      </c>
      <c r="G2071" s="11" t="s">
        <v>2113</v>
      </c>
      <c r="H2071" s="11" t="s">
        <v>4599</v>
      </c>
      <c r="I2071" s="11" t="s">
        <v>4600</v>
      </c>
      <c r="J2071" s="9" t="str">
        <f>IFERROR(__xludf.DUMMYFUNCTION("""COMPUTED_VALUE"""),"https://www.google.com/search?newwindow=1&amp;ei=2MT0XrvGGM-vytMP1OyDgAY&amp;q=site%3Alinkedin.com+Celisse+Coppel+Campus+Recruiter+BDO")</f>
        <v>https://www.google.com/search?newwindow=1&amp;ei=2MT0XrvGGM-vytMP1OyDgAY&amp;q=site%3Alinkedin.com+Celisse+Coppel+Campus+Recruiter+BDO</v>
      </c>
      <c r="K2071" s="5" t="str">
        <f t="shared" si="1"/>
        <v>Celisse Coppel</v>
      </c>
      <c r="L2071" s="5" t="str">
        <f t="shared" si="2"/>
        <v>Campus Recruiter</v>
      </c>
      <c r="M2071" s="5" t="str">
        <f t="shared" si="3"/>
        <v> </v>
      </c>
      <c r="N2071" s="5" t="str">
        <f t="shared" si="4"/>
        <v>BDO</v>
      </c>
      <c r="O2071" s="5" t="str">
        <f t="shared" si="5"/>
        <v>2 years 10 months in role and company</v>
      </c>
      <c r="P2071" s="5" t="str">
        <f t="shared" si="6"/>
        <v>San Francisco</v>
      </c>
      <c r="Q2071" s="5" t="str">
        <f t="shared" si="7"/>
        <v>California</v>
      </c>
      <c r="R2071" s="5" t="str">
        <f t="shared" si="8"/>
        <v>United States</v>
      </c>
    </row>
    <row r="2072">
      <c r="A2072" s="8" t="s">
        <v>9916</v>
      </c>
      <c r="B2072" s="12" t="s">
        <v>9917</v>
      </c>
      <c r="C2072" s="10" t="s">
        <v>9918</v>
      </c>
      <c r="D2072" s="10"/>
      <c r="E2072" s="10" t="s">
        <v>5132</v>
      </c>
      <c r="F2072" s="10" t="s">
        <v>574</v>
      </c>
      <c r="G2072" s="11" t="s">
        <v>2113</v>
      </c>
      <c r="H2072" s="11" t="s">
        <v>4599</v>
      </c>
      <c r="I2072" s="11" t="s">
        <v>4600</v>
      </c>
      <c r="J2072" s="9" t="str">
        <f>IFERROR(__xludf.DUMMYFUNCTION("""COMPUTED_VALUE"""),"https://www.google.com/search?newwindow=1&amp;ei=2MT0XrvGGM-vytMP1OyDgAY&amp;q=site%3Alinkedin.com+Jenny+Araque+National+Campus+Recruiting+Manager+BDO+USA,+LLP")</f>
        <v>https://www.google.com/search?newwindow=1&amp;ei=2MT0XrvGGM-vytMP1OyDgAY&amp;q=site%3Alinkedin.com+Jenny+Araque+National+Campus+Recruiting+Manager+BDO+USA,+LLP</v>
      </c>
      <c r="K2072" s="5" t="str">
        <f t="shared" si="1"/>
        <v>Jenny Araque</v>
      </c>
      <c r="L2072" s="5" t="str">
        <f t="shared" si="2"/>
        <v>National Campus Recruiting Manager</v>
      </c>
      <c r="M2072" s="5" t="str">
        <f t="shared" si="3"/>
        <v> </v>
      </c>
      <c r="N2072" s="5" t="str">
        <f t="shared" si="4"/>
        <v>BDO</v>
      </c>
      <c r="O2072" s="5" t="str">
        <f t="shared" si="5"/>
        <v>1 year 5 months in role</v>
      </c>
      <c r="P2072" s="5" t="str">
        <f t="shared" si="6"/>
        <v>Atlanta</v>
      </c>
      <c r="Q2072" s="5" t="str">
        <f t="shared" si="7"/>
        <v>Georgia</v>
      </c>
      <c r="R2072" s="5" t="str">
        <f t="shared" si="8"/>
        <v>United States</v>
      </c>
    </row>
    <row r="2073">
      <c r="A2073" s="8" t="s">
        <v>9842</v>
      </c>
      <c r="B2073" s="10" t="s">
        <v>9843</v>
      </c>
      <c r="C2073" s="10" t="s">
        <v>5072</v>
      </c>
      <c r="D2073" s="12"/>
      <c r="E2073" s="12" t="s">
        <v>9844</v>
      </c>
      <c r="F2073" s="10"/>
      <c r="G2073" s="11" t="s">
        <v>2113</v>
      </c>
      <c r="H2073" s="11" t="s">
        <v>4599</v>
      </c>
      <c r="I2073" s="11" t="s">
        <v>4600</v>
      </c>
      <c r="J2073" s="9" t="str">
        <f>IFERROR(__xludf.DUMMYFUNCTION("""COMPUTED_VALUE"""),"https://www.google.com/search?newwindow=1&amp;ei=2MT0XrvGGM-vytMP1OyDgAY&amp;q=site%3Alinkedin.com+Amanda+Martucci+Regional+HR+Generalist/Campus+Recruiter+BDO+USA,+LLP")</f>
        <v>https://www.google.com/search?newwindow=1&amp;ei=2MT0XrvGGM-vytMP1OyDgAY&amp;q=site%3Alinkedin.com+Amanda+Martucci+Regional+HR+Generalist/Campus+Recruiter+BDO+USA,+LLP</v>
      </c>
      <c r="K2073" s="5" t="str">
        <f t="shared" si="1"/>
        <v>Amanda Martucci</v>
      </c>
      <c r="L2073" s="5" t="str">
        <f t="shared" si="2"/>
        <v>Regional HR Generalist/Campus Recruiter</v>
      </c>
      <c r="M2073" s="5" t="str">
        <f t="shared" si="3"/>
        <v> </v>
      </c>
      <c r="N2073" s="5" t="str">
        <f t="shared" si="4"/>
        <v>BDO</v>
      </c>
      <c r="O2073" s="5" t="str">
        <f t="shared" si="5"/>
        <v>1 year 10 months in role and company</v>
      </c>
      <c r="P2073" s="5" t="str">
        <f t="shared" si="6"/>
        <v>Charlotte</v>
      </c>
      <c r="Q2073" s="5" t="str">
        <f t="shared" si="7"/>
        <v>North Carolina</v>
      </c>
      <c r="R2073" s="5" t="str">
        <f t="shared" si="8"/>
        <v>United States</v>
      </c>
    </row>
    <row r="2074">
      <c r="A2074" s="8" t="s">
        <v>9919</v>
      </c>
      <c r="B2074" s="10" t="s">
        <v>9920</v>
      </c>
      <c r="C2074" s="10" t="s">
        <v>9789</v>
      </c>
      <c r="D2074" s="10"/>
      <c r="E2074" s="10" t="s">
        <v>9921</v>
      </c>
      <c r="F2074" s="10"/>
      <c r="G2074" s="11" t="s">
        <v>2113</v>
      </c>
      <c r="H2074" s="11" t="s">
        <v>4599</v>
      </c>
      <c r="I2074" s="11" t="s">
        <v>4600</v>
      </c>
      <c r="J2074" s="9" t="str">
        <f>IFERROR(__xludf.DUMMYFUNCTION("""COMPUTED_VALUE"""),"https://www.google.com/search?newwindow=1&amp;ei=2MT0XrvGGM-vytMP1OyDgAY&amp;q=site%3Alinkedin.com+Joelle+Rosen+Campus+Recruiting+Manager+BDO+USA,+LLP")</f>
        <v>https://www.google.com/search?newwindow=1&amp;ei=2MT0XrvGGM-vytMP1OyDgAY&amp;q=site%3Alinkedin.com+Joelle+Rosen+Campus+Recruiting+Manager+BDO+USA,+LLP</v>
      </c>
      <c r="K2074" s="5" t="str">
        <f t="shared" si="1"/>
        <v>Joelle Rosen</v>
      </c>
      <c r="L2074" s="5" t="str">
        <f t="shared" si="2"/>
        <v>Campus Recruiting Manager</v>
      </c>
      <c r="M2074" s="5" t="str">
        <f t="shared" si="3"/>
        <v> </v>
      </c>
      <c r="N2074" s="5" t="str">
        <f t="shared" si="4"/>
        <v>BDO</v>
      </c>
      <c r="O2074" s="5" t="str">
        <f t="shared" si="5"/>
        <v>3 years 7 months in role and company</v>
      </c>
      <c r="P2074" s="5" t="str">
        <f t="shared" si="6"/>
        <v>Chicago</v>
      </c>
      <c r="Q2074" s="5" t="str">
        <f t="shared" si="7"/>
        <v>Illinois</v>
      </c>
      <c r="R2074" s="5" t="str">
        <f t="shared" si="8"/>
        <v>United States</v>
      </c>
    </row>
    <row r="2075">
      <c r="A2075" s="8" t="s">
        <v>9922</v>
      </c>
      <c r="B2075" s="10" t="s">
        <v>9923</v>
      </c>
      <c r="C2075" s="10" t="s">
        <v>9924</v>
      </c>
      <c r="D2075" s="10"/>
      <c r="E2075" s="10" t="s">
        <v>9925</v>
      </c>
      <c r="F2075" s="10" t="s">
        <v>9926</v>
      </c>
      <c r="G2075" s="11" t="s">
        <v>9927</v>
      </c>
      <c r="H2075" s="11" t="s">
        <v>4638</v>
      </c>
      <c r="I2075" s="11" t="s">
        <v>4600</v>
      </c>
      <c r="J2075" s="9" t="str">
        <f>IFERROR(__xludf.DUMMYFUNCTION("""COMPUTED_VALUE"""),"https://www.google.com/search?newwindow=1&amp;ei=2MT0XrvGGM-vytMP1OyDgAY&amp;q=site%3Alinkedin.com+Lindsay+Fisher+Campus+Recruiter+BDO+USA,+LLP")</f>
        <v>https://www.google.com/search?newwindow=1&amp;ei=2MT0XrvGGM-vytMP1OyDgAY&amp;q=site%3Alinkedin.com+Lindsay+Fisher+Campus+Recruiter+BDO+USA,+LLP</v>
      </c>
      <c r="K2075" s="5" t="str">
        <f t="shared" si="1"/>
        <v>Lindsay Fisher</v>
      </c>
      <c r="L2075" s="5" t="str">
        <f t="shared" si="2"/>
        <v>Campus Recruiter</v>
      </c>
      <c r="M2075" s="5" t="str">
        <f t="shared" si="3"/>
        <v> </v>
      </c>
      <c r="N2075" s="5" t="str">
        <f t="shared" si="4"/>
        <v>BDO</v>
      </c>
      <c r="O2075" s="5" t="str">
        <f t="shared" si="5"/>
        <v>1 year 4 months in role and company</v>
      </c>
      <c r="P2075" s="5" t="str">
        <f t="shared" si="6"/>
        <v>Columbus</v>
      </c>
      <c r="Q2075" s="5" t="str">
        <f t="shared" si="7"/>
        <v>Ohio</v>
      </c>
      <c r="R2075" s="5" t="str">
        <f t="shared" si="8"/>
        <v>United States</v>
      </c>
    </row>
    <row r="2076">
      <c r="A2076" s="8" t="s">
        <v>9928</v>
      </c>
      <c r="B2076" s="10" t="s">
        <v>9929</v>
      </c>
      <c r="C2076" s="10" t="s">
        <v>9930</v>
      </c>
      <c r="D2076" s="10"/>
      <c r="E2076" s="10" t="s">
        <v>5090</v>
      </c>
      <c r="F2076" s="10" t="s">
        <v>5386</v>
      </c>
      <c r="G2076" s="11" t="s">
        <v>5736</v>
      </c>
      <c r="H2076" s="11" t="s">
        <v>4599</v>
      </c>
      <c r="I2076" s="11" t="s">
        <v>4600</v>
      </c>
      <c r="J2076" s="9" t="str">
        <f>IFERROR(__xludf.DUMMYFUNCTION("""COMPUTED_VALUE"""),"https://www.google.com/search?newwindow=1&amp;ei=2MT0XrvGGM-vytMP1OyDgAY&amp;q=site%3Alinkedin.com+Emeline+Yordán+Campus+Recruiter+BDO+USA,+LLP")</f>
        <v>https://www.google.com/search?newwindow=1&amp;ei=2MT0XrvGGM-vytMP1OyDgAY&amp;q=site%3Alinkedin.com+Emeline+Yordán+Campus+Recruiter+BDO+USA,+LLP</v>
      </c>
      <c r="K2076" s="5" t="str">
        <f t="shared" si="1"/>
        <v>Emeline Yordán</v>
      </c>
      <c r="L2076" s="5" t="str">
        <f t="shared" si="2"/>
        <v>Campus Recruiter</v>
      </c>
      <c r="M2076" s="5" t="str">
        <f t="shared" si="3"/>
        <v> </v>
      </c>
      <c r="N2076" s="5" t="str">
        <f t="shared" si="4"/>
        <v>BDO</v>
      </c>
      <c r="O2076" s="5" t="str">
        <f t="shared" si="5"/>
        <v>3 years 5 months in role and company</v>
      </c>
      <c r="P2076" s="5" t="str">
        <f t="shared" si="6"/>
        <v>Deerfield</v>
      </c>
      <c r="Q2076" s="5" t="str">
        <f t="shared" si="7"/>
        <v>Illinois</v>
      </c>
      <c r="R2076" s="5" t="str">
        <f t="shared" si="8"/>
        <v>United States</v>
      </c>
    </row>
    <row r="2077">
      <c r="A2077" s="8" t="s">
        <v>9931</v>
      </c>
      <c r="B2077" s="10" t="s">
        <v>9932</v>
      </c>
      <c r="C2077" s="10" t="s">
        <v>9933</v>
      </c>
      <c r="D2077" s="10"/>
      <c r="E2077" s="10" t="s">
        <v>9934</v>
      </c>
      <c r="F2077" s="10" t="s">
        <v>1123</v>
      </c>
      <c r="G2077" s="11" t="s">
        <v>5736</v>
      </c>
      <c r="H2077" s="11" t="s">
        <v>4599</v>
      </c>
      <c r="I2077" s="11" t="s">
        <v>4600</v>
      </c>
      <c r="J2077" s="9" t="str">
        <f>IFERROR(__xludf.DUMMYFUNCTION("""COMPUTED_VALUE"""),"https://www.google.com/search?newwindow=1&amp;ei=2MT0XrvGGM-vytMP1OyDgAY&amp;q=site%3Alinkedin.com+Brian+Vander+Lee,+CPA+Campus+Recruiting+Manager+BDO+USA,+LLP")</f>
        <v>https://www.google.com/search?newwindow=1&amp;ei=2MT0XrvGGM-vytMP1OyDgAY&amp;q=site%3Alinkedin.com+Brian+Vander+Lee,+CPA+Campus+Recruiting+Manager+BDO+USA,+LLP</v>
      </c>
      <c r="K2077" s="5" t="str">
        <f t="shared" si="1"/>
        <v>Brian Vander Lee, CPA</v>
      </c>
      <c r="L2077" s="5" t="str">
        <f t="shared" si="2"/>
        <v>Campus Recruiting Manager</v>
      </c>
      <c r="M2077" s="5" t="str">
        <f t="shared" si="3"/>
        <v> </v>
      </c>
      <c r="N2077" s="5" t="str">
        <f t="shared" si="4"/>
        <v>BDO</v>
      </c>
      <c r="O2077" s="5" t="str">
        <f t="shared" si="5"/>
        <v>9 months in role</v>
      </c>
      <c r="P2077" s="5" t="str">
        <f t="shared" si="6"/>
        <v>Grand Rapids</v>
      </c>
      <c r="Q2077" s="5" t="str">
        <f t="shared" si="7"/>
        <v>Michigan</v>
      </c>
      <c r="R2077" s="5" t="str">
        <f t="shared" si="8"/>
        <v>United States</v>
      </c>
    </row>
    <row r="2078">
      <c r="A2078" s="8" t="s">
        <v>9935</v>
      </c>
      <c r="B2078" s="12" t="s">
        <v>9936</v>
      </c>
      <c r="C2078" s="10" t="s">
        <v>4596</v>
      </c>
      <c r="D2078" s="10"/>
      <c r="E2078" s="10" t="s">
        <v>9937</v>
      </c>
      <c r="F2078" s="10" t="s">
        <v>9938</v>
      </c>
      <c r="G2078" s="11" t="s">
        <v>5736</v>
      </c>
      <c r="H2078" s="11" t="s">
        <v>4599</v>
      </c>
      <c r="I2078" s="11" t="s">
        <v>4600</v>
      </c>
      <c r="J2078" s="9" t="str">
        <f>IFERROR(__xludf.DUMMYFUNCTION("""COMPUTED_VALUE"""),"https://www.google.com/search?newwindow=1&amp;ei=2MT0XrvGGM-vytMP1OyDgAY&amp;q=site%3Alinkedin.com+Amir+Mazarei+Campus+Recruiter+BDO+USA,+LLP")</f>
        <v>https://www.google.com/search?newwindow=1&amp;ei=2MT0XrvGGM-vytMP1OyDgAY&amp;q=site%3Alinkedin.com+Amir+Mazarei+Campus+Recruiter+BDO+USA,+LLP</v>
      </c>
      <c r="K2078" s="5" t="str">
        <f t="shared" si="1"/>
        <v>Amir Mazarei</v>
      </c>
      <c r="L2078" s="5" t="str">
        <f t="shared" si="2"/>
        <v>Campus Recruiter</v>
      </c>
      <c r="M2078" s="5" t="str">
        <f t="shared" si="3"/>
        <v> </v>
      </c>
      <c r="N2078" s="5" t="str">
        <f t="shared" si="4"/>
        <v>BDO</v>
      </c>
      <c r="O2078" s="5" t="str">
        <f t="shared" si="5"/>
        <v>6 years  in role</v>
      </c>
      <c r="P2078" s="5" t="str">
        <f t="shared" si="6"/>
        <v>Los Angeles</v>
      </c>
      <c r="Q2078" s="5" t="str">
        <f t="shared" si="7"/>
        <v>California</v>
      </c>
      <c r="R2078" s="5" t="str">
        <f t="shared" si="8"/>
        <v>United States</v>
      </c>
    </row>
    <row r="2079">
      <c r="A2079" s="8" t="s">
        <v>9939</v>
      </c>
      <c r="B2079" s="12" t="s">
        <v>9940</v>
      </c>
      <c r="C2079" s="10" t="s">
        <v>9941</v>
      </c>
      <c r="D2079" s="10"/>
      <c r="E2079" s="10" t="s">
        <v>9942</v>
      </c>
      <c r="F2079" s="10" t="s">
        <v>63</v>
      </c>
      <c r="G2079" s="11" t="s">
        <v>5736</v>
      </c>
      <c r="H2079" s="11"/>
      <c r="I2079" s="11" t="s">
        <v>4619</v>
      </c>
      <c r="J2079" s="9" t="str">
        <f>IFERROR(__xludf.DUMMYFUNCTION("""COMPUTED_VALUE"""),"https://www.google.com/search?newwindow=1&amp;ei=2MT0XrvGGM-vytMP1OyDgAY&amp;q=site%3Alinkedin.com+Karina+Espinola+Campus+Recruiting+Manager+BDO+USA,+LLP")</f>
        <v>https://www.google.com/search?newwindow=1&amp;ei=2MT0XrvGGM-vytMP1OyDgAY&amp;q=site%3Alinkedin.com+Karina+Espinola+Campus+Recruiting+Manager+BDO+USA,+LLP</v>
      </c>
      <c r="K2079" s="5" t="str">
        <f t="shared" si="1"/>
        <v>Karina Espinola</v>
      </c>
      <c r="L2079" s="5" t="str">
        <f t="shared" si="2"/>
        <v>Campus Recruiting Manager</v>
      </c>
      <c r="M2079" s="5" t="str">
        <f t="shared" si="3"/>
        <v> </v>
      </c>
      <c r="N2079" s="5" t="str">
        <f t="shared" si="4"/>
        <v>BDO</v>
      </c>
      <c r="O2079" s="5" t="str">
        <f t="shared" si="5"/>
        <v>2 years 3 months in role</v>
      </c>
      <c r="P2079" s="5" t="str">
        <f t="shared" si="6"/>
        <v>New York</v>
      </c>
      <c r="Q2079" s="5" t="str">
        <f t="shared" si="7"/>
        <v>New York</v>
      </c>
      <c r="R2079" s="5" t="str">
        <f t="shared" si="8"/>
        <v>United States</v>
      </c>
    </row>
    <row r="2080">
      <c r="A2080" s="8" t="s">
        <v>9943</v>
      </c>
      <c r="B2080" s="10" t="s">
        <v>9944</v>
      </c>
      <c r="C2080" s="10" t="s">
        <v>5003</v>
      </c>
      <c r="D2080" s="10"/>
      <c r="E2080" s="10" t="s">
        <v>9945</v>
      </c>
      <c r="F2080" s="10" t="s">
        <v>53</v>
      </c>
      <c r="G2080" s="11" t="s">
        <v>5736</v>
      </c>
      <c r="H2080" s="11" t="s">
        <v>4599</v>
      </c>
      <c r="I2080" s="11" t="s">
        <v>4600</v>
      </c>
      <c r="J2080" s="9" t="str">
        <f>IFERROR(__xludf.DUMMYFUNCTION("""COMPUTED_VALUE"""),"https://www.google.com/search?newwindow=1&amp;ei=2MT0XrvGGM-vytMP1OyDgAY&amp;q=site%3Alinkedin.com+Tamera+Pumphrey,+MBA,+CPA+Campus+Recruiter+BDO+USA,+LLP")</f>
        <v>https://www.google.com/search?newwindow=1&amp;ei=2MT0XrvGGM-vytMP1OyDgAY&amp;q=site%3Alinkedin.com+Tamera+Pumphrey,+MBA,+CPA+Campus+Recruiter+BDO+USA,+LLP</v>
      </c>
      <c r="K2080" s="5" t="str">
        <f t="shared" si="1"/>
        <v>Tamera Pumphrey, MBA, CPA</v>
      </c>
      <c r="L2080" s="5" t="str">
        <f t="shared" si="2"/>
        <v>Campus Recruiter</v>
      </c>
      <c r="M2080" s="5" t="str">
        <f t="shared" si="3"/>
        <v> </v>
      </c>
      <c r="N2080" s="5" t="str">
        <f t="shared" si="4"/>
        <v>BDO</v>
      </c>
      <c r="O2080" s="5" t="str">
        <f t="shared" si="5"/>
        <v>2 years 5 months in role</v>
      </c>
      <c r="P2080" s="5" t="str">
        <f t="shared" si="6"/>
        <v>Seattle</v>
      </c>
      <c r="Q2080" s="5" t="str">
        <f t="shared" si="7"/>
        <v>Washington</v>
      </c>
      <c r="R2080" s="5" t="str">
        <f t="shared" si="8"/>
        <v>United States</v>
      </c>
    </row>
    <row r="2081">
      <c r="A2081" s="8" t="s">
        <v>9928</v>
      </c>
      <c r="B2081" s="10" t="s">
        <v>9929</v>
      </c>
      <c r="C2081" s="10" t="s">
        <v>9930</v>
      </c>
      <c r="D2081" s="10"/>
      <c r="E2081" s="10" t="s">
        <v>5090</v>
      </c>
      <c r="F2081" s="10" t="s">
        <v>5386</v>
      </c>
      <c r="G2081" s="11" t="s">
        <v>5736</v>
      </c>
      <c r="H2081" s="11" t="s">
        <v>4599</v>
      </c>
      <c r="I2081" s="11" t="s">
        <v>4600</v>
      </c>
      <c r="J2081" s="9" t="str">
        <f>IFERROR(__xludf.DUMMYFUNCTION("""COMPUTED_VALUE"""),"https://www.google.com/search?newwindow=1&amp;ei=2MT0XrvGGM-vytMP1OyDgAY&amp;q=site%3Alinkedin.com+Katherine+Acuff+Campus+Recruiting+Manager+BDO+USA,+LLP")</f>
        <v>https://www.google.com/search?newwindow=1&amp;ei=2MT0XrvGGM-vytMP1OyDgAY&amp;q=site%3Alinkedin.com+Katherine+Acuff+Campus+Recruiting+Manager+BDO+USA,+LLP</v>
      </c>
      <c r="K2081" s="5" t="str">
        <f t="shared" si="1"/>
        <v>Katherine Acuff</v>
      </c>
      <c r="L2081" s="5" t="str">
        <f t="shared" si="2"/>
        <v>Campus Recruiting Manager</v>
      </c>
      <c r="M2081" s="5" t="str">
        <f t="shared" si="3"/>
        <v> </v>
      </c>
      <c r="N2081" s="5" t="str">
        <f t="shared" si="4"/>
        <v>BDO</v>
      </c>
      <c r="O2081" s="5" t="str">
        <f t="shared" si="5"/>
        <v>9 months in role and company</v>
      </c>
      <c r="P2081" s="5" t="str">
        <f t="shared" si="6"/>
        <v>Smyrna</v>
      </c>
      <c r="Q2081" s="5" t="str">
        <f t="shared" si="7"/>
        <v>Georgia</v>
      </c>
      <c r="R2081" s="5" t="str">
        <f t="shared" si="8"/>
        <v>United States</v>
      </c>
    </row>
    <row r="2082">
      <c r="A2082" s="8" t="s">
        <v>9931</v>
      </c>
      <c r="B2082" s="10" t="s">
        <v>9932</v>
      </c>
      <c r="C2082" s="10" t="s">
        <v>9933</v>
      </c>
      <c r="D2082" s="10"/>
      <c r="E2082" s="10" t="s">
        <v>9934</v>
      </c>
      <c r="F2082" s="10" t="s">
        <v>1123</v>
      </c>
      <c r="G2082" s="11" t="s">
        <v>5736</v>
      </c>
      <c r="H2082" s="11" t="s">
        <v>4599</v>
      </c>
      <c r="I2082" s="11" t="s">
        <v>4600</v>
      </c>
      <c r="J2082" s="9" t="str">
        <f>IFERROR(__xludf.DUMMYFUNCTION("""COMPUTED_VALUE"""),"https://www.google.com/search?newwindow=1&amp;ei=2MT0XrvGGM-vytMP1OyDgAY&amp;q=site%3Alinkedin.com+Lauren+Feaser+Campus+Recruiter/HR+BDO+USA,+LLP")</f>
        <v>https://www.google.com/search?newwindow=1&amp;ei=2MT0XrvGGM-vytMP1OyDgAY&amp;q=site%3Alinkedin.com+Lauren+Feaser+Campus+Recruiter/HR+BDO+USA,+LLP</v>
      </c>
      <c r="K2082" s="5" t="str">
        <f t="shared" si="1"/>
        <v>Lauren Feaser</v>
      </c>
      <c r="L2082" s="5" t="str">
        <f t="shared" si="2"/>
        <v>Campus Recruiter/HR</v>
      </c>
      <c r="M2082" s="5" t="str">
        <f t="shared" si="3"/>
        <v> </v>
      </c>
      <c r="N2082" s="5" t="str">
        <f t="shared" si="4"/>
        <v>BDO</v>
      </c>
      <c r="O2082" s="5" t="str">
        <f t="shared" si="5"/>
        <v>2 years 1 month in role and company</v>
      </c>
      <c r="P2082" s="5" t="str">
        <f t="shared" si="6"/>
        <v>Staten Island</v>
      </c>
      <c r="Q2082" s="5" t="str">
        <f t="shared" si="7"/>
        <v>New York</v>
      </c>
      <c r="R2082" s="5" t="str">
        <f t="shared" si="8"/>
        <v>United States</v>
      </c>
    </row>
    <row r="2083">
      <c r="A2083" s="8" t="s">
        <v>9946</v>
      </c>
      <c r="B2083" s="10" t="s">
        <v>9947</v>
      </c>
      <c r="C2083" s="10" t="s">
        <v>9948</v>
      </c>
      <c r="D2083" s="10"/>
      <c r="E2083" s="10" t="s">
        <v>9945</v>
      </c>
      <c r="F2083" s="10" t="s">
        <v>331</v>
      </c>
      <c r="G2083" s="11" t="s">
        <v>5736</v>
      </c>
      <c r="H2083" s="11" t="s">
        <v>4599</v>
      </c>
      <c r="I2083" s="11" t="s">
        <v>4600</v>
      </c>
      <c r="J2083" s="9" t="str">
        <f>IFERROR(__xludf.DUMMYFUNCTION("""COMPUTED_VALUE"""),"https://www.google.com/search?newwindow=1&amp;ei=2MT0XrvGGM-vytMP1OyDgAY&amp;q=site%3Alinkedin.com+Katie+Bailey+Campus+Recruiting+Manager+BDO+USA,+LLP")</f>
        <v>https://www.google.com/search?newwindow=1&amp;ei=2MT0XrvGGM-vytMP1OyDgAY&amp;q=site%3Alinkedin.com+Katie+Bailey+Campus+Recruiting+Manager+BDO+USA,+LLP</v>
      </c>
      <c r="K2083" s="5" t="str">
        <f t="shared" si="1"/>
        <v>Katie Bailey</v>
      </c>
      <c r="L2083" s="5" t="str">
        <f t="shared" si="2"/>
        <v>Campus Recruiting Manager</v>
      </c>
      <c r="M2083" s="5" t="str">
        <f t="shared" si="3"/>
        <v> </v>
      </c>
      <c r="N2083" s="5" t="str">
        <f t="shared" si="4"/>
        <v>BDO</v>
      </c>
      <c r="O2083" s="5" t="str">
        <f t="shared" si="5"/>
        <v>1 year 3 months in role and company</v>
      </c>
      <c r="P2083" s="5" t="str">
        <f t="shared" si="6"/>
        <v>Washington</v>
      </c>
      <c r="Q2083" s="5" t="str">
        <f t="shared" si="7"/>
        <v>District of Columbia</v>
      </c>
      <c r="R2083" s="5" t="str">
        <f t="shared" si="8"/>
        <v>United States</v>
      </c>
    </row>
    <row r="2084">
      <c r="A2084" s="8" t="s">
        <v>9949</v>
      </c>
      <c r="B2084" s="10" t="s">
        <v>9950</v>
      </c>
      <c r="C2084" s="10" t="s">
        <v>9951</v>
      </c>
      <c r="D2084" s="10"/>
      <c r="E2084" s="10" t="s">
        <v>9934</v>
      </c>
      <c r="F2084" s="10" t="s">
        <v>9952</v>
      </c>
      <c r="G2084" s="11" t="s">
        <v>5736</v>
      </c>
      <c r="H2084" s="11" t="s">
        <v>4599</v>
      </c>
      <c r="I2084" s="11" t="s">
        <v>4600</v>
      </c>
      <c r="J2084" s="9" t="str">
        <f>IFERROR(__xludf.DUMMYFUNCTION("""COMPUTED_VALUE"""),"https://www.google.com/search?newwindow=1&amp;ei=2MT0XrvGGM-vytMP1OyDgAY&amp;q=site%3Alinkedin.com+Emily+Adamowski+National+Campus+Recruiter,+Advisory+BDO+USA,+LLP")</f>
        <v>https://www.google.com/search?newwindow=1&amp;ei=2MT0XrvGGM-vytMP1OyDgAY&amp;q=site%3Alinkedin.com+Emily+Adamowski+National+Campus+Recruiter,+Advisory+BDO+USA,+LLP</v>
      </c>
      <c r="K2084" s="5" t="str">
        <f t="shared" si="1"/>
        <v>Emily Adamowski</v>
      </c>
      <c r="L2084" s="5" t="str">
        <f t="shared" si="2"/>
        <v>National Campus Recruiter, Advisory</v>
      </c>
      <c r="M2084" s="5" t="str">
        <f t="shared" si="3"/>
        <v> </v>
      </c>
      <c r="N2084" s="5" t="str">
        <f t="shared" si="4"/>
        <v>BDO</v>
      </c>
      <c r="O2084" s="5" t="str">
        <f t="shared" si="5"/>
        <v>4 months in role</v>
      </c>
      <c r="P2084" s="5" t="str">
        <f t="shared" si="6"/>
        <v>West Chicago</v>
      </c>
      <c r="Q2084" s="5" t="str">
        <f t="shared" si="7"/>
        <v>Illinois</v>
      </c>
      <c r="R2084" s="5" t="str">
        <f t="shared" si="8"/>
        <v>United States</v>
      </c>
    </row>
    <row r="2085">
      <c r="A2085" s="8" t="s">
        <v>9935</v>
      </c>
      <c r="B2085" s="12" t="s">
        <v>9936</v>
      </c>
      <c r="C2085" s="10" t="s">
        <v>4596</v>
      </c>
      <c r="D2085" s="10"/>
      <c r="E2085" s="10" t="s">
        <v>9937</v>
      </c>
      <c r="F2085" s="10" t="s">
        <v>9938</v>
      </c>
      <c r="G2085" s="11" t="s">
        <v>5736</v>
      </c>
      <c r="H2085" s="11" t="s">
        <v>4599</v>
      </c>
      <c r="I2085" s="11" t="s">
        <v>4600</v>
      </c>
      <c r="J2085" s="9" t="str">
        <f>IFERROR(__xludf.DUMMYFUNCTION("""COMPUTED_VALUE"""),"https://www.google.com/search?newwindow=1&amp;ei=2MT0XrvGGM-vytMP1OyDgAY&amp;q=site%3Alinkedin.com+Femi+Fagbure+Campus+Recruiter+BlackRock")</f>
        <v>https://www.google.com/search?newwindow=1&amp;ei=2MT0XrvGGM-vytMP1OyDgAY&amp;q=site%3Alinkedin.com+Femi+Fagbure+Campus+Recruiter+BlackRock</v>
      </c>
      <c r="K2085" s="5" t="str">
        <f t="shared" si="1"/>
        <v>Femi Fagbure</v>
      </c>
      <c r="L2085" s="5" t="str">
        <f t="shared" si="2"/>
        <v>Campus Recruiter</v>
      </c>
      <c r="M2085" s="5" t="str">
        <f t="shared" si="3"/>
        <v> </v>
      </c>
      <c r="N2085" s="5" t="str">
        <f t="shared" si="4"/>
        <v>BlackRock</v>
      </c>
      <c r="O2085" s="5" t="str">
        <f t="shared" si="5"/>
        <v>8 months in role</v>
      </c>
      <c r="P2085" s="5" t="str">
        <f t="shared" si="6"/>
        <v>Atlanta</v>
      </c>
      <c r="Q2085" s="5" t="str">
        <f t="shared" si="7"/>
        <v>Georgia</v>
      </c>
      <c r="R2085" s="5" t="str">
        <f t="shared" si="8"/>
        <v>United States</v>
      </c>
    </row>
    <row r="2086">
      <c r="A2086" s="8" t="s">
        <v>9953</v>
      </c>
      <c r="B2086" s="12" t="s">
        <v>9954</v>
      </c>
      <c r="C2086" s="10" t="s">
        <v>5270</v>
      </c>
      <c r="D2086" s="10"/>
      <c r="E2086" s="10" t="s">
        <v>9934</v>
      </c>
      <c r="F2086" s="10" t="s">
        <v>48</v>
      </c>
      <c r="G2086" s="11" t="s">
        <v>5736</v>
      </c>
      <c r="H2086" s="11" t="s">
        <v>4599</v>
      </c>
      <c r="I2086" s="11" t="s">
        <v>4600</v>
      </c>
      <c r="J2086" s="9" t="str">
        <f>IFERROR(__xludf.DUMMYFUNCTION("""COMPUTED_VALUE"""),"https://www.google.com/search?newwindow=1&amp;ei=2MT0XrvGGM-vytMP1OyDgAY&amp;q=site%3Alinkedin.com+Jelicza+Thomas+Campus+Recruiter,+Associate+BlackRock")</f>
        <v>https://www.google.com/search?newwindow=1&amp;ei=2MT0XrvGGM-vytMP1OyDgAY&amp;q=site%3Alinkedin.com+Jelicza+Thomas+Campus+Recruiter,+Associate+BlackRock</v>
      </c>
      <c r="K2086" s="5" t="str">
        <f t="shared" si="1"/>
        <v>Jelicza Thomas</v>
      </c>
      <c r="L2086" s="5" t="str">
        <f t="shared" si="2"/>
        <v>Campus Recruiter, Associate</v>
      </c>
      <c r="M2086" s="5" t="str">
        <f t="shared" si="3"/>
        <v> </v>
      </c>
      <c r="N2086" s="5" t="str">
        <f t="shared" si="4"/>
        <v>BlackRock</v>
      </c>
      <c r="O2086" s="5" t="str">
        <f t="shared" si="5"/>
        <v>1 year 8 months in role and company</v>
      </c>
      <c r="P2086" s="5" t="str">
        <f t="shared" si="6"/>
        <v>Atlanta</v>
      </c>
      <c r="Q2086" s="5" t="str">
        <f t="shared" si="7"/>
        <v>Georgia</v>
      </c>
      <c r="R2086" s="5" t="str">
        <f t="shared" si="8"/>
        <v>United States</v>
      </c>
    </row>
    <row r="2087">
      <c r="A2087" s="8" t="s">
        <v>9955</v>
      </c>
      <c r="B2087" s="10" t="s">
        <v>9956</v>
      </c>
      <c r="C2087" s="10" t="s">
        <v>9957</v>
      </c>
      <c r="D2087" s="12"/>
      <c r="E2087" s="12" t="s">
        <v>9958</v>
      </c>
      <c r="F2087" s="10"/>
      <c r="G2087" s="11" t="s">
        <v>5736</v>
      </c>
      <c r="H2087" s="11" t="s">
        <v>4599</v>
      </c>
      <c r="I2087" s="11" t="s">
        <v>4600</v>
      </c>
      <c r="J2087" s="9" t="str">
        <f>IFERROR(__xludf.DUMMYFUNCTION("""COMPUTED_VALUE"""),"https://www.google.com/search?newwindow=1&amp;ei=2MT0XrvGGM-vytMP1OyDgAY&amp;q=site%3Alinkedin.com+Jade+Sims,+M.Ed.+Campus+Recruiter+BlackRock")</f>
        <v>https://www.google.com/search?newwindow=1&amp;ei=2MT0XrvGGM-vytMP1OyDgAY&amp;q=site%3Alinkedin.com+Jade+Sims,+M.Ed.+Campus+Recruiter+BlackRock</v>
      </c>
      <c r="K2087" s="5" t="str">
        <f t="shared" si="1"/>
        <v>Jade Sims, M.Ed.</v>
      </c>
      <c r="L2087" s="5" t="str">
        <f t="shared" si="2"/>
        <v>Campus Recruiter</v>
      </c>
      <c r="M2087" s="5" t="str">
        <f t="shared" si="3"/>
        <v> </v>
      </c>
      <c r="N2087" s="5" t="str">
        <f t="shared" si="4"/>
        <v>BlackRock</v>
      </c>
      <c r="O2087" s="5" t="str">
        <f t="shared" si="5"/>
        <v>1 year 9 months in role and company</v>
      </c>
      <c r="P2087" s="5" t="str">
        <f t="shared" si="6"/>
        <v>Atlanta</v>
      </c>
      <c r="Q2087" s="5" t="str">
        <f t="shared" si="7"/>
        <v>Georgia</v>
      </c>
      <c r="R2087" s="5" t="str">
        <f t="shared" si="8"/>
        <v>United States</v>
      </c>
    </row>
    <row r="2088">
      <c r="A2088" s="8" t="s">
        <v>9959</v>
      </c>
      <c r="B2088" s="10" t="s">
        <v>9960</v>
      </c>
      <c r="C2088" s="10" t="s">
        <v>9961</v>
      </c>
      <c r="D2088" s="10"/>
      <c r="E2088" s="10" t="s">
        <v>9962</v>
      </c>
      <c r="F2088" s="10" t="s">
        <v>165</v>
      </c>
      <c r="G2088" s="11" t="s">
        <v>5736</v>
      </c>
      <c r="H2088" s="11"/>
      <c r="I2088" s="11" t="s">
        <v>4619</v>
      </c>
      <c r="J2088" s="9" t="str">
        <f>IFERROR(__xludf.DUMMYFUNCTION("""COMPUTED_VALUE"""),"https://www.google.com/search?newwindow=1&amp;ei=2MT0XrvGGM-vytMP1OyDgAY&amp;q=site%3Alinkedin.com+Danielle+Kronenfeld+Campus+Recruiter+BlackRock")</f>
        <v>https://www.google.com/search?newwindow=1&amp;ei=2MT0XrvGGM-vytMP1OyDgAY&amp;q=site%3Alinkedin.com+Danielle+Kronenfeld+Campus+Recruiter+BlackRock</v>
      </c>
      <c r="K2088" s="5" t="str">
        <f t="shared" si="1"/>
        <v>Danielle Kronenfeld</v>
      </c>
      <c r="L2088" s="5" t="str">
        <f t="shared" si="2"/>
        <v>Campus Recruiter</v>
      </c>
      <c r="M2088" s="5" t="str">
        <f t="shared" si="3"/>
        <v> </v>
      </c>
      <c r="N2088" s="5" t="str">
        <f t="shared" si="4"/>
        <v>BlackRock</v>
      </c>
      <c r="O2088" s="5" t="str">
        <f t="shared" si="5"/>
        <v>3 years 2 months in role and company</v>
      </c>
      <c r="P2088" s="5" t="str">
        <f t="shared" si="6"/>
        <v>New York</v>
      </c>
      <c r="Q2088" s="5" t="str">
        <f t="shared" si="7"/>
        <v>New York</v>
      </c>
      <c r="R2088" s="5" t="str">
        <f t="shared" si="8"/>
        <v>United States</v>
      </c>
    </row>
    <row r="2089">
      <c r="A2089" s="8" t="s">
        <v>9963</v>
      </c>
      <c r="B2089" s="10" t="s">
        <v>9964</v>
      </c>
      <c r="C2089" s="10" t="s">
        <v>9965</v>
      </c>
      <c r="D2089" s="10"/>
      <c r="E2089" s="10" t="s">
        <v>5493</v>
      </c>
      <c r="F2089" s="10" t="s">
        <v>7195</v>
      </c>
      <c r="G2089" s="11" t="s">
        <v>5736</v>
      </c>
      <c r="H2089" s="11" t="s">
        <v>4599</v>
      </c>
      <c r="I2089" s="11" t="s">
        <v>4600</v>
      </c>
      <c r="J2089" s="9" t="str">
        <f>IFERROR(__xludf.DUMMYFUNCTION("""COMPUTED_VALUE"""),"https://www.google.com/search?newwindow=1&amp;ei=2MT0XrvGGM-vytMP1OyDgAY&amp;q=site%3Alinkedin.com+Tulsi+Patel+Associate+Campus+Recruiter+BlackRock")</f>
        <v>https://www.google.com/search?newwindow=1&amp;ei=2MT0XrvGGM-vytMP1OyDgAY&amp;q=site%3Alinkedin.com+Tulsi+Patel+Associate+Campus+Recruiter+BlackRock</v>
      </c>
      <c r="K2089" s="5" t="str">
        <f t="shared" si="1"/>
        <v>Tulsi Patel</v>
      </c>
      <c r="L2089" s="5" t="str">
        <f t="shared" si="2"/>
        <v>Associate Campus Recruiter</v>
      </c>
      <c r="M2089" s="5" t="str">
        <f t="shared" si="3"/>
        <v> </v>
      </c>
      <c r="N2089" s="5" t="str">
        <f t="shared" si="4"/>
        <v>BlackRock</v>
      </c>
      <c r="O2089" s="5" t="str">
        <f t="shared" si="5"/>
        <v>2 years 5 months in role and company</v>
      </c>
      <c r="P2089" s="5" t="str">
        <f t="shared" si="6"/>
        <v>New York</v>
      </c>
      <c r="Q2089" s="5" t="str">
        <f t="shared" si="7"/>
        <v>New York</v>
      </c>
      <c r="R2089" s="5" t="str">
        <f t="shared" si="8"/>
        <v>United States</v>
      </c>
    </row>
    <row r="2090">
      <c r="A2090" s="8" t="s">
        <v>9966</v>
      </c>
      <c r="B2090" s="12" t="s">
        <v>9967</v>
      </c>
      <c r="C2090" s="10" t="s">
        <v>9968</v>
      </c>
      <c r="D2090" s="10"/>
      <c r="E2090" s="10" t="s">
        <v>4958</v>
      </c>
      <c r="F2090" s="10" t="s">
        <v>36</v>
      </c>
      <c r="G2090" s="11" t="s">
        <v>9969</v>
      </c>
      <c r="H2090" s="11" t="s">
        <v>4757</v>
      </c>
      <c r="I2090" s="11" t="s">
        <v>4607</v>
      </c>
      <c r="J2090" s="9" t="str">
        <f>IFERROR(__xludf.DUMMYFUNCTION("""COMPUTED_VALUE"""),"https://www.google.com/search?newwindow=1&amp;ei=2MT0XrvGGM-vytMP1OyDgAY&amp;q=site%3Alinkedin.com+Francesca+Dayre+Associate+Campus+Recruiter+BlackRock")</f>
        <v>https://www.google.com/search?newwindow=1&amp;ei=2MT0XrvGGM-vytMP1OyDgAY&amp;q=site%3Alinkedin.com+Francesca+Dayre+Associate+Campus+Recruiter+BlackRock</v>
      </c>
      <c r="K2090" s="5" t="str">
        <f t="shared" si="1"/>
        <v>Francesca Dayre</v>
      </c>
      <c r="L2090" s="5" t="str">
        <f t="shared" si="2"/>
        <v>Associate Campus Recruiter</v>
      </c>
      <c r="M2090" s="5" t="str">
        <f t="shared" si="3"/>
        <v> </v>
      </c>
      <c r="N2090" s="5" t="str">
        <f t="shared" si="4"/>
        <v>BlackRock</v>
      </c>
      <c r="O2090" s="5" t="str">
        <f t="shared" si="5"/>
        <v>3 years 1 month in role and company</v>
      </c>
      <c r="P2090" s="5" t="str">
        <f t="shared" si="6"/>
        <v>New York</v>
      </c>
      <c r="Q2090" s="5" t="str">
        <f t="shared" si="7"/>
        <v>New York</v>
      </c>
      <c r="R2090" s="5" t="str">
        <f t="shared" si="8"/>
        <v>United States</v>
      </c>
    </row>
    <row r="2091">
      <c r="A2091" s="8" t="s">
        <v>9970</v>
      </c>
      <c r="B2091" s="10" t="s">
        <v>9971</v>
      </c>
      <c r="C2091" s="10" t="s">
        <v>9972</v>
      </c>
      <c r="D2091" s="10"/>
      <c r="E2091" s="10" t="s">
        <v>4659</v>
      </c>
      <c r="F2091" s="10" t="s">
        <v>228</v>
      </c>
      <c r="G2091" s="11" t="s">
        <v>9973</v>
      </c>
      <c r="H2091" s="11" t="s">
        <v>44</v>
      </c>
      <c r="I2091" s="11" t="s">
        <v>18</v>
      </c>
      <c r="J2091" s="9" t="str">
        <f>IFERROR(__xludf.DUMMYFUNCTION("""COMPUTED_VALUE"""),"https://www.google.com/search?newwindow=1&amp;ei=2MT0XrvGGM-vytMP1OyDgAY&amp;q=site%3Alinkedin.com+Claudia+Suarez+Campus+Recruiter+BlackRock")</f>
        <v>https://www.google.com/search?newwindow=1&amp;ei=2MT0XrvGGM-vytMP1OyDgAY&amp;q=site%3Alinkedin.com+Claudia+Suarez+Campus+Recruiter+BlackRock</v>
      </c>
      <c r="K2091" s="5" t="str">
        <f t="shared" si="1"/>
        <v>Claudia Suarez</v>
      </c>
      <c r="L2091" s="5" t="str">
        <f t="shared" si="2"/>
        <v>Campus Recruiter</v>
      </c>
      <c r="M2091" s="5" t="str">
        <f t="shared" si="3"/>
        <v> </v>
      </c>
      <c r="N2091" s="5" t="str">
        <f t="shared" si="4"/>
        <v>BlackRock</v>
      </c>
      <c r="O2091" s="5" t="str">
        <f t="shared" si="5"/>
        <v>2 years 4 months in role and company</v>
      </c>
      <c r="P2091" s="5" t="str">
        <f t="shared" si="6"/>
        <v>New York</v>
      </c>
      <c r="Q2091" s="5" t="str">
        <f t="shared" si="7"/>
        <v>New York</v>
      </c>
      <c r="R2091" s="5" t="str">
        <f t="shared" si="8"/>
        <v>United States</v>
      </c>
    </row>
    <row r="2092">
      <c r="A2092" s="8" t="s">
        <v>9974</v>
      </c>
      <c r="B2092" s="12" t="s">
        <v>9975</v>
      </c>
      <c r="C2092" s="10" t="s">
        <v>25</v>
      </c>
      <c r="D2092" s="10"/>
      <c r="E2092" s="10" t="s">
        <v>9976</v>
      </c>
      <c r="F2092" s="10" t="s">
        <v>15</v>
      </c>
      <c r="G2092" s="11" t="s">
        <v>9977</v>
      </c>
      <c r="H2092" s="11" t="s">
        <v>378</v>
      </c>
      <c r="I2092" s="11" t="s">
        <v>18</v>
      </c>
      <c r="J2092" s="9" t="str">
        <f>IFERROR(__xludf.DUMMYFUNCTION("""COMPUTED_VALUE"""),"https://www.google.com/search?newwindow=1&amp;ei=2MT0XrvGGM-vytMP1OyDgAY&amp;q=site%3Alinkedin.com+JAMILLA+SMITH+Sr.+Campus+Recruiter+Bloomberg+LP")</f>
        <v>https://www.google.com/search?newwindow=1&amp;ei=2MT0XrvGGM-vytMP1OyDgAY&amp;q=site%3Alinkedin.com+JAMILLA+SMITH+Sr.+Campus+Recruiter+Bloomberg+LP</v>
      </c>
      <c r="K2092" s="5" t="str">
        <f t="shared" si="1"/>
        <v>JAMILLA SMITH</v>
      </c>
      <c r="L2092" s="5" t="str">
        <f t="shared" si="2"/>
        <v>Sr. Campus Recruiter</v>
      </c>
      <c r="M2092" s="5" t="str">
        <f t="shared" si="3"/>
        <v> </v>
      </c>
      <c r="N2092" s="5" t="str">
        <f t="shared" si="4"/>
        <v>Bloomberg LP</v>
      </c>
      <c r="O2092" s="5" t="str">
        <f t="shared" si="5"/>
        <v>3 years 10 months in role and company</v>
      </c>
      <c r="P2092" s="5" t="str">
        <f t="shared" si="6"/>
        <v>Brooklyn</v>
      </c>
      <c r="Q2092" s="5" t="str">
        <f t="shared" si="7"/>
        <v>New York</v>
      </c>
      <c r="R2092" s="5" t="str">
        <f t="shared" si="8"/>
        <v>United States</v>
      </c>
    </row>
    <row r="2093">
      <c r="A2093" s="8" t="s">
        <v>9978</v>
      </c>
      <c r="B2093" s="10" t="s">
        <v>9979</v>
      </c>
      <c r="C2093" s="10" t="s">
        <v>8164</v>
      </c>
      <c r="D2093" s="10"/>
      <c r="E2093" s="10" t="s">
        <v>9980</v>
      </c>
      <c r="F2093" s="10" t="s">
        <v>182</v>
      </c>
      <c r="G2093" s="11" t="s">
        <v>9981</v>
      </c>
      <c r="H2093" s="11" t="s">
        <v>5736</v>
      </c>
      <c r="I2093" s="11" t="s">
        <v>4619</v>
      </c>
      <c r="J2093" s="9" t="str">
        <f>IFERROR(__xludf.DUMMYFUNCTION("""COMPUTED_VALUE"""),"https://www.google.com/search?newwindow=1&amp;ei=2MT0XrvGGM-vytMP1OyDgAY&amp;q=site%3Alinkedin.com+Stephanie+Santora+Campus+Recruiter+Bloomberg+LP")</f>
        <v>https://www.google.com/search?newwindow=1&amp;ei=2MT0XrvGGM-vytMP1OyDgAY&amp;q=site%3Alinkedin.com+Stephanie+Santora+Campus+Recruiter+Bloomberg+LP</v>
      </c>
      <c r="K2093" s="5" t="str">
        <f t="shared" si="1"/>
        <v>Stephanie Santora</v>
      </c>
      <c r="L2093" s="5" t="str">
        <f t="shared" si="2"/>
        <v>Campus Recruiter</v>
      </c>
      <c r="M2093" s="5" t="str">
        <f t="shared" si="3"/>
        <v> </v>
      </c>
      <c r="N2093" s="5" t="str">
        <f t="shared" si="4"/>
        <v>Bloomberg LP</v>
      </c>
      <c r="O2093" s="5" t="str">
        <f t="shared" si="5"/>
        <v>6 months in role</v>
      </c>
      <c r="P2093" s="5" t="str">
        <f t="shared" si="6"/>
        <v>Jackson Township</v>
      </c>
      <c r="Q2093" s="5" t="str">
        <f t="shared" si="7"/>
        <v>New Jersey</v>
      </c>
      <c r="R2093" s="5" t="str">
        <f t="shared" si="8"/>
        <v>United States</v>
      </c>
    </row>
    <row r="2094">
      <c r="A2094" s="8" t="s">
        <v>9982</v>
      </c>
      <c r="B2094" s="10" t="s">
        <v>9983</v>
      </c>
      <c r="C2094" s="10" t="s">
        <v>4742</v>
      </c>
      <c r="D2094" s="10"/>
      <c r="E2094" s="10" t="s">
        <v>4659</v>
      </c>
      <c r="F2094" s="10" t="s">
        <v>48</v>
      </c>
      <c r="G2094" s="11" t="s">
        <v>9984</v>
      </c>
      <c r="H2094" s="11" t="s">
        <v>96</v>
      </c>
      <c r="I2094" s="11" t="s">
        <v>18</v>
      </c>
      <c r="J2094" s="9" t="str">
        <f>IFERROR(__xludf.DUMMYFUNCTION("""COMPUTED_VALUE"""),"https://www.google.com/search?newwindow=1&amp;ei=2MT0XrvGGM-vytMP1OyDgAY&amp;q=site%3Alinkedin.com+Monica+D.+Engineering+Campus+&amp;+Diversity+Recruiter+Bloomberg+LP")</f>
        <v>https://www.google.com/search?newwindow=1&amp;ei=2MT0XrvGGM-vytMP1OyDgAY&amp;q=site%3Alinkedin.com+Monica+D.+Engineering+Campus+&amp;+Diversity+Recruiter+Bloomberg+LP</v>
      </c>
      <c r="K2094" s="5" t="str">
        <f t="shared" si="1"/>
        <v>Monica D.</v>
      </c>
      <c r="L2094" s="5" t="str">
        <f t="shared" si="2"/>
        <v>Engineering Campus &amp; Diversity Recruiter</v>
      </c>
      <c r="M2094" s="5" t="str">
        <f t="shared" si="3"/>
        <v> </v>
      </c>
      <c r="N2094" s="5" t="str">
        <f t="shared" si="4"/>
        <v>Bloomberg LP</v>
      </c>
      <c r="O2094" s="5" t="str">
        <f t="shared" si="5"/>
        <v>3 years 9 months in role and company</v>
      </c>
      <c r="P2094" s="5" t="str">
        <f t="shared" si="6"/>
        <v>New York</v>
      </c>
      <c r="Q2094" s="5" t="str">
        <f t="shared" si="7"/>
        <v>New York</v>
      </c>
      <c r="R2094" s="5" t="str">
        <f t="shared" si="8"/>
        <v>United States</v>
      </c>
    </row>
    <row r="2095">
      <c r="A2095" s="8" t="s">
        <v>9985</v>
      </c>
      <c r="B2095" s="10" t="s">
        <v>9986</v>
      </c>
      <c r="C2095" s="10" t="s">
        <v>5054</v>
      </c>
      <c r="D2095" s="10"/>
      <c r="E2095" s="10" t="s">
        <v>9987</v>
      </c>
      <c r="F2095" s="10" t="s">
        <v>48</v>
      </c>
      <c r="G2095" s="11" t="s">
        <v>9988</v>
      </c>
      <c r="H2095" s="11" t="s">
        <v>4757</v>
      </c>
      <c r="I2095" s="11" t="s">
        <v>4607</v>
      </c>
      <c r="J2095" s="9" t="str">
        <f>IFERROR(__xludf.DUMMYFUNCTION("""COMPUTED_VALUE"""),"https://www.google.com/search?newwindow=1&amp;ei=2MT0XrvGGM-vytMP1OyDgAY&amp;q=site%3Alinkedin.com+Justine+Bellew+Campus+Recruiter+Bloomberg+LP")</f>
        <v>https://www.google.com/search?newwindow=1&amp;ei=2MT0XrvGGM-vytMP1OyDgAY&amp;q=site%3Alinkedin.com+Justine+Bellew+Campus+Recruiter+Bloomberg+LP</v>
      </c>
      <c r="K2095" s="5" t="str">
        <f t="shared" si="1"/>
        <v>Justine Bellew</v>
      </c>
      <c r="L2095" s="5" t="str">
        <f t="shared" si="2"/>
        <v>Campus Recruiter</v>
      </c>
      <c r="M2095" s="5" t="str">
        <f t="shared" si="3"/>
        <v> </v>
      </c>
      <c r="N2095" s="5" t="str">
        <f t="shared" si="4"/>
        <v>Bloomberg LP</v>
      </c>
      <c r="O2095" s="5" t="str">
        <f t="shared" si="5"/>
        <v>2 years 6 months in role</v>
      </c>
      <c r="P2095" s="5" t="str">
        <f t="shared" si="6"/>
        <v>New York</v>
      </c>
      <c r="Q2095" s="5" t="str">
        <f t="shared" si="7"/>
        <v>New York</v>
      </c>
      <c r="R2095" s="5" t="str">
        <f t="shared" si="8"/>
        <v>United States</v>
      </c>
    </row>
    <row r="2096">
      <c r="A2096" s="8" t="s">
        <v>9989</v>
      </c>
      <c r="B2096" s="10" t="s">
        <v>913</v>
      </c>
      <c r="C2096" s="10" t="s">
        <v>914</v>
      </c>
      <c r="D2096" s="10"/>
      <c r="E2096" s="10" t="s">
        <v>845</v>
      </c>
      <c r="F2096" s="10" t="s">
        <v>574</v>
      </c>
      <c r="G2096" s="11" t="s">
        <v>102</v>
      </c>
      <c r="H2096" s="11" t="s">
        <v>172</v>
      </c>
      <c r="I2096" s="11" t="s">
        <v>18</v>
      </c>
      <c r="J2096" s="9" t="str">
        <f>IFERROR(__xludf.DUMMYFUNCTION("""COMPUTED_VALUE"""),"https://www.google.com/search?newwindow=1&amp;ei=2MT0XrvGGM-vytMP1OyDgAY&amp;q=site%3Alinkedin.com+Amy+Petcoff+Engineering+Campus+Recruiter+Bloomberg+LP")</f>
        <v>https://www.google.com/search?newwindow=1&amp;ei=2MT0XrvGGM-vytMP1OyDgAY&amp;q=site%3Alinkedin.com+Amy+Petcoff+Engineering+Campus+Recruiter+Bloomberg+LP</v>
      </c>
      <c r="K2096" s="5" t="str">
        <f t="shared" si="1"/>
        <v>Amy Petcoff</v>
      </c>
      <c r="L2096" s="5" t="str">
        <f t="shared" si="2"/>
        <v>Engineering Campus Recruiter</v>
      </c>
      <c r="M2096" s="5" t="str">
        <f t="shared" si="3"/>
        <v> </v>
      </c>
      <c r="N2096" s="5" t="str">
        <f t="shared" si="4"/>
        <v>Bloomberg LP</v>
      </c>
      <c r="O2096" s="5" t="str">
        <f t="shared" si="5"/>
        <v>4 years 4 months in role and company</v>
      </c>
      <c r="P2096" s="5" t="str">
        <f t="shared" si="6"/>
        <v>New York</v>
      </c>
      <c r="Q2096" s="5" t="str">
        <f t="shared" si="7"/>
        <v>New York</v>
      </c>
      <c r="R2096" s="5" t="str">
        <f t="shared" si="8"/>
        <v>United States</v>
      </c>
    </row>
    <row r="2097">
      <c r="A2097" s="8" t="s">
        <v>9990</v>
      </c>
      <c r="B2097" s="10" t="s">
        <v>1401</v>
      </c>
      <c r="C2097" s="10" t="s">
        <v>371</v>
      </c>
      <c r="D2097" s="10"/>
      <c r="E2097" s="10" t="s">
        <v>1233</v>
      </c>
      <c r="F2097" s="10" t="s">
        <v>1123</v>
      </c>
      <c r="G2097" s="11" t="s">
        <v>102</v>
      </c>
      <c r="H2097" s="11" t="s">
        <v>172</v>
      </c>
      <c r="I2097" s="11" t="s">
        <v>18</v>
      </c>
      <c r="J2097" s="9" t="str">
        <f>IFERROR(__xludf.DUMMYFUNCTION("""COMPUTED_VALUE"""),"https://www.google.com/search?newwindow=1&amp;ei=2MT0XrvGGM-vytMP1OyDgAY&amp;q=site%3Alinkedin.com+Jinny+Rhieu+Engineering+Campus+Recruiter+Bloomberg+LP")</f>
        <v>https://www.google.com/search?newwindow=1&amp;ei=2MT0XrvGGM-vytMP1OyDgAY&amp;q=site%3Alinkedin.com+Jinny+Rhieu+Engineering+Campus+Recruiter+Bloomberg+LP</v>
      </c>
      <c r="K2097" s="5" t="str">
        <f t="shared" si="1"/>
        <v>Jinny Rhieu</v>
      </c>
      <c r="L2097" s="5" t="str">
        <f t="shared" si="2"/>
        <v>Engineering Campus Recruiter</v>
      </c>
      <c r="M2097" s="5" t="str">
        <f t="shared" si="3"/>
        <v> </v>
      </c>
      <c r="N2097" s="5" t="str">
        <f t="shared" si="4"/>
        <v>Bloomberg LP</v>
      </c>
      <c r="O2097" s="5" t="str">
        <f t="shared" si="5"/>
        <v>4 months in role and company</v>
      </c>
      <c r="P2097" s="5" t="str">
        <f t="shared" si="6"/>
        <v>New York</v>
      </c>
      <c r="Q2097" s="5" t="str">
        <f t="shared" si="7"/>
        <v>New York</v>
      </c>
      <c r="R2097" s="5" t="str">
        <f t="shared" si="8"/>
        <v>United States</v>
      </c>
    </row>
    <row r="2098">
      <c r="A2098" s="8" t="s">
        <v>9991</v>
      </c>
      <c r="B2098" s="10" t="s">
        <v>3749</v>
      </c>
      <c r="C2098" s="10" t="s">
        <v>371</v>
      </c>
      <c r="D2098" s="10"/>
      <c r="E2098" s="10" t="s">
        <v>3649</v>
      </c>
      <c r="F2098" s="10" t="s">
        <v>121</v>
      </c>
      <c r="G2098" s="11" t="s">
        <v>102</v>
      </c>
      <c r="H2098" s="11" t="s">
        <v>172</v>
      </c>
      <c r="I2098" s="11" t="s">
        <v>18</v>
      </c>
      <c r="J2098" s="9" t="str">
        <f>IFERROR(__xludf.DUMMYFUNCTION("""COMPUTED_VALUE"""),"https://www.google.com/search?newwindow=1&amp;ei=2MT0XrvGGM-vytMP1OyDgAY&amp;q=site%3Alinkedin.com+Ashley+Redus+Engineering+Campus+Recruiter+Bloomberg+LP")</f>
        <v>https://www.google.com/search?newwindow=1&amp;ei=2MT0XrvGGM-vytMP1OyDgAY&amp;q=site%3Alinkedin.com+Ashley+Redus+Engineering+Campus+Recruiter+Bloomberg+LP</v>
      </c>
      <c r="K2098" s="5" t="str">
        <f t="shared" si="1"/>
        <v>Ashley Redus</v>
      </c>
      <c r="L2098" s="5" t="str">
        <f t="shared" si="2"/>
        <v>Engineering Campus Recruiter</v>
      </c>
      <c r="M2098" s="5" t="str">
        <f t="shared" si="3"/>
        <v> </v>
      </c>
      <c r="N2098" s="5" t="str">
        <f t="shared" si="4"/>
        <v>Bloomberg LP</v>
      </c>
      <c r="O2098" s="5" t="str">
        <f t="shared" si="5"/>
        <v>2 years 4 months in role and company</v>
      </c>
      <c r="P2098" s="5" t="str">
        <f t="shared" si="6"/>
        <v>New York</v>
      </c>
      <c r="Q2098" s="5" t="str">
        <f t="shared" si="7"/>
        <v>New York</v>
      </c>
      <c r="R2098" s="5" t="str">
        <f t="shared" si="8"/>
        <v>United States</v>
      </c>
    </row>
    <row r="2099">
      <c r="A2099" s="8" t="s">
        <v>9992</v>
      </c>
      <c r="B2099" s="10" t="s">
        <v>2892</v>
      </c>
      <c r="C2099" s="10" t="s">
        <v>2155</v>
      </c>
      <c r="D2099" s="10"/>
      <c r="E2099" s="10" t="s">
        <v>2839</v>
      </c>
      <c r="F2099" s="10" t="s">
        <v>848</v>
      </c>
      <c r="G2099" s="11" t="s">
        <v>102</v>
      </c>
      <c r="H2099" s="11" t="s">
        <v>172</v>
      </c>
      <c r="I2099" s="11" t="s">
        <v>18</v>
      </c>
      <c r="J2099" s="9" t="str">
        <f>IFERROR(__xludf.DUMMYFUNCTION("""COMPUTED_VALUE"""),"https://www.google.com/search?newwindow=1&amp;ei=2MT0XrvGGM-vytMP1OyDgAY&amp;q=site%3Alinkedin.com+Bianca+Martinez+Engineering+Campus+Recruiter+Bloomberg+LP")</f>
        <v>https://www.google.com/search?newwindow=1&amp;ei=2MT0XrvGGM-vytMP1OyDgAY&amp;q=site%3Alinkedin.com+Bianca+Martinez+Engineering+Campus+Recruiter+Bloomberg+LP</v>
      </c>
      <c r="K2099" s="5" t="str">
        <f t="shared" si="1"/>
        <v>Bianca Martinez</v>
      </c>
      <c r="L2099" s="5" t="str">
        <f t="shared" si="2"/>
        <v>Engineering Campus Recruiter</v>
      </c>
      <c r="M2099" s="5" t="str">
        <f t="shared" si="3"/>
        <v> </v>
      </c>
      <c r="N2099" s="5" t="str">
        <f t="shared" si="4"/>
        <v>Bloomberg LP</v>
      </c>
      <c r="O2099" s="5" t="str">
        <f t="shared" si="5"/>
        <v>9 months in role and company</v>
      </c>
      <c r="P2099" s="5" t="str">
        <f t="shared" si="6"/>
        <v>New York</v>
      </c>
      <c r="Q2099" s="5" t="str">
        <f t="shared" si="7"/>
        <v>New York</v>
      </c>
      <c r="R2099" s="5" t="str">
        <f t="shared" si="8"/>
        <v>United States</v>
      </c>
    </row>
    <row r="2100">
      <c r="A2100" s="8" t="s">
        <v>9993</v>
      </c>
      <c r="B2100" s="12" t="s">
        <v>9994</v>
      </c>
      <c r="C2100" s="10" t="s">
        <v>1378</v>
      </c>
      <c r="D2100" s="10"/>
      <c r="E2100" s="10" t="s">
        <v>1233</v>
      </c>
      <c r="F2100" s="10" t="s">
        <v>106</v>
      </c>
      <c r="G2100" s="11" t="s">
        <v>102</v>
      </c>
      <c r="H2100" s="11" t="s">
        <v>172</v>
      </c>
      <c r="I2100" s="11" t="s">
        <v>18</v>
      </c>
      <c r="J2100" s="9" t="str">
        <f>IFERROR(__xludf.DUMMYFUNCTION("""COMPUTED_VALUE"""),"https://www.google.com/search?newwindow=1&amp;ei=2MT0XrvGGM-vytMP1OyDgAY&amp;q=site%3Alinkedin.com+Annie+Kadets+Campus+Recruiter+Bloomberg+LP")</f>
        <v>https://www.google.com/search?newwindow=1&amp;ei=2MT0XrvGGM-vytMP1OyDgAY&amp;q=site%3Alinkedin.com+Annie+Kadets+Campus+Recruiter+Bloomberg+LP</v>
      </c>
      <c r="K2100" s="5" t="str">
        <f t="shared" si="1"/>
        <v>Annie Kadets</v>
      </c>
      <c r="L2100" s="5" t="str">
        <f t="shared" si="2"/>
        <v>Campus Recruiter</v>
      </c>
      <c r="M2100" s="5" t="str">
        <f t="shared" si="3"/>
        <v> </v>
      </c>
      <c r="N2100" s="5" t="str">
        <f t="shared" si="4"/>
        <v>Bloomberg LP</v>
      </c>
      <c r="O2100" s="5" t="str">
        <f t="shared" si="5"/>
        <v>10 months in role</v>
      </c>
      <c r="P2100" s="5" t="str">
        <f t="shared" si="6"/>
        <v>New York</v>
      </c>
      <c r="Q2100" s="5" t="str">
        <f t="shared" si="7"/>
        <v>New York</v>
      </c>
      <c r="R2100" s="5" t="str">
        <f t="shared" si="8"/>
        <v>United States</v>
      </c>
    </row>
    <row r="2101">
      <c r="A2101" s="8" t="s">
        <v>9995</v>
      </c>
      <c r="B2101" s="10" t="s">
        <v>603</v>
      </c>
      <c r="C2101" s="10" t="s">
        <v>604</v>
      </c>
      <c r="D2101" s="10"/>
      <c r="E2101" s="10" t="s">
        <v>492</v>
      </c>
      <c r="F2101" s="10" t="s">
        <v>213</v>
      </c>
      <c r="G2101" s="11" t="s">
        <v>102</v>
      </c>
      <c r="H2101" s="11" t="s">
        <v>172</v>
      </c>
      <c r="I2101" s="11" t="s">
        <v>18</v>
      </c>
      <c r="J2101" s="9" t="str">
        <f>IFERROR(__xludf.DUMMYFUNCTION("""COMPUTED_VALUE"""),"https://www.google.com/search?newwindow=1&amp;ei=2MT0XrvGGM-vytMP1OyDgAY&amp;q=site%3Alinkedin.com+Alexa+Perrelli+Engineering+Campus+Recruiter+Bloomberg+LP")</f>
        <v>https://www.google.com/search?newwindow=1&amp;ei=2MT0XrvGGM-vytMP1OyDgAY&amp;q=site%3Alinkedin.com+Alexa+Perrelli+Engineering+Campus+Recruiter+Bloomberg+LP</v>
      </c>
      <c r="K2101" s="5" t="str">
        <f t="shared" si="1"/>
        <v>Alexa Perrelli</v>
      </c>
      <c r="L2101" s="5" t="str">
        <f t="shared" si="2"/>
        <v>Engineering Campus Recruiter</v>
      </c>
      <c r="M2101" s="5" t="str">
        <f t="shared" si="3"/>
        <v> </v>
      </c>
      <c r="N2101" s="5" t="str">
        <f t="shared" si="4"/>
        <v>Bloomberg LP</v>
      </c>
      <c r="O2101" s="5" t="str">
        <f t="shared" si="5"/>
        <v>5 months in role and company</v>
      </c>
      <c r="P2101" s="5" t="str">
        <f t="shared" si="6"/>
        <v>New York</v>
      </c>
      <c r="Q2101" s="5" t="str">
        <f t="shared" si="7"/>
        <v>New York</v>
      </c>
      <c r="R2101" s="5" t="str">
        <f t="shared" si="8"/>
        <v>United States</v>
      </c>
    </row>
    <row r="2102">
      <c r="A2102" s="8" t="s">
        <v>9996</v>
      </c>
      <c r="B2102" s="10" t="s">
        <v>9997</v>
      </c>
      <c r="C2102" s="10" t="s">
        <v>4709</v>
      </c>
      <c r="D2102" s="10"/>
      <c r="E2102" s="10" t="s">
        <v>1233</v>
      </c>
      <c r="F2102" s="10" t="s">
        <v>345</v>
      </c>
      <c r="G2102" s="11" t="s">
        <v>102</v>
      </c>
      <c r="H2102" s="11" t="s">
        <v>172</v>
      </c>
      <c r="I2102" s="11" t="s">
        <v>18</v>
      </c>
      <c r="J2102" s="9" t="str">
        <f>IFERROR(__xludf.DUMMYFUNCTION("""COMPUTED_VALUE"""),"https://www.google.com/search?newwindow=1&amp;ei=2MT0XrvGGM-vytMP1OyDgAY&amp;q=site%3Alinkedin.com+Brittany+Rodriguez+Campus+Recruiter+Bloomberg+LP")</f>
        <v>https://www.google.com/search?newwindow=1&amp;ei=2MT0XrvGGM-vytMP1OyDgAY&amp;q=site%3Alinkedin.com+Brittany+Rodriguez+Campus+Recruiter+Bloomberg+LP</v>
      </c>
      <c r="K2102" s="5" t="str">
        <f t="shared" si="1"/>
        <v>Brittany Rodriguez</v>
      </c>
      <c r="L2102" s="5" t="str">
        <f t="shared" si="2"/>
        <v>Campus Recruiter</v>
      </c>
      <c r="M2102" s="5" t="str">
        <f t="shared" si="3"/>
        <v> </v>
      </c>
      <c r="N2102" s="5" t="str">
        <f t="shared" si="4"/>
        <v>Bloomberg LP</v>
      </c>
      <c r="O2102" s="5" t="str">
        <f t="shared" si="5"/>
        <v>3 years 4 months in role</v>
      </c>
      <c r="P2102" s="5" t="str">
        <f t="shared" si="6"/>
        <v>New York</v>
      </c>
      <c r="Q2102" s="5" t="str">
        <f t="shared" si="7"/>
        <v>New York</v>
      </c>
      <c r="R2102" s="5" t="str">
        <f t="shared" si="8"/>
        <v>United States</v>
      </c>
    </row>
    <row r="2103">
      <c r="A2103" s="8" t="s">
        <v>9998</v>
      </c>
      <c r="B2103" s="10" t="s">
        <v>9999</v>
      </c>
      <c r="C2103" s="10" t="s">
        <v>1378</v>
      </c>
      <c r="D2103" s="10"/>
      <c r="E2103" s="10" t="s">
        <v>1233</v>
      </c>
      <c r="F2103" s="10" t="s">
        <v>345</v>
      </c>
      <c r="G2103" s="11" t="s">
        <v>102</v>
      </c>
      <c r="H2103" s="11" t="s">
        <v>172</v>
      </c>
      <c r="I2103" s="11" t="s">
        <v>18</v>
      </c>
      <c r="J2103" s="9" t="str">
        <f>IFERROR(__xludf.DUMMYFUNCTION("""COMPUTED_VALUE"""),"https://www.google.com/search?newwindow=1&amp;ei=2MT0XrvGGM-vytMP1OyDgAY&amp;q=site%3Alinkedin.com+Jordan+Allison+Campus+Recruiter+Bloomberg+LP")</f>
        <v>https://www.google.com/search?newwindow=1&amp;ei=2MT0XrvGGM-vytMP1OyDgAY&amp;q=site%3Alinkedin.com+Jordan+Allison+Campus+Recruiter+Bloomberg+LP</v>
      </c>
      <c r="K2103" s="5" t="str">
        <f t="shared" si="1"/>
        <v>Jordan Allison</v>
      </c>
      <c r="L2103" s="5" t="str">
        <f t="shared" si="2"/>
        <v>Campus Recruiter</v>
      </c>
      <c r="M2103" s="5" t="str">
        <f t="shared" si="3"/>
        <v> </v>
      </c>
      <c r="N2103" s="5" t="str">
        <f t="shared" si="4"/>
        <v>Bloomberg LP</v>
      </c>
      <c r="O2103" s="5" t="str">
        <f t="shared" si="5"/>
        <v>1 year 10 months in role</v>
      </c>
      <c r="P2103" s="5" t="str">
        <f t="shared" si="6"/>
        <v>New York</v>
      </c>
      <c r="Q2103" s="5" t="str">
        <f t="shared" si="7"/>
        <v>New York</v>
      </c>
      <c r="R2103" s="5" t="str">
        <f t="shared" si="8"/>
        <v>United States</v>
      </c>
    </row>
    <row r="2104">
      <c r="A2104" s="8" t="s">
        <v>10000</v>
      </c>
      <c r="B2104" s="12" t="s">
        <v>911</v>
      </c>
      <c r="C2104" s="10" t="s">
        <v>371</v>
      </c>
      <c r="D2104" s="10"/>
      <c r="E2104" s="10" t="s">
        <v>845</v>
      </c>
      <c r="F2104" s="10" t="s">
        <v>136</v>
      </c>
      <c r="G2104" s="11" t="s">
        <v>102</v>
      </c>
      <c r="H2104" s="11" t="s">
        <v>172</v>
      </c>
      <c r="I2104" s="11" t="s">
        <v>18</v>
      </c>
      <c r="J2104" s="9" t="str">
        <f>IFERROR(__xludf.DUMMYFUNCTION("""COMPUTED_VALUE"""),"https://www.google.com/search?newwindow=1&amp;ei=2MT0XrvGGM-vytMP1OyDgAY&amp;q=site%3Alinkedin.com+Jeena+Park+Engineering+Campus+Recruiter+Bloomberg+LP")</f>
        <v>https://www.google.com/search?newwindow=1&amp;ei=2MT0XrvGGM-vytMP1OyDgAY&amp;q=site%3Alinkedin.com+Jeena+Park+Engineering+Campus+Recruiter+Bloomberg+LP</v>
      </c>
      <c r="K2104" s="5" t="str">
        <f t="shared" si="1"/>
        <v>Jeena Park</v>
      </c>
      <c r="L2104" s="5" t="str">
        <f t="shared" si="2"/>
        <v>Engineering Campus Recruiter</v>
      </c>
      <c r="M2104" s="5" t="str">
        <f t="shared" si="3"/>
        <v> </v>
      </c>
      <c r="N2104" s="5" t="str">
        <f t="shared" si="4"/>
        <v>Bloomberg LP</v>
      </c>
      <c r="O2104" s="5" t="str">
        <f t="shared" si="5"/>
        <v>4 years 2 months in role and company</v>
      </c>
      <c r="P2104" s="5" t="str">
        <f t="shared" si="6"/>
        <v>New York</v>
      </c>
      <c r="Q2104" s="5" t="str">
        <f t="shared" si="7"/>
        <v>New York</v>
      </c>
      <c r="R2104" s="5" t="str">
        <f t="shared" si="8"/>
        <v>United States</v>
      </c>
    </row>
    <row r="2105">
      <c r="A2105" s="8" t="s">
        <v>10001</v>
      </c>
      <c r="B2105" s="12" t="s">
        <v>10002</v>
      </c>
      <c r="C2105" s="10" t="s">
        <v>4749</v>
      </c>
      <c r="D2105" s="10"/>
      <c r="E2105" s="10" t="s">
        <v>845</v>
      </c>
      <c r="F2105" s="10" t="s">
        <v>257</v>
      </c>
      <c r="G2105" s="11" t="s">
        <v>102</v>
      </c>
      <c r="H2105" s="11" t="s">
        <v>172</v>
      </c>
      <c r="I2105" s="11" t="s">
        <v>18</v>
      </c>
      <c r="J2105" s="9" t="str">
        <f>IFERROR(__xludf.DUMMYFUNCTION("""COMPUTED_VALUE"""),"https://www.google.com/search?newwindow=1&amp;ei=2MT0XrvGGM-vytMP1OyDgAY&amp;q=site%3Alinkedin.com+Melissa+Ayoob,+MBA+Campus+Recruiter+BNY+Mellon")</f>
        <v>https://www.google.com/search?newwindow=1&amp;ei=2MT0XrvGGM-vytMP1OyDgAY&amp;q=site%3Alinkedin.com+Melissa+Ayoob,+MBA+Campus+Recruiter+BNY+Mellon</v>
      </c>
      <c r="K2105" s="5" t="str">
        <f t="shared" si="1"/>
        <v>Melissa Ayoob, MBA</v>
      </c>
      <c r="L2105" s="5" t="str">
        <f t="shared" si="2"/>
        <v>Campus Recruiter</v>
      </c>
      <c r="M2105" s="5" t="str">
        <f t="shared" si="3"/>
        <v> </v>
      </c>
      <c r="N2105" s="5" t="str">
        <f t="shared" si="4"/>
        <v>BNY Mellon</v>
      </c>
      <c r="O2105" s="5" t="str">
        <f t="shared" si="5"/>
        <v>10 months in role</v>
      </c>
      <c r="P2105" s="5" t="str">
        <f t="shared" si="6"/>
        <v>Mars</v>
      </c>
      <c r="Q2105" s="5" t="str">
        <f t="shared" si="7"/>
        <v>Pennsylvania</v>
      </c>
      <c r="R2105" s="5" t="str">
        <f t="shared" si="8"/>
        <v>United States</v>
      </c>
    </row>
    <row r="2106">
      <c r="A2106" s="8" t="s">
        <v>10003</v>
      </c>
      <c r="B2106" s="10" t="s">
        <v>10004</v>
      </c>
      <c r="C2106" s="10" t="s">
        <v>4749</v>
      </c>
      <c r="D2106" s="10"/>
      <c r="E2106" s="10" t="s">
        <v>1233</v>
      </c>
      <c r="F2106" s="10" t="s">
        <v>222</v>
      </c>
      <c r="G2106" s="11" t="s">
        <v>102</v>
      </c>
      <c r="H2106" s="11" t="s">
        <v>172</v>
      </c>
      <c r="I2106" s="11" t="s">
        <v>18</v>
      </c>
      <c r="J2106" s="9" t="str">
        <f>IFERROR(__xludf.DUMMYFUNCTION("""COMPUTED_VALUE"""),"https://www.google.com/search?newwindow=1&amp;ei=2MT0XrvGGM-vytMP1OyDgAY&amp;q=site%3Alinkedin.com+Ashley+Wodarek+Lead+Technology+Campus+Recruiter+BNY+Mellon")</f>
        <v>https://www.google.com/search?newwindow=1&amp;ei=2MT0XrvGGM-vytMP1OyDgAY&amp;q=site%3Alinkedin.com+Ashley+Wodarek+Lead+Technology+Campus+Recruiter+BNY+Mellon</v>
      </c>
      <c r="K2106" s="5" t="str">
        <f t="shared" si="1"/>
        <v>Ashley Wodarek</v>
      </c>
      <c r="L2106" s="5" t="str">
        <f t="shared" si="2"/>
        <v>Lead Technology Campus Recruiter</v>
      </c>
      <c r="M2106" s="5" t="str">
        <f t="shared" si="3"/>
        <v> </v>
      </c>
      <c r="N2106" s="5" t="str">
        <f t="shared" si="4"/>
        <v>BNY Mellon</v>
      </c>
      <c r="O2106" s="5" t="str">
        <f t="shared" si="5"/>
        <v>8 months in role and company</v>
      </c>
      <c r="P2106" s="5" t="str">
        <f t="shared" si="6"/>
        <v>Pittsburgh</v>
      </c>
      <c r="Q2106" s="5" t="str">
        <f t="shared" si="7"/>
        <v>Pennsylvania</v>
      </c>
      <c r="R2106" s="5" t="str">
        <f t="shared" si="8"/>
        <v>United States</v>
      </c>
    </row>
    <row r="2107">
      <c r="A2107" s="8" t="s">
        <v>10005</v>
      </c>
      <c r="B2107" s="10" t="s">
        <v>10006</v>
      </c>
      <c r="C2107" s="10" t="s">
        <v>10007</v>
      </c>
      <c r="D2107" s="10"/>
      <c r="E2107" s="10" t="s">
        <v>1233</v>
      </c>
      <c r="F2107" s="10" t="s">
        <v>418</v>
      </c>
      <c r="G2107" s="11" t="s">
        <v>102</v>
      </c>
      <c r="H2107" s="11" t="s">
        <v>172</v>
      </c>
      <c r="I2107" s="11" t="s">
        <v>18</v>
      </c>
      <c r="J2107" s="9" t="str">
        <f>IFERROR(__xludf.DUMMYFUNCTION("""COMPUTED_VALUE"""),"https://www.google.com/search?newwindow=1&amp;ei=2MT0XrvGGM-vytMP1OyDgAY&amp;q=site%3Alinkedin.com+Kristi+Newton+Interim+Global+Head+of+Campus+Recruiting+&amp;+Emerging+Talent+Programs+BNY+Mellon")</f>
        <v>https://www.google.com/search?newwindow=1&amp;ei=2MT0XrvGGM-vytMP1OyDgAY&amp;q=site%3Alinkedin.com+Kristi+Newton+Interim+Global+Head+of+Campus+Recruiting+&amp;+Emerging+Talent+Programs+BNY+Mellon</v>
      </c>
      <c r="K2107" s="5" t="str">
        <f t="shared" si="1"/>
        <v>Kristi Newton</v>
      </c>
      <c r="L2107" s="5" t="str">
        <f t="shared" si="2"/>
        <v>Interim Global Head of Campus Recruiting &amp; Emerging Talent Programs</v>
      </c>
      <c r="M2107" s="5" t="str">
        <f t="shared" si="3"/>
        <v> </v>
      </c>
      <c r="N2107" s="5" t="str">
        <f t="shared" si="4"/>
        <v>BNY Mellon</v>
      </c>
      <c r="O2107" s="5" t="str">
        <f t="shared" si="5"/>
        <v>3 months in role</v>
      </c>
      <c r="P2107" s="5" t="str">
        <f t="shared" si="6"/>
        <v>Pittsburgh</v>
      </c>
      <c r="Q2107" s="5" t="str">
        <f t="shared" si="7"/>
        <v>Pennsylvania</v>
      </c>
      <c r="R2107" s="5" t="str">
        <f t="shared" si="8"/>
        <v>United States</v>
      </c>
    </row>
    <row r="2108">
      <c r="A2108" s="8" t="s">
        <v>10008</v>
      </c>
      <c r="B2108" s="10" t="s">
        <v>10009</v>
      </c>
      <c r="C2108" s="10" t="s">
        <v>1896</v>
      </c>
      <c r="D2108" s="10"/>
      <c r="E2108" s="10" t="s">
        <v>4701</v>
      </c>
      <c r="F2108" s="10" t="s">
        <v>125</v>
      </c>
      <c r="G2108" s="11" t="s">
        <v>102</v>
      </c>
      <c r="H2108" s="11" t="s">
        <v>172</v>
      </c>
      <c r="I2108" s="11" t="s">
        <v>18</v>
      </c>
      <c r="J2108" s="9" t="str">
        <f>IFERROR(__xludf.DUMMYFUNCTION("""COMPUTED_VALUE"""),"https://www.google.com/search?newwindow=1&amp;ei=2MT0XrvGGM-vytMP1OyDgAY&amp;q=site%3Alinkedin.com+Matthew+Veseleny+Lead+Campus+Recruiter+BNY+Mellon")</f>
        <v>https://www.google.com/search?newwindow=1&amp;ei=2MT0XrvGGM-vytMP1OyDgAY&amp;q=site%3Alinkedin.com+Matthew+Veseleny+Lead+Campus+Recruiter+BNY+Mellon</v>
      </c>
      <c r="K2108" s="5" t="str">
        <f t="shared" si="1"/>
        <v>Matthew Veseleny</v>
      </c>
      <c r="L2108" s="5" t="str">
        <f t="shared" si="2"/>
        <v>Lead Campus Recruiter</v>
      </c>
      <c r="M2108" s="5" t="str">
        <f t="shared" si="3"/>
        <v> </v>
      </c>
      <c r="N2108" s="5" t="str">
        <f t="shared" si="4"/>
        <v>BNY Mellon</v>
      </c>
      <c r="O2108" s="5" t="str">
        <f t="shared" si="5"/>
        <v>1 year 3 months in role and company</v>
      </c>
      <c r="P2108" s="5" t="str">
        <f t="shared" si="6"/>
        <v>Pittsburgh</v>
      </c>
      <c r="Q2108" s="5" t="str">
        <f t="shared" si="7"/>
        <v>Pennsylvania</v>
      </c>
      <c r="R2108" s="5" t="str">
        <f t="shared" si="8"/>
        <v>United States</v>
      </c>
    </row>
    <row r="2109">
      <c r="A2109" s="8" t="s">
        <v>10010</v>
      </c>
      <c r="B2109" s="12" t="s">
        <v>10011</v>
      </c>
      <c r="C2109" s="10" t="s">
        <v>4749</v>
      </c>
      <c r="D2109" s="10"/>
      <c r="E2109" s="10" t="s">
        <v>1560</v>
      </c>
      <c r="F2109" s="10"/>
      <c r="G2109" s="11" t="s">
        <v>102</v>
      </c>
      <c r="H2109" s="11" t="s">
        <v>172</v>
      </c>
      <c r="I2109" s="11" t="s">
        <v>18</v>
      </c>
      <c r="J2109" s="9" t="str">
        <f>IFERROR(__xludf.DUMMYFUNCTION("""COMPUTED_VALUE"""),"https://www.google.com/search?newwindow=1&amp;ei=2MT0XrvGGM-vytMP1OyDgAY&amp;q=site%3Alinkedin.com+Olivia+Waldron+Global+Program+Manager-+Operations+Campus+Analyst+Program+BNY+Mellon")</f>
        <v>https://www.google.com/search?newwindow=1&amp;ei=2MT0XrvGGM-vytMP1OyDgAY&amp;q=site%3Alinkedin.com+Olivia+Waldron+Global+Program+Manager-+Operations+Campus+Analyst+Program+BNY+Mellon</v>
      </c>
      <c r="K2109" s="5" t="str">
        <f t="shared" si="1"/>
        <v>Olivia Waldron</v>
      </c>
      <c r="L2109" s="5" t="str">
        <f t="shared" si="2"/>
        <v>Global Program Manager- Operations Campus Analyst Program</v>
      </c>
      <c r="M2109" s="5" t="str">
        <f t="shared" si="3"/>
        <v> </v>
      </c>
      <c r="N2109" s="5" t="str">
        <f t="shared" si="4"/>
        <v>BNY Mellon</v>
      </c>
      <c r="O2109" s="5" t="str">
        <f t="shared" si="5"/>
        <v>1 year 3 months in role</v>
      </c>
      <c r="P2109" s="5" t="str">
        <f t="shared" si="6"/>
        <v>Pittsburgh</v>
      </c>
      <c r="Q2109" s="5" t="str">
        <f t="shared" si="7"/>
        <v>Pennsylvania</v>
      </c>
      <c r="R2109" s="5" t="str">
        <f t="shared" si="8"/>
        <v>United States</v>
      </c>
    </row>
    <row r="2110">
      <c r="A2110" s="8" t="s">
        <v>10012</v>
      </c>
      <c r="B2110" s="12" t="s">
        <v>10013</v>
      </c>
      <c r="C2110" s="10" t="s">
        <v>4674</v>
      </c>
      <c r="D2110" s="10"/>
      <c r="E2110" s="10" t="s">
        <v>1233</v>
      </c>
      <c r="F2110" s="10" t="s">
        <v>228</v>
      </c>
      <c r="G2110" s="11" t="s">
        <v>102</v>
      </c>
      <c r="H2110" s="11" t="s">
        <v>172</v>
      </c>
      <c r="I2110" s="11" t="s">
        <v>18</v>
      </c>
      <c r="J2110" s="9" t="str">
        <f>IFERROR(__xludf.DUMMYFUNCTION("""COMPUTED_VALUE"""),"https://www.google.com/search?newwindow=1&amp;ei=2MT0XrvGGM-vytMP1OyDgAY&amp;q=site%3Alinkedin.com+Mark+Lyden+College+Recruiter+Boeing")</f>
        <v>https://www.google.com/search?newwindow=1&amp;ei=2MT0XrvGGM-vytMP1OyDgAY&amp;q=site%3Alinkedin.com+Mark+Lyden+College+Recruiter+Boeing</v>
      </c>
      <c r="K2110" s="5" t="str">
        <f t="shared" si="1"/>
        <v>Mark Lyden</v>
      </c>
      <c r="L2110" s="5" t="str">
        <f t="shared" si="2"/>
        <v>College Recruiter</v>
      </c>
      <c r="M2110" s="5" t="str">
        <f t="shared" si="3"/>
        <v> </v>
      </c>
      <c r="N2110" s="5" t="str">
        <f t="shared" si="4"/>
        <v>Boeing</v>
      </c>
      <c r="O2110" s="5" t="str">
        <f t="shared" si="5"/>
        <v>24 years 10 months in role and company</v>
      </c>
      <c r="P2110" s="5" t="str">
        <f t="shared" si="6"/>
        <v>Charleston</v>
      </c>
      <c r="Q2110" s="5" t="str">
        <f t="shared" si="7"/>
        <v>South Carolina</v>
      </c>
      <c r="R2110" s="5" t="str">
        <f t="shared" si="8"/>
        <v>United States</v>
      </c>
    </row>
    <row r="2111">
      <c r="A2111" s="8" t="s">
        <v>10014</v>
      </c>
      <c r="B2111" s="10" t="s">
        <v>923</v>
      </c>
      <c r="C2111" s="10" t="s">
        <v>924</v>
      </c>
      <c r="D2111" s="10"/>
      <c r="E2111" s="10" t="s">
        <v>845</v>
      </c>
      <c r="F2111" s="10" t="s">
        <v>217</v>
      </c>
      <c r="G2111" s="11" t="s">
        <v>102</v>
      </c>
      <c r="H2111" s="11" t="s">
        <v>172</v>
      </c>
      <c r="I2111" s="11" t="s">
        <v>18</v>
      </c>
      <c r="J2111" s="9" t="str">
        <f>IFERROR(__xludf.DUMMYFUNCTION("""COMPUTED_VALUE"""),"https://www.google.com/search?newwindow=1&amp;ei=2MT0XrvGGM-vytMP1OyDgAY&amp;q=site%3Alinkedin.com+Tamara+Shilipetar+College+Recruiter+Boeing")</f>
        <v>https://www.google.com/search?newwindow=1&amp;ei=2MT0XrvGGM-vytMP1OyDgAY&amp;q=site%3Alinkedin.com+Tamara+Shilipetar+College+Recruiter+Boeing</v>
      </c>
      <c r="K2111" s="5" t="str">
        <f t="shared" si="1"/>
        <v>Tamara Shilipetar</v>
      </c>
      <c r="L2111" s="5" t="str">
        <f t="shared" si="2"/>
        <v>College Recruiter</v>
      </c>
      <c r="M2111" s="5" t="str">
        <f t="shared" si="3"/>
        <v> </v>
      </c>
      <c r="N2111" s="5" t="str">
        <f t="shared" si="4"/>
        <v>Boeing</v>
      </c>
      <c r="O2111" s="5" t="str">
        <f t="shared" si="5"/>
        <v/>
      </c>
      <c r="P2111" s="5" t="str">
        <f t="shared" si="6"/>
        <v>Kent</v>
      </c>
      <c r="Q2111" s="5" t="str">
        <f t="shared" si="7"/>
        <v>Washington</v>
      </c>
      <c r="R2111" s="5" t="str">
        <f t="shared" si="8"/>
        <v>United States</v>
      </c>
    </row>
    <row r="2112">
      <c r="A2112" s="8" t="s">
        <v>10015</v>
      </c>
      <c r="B2112" s="10" t="s">
        <v>10016</v>
      </c>
      <c r="C2112" s="10" t="s">
        <v>1896</v>
      </c>
      <c r="D2112" s="10"/>
      <c r="E2112" s="10" t="s">
        <v>845</v>
      </c>
      <c r="F2112" s="10" t="s">
        <v>60</v>
      </c>
      <c r="G2112" s="11" t="s">
        <v>102</v>
      </c>
      <c r="H2112" s="11" t="s">
        <v>172</v>
      </c>
      <c r="I2112" s="11" t="s">
        <v>18</v>
      </c>
      <c r="J2112" s="9" t="str">
        <f>IFERROR(__xludf.DUMMYFUNCTION("""COMPUTED_VALUE"""),"https://www.google.com/search?newwindow=1&amp;ei=2MT0XrvGGM-vytMP1OyDgAY&amp;q=site%3Alinkedin.com+Godfrey+Anderson,+MPA+Manager,+EFS+Rates+&amp;+Overhead+Cost+Management+Boeing")</f>
        <v>https://www.google.com/search?newwindow=1&amp;ei=2MT0XrvGGM-vytMP1OyDgAY&amp;q=site%3Alinkedin.com+Godfrey+Anderson,+MPA+Manager,+EFS+Rates+&amp;+Overhead+Cost+Management+Boeing</v>
      </c>
      <c r="K2112" s="5" t="str">
        <f t="shared" si="1"/>
        <v>Godfrey Anderson, MPA</v>
      </c>
      <c r="L2112" s="5" t="str">
        <f t="shared" si="2"/>
        <v>Manager, EFS Rates &amp; Overhead Cost Management</v>
      </c>
      <c r="M2112" s="5" t="str">
        <f t="shared" si="3"/>
        <v> </v>
      </c>
      <c r="N2112" s="5" t="str">
        <f t="shared" si="4"/>
        <v>Boeing</v>
      </c>
      <c r="O2112" s="5" t="str">
        <f t="shared" si="5"/>
        <v>10 months in role</v>
      </c>
      <c r="P2112" s="5" t="str">
        <f t="shared" si="6"/>
        <v>Madison</v>
      </c>
      <c r="Q2112" s="5" t="str">
        <f t="shared" si="7"/>
        <v>Alabama</v>
      </c>
      <c r="R2112" s="5" t="str">
        <f t="shared" si="8"/>
        <v>United States</v>
      </c>
    </row>
    <row r="2113">
      <c r="A2113" s="8" t="s">
        <v>10017</v>
      </c>
      <c r="B2113" s="12" t="s">
        <v>10018</v>
      </c>
      <c r="C2113" s="10" t="s">
        <v>4749</v>
      </c>
      <c r="D2113" s="10"/>
      <c r="E2113" s="10" t="s">
        <v>4659</v>
      </c>
      <c r="F2113" s="10" t="s">
        <v>207</v>
      </c>
      <c r="G2113" s="11" t="s">
        <v>102</v>
      </c>
      <c r="H2113" s="11" t="s">
        <v>172</v>
      </c>
      <c r="I2113" s="11" t="s">
        <v>18</v>
      </c>
      <c r="J2113" s="9" t="str">
        <f>IFERROR(__xludf.DUMMYFUNCTION("""COMPUTED_VALUE"""),"https://www.google.com/search?newwindow=1&amp;ei=2MT0XrvGGM-vytMP1OyDgAY&amp;q=site%3Alinkedin.com+Daniel+Aikens+Senior+University+Recruiter+Boeing")</f>
        <v>https://www.google.com/search?newwindow=1&amp;ei=2MT0XrvGGM-vytMP1OyDgAY&amp;q=site%3Alinkedin.com+Daniel+Aikens+Senior+University+Recruiter+Boeing</v>
      </c>
      <c r="K2113" s="5" t="str">
        <f t="shared" si="1"/>
        <v>Daniel Aikens</v>
      </c>
      <c r="L2113" s="5" t="str">
        <f t="shared" si="2"/>
        <v>Senior University Recruiter</v>
      </c>
      <c r="M2113" s="5" t="str">
        <f t="shared" si="3"/>
        <v> </v>
      </c>
      <c r="N2113" s="5" t="str">
        <f t="shared" si="4"/>
        <v>Boeing</v>
      </c>
      <c r="O2113" s="5" t="str">
        <f t="shared" si="5"/>
        <v>2 years 4 months in role</v>
      </c>
      <c r="P2113" s="5" t="str">
        <f t="shared" si="6"/>
        <v>Renton</v>
      </c>
      <c r="Q2113" s="5" t="str">
        <f t="shared" si="7"/>
        <v>Washington</v>
      </c>
      <c r="R2113" s="5" t="str">
        <f t="shared" si="8"/>
        <v>United States</v>
      </c>
    </row>
    <row r="2114">
      <c r="A2114" s="8" t="s">
        <v>10019</v>
      </c>
      <c r="B2114" s="10" t="s">
        <v>10020</v>
      </c>
      <c r="C2114" s="10" t="s">
        <v>1378</v>
      </c>
      <c r="D2114" s="10"/>
      <c r="E2114" s="10" t="s">
        <v>1233</v>
      </c>
      <c r="F2114" s="10" t="s">
        <v>694</v>
      </c>
      <c r="G2114" s="11" t="s">
        <v>102</v>
      </c>
      <c r="H2114" s="11" t="s">
        <v>172</v>
      </c>
      <c r="I2114" s="11" t="s">
        <v>18</v>
      </c>
      <c r="J2114" s="9" t="str">
        <f>IFERROR(__xludf.DUMMYFUNCTION("""COMPUTED_VALUE"""),"https://www.google.com/search?newwindow=1&amp;ei=2MT0XrvGGM-vytMP1OyDgAY&amp;q=site%3Alinkedin.com+Brady+Pahukoa+College+Recruiter+II+Boeing")</f>
        <v>https://www.google.com/search?newwindow=1&amp;ei=2MT0XrvGGM-vytMP1OyDgAY&amp;q=site%3Alinkedin.com+Brady+Pahukoa+College+Recruiter+II+Boeing</v>
      </c>
      <c r="K2114" s="5" t="str">
        <f t="shared" si="1"/>
        <v>Brady Pahukoa</v>
      </c>
      <c r="L2114" s="5" t="str">
        <f t="shared" si="2"/>
        <v>College Recruiter II</v>
      </c>
      <c r="M2114" s="5" t="str">
        <f t="shared" si="3"/>
        <v> </v>
      </c>
      <c r="N2114" s="5" t="str">
        <f t="shared" si="4"/>
        <v>Boeing</v>
      </c>
      <c r="O2114" s="5" t="str">
        <f t="shared" si="5"/>
        <v>1 year 4 months in role</v>
      </c>
      <c r="P2114" s="5" t="str">
        <f t="shared" si="6"/>
        <v>Seattle</v>
      </c>
      <c r="Q2114" s="5" t="str">
        <f t="shared" si="7"/>
        <v>Washington</v>
      </c>
      <c r="R2114" s="5" t="str">
        <f t="shared" si="8"/>
        <v>United States</v>
      </c>
    </row>
    <row r="2115">
      <c r="A2115" s="8" t="s">
        <v>10021</v>
      </c>
      <c r="B2115" s="10" t="s">
        <v>10022</v>
      </c>
      <c r="C2115" s="10" t="s">
        <v>10023</v>
      </c>
      <c r="D2115" s="10"/>
      <c r="E2115" s="10" t="s">
        <v>845</v>
      </c>
      <c r="F2115" s="10" t="s">
        <v>192</v>
      </c>
      <c r="G2115" s="11" t="s">
        <v>102</v>
      </c>
      <c r="H2115" s="11" t="s">
        <v>172</v>
      </c>
      <c r="I2115" s="11" t="s">
        <v>18</v>
      </c>
      <c r="J2115" s="9" t="str">
        <f>IFERROR(__xludf.DUMMYFUNCTION("""COMPUTED_VALUE"""),"https://www.google.com/search?newwindow=1&amp;ei=2MT0XrvGGM-vytMP1OyDgAY&amp;q=site%3Alinkedin.com+Leslie+Benson+Enterprise+Finance+and+Strategy+Advisor+&amp;+Learning+Program+Manager+(Dual+Role)+Boeing")</f>
        <v>https://www.google.com/search?newwindow=1&amp;ei=2MT0XrvGGM-vytMP1OyDgAY&amp;q=site%3Alinkedin.com+Leslie+Benson+Enterprise+Finance+and+Strategy+Advisor+&amp;+Learning+Program+Manager+(Dual+Role)+Boeing</v>
      </c>
      <c r="K2115" s="5" t="str">
        <f t="shared" si="1"/>
        <v>Leslie Benson</v>
      </c>
      <c r="L2115" s="5" t="str">
        <f t="shared" si="2"/>
        <v>Enterprise Finance and Strategy Advisor &amp; Learning Program Manager (Dual Role)</v>
      </c>
      <c r="M2115" s="5" t="str">
        <f t="shared" si="3"/>
        <v> </v>
      </c>
      <c r="N2115" s="5" t="str">
        <f t="shared" si="4"/>
        <v>Boeing</v>
      </c>
      <c r="O2115" s="5" t="str">
        <f t="shared" si="5"/>
        <v>1 year 11 months in role</v>
      </c>
      <c r="P2115" s="5" t="str">
        <f t="shared" si="6"/>
        <v>Woodinville</v>
      </c>
      <c r="Q2115" s="5" t="str">
        <f t="shared" si="7"/>
        <v>Washington</v>
      </c>
      <c r="R2115" s="5" t="str">
        <f t="shared" si="8"/>
        <v>United States</v>
      </c>
    </row>
    <row r="2116">
      <c r="A2116" s="8" t="s">
        <v>10024</v>
      </c>
      <c r="B2116" s="10" t="s">
        <v>10025</v>
      </c>
      <c r="C2116" s="10" t="s">
        <v>1905</v>
      </c>
      <c r="D2116" s="10"/>
      <c r="E2116" s="10" t="s">
        <v>4701</v>
      </c>
      <c r="F2116" s="10" t="s">
        <v>144</v>
      </c>
      <c r="G2116" s="11" t="s">
        <v>102</v>
      </c>
      <c r="H2116" s="11" t="s">
        <v>172</v>
      </c>
      <c r="I2116" s="11" t="s">
        <v>18</v>
      </c>
      <c r="J2116" s="9" t="str">
        <f>IFERROR(__xludf.DUMMYFUNCTION("""COMPUTED_VALUE"""),"https://www.google.com/search?newwindow=1&amp;ei=2MT0XrvGGM-vytMP1OyDgAY&amp;q=site%3Alinkedin.com+John+B.+DeRoest,+MBA,+CPIM+Supply+Chain+Integrator/Analyst+/+College+Recruiter+The+Boeing+Company")</f>
        <v>https://www.google.com/search?newwindow=1&amp;ei=2MT0XrvGGM-vytMP1OyDgAY&amp;q=site%3Alinkedin.com+John+B.+DeRoest,+MBA,+CPIM+Supply+Chain+Integrator/Analyst+/+College+Recruiter+The+Boeing+Company</v>
      </c>
      <c r="K2116" s="5" t="str">
        <f t="shared" si="1"/>
        <v>John B. DeRoest, MBA, CPIM</v>
      </c>
      <c r="L2116" s="5" t="str">
        <f t="shared" si="2"/>
        <v>Supply Chain Integrator/Analyst / College Recruiter</v>
      </c>
      <c r="M2116" s="5" t="str">
        <f t="shared" si="3"/>
        <v> </v>
      </c>
      <c r="N2116" s="5" t="str">
        <f t="shared" si="4"/>
        <v>Boeing</v>
      </c>
      <c r="O2116" s="5" t="str">
        <f t="shared" si="5"/>
        <v>31 years  in role and company</v>
      </c>
      <c r="P2116" s="5" t="str">
        <f t="shared" si="6"/>
        <v>Salt Lake City</v>
      </c>
      <c r="Q2116" s="5" t="str">
        <f t="shared" si="7"/>
        <v>Utah</v>
      </c>
      <c r="R2116" s="5" t="str">
        <f t="shared" si="8"/>
        <v>United States</v>
      </c>
    </row>
    <row r="2117">
      <c r="A2117" s="8" t="s">
        <v>10026</v>
      </c>
      <c r="B2117" s="10" t="s">
        <v>1898</v>
      </c>
      <c r="C2117" s="10" t="s">
        <v>1899</v>
      </c>
      <c r="D2117" s="10"/>
      <c r="E2117" s="10" t="s">
        <v>4701</v>
      </c>
      <c r="F2117" s="10" t="s">
        <v>277</v>
      </c>
      <c r="G2117" s="11" t="s">
        <v>102</v>
      </c>
      <c r="H2117" s="11" t="s">
        <v>172</v>
      </c>
      <c r="I2117" s="11" t="s">
        <v>18</v>
      </c>
      <c r="J2117" s="9" t="str">
        <f>IFERROR(__xludf.DUMMYFUNCTION("""COMPUTED_VALUE"""),"https://www.google.com/search?newwindow=1&amp;ei=2MT0XrvGGM-vytMP1OyDgAY&amp;q=site%3Alinkedin.com+Jonell+Diaz+Hanley+College+Recruiter+The+Boeing+Company")</f>
        <v>https://www.google.com/search?newwindow=1&amp;ei=2MT0XrvGGM-vytMP1OyDgAY&amp;q=site%3Alinkedin.com+Jonell+Diaz+Hanley+College+Recruiter+The+Boeing+Company</v>
      </c>
      <c r="K2117" s="5" t="str">
        <f t="shared" si="1"/>
        <v>Jonell Diaz Hanley</v>
      </c>
      <c r="L2117" s="5" t="str">
        <f t="shared" si="2"/>
        <v>College Recruiter</v>
      </c>
      <c r="M2117" s="5" t="str">
        <f t="shared" si="3"/>
        <v> </v>
      </c>
      <c r="N2117" s="5" t="str">
        <f t="shared" si="4"/>
        <v>Boeing</v>
      </c>
      <c r="O2117" s="5" t="str">
        <f t="shared" si="5"/>
        <v>20 years 10 months in role and company</v>
      </c>
      <c r="P2117" s="5" t="str">
        <f t="shared" si="6"/>
        <v>Seattle</v>
      </c>
      <c r="Q2117" s="5" t="str">
        <f t="shared" si="7"/>
        <v>Washington</v>
      </c>
      <c r="R2117" s="5" t="str">
        <f t="shared" si="8"/>
        <v>United States</v>
      </c>
    </row>
    <row r="2118">
      <c r="A2118" s="8" t="s">
        <v>10027</v>
      </c>
      <c r="B2118" s="10" t="s">
        <v>10028</v>
      </c>
      <c r="C2118" s="10" t="s">
        <v>10029</v>
      </c>
      <c r="D2118" s="10"/>
      <c r="E2118" s="10" t="s">
        <v>845</v>
      </c>
      <c r="F2118" s="10" t="s">
        <v>666</v>
      </c>
      <c r="G2118" s="11" t="s">
        <v>102</v>
      </c>
      <c r="H2118" s="11" t="s">
        <v>172</v>
      </c>
      <c r="I2118" s="11" t="s">
        <v>18</v>
      </c>
      <c r="J2118" s="9" t="str">
        <f>IFERROR(__xludf.DUMMYFUNCTION("""COMPUTED_VALUE"""),"https://www.google.com/search?newwindow=1&amp;ei=2MT0XrvGGM-vytMP1OyDgAY&amp;q=site%3Alinkedin.com+Irah+Dizon+College+Recruiter+Specialist+The+Boeing+Company")</f>
        <v>https://www.google.com/search?newwindow=1&amp;ei=2MT0XrvGGM-vytMP1OyDgAY&amp;q=site%3Alinkedin.com+Irah+Dizon+College+Recruiter+Specialist+The+Boeing+Company</v>
      </c>
      <c r="K2118" s="5" t="str">
        <f t="shared" si="1"/>
        <v>Irah Dizon</v>
      </c>
      <c r="L2118" s="5" t="str">
        <f t="shared" si="2"/>
        <v>College Recruiter Specialist</v>
      </c>
      <c r="M2118" s="5" t="str">
        <f t="shared" si="3"/>
        <v> </v>
      </c>
      <c r="N2118" s="5" t="str">
        <f t="shared" si="4"/>
        <v>Boeing</v>
      </c>
      <c r="O2118" s="5" t="str">
        <f t="shared" si="5"/>
        <v>4 years 4 months in role and company</v>
      </c>
      <c r="P2118" s="5" t="str">
        <f t="shared" si="6"/>
        <v>Tacoma</v>
      </c>
      <c r="Q2118" s="5" t="str">
        <f t="shared" si="7"/>
        <v>Washington</v>
      </c>
      <c r="R2118" s="5" t="str">
        <f t="shared" si="8"/>
        <v>United States</v>
      </c>
    </row>
    <row r="2119">
      <c r="A2119" s="8" t="s">
        <v>10030</v>
      </c>
      <c r="B2119" s="10" t="s">
        <v>10031</v>
      </c>
      <c r="C2119" s="10" t="s">
        <v>10032</v>
      </c>
      <c r="D2119" s="10"/>
      <c r="E2119" s="10" t="s">
        <v>845</v>
      </c>
      <c r="F2119" s="10" t="s">
        <v>149</v>
      </c>
      <c r="G2119" s="11" t="s">
        <v>102</v>
      </c>
      <c r="H2119" s="11" t="s">
        <v>172</v>
      </c>
      <c r="I2119" s="11" t="s">
        <v>18</v>
      </c>
      <c r="J2119" s="9" t="str">
        <f>IFERROR(__xludf.DUMMYFUNCTION("""COMPUTED_VALUE"""),"https://www.google.com/search?newwindow=1&amp;ei=2MT0XrvGGM-vytMP1OyDgAY&amp;q=site%3Alinkedin.com+Brittanie+Bosselait+University+Recruiter+Booz+Allen+Hamilton")</f>
        <v>https://www.google.com/search?newwindow=1&amp;ei=2MT0XrvGGM-vytMP1OyDgAY&amp;q=site%3Alinkedin.com+Brittanie+Bosselait+University+Recruiter+Booz+Allen+Hamilton</v>
      </c>
      <c r="K2119" s="5" t="str">
        <f t="shared" si="1"/>
        <v>Brittanie Bosselait</v>
      </c>
      <c r="L2119" s="5" t="str">
        <f t="shared" si="2"/>
        <v>University Recruiter</v>
      </c>
      <c r="M2119" s="5" t="str">
        <f t="shared" si="3"/>
        <v> </v>
      </c>
      <c r="N2119" s="5" t="str">
        <f t="shared" si="4"/>
        <v>Booz Allen Hamilton</v>
      </c>
      <c r="O2119" s="5" t="str">
        <f t="shared" si="5"/>
        <v>13 years 9 months in role and company</v>
      </c>
      <c r="P2119" s="5" t="str">
        <f t="shared" si="6"/>
        <v>McLean</v>
      </c>
      <c r="Q2119" s="5" t="str">
        <f t="shared" si="7"/>
        <v>Virginia</v>
      </c>
      <c r="R2119" s="5" t="str">
        <f t="shared" si="8"/>
        <v>United States</v>
      </c>
    </row>
    <row r="2120">
      <c r="A2120" s="8" t="s">
        <v>10033</v>
      </c>
      <c r="B2120" s="10" t="s">
        <v>10034</v>
      </c>
      <c r="C2120" s="10" t="s">
        <v>10035</v>
      </c>
      <c r="D2120" s="10"/>
      <c r="E2120" s="10" t="s">
        <v>845</v>
      </c>
      <c r="F2120" s="10" t="s">
        <v>26</v>
      </c>
      <c r="G2120" s="11" t="s">
        <v>102</v>
      </c>
      <c r="H2120" s="11" t="s">
        <v>172</v>
      </c>
      <c r="I2120" s="11" t="s">
        <v>18</v>
      </c>
      <c r="J2120" s="9" t="str">
        <f>IFERROR(__xludf.DUMMYFUNCTION("""COMPUTED_VALUE"""),"https://www.google.com/search?newwindow=1&amp;ei=2MT0XrvGGM-vytMP1OyDgAY&amp;q=site%3Alinkedin.com+Dean+Fechner+Sr.+Manager,+Campus+Recruiting+Booz+Allen+Hamilton")</f>
        <v>https://www.google.com/search?newwindow=1&amp;ei=2MT0XrvGGM-vytMP1OyDgAY&amp;q=site%3Alinkedin.com+Dean+Fechner+Sr.+Manager,+Campus+Recruiting+Booz+Allen+Hamilton</v>
      </c>
      <c r="K2120" s="5" t="str">
        <f t="shared" si="1"/>
        <v>Dean Fechner</v>
      </c>
      <c r="L2120" s="5" t="str">
        <f t="shared" si="2"/>
        <v>Sr. Manager, Campus Recruiting</v>
      </c>
      <c r="M2120" s="5" t="str">
        <f t="shared" si="3"/>
        <v> </v>
      </c>
      <c r="N2120" s="5" t="str">
        <f t="shared" si="4"/>
        <v>Booz Allen Hamilton</v>
      </c>
      <c r="O2120" s="5" t="str">
        <f t="shared" si="5"/>
        <v>16 years 8 months in role and company</v>
      </c>
      <c r="P2120" s="5" t="str">
        <f t="shared" si="6"/>
        <v>New York</v>
      </c>
      <c r="Q2120" s="5" t="str">
        <f t="shared" si="7"/>
        <v>New York</v>
      </c>
      <c r="R2120" s="5" t="str">
        <f t="shared" si="8"/>
        <v>United States</v>
      </c>
    </row>
    <row r="2121">
      <c r="A2121" s="8" t="s">
        <v>10036</v>
      </c>
      <c r="B2121" s="10" t="s">
        <v>918</v>
      </c>
      <c r="C2121" s="10" t="s">
        <v>919</v>
      </c>
      <c r="D2121" s="10"/>
      <c r="E2121" s="10" t="s">
        <v>845</v>
      </c>
      <c r="F2121" s="10" t="s">
        <v>512</v>
      </c>
      <c r="G2121" s="11" t="s">
        <v>102</v>
      </c>
      <c r="H2121" s="11" t="s">
        <v>172</v>
      </c>
      <c r="I2121" s="11" t="s">
        <v>18</v>
      </c>
      <c r="J2121" s="9" t="str">
        <f>IFERROR(__xludf.DUMMYFUNCTION("""COMPUTED_VALUE"""),"https://www.google.com/search?newwindow=1&amp;ei=2MT0XrvGGM-vytMP1OyDgAY&amp;q=site%3Alinkedin.com+Gracie+Keyser+University+Recruiting+Campus+Manager+Booz+Allen+Hamilton")</f>
        <v>https://www.google.com/search?newwindow=1&amp;ei=2MT0XrvGGM-vytMP1OyDgAY&amp;q=site%3Alinkedin.com+Gracie+Keyser+University+Recruiting+Campus+Manager+Booz+Allen+Hamilton</v>
      </c>
      <c r="K2121" s="5" t="str">
        <f t="shared" si="1"/>
        <v>Gracie Keyser</v>
      </c>
      <c r="L2121" s="5" t="str">
        <f t="shared" si="2"/>
        <v>University Recruiting Campus Manager</v>
      </c>
      <c r="M2121" s="5" t="str">
        <f t="shared" si="3"/>
        <v> </v>
      </c>
      <c r="N2121" s="5" t="str">
        <f t="shared" si="4"/>
        <v>Booz Allen Hamilton</v>
      </c>
      <c r="O2121" s="5" t="str">
        <f t="shared" si="5"/>
        <v>1 year 7 months in role and company</v>
      </c>
      <c r="P2121" s="5" t="str">
        <f t="shared" si="6"/>
        <v>Raleigh</v>
      </c>
      <c r="Q2121" s="5" t="str">
        <f t="shared" si="7"/>
        <v>North Carolina</v>
      </c>
      <c r="R2121" s="5" t="str">
        <f t="shared" si="8"/>
        <v>United States</v>
      </c>
    </row>
    <row r="2122">
      <c r="A2122" s="8" t="s">
        <v>10037</v>
      </c>
      <c r="B2122" s="12" t="s">
        <v>10038</v>
      </c>
      <c r="C2122" s="10" t="s">
        <v>4677</v>
      </c>
      <c r="D2122" s="10"/>
      <c r="E2122" s="10" t="s">
        <v>1233</v>
      </c>
      <c r="F2122" s="10" t="s">
        <v>182</v>
      </c>
      <c r="G2122" s="11" t="s">
        <v>102</v>
      </c>
      <c r="H2122" s="11" t="s">
        <v>172</v>
      </c>
      <c r="I2122" s="11" t="s">
        <v>18</v>
      </c>
      <c r="J2122" s="9" t="str">
        <f>IFERROR(__xludf.DUMMYFUNCTION("""COMPUTED_VALUE"""),"https://www.google.com/search?newwindow=1&amp;ei=2MT0XrvGGM-vytMP1OyDgAY&amp;q=site%3Alinkedin.com+Laura+Hamilton+Executive+Recruiter+Booz+Allen+Hamilton")</f>
        <v>https://www.google.com/search?newwindow=1&amp;ei=2MT0XrvGGM-vytMP1OyDgAY&amp;q=site%3Alinkedin.com+Laura+Hamilton+Executive+Recruiter+Booz+Allen+Hamilton</v>
      </c>
      <c r="K2122" s="5" t="str">
        <f t="shared" si="1"/>
        <v>Laura Hamilton</v>
      </c>
      <c r="L2122" s="5" t="str">
        <f t="shared" si="2"/>
        <v>Executive Recruiter</v>
      </c>
      <c r="M2122" s="5" t="str">
        <f t="shared" si="3"/>
        <v> </v>
      </c>
      <c r="N2122" s="5" t="str">
        <f t="shared" si="4"/>
        <v>Booz Allen Hamilton</v>
      </c>
      <c r="O2122" s="5" t="str">
        <f t="shared" si="5"/>
        <v>1 year 2 months in role and company</v>
      </c>
      <c r="P2122" s="5" t="str">
        <f t="shared" si="6"/>
        <v>Vienna</v>
      </c>
      <c r="Q2122" s="5" t="str">
        <f t="shared" si="7"/>
        <v>Virginia</v>
      </c>
      <c r="R2122" s="5" t="str">
        <f t="shared" si="8"/>
        <v>United States</v>
      </c>
    </row>
    <row r="2123">
      <c r="A2123" s="8" t="s">
        <v>10039</v>
      </c>
      <c r="B2123" s="10" t="s">
        <v>10040</v>
      </c>
      <c r="C2123" s="10" t="s">
        <v>10041</v>
      </c>
      <c r="D2123" s="10"/>
      <c r="E2123" s="10" t="s">
        <v>845</v>
      </c>
      <c r="F2123" s="10" t="s">
        <v>437</v>
      </c>
      <c r="G2123" s="11" t="s">
        <v>102</v>
      </c>
      <c r="H2123" s="11" t="s">
        <v>172</v>
      </c>
      <c r="I2123" s="11" t="s">
        <v>18</v>
      </c>
      <c r="J2123" s="9" t="str">
        <f>IFERROR(__xludf.DUMMYFUNCTION("""COMPUTED_VALUE"""),"https://www.google.com/search?newwindow=1&amp;ei=2MT0XrvGGM-vytMP1OyDgAY&amp;q=site%3Alinkedin.com+Tia+Bennett+Campus+Manager,+Diversity+Recruiting+Booz+Allen+Hamilton")</f>
        <v>https://www.google.com/search?newwindow=1&amp;ei=2MT0XrvGGM-vytMP1OyDgAY&amp;q=site%3Alinkedin.com+Tia+Bennett+Campus+Manager,+Diversity+Recruiting+Booz+Allen+Hamilton</v>
      </c>
      <c r="K2123" s="5" t="str">
        <f t="shared" si="1"/>
        <v>Tia Bennett</v>
      </c>
      <c r="L2123" s="5" t="str">
        <f t="shared" si="2"/>
        <v>Campus Manager, Diversity Recruiting</v>
      </c>
      <c r="M2123" s="5" t="str">
        <f t="shared" si="3"/>
        <v> </v>
      </c>
      <c r="N2123" s="5" t="str">
        <f t="shared" si="4"/>
        <v>Booz Allen Hamilton</v>
      </c>
      <c r="O2123" s="5" t="str">
        <f t="shared" si="5"/>
        <v>1 year 3 months in role and company</v>
      </c>
      <c r="P2123" s="5" t="str">
        <f t="shared" si="6"/>
        <v>Washington</v>
      </c>
      <c r="Q2123" s="5" t="str">
        <f t="shared" si="7"/>
        <v>District of Columbia</v>
      </c>
      <c r="R2123" s="5" t="str">
        <f t="shared" si="8"/>
        <v>United States</v>
      </c>
    </row>
    <row r="2124">
      <c r="A2124" s="8" t="s">
        <v>10042</v>
      </c>
      <c r="B2124" s="12" t="s">
        <v>10043</v>
      </c>
      <c r="C2124" s="10" t="s">
        <v>10044</v>
      </c>
      <c r="D2124" s="10"/>
      <c r="E2124" s="10" t="s">
        <v>1233</v>
      </c>
      <c r="F2124" s="10" t="s">
        <v>228</v>
      </c>
      <c r="G2124" s="11" t="s">
        <v>102</v>
      </c>
      <c r="H2124" s="11" t="s">
        <v>172</v>
      </c>
      <c r="I2124" s="11" t="s">
        <v>18</v>
      </c>
      <c r="J2124" s="9" t="str">
        <f>IFERROR(__xludf.DUMMYFUNCTION("""COMPUTED_VALUE"""),"https://www.google.com/search?newwindow=1&amp;ei=2MT0XrvGGM-vytMP1OyDgAY&amp;q=site%3Alinkedin.com+Ashley+Ann+Cooper+Learning+Manager:+Architect+and+Engagement+Manager+Curriculums+Capgemini")</f>
        <v>https://www.google.com/search?newwindow=1&amp;ei=2MT0XrvGGM-vytMP1OyDgAY&amp;q=site%3Alinkedin.com+Ashley+Ann+Cooper+Learning+Manager:+Architect+and+Engagement+Manager+Curriculums+Capgemini</v>
      </c>
      <c r="K2124" s="5" t="str">
        <f t="shared" si="1"/>
        <v>Ashley Ann Cooper</v>
      </c>
      <c r="L2124" s="5" t="str">
        <f t="shared" si="2"/>
        <v>Learning Manager: Architect and Engagement Manager Curriculums</v>
      </c>
      <c r="M2124" s="5" t="str">
        <f t="shared" si="3"/>
        <v> </v>
      </c>
      <c r="N2124" s="5" t="str">
        <f t="shared" si="4"/>
        <v>Capgemini</v>
      </c>
      <c r="O2124" s="5" t="str">
        <f t="shared" si="5"/>
        <v>2 years 4 months in role</v>
      </c>
      <c r="P2124" s="5" t="str">
        <f t="shared" si="6"/>
        <v>Atlanta</v>
      </c>
      <c r="Q2124" s="5" t="str">
        <f t="shared" si="7"/>
        <v>Georgia</v>
      </c>
      <c r="R2124" s="5" t="str">
        <f t="shared" si="8"/>
        <v>United States</v>
      </c>
    </row>
    <row r="2125">
      <c r="A2125" s="8" t="s">
        <v>10045</v>
      </c>
      <c r="B2125" s="10" t="s">
        <v>2983</v>
      </c>
      <c r="C2125" s="10" t="s">
        <v>2984</v>
      </c>
      <c r="D2125" s="10"/>
      <c r="E2125" s="10" t="s">
        <v>4659</v>
      </c>
      <c r="F2125" s="10" t="s">
        <v>2252</v>
      </c>
      <c r="G2125" s="11" t="s">
        <v>102</v>
      </c>
      <c r="H2125" s="11" t="s">
        <v>172</v>
      </c>
      <c r="I2125" s="11" t="s">
        <v>18</v>
      </c>
      <c r="J2125" s="9" t="str">
        <f>IFERROR(__xludf.DUMMYFUNCTION("""COMPUTED_VALUE"""),"https://www.google.com/search?newwindow=1&amp;ei=2MT0XrvGGM-vytMP1OyDgAY&amp;q=site%3Alinkedin.com+Mary+Colleen+Reuter+Campus+Recruiter+Capgemini")</f>
        <v>https://www.google.com/search?newwindow=1&amp;ei=2MT0XrvGGM-vytMP1OyDgAY&amp;q=site%3Alinkedin.com+Mary+Colleen+Reuter+Campus+Recruiter+Capgemini</v>
      </c>
      <c r="K2125" s="5" t="str">
        <f t="shared" si="1"/>
        <v>Mary Colleen Reuter</v>
      </c>
      <c r="L2125" s="5" t="str">
        <f t="shared" si="2"/>
        <v>Campus Recruiter</v>
      </c>
      <c r="M2125" s="5" t="str">
        <f t="shared" si="3"/>
        <v> </v>
      </c>
      <c r="N2125" s="5" t="str">
        <f t="shared" si="4"/>
        <v>Capgemini</v>
      </c>
      <c r="O2125" s="5" t="str">
        <f t="shared" si="5"/>
        <v>2 years 1 month in role and company</v>
      </c>
      <c r="P2125" s="5" t="str">
        <f t="shared" si="6"/>
        <v>Atlanta</v>
      </c>
      <c r="Q2125" s="5" t="str">
        <f t="shared" si="7"/>
        <v>Georgia</v>
      </c>
      <c r="R2125" s="5" t="str">
        <f t="shared" si="8"/>
        <v>United States</v>
      </c>
    </row>
    <row r="2126">
      <c r="A2126" s="8" t="s">
        <v>10046</v>
      </c>
      <c r="B2126" s="10" t="s">
        <v>2894</v>
      </c>
      <c r="C2126" s="10" t="s">
        <v>2895</v>
      </c>
      <c r="D2126" s="10"/>
      <c r="E2126" s="10" t="s">
        <v>2839</v>
      </c>
      <c r="F2126" s="10" t="s">
        <v>188</v>
      </c>
      <c r="G2126" s="11" t="s">
        <v>102</v>
      </c>
      <c r="H2126" s="11" t="s">
        <v>172</v>
      </c>
      <c r="I2126" s="11" t="s">
        <v>18</v>
      </c>
      <c r="J2126" s="9" t="str">
        <f>IFERROR(__xludf.DUMMYFUNCTION("""COMPUTED_VALUE"""),"https://www.google.com/search?newwindow=1&amp;ei=2MT0XrvGGM-vytMP1OyDgAY&amp;q=site%3Alinkedin.com+Rylee+Simpson+Nashville+Campus+Recruiter+Capgemini")</f>
        <v>https://www.google.com/search?newwindow=1&amp;ei=2MT0XrvGGM-vytMP1OyDgAY&amp;q=site%3Alinkedin.com+Rylee+Simpson+Nashville+Campus+Recruiter+Capgemini</v>
      </c>
      <c r="K2126" s="5" t="str">
        <f t="shared" si="1"/>
        <v>Rylee Simpson</v>
      </c>
      <c r="L2126" s="5" t="str">
        <f t="shared" si="2"/>
        <v>Nashville Campus Recruiter</v>
      </c>
      <c r="M2126" s="5" t="str">
        <f t="shared" si="3"/>
        <v> </v>
      </c>
      <c r="N2126" s="5" t="str">
        <f t="shared" si="4"/>
        <v>Capgemini</v>
      </c>
      <c r="O2126" s="5" t="str">
        <f t="shared" si="5"/>
        <v>8 months in role and company</v>
      </c>
      <c r="P2126" s="5" t="str">
        <f t="shared" si="6"/>
        <v>Auburn</v>
      </c>
      <c r="Q2126" s="5" t="str">
        <f t="shared" si="7"/>
        <v>Alabama</v>
      </c>
      <c r="R2126" s="5" t="str">
        <f t="shared" si="8"/>
        <v>United States</v>
      </c>
    </row>
    <row r="2127">
      <c r="A2127" s="8" t="s">
        <v>10047</v>
      </c>
      <c r="B2127" s="10" t="s">
        <v>921</v>
      </c>
      <c r="C2127" s="10" t="s">
        <v>371</v>
      </c>
      <c r="D2127" s="10"/>
      <c r="E2127" s="10" t="s">
        <v>845</v>
      </c>
      <c r="F2127" s="10" t="s">
        <v>48</v>
      </c>
      <c r="G2127" s="11" t="s">
        <v>102</v>
      </c>
      <c r="H2127" s="11" t="s">
        <v>172</v>
      </c>
      <c r="I2127" s="11" t="s">
        <v>18</v>
      </c>
      <c r="J2127" s="9" t="str">
        <f>IFERROR(__xludf.DUMMYFUNCTION("""COMPUTED_VALUE"""),"https://www.google.com/search?newwindow=1&amp;ei=2MT0XrvGGM-vytMP1OyDgAY&amp;q=site%3Alinkedin.com+Federica+Quattrone+Chicago+&amp;+NYC+Campus+Recruiter+Capgemini")</f>
        <v>https://www.google.com/search?newwindow=1&amp;ei=2MT0XrvGGM-vytMP1OyDgAY&amp;q=site%3Alinkedin.com+Federica+Quattrone+Chicago+&amp;+NYC+Campus+Recruiter+Capgemini</v>
      </c>
      <c r="K2127" s="5" t="str">
        <f t="shared" si="1"/>
        <v>Federica Quattrone</v>
      </c>
      <c r="L2127" s="5" t="str">
        <f t="shared" si="2"/>
        <v>Chicago &amp; NYC Campus Recruiter</v>
      </c>
      <c r="M2127" s="5" t="str">
        <f t="shared" si="3"/>
        <v> </v>
      </c>
      <c r="N2127" s="5" t="str">
        <f t="shared" si="4"/>
        <v>Capgemini</v>
      </c>
      <c r="O2127" s="5" t="str">
        <f t="shared" si="5"/>
        <v>7 months in role</v>
      </c>
      <c r="P2127" s="5" t="str">
        <f t="shared" si="6"/>
        <v>Chicago</v>
      </c>
      <c r="Q2127" s="5" t="str">
        <f t="shared" si="7"/>
        <v>Illinois</v>
      </c>
      <c r="R2127" s="5" t="str">
        <f t="shared" si="8"/>
        <v>United States</v>
      </c>
    </row>
    <row r="2128">
      <c r="A2128" s="8" t="s">
        <v>10048</v>
      </c>
      <c r="B2128" s="12" t="s">
        <v>10049</v>
      </c>
      <c r="C2128" s="10" t="s">
        <v>4674</v>
      </c>
      <c r="D2128" s="10"/>
      <c r="E2128" s="10" t="s">
        <v>1233</v>
      </c>
      <c r="F2128" s="10" t="s">
        <v>192</v>
      </c>
      <c r="G2128" s="11" t="s">
        <v>102</v>
      </c>
      <c r="H2128" s="11" t="s">
        <v>172</v>
      </c>
      <c r="I2128" s="11" t="s">
        <v>18</v>
      </c>
      <c r="J2128" s="9" t="str">
        <f>IFERROR(__xludf.DUMMYFUNCTION("""COMPUTED_VALUE"""),"https://www.google.com/search?newwindow=1&amp;ei=2MT0XrvGGM-vytMP1OyDgAY&amp;q=site%3Alinkedin.com+Kaitlyn+White+Campus+Recruiter+Capgemini")</f>
        <v>https://www.google.com/search?newwindow=1&amp;ei=2MT0XrvGGM-vytMP1OyDgAY&amp;q=site%3Alinkedin.com+Kaitlyn+White+Campus+Recruiter+Capgemini</v>
      </c>
      <c r="K2128" s="5" t="str">
        <f t="shared" si="1"/>
        <v>Kaitlyn White</v>
      </c>
      <c r="L2128" s="5" t="str">
        <f t="shared" si="2"/>
        <v>Campus Recruiter</v>
      </c>
      <c r="M2128" s="5" t="str">
        <f t="shared" si="3"/>
        <v> </v>
      </c>
      <c r="N2128" s="5" t="str">
        <f t="shared" si="4"/>
        <v>Capgemini</v>
      </c>
      <c r="O2128" s="5" t="str">
        <f t="shared" si="5"/>
        <v>2 years 2 months in role</v>
      </c>
      <c r="P2128" s="5" t="str">
        <f t="shared" si="6"/>
        <v>Columbia</v>
      </c>
      <c r="Q2128" s="5" t="str">
        <f t="shared" si="7"/>
        <v>South Carolina</v>
      </c>
      <c r="R2128" s="5" t="str">
        <f t="shared" si="8"/>
        <v>United States</v>
      </c>
    </row>
    <row r="2129">
      <c r="A2129" s="8" t="s">
        <v>10050</v>
      </c>
      <c r="B2129" s="10" t="s">
        <v>10051</v>
      </c>
      <c r="C2129" s="10" t="s">
        <v>10052</v>
      </c>
      <c r="D2129" s="10"/>
      <c r="E2129" s="10" t="s">
        <v>4701</v>
      </c>
      <c r="F2129" s="10" t="s">
        <v>10053</v>
      </c>
      <c r="G2129" s="11" t="s">
        <v>102</v>
      </c>
      <c r="H2129" s="11" t="s">
        <v>172</v>
      </c>
      <c r="I2129" s="11" t="s">
        <v>18</v>
      </c>
      <c r="J2129" s="9" t="str">
        <f>IFERROR(__xludf.DUMMYFUNCTION("""COMPUTED_VALUE"""),"https://www.google.com/search?newwindow=1&amp;ei=2MT0XrvGGM-vytMP1OyDgAY&amp;q=site%3Alinkedin.com+Jyothi+Navaneeth+Texas+Region+Campus+Recruiter+Capgemini")</f>
        <v>https://www.google.com/search?newwindow=1&amp;ei=2MT0XrvGGM-vytMP1OyDgAY&amp;q=site%3Alinkedin.com+Jyothi+Navaneeth+Texas+Region+Campus+Recruiter+Capgemini</v>
      </c>
      <c r="K2129" s="5" t="str">
        <f t="shared" si="1"/>
        <v>Jyothi Navaneeth</v>
      </c>
      <c r="L2129" s="5" t="str">
        <f t="shared" si="2"/>
        <v>Texas Region Campus Recruiter</v>
      </c>
      <c r="M2129" s="5" t="str">
        <f t="shared" si="3"/>
        <v> </v>
      </c>
      <c r="N2129" s="5" t="str">
        <f t="shared" si="4"/>
        <v>Capgemini</v>
      </c>
      <c r="O2129" s="5" t="str">
        <f t="shared" si="5"/>
        <v>10 months in role and company</v>
      </c>
      <c r="P2129" s="5" t="str">
        <f t="shared" si="6"/>
        <v>Dallas</v>
      </c>
      <c r="Q2129" s="5" t="str">
        <f t="shared" si="7"/>
        <v>Texas</v>
      </c>
      <c r="R2129" s="5" t="str">
        <f t="shared" si="8"/>
        <v>United States</v>
      </c>
    </row>
    <row r="2130">
      <c r="A2130" s="8" t="s">
        <v>10054</v>
      </c>
      <c r="B2130" s="10" t="s">
        <v>10055</v>
      </c>
      <c r="C2130" s="10" t="s">
        <v>4749</v>
      </c>
      <c r="D2130" s="10"/>
      <c r="E2130" s="10" t="s">
        <v>4701</v>
      </c>
      <c r="F2130" s="10" t="s">
        <v>446</v>
      </c>
      <c r="G2130" s="11" t="s">
        <v>102</v>
      </c>
      <c r="H2130" s="11" t="s">
        <v>172</v>
      </c>
      <c r="I2130" s="11" t="s">
        <v>18</v>
      </c>
      <c r="J2130" s="9" t="str">
        <f>IFERROR(__xludf.DUMMYFUNCTION("""COMPUTED_VALUE"""),"https://www.google.com/search?newwindow=1&amp;ei=2MT0XrvGGM-vytMP1OyDgAY&amp;q=site%3Alinkedin.com+Anna+Acenbrak+North+America+Campus+Recruiter+Capgemini")</f>
        <v>https://www.google.com/search?newwindow=1&amp;ei=2MT0XrvGGM-vytMP1OyDgAY&amp;q=site%3Alinkedin.com+Anna+Acenbrak+North+America+Campus+Recruiter+Capgemini</v>
      </c>
      <c r="K2130" s="5" t="str">
        <f t="shared" si="1"/>
        <v>Anna Acenbrak</v>
      </c>
      <c r="L2130" s="5" t="str">
        <f t="shared" si="2"/>
        <v>North America Campus Recruiter</v>
      </c>
      <c r="M2130" s="5" t="str">
        <f t="shared" si="3"/>
        <v> </v>
      </c>
      <c r="N2130" s="5" t="str">
        <f t="shared" si="4"/>
        <v>Capgemini</v>
      </c>
      <c r="O2130" s="5" t="str">
        <f t="shared" si="5"/>
        <v>2 years 10 months in role</v>
      </c>
      <c r="P2130" s="5" t="str">
        <f t="shared" si="6"/>
        <v>Fort Lauderdale</v>
      </c>
      <c r="Q2130" s="5" t="str">
        <f t="shared" si="7"/>
        <v>Florida</v>
      </c>
      <c r="R2130" s="5" t="str">
        <f t="shared" si="8"/>
        <v>United States</v>
      </c>
    </row>
    <row r="2131">
      <c r="A2131" s="8" t="s">
        <v>10056</v>
      </c>
      <c r="B2131" s="10" t="s">
        <v>1895</v>
      </c>
      <c r="C2131" s="10" t="s">
        <v>1896</v>
      </c>
      <c r="D2131" s="10"/>
      <c r="E2131" s="10" t="s">
        <v>4701</v>
      </c>
      <c r="F2131" s="10" t="s">
        <v>686</v>
      </c>
      <c r="G2131" s="11" t="s">
        <v>102</v>
      </c>
      <c r="H2131" s="11" t="s">
        <v>172</v>
      </c>
      <c r="I2131" s="11" t="s">
        <v>18</v>
      </c>
      <c r="J2131" s="9" t="str">
        <f>IFERROR(__xludf.DUMMYFUNCTION("""COMPUTED_VALUE"""),"https://www.google.com/search?newwindow=1&amp;ei=2MT0XrvGGM-vytMP1OyDgAY&amp;q=site%3Alinkedin.com+Kristell+Muniz+Talent+Acquisition+|+Diversity+&amp;+Specialty+Campus+Recruiter+Capgemini")</f>
        <v>https://www.google.com/search?newwindow=1&amp;ei=2MT0XrvGGM-vytMP1OyDgAY&amp;q=site%3Alinkedin.com+Kristell+Muniz+Talent+Acquisition+|+Diversity+&amp;+Specialty+Campus+Recruiter+Capgemini</v>
      </c>
      <c r="K2131" s="5" t="str">
        <f t="shared" si="1"/>
        <v>Kristell Muniz</v>
      </c>
      <c r="L2131" s="5" t="str">
        <f t="shared" si="2"/>
        <v>Talent Acquisition | Diversity &amp; Specialty Campus Recruiter</v>
      </c>
      <c r="M2131" s="5" t="str">
        <f t="shared" si="3"/>
        <v> </v>
      </c>
      <c r="N2131" s="5" t="str">
        <f t="shared" si="4"/>
        <v>Capgemini</v>
      </c>
      <c r="O2131" s="5" t="str">
        <f t="shared" si="5"/>
        <v>10 months in role</v>
      </c>
      <c r="P2131" s="5" t="str">
        <f t="shared" si="6"/>
        <v>Houston</v>
      </c>
      <c r="Q2131" s="5" t="str">
        <f t="shared" si="7"/>
        <v>Texas</v>
      </c>
      <c r="R2131" s="5" t="str">
        <f t="shared" si="8"/>
        <v>United States</v>
      </c>
    </row>
    <row r="2132">
      <c r="A2132" s="8" t="s">
        <v>10057</v>
      </c>
      <c r="B2132" s="10" t="s">
        <v>10058</v>
      </c>
      <c r="C2132" s="10" t="s">
        <v>25</v>
      </c>
      <c r="D2132" s="10"/>
      <c r="E2132" s="10" t="s">
        <v>10059</v>
      </c>
      <c r="F2132" s="10" t="s">
        <v>144</v>
      </c>
      <c r="G2132" s="11" t="s">
        <v>10060</v>
      </c>
      <c r="H2132" s="11" t="s">
        <v>4638</v>
      </c>
      <c r="I2132" s="11" t="s">
        <v>4600</v>
      </c>
      <c r="J2132" s="9" t="str">
        <f>IFERROR(__xludf.DUMMYFUNCTION("""COMPUTED_VALUE"""),"https://www.google.com/search?newwindow=1&amp;ei=2MT0XrvGGM-vytMP1OyDgAY&amp;q=site%3Alinkedin.com+Steve+Villa+National+Campus+Recruiter+Capgemini")</f>
        <v>https://www.google.com/search?newwindow=1&amp;ei=2MT0XrvGGM-vytMP1OyDgAY&amp;q=site%3Alinkedin.com+Steve+Villa+National+Campus+Recruiter+Capgemini</v>
      </c>
      <c r="K2132" s="5" t="str">
        <f t="shared" si="1"/>
        <v>Steve Villa</v>
      </c>
      <c r="L2132" s="5" t="str">
        <f t="shared" si="2"/>
        <v>National Campus Recruiter</v>
      </c>
      <c r="M2132" s="5" t="str">
        <f t="shared" si="3"/>
        <v> </v>
      </c>
      <c r="N2132" s="5" t="str">
        <f t="shared" si="4"/>
        <v>Capgemini</v>
      </c>
      <c r="O2132" s="5" t="str">
        <f t="shared" si="5"/>
        <v>7 years 8 months in role</v>
      </c>
      <c r="P2132" s="5" t="str">
        <f t="shared" si="6"/>
        <v>San Diego County</v>
      </c>
      <c r="Q2132" s="5" t="str">
        <f t="shared" si="7"/>
        <v>California</v>
      </c>
      <c r="R2132" s="5" t="str">
        <f t="shared" si="8"/>
        <v>United States</v>
      </c>
    </row>
    <row r="2133">
      <c r="A2133" s="8" t="s">
        <v>10061</v>
      </c>
      <c r="B2133" s="10" t="s">
        <v>10062</v>
      </c>
      <c r="C2133" s="10" t="s">
        <v>1378</v>
      </c>
      <c r="D2133" s="10"/>
      <c r="E2133" s="10" t="s">
        <v>10063</v>
      </c>
      <c r="F2133" s="10" t="s">
        <v>233</v>
      </c>
      <c r="G2133" s="11" t="s">
        <v>10060</v>
      </c>
      <c r="H2133" s="11" t="s">
        <v>4638</v>
      </c>
      <c r="I2133" s="11" t="s">
        <v>4600</v>
      </c>
      <c r="J2133" s="9" t="str">
        <f>IFERROR(__xludf.DUMMYFUNCTION("""COMPUTED_VALUE"""),"https://www.google.com/search?newwindow=1&amp;ei=2MT0XrvGGM-vytMP1OyDgAY&amp;q=site%3Alinkedin.com+Ashley+Ann+Cooper+Campus+Recruiter+Capgemini+Consulting")</f>
        <v>https://www.google.com/search?newwindow=1&amp;ei=2MT0XrvGGM-vytMP1OyDgAY&amp;q=site%3Alinkedin.com+Ashley+Ann+Cooper+Campus+Recruiter+Capgemini+Consulting</v>
      </c>
      <c r="K2133" s="5" t="str">
        <f t="shared" si="1"/>
        <v>Ashley Ann Cooper</v>
      </c>
      <c r="L2133" s="5" t="str">
        <f t="shared" si="2"/>
        <v>Campus Recruiter</v>
      </c>
      <c r="M2133" s="5" t="str">
        <f t="shared" si="3"/>
        <v> </v>
      </c>
      <c r="N2133" s="5" t="str">
        <f t="shared" si="4"/>
        <v>Capgemini</v>
      </c>
      <c r="O2133" s="5" t="str">
        <f t="shared" si="5"/>
        <v>5 years 5 months in role and company</v>
      </c>
      <c r="P2133" s="5" t="str">
        <f t="shared" si="6"/>
        <v>Atlanta</v>
      </c>
      <c r="Q2133" s="5" t="str">
        <f t="shared" si="7"/>
        <v>Georgia</v>
      </c>
      <c r="R2133" s="5" t="str">
        <f t="shared" si="8"/>
        <v>United States</v>
      </c>
    </row>
    <row r="2134">
      <c r="A2134" s="8" t="s">
        <v>10064</v>
      </c>
      <c r="B2134" s="12" t="s">
        <v>6971</v>
      </c>
      <c r="C2134" s="10" t="s">
        <v>10065</v>
      </c>
      <c r="D2134" s="10"/>
      <c r="E2134" s="10" t="s">
        <v>10066</v>
      </c>
      <c r="F2134" s="10" t="s">
        <v>387</v>
      </c>
      <c r="G2134" s="11" t="s">
        <v>10060</v>
      </c>
      <c r="H2134" s="11" t="s">
        <v>4638</v>
      </c>
      <c r="I2134" s="11" t="s">
        <v>4600</v>
      </c>
      <c r="J2134" s="9" t="str">
        <f>IFERROR(__xludf.DUMMYFUNCTION("""COMPUTED_VALUE"""),"https://www.google.com/search?newwindow=1&amp;ei=2MT0XrvGGM-vytMP1OyDgAY&amp;q=site%3Alinkedin.com+Sarah+Fitch+Tech+Campus+Recruiter+-+Midwest+Region+Capital+One")</f>
        <v>https://www.google.com/search?newwindow=1&amp;ei=2MT0XrvGGM-vytMP1OyDgAY&amp;q=site%3Alinkedin.com+Sarah+Fitch+Tech+Campus+Recruiter+-+Midwest+Region+Capital+One</v>
      </c>
      <c r="K2134" s="5" t="str">
        <f t="shared" si="1"/>
        <v>Sarah Fitch</v>
      </c>
      <c r="L2134" s="5" t="str">
        <f t="shared" si="2"/>
        <v>Tech Campus Recruiter - Midwest Region</v>
      </c>
      <c r="M2134" s="5" t="str">
        <f t="shared" si="3"/>
        <v> </v>
      </c>
      <c r="N2134" s="5" t="str">
        <f t="shared" si="4"/>
        <v>Capital One</v>
      </c>
      <c r="O2134" s="5" t="str">
        <f t="shared" si="5"/>
        <v>3 months in role</v>
      </c>
      <c r="P2134" s="5" t="str">
        <f t="shared" si="6"/>
        <v>Arlington</v>
      </c>
      <c r="Q2134" s="5" t="str">
        <f t="shared" si="7"/>
        <v>Virginia</v>
      </c>
      <c r="R2134" s="5" t="str">
        <f t="shared" si="8"/>
        <v>United States</v>
      </c>
    </row>
    <row r="2135">
      <c r="A2135" s="8" t="s">
        <v>10067</v>
      </c>
      <c r="B2135" s="10" t="s">
        <v>10068</v>
      </c>
      <c r="C2135" s="10" t="s">
        <v>10069</v>
      </c>
      <c r="D2135" s="10"/>
      <c r="E2135" s="10" t="s">
        <v>6459</v>
      </c>
      <c r="F2135" s="10" t="s">
        <v>182</v>
      </c>
      <c r="G2135" s="11" t="s">
        <v>10060</v>
      </c>
      <c r="H2135" s="11" t="s">
        <v>4638</v>
      </c>
      <c r="I2135" s="11" t="s">
        <v>4600</v>
      </c>
      <c r="J2135" s="9" t="str">
        <f>IFERROR(__xludf.DUMMYFUNCTION("""COMPUTED_VALUE"""),"https://www.google.com/search?newwindow=1&amp;ei=2MT0XrvGGM-vytMP1OyDgAY&amp;q=site%3Alinkedin.com+Lauren+Wright+Campus+Recruiter+Capital+One")</f>
        <v>https://www.google.com/search?newwindow=1&amp;ei=2MT0XrvGGM-vytMP1OyDgAY&amp;q=site%3Alinkedin.com+Lauren+Wright+Campus+Recruiter+Capital+One</v>
      </c>
      <c r="K2135" s="5" t="str">
        <f t="shared" si="1"/>
        <v>Lauren Wright</v>
      </c>
      <c r="L2135" s="5" t="str">
        <f t="shared" si="2"/>
        <v>Campus Recruiter</v>
      </c>
      <c r="M2135" s="5" t="str">
        <f t="shared" si="3"/>
        <v> </v>
      </c>
      <c r="N2135" s="5" t="str">
        <f t="shared" si="4"/>
        <v>Capital One</v>
      </c>
      <c r="O2135" s="5" t="str">
        <f t="shared" si="5"/>
        <v>3 years 10 months in role</v>
      </c>
      <c r="P2135" s="5" t="str">
        <f t="shared" si="6"/>
        <v>Ashburn</v>
      </c>
      <c r="Q2135" s="5" t="str">
        <f t="shared" si="7"/>
        <v>Virginia</v>
      </c>
      <c r="R2135" s="5" t="str">
        <f t="shared" si="8"/>
        <v>United States</v>
      </c>
    </row>
    <row r="2136">
      <c r="A2136" s="8" t="s">
        <v>10070</v>
      </c>
      <c r="B2136" s="12" t="s">
        <v>10071</v>
      </c>
      <c r="C2136" s="10" t="s">
        <v>10072</v>
      </c>
      <c r="D2136" s="10"/>
      <c r="E2136" s="10" t="s">
        <v>10073</v>
      </c>
      <c r="F2136" s="10" t="s">
        <v>4545</v>
      </c>
      <c r="G2136" s="11" t="s">
        <v>10060</v>
      </c>
      <c r="H2136" s="11" t="s">
        <v>4638</v>
      </c>
      <c r="I2136" s="11" t="s">
        <v>4600</v>
      </c>
      <c r="J2136" s="9" t="str">
        <f>IFERROR(__xludf.DUMMYFUNCTION("""COMPUTED_VALUE"""),"https://www.google.com/search?newwindow=1&amp;ei=2MT0XrvGGM-vytMP1OyDgAY&amp;q=site%3Alinkedin.com+Vanessa+Mauskapf+(CONT)+Campus+Recruiter+Capital+One")</f>
        <v>https://www.google.com/search?newwindow=1&amp;ei=2MT0XrvGGM-vytMP1OyDgAY&amp;q=site%3Alinkedin.com+Vanessa+Mauskapf+(CONT)+Campus+Recruiter+Capital+One</v>
      </c>
      <c r="K2136" s="5" t="str">
        <f t="shared" si="1"/>
        <v>Vanessa Mauskapf (CONT)</v>
      </c>
      <c r="L2136" s="5" t="str">
        <f t="shared" si="2"/>
        <v>Campus Recruiter</v>
      </c>
      <c r="M2136" s="5" t="str">
        <f t="shared" si="3"/>
        <v> </v>
      </c>
      <c r="N2136" s="5" t="str">
        <f t="shared" si="4"/>
        <v>Capital One</v>
      </c>
      <c r="O2136" s="5" t="str">
        <f t="shared" si="5"/>
        <v/>
      </c>
      <c r="P2136" s="5" t="str">
        <f t="shared" si="6"/>
        <v>Ashburn</v>
      </c>
      <c r="Q2136" s="5" t="str">
        <f t="shared" si="7"/>
        <v>Virginia</v>
      </c>
      <c r="R2136" s="5" t="str">
        <f t="shared" si="8"/>
        <v>United States</v>
      </c>
    </row>
    <row r="2137">
      <c r="A2137" s="8" t="s">
        <v>10074</v>
      </c>
      <c r="B2137" s="12" t="s">
        <v>10075</v>
      </c>
      <c r="C2137" s="10" t="s">
        <v>8672</v>
      </c>
      <c r="D2137" s="10"/>
      <c r="E2137" s="10" t="s">
        <v>5512</v>
      </c>
      <c r="F2137" s="10" t="s">
        <v>1806</v>
      </c>
      <c r="G2137" s="11" t="s">
        <v>10060</v>
      </c>
      <c r="H2137" s="11" t="s">
        <v>4638</v>
      </c>
      <c r="I2137" s="11" t="s">
        <v>4600</v>
      </c>
      <c r="J2137" s="9" t="str">
        <f>IFERROR(__xludf.DUMMYFUNCTION("""COMPUTED_VALUE"""),"https://www.google.com/search?newwindow=1&amp;ei=2MT0XrvGGM-vytMP1OyDgAY&amp;q=site%3Alinkedin.com+Phylicia+Montaque+Campus+Recruiter+Capital+One")</f>
        <v>https://www.google.com/search?newwindow=1&amp;ei=2MT0XrvGGM-vytMP1OyDgAY&amp;q=site%3Alinkedin.com+Phylicia+Montaque+Campus+Recruiter+Capital+One</v>
      </c>
      <c r="K2137" s="5" t="str">
        <f t="shared" si="1"/>
        <v>Phylicia Montaque</v>
      </c>
      <c r="L2137" s="5" t="str">
        <f t="shared" si="2"/>
        <v>Campus Recruiter</v>
      </c>
      <c r="M2137" s="5" t="str">
        <f t="shared" si="3"/>
        <v> </v>
      </c>
      <c r="N2137" s="5" t="str">
        <f t="shared" si="4"/>
        <v>Capital One</v>
      </c>
      <c r="O2137" s="5" t="str">
        <f t="shared" si="5"/>
        <v>1 year 3 months in role</v>
      </c>
      <c r="P2137" s="5" t="str">
        <f t="shared" si="6"/>
        <v>Atlanta</v>
      </c>
      <c r="Q2137" s="5" t="str">
        <f t="shared" si="7"/>
        <v>Georgia</v>
      </c>
      <c r="R2137" s="5" t="str">
        <f t="shared" si="8"/>
        <v>United States</v>
      </c>
    </row>
    <row r="2138">
      <c r="A2138" s="8" t="s">
        <v>10057</v>
      </c>
      <c r="B2138" s="10" t="s">
        <v>10058</v>
      </c>
      <c r="C2138" s="10" t="s">
        <v>25</v>
      </c>
      <c r="D2138" s="10"/>
      <c r="E2138" s="10" t="s">
        <v>10059</v>
      </c>
      <c r="F2138" s="10" t="s">
        <v>144</v>
      </c>
      <c r="G2138" s="11" t="s">
        <v>10060</v>
      </c>
      <c r="H2138" s="11" t="s">
        <v>4638</v>
      </c>
      <c r="I2138" s="11" t="s">
        <v>4600</v>
      </c>
      <c r="J2138" s="9" t="str">
        <f>IFERROR(__xludf.DUMMYFUNCTION("""COMPUTED_VALUE"""),"https://www.google.com/search?newwindow=1&amp;ei=2MT0XrvGGM-vytMP1OyDgAY&amp;q=site%3Alinkedin.com+Eugene+Jacobs+Campus+Recruiter+Capital+One")</f>
        <v>https://www.google.com/search?newwindow=1&amp;ei=2MT0XrvGGM-vytMP1OyDgAY&amp;q=site%3Alinkedin.com+Eugene+Jacobs+Campus+Recruiter+Capital+One</v>
      </c>
      <c r="K2138" s="5" t="str">
        <f t="shared" si="1"/>
        <v>Eugene Jacobs</v>
      </c>
      <c r="L2138" s="5" t="str">
        <f t="shared" si="2"/>
        <v>Campus Recruiter</v>
      </c>
      <c r="M2138" s="5" t="str">
        <f t="shared" si="3"/>
        <v> </v>
      </c>
      <c r="N2138" s="5" t="str">
        <f t="shared" si="4"/>
        <v>Capital One</v>
      </c>
      <c r="O2138" s="5" t="str">
        <f t="shared" si="5"/>
        <v>3 years 10 months in role and company</v>
      </c>
      <c r="P2138" s="5" t="str">
        <f t="shared" si="6"/>
        <v>Falls Church</v>
      </c>
      <c r="Q2138" s="5" t="str">
        <f t="shared" si="7"/>
        <v>Virginia</v>
      </c>
      <c r="R2138" s="5" t="str">
        <f t="shared" si="8"/>
        <v>United States</v>
      </c>
    </row>
    <row r="2139">
      <c r="A2139" s="8" t="s">
        <v>10076</v>
      </c>
      <c r="B2139" s="12" t="s">
        <v>10077</v>
      </c>
      <c r="C2139" s="10" t="s">
        <v>10078</v>
      </c>
      <c r="D2139" s="10"/>
      <c r="E2139" s="10" t="s">
        <v>10079</v>
      </c>
      <c r="F2139" s="10" t="s">
        <v>94</v>
      </c>
      <c r="G2139" s="11" t="s">
        <v>10060</v>
      </c>
      <c r="H2139" s="11" t="s">
        <v>4638</v>
      </c>
      <c r="I2139" s="11" t="s">
        <v>4600</v>
      </c>
      <c r="J2139" s="9" t="str">
        <f>IFERROR(__xludf.DUMMYFUNCTION("""COMPUTED_VALUE"""),"https://www.google.com/search?newwindow=1&amp;ei=2MT0XrvGGM-vytMP1OyDgAY&amp;q=site%3Alinkedin.com+Jamar+Renfro+Campus+Recruiter+Capital+One")</f>
        <v>https://www.google.com/search?newwindow=1&amp;ei=2MT0XrvGGM-vytMP1OyDgAY&amp;q=site%3Alinkedin.com+Jamar+Renfro+Campus+Recruiter+Capital+One</v>
      </c>
      <c r="K2139" s="5" t="str">
        <f t="shared" si="1"/>
        <v>Jamar Renfro</v>
      </c>
      <c r="L2139" s="5" t="str">
        <f t="shared" si="2"/>
        <v>Campus Recruiter</v>
      </c>
      <c r="M2139" s="5" t="str">
        <f t="shared" si="3"/>
        <v> </v>
      </c>
      <c r="N2139" s="5" t="str">
        <f t="shared" si="4"/>
        <v>Capital One</v>
      </c>
      <c r="O2139" s="5" t="str">
        <f t="shared" si="5"/>
        <v>3 months in role</v>
      </c>
      <c r="P2139" s="5" t="str">
        <f t="shared" si="6"/>
        <v>Lewisville</v>
      </c>
      <c r="Q2139" s="5" t="str">
        <f t="shared" si="7"/>
        <v>Texas</v>
      </c>
      <c r="R2139" s="5" t="str">
        <f t="shared" si="8"/>
        <v>United States</v>
      </c>
    </row>
    <row r="2140">
      <c r="A2140" s="8" t="s">
        <v>10080</v>
      </c>
      <c r="B2140" s="10" t="s">
        <v>10081</v>
      </c>
      <c r="C2140" s="10" t="s">
        <v>10082</v>
      </c>
      <c r="D2140" s="10"/>
      <c r="E2140" s="10" t="s">
        <v>5512</v>
      </c>
      <c r="F2140" s="10" t="s">
        <v>257</v>
      </c>
      <c r="G2140" s="11" t="s">
        <v>10060</v>
      </c>
      <c r="H2140" s="11" t="s">
        <v>4638</v>
      </c>
      <c r="I2140" s="11" t="s">
        <v>4600</v>
      </c>
      <c r="J2140" s="9" t="str">
        <f>IFERROR(__xludf.DUMMYFUNCTION("""COMPUTED_VALUE"""),"https://www.google.com/search?newwindow=1&amp;ei=2MT0XrvGGM-vytMP1OyDgAY&amp;q=site%3Alinkedin.com+Aaron+Hendrickson+Senior+Manager,+Campus+Recruiting+Capital+One")</f>
        <v>https://www.google.com/search?newwindow=1&amp;ei=2MT0XrvGGM-vytMP1OyDgAY&amp;q=site%3Alinkedin.com+Aaron+Hendrickson+Senior+Manager,+Campus+Recruiting+Capital+One</v>
      </c>
      <c r="K2140" s="5" t="str">
        <f t="shared" si="1"/>
        <v>Aaron Hendrickson</v>
      </c>
      <c r="L2140" s="5" t="str">
        <f t="shared" si="2"/>
        <v>Senior Manager, Campus Recruiting</v>
      </c>
      <c r="M2140" s="5" t="str">
        <f t="shared" si="3"/>
        <v> </v>
      </c>
      <c r="N2140" s="5" t="str">
        <f t="shared" si="4"/>
        <v>Capital One</v>
      </c>
      <c r="O2140" s="5" t="str">
        <f t="shared" si="5"/>
        <v>3 years 10 months in role</v>
      </c>
      <c r="P2140" s="5" t="str">
        <f t="shared" si="6"/>
        <v>Mechanicsville</v>
      </c>
      <c r="Q2140" s="5" t="str">
        <f t="shared" si="7"/>
        <v>Virginia</v>
      </c>
      <c r="R2140" s="5" t="str">
        <f t="shared" si="8"/>
        <v>United States</v>
      </c>
    </row>
    <row r="2141">
      <c r="A2141" s="8" t="s">
        <v>10083</v>
      </c>
      <c r="B2141" s="12" t="s">
        <v>10084</v>
      </c>
      <c r="C2141" s="10" t="s">
        <v>10085</v>
      </c>
      <c r="D2141" s="10"/>
      <c r="E2141" s="10" t="s">
        <v>10086</v>
      </c>
      <c r="F2141" s="10" t="s">
        <v>1538</v>
      </c>
      <c r="G2141" s="11" t="s">
        <v>10060</v>
      </c>
      <c r="H2141" s="11" t="s">
        <v>4638</v>
      </c>
      <c r="I2141" s="11" t="s">
        <v>4600</v>
      </c>
      <c r="J2141" s="9" t="str">
        <f>IFERROR(__xludf.DUMMYFUNCTION("""COMPUTED_VALUE"""),"https://www.google.com/search?newwindow=1&amp;ei=2MT0XrvGGM-vytMP1OyDgAY&amp;q=site%3Alinkedin.com+Mark+Measell+Campus+Recruiter+Capital+One")</f>
        <v>https://www.google.com/search?newwindow=1&amp;ei=2MT0XrvGGM-vytMP1OyDgAY&amp;q=site%3Alinkedin.com+Mark+Measell+Campus+Recruiter+Capital+One</v>
      </c>
      <c r="K2141" s="5" t="str">
        <f t="shared" si="1"/>
        <v>Mark Measell</v>
      </c>
      <c r="L2141" s="5" t="str">
        <f t="shared" si="2"/>
        <v>Campus Recruiter</v>
      </c>
      <c r="M2141" s="5" t="str">
        <f t="shared" si="3"/>
        <v> </v>
      </c>
      <c r="N2141" s="5" t="str">
        <f t="shared" si="4"/>
        <v>Capital One</v>
      </c>
      <c r="O2141" s="5" t="str">
        <f t="shared" si="5"/>
        <v>2 months in role and company</v>
      </c>
      <c r="P2141" s="5" t="str">
        <f t="shared" si="6"/>
        <v>Midlothian</v>
      </c>
      <c r="Q2141" s="5" t="str">
        <f t="shared" si="7"/>
        <v>Virginia</v>
      </c>
      <c r="R2141" s="5" t="str">
        <f t="shared" si="8"/>
        <v>United States</v>
      </c>
    </row>
    <row r="2142">
      <c r="A2142" s="8" t="s">
        <v>10061</v>
      </c>
      <c r="B2142" s="10" t="s">
        <v>10062</v>
      </c>
      <c r="C2142" s="10" t="s">
        <v>1378</v>
      </c>
      <c r="D2142" s="10"/>
      <c r="E2142" s="10" t="s">
        <v>10063</v>
      </c>
      <c r="F2142" s="10" t="s">
        <v>233</v>
      </c>
      <c r="G2142" s="11" t="s">
        <v>10060</v>
      </c>
      <c r="H2142" s="11" t="s">
        <v>4638</v>
      </c>
      <c r="I2142" s="11" t="s">
        <v>4600</v>
      </c>
      <c r="J2142" s="9" t="str">
        <f>IFERROR(__xludf.DUMMYFUNCTION("""COMPUTED_VALUE"""),"https://www.google.com/search?newwindow=1&amp;ei=2MT0XrvGGM-vytMP1OyDgAY&amp;q=site%3Alinkedin.com+Sahara+Marte+Campus+Recruiter+Capital+One")</f>
        <v>https://www.google.com/search?newwindow=1&amp;ei=2MT0XrvGGM-vytMP1OyDgAY&amp;q=site%3Alinkedin.com+Sahara+Marte+Campus+Recruiter+Capital+One</v>
      </c>
      <c r="K2142" s="5" t="str">
        <f t="shared" si="1"/>
        <v>Sahara Marte</v>
      </c>
      <c r="L2142" s="5" t="str">
        <f t="shared" si="2"/>
        <v>Campus Recruiter</v>
      </c>
      <c r="M2142" s="5" t="str">
        <f t="shared" si="3"/>
        <v> </v>
      </c>
      <c r="N2142" s="5" t="str">
        <f t="shared" si="4"/>
        <v>Capital One</v>
      </c>
      <c r="O2142" s="5" t="str">
        <f t="shared" si="5"/>
        <v>3 months in role</v>
      </c>
      <c r="P2142" s="5" t="str">
        <f t="shared" si="6"/>
        <v>New York</v>
      </c>
      <c r="Q2142" s="5" t="str">
        <f t="shared" si="7"/>
        <v>New York</v>
      </c>
      <c r="R2142" s="5" t="str">
        <f t="shared" si="8"/>
        <v>United States</v>
      </c>
    </row>
    <row r="2143">
      <c r="A2143" s="8" t="s">
        <v>10064</v>
      </c>
      <c r="B2143" s="12" t="s">
        <v>6971</v>
      </c>
      <c r="C2143" s="10" t="s">
        <v>10065</v>
      </c>
      <c r="D2143" s="10"/>
      <c r="E2143" s="10" t="s">
        <v>10066</v>
      </c>
      <c r="F2143" s="10" t="s">
        <v>387</v>
      </c>
      <c r="G2143" s="11" t="s">
        <v>10060</v>
      </c>
      <c r="H2143" s="11" t="s">
        <v>4638</v>
      </c>
      <c r="I2143" s="11" t="s">
        <v>4600</v>
      </c>
      <c r="J2143" s="9" t="str">
        <f>IFERROR(__xludf.DUMMYFUNCTION("""COMPUTED_VALUE"""),"https://www.google.com/search?newwindow=1&amp;ei=2MT0XrvGGM-vytMP1OyDgAY&amp;q=site%3Alinkedin.com+Martha+O'Brien+Graduate+Campus+Recruiter+|+HR+Rotational+Program+Capital+One")</f>
        <v>https://www.google.com/search?newwindow=1&amp;ei=2MT0XrvGGM-vytMP1OyDgAY&amp;q=site%3Alinkedin.com+Martha+O'Brien+Graduate+Campus+Recruiter+|+HR+Rotational+Program+Capital+One</v>
      </c>
      <c r="K2143" s="5" t="str">
        <f t="shared" si="1"/>
        <v>Martha O'Brien</v>
      </c>
      <c r="L2143" s="5" t="str">
        <f t="shared" si="2"/>
        <v>Graduate Campus Recruiter | HR Rotational Program</v>
      </c>
      <c r="M2143" s="5" t="str">
        <f t="shared" si="3"/>
        <v> </v>
      </c>
      <c r="N2143" s="5" t="str">
        <f t="shared" si="4"/>
        <v>Capital One</v>
      </c>
      <c r="O2143" s="5" t="str">
        <f t="shared" si="5"/>
        <v>4 months in role</v>
      </c>
      <c r="P2143" s="5" t="str">
        <f t="shared" si="6"/>
        <v>New York</v>
      </c>
      <c r="Q2143" s="5" t="str">
        <f t="shared" si="7"/>
        <v>New York</v>
      </c>
      <c r="R2143" s="5" t="str">
        <f t="shared" si="8"/>
        <v>United States</v>
      </c>
    </row>
    <row r="2144">
      <c r="A2144" s="8" t="s">
        <v>10087</v>
      </c>
      <c r="B2144" s="12" t="s">
        <v>10088</v>
      </c>
      <c r="C2144" s="10" t="s">
        <v>10089</v>
      </c>
      <c r="D2144" s="10"/>
      <c r="E2144" s="10" t="s">
        <v>10090</v>
      </c>
      <c r="F2144" s="10" t="s">
        <v>345</v>
      </c>
      <c r="G2144" s="11" t="s">
        <v>10060</v>
      </c>
      <c r="H2144" s="11" t="s">
        <v>4638</v>
      </c>
      <c r="I2144" s="11" t="s">
        <v>4600</v>
      </c>
      <c r="J2144" s="9" t="str">
        <f>IFERROR(__xludf.DUMMYFUNCTION("""COMPUTED_VALUE"""),"https://www.google.com/search?newwindow=1&amp;ei=2MT0XrvGGM-vytMP1OyDgAY&amp;q=site%3Alinkedin.com+Pablo+Briones+Campus+Recruiter+Capital+One")</f>
        <v>https://www.google.com/search?newwindow=1&amp;ei=2MT0XrvGGM-vytMP1OyDgAY&amp;q=site%3Alinkedin.com+Pablo+Briones+Campus+Recruiter+Capital+One</v>
      </c>
      <c r="K2144" s="5" t="str">
        <f t="shared" si="1"/>
        <v>Pablo Briones</v>
      </c>
      <c r="L2144" s="5" t="str">
        <f t="shared" si="2"/>
        <v>Campus Recruiter</v>
      </c>
      <c r="M2144" s="5" t="str">
        <f t="shared" si="3"/>
        <v> </v>
      </c>
      <c r="N2144" s="5" t="str">
        <f t="shared" si="4"/>
        <v>Capital One</v>
      </c>
      <c r="O2144" s="5" t="str">
        <f t="shared" si="5"/>
        <v>3 months in role</v>
      </c>
      <c r="P2144" s="5" t="str">
        <f t="shared" si="6"/>
        <v>New York</v>
      </c>
      <c r="Q2144" s="5" t="str">
        <f t="shared" si="7"/>
        <v>New York</v>
      </c>
      <c r="R2144" s="5" t="str">
        <f t="shared" si="8"/>
        <v>United States</v>
      </c>
    </row>
    <row r="2145">
      <c r="A2145" s="8" t="s">
        <v>10067</v>
      </c>
      <c r="B2145" s="10" t="s">
        <v>10068</v>
      </c>
      <c r="C2145" s="10" t="s">
        <v>10069</v>
      </c>
      <c r="D2145" s="10"/>
      <c r="E2145" s="10" t="s">
        <v>6459</v>
      </c>
      <c r="F2145" s="10" t="s">
        <v>182</v>
      </c>
      <c r="G2145" s="11" t="s">
        <v>10060</v>
      </c>
      <c r="H2145" s="11" t="s">
        <v>4638</v>
      </c>
      <c r="I2145" s="11" t="s">
        <v>4600</v>
      </c>
      <c r="J2145" s="9" t="str">
        <f>IFERROR(__xludf.DUMMYFUNCTION("""COMPUTED_VALUE"""),"https://www.google.com/search?newwindow=1&amp;ei=2MT0XrvGGM-vytMP1OyDgAY&amp;q=site%3Alinkedin.com+Lisa+Crouse,+CPA,+SHRM-CP+Senior+Manager+Recruiting+Capital+One")</f>
        <v>https://www.google.com/search?newwindow=1&amp;ei=2MT0XrvGGM-vytMP1OyDgAY&amp;q=site%3Alinkedin.com+Lisa+Crouse,+CPA,+SHRM-CP+Senior+Manager+Recruiting+Capital+One</v>
      </c>
      <c r="K2145" s="5" t="str">
        <f t="shared" si="1"/>
        <v>Lisa Crouse, CPA, SHRM-CP</v>
      </c>
      <c r="L2145" s="5" t="str">
        <f t="shared" si="2"/>
        <v>Senior Manager Recruiting</v>
      </c>
      <c r="M2145" s="5" t="str">
        <f t="shared" si="3"/>
        <v> </v>
      </c>
      <c r="N2145" s="5" t="str">
        <f t="shared" si="4"/>
        <v>Capital One</v>
      </c>
      <c r="O2145" s="5" t="str">
        <f t="shared" si="5"/>
        <v>1 year 9 months in role and company</v>
      </c>
      <c r="P2145" s="5" t="str">
        <f t="shared" si="6"/>
        <v>Richmond</v>
      </c>
      <c r="Q2145" s="5" t="str">
        <f t="shared" si="7"/>
        <v>Virginia</v>
      </c>
      <c r="R2145" s="5" t="str">
        <f t="shared" si="8"/>
        <v>United States</v>
      </c>
    </row>
    <row r="2146">
      <c r="A2146" s="8" t="s">
        <v>10091</v>
      </c>
      <c r="B2146" s="10" t="s">
        <v>10092</v>
      </c>
      <c r="C2146" s="10" t="s">
        <v>10093</v>
      </c>
      <c r="D2146" s="10"/>
      <c r="E2146" s="10" t="s">
        <v>10090</v>
      </c>
      <c r="F2146" s="10" t="s">
        <v>4799</v>
      </c>
      <c r="G2146" s="11" t="s">
        <v>10060</v>
      </c>
      <c r="H2146" s="11" t="s">
        <v>4638</v>
      </c>
      <c r="I2146" s="11" t="s">
        <v>4600</v>
      </c>
      <c r="J2146" s="9" t="str">
        <f>IFERROR(__xludf.DUMMYFUNCTION("""COMPUTED_VALUE"""),"https://www.google.com/search?newwindow=1&amp;ei=2MT0XrvGGM-vytMP1OyDgAY&amp;q=site%3Alinkedin.com+Kelly+Bowman+Campus+Recruiter,+Technology+(Southeast+Region)+Capital+One")</f>
        <v>https://www.google.com/search?newwindow=1&amp;ei=2MT0XrvGGM-vytMP1OyDgAY&amp;q=site%3Alinkedin.com+Kelly+Bowman+Campus+Recruiter,+Technology+(Southeast+Region)+Capital+One</v>
      </c>
      <c r="K2146" s="5" t="str">
        <f t="shared" si="1"/>
        <v>Kelly Bowman</v>
      </c>
      <c r="L2146" s="5" t="str">
        <f t="shared" si="2"/>
        <v>Campus Recruiter, Technology (Southeast Region)</v>
      </c>
      <c r="M2146" s="5" t="str">
        <f t="shared" si="3"/>
        <v> </v>
      </c>
      <c r="N2146" s="5" t="str">
        <f t="shared" si="4"/>
        <v>Capital One</v>
      </c>
      <c r="O2146" s="5" t="str">
        <f t="shared" si="5"/>
        <v>1 year 7 months in role and company</v>
      </c>
      <c r="P2146" s="5" t="str">
        <f t="shared" si="6"/>
        <v>Richmond</v>
      </c>
      <c r="Q2146" s="5" t="str">
        <f t="shared" si="7"/>
        <v>Virginia</v>
      </c>
      <c r="R2146" s="5" t="str">
        <f t="shared" si="8"/>
        <v>United States</v>
      </c>
    </row>
    <row r="2147">
      <c r="A2147" s="8" t="s">
        <v>10070</v>
      </c>
      <c r="B2147" s="12" t="s">
        <v>10071</v>
      </c>
      <c r="C2147" s="10" t="s">
        <v>10072</v>
      </c>
      <c r="D2147" s="10"/>
      <c r="E2147" s="10" t="s">
        <v>10073</v>
      </c>
      <c r="F2147" s="10" t="s">
        <v>4545</v>
      </c>
      <c r="G2147" s="11" t="s">
        <v>10060</v>
      </c>
      <c r="H2147" s="11" t="s">
        <v>4638</v>
      </c>
      <c r="I2147" s="11" t="s">
        <v>4600</v>
      </c>
      <c r="J2147" s="9" t="str">
        <f>IFERROR(__xludf.DUMMYFUNCTION("""COMPUTED_VALUE"""),"https://www.google.com/search?newwindow=1&amp;ei=2MT0XrvGGM-vytMP1OyDgAY&amp;q=site%3Alinkedin.com+Lauren+Cox+Campus+Recruiter+Capital+One")</f>
        <v>https://www.google.com/search?newwindow=1&amp;ei=2MT0XrvGGM-vytMP1OyDgAY&amp;q=site%3Alinkedin.com+Lauren+Cox+Campus+Recruiter+Capital+One</v>
      </c>
      <c r="K2147" s="5" t="str">
        <f t="shared" si="1"/>
        <v>Lauren Cox</v>
      </c>
      <c r="L2147" s="5" t="str">
        <f t="shared" si="2"/>
        <v>Campus Recruiter</v>
      </c>
      <c r="M2147" s="5" t="str">
        <f t="shared" si="3"/>
        <v> </v>
      </c>
      <c r="N2147" s="5" t="str">
        <f t="shared" si="4"/>
        <v>Capital One</v>
      </c>
      <c r="O2147" s="5" t="str">
        <f t="shared" si="5"/>
        <v>1 year 7 months in role and company</v>
      </c>
      <c r="P2147" s="5" t="str">
        <f t="shared" si="6"/>
        <v>Richmond</v>
      </c>
      <c r="Q2147" s="5" t="str">
        <f t="shared" si="7"/>
        <v>Virginia</v>
      </c>
      <c r="R2147" s="5" t="str">
        <f t="shared" si="8"/>
        <v>United States</v>
      </c>
    </row>
    <row r="2148">
      <c r="A2148" s="8" t="s">
        <v>10074</v>
      </c>
      <c r="B2148" s="12" t="s">
        <v>10075</v>
      </c>
      <c r="C2148" s="10" t="s">
        <v>8672</v>
      </c>
      <c r="D2148" s="10"/>
      <c r="E2148" s="10" t="s">
        <v>5512</v>
      </c>
      <c r="F2148" s="10" t="s">
        <v>1806</v>
      </c>
      <c r="G2148" s="11" t="s">
        <v>10060</v>
      </c>
      <c r="H2148" s="11" t="s">
        <v>4638</v>
      </c>
      <c r="I2148" s="11" t="s">
        <v>4600</v>
      </c>
      <c r="J2148" s="9" t="str">
        <f>IFERROR(__xludf.DUMMYFUNCTION("""COMPUTED_VALUE"""),"https://www.google.com/search?newwindow=1&amp;ei=2MT0XrvGGM-vytMP1OyDgAY&amp;q=site%3Alinkedin.com+Tori+Compton+Campus+Recruiter+Capital+One")</f>
        <v>https://www.google.com/search?newwindow=1&amp;ei=2MT0XrvGGM-vytMP1OyDgAY&amp;q=site%3Alinkedin.com+Tori+Compton+Campus+Recruiter+Capital+One</v>
      </c>
      <c r="K2148" s="5" t="str">
        <f t="shared" si="1"/>
        <v>Tori Compton</v>
      </c>
      <c r="L2148" s="5" t="str">
        <f t="shared" si="2"/>
        <v>Campus Recruiter</v>
      </c>
      <c r="M2148" s="5" t="str">
        <f t="shared" si="3"/>
        <v> </v>
      </c>
      <c r="N2148" s="5" t="str">
        <f t="shared" si="4"/>
        <v>Capital One</v>
      </c>
      <c r="O2148" s="5" t="str">
        <f t="shared" si="5"/>
        <v>3 months in role</v>
      </c>
      <c r="P2148" s="5" t="str">
        <f t="shared" si="6"/>
        <v>Richmond</v>
      </c>
      <c r="Q2148" s="5" t="str">
        <f t="shared" si="7"/>
        <v>Virginia</v>
      </c>
      <c r="R2148" s="5" t="str">
        <f t="shared" si="8"/>
        <v>United States</v>
      </c>
    </row>
    <row r="2149">
      <c r="A2149" s="8" t="s">
        <v>10094</v>
      </c>
      <c r="B2149" s="12" t="s">
        <v>10095</v>
      </c>
      <c r="C2149" s="10" t="s">
        <v>10096</v>
      </c>
      <c r="D2149" s="10"/>
      <c r="E2149" s="10" t="s">
        <v>10097</v>
      </c>
      <c r="F2149" s="10" t="s">
        <v>1993</v>
      </c>
      <c r="G2149" s="11" t="s">
        <v>10098</v>
      </c>
      <c r="H2149" s="11" t="s">
        <v>4638</v>
      </c>
      <c r="I2149" s="11" t="s">
        <v>4600</v>
      </c>
      <c r="J2149" s="9" t="str">
        <f>IFERROR(__xludf.DUMMYFUNCTION("""COMPUTED_VALUE"""),"https://www.google.com/search?newwindow=1&amp;ei=2MT0XrvGGM-vytMP1OyDgAY&amp;q=site%3Alinkedin.com+Chris+Giacchi+Sr.+Manager,+Campus+Recruiting+Capital+One")</f>
        <v>https://www.google.com/search?newwindow=1&amp;ei=2MT0XrvGGM-vytMP1OyDgAY&amp;q=site%3Alinkedin.com+Chris+Giacchi+Sr.+Manager,+Campus+Recruiting+Capital+One</v>
      </c>
      <c r="K2149" s="5" t="str">
        <f t="shared" si="1"/>
        <v>Chris Giacchi</v>
      </c>
      <c r="L2149" s="5" t="str">
        <f t="shared" si="2"/>
        <v>Sr. Manager, Campus Recruiting</v>
      </c>
      <c r="M2149" s="5" t="str">
        <f t="shared" si="3"/>
        <v> </v>
      </c>
      <c r="N2149" s="5" t="str">
        <f t="shared" si="4"/>
        <v>Capital One</v>
      </c>
      <c r="O2149" s="5" t="str">
        <f t="shared" si="5"/>
        <v>5 years 2 months in role</v>
      </c>
      <c r="P2149" s="5" t="str">
        <f t="shared" si="6"/>
        <v>Richmond</v>
      </c>
      <c r="Q2149" s="5" t="str">
        <f t="shared" si="7"/>
        <v>Virginia</v>
      </c>
      <c r="R2149" s="5" t="str">
        <f t="shared" si="8"/>
        <v>United States</v>
      </c>
    </row>
    <row r="2150">
      <c r="A2150" s="8" t="s">
        <v>10094</v>
      </c>
      <c r="B2150" s="12" t="s">
        <v>10095</v>
      </c>
      <c r="C2150" s="10" t="s">
        <v>10096</v>
      </c>
      <c r="D2150" s="10"/>
      <c r="E2150" s="10" t="s">
        <v>10097</v>
      </c>
      <c r="F2150" s="10" t="s">
        <v>1993</v>
      </c>
      <c r="G2150" s="11" t="s">
        <v>10098</v>
      </c>
      <c r="H2150" s="11" t="s">
        <v>4638</v>
      </c>
      <c r="I2150" s="11" t="s">
        <v>4600</v>
      </c>
      <c r="J2150" s="9" t="str">
        <f>IFERROR(__xludf.DUMMYFUNCTION("""COMPUTED_VALUE"""),"https://www.google.com/search?newwindow=1&amp;ei=2MT0XrvGGM-vytMP1OyDgAY&amp;q=site%3Alinkedin.com+Julia+Christakos+Process+Manager,+Campus+Recruiting+Capital+One")</f>
        <v>https://www.google.com/search?newwindow=1&amp;ei=2MT0XrvGGM-vytMP1OyDgAY&amp;q=site%3Alinkedin.com+Julia+Christakos+Process+Manager,+Campus+Recruiting+Capital+One</v>
      </c>
      <c r="K2150" s="5" t="str">
        <f t="shared" si="1"/>
        <v>Julia Christakos</v>
      </c>
      <c r="L2150" s="5" t="str">
        <f t="shared" si="2"/>
        <v>Process Manager, Campus Recruiting</v>
      </c>
      <c r="M2150" s="5" t="str">
        <f t="shared" si="3"/>
        <v> </v>
      </c>
      <c r="N2150" s="5" t="str">
        <f t="shared" si="4"/>
        <v>Capital One</v>
      </c>
      <c r="O2150" s="5" t="str">
        <f t="shared" si="5"/>
        <v>2 years 7 months in role</v>
      </c>
      <c r="P2150" s="5" t="str">
        <f t="shared" si="6"/>
        <v>Richmond</v>
      </c>
      <c r="Q2150" s="5" t="str">
        <f t="shared" si="7"/>
        <v>Virginia</v>
      </c>
      <c r="R2150" s="5" t="str">
        <f t="shared" si="8"/>
        <v>United States</v>
      </c>
    </row>
    <row r="2151">
      <c r="A2151" s="8" t="s">
        <v>10099</v>
      </c>
      <c r="B2151" s="10" t="s">
        <v>10100</v>
      </c>
      <c r="C2151" s="10" t="s">
        <v>10101</v>
      </c>
      <c r="D2151" s="10"/>
      <c r="E2151" s="10" t="s">
        <v>4611</v>
      </c>
      <c r="F2151" s="10" t="s">
        <v>579</v>
      </c>
      <c r="G2151" s="11" t="s">
        <v>3165</v>
      </c>
      <c r="H2151" s="11" t="s">
        <v>154</v>
      </c>
      <c r="I2151" s="11" t="s">
        <v>18</v>
      </c>
      <c r="J2151" s="9" t="str">
        <f>IFERROR(__xludf.DUMMYFUNCTION("""COMPUTED_VALUE"""),"https://www.google.com/search?newwindow=1&amp;ei=2MT0XrvGGM-vytMP1OyDgAY&amp;q=site%3Alinkedin.com+Peyton+Lowery+Senior+Campus+Recruiter+-+Technology+Capital+One")</f>
        <v>https://www.google.com/search?newwindow=1&amp;ei=2MT0XrvGGM-vytMP1OyDgAY&amp;q=site%3Alinkedin.com+Peyton+Lowery+Senior+Campus+Recruiter+-+Technology+Capital+One</v>
      </c>
      <c r="K2151" s="5" t="str">
        <f t="shared" si="1"/>
        <v>Peyton Lowery</v>
      </c>
      <c r="L2151" s="5" t="str">
        <f t="shared" si="2"/>
        <v>Senior Campus Recruiter - Technology</v>
      </c>
      <c r="M2151" s="5" t="str">
        <f t="shared" si="3"/>
        <v> </v>
      </c>
      <c r="N2151" s="5" t="str">
        <f t="shared" si="4"/>
        <v>Capital One</v>
      </c>
      <c r="O2151" s="5" t="str">
        <f t="shared" si="5"/>
        <v>4 months in role</v>
      </c>
      <c r="P2151" s="5" t="str">
        <f t="shared" si="6"/>
        <v>Richmond</v>
      </c>
      <c r="Q2151" s="5" t="str">
        <f t="shared" si="7"/>
        <v>Virginia</v>
      </c>
      <c r="R2151" s="5" t="str">
        <f t="shared" si="8"/>
        <v>United States</v>
      </c>
    </row>
    <row r="2152">
      <c r="A2152" s="8" t="s">
        <v>10102</v>
      </c>
      <c r="B2152" s="10" t="s">
        <v>10103</v>
      </c>
      <c r="C2152" s="10" t="s">
        <v>10104</v>
      </c>
      <c r="D2152" s="12"/>
      <c r="E2152" s="12" t="s">
        <v>10105</v>
      </c>
      <c r="F2152" s="10"/>
      <c r="G2152" s="11" t="s">
        <v>10106</v>
      </c>
      <c r="H2152" s="11" t="s">
        <v>154</v>
      </c>
      <c r="I2152" s="11" t="s">
        <v>18</v>
      </c>
      <c r="J2152" s="9" t="str">
        <f>IFERROR(__xludf.DUMMYFUNCTION("""COMPUTED_VALUE"""),"https://www.google.com/search?newwindow=1&amp;ei=2MT0XrvGGM-vytMP1OyDgAY&amp;q=site%3Alinkedin.com+Jarvis-Ricardo+Johnson,+MPA+Campus+Recruiter+Capital+One")</f>
        <v>https://www.google.com/search?newwindow=1&amp;ei=2MT0XrvGGM-vytMP1OyDgAY&amp;q=site%3Alinkedin.com+Jarvis-Ricardo+Johnson,+MPA+Campus+Recruiter+Capital+One</v>
      </c>
      <c r="K2152" s="5" t="str">
        <f t="shared" si="1"/>
        <v>Jarvis-Ricardo Johnson, MPA</v>
      </c>
      <c r="L2152" s="5" t="str">
        <f t="shared" si="2"/>
        <v>Campus Recruiter</v>
      </c>
      <c r="M2152" s="5" t="str">
        <f t="shared" si="3"/>
        <v> </v>
      </c>
      <c r="N2152" s="5" t="str">
        <f t="shared" si="4"/>
        <v>Capital One</v>
      </c>
      <c r="O2152" s="5" t="str">
        <f t="shared" si="5"/>
        <v>4 months in role</v>
      </c>
      <c r="P2152" s="5" t="str">
        <f t="shared" si="6"/>
        <v>Richmond</v>
      </c>
      <c r="Q2152" s="5" t="str">
        <f t="shared" si="7"/>
        <v>Virginia</v>
      </c>
      <c r="R2152" s="5" t="str">
        <f t="shared" si="8"/>
        <v>United States</v>
      </c>
    </row>
    <row r="2153">
      <c r="A2153" s="8" t="s">
        <v>10107</v>
      </c>
      <c r="B2153" s="10" t="s">
        <v>10108</v>
      </c>
      <c r="C2153" s="10" t="s">
        <v>8757</v>
      </c>
      <c r="D2153" s="10"/>
      <c r="E2153" s="10" t="s">
        <v>227</v>
      </c>
      <c r="F2153" s="10" t="s">
        <v>1623</v>
      </c>
      <c r="G2153" s="11" t="s">
        <v>10109</v>
      </c>
      <c r="H2153" s="11" t="s">
        <v>1354</v>
      </c>
      <c r="I2153" s="11" t="s">
        <v>18</v>
      </c>
      <c r="J2153" s="9" t="str">
        <f>IFERROR(__xludf.DUMMYFUNCTION("""COMPUTED_VALUE"""),"https://www.google.com/search?newwindow=1&amp;ei=2MT0XrvGGM-vytMP1OyDgAY&amp;q=site%3Alinkedin.com+Meg+Stabler+Campus+Recruiter,+Business+Analyst+(Southeast+Region)+Capital+One")</f>
        <v>https://www.google.com/search?newwindow=1&amp;ei=2MT0XrvGGM-vytMP1OyDgAY&amp;q=site%3Alinkedin.com+Meg+Stabler+Campus+Recruiter,+Business+Analyst+(Southeast+Region)+Capital+One</v>
      </c>
      <c r="K2153" s="5" t="str">
        <f t="shared" si="1"/>
        <v>Meg Stabler</v>
      </c>
      <c r="L2153" s="5" t="str">
        <f t="shared" si="2"/>
        <v>Campus Recruiter, Business Analyst (Southeast Region)</v>
      </c>
      <c r="M2153" s="5" t="str">
        <f t="shared" si="3"/>
        <v> </v>
      </c>
      <c r="N2153" s="5" t="str">
        <f t="shared" si="4"/>
        <v>Capital One</v>
      </c>
      <c r="O2153" s="5" t="str">
        <f t="shared" si="5"/>
        <v>1 year 7 months in role and company</v>
      </c>
      <c r="P2153" s="5" t="str">
        <f t="shared" si="6"/>
        <v>Richmond</v>
      </c>
      <c r="Q2153" s="5" t="str">
        <f t="shared" si="7"/>
        <v>Virginia</v>
      </c>
      <c r="R2153" s="5" t="str">
        <f t="shared" si="8"/>
        <v>United States</v>
      </c>
    </row>
    <row r="2154">
      <c r="A2154" s="8" t="s">
        <v>10110</v>
      </c>
      <c r="B2154" s="10" t="s">
        <v>10111</v>
      </c>
      <c r="C2154" s="10" t="s">
        <v>10112</v>
      </c>
      <c r="D2154" s="10"/>
      <c r="E2154" s="10" t="s">
        <v>10113</v>
      </c>
      <c r="F2154" s="10" t="s">
        <v>144</v>
      </c>
      <c r="G2154" s="11" t="s">
        <v>10114</v>
      </c>
      <c r="H2154" s="11" t="s">
        <v>4757</v>
      </c>
      <c r="I2154" s="11" t="s">
        <v>4607</v>
      </c>
      <c r="J2154" s="9" t="str">
        <f>IFERROR(__xludf.DUMMYFUNCTION("""COMPUTED_VALUE"""),"https://www.google.com/search?newwindow=1&amp;ei=2MT0XrvGGM-vytMP1OyDgAY&amp;q=site%3Alinkedin.com+Mary+Kate+Duncan+Campus+Recruiter+Capital+One")</f>
        <v>https://www.google.com/search?newwindow=1&amp;ei=2MT0XrvGGM-vytMP1OyDgAY&amp;q=site%3Alinkedin.com+Mary+Kate+Duncan+Campus+Recruiter+Capital+One</v>
      </c>
      <c r="K2154" s="5" t="str">
        <f t="shared" si="1"/>
        <v>Mary Kate Duncan</v>
      </c>
      <c r="L2154" s="5" t="str">
        <f t="shared" si="2"/>
        <v>Campus Recruiter</v>
      </c>
      <c r="M2154" s="5" t="str">
        <f t="shared" si="3"/>
        <v> </v>
      </c>
      <c r="N2154" s="5" t="str">
        <f t="shared" si="4"/>
        <v>Capital One</v>
      </c>
      <c r="O2154" s="5" t="str">
        <f t="shared" si="5"/>
        <v>4 years 6 months in role and company</v>
      </c>
      <c r="P2154" s="5" t="str">
        <f t="shared" si="6"/>
        <v>Richmond</v>
      </c>
      <c r="Q2154" s="5" t="str">
        <f t="shared" si="7"/>
        <v>Virginia</v>
      </c>
      <c r="R2154" s="5" t="str">
        <f t="shared" si="8"/>
        <v>United States</v>
      </c>
    </row>
    <row r="2155">
      <c r="A2155" s="8" t="s">
        <v>10115</v>
      </c>
      <c r="B2155" s="12" t="s">
        <v>10116</v>
      </c>
      <c r="C2155" s="10" t="s">
        <v>5123</v>
      </c>
      <c r="D2155" s="10"/>
      <c r="E2155" s="10" t="s">
        <v>4632</v>
      </c>
      <c r="F2155" s="10" t="s">
        <v>26</v>
      </c>
      <c r="G2155" s="11" t="s">
        <v>10114</v>
      </c>
      <c r="H2155" s="11" t="s">
        <v>4757</v>
      </c>
      <c r="I2155" s="11" t="s">
        <v>4607</v>
      </c>
      <c r="J2155" s="9" t="str">
        <f>IFERROR(__xludf.DUMMYFUNCTION("""COMPUTED_VALUE"""),"https://www.google.com/search?newwindow=1&amp;ei=2MT0XrvGGM-vytMP1OyDgAY&amp;q=site%3Alinkedin.com+Sarah+Bigelow+Campus+Recruiter+Capital+One")</f>
        <v>https://www.google.com/search?newwindow=1&amp;ei=2MT0XrvGGM-vytMP1OyDgAY&amp;q=site%3Alinkedin.com+Sarah+Bigelow+Campus+Recruiter+Capital+One</v>
      </c>
      <c r="K2155" s="5" t="str">
        <f t="shared" si="1"/>
        <v>Sarah Bigelow</v>
      </c>
      <c r="L2155" s="5" t="str">
        <f t="shared" si="2"/>
        <v>Campus Recruiter</v>
      </c>
      <c r="M2155" s="5" t="str">
        <f t="shared" si="3"/>
        <v> </v>
      </c>
      <c r="N2155" s="5" t="str">
        <f t="shared" si="4"/>
        <v>Capital One</v>
      </c>
      <c r="O2155" s="5" t="str">
        <f t="shared" si="5"/>
        <v>2 years  in role and company</v>
      </c>
      <c r="P2155" s="5" t="str">
        <f t="shared" si="6"/>
        <v>Richmond</v>
      </c>
      <c r="Q2155" s="5" t="str">
        <f t="shared" si="7"/>
        <v>Virginia</v>
      </c>
      <c r="R2155" s="5" t="str">
        <f t="shared" si="8"/>
        <v>United States</v>
      </c>
    </row>
    <row r="2156">
      <c r="A2156" s="8" t="s">
        <v>10117</v>
      </c>
      <c r="B2156" s="10" t="s">
        <v>10118</v>
      </c>
      <c r="C2156" s="10" t="s">
        <v>10119</v>
      </c>
      <c r="D2156" s="10"/>
      <c r="E2156" s="10" t="s">
        <v>7523</v>
      </c>
      <c r="F2156" s="10" t="s">
        <v>63</v>
      </c>
      <c r="G2156" s="11" t="s">
        <v>10114</v>
      </c>
      <c r="H2156" s="11" t="s">
        <v>4757</v>
      </c>
      <c r="I2156" s="11" t="s">
        <v>4607</v>
      </c>
      <c r="J2156" s="9" t="str">
        <f>IFERROR(__xludf.DUMMYFUNCTION("""COMPUTED_VALUE"""),"https://www.google.com/search?newwindow=1&amp;ei=2MT0XrvGGM-vytMP1OyDgAY&amp;q=site%3Alinkedin.com+Katie+Griffin+HR+Associate,+Analyst+Campus+Programs+Capital+One")</f>
        <v>https://www.google.com/search?newwindow=1&amp;ei=2MT0XrvGGM-vytMP1OyDgAY&amp;q=site%3Alinkedin.com+Katie+Griffin+HR+Associate,+Analyst+Campus+Programs+Capital+One</v>
      </c>
      <c r="K2156" s="5" t="str">
        <f t="shared" si="1"/>
        <v>Katie Griffin</v>
      </c>
      <c r="L2156" s="5" t="str">
        <f t="shared" si="2"/>
        <v>HR Associate, Analyst Campus Programs</v>
      </c>
      <c r="M2156" s="5" t="str">
        <f t="shared" si="3"/>
        <v> </v>
      </c>
      <c r="N2156" s="5" t="str">
        <f t="shared" si="4"/>
        <v>Capital One</v>
      </c>
      <c r="O2156" s="5" t="str">
        <f t="shared" si="5"/>
        <v>1 year 8 months in role</v>
      </c>
      <c r="P2156" s="5" t="str">
        <f t="shared" si="6"/>
        <v>Richmond</v>
      </c>
      <c r="Q2156" s="5" t="str">
        <f t="shared" si="7"/>
        <v>Virginia</v>
      </c>
      <c r="R2156" s="5" t="str">
        <f t="shared" si="8"/>
        <v>United States</v>
      </c>
    </row>
    <row r="2157">
      <c r="A2157" s="8" t="s">
        <v>10120</v>
      </c>
      <c r="B2157" s="10" t="s">
        <v>10121</v>
      </c>
      <c r="C2157" s="10" t="s">
        <v>110</v>
      </c>
      <c r="D2157" s="10"/>
      <c r="E2157" s="10" t="s">
        <v>4836</v>
      </c>
      <c r="F2157" s="10" t="s">
        <v>165</v>
      </c>
      <c r="G2157" s="11" t="s">
        <v>10114</v>
      </c>
      <c r="H2157" s="11" t="s">
        <v>4757</v>
      </c>
      <c r="I2157" s="11" t="s">
        <v>4607</v>
      </c>
      <c r="J2157" s="9" t="str">
        <f>IFERROR(__xludf.DUMMYFUNCTION("""COMPUTED_VALUE"""),"https://www.google.com/search?newwindow=1&amp;ei=2MT0XrvGGM-vytMP1OyDgAY&amp;q=site%3Alinkedin.com+Addison+Leftwich+Campus+Recruiter+Capital+One")</f>
        <v>https://www.google.com/search?newwindow=1&amp;ei=2MT0XrvGGM-vytMP1OyDgAY&amp;q=site%3Alinkedin.com+Addison+Leftwich+Campus+Recruiter+Capital+One</v>
      </c>
      <c r="K2157" s="5" t="str">
        <f t="shared" si="1"/>
        <v>Addison Leftwich</v>
      </c>
      <c r="L2157" s="5" t="str">
        <f t="shared" si="2"/>
        <v>Campus Recruiter</v>
      </c>
      <c r="M2157" s="5" t="str">
        <f t="shared" si="3"/>
        <v> </v>
      </c>
      <c r="N2157" s="5" t="str">
        <f t="shared" si="4"/>
        <v>Capital One</v>
      </c>
      <c r="O2157" s="5" t="str">
        <f t="shared" si="5"/>
        <v>3 years 3 months in role and company</v>
      </c>
      <c r="P2157" s="5" t="str">
        <f t="shared" si="6"/>
        <v>Richmond</v>
      </c>
      <c r="Q2157" s="5" t="str">
        <f t="shared" si="7"/>
        <v>Virginia</v>
      </c>
      <c r="R2157" s="5" t="str">
        <f t="shared" si="8"/>
        <v>United States</v>
      </c>
    </row>
    <row r="2158">
      <c r="A2158" s="8" t="s">
        <v>10122</v>
      </c>
      <c r="B2158" s="10" t="s">
        <v>10123</v>
      </c>
      <c r="C2158" s="10" t="s">
        <v>110</v>
      </c>
      <c r="D2158" s="10"/>
      <c r="E2158" s="10" t="s">
        <v>4836</v>
      </c>
      <c r="F2158" s="10" t="s">
        <v>36</v>
      </c>
      <c r="G2158" s="11" t="s">
        <v>10114</v>
      </c>
      <c r="H2158" s="11" t="s">
        <v>4757</v>
      </c>
      <c r="I2158" s="11" t="s">
        <v>4607</v>
      </c>
      <c r="J2158" s="9" t="str">
        <f>IFERROR(__xludf.DUMMYFUNCTION("""COMPUTED_VALUE"""),"https://www.google.com/search?newwindow=1&amp;ei=2MT0XrvGGM-vytMP1OyDgAY&amp;q=site%3Alinkedin.com+Kwanza+K.+Nunn,+SPHR,+SHRM-SCP+Campus+Recruiting+Manager+Capital+One")</f>
        <v>https://www.google.com/search?newwindow=1&amp;ei=2MT0XrvGGM-vytMP1OyDgAY&amp;q=site%3Alinkedin.com+Kwanza+K.+Nunn,+SPHR,+SHRM-SCP+Campus+Recruiting+Manager+Capital+One</v>
      </c>
      <c r="K2158" s="5" t="str">
        <f t="shared" si="1"/>
        <v>Kwanza K. Nunn, SPHR, SHRM-SCP</v>
      </c>
      <c r="L2158" s="5" t="str">
        <f t="shared" si="2"/>
        <v>Campus Recruiting Manager</v>
      </c>
      <c r="M2158" s="5" t="str">
        <f t="shared" si="3"/>
        <v> </v>
      </c>
      <c r="N2158" s="5" t="str">
        <f t="shared" si="4"/>
        <v>Capital One</v>
      </c>
      <c r="O2158" s="5" t="str">
        <f t="shared" si="5"/>
        <v>1 year  in role and company</v>
      </c>
      <c r="P2158" s="5" t="str">
        <f t="shared" si="6"/>
        <v>Washington</v>
      </c>
      <c r="Q2158" s="5" t="str">
        <f t="shared" si="7"/>
        <v>District of Columbia</v>
      </c>
      <c r="R2158" s="5" t="str">
        <f t="shared" si="8"/>
        <v>United States</v>
      </c>
    </row>
    <row r="2159">
      <c r="A2159" s="8" t="s">
        <v>10124</v>
      </c>
      <c r="B2159" s="10" t="s">
        <v>10125</v>
      </c>
      <c r="C2159" s="10" t="s">
        <v>10126</v>
      </c>
      <c r="D2159" s="10"/>
      <c r="E2159" s="10" t="s">
        <v>10127</v>
      </c>
      <c r="F2159" s="10" t="s">
        <v>192</v>
      </c>
      <c r="G2159" s="11" t="s">
        <v>10114</v>
      </c>
      <c r="H2159" s="11" t="s">
        <v>4757</v>
      </c>
      <c r="I2159" s="11" t="s">
        <v>4607</v>
      </c>
      <c r="J2159" s="9" t="str">
        <f>IFERROR(__xludf.DUMMYFUNCTION("""COMPUTED_VALUE"""),"https://www.google.com/search?newwindow=1&amp;ei=2MT0XrvGGM-vytMP1OyDgAY&amp;q=site%3Alinkedin.com+Faith+Holland+Tech+Recruiter,+Campus+Recruiting+Capital+One")</f>
        <v>https://www.google.com/search?newwindow=1&amp;ei=2MT0XrvGGM-vytMP1OyDgAY&amp;q=site%3Alinkedin.com+Faith+Holland+Tech+Recruiter,+Campus+Recruiting+Capital+One</v>
      </c>
      <c r="K2159" s="5" t="str">
        <f t="shared" si="1"/>
        <v>Faith Holland</v>
      </c>
      <c r="L2159" s="5" t="str">
        <f t="shared" si="2"/>
        <v>Tech Recruiter, Campus Recruiting</v>
      </c>
      <c r="M2159" s="5" t="str">
        <f t="shared" si="3"/>
        <v> </v>
      </c>
      <c r="N2159" s="5" t="str">
        <f t="shared" si="4"/>
        <v>Capital One</v>
      </c>
      <c r="O2159" s="5" t="str">
        <f t="shared" si="5"/>
        <v>1 year 6 months in role and company</v>
      </c>
      <c r="P2159" s="5" t="str">
        <f t="shared" si="6"/>
        <v>Washington</v>
      </c>
      <c r="Q2159" s="5" t="str">
        <f t="shared" si="7"/>
        <v>District of Columbia</v>
      </c>
      <c r="R2159" s="5" t="str">
        <f t="shared" si="8"/>
        <v>United States</v>
      </c>
    </row>
    <row r="2160">
      <c r="A2160" s="8" t="s">
        <v>10128</v>
      </c>
      <c r="B2160" s="10" t="s">
        <v>10129</v>
      </c>
      <c r="C2160" s="10" t="s">
        <v>5515</v>
      </c>
      <c r="D2160" s="10"/>
      <c r="E2160" s="10" t="s">
        <v>10130</v>
      </c>
      <c r="F2160" s="10" t="s">
        <v>237</v>
      </c>
      <c r="G2160" s="11" t="s">
        <v>10114</v>
      </c>
      <c r="H2160" s="11" t="s">
        <v>4757</v>
      </c>
      <c r="I2160" s="11" t="s">
        <v>4607</v>
      </c>
      <c r="J2160" s="9" t="str">
        <f>IFERROR(__xludf.DUMMYFUNCTION("""COMPUTED_VALUE"""),"https://www.google.com/search?newwindow=1&amp;ei=2MT0XrvGGM-vytMP1OyDgAY&amp;q=site%3Alinkedin.com+Monica+Diocades+Campus+Recruiter+Capital+One")</f>
        <v>https://www.google.com/search?newwindow=1&amp;ei=2MT0XrvGGM-vytMP1OyDgAY&amp;q=site%3Alinkedin.com+Monica+Diocades+Campus+Recruiter+Capital+One</v>
      </c>
      <c r="K2160" s="5" t="str">
        <f t="shared" si="1"/>
        <v>Monica Diocades</v>
      </c>
      <c r="L2160" s="5" t="str">
        <f t="shared" si="2"/>
        <v>Campus Recruiter</v>
      </c>
      <c r="M2160" s="5" t="str">
        <f t="shared" si="3"/>
        <v> </v>
      </c>
      <c r="N2160" s="5" t="str">
        <f t="shared" si="4"/>
        <v>Capital One</v>
      </c>
      <c r="O2160" s="5" t="str">
        <f t="shared" si="5"/>
        <v>2 years 3 months in role and company</v>
      </c>
      <c r="P2160" s="5" t="str">
        <f t="shared" si="6"/>
        <v>Washington</v>
      </c>
      <c r="Q2160" s="5" t="str">
        <f t="shared" si="7"/>
        <v>District of Columbia</v>
      </c>
      <c r="R2160" s="5" t="str">
        <f t="shared" si="8"/>
        <v>United States</v>
      </c>
    </row>
    <row r="2161">
      <c r="A2161" s="8" t="s">
        <v>10131</v>
      </c>
      <c r="B2161" s="10" t="s">
        <v>10132</v>
      </c>
      <c r="C2161" s="10" t="s">
        <v>4596</v>
      </c>
      <c r="D2161" s="10"/>
      <c r="E2161" s="10" t="s">
        <v>4701</v>
      </c>
      <c r="F2161" s="10" t="s">
        <v>2362</v>
      </c>
      <c r="G2161" s="11" t="s">
        <v>10114</v>
      </c>
      <c r="H2161" s="11" t="s">
        <v>4757</v>
      </c>
      <c r="I2161" s="11" t="s">
        <v>4607</v>
      </c>
      <c r="J2161" s="9" t="str">
        <f>IFERROR(__xludf.DUMMYFUNCTION("""COMPUTED_VALUE"""),"https://www.google.com/search?newwindow=1&amp;ei=2MT0XrvGGM-vytMP1OyDgAY&amp;q=site%3Alinkedin.com+Kelsey+Indorf+Campus+Recruiting+Senior+Manager+Capital+One")</f>
        <v>https://www.google.com/search?newwindow=1&amp;ei=2MT0XrvGGM-vytMP1OyDgAY&amp;q=site%3Alinkedin.com+Kelsey+Indorf+Campus+Recruiting+Senior+Manager+Capital+One</v>
      </c>
      <c r="K2161" s="5" t="str">
        <f t="shared" si="1"/>
        <v>Kelsey Indorf</v>
      </c>
      <c r="L2161" s="5" t="str">
        <f t="shared" si="2"/>
        <v>Campus Recruiting Senior Manager</v>
      </c>
      <c r="M2161" s="5" t="str">
        <f t="shared" si="3"/>
        <v> </v>
      </c>
      <c r="N2161" s="5" t="str">
        <f t="shared" si="4"/>
        <v>Capital One</v>
      </c>
      <c r="O2161" s="5" t="str">
        <f t="shared" si="5"/>
        <v>10 months in role</v>
      </c>
      <c r="P2161" s="5" t="str">
        <f t="shared" si="6"/>
        <v>Washington</v>
      </c>
      <c r="Q2161" s="5" t="str">
        <f t="shared" si="7"/>
        <v>District of Columbia</v>
      </c>
      <c r="R2161" s="5" t="str">
        <f t="shared" si="8"/>
        <v>United States</v>
      </c>
    </row>
    <row r="2162">
      <c r="A2162" s="8" t="s">
        <v>10133</v>
      </c>
      <c r="B2162" s="12" t="s">
        <v>10134</v>
      </c>
      <c r="C2162" s="10" t="s">
        <v>10135</v>
      </c>
      <c r="D2162" s="10"/>
      <c r="E2162" s="10" t="s">
        <v>10136</v>
      </c>
      <c r="F2162" s="10" t="s">
        <v>131</v>
      </c>
      <c r="G2162" s="11" t="s">
        <v>10114</v>
      </c>
      <c r="H2162" s="11" t="s">
        <v>4757</v>
      </c>
      <c r="I2162" s="11" t="s">
        <v>4607</v>
      </c>
      <c r="J2162" s="9" t="str">
        <f>IFERROR(__xludf.DUMMYFUNCTION("""COMPUTED_VALUE"""),"https://www.google.com/search?newwindow=1&amp;ei=2MT0XrvGGM-vytMP1OyDgAY&amp;q=site%3Alinkedin.com+Hayley+(Ford)+Nainani+Campus+Recruiting+Manager+Capital+One")</f>
        <v>https://www.google.com/search?newwindow=1&amp;ei=2MT0XrvGGM-vytMP1OyDgAY&amp;q=site%3Alinkedin.com+Hayley+(Ford)+Nainani+Campus+Recruiting+Manager+Capital+One</v>
      </c>
      <c r="K2162" s="5" t="str">
        <f t="shared" si="1"/>
        <v>Hayley (Ford) Nainani</v>
      </c>
      <c r="L2162" s="5" t="str">
        <f t="shared" si="2"/>
        <v>Campus Recruiting Manager</v>
      </c>
      <c r="M2162" s="5" t="str">
        <f t="shared" si="3"/>
        <v> </v>
      </c>
      <c r="N2162" s="5" t="str">
        <f t="shared" si="4"/>
        <v>Capital One</v>
      </c>
      <c r="O2162" s="5" t="str">
        <f t="shared" si="5"/>
        <v>2 years 2 months in role and company</v>
      </c>
      <c r="P2162" s="5" t="str">
        <f t="shared" si="6"/>
        <v>Washington</v>
      </c>
      <c r="Q2162" s="5" t="str">
        <f t="shared" si="7"/>
        <v>District of Columbia</v>
      </c>
      <c r="R2162" s="5" t="str">
        <f t="shared" si="8"/>
        <v>United States</v>
      </c>
    </row>
    <row r="2163">
      <c r="A2163" s="8" t="s">
        <v>10137</v>
      </c>
      <c r="B2163" s="10" t="s">
        <v>10138</v>
      </c>
      <c r="C2163" s="10" t="s">
        <v>5275</v>
      </c>
      <c r="D2163" s="10"/>
      <c r="E2163" s="10" t="s">
        <v>7248</v>
      </c>
      <c r="F2163" s="10" t="s">
        <v>351</v>
      </c>
      <c r="G2163" s="11" t="s">
        <v>10114</v>
      </c>
      <c r="H2163" s="11" t="s">
        <v>4757</v>
      </c>
      <c r="I2163" s="11" t="s">
        <v>4607</v>
      </c>
      <c r="J2163" s="9" t="str">
        <f>IFERROR(__xludf.DUMMYFUNCTION("""COMPUTED_VALUE"""),"https://www.google.com/search?newwindow=1&amp;ei=2MT0XrvGGM-vytMP1OyDgAY&amp;q=site%3Alinkedin.com+Anthony+Jimenez+Tech+Recruiter+-+Campus+Recruiting+Capital+One")</f>
        <v>https://www.google.com/search?newwindow=1&amp;ei=2MT0XrvGGM-vytMP1OyDgAY&amp;q=site%3Alinkedin.com+Anthony+Jimenez+Tech+Recruiter+-+Campus+Recruiting+Capital+One</v>
      </c>
      <c r="K2163" s="5" t="str">
        <f t="shared" si="1"/>
        <v>Anthony Jimenez</v>
      </c>
      <c r="L2163" s="5" t="str">
        <f t="shared" si="2"/>
        <v>Tech Recruiter - Campus Recruiting</v>
      </c>
      <c r="M2163" s="5" t="str">
        <f t="shared" si="3"/>
        <v> </v>
      </c>
      <c r="N2163" s="5" t="str">
        <f t="shared" si="4"/>
        <v>Capital One</v>
      </c>
      <c r="O2163" s="5" t="str">
        <f t="shared" si="5"/>
        <v>1 year 6 months in role</v>
      </c>
      <c r="P2163" s="5" t="str">
        <f t="shared" si="6"/>
        <v>Washington</v>
      </c>
      <c r="Q2163" s="5" t="str">
        <f t="shared" si="7"/>
        <v>District of Columbia</v>
      </c>
      <c r="R2163" s="5" t="str">
        <f t="shared" si="8"/>
        <v>United States</v>
      </c>
    </row>
    <row r="2164">
      <c r="A2164" s="8" t="s">
        <v>10139</v>
      </c>
      <c r="B2164" s="12" t="s">
        <v>10140</v>
      </c>
      <c r="C2164" s="10" t="s">
        <v>4596</v>
      </c>
      <c r="D2164" s="10"/>
      <c r="E2164" s="10" t="s">
        <v>5132</v>
      </c>
      <c r="F2164" s="10" t="s">
        <v>691</v>
      </c>
      <c r="G2164" s="11" t="s">
        <v>10141</v>
      </c>
      <c r="H2164" s="11" t="s">
        <v>4599</v>
      </c>
      <c r="I2164" s="11" t="s">
        <v>4600</v>
      </c>
      <c r="J2164" s="9" t="str">
        <f>IFERROR(__xludf.DUMMYFUNCTION("""COMPUTED_VALUE"""),"https://www.google.com/search?newwindow=1&amp;ei=2MT0XrvGGM-vytMP1OyDgAY&amp;q=site%3Alinkedin.com+Alan+Ward+(he/him)+Campus+Recruiter+-+Enterprise+Programs+Capital+One")</f>
        <v>https://www.google.com/search?newwindow=1&amp;ei=2MT0XrvGGM-vytMP1OyDgAY&amp;q=site%3Alinkedin.com+Alan+Ward+(he/him)+Campus+Recruiter+-+Enterprise+Programs+Capital+One</v>
      </c>
      <c r="K2164" s="5" t="str">
        <f t="shared" si="1"/>
        <v>Alan Ward (he/him)</v>
      </c>
      <c r="L2164" s="5" t="str">
        <f t="shared" si="2"/>
        <v>Campus Recruiter - Enterprise Programs</v>
      </c>
      <c r="M2164" s="5" t="str">
        <f t="shared" si="3"/>
        <v> </v>
      </c>
      <c r="N2164" s="5" t="str">
        <f t="shared" si="4"/>
        <v>Capital One</v>
      </c>
      <c r="O2164" s="5" t="str">
        <f t="shared" si="5"/>
        <v>4 months in role</v>
      </c>
      <c r="P2164" s="5" t="str">
        <f t="shared" si="6"/>
        <v>Washington</v>
      </c>
      <c r="Q2164" s="5" t="str">
        <f t="shared" si="7"/>
        <v>District of Columbia</v>
      </c>
      <c r="R2164" s="5" t="str">
        <f t="shared" si="8"/>
        <v>United States</v>
      </c>
    </row>
    <row r="2165">
      <c r="A2165" s="8" t="s">
        <v>10139</v>
      </c>
      <c r="B2165" s="12" t="s">
        <v>10140</v>
      </c>
      <c r="C2165" s="10" t="s">
        <v>4596</v>
      </c>
      <c r="D2165" s="10"/>
      <c r="E2165" s="10" t="s">
        <v>5132</v>
      </c>
      <c r="F2165" s="10" t="s">
        <v>691</v>
      </c>
      <c r="G2165" s="11" t="s">
        <v>10141</v>
      </c>
      <c r="H2165" s="11" t="s">
        <v>4599</v>
      </c>
      <c r="I2165" s="11" t="s">
        <v>4600</v>
      </c>
      <c r="J2165" s="9" t="str">
        <f>IFERROR(__xludf.DUMMYFUNCTION("""COMPUTED_VALUE"""),"https://www.google.com/search?newwindow=1&amp;ei=2MT0XrvGGM-vytMP1OyDgAY&amp;q=site%3Alinkedin.com+Nyla+Walker+Senior+Diversity+&amp;+Inclusion+Campus+Recruiter+Capital+One")</f>
        <v>https://www.google.com/search?newwindow=1&amp;ei=2MT0XrvGGM-vytMP1OyDgAY&amp;q=site%3Alinkedin.com+Nyla+Walker+Senior+Diversity+&amp;+Inclusion+Campus+Recruiter+Capital+One</v>
      </c>
      <c r="K2165" s="5" t="str">
        <f t="shared" si="1"/>
        <v>Nyla Walker</v>
      </c>
      <c r="L2165" s="5" t="str">
        <f t="shared" si="2"/>
        <v>Senior Diversity &amp; Inclusion Campus Recruiter</v>
      </c>
      <c r="M2165" s="5" t="str">
        <f t="shared" si="3"/>
        <v> </v>
      </c>
      <c r="N2165" s="5" t="str">
        <f t="shared" si="4"/>
        <v>Capital One</v>
      </c>
      <c r="O2165" s="5" t="str">
        <f t="shared" si="5"/>
        <v>5 months in role</v>
      </c>
      <c r="P2165" s="5" t="str">
        <f t="shared" si="6"/>
        <v>Washington</v>
      </c>
      <c r="Q2165" s="5" t="str">
        <f t="shared" si="7"/>
        <v>District of Columbia</v>
      </c>
      <c r="R2165" s="5" t="str">
        <f t="shared" si="8"/>
        <v>United States</v>
      </c>
    </row>
    <row r="2166">
      <c r="A2166" s="8" t="s">
        <v>10142</v>
      </c>
      <c r="B2166" s="12" t="s">
        <v>10143</v>
      </c>
      <c r="C2166" s="10" t="s">
        <v>10144</v>
      </c>
      <c r="D2166" s="10"/>
      <c r="E2166" s="10" t="s">
        <v>10145</v>
      </c>
      <c r="F2166" s="10" t="s">
        <v>144</v>
      </c>
      <c r="G2166" s="11" t="s">
        <v>8298</v>
      </c>
      <c r="H2166" s="11" t="s">
        <v>4619</v>
      </c>
      <c r="I2166" s="12"/>
      <c r="J2166" s="9" t="str">
        <f>IFERROR(__xludf.DUMMYFUNCTION("""COMPUTED_VALUE"""),"https://www.google.com/search?newwindow=1&amp;ei=2MT0XrvGGM-vytMP1OyDgAY&amp;q=site%3Alinkedin.com+Arielle+Singleton+Campus+Recruiter+Capital+One")</f>
        <v>https://www.google.com/search?newwindow=1&amp;ei=2MT0XrvGGM-vytMP1OyDgAY&amp;q=site%3Alinkedin.com+Arielle+Singleton+Campus+Recruiter+Capital+One</v>
      </c>
      <c r="K2166" s="5" t="str">
        <f t="shared" si="1"/>
        <v>Arielle Singleton</v>
      </c>
      <c r="L2166" s="5" t="str">
        <f t="shared" si="2"/>
        <v>Campus Recruiter</v>
      </c>
      <c r="M2166" s="5" t="str">
        <f t="shared" si="3"/>
        <v> </v>
      </c>
      <c r="N2166" s="5" t="str">
        <f t="shared" si="4"/>
        <v>Capital One</v>
      </c>
      <c r="O2166" s="5" t="str">
        <f t="shared" si="5"/>
        <v>1 year 7 months in role and company</v>
      </c>
      <c r="P2166" s="5" t="str">
        <f t="shared" si="6"/>
        <v>Washington</v>
      </c>
      <c r="Q2166" s="5" t="str">
        <f t="shared" si="7"/>
        <v>District of Columbia</v>
      </c>
      <c r="R2166" s="5" t="str">
        <f t="shared" si="8"/>
        <v>United States</v>
      </c>
    </row>
    <row r="2167">
      <c r="A2167" s="8" t="s">
        <v>10146</v>
      </c>
      <c r="B2167" s="12" t="s">
        <v>10147</v>
      </c>
      <c r="C2167" s="10" t="s">
        <v>10148</v>
      </c>
      <c r="D2167" s="10"/>
      <c r="E2167" s="10" t="s">
        <v>10149</v>
      </c>
      <c r="F2167" s="10" t="s">
        <v>345</v>
      </c>
      <c r="G2167" s="11" t="s">
        <v>10150</v>
      </c>
      <c r="H2167" s="11" t="s">
        <v>4638</v>
      </c>
      <c r="I2167" s="11" t="s">
        <v>4600</v>
      </c>
      <c r="J2167" s="9" t="str">
        <f>IFERROR(__xludf.DUMMYFUNCTION("""COMPUTED_VALUE"""),"https://www.google.com/search?newwindow=1&amp;ei=2MT0XrvGGM-vytMP1OyDgAY&amp;q=site%3Alinkedin.com+Rachel+Turner+Campus+Recruiter+Capital+One")</f>
        <v>https://www.google.com/search?newwindow=1&amp;ei=2MT0XrvGGM-vytMP1OyDgAY&amp;q=site%3Alinkedin.com+Rachel+Turner+Campus+Recruiter+Capital+One</v>
      </c>
      <c r="K2167" s="5" t="str">
        <f t="shared" si="1"/>
        <v>Rachel Turner</v>
      </c>
      <c r="L2167" s="5" t="str">
        <f t="shared" si="2"/>
        <v>Campus Recruiter</v>
      </c>
      <c r="M2167" s="5" t="str">
        <f t="shared" si="3"/>
        <v> </v>
      </c>
      <c r="N2167" s="5" t="str">
        <f t="shared" si="4"/>
        <v>Capital One</v>
      </c>
      <c r="O2167" s="5" t="str">
        <f t="shared" si="5"/>
        <v>1 year 7 months in role and company</v>
      </c>
      <c r="P2167" s="5" t="str">
        <f t="shared" si="6"/>
        <v>Washington</v>
      </c>
      <c r="Q2167" s="5" t="str">
        <f t="shared" si="7"/>
        <v>District of Columbia</v>
      </c>
      <c r="R2167" s="5" t="str">
        <f t="shared" si="8"/>
        <v>United States</v>
      </c>
    </row>
    <row r="2168">
      <c r="A2168" s="8" t="s">
        <v>10151</v>
      </c>
      <c r="B2168" s="12" t="s">
        <v>10152</v>
      </c>
      <c r="C2168" s="10" t="s">
        <v>10153</v>
      </c>
      <c r="D2168" s="10"/>
      <c r="E2168" s="10" t="s">
        <v>10154</v>
      </c>
      <c r="F2168" s="10" t="s">
        <v>496</v>
      </c>
      <c r="G2168" s="11" t="s">
        <v>10150</v>
      </c>
      <c r="H2168" s="11" t="s">
        <v>4638</v>
      </c>
      <c r="I2168" s="11" t="s">
        <v>4600</v>
      </c>
      <c r="J2168" s="9" t="str">
        <f>IFERROR(__xludf.DUMMYFUNCTION("""COMPUTED_VALUE"""),"https://www.google.com/search?newwindow=1&amp;ei=2MT0XrvGGM-vytMP1OyDgAY&amp;q=site%3Alinkedin.com+Stephanie+Wharton+Campus+Recruiter+Capital+One")</f>
        <v>https://www.google.com/search?newwindow=1&amp;ei=2MT0XrvGGM-vytMP1OyDgAY&amp;q=site%3Alinkedin.com+Stephanie+Wharton+Campus+Recruiter+Capital+One</v>
      </c>
      <c r="K2168" s="5" t="str">
        <f t="shared" si="1"/>
        <v>Stephanie Wharton</v>
      </c>
      <c r="L2168" s="5" t="str">
        <f t="shared" si="2"/>
        <v>Campus Recruiter</v>
      </c>
      <c r="M2168" s="5" t="str">
        <f t="shared" si="3"/>
        <v> </v>
      </c>
      <c r="N2168" s="5" t="str">
        <f t="shared" si="4"/>
        <v>Capital One</v>
      </c>
      <c r="O2168" s="5" t="str">
        <f t="shared" si="5"/>
        <v>3 months in role</v>
      </c>
      <c r="P2168" s="5" t="str">
        <f t="shared" si="6"/>
        <v>Wilmington</v>
      </c>
      <c r="Q2168" s="5" t="str">
        <f t="shared" si="7"/>
        <v>Delaware</v>
      </c>
      <c r="R2168" s="5" t="str">
        <f t="shared" si="8"/>
        <v>United States</v>
      </c>
    </row>
    <row r="2169">
      <c r="A2169" s="8" t="s">
        <v>10146</v>
      </c>
      <c r="B2169" s="12" t="s">
        <v>10147</v>
      </c>
      <c r="C2169" s="10" t="s">
        <v>10148</v>
      </c>
      <c r="D2169" s="10"/>
      <c r="E2169" s="10" t="s">
        <v>10149</v>
      </c>
      <c r="F2169" s="10" t="s">
        <v>345</v>
      </c>
      <c r="G2169" s="11" t="s">
        <v>10150</v>
      </c>
      <c r="H2169" s="11" t="s">
        <v>4638</v>
      </c>
      <c r="I2169" s="11" t="s">
        <v>4600</v>
      </c>
      <c r="J2169" s="9" t="str">
        <f>IFERROR(__xludf.DUMMYFUNCTION("""COMPUTED_VALUE"""),"https://www.google.com/search?newwindow=1&amp;ei=2MT0XrvGGM-vytMP1OyDgAY&amp;q=site%3Alinkedin.com+Lexus+Kennedy+Operations+Manager+Cargill")</f>
        <v>https://www.google.com/search?newwindow=1&amp;ei=2MT0XrvGGM-vytMP1OyDgAY&amp;q=site%3Alinkedin.com+Lexus+Kennedy+Operations+Manager+Cargill</v>
      </c>
      <c r="K2169" s="5" t="str">
        <f t="shared" si="1"/>
        <v>Lexus Kennedy</v>
      </c>
      <c r="L2169" s="5" t="str">
        <f t="shared" si="2"/>
        <v>Operations Manager</v>
      </c>
      <c r="M2169" s="5" t="str">
        <f t="shared" si="3"/>
        <v> </v>
      </c>
      <c r="N2169" s="5" t="str">
        <f t="shared" si="4"/>
        <v>Cargill</v>
      </c>
      <c r="O2169" s="5" t="str">
        <f t="shared" si="5"/>
        <v>10 months in role</v>
      </c>
      <c r="P2169" s="5" t="str">
        <f t="shared" si="6"/>
        <v>Dallas</v>
      </c>
      <c r="Q2169" s="5" t="str">
        <f t="shared" si="7"/>
        <v>Texas</v>
      </c>
      <c r="R2169" s="5" t="str">
        <f t="shared" si="8"/>
        <v>United States</v>
      </c>
    </row>
    <row r="2170">
      <c r="A2170" s="8" t="s">
        <v>10151</v>
      </c>
      <c r="B2170" s="12" t="s">
        <v>10152</v>
      </c>
      <c r="C2170" s="10" t="s">
        <v>10153</v>
      </c>
      <c r="D2170" s="10"/>
      <c r="E2170" s="10" t="s">
        <v>10154</v>
      </c>
      <c r="F2170" s="10" t="s">
        <v>496</v>
      </c>
      <c r="G2170" s="11" t="s">
        <v>10150</v>
      </c>
      <c r="H2170" s="11" t="s">
        <v>4638</v>
      </c>
      <c r="I2170" s="11" t="s">
        <v>4600</v>
      </c>
      <c r="J2170" s="9" t="str">
        <f>IFERROR(__xludf.DUMMYFUNCTION("""COMPUTED_VALUE"""),"https://www.google.com/search?newwindow=1&amp;ei=2MT0XrvGGM-vytMP1OyDgAY&amp;q=site%3Alinkedin.com+Anais+Diaz+University+Recruiter+Specialist+Cargill")</f>
        <v>https://www.google.com/search?newwindow=1&amp;ei=2MT0XrvGGM-vytMP1OyDgAY&amp;q=site%3Alinkedin.com+Anais+Diaz+University+Recruiter+Specialist+Cargill</v>
      </c>
      <c r="K2170" s="5" t="str">
        <f t="shared" si="1"/>
        <v>Anais Diaz</v>
      </c>
      <c r="L2170" s="5" t="str">
        <f t="shared" si="2"/>
        <v>University Recruiter Specialist</v>
      </c>
      <c r="M2170" s="5" t="str">
        <f t="shared" si="3"/>
        <v> </v>
      </c>
      <c r="N2170" s="5" t="str">
        <f t="shared" si="4"/>
        <v>Cargill</v>
      </c>
      <c r="O2170" s="5" t="str">
        <f t="shared" si="5"/>
        <v>8 months in role</v>
      </c>
      <c r="P2170" s="5" t="str">
        <f t="shared" si="6"/>
        <v>Dyer</v>
      </c>
      <c r="Q2170" s="5" t="str">
        <f t="shared" si="7"/>
        <v>Indiana</v>
      </c>
      <c r="R2170" s="5" t="str">
        <f t="shared" si="8"/>
        <v>United States</v>
      </c>
    </row>
    <row r="2171">
      <c r="A2171" s="8" t="s">
        <v>10155</v>
      </c>
      <c r="B2171" s="10" t="s">
        <v>10156</v>
      </c>
      <c r="C2171" s="10" t="s">
        <v>4749</v>
      </c>
      <c r="D2171" s="10"/>
      <c r="E2171" s="10" t="s">
        <v>3389</v>
      </c>
      <c r="F2171" s="10" t="s">
        <v>15</v>
      </c>
      <c r="G2171" s="11" t="s">
        <v>10157</v>
      </c>
      <c r="H2171" s="11" t="s">
        <v>137</v>
      </c>
      <c r="I2171" s="11" t="s">
        <v>18</v>
      </c>
      <c r="J2171" s="9" t="str">
        <f>IFERROR(__xludf.DUMMYFUNCTION("""COMPUTED_VALUE"""),"https://www.google.com/search?newwindow=1&amp;ei=2MT0XrvGGM-vytMP1OyDgAY&amp;q=site%3Alinkedin.com+Samgwa'a+Ndifontah+University+Recruiter+Cargill")</f>
        <v>https://www.google.com/search?newwindow=1&amp;ei=2MT0XrvGGM-vytMP1OyDgAY&amp;q=site%3Alinkedin.com+Samgwa'a+Ndifontah+University+Recruiter+Cargill</v>
      </c>
      <c r="K2171" s="5" t="str">
        <f t="shared" si="1"/>
        <v>Samgwa'a Ndifontah</v>
      </c>
      <c r="L2171" s="5" t="str">
        <f t="shared" si="2"/>
        <v>University Recruiter</v>
      </c>
      <c r="M2171" s="5" t="str">
        <f t="shared" si="3"/>
        <v> </v>
      </c>
      <c r="N2171" s="5" t="str">
        <f t="shared" si="4"/>
        <v>Cargill</v>
      </c>
      <c r="O2171" s="5" t="str">
        <f t="shared" si="5"/>
        <v>1 year 2 months in role and company</v>
      </c>
      <c r="P2171" s="5" t="str">
        <f t="shared" si="6"/>
        <v>Mason City</v>
      </c>
      <c r="Q2171" s="5" t="str">
        <f t="shared" si="7"/>
        <v>Iowa</v>
      </c>
      <c r="R2171" s="5" t="str">
        <f t="shared" si="8"/>
        <v>United States</v>
      </c>
    </row>
    <row r="2172">
      <c r="A2172" s="8" t="s">
        <v>10158</v>
      </c>
      <c r="B2172" s="10" t="s">
        <v>10159</v>
      </c>
      <c r="C2172" s="10" t="s">
        <v>10160</v>
      </c>
      <c r="D2172" s="10"/>
      <c r="E2172" s="10" t="s">
        <v>227</v>
      </c>
      <c r="F2172" s="10" t="s">
        <v>165</v>
      </c>
      <c r="G2172" s="11" t="s">
        <v>10161</v>
      </c>
      <c r="H2172" s="11" t="s">
        <v>4757</v>
      </c>
      <c r="I2172" s="11" t="s">
        <v>4607</v>
      </c>
      <c r="J2172" s="9" t="str">
        <f>IFERROR(__xludf.DUMMYFUNCTION("""COMPUTED_VALUE"""),"https://www.google.com/search?newwindow=1&amp;ei=2MT0XrvGGM-vytMP1OyDgAY&amp;q=site%3Alinkedin.com+Megan+Thomas+Associate+University+Recruiter+Cargill")</f>
        <v>https://www.google.com/search?newwindow=1&amp;ei=2MT0XrvGGM-vytMP1OyDgAY&amp;q=site%3Alinkedin.com+Megan+Thomas+Associate+University+Recruiter+Cargill</v>
      </c>
      <c r="K2172" s="5" t="str">
        <f t="shared" si="1"/>
        <v>Megan Thomas</v>
      </c>
      <c r="L2172" s="5" t="str">
        <f t="shared" si="2"/>
        <v>Associate University Recruiter</v>
      </c>
      <c r="M2172" s="5" t="str">
        <f t="shared" si="3"/>
        <v> </v>
      </c>
      <c r="N2172" s="5" t="str">
        <f t="shared" si="4"/>
        <v>Cargill</v>
      </c>
      <c r="O2172" s="5" t="str">
        <f t="shared" si="5"/>
        <v>9 months in role and company</v>
      </c>
      <c r="P2172" s="5" t="str">
        <f t="shared" si="6"/>
        <v>Minneapolis</v>
      </c>
      <c r="Q2172" s="5" t="str">
        <f t="shared" si="7"/>
        <v>Minnesota</v>
      </c>
      <c r="R2172" s="5" t="str">
        <f t="shared" si="8"/>
        <v>United States</v>
      </c>
    </row>
    <row r="2173">
      <c r="A2173" s="8" t="s">
        <v>10162</v>
      </c>
      <c r="B2173" s="10" t="s">
        <v>10163</v>
      </c>
      <c r="C2173" s="10" t="s">
        <v>10164</v>
      </c>
      <c r="D2173" s="10"/>
      <c r="E2173" s="10" t="s">
        <v>845</v>
      </c>
      <c r="F2173" s="10" t="s">
        <v>512</v>
      </c>
      <c r="G2173" s="11" t="s">
        <v>608</v>
      </c>
      <c r="H2173" s="11" t="s">
        <v>609</v>
      </c>
      <c r="I2173" s="11" t="s">
        <v>18</v>
      </c>
      <c r="J2173" s="9" t="str">
        <f>IFERROR(__xludf.DUMMYFUNCTION("""COMPUTED_VALUE"""),"https://www.google.com/search?newwindow=1&amp;ei=2MT0XrvGGM-vytMP1OyDgAY&amp;q=site%3Alinkedin.com+Jill+Spohn,+M.A.,+H.R.M.+University+Recruiting+Specialist+Cargill")</f>
        <v>https://www.google.com/search?newwindow=1&amp;ei=2MT0XrvGGM-vytMP1OyDgAY&amp;q=site%3Alinkedin.com+Jill+Spohn,+M.A.,+H.R.M.+University+Recruiting+Specialist+Cargill</v>
      </c>
      <c r="K2173" s="5" t="str">
        <f t="shared" si="1"/>
        <v>Jill Spohn, M.A., H.R.M.</v>
      </c>
      <c r="L2173" s="5" t="str">
        <f t="shared" si="2"/>
        <v>University Recruiting Specialist</v>
      </c>
      <c r="M2173" s="5" t="str">
        <f t="shared" si="3"/>
        <v> </v>
      </c>
      <c r="N2173" s="5" t="str">
        <f t="shared" si="4"/>
        <v>Cargill</v>
      </c>
      <c r="O2173" s="5" t="str">
        <f t="shared" si="5"/>
        <v>3 years 7 months in role</v>
      </c>
      <c r="P2173" s="5" t="str">
        <f t="shared" si="6"/>
        <v>Minneapolis</v>
      </c>
      <c r="Q2173" s="5" t="str">
        <f t="shared" si="7"/>
        <v>Minnesota</v>
      </c>
      <c r="R2173" s="5" t="str">
        <f t="shared" si="8"/>
        <v>United States</v>
      </c>
    </row>
    <row r="2174">
      <c r="A2174" s="8" t="s">
        <v>10165</v>
      </c>
      <c r="B2174" s="10" t="s">
        <v>1904</v>
      </c>
      <c r="C2174" s="10" t="s">
        <v>1905</v>
      </c>
      <c r="D2174" s="10"/>
      <c r="E2174" s="10" t="s">
        <v>4701</v>
      </c>
      <c r="F2174" s="10" t="s">
        <v>84</v>
      </c>
      <c r="G2174" s="11" t="s">
        <v>608</v>
      </c>
      <c r="H2174" s="11" t="s">
        <v>50</v>
      </c>
      <c r="I2174" s="11" t="s">
        <v>18</v>
      </c>
      <c r="J2174" s="9" t="str">
        <f>IFERROR(__xludf.DUMMYFUNCTION("""COMPUTED_VALUE"""),"https://www.google.com/search?newwindow=1&amp;ei=2MT0XrvGGM-vytMP1OyDgAY&amp;q=site%3Alinkedin.com+Katie+Johnson+Campus+Recruiter+Cargill")</f>
        <v>https://www.google.com/search?newwindow=1&amp;ei=2MT0XrvGGM-vytMP1OyDgAY&amp;q=site%3Alinkedin.com+Katie+Johnson+Campus+Recruiter+Cargill</v>
      </c>
      <c r="K2174" s="5" t="str">
        <f t="shared" si="1"/>
        <v>Katie Johnson</v>
      </c>
      <c r="L2174" s="5" t="str">
        <f t="shared" si="2"/>
        <v>Campus Recruiter</v>
      </c>
      <c r="M2174" s="5" t="str">
        <f t="shared" si="3"/>
        <v> </v>
      </c>
      <c r="N2174" s="5" t="str">
        <f t="shared" si="4"/>
        <v>Cargill</v>
      </c>
      <c r="O2174" s="5" t="str">
        <f t="shared" si="5"/>
        <v/>
      </c>
      <c r="P2174" s="5" t="str">
        <f t="shared" si="6"/>
        <v>Wichita</v>
      </c>
      <c r="Q2174" s="5" t="str">
        <f t="shared" si="7"/>
        <v>Kansas</v>
      </c>
      <c r="R2174" s="5" t="str">
        <f t="shared" si="8"/>
        <v>United States</v>
      </c>
    </row>
    <row r="2175">
      <c r="A2175" s="8" t="s">
        <v>10166</v>
      </c>
      <c r="B2175" s="10" t="s">
        <v>10167</v>
      </c>
      <c r="C2175" s="10" t="s">
        <v>25</v>
      </c>
      <c r="D2175" s="10"/>
      <c r="E2175" s="10" t="s">
        <v>10168</v>
      </c>
      <c r="F2175" s="10" t="s">
        <v>222</v>
      </c>
      <c r="G2175" s="11" t="s">
        <v>10169</v>
      </c>
      <c r="H2175" s="11" t="s">
        <v>4757</v>
      </c>
      <c r="I2175" s="11" t="s">
        <v>4607</v>
      </c>
      <c r="J2175" s="9" t="str">
        <f>IFERROR(__xludf.DUMMYFUNCTION("""COMPUTED_VALUE"""),"https://www.google.com/search?newwindow=1&amp;ei=2MT0XrvGGM-vytMP1OyDgAY&amp;q=site%3Alinkedin.com+Whitney+Ragan+College+Recruiter+CGI")</f>
        <v>https://www.google.com/search?newwindow=1&amp;ei=2MT0XrvGGM-vytMP1OyDgAY&amp;q=site%3Alinkedin.com+Whitney+Ragan+College+Recruiter+CGI</v>
      </c>
      <c r="K2175" s="5" t="str">
        <f t="shared" si="1"/>
        <v>Whitney Ragan</v>
      </c>
      <c r="L2175" s="5" t="str">
        <f t="shared" si="2"/>
        <v>College Recruiter</v>
      </c>
      <c r="M2175" s="5" t="str">
        <f t="shared" si="3"/>
        <v> </v>
      </c>
      <c r="N2175" s="5" t="str">
        <f t="shared" si="4"/>
        <v>CGI</v>
      </c>
      <c r="O2175" s="5" t="str">
        <f t="shared" si="5"/>
        <v/>
      </c>
      <c r="P2175" s="5" t="str">
        <f t="shared" si="6"/>
        <v>Atlanta</v>
      </c>
      <c r="Q2175" s="5" t="str">
        <f t="shared" si="7"/>
        <v>Georgia</v>
      </c>
      <c r="R2175" s="5" t="str">
        <f t="shared" si="8"/>
        <v>United States</v>
      </c>
    </row>
    <row r="2176">
      <c r="A2176" s="8" t="s">
        <v>10170</v>
      </c>
      <c r="B2176" s="10" t="s">
        <v>10171</v>
      </c>
      <c r="C2176" s="10" t="s">
        <v>10172</v>
      </c>
      <c r="D2176" s="10"/>
      <c r="E2176" s="10" t="s">
        <v>4191</v>
      </c>
      <c r="F2176" s="10" t="s">
        <v>10173</v>
      </c>
      <c r="G2176" s="11" t="s">
        <v>4240</v>
      </c>
      <c r="H2176" s="11" t="s">
        <v>203</v>
      </c>
      <c r="I2176" s="11" t="s">
        <v>18</v>
      </c>
      <c r="J2176" s="9" t="str">
        <f>IFERROR(__xludf.DUMMYFUNCTION("""COMPUTED_VALUE"""),"https://www.google.com/search?newwindow=1&amp;ei=2MT0XrvGGM-vytMP1OyDgAY&amp;q=site%3Alinkedin.com+Rebecca+Teti+College+Recruiter+CGI")</f>
        <v>https://www.google.com/search?newwindow=1&amp;ei=2MT0XrvGGM-vytMP1OyDgAY&amp;q=site%3Alinkedin.com+Rebecca+Teti+College+Recruiter+CGI</v>
      </c>
      <c r="K2176" s="5" t="str">
        <f t="shared" si="1"/>
        <v>Rebecca Teti</v>
      </c>
      <c r="L2176" s="5" t="str">
        <f t="shared" si="2"/>
        <v>College Recruiter</v>
      </c>
      <c r="M2176" s="5" t="str">
        <f t="shared" si="3"/>
        <v> </v>
      </c>
      <c r="N2176" s="5" t="str">
        <f t="shared" si="4"/>
        <v>CGI</v>
      </c>
      <c r="O2176" s="5" t="str">
        <f t="shared" si="5"/>
        <v>1 year 5 months in role</v>
      </c>
      <c r="P2176" s="5" t="str">
        <f t="shared" si="6"/>
        <v>Chantilly</v>
      </c>
      <c r="Q2176" s="5" t="str">
        <f t="shared" si="7"/>
        <v>Virginia</v>
      </c>
      <c r="R2176" s="5" t="str">
        <f t="shared" si="8"/>
        <v>United States</v>
      </c>
    </row>
    <row r="2177">
      <c r="A2177" s="8" t="s">
        <v>10174</v>
      </c>
      <c r="B2177" s="10" t="s">
        <v>10175</v>
      </c>
      <c r="C2177" s="10" t="s">
        <v>5068</v>
      </c>
      <c r="D2177" s="10"/>
      <c r="E2177" s="10" t="s">
        <v>10176</v>
      </c>
      <c r="F2177" s="10" t="s">
        <v>784</v>
      </c>
      <c r="G2177" s="11" t="s">
        <v>10177</v>
      </c>
      <c r="H2177" s="11" t="s">
        <v>4638</v>
      </c>
      <c r="I2177" s="11" t="s">
        <v>4600</v>
      </c>
      <c r="J2177" s="9" t="str">
        <f>IFERROR(__xludf.DUMMYFUNCTION("""COMPUTED_VALUE"""),"https://www.google.com/search?newwindow=1&amp;ei=2MT0XrvGGM-vytMP1OyDgAY&amp;q=site%3Alinkedin.com+Madeline+Sills+College+Recruiter+-+US+West+CGI")</f>
        <v>https://www.google.com/search?newwindow=1&amp;ei=2MT0XrvGGM-vytMP1OyDgAY&amp;q=site%3Alinkedin.com+Madeline+Sills+College+Recruiter+-+US+West+CGI</v>
      </c>
      <c r="K2177" s="5" t="str">
        <f t="shared" si="1"/>
        <v>Madeline Sills</v>
      </c>
      <c r="L2177" s="5" t="str">
        <f t="shared" si="2"/>
        <v>College Recruiter - US West</v>
      </c>
      <c r="M2177" s="5" t="str">
        <f t="shared" si="3"/>
        <v> </v>
      </c>
      <c r="N2177" s="5" t="str">
        <f t="shared" si="4"/>
        <v>CGI</v>
      </c>
      <c r="O2177" s="5" t="str">
        <f t="shared" si="5"/>
        <v>1 year 5 months in role and company</v>
      </c>
      <c r="P2177" s="5" t="str">
        <f t="shared" si="6"/>
        <v>Denver</v>
      </c>
      <c r="Q2177" s="5" t="str">
        <f t="shared" si="7"/>
        <v>Colorado</v>
      </c>
      <c r="R2177" s="5" t="str">
        <f t="shared" si="8"/>
        <v>United States</v>
      </c>
    </row>
    <row r="2178">
      <c r="A2178" s="8" t="s">
        <v>10178</v>
      </c>
      <c r="B2178" s="12" t="s">
        <v>10179</v>
      </c>
      <c r="C2178" s="10" t="s">
        <v>4596</v>
      </c>
      <c r="D2178" s="12"/>
      <c r="E2178" s="12" t="s">
        <v>6490</v>
      </c>
      <c r="F2178" s="10"/>
      <c r="G2178" s="11" t="s">
        <v>10177</v>
      </c>
      <c r="H2178" s="11" t="s">
        <v>4638</v>
      </c>
      <c r="I2178" s="11" t="s">
        <v>4600</v>
      </c>
      <c r="J2178" s="9" t="str">
        <f>IFERROR(__xludf.DUMMYFUNCTION("""COMPUTED_VALUE"""),"https://www.google.com/search?newwindow=1&amp;ei=2MT0XrvGGM-vytMP1OyDgAY&amp;q=site%3Alinkedin.com+Anne+Marie+Swanson+(she/her/hers),+PMP+U.S.+STEM@CGI,+Manager+CGI")</f>
        <v>https://www.google.com/search?newwindow=1&amp;ei=2MT0XrvGGM-vytMP1OyDgAY&amp;q=site%3Alinkedin.com+Anne+Marie+Swanson+(she/her/hers),+PMP+U.S.+STEM@CGI,+Manager+CGI</v>
      </c>
      <c r="K2178" s="5" t="str">
        <f t="shared" si="1"/>
        <v>Anne Marie Swanson (she/her/hers), PMP</v>
      </c>
      <c r="L2178" s="5" t="str">
        <f t="shared" si="2"/>
        <v>U.S. STEM@CGI, Manager</v>
      </c>
      <c r="M2178" s="5" t="str">
        <f t="shared" si="3"/>
        <v> </v>
      </c>
      <c r="N2178" s="5" t="str">
        <f t="shared" si="4"/>
        <v>CGI</v>
      </c>
      <c r="O2178" s="5" t="str">
        <f t="shared" si="5"/>
        <v>1 year 6 months in role</v>
      </c>
      <c r="P2178" s="5" t="str">
        <f t="shared" si="6"/>
        <v>Lafayette</v>
      </c>
      <c r="Q2178" s="5" t="str">
        <f t="shared" si="7"/>
        <v>Louisiana</v>
      </c>
      <c r="R2178" s="5" t="str">
        <f t="shared" si="8"/>
        <v>United States</v>
      </c>
    </row>
    <row r="2179">
      <c r="A2179" s="8" t="s">
        <v>10174</v>
      </c>
      <c r="B2179" s="10" t="s">
        <v>10175</v>
      </c>
      <c r="C2179" s="10" t="s">
        <v>5068</v>
      </c>
      <c r="D2179" s="10"/>
      <c r="E2179" s="10" t="s">
        <v>10176</v>
      </c>
      <c r="F2179" s="10" t="s">
        <v>784</v>
      </c>
      <c r="G2179" s="11" t="s">
        <v>10177</v>
      </c>
      <c r="H2179" s="11" t="s">
        <v>4638</v>
      </c>
      <c r="I2179" s="11" t="s">
        <v>4600</v>
      </c>
      <c r="J2179" s="9" t="str">
        <f>IFERROR(__xludf.DUMMYFUNCTION("""COMPUTED_VALUE"""),"https://www.google.com/search?newwindow=1&amp;ei=2MT0XrvGGM-vytMP1OyDgAY&amp;q=site%3Alinkedin.com+Katherine+Zehnder+College+Recruiter+CGI")</f>
        <v>https://www.google.com/search?newwindow=1&amp;ei=2MT0XrvGGM-vytMP1OyDgAY&amp;q=site%3Alinkedin.com+Katherine+Zehnder+College+Recruiter+CGI</v>
      </c>
      <c r="K2179" s="5" t="str">
        <f t="shared" si="1"/>
        <v>Katherine Zehnder</v>
      </c>
      <c r="L2179" s="5" t="str">
        <f t="shared" si="2"/>
        <v>College Recruiter</v>
      </c>
      <c r="M2179" s="5" t="str">
        <f t="shared" si="3"/>
        <v> </v>
      </c>
      <c r="N2179" s="5" t="str">
        <f t="shared" si="4"/>
        <v>CGI</v>
      </c>
      <c r="O2179" s="5" t="str">
        <f t="shared" si="5"/>
        <v>1 year 9 months in role and company</v>
      </c>
      <c r="P2179" s="5" t="str">
        <f t="shared" si="6"/>
        <v>Lafayette</v>
      </c>
      <c r="Q2179" s="5" t="str">
        <f t="shared" si="7"/>
        <v>Louisiana</v>
      </c>
      <c r="R2179" s="5" t="str">
        <f t="shared" si="8"/>
        <v>United States</v>
      </c>
    </row>
    <row r="2180">
      <c r="A2180" s="8" t="s">
        <v>10178</v>
      </c>
      <c r="B2180" s="12" t="s">
        <v>10179</v>
      </c>
      <c r="C2180" s="10" t="s">
        <v>4596</v>
      </c>
      <c r="D2180" s="12"/>
      <c r="E2180" s="12" t="s">
        <v>6490</v>
      </c>
      <c r="F2180" s="10"/>
      <c r="G2180" s="11" t="s">
        <v>10177</v>
      </c>
      <c r="H2180" s="11" t="s">
        <v>4638</v>
      </c>
      <c r="I2180" s="11" t="s">
        <v>4600</v>
      </c>
      <c r="J2180" s="9" t="str">
        <f>IFERROR(__xludf.DUMMYFUNCTION("""COMPUTED_VALUE"""),"https://www.google.com/search?newwindow=1&amp;ei=2MT0XrvGGM-vytMP1OyDgAY&amp;q=site%3Alinkedin.com+Carrie+Eggleston+College+Recruiter+CGI")</f>
        <v>https://www.google.com/search?newwindow=1&amp;ei=2MT0XrvGGM-vytMP1OyDgAY&amp;q=site%3Alinkedin.com+Carrie+Eggleston+College+Recruiter+CGI</v>
      </c>
      <c r="K2180" s="5" t="str">
        <f t="shared" si="1"/>
        <v>Carrie Eggleston</v>
      </c>
      <c r="L2180" s="5" t="str">
        <f t="shared" si="2"/>
        <v>College Recruiter</v>
      </c>
      <c r="M2180" s="5" t="str">
        <f t="shared" si="3"/>
        <v> </v>
      </c>
      <c r="N2180" s="5" t="str">
        <f t="shared" si="4"/>
        <v>CGI</v>
      </c>
      <c r="O2180" s="5" t="str">
        <f t="shared" si="5"/>
        <v>3 years 3 months in role</v>
      </c>
      <c r="P2180" s="5" t="str">
        <f t="shared" si="6"/>
        <v>Lafayette</v>
      </c>
      <c r="Q2180" s="5" t="str">
        <f t="shared" si="7"/>
        <v>Louisiana</v>
      </c>
      <c r="R2180" s="5" t="str">
        <f t="shared" si="8"/>
        <v>United States</v>
      </c>
    </row>
    <row r="2181">
      <c r="A2181" s="8" t="s">
        <v>10180</v>
      </c>
      <c r="B2181" s="10" t="s">
        <v>10181</v>
      </c>
      <c r="C2181" s="10" t="s">
        <v>10182</v>
      </c>
      <c r="D2181" s="10"/>
      <c r="E2181" s="10" t="s">
        <v>10183</v>
      </c>
      <c r="F2181" s="10" t="s">
        <v>188</v>
      </c>
      <c r="G2181" s="11" t="s">
        <v>10184</v>
      </c>
      <c r="H2181" s="11" t="s">
        <v>10185</v>
      </c>
      <c r="I2181" s="11" t="s">
        <v>4600</v>
      </c>
      <c r="J2181" s="9" t="str">
        <f>IFERROR(__xludf.DUMMYFUNCTION("""COMPUTED_VALUE"""),"https://www.google.com/search?newwindow=1&amp;ei=2MT0XrvGGM-vytMP1OyDgAY&amp;q=site%3Alinkedin.com+Luke+Lawson+Campus+Recruiter+CGI")</f>
        <v>https://www.google.com/search?newwindow=1&amp;ei=2MT0XrvGGM-vytMP1OyDgAY&amp;q=site%3Alinkedin.com+Luke+Lawson+Campus+Recruiter+CGI</v>
      </c>
      <c r="K2181" s="5" t="str">
        <f t="shared" si="1"/>
        <v>Luke Lawson</v>
      </c>
      <c r="L2181" s="5" t="str">
        <f t="shared" si="2"/>
        <v>Campus Recruiter</v>
      </c>
      <c r="M2181" s="5" t="str">
        <f t="shared" si="3"/>
        <v> </v>
      </c>
      <c r="N2181" s="5" t="str">
        <f t="shared" si="4"/>
        <v>CGI</v>
      </c>
      <c r="O2181" s="5" t="str">
        <f t="shared" si="5"/>
        <v>8 months in role and company</v>
      </c>
      <c r="P2181" s="5" t="str">
        <f t="shared" si="6"/>
        <v>Lafayette</v>
      </c>
      <c r="Q2181" s="5" t="str">
        <f t="shared" si="7"/>
        <v>Louisiana</v>
      </c>
      <c r="R2181" s="5" t="str">
        <f t="shared" si="8"/>
        <v>United States</v>
      </c>
    </row>
    <row r="2182">
      <c r="A2182" s="8" t="s">
        <v>10186</v>
      </c>
      <c r="B2182" s="10" t="s">
        <v>10187</v>
      </c>
      <c r="C2182" s="10" t="s">
        <v>10188</v>
      </c>
      <c r="D2182" s="10"/>
      <c r="E2182" s="10" t="s">
        <v>10189</v>
      </c>
      <c r="F2182" s="10" t="s">
        <v>331</v>
      </c>
      <c r="G2182" s="11" t="s">
        <v>10184</v>
      </c>
      <c r="H2182" s="11" t="s">
        <v>10185</v>
      </c>
      <c r="I2182" s="11" t="s">
        <v>4600</v>
      </c>
      <c r="J2182" s="9" t="str">
        <f>IFERROR(__xludf.DUMMYFUNCTION("""COMPUTED_VALUE"""),"https://www.google.com/search?newwindow=1&amp;ei=2MT0XrvGGM-vytMP1OyDgAY&amp;q=site%3Alinkedin.com+Kristin+Rymaruk+College+Recruiting+Manager+CGI")</f>
        <v>https://www.google.com/search?newwindow=1&amp;ei=2MT0XrvGGM-vytMP1OyDgAY&amp;q=site%3Alinkedin.com+Kristin+Rymaruk+College+Recruiting+Manager+CGI</v>
      </c>
      <c r="K2182" s="5" t="str">
        <f t="shared" si="1"/>
        <v>Kristin Rymaruk</v>
      </c>
      <c r="L2182" s="5" t="str">
        <f t="shared" si="2"/>
        <v>College Recruiting Manager</v>
      </c>
      <c r="M2182" s="5" t="str">
        <f t="shared" si="3"/>
        <v> </v>
      </c>
      <c r="N2182" s="5" t="str">
        <f t="shared" si="4"/>
        <v>CGI</v>
      </c>
      <c r="O2182" s="5" t="str">
        <f t="shared" si="5"/>
        <v>2 years 5 months in role</v>
      </c>
      <c r="P2182" s="5" t="str">
        <f t="shared" si="6"/>
        <v>Leesburg</v>
      </c>
      <c r="Q2182" s="5" t="str">
        <f t="shared" si="7"/>
        <v>Virginia</v>
      </c>
      <c r="R2182" s="5" t="str">
        <f t="shared" si="8"/>
        <v>United States</v>
      </c>
    </row>
    <row r="2183">
      <c r="A2183" s="8" t="s">
        <v>10190</v>
      </c>
      <c r="B2183" s="10" t="s">
        <v>10191</v>
      </c>
      <c r="C2183" s="10" t="s">
        <v>10192</v>
      </c>
      <c r="D2183" s="10"/>
      <c r="E2183" s="10" t="s">
        <v>10193</v>
      </c>
      <c r="F2183" s="10" t="s">
        <v>125</v>
      </c>
      <c r="G2183" s="11" t="s">
        <v>10184</v>
      </c>
      <c r="H2183" s="11" t="s">
        <v>10185</v>
      </c>
      <c r="I2183" s="11" t="s">
        <v>4600</v>
      </c>
      <c r="J2183" s="9" t="str">
        <f>IFERROR(__xludf.DUMMYFUNCTION("""COMPUTED_VALUE"""),"https://www.google.com/search?newwindow=1&amp;ei=2MT0XrvGGM-vytMP1OyDgAY&amp;q=site%3Alinkedin.com+Heather+Fusko+College+Recruiter+CGI")</f>
        <v>https://www.google.com/search?newwindow=1&amp;ei=2MT0XrvGGM-vytMP1OyDgAY&amp;q=site%3Alinkedin.com+Heather+Fusko+College+Recruiter+CGI</v>
      </c>
      <c r="K2183" s="5" t="str">
        <f t="shared" si="1"/>
        <v>Heather Fusko</v>
      </c>
      <c r="L2183" s="5" t="str">
        <f t="shared" si="2"/>
        <v>College Recruiter</v>
      </c>
      <c r="M2183" s="5" t="str">
        <f t="shared" si="3"/>
        <v> </v>
      </c>
      <c r="N2183" s="5" t="str">
        <f t="shared" si="4"/>
        <v>CGI</v>
      </c>
      <c r="O2183" s="5" t="str">
        <f t="shared" si="5"/>
        <v>2 years 2 months in role and company</v>
      </c>
      <c r="P2183" s="5" t="str">
        <f t="shared" si="6"/>
        <v>Pittsburgh</v>
      </c>
      <c r="Q2183" s="5" t="str">
        <f t="shared" si="7"/>
        <v>Pennsylvania</v>
      </c>
      <c r="R2183" s="5" t="str">
        <f t="shared" si="8"/>
        <v>United States</v>
      </c>
    </row>
    <row r="2184">
      <c r="A2184" s="8" t="s">
        <v>10180</v>
      </c>
      <c r="B2184" s="10" t="s">
        <v>10181</v>
      </c>
      <c r="C2184" s="10" t="s">
        <v>10182</v>
      </c>
      <c r="D2184" s="10"/>
      <c r="E2184" s="10" t="s">
        <v>10183</v>
      </c>
      <c r="F2184" s="10" t="s">
        <v>188</v>
      </c>
      <c r="G2184" s="11" t="s">
        <v>10184</v>
      </c>
      <c r="H2184" s="11" t="s">
        <v>10185</v>
      </c>
      <c r="I2184" s="11" t="s">
        <v>4600</v>
      </c>
      <c r="J2184" s="9" t="str">
        <f>IFERROR(__xludf.DUMMYFUNCTION("""COMPUTED_VALUE"""),"https://www.google.com/search?newwindow=1&amp;ei=2MT0XrvGGM-vytMP1OyDgAY&amp;q=site%3Alinkedin.com+Ashley+Beamish+Senior+College+Recruiter+CGI")</f>
        <v>https://www.google.com/search?newwindow=1&amp;ei=2MT0XrvGGM-vytMP1OyDgAY&amp;q=site%3Alinkedin.com+Ashley+Beamish+Senior+College+Recruiter+CGI</v>
      </c>
      <c r="K2184" s="5" t="str">
        <f t="shared" si="1"/>
        <v>Ashley Beamish</v>
      </c>
      <c r="L2184" s="5" t="str">
        <f t="shared" si="2"/>
        <v>Senior College Recruiter</v>
      </c>
      <c r="M2184" s="5" t="str">
        <f t="shared" si="3"/>
        <v> </v>
      </c>
      <c r="N2184" s="5" t="str">
        <f t="shared" si="4"/>
        <v>CGI</v>
      </c>
      <c r="O2184" s="5" t="str">
        <f t="shared" si="5"/>
        <v>1 year 4 months in role</v>
      </c>
      <c r="P2184" s="5" t="str">
        <f t="shared" si="6"/>
        <v>Washington</v>
      </c>
      <c r="Q2184" s="5" t="str">
        <f t="shared" si="7"/>
        <v>District of Columbia</v>
      </c>
      <c r="R2184" s="5" t="str">
        <f t="shared" si="8"/>
        <v>United States</v>
      </c>
    </row>
    <row r="2185">
      <c r="A2185" s="8" t="s">
        <v>10194</v>
      </c>
      <c r="B2185" s="12" t="s">
        <v>10195</v>
      </c>
      <c r="C2185" s="10" t="s">
        <v>10196</v>
      </c>
      <c r="D2185" s="10"/>
      <c r="E2185" s="10" t="s">
        <v>10197</v>
      </c>
      <c r="F2185" s="10" t="s">
        <v>10198</v>
      </c>
      <c r="G2185" s="11" t="s">
        <v>10184</v>
      </c>
      <c r="H2185" s="11" t="s">
        <v>10185</v>
      </c>
      <c r="I2185" s="11" t="s">
        <v>4600</v>
      </c>
      <c r="J2185" s="9" t="str">
        <f>IFERROR(__xludf.DUMMYFUNCTION("""COMPUTED_VALUE"""),"https://www.google.com/search?newwindow=1&amp;ei=2MT0XrvGGM-vytMP1OyDgAY&amp;q=site%3Alinkedin.com+Elizabeth+DiTroia+Campus+Recruiter+Chewy")</f>
        <v>https://www.google.com/search?newwindow=1&amp;ei=2MT0XrvGGM-vytMP1OyDgAY&amp;q=site%3Alinkedin.com+Elizabeth+DiTroia+Campus+Recruiter+Chewy</v>
      </c>
      <c r="K2185" s="5" t="str">
        <f t="shared" si="1"/>
        <v>Elizabeth DiTroia</v>
      </c>
      <c r="L2185" s="5" t="str">
        <f t="shared" si="2"/>
        <v>Campus Recruiter</v>
      </c>
      <c r="M2185" s="5" t="str">
        <f t="shared" si="3"/>
        <v> </v>
      </c>
      <c r="N2185" s="5" t="str">
        <f t="shared" si="4"/>
        <v>Chewy</v>
      </c>
      <c r="O2185" s="5" t="str">
        <f t="shared" si="5"/>
        <v>7 months in role and company</v>
      </c>
      <c r="P2185" s="5" t="str">
        <f t="shared" si="6"/>
        <v>Boston</v>
      </c>
      <c r="Q2185" s="5" t="str">
        <f t="shared" si="7"/>
        <v>Massachusetts</v>
      </c>
      <c r="R2185" s="5" t="str">
        <f t="shared" si="8"/>
        <v>United States</v>
      </c>
    </row>
    <row r="2186">
      <c r="A2186" s="8" t="s">
        <v>10199</v>
      </c>
      <c r="B2186" s="10" t="s">
        <v>10200</v>
      </c>
      <c r="C2186" s="10" t="s">
        <v>10201</v>
      </c>
      <c r="D2186" s="10"/>
      <c r="E2186" s="10" t="s">
        <v>10202</v>
      </c>
      <c r="F2186" s="10" t="s">
        <v>192</v>
      </c>
      <c r="G2186" s="11" t="s">
        <v>10184</v>
      </c>
      <c r="H2186" s="11" t="s">
        <v>10185</v>
      </c>
      <c r="I2186" s="11" t="s">
        <v>4600</v>
      </c>
      <c r="J2186" s="9" t="str">
        <f>IFERROR(__xludf.DUMMYFUNCTION("""COMPUTED_VALUE"""),"https://www.google.com/search?newwindow=1&amp;ei=2MT0XrvGGM-vytMP1OyDgAY&amp;q=site%3Alinkedin.com+Erin+Casey+Campus+Recruiter+Chewy")</f>
        <v>https://www.google.com/search?newwindow=1&amp;ei=2MT0XrvGGM-vytMP1OyDgAY&amp;q=site%3Alinkedin.com+Erin+Casey+Campus+Recruiter+Chewy</v>
      </c>
      <c r="K2186" s="5" t="str">
        <f t="shared" si="1"/>
        <v>Erin Casey</v>
      </c>
      <c r="L2186" s="5" t="str">
        <f t="shared" si="2"/>
        <v>Campus Recruiter</v>
      </c>
      <c r="M2186" s="5" t="str">
        <f t="shared" si="3"/>
        <v> </v>
      </c>
      <c r="N2186" s="5" t="str">
        <f t="shared" si="4"/>
        <v>Chewy</v>
      </c>
      <c r="O2186" s="5" t="str">
        <f t="shared" si="5"/>
        <v>1 year  in role and company</v>
      </c>
      <c r="P2186" s="5" t="str">
        <f t="shared" si="6"/>
        <v>Boston</v>
      </c>
      <c r="Q2186" s="5" t="str">
        <f t="shared" si="7"/>
        <v>Massachusetts</v>
      </c>
      <c r="R2186" s="5" t="str">
        <f t="shared" si="8"/>
        <v>United States</v>
      </c>
    </row>
    <row r="2187">
      <c r="A2187" s="8" t="s">
        <v>10203</v>
      </c>
      <c r="B2187" s="12" t="s">
        <v>10204</v>
      </c>
      <c r="C2187" s="10" t="s">
        <v>10205</v>
      </c>
      <c r="D2187" s="12"/>
      <c r="E2187" s="12" t="s">
        <v>10206</v>
      </c>
      <c r="F2187" s="10"/>
      <c r="G2187" s="11" t="s">
        <v>10184</v>
      </c>
      <c r="H2187" s="11" t="s">
        <v>10185</v>
      </c>
      <c r="I2187" s="11" t="s">
        <v>4600</v>
      </c>
      <c r="J2187" s="9" t="str">
        <f>IFERROR(__xludf.DUMMYFUNCTION("""COMPUTED_VALUE"""),"https://www.google.com/search?newwindow=1&amp;ei=2MT0XrvGGM-vytMP1OyDgAY&amp;q=site%3Alinkedin.com+Erika+Howe+Carter+Sr.+Campus+Recruiter+Chewy")</f>
        <v>https://www.google.com/search?newwindow=1&amp;ei=2MT0XrvGGM-vytMP1OyDgAY&amp;q=site%3Alinkedin.com+Erika+Howe+Carter+Sr.+Campus+Recruiter+Chewy</v>
      </c>
      <c r="K2187" s="5" t="str">
        <f t="shared" si="1"/>
        <v>Erika Howe Carter</v>
      </c>
      <c r="L2187" s="5" t="str">
        <f t="shared" si="2"/>
        <v>Sr. Campus Recruiter</v>
      </c>
      <c r="M2187" s="5" t="str">
        <f t="shared" si="3"/>
        <v> </v>
      </c>
      <c r="N2187" s="5" t="str">
        <f t="shared" si="4"/>
        <v>Chewy</v>
      </c>
      <c r="O2187" s="5" t="str">
        <f t="shared" si="5"/>
        <v>8 months in role</v>
      </c>
      <c r="P2187" s="5" t="str">
        <f t="shared" si="6"/>
        <v>Boston</v>
      </c>
      <c r="Q2187" s="5" t="str">
        <f t="shared" si="7"/>
        <v>Massachusetts</v>
      </c>
      <c r="R2187" s="5" t="str">
        <f t="shared" si="8"/>
        <v>United States</v>
      </c>
    </row>
    <row r="2188">
      <c r="A2188" s="8" t="s">
        <v>10186</v>
      </c>
      <c r="B2188" s="10" t="s">
        <v>10187</v>
      </c>
      <c r="C2188" s="10" t="s">
        <v>10188</v>
      </c>
      <c r="D2188" s="10"/>
      <c r="E2188" s="10" t="s">
        <v>10189</v>
      </c>
      <c r="F2188" s="10" t="s">
        <v>331</v>
      </c>
      <c r="G2188" s="11" t="s">
        <v>10184</v>
      </c>
      <c r="H2188" s="11" t="s">
        <v>10185</v>
      </c>
      <c r="I2188" s="11" t="s">
        <v>4600</v>
      </c>
      <c r="J2188" s="9" t="str">
        <f>IFERROR(__xludf.DUMMYFUNCTION("""COMPUTED_VALUE"""),"https://www.google.com/search?newwindow=1&amp;ei=2MT0XrvGGM-vytMP1OyDgAY&amp;q=site%3Alinkedin.com+Jennifer+C.+Campus+Recruiter+Chewy")</f>
        <v>https://www.google.com/search?newwindow=1&amp;ei=2MT0XrvGGM-vytMP1OyDgAY&amp;q=site%3Alinkedin.com+Jennifer+C.+Campus+Recruiter+Chewy</v>
      </c>
      <c r="K2188" s="5" t="str">
        <f t="shared" si="1"/>
        <v>Jennifer C.</v>
      </c>
      <c r="L2188" s="5" t="str">
        <f t="shared" si="2"/>
        <v>Campus Recruiter</v>
      </c>
      <c r="M2188" s="5" t="str">
        <f t="shared" si="3"/>
        <v> </v>
      </c>
      <c r="N2188" s="5" t="str">
        <f t="shared" si="4"/>
        <v>Chewy</v>
      </c>
      <c r="O2188" s="5" t="str">
        <f t="shared" si="5"/>
        <v>8 months in role and company</v>
      </c>
      <c r="P2188" s="5" t="str">
        <f t="shared" si="6"/>
        <v>Miami</v>
      </c>
      <c r="Q2188" s="5" t="str">
        <f t="shared" si="7"/>
        <v>Florida</v>
      </c>
      <c r="R2188" s="5" t="str">
        <f t="shared" si="8"/>
        <v>United States</v>
      </c>
    </row>
    <row r="2189">
      <c r="A2189" s="8" t="s">
        <v>10207</v>
      </c>
      <c r="B2189" s="10" t="s">
        <v>10208</v>
      </c>
      <c r="C2189" s="10" t="s">
        <v>10209</v>
      </c>
      <c r="D2189" s="10"/>
      <c r="E2189" s="10" t="s">
        <v>10206</v>
      </c>
      <c r="F2189" s="10" t="s">
        <v>1587</v>
      </c>
      <c r="G2189" s="11" t="s">
        <v>10184</v>
      </c>
      <c r="H2189" s="11" t="s">
        <v>10185</v>
      </c>
      <c r="I2189" s="11" t="s">
        <v>4600</v>
      </c>
      <c r="J2189" s="9" t="str">
        <f>IFERROR(__xludf.DUMMYFUNCTION("""COMPUTED_VALUE"""),"https://www.google.com/search?newwindow=1&amp;ei=2MT0XrvGGM-vytMP1OyDgAY&amp;q=site%3Alinkedin.com+Dante+Cunningham+Recruiting+Manager,+Campus+Recruiting+-+Diversity,+Equity,+&amp;+Inclusion+Chewy")</f>
        <v>https://www.google.com/search?newwindow=1&amp;ei=2MT0XrvGGM-vytMP1OyDgAY&amp;q=site%3Alinkedin.com+Dante+Cunningham+Recruiting+Manager,+Campus+Recruiting+-+Diversity,+Equity,+&amp;+Inclusion+Chewy</v>
      </c>
      <c r="K2189" s="5" t="str">
        <f t="shared" si="1"/>
        <v>Dante Cunningham</v>
      </c>
      <c r="L2189" s="5" t="str">
        <f t="shared" si="2"/>
        <v>Recruiting Manager, Campus Recruiting - Diversity, Equity, &amp; Inclusion</v>
      </c>
      <c r="M2189" s="5" t="str">
        <f t="shared" si="3"/>
        <v> </v>
      </c>
      <c r="N2189" s="5" t="str">
        <f t="shared" si="4"/>
        <v>Chewy</v>
      </c>
      <c r="O2189" s="5" t="str">
        <f t="shared" si="5"/>
        <v>2 months in role and company</v>
      </c>
      <c r="P2189" s="5" t="str">
        <f t="shared" si="6"/>
        <v>Saugus</v>
      </c>
      <c r="Q2189" s="5" t="str">
        <f t="shared" si="7"/>
        <v>Massachusetts</v>
      </c>
      <c r="R2189" s="5" t="str">
        <f t="shared" si="8"/>
        <v>United States</v>
      </c>
    </row>
    <row r="2190">
      <c r="A2190" s="8" t="s">
        <v>10210</v>
      </c>
      <c r="B2190" s="12" t="s">
        <v>10211</v>
      </c>
      <c r="C2190" s="10" t="s">
        <v>10212</v>
      </c>
      <c r="D2190" s="10"/>
      <c r="E2190" s="10" t="s">
        <v>10206</v>
      </c>
      <c r="F2190" s="10" t="s">
        <v>570</v>
      </c>
      <c r="G2190" s="11" t="s">
        <v>10184</v>
      </c>
      <c r="H2190" s="11" t="s">
        <v>10185</v>
      </c>
      <c r="I2190" s="11" t="s">
        <v>4600</v>
      </c>
      <c r="J2190" s="9" t="str">
        <f>IFERROR(__xludf.DUMMYFUNCTION("""COMPUTED_VALUE"""),"https://www.google.com/search?newwindow=1&amp;ei=2MT0XrvGGM-vytMP1OyDgAY&amp;q=site%3Alinkedin.com+Lauren+Araujo+University+Recruiter+Cisco")</f>
        <v>https://www.google.com/search?newwindow=1&amp;ei=2MT0XrvGGM-vytMP1OyDgAY&amp;q=site%3Alinkedin.com+Lauren+Araujo+University+Recruiter+Cisco</v>
      </c>
      <c r="K2190" s="5" t="str">
        <f t="shared" si="1"/>
        <v>Lauren Araujo</v>
      </c>
      <c r="L2190" s="5" t="str">
        <f t="shared" si="2"/>
        <v>University Recruiter</v>
      </c>
      <c r="M2190" s="5" t="str">
        <f t="shared" si="3"/>
        <v> </v>
      </c>
      <c r="N2190" s="5" t="str">
        <f t="shared" si="4"/>
        <v>Cisco</v>
      </c>
      <c r="O2190" s="5" t="str">
        <f t="shared" si="5"/>
        <v/>
      </c>
      <c r="P2190" s="5" t="str">
        <f t="shared" si="6"/>
        <v>Capitola</v>
      </c>
      <c r="Q2190" s="5" t="str">
        <f t="shared" si="7"/>
        <v>California</v>
      </c>
      <c r="R2190" s="5" t="str">
        <f t="shared" si="8"/>
        <v>United States</v>
      </c>
    </row>
    <row r="2191">
      <c r="A2191" s="8" t="s">
        <v>10213</v>
      </c>
      <c r="B2191" s="12" t="s">
        <v>10204</v>
      </c>
      <c r="C2191" s="10" t="s">
        <v>10214</v>
      </c>
      <c r="D2191" s="10"/>
      <c r="E2191" s="10" t="s">
        <v>10215</v>
      </c>
      <c r="F2191" s="10" t="s">
        <v>8559</v>
      </c>
      <c r="G2191" s="11" t="s">
        <v>10184</v>
      </c>
      <c r="H2191" s="11" t="s">
        <v>10185</v>
      </c>
      <c r="I2191" s="11" t="s">
        <v>4600</v>
      </c>
      <c r="J2191" s="9" t="str">
        <f>IFERROR(__xludf.DUMMYFUNCTION("""COMPUTED_VALUE"""),"https://www.google.com/search?newwindow=1&amp;ei=2MT0XrvGGM-vytMP1OyDgAY&amp;q=site%3Alinkedin.com+Brianna+(Bri)+Birkeness+University+Recruiter+-+Engineering+Cisco")</f>
        <v>https://www.google.com/search?newwindow=1&amp;ei=2MT0XrvGGM-vytMP1OyDgAY&amp;q=site%3Alinkedin.com+Brianna+(Bri)+Birkeness+University+Recruiter+-+Engineering+Cisco</v>
      </c>
      <c r="K2191" s="5" t="str">
        <f t="shared" si="1"/>
        <v>Brianna (Bri) Birkeness</v>
      </c>
      <c r="L2191" s="5" t="str">
        <f t="shared" si="2"/>
        <v>University Recruiter - Engineering</v>
      </c>
      <c r="M2191" s="5" t="str">
        <f t="shared" si="3"/>
        <v> </v>
      </c>
      <c r="N2191" s="5" t="str">
        <f t="shared" si="4"/>
        <v>Cisco</v>
      </c>
      <c r="O2191" s="5" t="str">
        <f t="shared" si="5"/>
        <v>1 year 6 months in role</v>
      </c>
      <c r="P2191" s="5" t="str">
        <f t="shared" si="6"/>
        <v>Denver</v>
      </c>
      <c r="Q2191" s="5" t="str">
        <f t="shared" si="7"/>
        <v>Colorado</v>
      </c>
      <c r="R2191" s="5" t="str">
        <f t="shared" si="8"/>
        <v>United States</v>
      </c>
    </row>
    <row r="2192">
      <c r="A2192" s="8" t="s">
        <v>10216</v>
      </c>
      <c r="B2192" s="10" t="s">
        <v>10217</v>
      </c>
      <c r="C2192" s="10" t="s">
        <v>10218</v>
      </c>
      <c r="D2192" s="12"/>
      <c r="E2192" s="12" t="s">
        <v>10219</v>
      </c>
      <c r="F2192" s="10"/>
      <c r="G2192" s="11" t="s">
        <v>10184</v>
      </c>
      <c r="H2192" s="11" t="s">
        <v>10185</v>
      </c>
      <c r="I2192" s="11" t="s">
        <v>4600</v>
      </c>
      <c r="J2192" s="9" t="str">
        <f>IFERROR(__xludf.DUMMYFUNCTION("""COMPUTED_VALUE"""),"https://www.google.com/search?newwindow=1&amp;ei=2MT0XrvGGM-vytMP1OyDgAY&amp;q=site%3Alinkedin.com+Michelle+O'Connell+University+Recruiter+Cisco")</f>
        <v>https://www.google.com/search?newwindow=1&amp;ei=2MT0XrvGGM-vytMP1OyDgAY&amp;q=site%3Alinkedin.com+Michelle+O'Connell+University+Recruiter+Cisco</v>
      </c>
      <c r="K2192" s="5" t="str">
        <f t="shared" si="1"/>
        <v>Michelle O'Connell</v>
      </c>
      <c r="L2192" s="5" t="str">
        <f t="shared" si="2"/>
        <v>University Recruiter</v>
      </c>
      <c r="M2192" s="5" t="str">
        <f t="shared" si="3"/>
        <v> </v>
      </c>
      <c r="N2192" s="5" t="str">
        <f t="shared" si="4"/>
        <v>Cisco</v>
      </c>
      <c r="O2192" s="5" t="str">
        <f t="shared" si="5"/>
        <v>2 years 3 months in role</v>
      </c>
      <c r="P2192" s="5" t="str">
        <f t="shared" si="6"/>
        <v>Raleigh</v>
      </c>
      <c r="Q2192" s="5" t="str">
        <f t="shared" si="7"/>
        <v>North Carolina</v>
      </c>
      <c r="R2192" s="5" t="str">
        <f t="shared" si="8"/>
        <v>United States</v>
      </c>
    </row>
    <row r="2193">
      <c r="A2193" s="8" t="s">
        <v>10220</v>
      </c>
      <c r="B2193" s="12" t="s">
        <v>10221</v>
      </c>
      <c r="C2193" s="10" t="s">
        <v>10222</v>
      </c>
      <c r="D2193" s="12"/>
      <c r="E2193" s="12" t="s">
        <v>10223</v>
      </c>
      <c r="F2193" s="10"/>
      <c r="G2193" s="11" t="s">
        <v>10184</v>
      </c>
      <c r="H2193" s="11" t="s">
        <v>10185</v>
      </c>
      <c r="I2193" s="11" t="s">
        <v>4600</v>
      </c>
      <c r="J2193" s="9" t="str">
        <f>IFERROR(__xludf.DUMMYFUNCTION("""COMPUTED_VALUE"""),"https://www.google.com/search?newwindow=1&amp;ei=2MT0XrvGGM-vytMP1OyDgAY&amp;q=site%3Alinkedin.com+Nathaniel+L.+University+Recruiter+Cisco")</f>
        <v>https://www.google.com/search?newwindow=1&amp;ei=2MT0XrvGGM-vytMP1OyDgAY&amp;q=site%3Alinkedin.com+Nathaniel+L.+University+Recruiter+Cisco</v>
      </c>
      <c r="K2193" s="5" t="str">
        <f t="shared" si="1"/>
        <v>Nathaniel L.</v>
      </c>
      <c r="L2193" s="5" t="str">
        <f t="shared" si="2"/>
        <v>University Recruiter</v>
      </c>
      <c r="M2193" s="5" t="str">
        <f t="shared" si="3"/>
        <v> </v>
      </c>
      <c r="N2193" s="5" t="str">
        <f t="shared" si="4"/>
        <v>Cisco</v>
      </c>
      <c r="O2193" s="5" t="str">
        <f t="shared" si="5"/>
        <v>4 months in role and company</v>
      </c>
      <c r="P2193" s="5" t="str">
        <f t="shared" si="6"/>
        <v>San Francisco</v>
      </c>
      <c r="Q2193" s="5" t="str">
        <f t="shared" si="7"/>
        <v>California</v>
      </c>
      <c r="R2193" s="5" t="str">
        <f t="shared" si="8"/>
        <v>United States</v>
      </c>
    </row>
    <row r="2194">
      <c r="A2194" s="8" t="s">
        <v>10224</v>
      </c>
      <c r="B2194" s="10" t="s">
        <v>10225</v>
      </c>
      <c r="C2194" s="10" t="s">
        <v>10226</v>
      </c>
      <c r="D2194" s="10"/>
      <c r="E2194" s="10" t="s">
        <v>8945</v>
      </c>
      <c r="F2194" s="10" t="s">
        <v>496</v>
      </c>
      <c r="G2194" s="11" t="s">
        <v>10227</v>
      </c>
      <c r="H2194" s="11" t="s">
        <v>5566</v>
      </c>
      <c r="I2194" s="11" t="s">
        <v>4619</v>
      </c>
      <c r="J2194" s="9" t="str">
        <f>IFERROR(__xludf.DUMMYFUNCTION("""COMPUTED_VALUE"""),"https://www.google.com/search?newwindow=1&amp;ei=2MT0XrvGGM-vytMP1OyDgAY&amp;q=site%3Alinkedin.com+Stephanie+Phillips+University+Recruiter+Cisco")</f>
        <v>https://www.google.com/search?newwindow=1&amp;ei=2MT0XrvGGM-vytMP1OyDgAY&amp;q=site%3Alinkedin.com+Stephanie+Phillips+University+Recruiter+Cisco</v>
      </c>
      <c r="K2194" s="5" t="str">
        <f t="shared" si="1"/>
        <v>Stephanie Phillips</v>
      </c>
      <c r="L2194" s="5" t="str">
        <f t="shared" si="2"/>
        <v>University Recruiter</v>
      </c>
      <c r="M2194" s="5" t="str">
        <f t="shared" si="3"/>
        <v> </v>
      </c>
      <c r="N2194" s="5" t="str">
        <f t="shared" si="4"/>
        <v>Cisco</v>
      </c>
      <c r="O2194" s="5" t="str">
        <f t="shared" si="5"/>
        <v>3 years 10 months in role and company</v>
      </c>
      <c r="P2194" s="5" t="str">
        <f t="shared" si="6"/>
        <v>Santa Rosa Beach</v>
      </c>
      <c r="Q2194" s="5" t="str">
        <f t="shared" si="7"/>
        <v>Florida</v>
      </c>
      <c r="R2194" s="5" t="str">
        <f t="shared" si="8"/>
        <v>United States</v>
      </c>
    </row>
    <row r="2195">
      <c r="A2195" s="8" t="s">
        <v>10228</v>
      </c>
      <c r="B2195" s="10" t="s">
        <v>10229</v>
      </c>
      <c r="C2195" s="10" t="s">
        <v>10230</v>
      </c>
      <c r="D2195" s="10"/>
      <c r="E2195" s="10" t="s">
        <v>8945</v>
      </c>
      <c r="F2195" s="10" t="s">
        <v>441</v>
      </c>
      <c r="G2195" s="11" t="s">
        <v>10227</v>
      </c>
      <c r="H2195" s="11" t="s">
        <v>5566</v>
      </c>
      <c r="I2195" s="11" t="s">
        <v>4619</v>
      </c>
      <c r="J2195" s="9" t="str">
        <f>IFERROR(__xludf.DUMMYFUNCTION("""COMPUTED_VALUE"""),"https://www.google.com/search?newwindow=1&amp;ei=2MT0XrvGGM-vytMP1OyDgAY&amp;q=site%3Alinkedin.com+Dawn+McLaughlin+University+Recruiting+Lead,+Engineering+Cisco")</f>
        <v>https://www.google.com/search?newwindow=1&amp;ei=2MT0XrvGGM-vytMP1OyDgAY&amp;q=site%3Alinkedin.com+Dawn+McLaughlin+University+Recruiting+Lead,+Engineering+Cisco</v>
      </c>
      <c r="K2195" s="5" t="str">
        <f t="shared" si="1"/>
        <v>Dawn McLaughlin</v>
      </c>
      <c r="L2195" s="5" t="str">
        <f t="shared" si="2"/>
        <v>University Recruiting Lead, Engineering</v>
      </c>
      <c r="M2195" s="5" t="str">
        <f t="shared" si="3"/>
        <v> </v>
      </c>
      <c r="N2195" s="5" t="str">
        <f t="shared" si="4"/>
        <v>Cisco</v>
      </c>
      <c r="O2195" s="5" t="str">
        <f t="shared" si="5"/>
        <v>1 year 4 months in role</v>
      </c>
      <c r="P2195" s="5" t="str">
        <f t="shared" si="6"/>
        <v>St Louis</v>
      </c>
      <c r="Q2195" s="5" t="str">
        <f t="shared" si="7"/>
        <v>Missouri</v>
      </c>
      <c r="R2195" s="5" t="str">
        <f t="shared" si="8"/>
        <v>United States</v>
      </c>
    </row>
    <row r="2196">
      <c r="A2196" s="8" t="s">
        <v>10231</v>
      </c>
      <c r="B2196" s="10" t="s">
        <v>10232</v>
      </c>
      <c r="C2196" s="10" t="s">
        <v>10233</v>
      </c>
      <c r="D2196" s="10"/>
      <c r="E2196" s="10" t="s">
        <v>10234</v>
      </c>
      <c r="F2196" s="10" t="s">
        <v>574</v>
      </c>
      <c r="G2196" s="11" t="s">
        <v>10227</v>
      </c>
      <c r="H2196" s="11" t="s">
        <v>5566</v>
      </c>
      <c r="I2196" s="11" t="s">
        <v>4619</v>
      </c>
      <c r="J2196" s="9" t="str">
        <f>IFERROR(__xludf.DUMMYFUNCTION("""COMPUTED_VALUE"""),"https://www.google.com/search?newwindow=1&amp;ei=2MT0XrvGGM-vytMP1OyDgAY&amp;q=site%3Alinkedin.com+Dawn+McLaughlin+Senior+Technical+Recruiter+Cisco")</f>
        <v>https://www.google.com/search?newwindow=1&amp;ei=2MT0XrvGGM-vytMP1OyDgAY&amp;q=site%3Alinkedin.com+Dawn+McLaughlin+Senior+Technical+Recruiter+Cisco</v>
      </c>
      <c r="K2196" s="5" t="str">
        <f t="shared" si="1"/>
        <v>Dawn McLaughlin</v>
      </c>
      <c r="L2196" s="5" t="str">
        <f t="shared" si="2"/>
        <v>Senior Technical Recruiter</v>
      </c>
      <c r="M2196" s="5" t="str">
        <f t="shared" si="3"/>
        <v> </v>
      </c>
      <c r="N2196" s="5" t="str">
        <f t="shared" si="4"/>
        <v>Cisco</v>
      </c>
      <c r="O2196" s="5" t="str">
        <f t="shared" si="5"/>
        <v>5 years 4 months in role</v>
      </c>
      <c r="P2196" s="5" t="str">
        <f t="shared" si="6"/>
        <v>St Louis</v>
      </c>
      <c r="Q2196" s="5" t="str">
        <f t="shared" si="7"/>
        <v>Missouri</v>
      </c>
      <c r="R2196" s="5" t="str">
        <f t="shared" si="8"/>
        <v>United States</v>
      </c>
    </row>
    <row r="2197">
      <c r="A2197" s="8" t="s">
        <v>10235</v>
      </c>
      <c r="B2197" s="10" t="s">
        <v>10236</v>
      </c>
      <c r="C2197" s="10" t="s">
        <v>10237</v>
      </c>
      <c r="D2197" s="10"/>
      <c r="E2197" s="10" t="s">
        <v>8945</v>
      </c>
      <c r="F2197" s="10" t="s">
        <v>441</v>
      </c>
      <c r="G2197" s="11" t="s">
        <v>10227</v>
      </c>
      <c r="H2197" s="11" t="s">
        <v>5566</v>
      </c>
      <c r="I2197" s="11" t="s">
        <v>4619</v>
      </c>
      <c r="J2197" s="9" t="str">
        <f>IFERROR(__xludf.DUMMYFUNCTION("""COMPUTED_VALUE"""),"https://www.google.com/search?newwindow=1&amp;ei=2MT0XrvGGM-vytMP1OyDgAY&amp;q=site%3Alinkedin.com+Kayla+Stueland-Imo+Technical+University+Recruiter+Cisco+Meraki")</f>
        <v>https://www.google.com/search?newwindow=1&amp;ei=2MT0XrvGGM-vytMP1OyDgAY&amp;q=site%3Alinkedin.com+Kayla+Stueland-Imo+Technical+University+Recruiter+Cisco+Meraki</v>
      </c>
      <c r="K2197" s="5" t="str">
        <f t="shared" si="1"/>
        <v>Kayla Stueland-Imo</v>
      </c>
      <c r="L2197" s="5" t="str">
        <f t="shared" si="2"/>
        <v>Technical University Recruiter</v>
      </c>
      <c r="M2197" s="5" t="str">
        <f t="shared" si="3"/>
        <v> </v>
      </c>
      <c r="N2197" s="5" t="str">
        <f t="shared" si="4"/>
        <v>Cisco</v>
      </c>
      <c r="O2197" s="5" t="str">
        <f t="shared" si="5"/>
        <v>5 months in role and company</v>
      </c>
      <c r="P2197" s="5" t="str">
        <f t="shared" si="6"/>
        <v>Chicago</v>
      </c>
      <c r="Q2197" s="5" t="str">
        <f t="shared" si="7"/>
        <v>Illinois</v>
      </c>
      <c r="R2197" s="5" t="str">
        <f t="shared" si="8"/>
        <v>United States</v>
      </c>
    </row>
    <row r="2198">
      <c r="A2198" s="8" t="s">
        <v>10238</v>
      </c>
      <c r="B2198" s="12" t="s">
        <v>10239</v>
      </c>
      <c r="C2198" s="10" t="s">
        <v>10240</v>
      </c>
      <c r="D2198" s="10"/>
      <c r="E2198" s="10" t="s">
        <v>10241</v>
      </c>
      <c r="F2198" s="10" t="s">
        <v>207</v>
      </c>
      <c r="G2198" s="11" t="s">
        <v>10227</v>
      </c>
      <c r="H2198" s="11" t="s">
        <v>5566</v>
      </c>
      <c r="I2198" s="11" t="s">
        <v>4619</v>
      </c>
      <c r="J2198" s="9" t="str">
        <f>IFERROR(__xludf.DUMMYFUNCTION("""COMPUTED_VALUE"""),"https://www.google.com/search?newwindow=1&amp;ei=2MT0XrvGGM-vytMP1OyDgAY&amp;q=site%3Alinkedin.com+Erica+Cox+College+Recruiter+Cisco+Systems")</f>
        <v>https://www.google.com/search?newwindow=1&amp;ei=2MT0XrvGGM-vytMP1OyDgAY&amp;q=site%3Alinkedin.com+Erica+Cox+College+Recruiter+Cisco+Systems</v>
      </c>
      <c r="K2198" s="5" t="str">
        <f t="shared" si="1"/>
        <v>Erica Cox</v>
      </c>
      <c r="L2198" s="5" t="str">
        <f t="shared" si="2"/>
        <v>College Recruiter</v>
      </c>
      <c r="M2198" s="5" t="str">
        <f t="shared" si="3"/>
        <v> </v>
      </c>
      <c r="N2198" s="5" t="str">
        <f t="shared" si="4"/>
        <v>Cisco</v>
      </c>
      <c r="O2198" s="5" t="str">
        <f t="shared" si="5"/>
        <v/>
      </c>
      <c r="P2198" s="5" t="str">
        <f t="shared" si="6"/>
        <v>Raleigh</v>
      </c>
      <c r="Q2198" s="5" t="str">
        <f t="shared" si="7"/>
        <v>North Carolina</v>
      </c>
      <c r="R2198" s="5" t="str">
        <f t="shared" si="8"/>
        <v>United States</v>
      </c>
    </row>
    <row r="2199">
      <c r="A2199" s="8" t="s">
        <v>10242</v>
      </c>
      <c r="B2199" s="12" t="s">
        <v>10243</v>
      </c>
      <c r="C2199" s="10" t="s">
        <v>10244</v>
      </c>
      <c r="D2199" s="10"/>
      <c r="E2199" s="10" t="s">
        <v>10245</v>
      </c>
      <c r="F2199" s="10" t="s">
        <v>257</v>
      </c>
      <c r="G2199" s="11" t="s">
        <v>10246</v>
      </c>
      <c r="H2199" s="11" t="s">
        <v>4757</v>
      </c>
      <c r="I2199" s="11" t="s">
        <v>4607</v>
      </c>
      <c r="J2199" s="9" t="str">
        <f>IFERROR(__xludf.DUMMYFUNCTION("""COMPUTED_VALUE"""),"https://www.google.com/search?newwindow=1&amp;ei=2MT0XrvGGM-vytMP1OyDgAY&amp;q=site%3Alinkedin.com+Dawn+Harvey+Cisco+Systems++Recruiter-University+Recruiting+Cisco+Systems")</f>
        <v>https://www.google.com/search?newwindow=1&amp;ei=2MT0XrvGGM-vytMP1OyDgAY&amp;q=site%3Alinkedin.com+Dawn+Harvey+Cisco+Systems++Recruiter-University+Recruiting+Cisco+Systems</v>
      </c>
      <c r="K2199" s="5" t="str">
        <f t="shared" si="1"/>
        <v>Dawn Harvey</v>
      </c>
      <c r="L2199" s="5" t="str">
        <f t="shared" si="2"/>
        <v>Cisco Systems  Recruiter-University Recruiting</v>
      </c>
      <c r="M2199" s="5" t="str">
        <f t="shared" si="3"/>
        <v> </v>
      </c>
      <c r="N2199" s="5" t="str">
        <f t="shared" si="4"/>
        <v>Cisco</v>
      </c>
      <c r="O2199" s="5" t="str">
        <f t="shared" si="5"/>
        <v>9 years 1 month in role and company</v>
      </c>
      <c r="P2199" s="5" t="str">
        <f t="shared" si="6"/>
        <v>San Antonio</v>
      </c>
      <c r="Q2199" s="5" t="str">
        <f t="shared" si="7"/>
        <v>Texas</v>
      </c>
      <c r="R2199" s="5" t="str">
        <f t="shared" si="8"/>
        <v>United States</v>
      </c>
    </row>
    <row r="2200">
      <c r="A2200" s="8" t="s">
        <v>10247</v>
      </c>
      <c r="B2200" s="12" t="s">
        <v>10248</v>
      </c>
      <c r="C2200" s="10" t="s">
        <v>4668</v>
      </c>
      <c r="D2200" s="10"/>
      <c r="E2200" s="10" t="s">
        <v>10249</v>
      </c>
      <c r="F2200" s="10" t="s">
        <v>10250</v>
      </c>
      <c r="G2200" s="11" t="s">
        <v>10251</v>
      </c>
      <c r="H2200" s="11" t="s">
        <v>4665</v>
      </c>
      <c r="I2200" s="11" t="s">
        <v>4600</v>
      </c>
      <c r="J2200" s="9" t="str">
        <f>IFERROR(__xludf.DUMMYFUNCTION("""COMPUTED_VALUE"""),"https://www.google.com/search?newwindow=1&amp;ei=2MT0XrvGGM-vytMP1OyDgAY&amp;q=site%3Alinkedin.com+Jill+Decker+University+Recruiter+Cisco+Systems,+Inc.")</f>
        <v>https://www.google.com/search?newwindow=1&amp;ei=2MT0XrvGGM-vytMP1OyDgAY&amp;q=site%3Alinkedin.com+Jill+Decker+University+Recruiter+Cisco+Systems,+Inc.</v>
      </c>
      <c r="K2200" s="5" t="str">
        <f t="shared" si="1"/>
        <v>Jill Decker</v>
      </c>
      <c r="L2200" s="5" t="str">
        <f t="shared" si="2"/>
        <v>University Recruiter</v>
      </c>
      <c r="M2200" s="5" t="str">
        <f t="shared" si="3"/>
        <v> </v>
      </c>
      <c r="N2200" s="5" t="str">
        <f t="shared" si="4"/>
        <v>Cisco</v>
      </c>
      <c r="O2200" s="5" t="str">
        <f t="shared" si="5"/>
        <v/>
      </c>
      <c r="P2200" s="5" t="str">
        <f t="shared" si="6"/>
        <v>San Jose</v>
      </c>
      <c r="Q2200" s="5" t="str">
        <f t="shared" si="7"/>
        <v>California</v>
      </c>
      <c r="R2200" s="5" t="str">
        <f t="shared" si="8"/>
        <v>United States</v>
      </c>
    </row>
    <row r="2201">
      <c r="A2201" s="8" t="s">
        <v>10252</v>
      </c>
      <c r="B2201" s="12" t="s">
        <v>10253</v>
      </c>
      <c r="C2201" s="10" t="s">
        <v>10254</v>
      </c>
      <c r="D2201" s="10"/>
      <c r="E2201" s="10" t="s">
        <v>10255</v>
      </c>
      <c r="F2201" s="10" t="s">
        <v>4033</v>
      </c>
      <c r="G2201" s="11" t="s">
        <v>10256</v>
      </c>
      <c r="H2201" s="11" t="s">
        <v>4757</v>
      </c>
      <c r="I2201" s="11" t="s">
        <v>4607</v>
      </c>
      <c r="J2201" s="9" t="str">
        <f>IFERROR(__xludf.DUMMYFUNCTION("""COMPUTED_VALUE"""),"https://www.google.com/search?newwindow=1&amp;ei=2MT0XrvGGM-vytMP1OyDgAY&amp;q=site%3Alinkedin.com+Dawn+Johnson+College+Recruiter+Cisco+Systems,+Inc.")</f>
        <v>https://www.google.com/search?newwindow=1&amp;ei=2MT0XrvGGM-vytMP1OyDgAY&amp;q=site%3Alinkedin.com+Dawn+Johnson+College+Recruiter+Cisco+Systems,+Inc.</v>
      </c>
      <c r="K2201" s="5" t="str">
        <f t="shared" si="1"/>
        <v>Dawn Johnson</v>
      </c>
      <c r="L2201" s="5" t="str">
        <f t="shared" si="2"/>
        <v>College Recruiter</v>
      </c>
      <c r="M2201" s="5" t="str">
        <f t="shared" si="3"/>
        <v> </v>
      </c>
      <c r="N2201" s="5" t="str">
        <f t="shared" si="4"/>
        <v>Cisco</v>
      </c>
      <c r="O2201" s="5" t="str">
        <f t="shared" si="5"/>
        <v/>
      </c>
      <c r="P2201" s="5" t="str">
        <f t="shared" si="6"/>
        <v>Wake Forest</v>
      </c>
      <c r="Q2201" s="5" t="str">
        <f t="shared" si="7"/>
        <v>North Carolina</v>
      </c>
      <c r="R2201" s="5" t="str">
        <f t="shared" si="8"/>
        <v>United States</v>
      </c>
    </row>
    <row r="2202">
      <c r="A2202" s="8" t="s">
        <v>10257</v>
      </c>
      <c r="B2202" s="12" t="s">
        <v>10258</v>
      </c>
      <c r="C2202" s="10" t="s">
        <v>10259</v>
      </c>
      <c r="D2202" s="10"/>
      <c r="E2202" s="10" t="s">
        <v>10260</v>
      </c>
      <c r="F2202" s="10" t="s">
        <v>4105</v>
      </c>
      <c r="G2202" s="11" t="s">
        <v>10256</v>
      </c>
      <c r="H2202" s="11" t="s">
        <v>4757</v>
      </c>
      <c r="I2202" s="11" t="s">
        <v>4607</v>
      </c>
      <c r="J2202" s="9" t="str">
        <f>IFERROR(__xludf.DUMMYFUNCTION("""COMPUTED_VALUE"""),"https://www.google.com/search?newwindow=1&amp;ei=2MT0XrvGGM-vytMP1OyDgAY&amp;q=site%3Alinkedin.com+Andrew+L.+Saenz+Campus+Recruiter+Citadel")</f>
        <v>https://www.google.com/search?newwindow=1&amp;ei=2MT0XrvGGM-vytMP1OyDgAY&amp;q=site%3Alinkedin.com+Andrew+L.+Saenz+Campus+Recruiter+Citadel</v>
      </c>
      <c r="K2202" s="5" t="str">
        <f t="shared" si="1"/>
        <v>Andrew L. Saenz</v>
      </c>
      <c r="L2202" s="5" t="str">
        <f t="shared" si="2"/>
        <v>Campus Recruiter</v>
      </c>
      <c r="M2202" s="5" t="str">
        <f t="shared" si="3"/>
        <v> </v>
      </c>
      <c r="N2202" s="5" t="str">
        <f t="shared" si="4"/>
        <v>Citadel</v>
      </c>
      <c r="O2202" s="5" t="str">
        <f t="shared" si="5"/>
        <v>10 months in role</v>
      </c>
      <c r="P2202" s="5" t="str">
        <f t="shared" si="6"/>
        <v>Chicago</v>
      </c>
      <c r="Q2202" s="5" t="str">
        <f t="shared" si="7"/>
        <v>Illinois</v>
      </c>
      <c r="R2202" s="5" t="str">
        <f t="shared" si="8"/>
        <v>United States</v>
      </c>
    </row>
    <row r="2203">
      <c r="A2203" s="7" t="s">
        <v>19</v>
      </c>
      <c r="B2203" s="5" t="s">
        <v>11</v>
      </c>
      <c r="C2203" s="5" t="s">
        <v>12</v>
      </c>
      <c r="D2203" s="6" t="s">
        <v>13</v>
      </c>
      <c r="E2203" s="5" t="s">
        <v>14</v>
      </c>
      <c r="F2203" s="5" t="s">
        <v>15</v>
      </c>
      <c r="G2203" s="5" t="s">
        <v>16</v>
      </c>
      <c r="H2203" s="5" t="s">
        <v>17</v>
      </c>
      <c r="I2203" s="5" t="s">
        <v>18</v>
      </c>
      <c r="J2203" s="9" t="str">
        <f>IFERROR(__xludf.DUMMYFUNCTION("""COMPUTED_VALUE"""),"https://www.google.com/search?newwindow=1&amp;ei=2MT0XrvGGM-vytMP1OyDgAY&amp;q=site%3Alinkedin.com+Allie+McMahon+Campus+Recruiting+Manager+Citadel")</f>
        <v>https://www.google.com/search?newwindow=1&amp;ei=2MT0XrvGGM-vytMP1OyDgAY&amp;q=site%3Alinkedin.com+Allie+McMahon+Campus+Recruiting+Manager+Citadel</v>
      </c>
      <c r="K2203" s="5" t="str">
        <f t="shared" si="1"/>
        <v>Allie McMahon</v>
      </c>
      <c r="L2203" s="5" t="str">
        <f t="shared" si="2"/>
        <v>Campus Recruiting Manager</v>
      </c>
      <c r="M2203" s="5" t="str">
        <f t="shared" si="3"/>
        <v> </v>
      </c>
      <c r="N2203" s="5" t="str">
        <f t="shared" si="4"/>
        <v>Citadel</v>
      </c>
      <c r="O2203" s="5" t="str">
        <f t="shared" si="5"/>
        <v>2 years 3 months in role and company</v>
      </c>
      <c r="P2203" s="5" t="str">
        <f t="shared" si="6"/>
        <v>Chicago</v>
      </c>
      <c r="Q2203" s="5" t="str">
        <f t="shared" si="7"/>
        <v>Illinois</v>
      </c>
      <c r="R2203" s="5" t="str">
        <f t="shared" si="8"/>
        <v>United States</v>
      </c>
    </row>
    <row r="2204">
      <c r="A2204" s="7" t="s">
        <v>23</v>
      </c>
      <c r="B2204" s="5" t="s">
        <v>20</v>
      </c>
      <c r="C2204" s="5" t="s">
        <v>21</v>
      </c>
      <c r="D2204" s="5" t="s">
        <v>4</v>
      </c>
      <c r="E2204" s="5" t="s">
        <v>14</v>
      </c>
      <c r="F2204" s="5" t="s">
        <v>22</v>
      </c>
      <c r="G2204" s="5" t="s">
        <v>16</v>
      </c>
      <c r="H2204" s="5" t="s">
        <v>17</v>
      </c>
      <c r="I2204" s="5" t="s">
        <v>18</v>
      </c>
      <c r="J2204" s="9" t="str">
        <f>IFERROR(__xludf.DUMMYFUNCTION("""COMPUTED_VALUE"""),"https://www.google.com/search?newwindow=1&amp;ei=2MT0XrvGGM-vytMP1OyDgAY&amp;q=site%3Alinkedin.com+Grace+Martin+Campus+Recruiter+-+Quantitative+Research+Citadel")</f>
        <v>https://www.google.com/search?newwindow=1&amp;ei=2MT0XrvGGM-vytMP1OyDgAY&amp;q=site%3Alinkedin.com+Grace+Martin+Campus+Recruiter+-+Quantitative+Research+Citadel</v>
      </c>
      <c r="K2204" s="5" t="str">
        <f t="shared" si="1"/>
        <v>Grace Martin</v>
      </c>
      <c r="L2204" s="5" t="str">
        <f t="shared" si="2"/>
        <v>Campus Recruiter - Quantitative Research</v>
      </c>
      <c r="M2204" s="5" t="str">
        <f t="shared" si="3"/>
        <v> </v>
      </c>
      <c r="N2204" s="5" t="str">
        <f t="shared" si="4"/>
        <v>Citadel</v>
      </c>
      <c r="O2204" s="5" t="str">
        <f t="shared" si="5"/>
        <v>1 year 8 months in role</v>
      </c>
      <c r="P2204" s="5" t="str">
        <f t="shared" si="6"/>
        <v>Chicago</v>
      </c>
      <c r="Q2204" s="5" t="str">
        <f t="shared" si="7"/>
        <v>Illinois</v>
      </c>
      <c r="R2204" s="5" t="str">
        <f t="shared" si="8"/>
        <v>United States</v>
      </c>
    </row>
    <row r="2205">
      <c r="A2205" s="8" t="s">
        <v>27</v>
      </c>
      <c r="B2205" s="9" t="s">
        <v>24</v>
      </c>
      <c r="C2205" s="5" t="s">
        <v>25</v>
      </c>
      <c r="D2205" s="6" t="s">
        <v>13</v>
      </c>
      <c r="E2205" s="5" t="s">
        <v>14</v>
      </c>
      <c r="F2205" s="5" t="s">
        <v>26</v>
      </c>
      <c r="G2205" s="5" t="s">
        <v>16</v>
      </c>
      <c r="H2205" s="5" t="s">
        <v>17</v>
      </c>
      <c r="I2205" s="5" t="s">
        <v>18</v>
      </c>
      <c r="J2205" s="9" t="str">
        <f>IFERROR(__xludf.DUMMYFUNCTION("""COMPUTED_VALUE"""),"https://www.google.com/search?newwindow=1&amp;ei=2MT0XrvGGM-vytMP1OyDgAY&amp;q=site%3Alinkedin.com+Erin+Bergano+Manager,+Trading+Campus+Recruiting+Citadel")</f>
        <v>https://www.google.com/search?newwindow=1&amp;ei=2MT0XrvGGM-vytMP1OyDgAY&amp;q=site%3Alinkedin.com+Erin+Bergano+Manager,+Trading+Campus+Recruiting+Citadel</v>
      </c>
      <c r="K2205" s="5" t="str">
        <f t="shared" si="1"/>
        <v>Erin Bergano</v>
      </c>
      <c r="L2205" s="5" t="str">
        <f t="shared" si="2"/>
        <v>Manager, Trading Campus Recruiting</v>
      </c>
      <c r="M2205" s="5" t="str">
        <f t="shared" si="3"/>
        <v> </v>
      </c>
      <c r="N2205" s="5" t="str">
        <f t="shared" si="4"/>
        <v>Citadel</v>
      </c>
      <c r="O2205" s="5" t="str">
        <f t="shared" si="5"/>
        <v>1 year 3 months in role and company</v>
      </c>
      <c r="P2205" s="5" t="str">
        <f t="shared" si="6"/>
        <v>New York</v>
      </c>
      <c r="Q2205" s="5" t="str">
        <f t="shared" si="7"/>
        <v>New York</v>
      </c>
      <c r="R2205" s="5" t="str">
        <f t="shared" si="8"/>
        <v>United States</v>
      </c>
    </row>
    <row r="2206">
      <c r="A2206" s="7" t="s">
        <v>30</v>
      </c>
      <c r="B2206" s="5" t="s">
        <v>28</v>
      </c>
      <c r="C2206" s="5" t="s">
        <v>25</v>
      </c>
      <c r="D2206" s="6" t="s">
        <v>13</v>
      </c>
      <c r="E2206" s="5" t="s">
        <v>14</v>
      </c>
      <c r="F2206" s="5" t="s">
        <v>29</v>
      </c>
      <c r="G2206" s="5" t="s">
        <v>16</v>
      </c>
      <c r="H2206" s="5" t="s">
        <v>17</v>
      </c>
      <c r="I2206" s="5" t="s">
        <v>18</v>
      </c>
      <c r="J2206" s="9" t="str">
        <f>IFERROR(__xludf.DUMMYFUNCTION("""COMPUTED_VALUE"""),"https://www.google.com/search?newwindow=1&amp;ei=2MT0XrvGGM-vytMP1OyDgAY&amp;q=site%3Alinkedin.com+Cody+Patrina+Campus+Recruiter+Citadel")</f>
        <v>https://www.google.com/search?newwindow=1&amp;ei=2MT0XrvGGM-vytMP1OyDgAY&amp;q=site%3Alinkedin.com+Cody+Patrina+Campus+Recruiter+Citadel</v>
      </c>
      <c r="K2206" s="5" t="str">
        <f t="shared" si="1"/>
        <v>Cody Patrina</v>
      </c>
      <c r="L2206" s="5" t="str">
        <f t="shared" si="2"/>
        <v>Campus Recruiter</v>
      </c>
      <c r="M2206" s="5" t="str">
        <f t="shared" si="3"/>
        <v> </v>
      </c>
      <c r="N2206" s="5" t="str">
        <f t="shared" si="4"/>
        <v>Citadel</v>
      </c>
      <c r="O2206" s="5" t="str">
        <f t="shared" si="5"/>
        <v>1 year 5 months in role and company</v>
      </c>
      <c r="P2206" s="5" t="str">
        <f t="shared" si="6"/>
        <v>New York</v>
      </c>
      <c r="Q2206" s="5" t="str">
        <f t="shared" si="7"/>
        <v>New York</v>
      </c>
      <c r="R2206" s="5" t="str">
        <f t="shared" si="8"/>
        <v>United States</v>
      </c>
    </row>
    <row r="2207">
      <c r="A2207" s="7" t="s">
        <v>19</v>
      </c>
      <c r="B2207" s="5" t="s">
        <v>11</v>
      </c>
      <c r="C2207" s="5" t="s">
        <v>12</v>
      </c>
      <c r="D2207" s="6" t="s">
        <v>13</v>
      </c>
      <c r="E2207" s="5" t="s">
        <v>14</v>
      </c>
      <c r="F2207" s="5" t="s">
        <v>15</v>
      </c>
      <c r="G2207" s="5" t="s">
        <v>16</v>
      </c>
      <c r="H2207" s="5" t="s">
        <v>17</v>
      </c>
      <c r="I2207" s="5" t="s">
        <v>18</v>
      </c>
      <c r="J2207" s="9" t="str">
        <f>IFERROR(__xludf.DUMMYFUNCTION("""COMPUTED_VALUE"""),"https://www.google.com/search?newwindow=1&amp;ei=2MT0XrvGGM-vytMP1OyDgAY&amp;q=site%3Alinkedin.com+Avianna+Goldman+Campus+Recruiter+Citadel")</f>
        <v>https://www.google.com/search?newwindow=1&amp;ei=2MT0XrvGGM-vytMP1OyDgAY&amp;q=site%3Alinkedin.com+Avianna+Goldman+Campus+Recruiter+Citadel</v>
      </c>
      <c r="K2207" s="5" t="str">
        <f t="shared" si="1"/>
        <v>Avianna Goldman</v>
      </c>
      <c r="L2207" s="5" t="str">
        <f t="shared" si="2"/>
        <v>Campus Recruiter</v>
      </c>
      <c r="M2207" s="5" t="str">
        <f t="shared" si="3"/>
        <v> </v>
      </c>
      <c r="N2207" s="5" t="str">
        <f t="shared" si="4"/>
        <v>Citadel</v>
      </c>
      <c r="O2207" s="5" t="str">
        <f t="shared" si="5"/>
        <v>10 months in role and company</v>
      </c>
      <c r="P2207" s="5" t="str">
        <f t="shared" si="6"/>
        <v>New York</v>
      </c>
      <c r="Q2207" s="5" t="str">
        <f t="shared" si="7"/>
        <v>New York</v>
      </c>
      <c r="R2207" s="5" t="str">
        <f t="shared" si="8"/>
        <v>United States</v>
      </c>
    </row>
    <row r="2208">
      <c r="A2208" s="7" t="s">
        <v>34</v>
      </c>
      <c r="B2208" s="5" t="s">
        <v>31</v>
      </c>
      <c r="C2208" s="5" t="s">
        <v>32</v>
      </c>
      <c r="D2208" s="6" t="s">
        <v>13</v>
      </c>
      <c r="E2208" s="5" t="s">
        <v>14</v>
      </c>
      <c r="F2208" s="5" t="s">
        <v>33</v>
      </c>
      <c r="G2208" s="5" t="s">
        <v>16</v>
      </c>
      <c r="H2208" s="5" t="s">
        <v>17</v>
      </c>
      <c r="I2208" s="5" t="s">
        <v>18</v>
      </c>
      <c r="J2208" s="9" t="str">
        <f>IFERROR(__xludf.DUMMYFUNCTION("""COMPUTED_VALUE"""),"https://www.google.com/search?newwindow=1&amp;ei=2MT0XrvGGM-vytMP1OyDgAY&amp;q=site%3Alinkedin.com+Brett+Parker+Campus+Recruiter+Citadel")</f>
        <v>https://www.google.com/search?newwindow=1&amp;ei=2MT0XrvGGM-vytMP1OyDgAY&amp;q=site%3Alinkedin.com+Brett+Parker+Campus+Recruiter+Citadel</v>
      </c>
      <c r="K2208" s="5" t="str">
        <f t="shared" si="1"/>
        <v>Brett Parker</v>
      </c>
      <c r="L2208" s="5" t="str">
        <f t="shared" si="2"/>
        <v>Campus Recruiter</v>
      </c>
      <c r="M2208" s="5" t="str">
        <f t="shared" si="3"/>
        <v> </v>
      </c>
      <c r="N2208" s="5" t="str">
        <f t="shared" si="4"/>
        <v>Citadel</v>
      </c>
      <c r="O2208" s="5" t="str">
        <f t="shared" si="5"/>
        <v>1 year 3 months in role and company</v>
      </c>
      <c r="P2208" s="5" t="str">
        <f t="shared" si="6"/>
        <v>New York</v>
      </c>
      <c r="Q2208" s="5" t="str">
        <f t="shared" si="7"/>
        <v>New York</v>
      </c>
      <c r="R2208" s="5" t="str">
        <f t="shared" si="8"/>
        <v>United States</v>
      </c>
    </row>
    <row r="2209">
      <c r="A2209" s="7" t="s">
        <v>39</v>
      </c>
      <c r="B2209" s="5" t="s">
        <v>35</v>
      </c>
      <c r="C2209" s="5" t="s">
        <v>25</v>
      </c>
      <c r="D2209" s="6" t="s">
        <v>13</v>
      </c>
      <c r="E2209" s="5" t="s">
        <v>14</v>
      </c>
      <c r="F2209" s="5" t="s">
        <v>36</v>
      </c>
      <c r="G2209" s="5" t="s">
        <v>37</v>
      </c>
      <c r="H2209" s="5" t="s">
        <v>38</v>
      </c>
      <c r="I2209" s="5" t="s">
        <v>18</v>
      </c>
      <c r="J2209" s="9" t="str">
        <f>IFERROR(__xludf.DUMMYFUNCTION("""COMPUTED_VALUE"""),"https://www.google.com/search?newwindow=1&amp;ei=2MT0XrvGGM-vytMP1OyDgAY&amp;q=site%3Alinkedin.com+Colleen+Mullin+Campus+Recruiter+Citadel+LLC")</f>
        <v>https://www.google.com/search?newwindow=1&amp;ei=2MT0XrvGGM-vytMP1OyDgAY&amp;q=site%3Alinkedin.com+Colleen+Mullin+Campus+Recruiter+Citadel+LLC</v>
      </c>
      <c r="K2209" s="5" t="str">
        <f t="shared" si="1"/>
        <v>Colleen Mullin</v>
      </c>
      <c r="L2209" s="5" t="str">
        <f t="shared" si="2"/>
        <v>Campus Recruiter</v>
      </c>
      <c r="M2209" s="5" t="str">
        <f t="shared" si="3"/>
        <v> </v>
      </c>
      <c r="N2209" s="5" t="str">
        <f t="shared" si="4"/>
        <v>Citadel</v>
      </c>
      <c r="O2209" s="5" t="str">
        <f t="shared" si="5"/>
        <v>4 years 2 months in role and company</v>
      </c>
      <c r="P2209" s="5" t="str">
        <f t="shared" si="6"/>
        <v>Chicago</v>
      </c>
      <c r="Q2209" s="5" t="str">
        <f t="shared" si="7"/>
        <v>Illinois</v>
      </c>
      <c r="R2209" s="5" t="str">
        <f t="shared" si="8"/>
        <v>United States</v>
      </c>
    </row>
    <row r="2210">
      <c r="A2210" s="7" t="s">
        <v>45</v>
      </c>
      <c r="B2210" s="5" t="s">
        <v>40</v>
      </c>
      <c r="C2210" s="5" t="s">
        <v>41</v>
      </c>
      <c r="D2210" s="6" t="s">
        <v>13</v>
      </c>
      <c r="E2210" s="5" t="s">
        <v>14</v>
      </c>
      <c r="F2210" s="5" t="s">
        <v>42</v>
      </c>
      <c r="G2210" s="5" t="s">
        <v>43</v>
      </c>
      <c r="H2210" s="5" t="s">
        <v>44</v>
      </c>
      <c r="I2210" s="5" t="s">
        <v>18</v>
      </c>
      <c r="J2210" s="9" t="str">
        <f>IFERROR(__xludf.DUMMYFUNCTION("""COMPUTED_VALUE"""),"https://www.google.com/search?newwindow=1&amp;ei=2MT0XrvGGM-vytMP1OyDgAY&amp;q=site%3Alinkedin.com+Gwendolyn+Hickey+Campus+Recruiter+-+Quantitative+Research+Citadel+LLC")</f>
        <v>https://www.google.com/search?newwindow=1&amp;ei=2MT0XrvGGM-vytMP1OyDgAY&amp;q=site%3Alinkedin.com+Gwendolyn+Hickey+Campus+Recruiter+-+Quantitative+Research+Citadel+LLC</v>
      </c>
      <c r="K2210" s="5" t="str">
        <f t="shared" si="1"/>
        <v>Gwendolyn Hickey</v>
      </c>
      <c r="L2210" s="5" t="str">
        <f t="shared" si="2"/>
        <v>Campus Recruiter - Quantitative Research</v>
      </c>
      <c r="M2210" s="5" t="str">
        <f t="shared" si="3"/>
        <v> </v>
      </c>
      <c r="N2210" s="5" t="str">
        <f t="shared" si="4"/>
        <v>Citadel</v>
      </c>
      <c r="O2210" s="5" t="str">
        <f t="shared" si="5"/>
        <v>4 years 2 months in role and company</v>
      </c>
      <c r="P2210" s="5" t="str">
        <f t="shared" si="6"/>
        <v>Chicago</v>
      </c>
      <c r="Q2210" s="5" t="str">
        <f t="shared" si="7"/>
        <v>Illinois</v>
      </c>
      <c r="R2210" s="5" t="str">
        <f t="shared" si="8"/>
        <v>United States</v>
      </c>
    </row>
    <row r="2211">
      <c r="A2211" s="7" t="s">
        <v>51</v>
      </c>
      <c r="B2211" s="5" t="s">
        <v>46</v>
      </c>
      <c r="C2211" s="5" t="s">
        <v>47</v>
      </c>
      <c r="D2211" s="6" t="s">
        <v>13</v>
      </c>
      <c r="E2211" s="5" t="s">
        <v>14</v>
      </c>
      <c r="F2211" s="5" t="s">
        <v>48</v>
      </c>
      <c r="G2211" s="5" t="s">
        <v>49</v>
      </c>
      <c r="H2211" s="5" t="s">
        <v>50</v>
      </c>
      <c r="I2211" s="5" t="s">
        <v>18</v>
      </c>
      <c r="J2211" s="9" t="str">
        <f>IFERROR(__xludf.DUMMYFUNCTION("""COMPUTED_VALUE"""),"https://www.google.com/search?newwindow=1&amp;ei=2MT0XrvGGM-vytMP1OyDgAY&amp;q=site%3Alinkedin.com+Margaret+Norman+Campus+Recruiter+Citi")</f>
        <v>https://www.google.com/search?newwindow=1&amp;ei=2MT0XrvGGM-vytMP1OyDgAY&amp;q=site%3Alinkedin.com+Margaret+Norman+Campus+Recruiter+Citi</v>
      </c>
      <c r="K2211" s="5" t="str">
        <f t="shared" si="1"/>
        <v>Margaret Norman</v>
      </c>
      <c r="L2211" s="5" t="str">
        <f t="shared" si="2"/>
        <v>Campus Recruiter</v>
      </c>
      <c r="M2211" s="5" t="str">
        <f t="shared" si="3"/>
        <v> </v>
      </c>
      <c r="N2211" s="5" t="str">
        <f t="shared" si="4"/>
        <v>Citi</v>
      </c>
      <c r="O2211" s="5" t="str">
        <f t="shared" si="5"/>
        <v>6 years 10 months in role and company</v>
      </c>
      <c r="P2211" s="5" t="str">
        <f t="shared" si="6"/>
        <v>Atlanta</v>
      </c>
      <c r="Q2211" s="5" t="str">
        <f t="shared" si="7"/>
        <v>Georgia</v>
      </c>
      <c r="R2211" s="5" t="str">
        <f t="shared" si="8"/>
        <v>United States</v>
      </c>
    </row>
    <row r="2212">
      <c r="A2212" s="7" t="s">
        <v>54</v>
      </c>
      <c r="B2212" s="5" t="s">
        <v>52</v>
      </c>
      <c r="C2212" s="5" t="s">
        <v>25</v>
      </c>
      <c r="D2212" s="6" t="s">
        <v>13</v>
      </c>
      <c r="E2212" s="5" t="s">
        <v>14</v>
      </c>
      <c r="F2212" s="5" t="s">
        <v>53</v>
      </c>
      <c r="G2212" s="5" t="s">
        <v>49</v>
      </c>
      <c r="H2212" s="5" t="s">
        <v>50</v>
      </c>
      <c r="I2212" s="5" t="s">
        <v>18</v>
      </c>
      <c r="J2212" s="9" t="str">
        <f>IFERROR(__xludf.DUMMYFUNCTION("""COMPUTED_VALUE"""),"https://www.google.com/search?newwindow=1&amp;ei=2MT0XrvGGM-vytMP1OyDgAY&amp;q=site%3Alinkedin.com+Jacqueline+Waugh+Campus+Recruiting+Manager+Citi")</f>
        <v>https://www.google.com/search?newwindow=1&amp;ei=2MT0XrvGGM-vytMP1OyDgAY&amp;q=site%3Alinkedin.com+Jacqueline+Waugh+Campus+Recruiting+Manager+Citi</v>
      </c>
      <c r="K2212" s="5" t="str">
        <f t="shared" si="1"/>
        <v>Jacqueline Waugh</v>
      </c>
      <c r="L2212" s="5" t="str">
        <f t="shared" si="2"/>
        <v>Campus Recruiting Manager</v>
      </c>
      <c r="M2212" s="5" t="str">
        <f t="shared" si="3"/>
        <v> </v>
      </c>
      <c r="N2212" s="5" t="str">
        <f t="shared" si="4"/>
        <v>Citi</v>
      </c>
      <c r="O2212" s="5" t="str">
        <f t="shared" si="5"/>
        <v>10 years  in role and company</v>
      </c>
      <c r="P2212" s="5" t="str">
        <f t="shared" si="6"/>
        <v>Brick</v>
      </c>
      <c r="Q2212" s="5" t="str">
        <f t="shared" si="7"/>
        <v>New Jersey</v>
      </c>
      <c r="R2212" s="5" t="str">
        <f t="shared" si="8"/>
        <v>United States</v>
      </c>
    </row>
    <row r="2213">
      <c r="A2213" s="7" t="s">
        <v>57</v>
      </c>
      <c r="B2213" s="5" t="s">
        <v>55</v>
      </c>
      <c r="C2213" s="5" t="s">
        <v>25</v>
      </c>
      <c r="D2213" s="6" t="s">
        <v>13</v>
      </c>
      <c r="E2213" s="5" t="s">
        <v>14</v>
      </c>
      <c r="F2213" s="5" t="s">
        <v>56</v>
      </c>
      <c r="G2213" s="5" t="s">
        <v>49</v>
      </c>
      <c r="H2213" s="5" t="s">
        <v>50</v>
      </c>
      <c r="I2213" s="5" t="s">
        <v>18</v>
      </c>
      <c r="J2213" s="9" t="str">
        <f>IFERROR(__xludf.DUMMYFUNCTION("""COMPUTED_VALUE"""),"https://www.google.com/search?newwindow=1&amp;ei=2MT0XrvGGM-vytMP1OyDgAY&amp;q=site%3Alinkedin.com+Katherine+David+Campus+Recruiter+Citi")</f>
        <v>https://www.google.com/search?newwindow=1&amp;ei=2MT0XrvGGM-vytMP1OyDgAY&amp;q=site%3Alinkedin.com+Katherine+David+Campus+Recruiter+Citi</v>
      </c>
      <c r="K2213" s="5" t="str">
        <f t="shared" si="1"/>
        <v>Katherine David</v>
      </c>
      <c r="L2213" s="5" t="str">
        <f t="shared" si="2"/>
        <v>Campus Recruiter</v>
      </c>
      <c r="M2213" s="5" t="str">
        <f t="shared" si="3"/>
        <v> </v>
      </c>
      <c r="N2213" s="5" t="str">
        <f t="shared" si="4"/>
        <v>Citi</v>
      </c>
      <c r="O2213" s="5" t="str">
        <f t="shared" si="5"/>
        <v>4 years 10 months in role and company</v>
      </c>
      <c r="P2213" s="5" t="str">
        <f t="shared" si="6"/>
        <v>Chicago</v>
      </c>
      <c r="Q2213" s="5" t="str">
        <f t="shared" si="7"/>
        <v>Illinois</v>
      </c>
      <c r="R2213" s="5" t="str">
        <f t="shared" si="8"/>
        <v>United States</v>
      </c>
    </row>
    <row r="2214">
      <c r="A2214" s="7" t="s">
        <v>61</v>
      </c>
      <c r="B2214" s="5" t="s">
        <v>58</v>
      </c>
      <c r="C2214" s="5" t="s">
        <v>59</v>
      </c>
      <c r="D2214" s="6" t="s">
        <v>13</v>
      </c>
      <c r="E2214" s="5" t="s">
        <v>14</v>
      </c>
      <c r="F2214" s="5" t="s">
        <v>60</v>
      </c>
      <c r="G2214" s="5" t="s">
        <v>49</v>
      </c>
      <c r="H2214" s="5" t="s">
        <v>50</v>
      </c>
      <c r="I2214" s="5" t="s">
        <v>18</v>
      </c>
      <c r="J2214" s="9" t="str">
        <f>IFERROR(__xludf.DUMMYFUNCTION("""COMPUTED_VALUE"""),"https://www.google.com/search?newwindow=1&amp;ei=2MT0XrvGGM-vytMP1OyDgAY&amp;q=site%3Alinkedin.com+Camille+Pasquier+Campus+Recruiter+Citi")</f>
        <v>https://www.google.com/search?newwindow=1&amp;ei=2MT0XrvGGM-vytMP1OyDgAY&amp;q=site%3Alinkedin.com+Camille+Pasquier+Campus+Recruiter+Citi</v>
      </c>
      <c r="K2214" s="5" t="str">
        <f t="shared" si="1"/>
        <v>Camille Pasquier</v>
      </c>
      <c r="L2214" s="5" t="str">
        <f t="shared" si="2"/>
        <v>Campus Recruiter</v>
      </c>
      <c r="M2214" s="5" t="str">
        <f t="shared" si="3"/>
        <v> </v>
      </c>
      <c r="N2214" s="5" t="str">
        <f t="shared" si="4"/>
        <v>Citi</v>
      </c>
      <c r="O2214" s="5" t="str">
        <f t="shared" si="5"/>
        <v>2 years 11 months in role and company</v>
      </c>
      <c r="P2214" s="5" t="str">
        <f t="shared" si="6"/>
        <v>Dallas</v>
      </c>
      <c r="Q2214" s="5" t="str">
        <f t="shared" si="7"/>
        <v>Texas</v>
      </c>
      <c r="R2214" s="5" t="str">
        <f t="shared" si="8"/>
        <v>United States</v>
      </c>
    </row>
    <row r="2215">
      <c r="A2215" s="7" t="s">
        <v>66</v>
      </c>
      <c r="B2215" s="5" t="s">
        <v>62</v>
      </c>
      <c r="C2215" s="5" t="s">
        <v>47</v>
      </c>
      <c r="D2215" s="6" t="s">
        <v>13</v>
      </c>
      <c r="E2215" s="5" t="s">
        <v>14</v>
      </c>
      <c r="F2215" s="5" t="s">
        <v>63</v>
      </c>
      <c r="G2215" s="6" t="s">
        <v>64</v>
      </c>
      <c r="H2215" s="6" t="s">
        <v>65</v>
      </c>
      <c r="I2215" s="5" t="s">
        <v>18</v>
      </c>
      <c r="J2215" s="9" t="str">
        <f>IFERROR(__xludf.DUMMYFUNCTION("""COMPUTED_VALUE"""),"https://www.google.com/search?newwindow=1&amp;ei=2MT0XrvGGM-vytMP1OyDgAY&amp;q=site%3Alinkedin.com+Lauren+Harrison+Campus+Recruiter+-+Global+Consumer+Technology+Citi")</f>
        <v>https://www.google.com/search?newwindow=1&amp;ei=2MT0XrvGGM-vytMP1OyDgAY&amp;q=site%3Alinkedin.com+Lauren+Harrison+Campus+Recruiter+-+Global+Consumer+Technology+Citi</v>
      </c>
      <c r="K2215" s="5" t="str">
        <f t="shared" si="1"/>
        <v>Lauren Harrison</v>
      </c>
      <c r="L2215" s="5" t="str">
        <f t="shared" si="2"/>
        <v>Campus Recruiter - Global Consumer Technology</v>
      </c>
      <c r="M2215" s="5" t="str">
        <f t="shared" si="3"/>
        <v> </v>
      </c>
      <c r="N2215" s="5" t="str">
        <f t="shared" si="4"/>
        <v>Citi</v>
      </c>
      <c r="O2215" s="5" t="str">
        <f t="shared" si="5"/>
        <v>11 months in role</v>
      </c>
      <c r="P2215" s="5" t="str">
        <f t="shared" si="6"/>
        <v>Dallas</v>
      </c>
      <c r="Q2215" s="5" t="str">
        <f t="shared" si="7"/>
        <v>Texas</v>
      </c>
      <c r="R2215" s="5" t="str">
        <f t="shared" si="8"/>
        <v>United States</v>
      </c>
    </row>
    <row r="2216">
      <c r="A2216" s="7" t="s">
        <v>69</v>
      </c>
      <c r="B2216" s="5" t="s">
        <v>67</v>
      </c>
      <c r="C2216" s="5" t="s">
        <v>25</v>
      </c>
      <c r="D2216" s="6" t="s">
        <v>13</v>
      </c>
      <c r="E2216" s="5" t="s">
        <v>14</v>
      </c>
      <c r="F2216" s="5" t="s">
        <v>68</v>
      </c>
      <c r="G2216" s="6" t="s">
        <v>64</v>
      </c>
      <c r="H2216" s="6" t="s">
        <v>65</v>
      </c>
      <c r="I2216" s="5" t="s">
        <v>18</v>
      </c>
      <c r="J2216" s="9" t="str">
        <f>IFERROR(__xludf.DUMMYFUNCTION("""COMPUTED_VALUE"""),"https://www.google.com/search?newwindow=1&amp;ei=2MT0XrvGGM-vytMP1OyDgAY&amp;q=site%3Alinkedin.com+Abigail+Nelson+Campus+Recruiter+Citi")</f>
        <v>https://www.google.com/search?newwindow=1&amp;ei=2MT0XrvGGM-vytMP1OyDgAY&amp;q=site%3Alinkedin.com+Abigail+Nelson+Campus+Recruiter+Citi</v>
      </c>
      <c r="K2216" s="5" t="str">
        <f t="shared" si="1"/>
        <v>Abigail Nelson</v>
      </c>
      <c r="L2216" s="5" t="str">
        <f t="shared" si="2"/>
        <v>Campus Recruiter</v>
      </c>
      <c r="M2216" s="5" t="str">
        <f t="shared" si="3"/>
        <v> </v>
      </c>
      <c r="N2216" s="5" t="str">
        <f t="shared" si="4"/>
        <v>Citi</v>
      </c>
      <c r="O2216" s="5" t="str">
        <f t="shared" si="5"/>
        <v>12 years 10 months in role and company</v>
      </c>
      <c r="P2216" s="5" t="str">
        <f t="shared" si="6"/>
        <v>Las Vegas</v>
      </c>
      <c r="Q2216" s="5" t="str">
        <f t="shared" si="7"/>
        <v>Nevada</v>
      </c>
      <c r="R2216" s="5" t="str">
        <f t="shared" si="8"/>
        <v>United States</v>
      </c>
    </row>
    <row r="2217">
      <c r="A2217" s="7" t="s">
        <v>71</v>
      </c>
      <c r="B2217" s="5" t="s">
        <v>70</v>
      </c>
      <c r="C2217" s="5" t="s">
        <v>25</v>
      </c>
      <c r="D2217" s="6" t="s">
        <v>13</v>
      </c>
      <c r="E2217" s="5" t="s">
        <v>14</v>
      </c>
      <c r="F2217" s="5" t="s">
        <v>29</v>
      </c>
      <c r="G2217" s="6" t="s">
        <v>64</v>
      </c>
      <c r="H2217" s="6" t="s">
        <v>65</v>
      </c>
      <c r="I2217" s="5" t="s">
        <v>18</v>
      </c>
      <c r="J2217" s="9" t="str">
        <f>IFERROR(__xludf.DUMMYFUNCTION("""COMPUTED_VALUE"""),"https://www.google.com/search?newwindow=1&amp;ei=2MT0XrvGGM-vytMP1OyDgAY&amp;q=site%3Alinkedin.com+Tiffany+Palacios+Hawkins+Campus+Recruiting+Manager,+Global+Functions+Citi")</f>
        <v>https://www.google.com/search?newwindow=1&amp;ei=2MT0XrvGGM-vytMP1OyDgAY&amp;q=site%3Alinkedin.com+Tiffany+Palacios+Hawkins+Campus+Recruiting+Manager,+Global+Functions+Citi</v>
      </c>
      <c r="K2217" s="5" t="str">
        <f t="shared" si="1"/>
        <v>Tiffany Palacios Hawkins</v>
      </c>
      <c r="L2217" s="5" t="str">
        <f t="shared" si="2"/>
        <v>Campus Recruiting Manager, Global Functions</v>
      </c>
      <c r="M2217" s="5" t="str">
        <f t="shared" si="3"/>
        <v> </v>
      </c>
      <c r="N2217" s="5" t="str">
        <f t="shared" si="4"/>
        <v>Citi</v>
      </c>
      <c r="O2217" s="5" t="str">
        <f t="shared" si="5"/>
        <v>2 years 2 months in role</v>
      </c>
      <c r="P2217" s="5" t="str">
        <f t="shared" si="6"/>
        <v>New York</v>
      </c>
      <c r="Q2217" s="5" t="str">
        <f t="shared" si="7"/>
        <v>New York</v>
      </c>
      <c r="R2217" s="5" t="str">
        <f t="shared" si="8"/>
        <v>United States</v>
      </c>
    </row>
    <row r="2218">
      <c r="A2218" s="7" t="s">
        <v>77</v>
      </c>
      <c r="B2218" s="5" t="s">
        <v>72</v>
      </c>
      <c r="C2218" s="5" t="s">
        <v>73</v>
      </c>
      <c r="D2218" s="6" t="s">
        <v>13</v>
      </c>
      <c r="E2218" s="5" t="s">
        <v>14</v>
      </c>
      <c r="F2218" s="5" t="s">
        <v>74</v>
      </c>
      <c r="G2218" s="5" t="s">
        <v>75</v>
      </c>
      <c r="H2218" s="5" t="s">
        <v>76</v>
      </c>
      <c r="I2218" s="5" t="s">
        <v>18</v>
      </c>
      <c r="J2218" s="9" t="str">
        <f>IFERROR(__xludf.DUMMYFUNCTION("""COMPUTED_VALUE"""),"https://www.google.com/search?newwindow=1&amp;ei=2MT0XrvGGM-vytMP1OyDgAY&amp;q=site%3Alinkedin.com+Emily+Bilotta+Vice+President,+Head+of+University+Relations+Citi")</f>
        <v>https://www.google.com/search?newwindow=1&amp;ei=2MT0XrvGGM-vytMP1OyDgAY&amp;q=site%3Alinkedin.com+Emily+Bilotta+Vice+President,+Head+of+University+Relations+Citi</v>
      </c>
      <c r="K2218" s="5" t="str">
        <f t="shared" si="1"/>
        <v>Emily Bilotta</v>
      </c>
      <c r="L2218" s="5" t="str">
        <f t="shared" si="2"/>
        <v>Vice President, Head of University Relations</v>
      </c>
      <c r="M2218" s="5" t="str">
        <f t="shared" si="3"/>
        <v> </v>
      </c>
      <c r="N2218" s="5" t="str">
        <f t="shared" si="4"/>
        <v>Citi</v>
      </c>
      <c r="O2218" s="5" t="str">
        <f t="shared" si="5"/>
        <v>2 years 1 month in role</v>
      </c>
      <c r="P2218" s="5" t="str">
        <f t="shared" si="6"/>
        <v>New York</v>
      </c>
      <c r="Q2218" s="5" t="str">
        <f t="shared" si="7"/>
        <v>New York</v>
      </c>
      <c r="R2218" s="5" t="str">
        <f t="shared" si="8"/>
        <v>United States</v>
      </c>
    </row>
    <row r="2219">
      <c r="A2219" s="7" t="s">
        <v>81</v>
      </c>
      <c r="B2219" s="5" t="s">
        <v>78</v>
      </c>
      <c r="C2219" s="5" t="s">
        <v>25</v>
      </c>
      <c r="D2219" s="6" t="s">
        <v>13</v>
      </c>
      <c r="E2219" s="5" t="s">
        <v>14</v>
      </c>
      <c r="F2219" s="5" t="s">
        <v>79</v>
      </c>
      <c r="G2219" s="5" t="s">
        <v>80</v>
      </c>
      <c r="H2219" s="5" t="s">
        <v>38</v>
      </c>
      <c r="I2219" s="5" t="s">
        <v>18</v>
      </c>
      <c r="J2219" s="9" t="str">
        <f>IFERROR(__xludf.DUMMYFUNCTION("""COMPUTED_VALUE"""),"https://www.google.com/search?newwindow=1&amp;ei=2MT0XrvGGM-vytMP1OyDgAY&amp;q=site%3Alinkedin.com+Sivona+Blake+Assistant+Vice+President+-+Senior+Diversity+Campus+Recruiter+Citi")</f>
        <v>https://www.google.com/search?newwindow=1&amp;ei=2MT0XrvGGM-vytMP1OyDgAY&amp;q=site%3Alinkedin.com+Sivona+Blake+Assistant+Vice+President+-+Senior+Diversity+Campus+Recruiter+Citi</v>
      </c>
      <c r="K2219" s="5" t="str">
        <f t="shared" si="1"/>
        <v>Sivona Blake</v>
      </c>
      <c r="L2219" s="5" t="str">
        <f t="shared" si="2"/>
        <v>Assistant Vice President - Senior Diversity Campus Recruiter</v>
      </c>
      <c r="M2219" s="5" t="str">
        <f t="shared" si="3"/>
        <v> </v>
      </c>
      <c r="N2219" s="5" t="str">
        <f t="shared" si="4"/>
        <v>Citi</v>
      </c>
      <c r="O2219" s="5" t="str">
        <f t="shared" si="5"/>
        <v>6 months in role and company</v>
      </c>
      <c r="P2219" s="5" t="str">
        <f t="shared" si="6"/>
        <v>New York</v>
      </c>
      <c r="Q2219" s="5" t="str">
        <f t="shared" si="7"/>
        <v>New York</v>
      </c>
      <c r="R2219" s="5" t="str">
        <f t="shared" si="8"/>
        <v>United States</v>
      </c>
    </row>
    <row r="2220">
      <c r="A2220" s="7" t="s">
        <v>87</v>
      </c>
      <c r="B2220" s="5" t="s">
        <v>82</v>
      </c>
      <c r="C2220" s="5" t="s">
        <v>83</v>
      </c>
      <c r="D2220" s="6" t="s">
        <v>13</v>
      </c>
      <c r="E2220" s="5" t="s">
        <v>14</v>
      </c>
      <c r="F2220" s="5" t="s">
        <v>84</v>
      </c>
      <c r="G2220" s="5" t="s">
        <v>85</v>
      </c>
      <c r="H2220" s="5" t="s">
        <v>86</v>
      </c>
      <c r="I2220" s="5" t="s">
        <v>18</v>
      </c>
      <c r="J2220" s="9" t="str">
        <f>IFERROR(__xludf.DUMMYFUNCTION("""COMPUTED_VALUE"""),"https://www.google.com/search?newwindow=1&amp;ei=2MT0XrvGGM-vytMP1OyDgAY&amp;q=site%3Alinkedin.com+Sarah+Glaser+Assistant+Vice+President,+Campus+Recruiter+Citi")</f>
        <v>https://www.google.com/search?newwindow=1&amp;ei=2MT0XrvGGM-vytMP1OyDgAY&amp;q=site%3Alinkedin.com+Sarah+Glaser+Assistant+Vice+President,+Campus+Recruiter+Citi</v>
      </c>
      <c r="K2220" s="5" t="str">
        <f t="shared" si="1"/>
        <v>Sarah Glaser</v>
      </c>
      <c r="L2220" s="5" t="str">
        <f t="shared" si="2"/>
        <v>Assistant Vice President, Campus Recruiter</v>
      </c>
      <c r="M2220" s="5" t="str">
        <f t="shared" si="3"/>
        <v> </v>
      </c>
      <c r="N2220" s="5" t="str">
        <f t="shared" si="4"/>
        <v>Citi</v>
      </c>
      <c r="O2220" s="5" t="str">
        <f t="shared" si="5"/>
        <v>2 years 4 months in role</v>
      </c>
      <c r="P2220" s="5" t="str">
        <f t="shared" si="6"/>
        <v>New York</v>
      </c>
      <c r="Q2220" s="5" t="str">
        <f t="shared" si="7"/>
        <v>New York</v>
      </c>
      <c r="R2220" s="5" t="str">
        <f t="shared" si="8"/>
        <v>United States</v>
      </c>
    </row>
    <row r="2221">
      <c r="A2221" s="7" t="s">
        <v>92</v>
      </c>
      <c r="B2221" s="5" t="s">
        <v>88</v>
      </c>
      <c r="C2221" s="5" t="s">
        <v>89</v>
      </c>
      <c r="D2221" s="6" t="s">
        <v>13</v>
      </c>
      <c r="E2221" s="5" t="s">
        <v>14</v>
      </c>
      <c r="F2221" s="5" t="s">
        <v>36</v>
      </c>
      <c r="G2221" s="5" t="s">
        <v>90</v>
      </c>
      <c r="H2221" s="5" t="s">
        <v>91</v>
      </c>
      <c r="I2221" s="5" t="s">
        <v>18</v>
      </c>
      <c r="J2221" s="9" t="str">
        <f>IFERROR(__xludf.DUMMYFUNCTION("""COMPUTED_VALUE"""),"https://www.google.com/search?newwindow=1&amp;ei=2MT0XrvGGM-vytMP1OyDgAY&amp;q=site%3Alinkedin.com+Lauren+Cooley+Assistant+Vice+President,+MBA+Campus+Recruiter+and+HR+Program+Manager+for+Investment+Banking+Citi")</f>
        <v>https://www.google.com/search?newwindow=1&amp;ei=2MT0XrvGGM-vytMP1OyDgAY&amp;q=site%3Alinkedin.com+Lauren+Cooley+Assistant+Vice+President,+MBA+Campus+Recruiter+and+HR+Program+Manager+for+Investment+Banking+Citi</v>
      </c>
      <c r="K2221" s="5" t="str">
        <f t="shared" si="1"/>
        <v>Lauren Cooley</v>
      </c>
      <c r="L2221" s="5" t="str">
        <f t="shared" si="2"/>
        <v>Assistant Vice President, MBA Campus Recruiter and HR Program Manager for Investment Banking</v>
      </c>
      <c r="M2221" s="5" t="str">
        <f t="shared" si="3"/>
        <v>MBA</v>
      </c>
      <c r="N2221" s="5" t="str">
        <f t="shared" si="4"/>
        <v>Citi</v>
      </c>
      <c r="O2221" s="5" t="str">
        <f t="shared" si="5"/>
        <v>1 year 4 months in role and company</v>
      </c>
      <c r="P2221" s="5" t="str">
        <f t="shared" si="6"/>
        <v>New York</v>
      </c>
      <c r="Q2221" s="5" t="str">
        <f t="shared" si="7"/>
        <v>New York</v>
      </c>
      <c r="R2221" s="5" t="str">
        <f t="shared" si="8"/>
        <v>United States</v>
      </c>
    </row>
    <row r="2222">
      <c r="A2222" s="7" t="s">
        <v>97</v>
      </c>
      <c r="B2222" s="5" t="s">
        <v>93</v>
      </c>
      <c r="C2222" s="5" t="s">
        <v>25</v>
      </c>
      <c r="D2222" s="6" t="s">
        <v>13</v>
      </c>
      <c r="E2222" s="5" t="s">
        <v>14</v>
      </c>
      <c r="F2222" s="5" t="s">
        <v>94</v>
      </c>
      <c r="G2222" s="5" t="s">
        <v>95</v>
      </c>
      <c r="H2222" s="5" t="s">
        <v>96</v>
      </c>
      <c r="I2222" s="5" t="s">
        <v>18</v>
      </c>
      <c r="J2222" s="9" t="str">
        <f>IFERROR(__xludf.DUMMYFUNCTION("""COMPUTED_VALUE"""),"https://www.google.com/search?newwindow=1&amp;ei=2MT0XrvGGM-vytMP1OyDgAY&amp;q=site%3Alinkedin.com+Megan+Franklin+AVP,+Campus+Program+Manager+and+Recruiter+Citi")</f>
        <v>https://www.google.com/search?newwindow=1&amp;ei=2MT0XrvGGM-vytMP1OyDgAY&amp;q=site%3Alinkedin.com+Megan+Franklin+AVP,+Campus+Program+Manager+and+Recruiter+Citi</v>
      </c>
      <c r="K2222" s="5" t="str">
        <f t="shared" si="1"/>
        <v>Megan Franklin</v>
      </c>
      <c r="L2222" s="5" t="str">
        <f t="shared" si="2"/>
        <v>AVP, Campus Program Manager and Recruiter</v>
      </c>
      <c r="M2222" s="5" t="str">
        <f t="shared" si="3"/>
        <v> </v>
      </c>
      <c r="N2222" s="5" t="str">
        <f t="shared" si="4"/>
        <v>Citi</v>
      </c>
      <c r="O2222" s="5" t="str">
        <f t="shared" si="5"/>
        <v>2 years 8 months in role</v>
      </c>
      <c r="P2222" s="5" t="str">
        <f t="shared" si="6"/>
        <v>New York</v>
      </c>
      <c r="Q2222" s="5" t="str">
        <f t="shared" si="7"/>
        <v>New York</v>
      </c>
      <c r="R2222" s="5" t="str">
        <f t="shared" si="8"/>
        <v>United States</v>
      </c>
    </row>
    <row r="2223">
      <c r="A2223" s="7" t="s">
        <v>103</v>
      </c>
      <c r="B2223" s="5" t="s">
        <v>98</v>
      </c>
      <c r="C2223" s="5" t="s">
        <v>99</v>
      </c>
      <c r="D2223" s="6" t="s">
        <v>13</v>
      </c>
      <c r="E2223" s="5" t="s">
        <v>14</v>
      </c>
      <c r="F2223" s="5" t="s">
        <v>100</v>
      </c>
      <c r="G2223" s="5" t="s">
        <v>101</v>
      </c>
      <c r="H2223" s="5" t="s">
        <v>102</v>
      </c>
      <c r="I2223" s="5" t="s">
        <v>18</v>
      </c>
      <c r="J2223" s="9" t="str">
        <f>IFERROR(__xludf.DUMMYFUNCTION("""COMPUTED_VALUE"""),"https://www.google.com/search?newwindow=1&amp;ei=2MT0XrvGGM-vytMP1OyDgAY&amp;q=site%3Alinkedin.com+Emily+White+(Rodgers)+Assistant+Vice+President,+Campus+Recruiter+-+Banking,+Capital+Markets+&amp;+Advisory+Citi")</f>
        <v>https://www.google.com/search?newwindow=1&amp;ei=2MT0XrvGGM-vytMP1OyDgAY&amp;q=site%3Alinkedin.com+Emily+White+(Rodgers)+Assistant+Vice+President,+Campus+Recruiter+-+Banking,+Capital+Markets+&amp;+Advisory+Citi</v>
      </c>
      <c r="K2223" s="5" t="str">
        <f t="shared" si="1"/>
        <v>Emily White (Rodgers)</v>
      </c>
      <c r="L2223" s="5" t="str">
        <f t="shared" si="2"/>
        <v>Assistant Vice President, Campus Recruiter - Banking, Capital Markets &amp; Advisory</v>
      </c>
      <c r="M2223" s="5" t="str">
        <f t="shared" si="3"/>
        <v> </v>
      </c>
      <c r="N2223" s="5" t="str">
        <f t="shared" si="4"/>
        <v>Citi</v>
      </c>
      <c r="O2223" s="5" t="str">
        <f t="shared" si="5"/>
        <v>1 year 2 months in role and company</v>
      </c>
      <c r="P2223" s="5" t="str">
        <f t="shared" si="6"/>
        <v>New York</v>
      </c>
      <c r="Q2223" s="5" t="str">
        <f t="shared" si="7"/>
        <v>New York</v>
      </c>
      <c r="R2223" s="5" t="str">
        <f t="shared" si="8"/>
        <v>United States</v>
      </c>
    </row>
    <row r="2224">
      <c r="A2224" s="7" t="s">
        <v>108</v>
      </c>
      <c r="B2224" s="5" t="s">
        <v>104</v>
      </c>
      <c r="C2224" s="5" t="s">
        <v>105</v>
      </c>
      <c r="D2224" s="6" t="s">
        <v>13</v>
      </c>
      <c r="E2224" s="5" t="s">
        <v>14</v>
      </c>
      <c r="F2224" s="5" t="s">
        <v>106</v>
      </c>
      <c r="G2224" s="5" t="s">
        <v>107</v>
      </c>
      <c r="H2224" s="5" t="s">
        <v>102</v>
      </c>
      <c r="I2224" s="5" t="s">
        <v>18</v>
      </c>
      <c r="J2224" s="9" t="str">
        <f>IFERROR(__xludf.DUMMYFUNCTION("""COMPUTED_VALUE"""),"https://www.google.com/search?newwindow=1&amp;ei=2MT0XrvGGM-vytMP1OyDgAY&amp;q=site%3Alinkedin.com+Emily+Bilotta+Assistant+Vice+President,+Campus+Recruiter+&amp;+Program+Manager+Citi")</f>
        <v>https://www.google.com/search?newwindow=1&amp;ei=2MT0XrvGGM-vytMP1OyDgAY&amp;q=site%3Alinkedin.com+Emily+Bilotta+Assistant+Vice+President,+Campus+Recruiter+&amp;+Program+Manager+Citi</v>
      </c>
      <c r="K2224" s="5" t="str">
        <f t="shared" si="1"/>
        <v>Emily Bilotta</v>
      </c>
      <c r="L2224" s="5" t="str">
        <f t="shared" si="2"/>
        <v>Assistant Vice President, Campus Recruiter &amp; Program Manager</v>
      </c>
      <c r="M2224" s="5" t="str">
        <f t="shared" si="3"/>
        <v> </v>
      </c>
      <c r="N2224" s="5" t="str">
        <f t="shared" si="4"/>
        <v>Citi</v>
      </c>
      <c r="O2224" s="5" t="str">
        <f t="shared" si="5"/>
        <v>3 years 10 months in role</v>
      </c>
      <c r="P2224" s="5" t="str">
        <f t="shared" si="6"/>
        <v>New York</v>
      </c>
      <c r="Q2224" s="5" t="str">
        <f t="shared" si="7"/>
        <v>New York</v>
      </c>
      <c r="R2224" s="5" t="str">
        <f t="shared" si="8"/>
        <v>United States</v>
      </c>
    </row>
    <row r="2225">
      <c r="A2225" s="7" t="s">
        <v>113</v>
      </c>
      <c r="B2225" s="5" t="s">
        <v>109</v>
      </c>
      <c r="C2225" s="5" t="s">
        <v>110</v>
      </c>
      <c r="D2225" s="6" t="s">
        <v>13</v>
      </c>
      <c r="E2225" s="5" t="s">
        <v>14</v>
      </c>
      <c r="F2225" s="5" t="s">
        <v>111</v>
      </c>
      <c r="G2225" s="5" t="s">
        <v>112</v>
      </c>
      <c r="H2225" s="5" t="s">
        <v>38</v>
      </c>
      <c r="I2225" s="5" t="s">
        <v>18</v>
      </c>
      <c r="J2225" s="9" t="str">
        <f>IFERROR(__xludf.DUMMYFUNCTION("""COMPUTED_VALUE"""),"https://www.google.com/search?newwindow=1&amp;ei=2MT0XrvGGM-vytMP1OyDgAY&amp;q=site%3Alinkedin.com+Jacqueline+Waugh+Campus+Recruiter+Citi")</f>
        <v>https://www.google.com/search?newwindow=1&amp;ei=2MT0XrvGGM-vytMP1OyDgAY&amp;q=site%3Alinkedin.com+Jacqueline+Waugh+Campus+Recruiter+Citi</v>
      </c>
      <c r="K2225" s="5" t="str">
        <f t="shared" si="1"/>
        <v>Jacqueline Waugh</v>
      </c>
      <c r="L2225" s="5" t="str">
        <f t="shared" si="2"/>
        <v>Campus Recruiter</v>
      </c>
      <c r="M2225" s="5" t="str">
        <f t="shared" si="3"/>
        <v> </v>
      </c>
      <c r="N2225" s="5" t="str">
        <f t="shared" si="4"/>
        <v>Citi</v>
      </c>
      <c r="O2225" s="5" t="str">
        <f t="shared" si="5"/>
        <v>10 years 10 months in role and company</v>
      </c>
      <c r="P2225" s="5" t="str">
        <f t="shared" si="6"/>
        <v>New York</v>
      </c>
      <c r="Q2225" s="5" t="str">
        <f t="shared" si="7"/>
        <v>New York</v>
      </c>
      <c r="R2225" s="5" t="str">
        <f t="shared" si="8"/>
        <v>United States</v>
      </c>
    </row>
    <row r="2226">
      <c r="A2226" s="7" t="s">
        <v>118</v>
      </c>
      <c r="B2226" s="5" t="s">
        <v>114</v>
      </c>
      <c r="C2226" s="5" t="s">
        <v>115</v>
      </c>
      <c r="D2226" s="6" t="s">
        <v>13</v>
      </c>
      <c r="E2226" s="5" t="s">
        <v>14</v>
      </c>
      <c r="F2226" s="5" t="s">
        <v>116</v>
      </c>
      <c r="G2226" s="5" t="s">
        <v>117</v>
      </c>
      <c r="H2226" s="5" t="s">
        <v>44</v>
      </c>
      <c r="I2226" s="5" t="s">
        <v>18</v>
      </c>
      <c r="J2226" s="9" t="str">
        <f>IFERROR(__xludf.DUMMYFUNCTION("""COMPUTED_VALUE"""),"https://www.google.com/search?newwindow=1&amp;ei=2MT0XrvGGM-vytMP1OyDgAY&amp;q=site%3Alinkedin.com+Yesenia+Gomez+Vice+President,+Campus+Diversity+Recruiting+Manager+Citi")</f>
        <v>https://www.google.com/search?newwindow=1&amp;ei=2MT0XrvGGM-vytMP1OyDgAY&amp;q=site%3Alinkedin.com+Yesenia+Gomez+Vice+President,+Campus+Diversity+Recruiting+Manager+Citi</v>
      </c>
      <c r="K2226" s="5" t="str">
        <f t="shared" si="1"/>
        <v>Yesenia Gomez</v>
      </c>
      <c r="L2226" s="5" t="str">
        <f t="shared" si="2"/>
        <v>Vice President, Campus Diversity Recruiting Manager</v>
      </c>
      <c r="M2226" s="5" t="str">
        <f t="shared" si="3"/>
        <v> </v>
      </c>
      <c r="N2226" s="5" t="str">
        <f t="shared" si="4"/>
        <v>Citi</v>
      </c>
      <c r="O2226" s="5" t="str">
        <f t="shared" si="5"/>
        <v>10 months in role</v>
      </c>
      <c r="P2226" s="5" t="str">
        <f t="shared" si="6"/>
        <v>New York</v>
      </c>
      <c r="Q2226" s="5" t="str">
        <f t="shared" si="7"/>
        <v>New York</v>
      </c>
      <c r="R2226" s="5" t="str">
        <f t="shared" si="8"/>
        <v>United States</v>
      </c>
    </row>
    <row r="2227">
      <c r="A2227" s="7" t="s">
        <v>123</v>
      </c>
      <c r="B2227" s="5" t="s">
        <v>119</v>
      </c>
      <c r="C2227" s="5" t="s">
        <v>120</v>
      </c>
      <c r="D2227" s="6" t="s">
        <v>13</v>
      </c>
      <c r="E2227" s="5" t="s">
        <v>14</v>
      </c>
      <c r="F2227" s="5" t="s">
        <v>121</v>
      </c>
      <c r="G2227" s="5" t="s">
        <v>122</v>
      </c>
      <c r="H2227" s="5" t="s">
        <v>44</v>
      </c>
      <c r="I2227" s="5" t="s">
        <v>18</v>
      </c>
      <c r="J2227" s="9" t="str">
        <f>IFERROR(__xludf.DUMMYFUNCTION("""COMPUTED_VALUE"""),"https://www.google.com/search?newwindow=1&amp;ei=2MT0XrvGGM-vytMP1OyDgAY&amp;q=site%3Alinkedin.com+Samantha+Robins+Vice+President,+Technology+Campus+Recruiting+Manager+at+Citi+Citi")</f>
        <v>https://www.google.com/search?newwindow=1&amp;ei=2MT0XrvGGM-vytMP1OyDgAY&amp;q=site%3Alinkedin.com+Samantha+Robins+Vice+President,+Technology+Campus+Recruiting+Manager+at+Citi+Citi</v>
      </c>
      <c r="K2227" s="5" t="str">
        <f t="shared" si="1"/>
        <v>Samantha Robins</v>
      </c>
      <c r="L2227" s="5" t="str">
        <f t="shared" si="2"/>
        <v>Vice President, Technology Campus Recruiting Manager at Citi</v>
      </c>
      <c r="M2227" s="5" t="str">
        <f t="shared" si="3"/>
        <v> </v>
      </c>
      <c r="N2227" s="5" t="str">
        <f t="shared" si="4"/>
        <v>Citi</v>
      </c>
      <c r="O2227" s="5" t="str">
        <f t="shared" si="5"/>
        <v>2 years 6 months in role</v>
      </c>
      <c r="P2227" s="5" t="str">
        <f t="shared" si="6"/>
        <v>New York</v>
      </c>
      <c r="Q2227" s="5" t="str">
        <f t="shared" si="7"/>
        <v>New York</v>
      </c>
      <c r="R2227" s="5" t="str">
        <f t="shared" si="8"/>
        <v>United States</v>
      </c>
    </row>
    <row r="2228">
      <c r="A2228" s="7" t="s">
        <v>126</v>
      </c>
      <c r="B2228" s="5" t="s">
        <v>124</v>
      </c>
      <c r="C2228" s="5" t="s">
        <v>25</v>
      </c>
      <c r="D2228" s="6" t="s">
        <v>13</v>
      </c>
      <c r="E2228" s="5" t="s">
        <v>14</v>
      </c>
      <c r="F2228" s="5" t="s">
        <v>125</v>
      </c>
      <c r="G2228" s="5" t="s">
        <v>122</v>
      </c>
      <c r="H2228" s="5" t="s">
        <v>44</v>
      </c>
      <c r="I2228" s="5" t="s">
        <v>18</v>
      </c>
      <c r="J2228" s="9" t="str">
        <f>IFERROR(__xludf.DUMMYFUNCTION("""COMPUTED_VALUE"""),"https://www.google.com/search?newwindow=1&amp;ei=2MT0XrvGGM-vytMP1OyDgAY&amp;q=site%3Alinkedin.com+Erica+Strunkey+Assistant+Vice+President+-+Senior+Campus+Recruiter+Citi")</f>
        <v>https://www.google.com/search?newwindow=1&amp;ei=2MT0XrvGGM-vytMP1OyDgAY&amp;q=site%3Alinkedin.com+Erica+Strunkey+Assistant+Vice+President+-+Senior+Campus+Recruiter+Citi</v>
      </c>
      <c r="K2228" s="5" t="str">
        <f t="shared" si="1"/>
        <v>Erica Strunkey</v>
      </c>
      <c r="L2228" s="5" t="str">
        <f t="shared" si="2"/>
        <v>Assistant Vice President - Senior Campus Recruiter</v>
      </c>
      <c r="M2228" s="5" t="str">
        <f t="shared" si="3"/>
        <v> </v>
      </c>
      <c r="N2228" s="5" t="str">
        <f t="shared" si="4"/>
        <v>Citi</v>
      </c>
      <c r="O2228" s="5" t="str">
        <f t="shared" si="5"/>
        <v>8 months in role and company</v>
      </c>
      <c r="P2228" s="5" t="str">
        <f t="shared" si="6"/>
        <v>New York</v>
      </c>
      <c r="Q2228" s="5" t="str">
        <f t="shared" si="7"/>
        <v>New York</v>
      </c>
      <c r="R2228" s="5" t="str">
        <f t="shared" si="8"/>
        <v>United States</v>
      </c>
    </row>
    <row r="2229">
      <c r="A2229" s="7" t="s">
        <v>129</v>
      </c>
      <c r="B2229" s="5" t="s">
        <v>127</v>
      </c>
      <c r="C2229" s="5" t="s">
        <v>25</v>
      </c>
      <c r="D2229" s="6" t="s">
        <v>13</v>
      </c>
      <c r="E2229" s="5" t="s">
        <v>14</v>
      </c>
      <c r="G2229" s="5" t="s">
        <v>128</v>
      </c>
      <c r="H2229" s="5" t="s">
        <v>17</v>
      </c>
      <c r="I2229" s="5" t="s">
        <v>18</v>
      </c>
      <c r="J2229" s="9" t="str">
        <f>IFERROR(__xludf.DUMMYFUNCTION("""COMPUTED_VALUE"""),"https://www.google.com/search?newwindow=1&amp;ei=2MT0XrvGGM-vytMP1OyDgAY&amp;q=site%3Alinkedin.com+Devika+Seeraj+Assistant+Vice+President+-+Campus+Recruiter+Citi")</f>
        <v>https://www.google.com/search?newwindow=1&amp;ei=2MT0XrvGGM-vytMP1OyDgAY&amp;q=site%3Alinkedin.com+Devika+Seeraj+Assistant+Vice+President+-+Campus+Recruiter+Citi</v>
      </c>
      <c r="K2229" s="5" t="str">
        <f t="shared" si="1"/>
        <v>Devika Seeraj</v>
      </c>
      <c r="L2229" s="5" t="str">
        <f t="shared" si="2"/>
        <v>Assistant Vice President - Campus Recruiter</v>
      </c>
      <c r="M2229" s="5" t="str">
        <f t="shared" si="3"/>
        <v> </v>
      </c>
      <c r="N2229" s="5" t="str">
        <f t="shared" si="4"/>
        <v>Citi</v>
      </c>
      <c r="O2229" s="5" t="str">
        <f t="shared" si="5"/>
        <v>1 year 9 months in role and company</v>
      </c>
      <c r="P2229" s="5" t="str">
        <f t="shared" si="6"/>
        <v>New York</v>
      </c>
      <c r="Q2229" s="5" t="str">
        <f t="shared" si="7"/>
        <v>New York</v>
      </c>
      <c r="R2229" s="5" t="str">
        <f t="shared" si="8"/>
        <v>United States</v>
      </c>
    </row>
    <row r="2230">
      <c r="A2230" s="7" t="s">
        <v>134</v>
      </c>
      <c r="B2230" s="5" t="s">
        <v>130</v>
      </c>
      <c r="C2230" s="5" t="s">
        <v>25</v>
      </c>
      <c r="D2230" s="6" t="s">
        <v>13</v>
      </c>
      <c r="E2230" s="5" t="s">
        <v>14</v>
      </c>
      <c r="F2230" s="5" t="s">
        <v>131</v>
      </c>
      <c r="G2230" s="5" t="s">
        <v>132</v>
      </c>
      <c r="H2230" s="5" t="s">
        <v>133</v>
      </c>
      <c r="I2230" s="5" t="s">
        <v>18</v>
      </c>
      <c r="J2230" s="9" t="str">
        <f>IFERROR(__xludf.DUMMYFUNCTION("""COMPUTED_VALUE"""),"https://www.google.com/search?newwindow=1&amp;ei=2MT0XrvGGM-vytMP1OyDgAY&amp;q=site%3Alinkedin.com+Jennifer+Lynch+Assistant+Vice+President,+Senior+Recruiter+Campus+Recruiting+-+Sales+&amp;+Trading+Citi")</f>
        <v>https://www.google.com/search?newwindow=1&amp;ei=2MT0XrvGGM-vytMP1OyDgAY&amp;q=site%3Alinkedin.com+Jennifer+Lynch+Assistant+Vice+President,+Senior+Recruiter+Campus+Recruiting+-+Sales+&amp;+Trading+Citi</v>
      </c>
      <c r="K2230" s="5" t="str">
        <f t="shared" si="1"/>
        <v>Jennifer Lynch</v>
      </c>
      <c r="L2230" s="5" t="str">
        <f t="shared" si="2"/>
        <v>Assistant Vice President, Senior Recruiter Campus Recruiting - Sales &amp; Trading</v>
      </c>
      <c r="M2230" s="5" t="str">
        <f t="shared" si="3"/>
        <v> </v>
      </c>
      <c r="N2230" s="5" t="str">
        <f t="shared" si="4"/>
        <v>Citi</v>
      </c>
      <c r="O2230" s="5" t="str">
        <f t="shared" si="5"/>
        <v>9 months in role and company</v>
      </c>
      <c r="P2230" s="5" t="str">
        <f t="shared" si="6"/>
        <v>New York</v>
      </c>
      <c r="Q2230" s="5" t="str">
        <f t="shared" si="7"/>
        <v>New York</v>
      </c>
      <c r="R2230" s="5" t="str">
        <f t="shared" si="8"/>
        <v>United States</v>
      </c>
    </row>
    <row r="2231">
      <c r="A2231" s="7" t="s">
        <v>138</v>
      </c>
      <c r="B2231" s="5" t="s">
        <v>135</v>
      </c>
      <c r="C2231" s="5" t="s">
        <v>25</v>
      </c>
      <c r="D2231" s="6" t="s">
        <v>13</v>
      </c>
      <c r="E2231" s="5" t="s">
        <v>14</v>
      </c>
      <c r="F2231" s="5" t="s">
        <v>136</v>
      </c>
      <c r="G2231" s="5" t="s">
        <v>137</v>
      </c>
      <c r="H2231" s="5" t="s">
        <v>137</v>
      </c>
      <c r="I2231" s="5" t="s">
        <v>18</v>
      </c>
      <c r="J2231" s="9" t="str">
        <f>IFERROR(__xludf.DUMMYFUNCTION("""COMPUTED_VALUE"""),"https://www.google.com/search?newwindow=1&amp;ei=2MT0XrvGGM-vytMP1OyDgAY&amp;q=site%3Alinkedin.com+Danielle+Sirubi+Assistant+Vice+President,+Campus+Recruiter+-+Banking,+Capital+Markets+&amp;+Advisory+Citi")</f>
        <v>https://www.google.com/search?newwindow=1&amp;ei=2MT0XrvGGM-vytMP1OyDgAY&amp;q=site%3Alinkedin.com+Danielle+Sirubi+Assistant+Vice+President,+Campus+Recruiter+-+Banking,+Capital+Markets+&amp;+Advisory+Citi</v>
      </c>
      <c r="K2231" s="5" t="str">
        <f t="shared" si="1"/>
        <v>Danielle Sirubi</v>
      </c>
      <c r="L2231" s="5" t="str">
        <f t="shared" si="2"/>
        <v>Assistant Vice President, Campus Recruiter - Banking, Capital Markets &amp; Advisory</v>
      </c>
      <c r="M2231" s="5" t="str">
        <f t="shared" si="3"/>
        <v> </v>
      </c>
      <c r="N2231" s="5" t="str">
        <f t="shared" si="4"/>
        <v>Citi</v>
      </c>
      <c r="O2231" s="5" t="str">
        <f t="shared" si="5"/>
        <v>1 year  in role</v>
      </c>
      <c r="P2231" s="5" t="str">
        <f t="shared" si="6"/>
        <v>New York</v>
      </c>
      <c r="Q2231" s="5" t="str">
        <f t="shared" si="7"/>
        <v>New York</v>
      </c>
      <c r="R2231" s="5" t="str">
        <f t="shared" si="8"/>
        <v>United States</v>
      </c>
    </row>
    <row r="2232">
      <c r="A2232" s="7" t="s">
        <v>141</v>
      </c>
      <c r="B2232" s="5" t="s">
        <v>139</v>
      </c>
      <c r="C2232" s="5" t="s">
        <v>140</v>
      </c>
      <c r="D2232" s="6" t="s">
        <v>13</v>
      </c>
      <c r="E2232" s="5" t="s">
        <v>14</v>
      </c>
      <c r="G2232" s="5" t="s">
        <v>137</v>
      </c>
      <c r="H2232" s="5" t="s">
        <v>137</v>
      </c>
      <c r="I2232" s="5" t="s">
        <v>18</v>
      </c>
      <c r="J2232" s="9" t="str">
        <f>IFERROR(__xludf.DUMMYFUNCTION("""COMPUTED_VALUE"""),"https://www.google.com/search?newwindow=1&amp;ei=2MT0XrvGGM-vytMP1OyDgAY&amp;q=site%3Alinkedin.com+Michelle+D'Erario+Assistant+Vice+President,+Campus+Recruiter+Citi")</f>
        <v>https://www.google.com/search?newwindow=1&amp;ei=2MT0XrvGGM-vytMP1OyDgAY&amp;q=site%3Alinkedin.com+Michelle+D'Erario+Assistant+Vice+President,+Campus+Recruiter+Citi</v>
      </c>
      <c r="K2232" s="5" t="str">
        <f t="shared" si="1"/>
        <v>Michelle D'Erario</v>
      </c>
      <c r="L2232" s="5" t="str">
        <f t="shared" si="2"/>
        <v>Assistant Vice President, Campus Recruiter</v>
      </c>
      <c r="M2232" s="5" t="str">
        <f t="shared" si="3"/>
        <v> </v>
      </c>
      <c r="N2232" s="5" t="str">
        <f t="shared" si="4"/>
        <v>Citi</v>
      </c>
      <c r="O2232" s="5" t="str">
        <f t="shared" si="5"/>
        <v>2 years  in role and company</v>
      </c>
      <c r="P2232" s="5" t="str">
        <f t="shared" si="6"/>
        <v>New York</v>
      </c>
      <c r="Q2232" s="5" t="str">
        <f t="shared" si="7"/>
        <v>New York</v>
      </c>
      <c r="R2232" s="5" t="str">
        <f t="shared" si="8"/>
        <v>United States</v>
      </c>
    </row>
    <row r="2233">
      <c r="A2233" s="7" t="s">
        <v>145</v>
      </c>
      <c r="B2233" s="5" t="s">
        <v>142</v>
      </c>
      <c r="C2233" s="5" t="s">
        <v>143</v>
      </c>
      <c r="D2233" s="6" t="s">
        <v>13</v>
      </c>
      <c r="E2233" s="5" t="s">
        <v>14</v>
      </c>
      <c r="F2233" s="5" t="s">
        <v>144</v>
      </c>
      <c r="G2233" s="5" t="s">
        <v>137</v>
      </c>
      <c r="H2233" s="5" t="s">
        <v>137</v>
      </c>
      <c r="I2233" s="5" t="s">
        <v>18</v>
      </c>
      <c r="J2233" s="9" t="str">
        <f>IFERROR(__xludf.DUMMYFUNCTION("""COMPUTED_VALUE"""),"https://www.google.com/search?newwindow=1&amp;ei=2MT0XrvGGM-vytMP1OyDgAY&amp;q=site%3Alinkedin.com+Rhiannon+(Anna)+C.+Campus+Recruiter+Coordinator+Citi")</f>
        <v>https://www.google.com/search?newwindow=1&amp;ei=2MT0XrvGGM-vytMP1OyDgAY&amp;q=site%3Alinkedin.com+Rhiannon+(Anna)+C.+Campus+Recruiter+Coordinator+Citi</v>
      </c>
      <c r="K2233" s="5" t="str">
        <f t="shared" si="1"/>
        <v>Rhiannon (Anna) C.</v>
      </c>
      <c r="L2233" s="5" t="str">
        <f t="shared" si="2"/>
        <v>Campus Recruiter Coordinator</v>
      </c>
      <c r="M2233" s="5" t="str">
        <f t="shared" si="3"/>
        <v> </v>
      </c>
      <c r="N2233" s="5" t="str">
        <f t="shared" si="4"/>
        <v>Citi</v>
      </c>
      <c r="O2233" s="5" t="str">
        <f t="shared" si="5"/>
        <v>2 years 5 months in role and company</v>
      </c>
      <c r="P2233" s="5" t="str">
        <f t="shared" si="6"/>
        <v>New York</v>
      </c>
      <c r="Q2233" s="5" t="str">
        <f t="shared" si="7"/>
        <v>New York</v>
      </c>
      <c r="R2233" s="5" t="str">
        <f t="shared" si="8"/>
        <v>United States</v>
      </c>
    </row>
    <row r="2234">
      <c r="A2234" s="7" t="s">
        <v>147</v>
      </c>
      <c r="B2234" s="5" t="s">
        <v>146</v>
      </c>
      <c r="C2234" s="5" t="s">
        <v>25</v>
      </c>
      <c r="D2234" s="6" t="s">
        <v>13</v>
      </c>
      <c r="E2234" s="5" t="s">
        <v>14</v>
      </c>
      <c r="F2234" s="5" t="s">
        <v>36</v>
      </c>
      <c r="G2234" s="5" t="s">
        <v>137</v>
      </c>
      <c r="H2234" s="5" t="s">
        <v>137</v>
      </c>
      <c r="I2234" s="5" t="s">
        <v>18</v>
      </c>
      <c r="J2234" s="9" t="str">
        <f>IFERROR(__xludf.DUMMYFUNCTION("""COMPUTED_VALUE"""),"https://www.google.com/search?newwindow=1&amp;ei=2MT0XrvGGM-vytMP1OyDgAY&amp;q=site%3Alinkedin.com+Xavien+Jackson+Campus+Recruiter+Citi")</f>
        <v>https://www.google.com/search?newwindow=1&amp;ei=2MT0XrvGGM-vytMP1OyDgAY&amp;q=site%3Alinkedin.com+Xavien+Jackson+Campus+Recruiter+Citi</v>
      </c>
      <c r="K2234" s="5" t="str">
        <f t="shared" si="1"/>
        <v>Xavien Jackson</v>
      </c>
      <c r="L2234" s="5" t="str">
        <f t="shared" si="2"/>
        <v>Campus Recruiter</v>
      </c>
      <c r="M2234" s="5" t="str">
        <f t="shared" si="3"/>
        <v> </v>
      </c>
      <c r="N2234" s="5" t="str">
        <f t="shared" si="4"/>
        <v>Citi</v>
      </c>
      <c r="O2234" s="5" t="str">
        <f t="shared" si="5"/>
        <v>3 years 4 months in role and company</v>
      </c>
      <c r="P2234" s="5" t="str">
        <f t="shared" si="6"/>
        <v>Tampa</v>
      </c>
      <c r="Q2234" s="5" t="str">
        <f t="shared" si="7"/>
        <v>Florida</v>
      </c>
      <c r="R2234" s="5" t="str">
        <f t="shared" si="8"/>
        <v>United States</v>
      </c>
    </row>
    <row r="2235">
      <c r="A2235" s="7" t="s">
        <v>151</v>
      </c>
      <c r="B2235" s="5" t="s">
        <v>148</v>
      </c>
      <c r="C2235" s="5" t="s">
        <v>25</v>
      </c>
      <c r="D2235" s="6" t="s">
        <v>13</v>
      </c>
      <c r="E2235" s="5" t="s">
        <v>14</v>
      </c>
      <c r="F2235" s="5" t="s">
        <v>149</v>
      </c>
      <c r="G2235" s="5" t="s">
        <v>150</v>
      </c>
      <c r="H2235" s="5" t="s">
        <v>44</v>
      </c>
      <c r="I2235" s="5" t="s">
        <v>18</v>
      </c>
      <c r="J2235" s="9" t="str">
        <f>IFERROR(__xludf.DUMMYFUNCTION("""COMPUTED_VALUE"""),"https://www.google.com/search?newwindow=1&amp;ei=2MT0XrvGGM-vytMP1OyDgAY&amp;q=site%3Alinkedin.com+Kate+Myers+Campus+Recruiter+Citigroup")</f>
        <v>https://www.google.com/search?newwindow=1&amp;ei=2MT0XrvGGM-vytMP1OyDgAY&amp;q=site%3Alinkedin.com+Kate+Myers+Campus+Recruiter+Citigroup</v>
      </c>
      <c r="K2235" s="5" t="str">
        <f t="shared" si="1"/>
        <v>Kate Myers</v>
      </c>
      <c r="L2235" s="5" t="str">
        <f t="shared" si="2"/>
        <v>Campus Recruiter</v>
      </c>
      <c r="M2235" s="5" t="str">
        <f t="shared" si="3"/>
        <v> </v>
      </c>
      <c r="N2235" s="5" t="str">
        <f t="shared" si="4"/>
        <v>Citi</v>
      </c>
      <c r="O2235" s="5" t="str">
        <f t="shared" si="5"/>
        <v>15 years 5 months in role and company</v>
      </c>
      <c r="P2235" s="5" t="str">
        <f t="shared" si="6"/>
        <v>Union City</v>
      </c>
      <c r="Q2235" s="5" t="str">
        <f t="shared" si="7"/>
        <v>New Jersey</v>
      </c>
      <c r="R2235" s="5" t="str">
        <f t="shared" si="8"/>
        <v>United States</v>
      </c>
    </row>
    <row r="2236">
      <c r="A2236" s="7" t="s">
        <v>155</v>
      </c>
      <c r="B2236" s="5" t="s">
        <v>152</v>
      </c>
      <c r="C2236" s="5" t="s">
        <v>25</v>
      </c>
      <c r="D2236" s="6" t="s">
        <v>13</v>
      </c>
      <c r="E2236" s="5" t="s">
        <v>14</v>
      </c>
      <c r="F2236" s="5" t="s">
        <v>111</v>
      </c>
      <c r="G2236" s="5" t="s">
        <v>153</v>
      </c>
      <c r="H2236" s="5" t="s">
        <v>154</v>
      </c>
      <c r="I2236" s="5" t="s">
        <v>18</v>
      </c>
      <c r="J2236" s="9" t="str">
        <f>IFERROR(__xludf.DUMMYFUNCTION("""COMPUTED_VALUE"""),"https://www.google.com/search?newwindow=1&amp;ei=2MT0XrvGGM-vytMP1OyDgAY&amp;q=site%3Alinkedin.com+Kalli+Brooks+University+Sourcing+Recruiter+Citrix")</f>
        <v>https://www.google.com/search?newwindow=1&amp;ei=2MT0XrvGGM-vytMP1OyDgAY&amp;q=site%3Alinkedin.com+Kalli+Brooks+University+Sourcing+Recruiter+Citrix</v>
      </c>
      <c r="K2236" s="5" t="str">
        <f t="shared" si="1"/>
        <v>Kalli Brooks</v>
      </c>
      <c r="L2236" s="5" t="str">
        <f t="shared" si="2"/>
        <v>University Sourcing Recruiter</v>
      </c>
      <c r="M2236" s="5" t="str">
        <f t="shared" si="3"/>
        <v> </v>
      </c>
      <c r="N2236" s="5" t="str">
        <f t="shared" si="4"/>
        <v>Citrix</v>
      </c>
      <c r="O2236" s="5" t="str">
        <f t="shared" si="5"/>
        <v>4 months in role</v>
      </c>
      <c r="P2236" s="5" t="str">
        <f t="shared" si="6"/>
        <v>Fort Lauderdale</v>
      </c>
      <c r="Q2236" s="5" t="str">
        <f t="shared" si="7"/>
        <v>Florida</v>
      </c>
      <c r="R2236" s="5" t="str">
        <f t="shared" si="8"/>
        <v>United States</v>
      </c>
    </row>
    <row r="2237">
      <c r="A2237" s="7" t="s">
        <v>158</v>
      </c>
      <c r="B2237" s="5" t="s">
        <v>156</v>
      </c>
      <c r="C2237" s="5" t="s">
        <v>157</v>
      </c>
      <c r="D2237" s="6" t="s">
        <v>13</v>
      </c>
      <c r="E2237" s="5" t="s">
        <v>14</v>
      </c>
      <c r="F2237" s="5" t="s">
        <v>94</v>
      </c>
      <c r="G2237" s="5" t="s">
        <v>153</v>
      </c>
      <c r="H2237" s="5" t="s">
        <v>154</v>
      </c>
      <c r="I2237" s="5" t="s">
        <v>18</v>
      </c>
      <c r="J2237" s="9" t="str">
        <f>IFERROR(__xludf.DUMMYFUNCTION("""COMPUTED_VALUE"""),"https://www.google.com/search?newwindow=1&amp;ei=2MT0XrvGGM-vytMP1OyDgAY&amp;q=site%3Alinkedin.com+Kamor+Brown+University+Recruiter+Citrix")</f>
        <v>https://www.google.com/search?newwindow=1&amp;ei=2MT0XrvGGM-vytMP1OyDgAY&amp;q=site%3Alinkedin.com+Kamor+Brown+University+Recruiter+Citrix</v>
      </c>
      <c r="K2237" s="5" t="str">
        <f t="shared" si="1"/>
        <v>Kamor Brown</v>
      </c>
      <c r="L2237" s="5" t="str">
        <f t="shared" si="2"/>
        <v>University Recruiter</v>
      </c>
      <c r="M2237" s="5" t="str">
        <f t="shared" si="3"/>
        <v> </v>
      </c>
      <c r="N2237" s="5" t="str">
        <f t="shared" si="4"/>
        <v>Citrix</v>
      </c>
      <c r="O2237" s="5" t="str">
        <f t="shared" si="5"/>
        <v>2 years  in role and company</v>
      </c>
      <c r="P2237" s="5" t="str">
        <f t="shared" si="6"/>
        <v>Fort Lauderdale</v>
      </c>
      <c r="Q2237" s="5" t="str">
        <f t="shared" si="7"/>
        <v>Florida</v>
      </c>
      <c r="R2237" s="5" t="str">
        <f t="shared" si="8"/>
        <v>United States</v>
      </c>
    </row>
    <row r="2238">
      <c r="A2238" s="7" t="s">
        <v>161</v>
      </c>
      <c r="B2238" s="5" t="s">
        <v>159</v>
      </c>
      <c r="C2238" s="5" t="s">
        <v>160</v>
      </c>
      <c r="D2238" s="6" t="s">
        <v>13</v>
      </c>
      <c r="E2238" s="5" t="s">
        <v>14</v>
      </c>
      <c r="F2238" s="5" t="s">
        <v>79</v>
      </c>
      <c r="G2238" s="5" t="s">
        <v>153</v>
      </c>
      <c r="H2238" s="5" t="s">
        <v>154</v>
      </c>
      <c r="I2238" s="5" t="s">
        <v>18</v>
      </c>
      <c r="J2238" s="9" t="str">
        <f>IFERROR(__xludf.DUMMYFUNCTION("""COMPUTED_VALUE"""),"https://www.google.com/search?newwindow=1&amp;ei=2MT0XrvGGM-vytMP1OyDgAY&amp;q=site%3Alinkedin.com+Amy+Grant+University+Recruiter,+Americas+Engineering+Citrix")</f>
        <v>https://www.google.com/search?newwindow=1&amp;ei=2MT0XrvGGM-vytMP1OyDgAY&amp;q=site%3Alinkedin.com+Amy+Grant+University+Recruiter,+Americas+Engineering+Citrix</v>
      </c>
      <c r="K2238" s="5" t="str">
        <f t="shared" si="1"/>
        <v>Amy Grant</v>
      </c>
      <c r="L2238" s="5" t="str">
        <f t="shared" si="2"/>
        <v>University Recruiter, Americas Engineering</v>
      </c>
      <c r="M2238" s="5" t="str">
        <f t="shared" si="3"/>
        <v> </v>
      </c>
      <c r="N2238" s="5" t="str">
        <f t="shared" si="4"/>
        <v>Citrix</v>
      </c>
      <c r="O2238" s="5" t="str">
        <f t="shared" si="5"/>
        <v>4 months in role and company</v>
      </c>
      <c r="P2238" s="5" t="str">
        <f t="shared" si="6"/>
        <v>Richmond</v>
      </c>
      <c r="Q2238" s="5" t="str">
        <f t="shared" si="7"/>
        <v>Virginia</v>
      </c>
      <c r="R2238" s="5" t="str">
        <f t="shared" si="8"/>
        <v>United States</v>
      </c>
    </row>
    <row r="2239">
      <c r="A2239" s="7" t="s">
        <v>163</v>
      </c>
      <c r="B2239" s="5" t="s">
        <v>162</v>
      </c>
      <c r="C2239" s="5" t="s">
        <v>25</v>
      </c>
      <c r="D2239" s="6" t="s">
        <v>13</v>
      </c>
      <c r="E2239" s="5" t="s">
        <v>14</v>
      </c>
      <c r="F2239" s="5" t="s">
        <v>36</v>
      </c>
      <c r="G2239" s="5" t="s">
        <v>153</v>
      </c>
      <c r="H2239" s="5" t="s">
        <v>154</v>
      </c>
      <c r="I2239" s="5" t="s">
        <v>18</v>
      </c>
      <c r="J2239" s="9" t="str">
        <f>IFERROR(__xludf.DUMMYFUNCTION("""COMPUTED_VALUE"""),"https://www.google.com/search?newwindow=1&amp;ei=2MT0XrvGGM-vytMP1OyDgAY&amp;q=site%3Alinkedin.com+Stacey+Kubler+Lead+University+Recruiter+Citrix")</f>
        <v>https://www.google.com/search?newwindow=1&amp;ei=2MT0XrvGGM-vytMP1OyDgAY&amp;q=site%3Alinkedin.com+Stacey+Kubler+Lead+University+Recruiter+Citrix</v>
      </c>
      <c r="K2239" s="5" t="str">
        <f t="shared" si="1"/>
        <v>Stacey Kubler</v>
      </c>
      <c r="L2239" s="5" t="str">
        <f t="shared" si="2"/>
        <v>Lead University Recruiter</v>
      </c>
      <c r="M2239" s="5" t="str">
        <f t="shared" si="3"/>
        <v> </v>
      </c>
      <c r="N2239" s="5" t="str">
        <f t="shared" si="4"/>
        <v>Citrix</v>
      </c>
      <c r="O2239" s="5" t="str">
        <f t="shared" si="5"/>
        <v>6 years 4 months in role and company</v>
      </c>
      <c r="P2239" s="5" t="str">
        <f t="shared" si="6"/>
        <v>Tampa</v>
      </c>
      <c r="Q2239" s="5" t="str">
        <f t="shared" si="7"/>
        <v>Florida</v>
      </c>
      <c r="R2239" s="5" t="str">
        <f t="shared" si="8"/>
        <v>United States</v>
      </c>
    </row>
    <row r="2240">
      <c r="A2240" s="7" t="s">
        <v>167</v>
      </c>
      <c r="B2240" s="5" t="s">
        <v>164</v>
      </c>
      <c r="C2240" s="5" t="s">
        <v>25</v>
      </c>
      <c r="D2240" s="6" t="s">
        <v>13</v>
      </c>
      <c r="E2240" s="5" t="s">
        <v>14</v>
      </c>
      <c r="F2240" s="5" t="s">
        <v>165</v>
      </c>
      <c r="G2240" s="5" t="s">
        <v>166</v>
      </c>
      <c r="H2240" s="5" t="s">
        <v>44</v>
      </c>
      <c r="I2240" s="5" t="s">
        <v>18</v>
      </c>
      <c r="J2240" s="9" t="str">
        <f>IFERROR(__xludf.DUMMYFUNCTION("""COMPUTED_VALUE"""),"https://www.google.com/search?newwindow=1&amp;ei=2MT0XrvGGM-vytMP1OyDgAY&amp;q=site%3Alinkedin.com+Jacqueline+Kelley+University+Recruiter+Cognizant")</f>
        <v>https://www.google.com/search?newwindow=1&amp;ei=2MT0XrvGGM-vytMP1OyDgAY&amp;q=site%3Alinkedin.com+Jacqueline+Kelley+University+Recruiter+Cognizant</v>
      </c>
      <c r="K2240" s="5" t="str">
        <f t="shared" si="1"/>
        <v>Jacqueline Kelley</v>
      </c>
      <c r="L2240" s="5" t="str">
        <f t="shared" si="2"/>
        <v>University Recruiter</v>
      </c>
      <c r="M2240" s="5" t="str">
        <f t="shared" si="3"/>
        <v> </v>
      </c>
      <c r="N2240" s="5" t="str">
        <f t="shared" si="4"/>
        <v>Cognizant</v>
      </c>
      <c r="O2240" s="5" t="str">
        <f t="shared" si="5"/>
        <v>6 months in role and company</v>
      </c>
      <c r="P2240" s="5" t="str">
        <f t="shared" si="6"/>
        <v>Argyle</v>
      </c>
      <c r="Q2240" s="5" t="str">
        <f t="shared" si="7"/>
        <v>Texas</v>
      </c>
      <c r="R2240" s="5" t="str">
        <f t="shared" si="8"/>
        <v>United States</v>
      </c>
    </row>
    <row r="2241">
      <c r="A2241" s="7" t="s">
        <v>170</v>
      </c>
      <c r="B2241" s="5" t="s">
        <v>168</v>
      </c>
      <c r="C2241" s="5" t="s">
        <v>25</v>
      </c>
      <c r="D2241" s="6" t="s">
        <v>13</v>
      </c>
      <c r="E2241" s="5" t="s">
        <v>14</v>
      </c>
      <c r="F2241" s="5" t="s">
        <v>121</v>
      </c>
      <c r="G2241" s="5" t="s">
        <v>169</v>
      </c>
      <c r="H2241" s="5" t="s">
        <v>44</v>
      </c>
      <c r="I2241" s="5" t="s">
        <v>18</v>
      </c>
      <c r="J2241" s="9" t="str">
        <f>IFERROR(__xludf.DUMMYFUNCTION("""COMPUTED_VALUE"""),"https://www.google.com/search?newwindow=1&amp;ei=2MT0XrvGGM-vytMP1OyDgAY&amp;q=site%3Alinkedin.com+Gwen+Anderson+Senior+Recruiter,+North+America+Campus+Recruitment+at+Cognizant+Cognizant")</f>
        <v>https://www.google.com/search?newwindow=1&amp;ei=2MT0XrvGGM-vytMP1OyDgAY&amp;q=site%3Alinkedin.com+Gwen+Anderson+Senior+Recruiter,+North+America+Campus+Recruitment+at+Cognizant+Cognizant</v>
      </c>
      <c r="K2241" s="5" t="str">
        <f t="shared" si="1"/>
        <v>Gwen Anderson</v>
      </c>
      <c r="L2241" s="5" t="str">
        <f t="shared" si="2"/>
        <v>Senior Recruiter, North America Campus Recruitment at Cognizant</v>
      </c>
      <c r="M2241" s="5" t="str">
        <f t="shared" si="3"/>
        <v> </v>
      </c>
      <c r="N2241" s="5" t="str">
        <f t="shared" si="4"/>
        <v>Cognizant</v>
      </c>
      <c r="O2241" s="5" t="str">
        <f t="shared" si="5"/>
        <v>5 months in role</v>
      </c>
      <c r="P2241" s="5" t="str">
        <f t="shared" si="6"/>
        <v>Fort Lauderdale</v>
      </c>
      <c r="Q2241" s="5" t="str">
        <f t="shared" si="7"/>
        <v>Florida</v>
      </c>
      <c r="R2241" s="5" t="str">
        <f t="shared" si="8"/>
        <v>United States</v>
      </c>
    </row>
    <row r="2242">
      <c r="A2242" s="7" t="s">
        <v>173</v>
      </c>
      <c r="B2242" s="5" t="s">
        <v>171</v>
      </c>
      <c r="C2242" s="5" t="s">
        <v>25</v>
      </c>
      <c r="D2242" s="6" t="s">
        <v>13</v>
      </c>
      <c r="E2242" s="5" t="s">
        <v>14</v>
      </c>
      <c r="F2242" s="5" t="s">
        <v>48</v>
      </c>
      <c r="G2242" s="5" t="s">
        <v>102</v>
      </c>
      <c r="H2242" s="5" t="s">
        <v>172</v>
      </c>
      <c r="I2242" s="5" t="s">
        <v>18</v>
      </c>
      <c r="J2242" s="9" t="str">
        <f>IFERROR(__xludf.DUMMYFUNCTION("""COMPUTED_VALUE"""),"https://www.google.com/search?newwindow=1&amp;ei=2MT0XrvGGM-vytMP1OyDgAY&amp;q=site%3Alinkedin.com+Melina+Barona+(she/her),+M.Ed,+PHR+Senior+Manager+-+US+Campus+Recruiting+Cognizant+Technology+Solutions")</f>
        <v>https://www.google.com/search?newwindow=1&amp;ei=2MT0XrvGGM-vytMP1OyDgAY&amp;q=site%3Alinkedin.com+Melina+Barona+(she/her),+M.Ed,+PHR+Senior+Manager+-+US+Campus+Recruiting+Cognizant+Technology+Solutions</v>
      </c>
      <c r="K2242" s="5" t="str">
        <f t="shared" si="1"/>
        <v>Melina Barona (she/her), M.Ed, PHR</v>
      </c>
      <c r="L2242" s="5" t="str">
        <f t="shared" si="2"/>
        <v>Senior Manager - US Campus Recruiting</v>
      </c>
      <c r="M2242" s="5" t="str">
        <f t="shared" si="3"/>
        <v> </v>
      </c>
      <c r="N2242" s="5" t="str">
        <f t="shared" si="4"/>
        <v>Cognizant</v>
      </c>
      <c r="O2242" s="5" t="str">
        <f t="shared" si="5"/>
        <v>4 years 10 months in role and company</v>
      </c>
      <c r="P2242" s="5" t="str">
        <f t="shared" si="6"/>
        <v>Chicago</v>
      </c>
      <c r="Q2242" s="5" t="str">
        <f t="shared" si="7"/>
        <v>Illinois</v>
      </c>
      <c r="R2242" s="5" t="str">
        <f t="shared" si="8"/>
        <v>United States</v>
      </c>
    </row>
    <row r="2243">
      <c r="A2243" s="7" t="s">
        <v>176</v>
      </c>
      <c r="B2243" s="5" t="s">
        <v>174</v>
      </c>
      <c r="C2243" s="5" t="s">
        <v>25</v>
      </c>
      <c r="D2243" s="6" t="s">
        <v>13</v>
      </c>
      <c r="E2243" s="5" t="s">
        <v>14</v>
      </c>
      <c r="F2243" s="5" t="s">
        <v>175</v>
      </c>
      <c r="G2243" s="5" t="s">
        <v>102</v>
      </c>
      <c r="H2243" s="5" t="s">
        <v>172</v>
      </c>
      <c r="I2243" s="5" t="s">
        <v>18</v>
      </c>
      <c r="J2243" s="9" t="str">
        <f>IFERROR(__xludf.DUMMYFUNCTION("""COMPUTED_VALUE"""),"https://www.google.com/search?newwindow=1&amp;ei=2MT0XrvGGM-vytMP1OyDgAY&amp;q=site%3Alinkedin.com+Rick+Dreger+University+Relations+Recruiter+Comcast")</f>
        <v>https://www.google.com/search?newwindow=1&amp;ei=2MT0XrvGGM-vytMP1OyDgAY&amp;q=site%3Alinkedin.com+Rick+Dreger+University+Relations+Recruiter+Comcast</v>
      </c>
      <c r="K2243" s="5" t="str">
        <f t="shared" si="1"/>
        <v>Rick Dreger</v>
      </c>
      <c r="L2243" s="5" t="str">
        <f t="shared" si="2"/>
        <v>University Relations Recruiter</v>
      </c>
      <c r="M2243" s="5" t="str">
        <f t="shared" si="3"/>
        <v> </v>
      </c>
      <c r="N2243" s="5" t="str">
        <f t="shared" si="4"/>
        <v>Comcast</v>
      </c>
      <c r="O2243" s="5" t="str">
        <f t="shared" si="5"/>
        <v>1 year  in role and company</v>
      </c>
      <c r="P2243" s="5" t="str">
        <f t="shared" si="6"/>
        <v>Atlanta</v>
      </c>
      <c r="Q2243" s="5" t="str">
        <f t="shared" si="7"/>
        <v>Georgia</v>
      </c>
      <c r="R2243" s="5" t="str">
        <f t="shared" si="8"/>
        <v>United States</v>
      </c>
    </row>
    <row r="2244">
      <c r="A2244" s="7" t="s">
        <v>180</v>
      </c>
      <c r="B2244" s="5" t="s">
        <v>177</v>
      </c>
      <c r="C2244" s="5" t="s">
        <v>178</v>
      </c>
      <c r="D2244" s="6" t="s">
        <v>13</v>
      </c>
      <c r="E2244" s="5" t="s">
        <v>14</v>
      </c>
      <c r="F2244" s="5" t="s">
        <v>179</v>
      </c>
      <c r="G2244" s="5" t="s">
        <v>102</v>
      </c>
      <c r="H2244" s="5" t="s">
        <v>172</v>
      </c>
      <c r="I2244" s="5" t="s">
        <v>18</v>
      </c>
      <c r="J2244" s="9" t="str">
        <f>IFERROR(__xludf.DUMMYFUNCTION("""COMPUTED_VALUE"""),"https://www.google.com/search?newwindow=1&amp;ei=2MT0XrvGGM-vytMP1OyDgAY&amp;q=site%3Alinkedin.com+Alexandra+Riley+Zullo+Senior+University+Relations+Recruiter+Comcast")</f>
        <v>https://www.google.com/search?newwindow=1&amp;ei=2MT0XrvGGM-vytMP1OyDgAY&amp;q=site%3Alinkedin.com+Alexandra+Riley+Zullo+Senior+University+Relations+Recruiter+Comcast</v>
      </c>
      <c r="K2244" s="5" t="str">
        <f t="shared" si="1"/>
        <v>Alexandra Riley Zullo</v>
      </c>
      <c r="L2244" s="5" t="str">
        <f t="shared" si="2"/>
        <v>Senior University Relations Recruiter</v>
      </c>
      <c r="M2244" s="5" t="str">
        <f t="shared" si="3"/>
        <v> </v>
      </c>
      <c r="N2244" s="5" t="str">
        <f t="shared" si="4"/>
        <v>Comcast</v>
      </c>
      <c r="O2244" s="5" t="str">
        <f t="shared" si="5"/>
        <v>2 years 1 month in role</v>
      </c>
      <c r="P2244" s="5" t="str">
        <f t="shared" si="6"/>
        <v>Atlanta</v>
      </c>
      <c r="Q2244" s="5" t="str">
        <f t="shared" si="7"/>
        <v>Georgia</v>
      </c>
      <c r="R2244" s="5" t="str">
        <f t="shared" si="8"/>
        <v>United States</v>
      </c>
    </row>
    <row r="2245">
      <c r="A2245" s="7" t="s">
        <v>185</v>
      </c>
      <c r="B2245" s="5" t="s">
        <v>181</v>
      </c>
      <c r="C2245" s="5" t="s">
        <v>25</v>
      </c>
      <c r="D2245" s="6" t="s">
        <v>13</v>
      </c>
      <c r="E2245" s="5" t="s">
        <v>14</v>
      </c>
      <c r="F2245" s="5" t="s">
        <v>182</v>
      </c>
      <c r="G2245" s="5" t="s">
        <v>183</v>
      </c>
      <c r="H2245" s="5" t="s">
        <v>184</v>
      </c>
      <c r="I2245" s="5" t="s">
        <v>18</v>
      </c>
      <c r="J2245" s="9" t="str">
        <f>IFERROR(__xludf.DUMMYFUNCTION("""COMPUTED_VALUE"""),"https://www.google.com/search?newwindow=1&amp;ei=2MT0XrvGGM-vytMP1OyDgAY&amp;q=site%3Alinkedin.com+Christine+Kane+Employee+Engagement+Program+Manager+Comcast")</f>
        <v>https://www.google.com/search?newwindow=1&amp;ei=2MT0XrvGGM-vytMP1OyDgAY&amp;q=site%3Alinkedin.com+Christine+Kane+Employee+Engagement+Program+Manager+Comcast</v>
      </c>
      <c r="K2245" s="5" t="str">
        <f t="shared" si="1"/>
        <v>Christine Kane</v>
      </c>
      <c r="L2245" s="5" t="str">
        <f t="shared" si="2"/>
        <v>Employee Engagement Program Manager</v>
      </c>
      <c r="M2245" s="5" t="str">
        <f t="shared" si="3"/>
        <v> </v>
      </c>
      <c r="N2245" s="5" t="str">
        <f t="shared" si="4"/>
        <v>Comcast</v>
      </c>
      <c r="O2245" s="5" t="str">
        <f t="shared" si="5"/>
        <v>1 year 7 months in role</v>
      </c>
      <c r="P2245" s="5" t="str">
        <f t="shared" si="6"/>
        <v>Philadelphia</v>
      </c>
      <c r="Q2245" s="5" t="str">
        <f t="shared" si="7"/>
        <v>Pennsylvania</v>
      </c>
      <c r="R2245" s="5" t="str">
        <f t="shared" si="8"/>
        <v>United States</v>
      </c>
    </row>
    <row r="2246">
      <c r="A2246" s="8" t="s">
        <v>190</v>
      </c>
      <c r="B2246" s="5" t="s">
        <v>186</v>
      </c>
      <c r="C2246" s="5" t="s">
        <v>187</v>
      </c>
      <c r="D2246" s="6" t="s">
        <v>13</v>
      </c>
      <c r="E2246" s="5" t="s">
        <v>14</v>
      </c>
      <c r="F2246" s="5" t="s">
        <v>188</v>
      </c>
      <c r="G2246" s="5" t="s">
        <v>189</v>
      </c>
      <c r="H2246" s="5" t="s">
        <v>184</v>
      </c>
      <c r="I2246" s="5" t="s">
        <v>18</v>
      </c>
      <c r="J2246" s="9" t="str">
        <f>IFERROR(__xludf.DUMMYFUNCTION("""COMPUTED_VALUE"""),"https://www.google.com/search?newwindow=1&amp;ei=2MT0XrvGGM-vytMP1OyDgAY&amp;q=site%3Alinkedin.com+James+Wallace+Campus+Recruiter,+Cooperative+Education+Program+Comcast")</f>
        <v>https://www.google.com/search?newwindow=1&amp;ei=2MT0XrvGGM-vytMP1OyDgAY&amp;q=site%3Alinkedin.com+James+Wallace+Campus+Recruiter,+Cooperative+Education+Program+Comcast</v>
      </c>
      <c r="K2246" s="5" t="str">
        <f t="shared" si="1"/>
        <v>James Wallace</v>
      </c>
      <c r="L2246" s="5" t="str">
        <f t="shared" si="2"/>
        <v>Campus Recruiter, Cooperative Education Program</v>
      </c>
      <c r="M2246" s="5" t="str">
        <f t="shared" si="3"/>
        <v> </v>
      </c>
      <c r="N2246" s="5" t="str">
        <f t="shared" si="4"/>
        <v>Comcast</v>
      </c>
      <c r="O2246" s="5" t="str">
        <f t="shared" si="5"/>
        <v>1 year 6 months in role</v>
      </c>
      <c r="P2246" s="5" t="str">
        <f t="shared" si="6"/>
        <v>Philadelphia</v>
      </c>
      <c r="Q2246" s="5" t="str">
        <f t="shared" si="7"/>
        <v>Pennsylvania</v>
      </c>
      <c r="R2246" s="5" t="str">
        <f t="shared" si="8"/>
        <v>United States</v>
      </c>
    </row>
    <row r="2247">
      <c r="A2247" s="7" t="s">
        <v>193</v>
      </c>
      <c r="B2247" s="5" t="s">
        <v>191</v>
      </c>
      <c r="C2247" s="5" t="s">
        <v>25</v>
      </c>
      <c r="D2247" s="6" t="s">
        <v>13</v>
      </c>
      <c r="E2247" s="5" t="s">
        <v>14</v>
      </c>
      <c r="F2247" s="5" t="s">
        <v>192</v>
      </c>
      <c r="G2247" s="5" t="s">
        <v>102</v>
      </c>
      <c r="H2247" s="5" t="s">
        <v>172</v>
      </c>
      <c r="I2247" s="5" t="s">
        <v>18</v>
      </c>
      <c r="J2247" s="9" t="str">
        <f>IFERROR(__xludf.DUMMYFUNCTION("""COMPUTED_VALUE"""),"https://www.google.com/search?newwindow=1&amp;ei=2MT0XrvGGM-vytMP1OyDgAY&amp;q=site%3Alinkedin.com+Christine+Kane+University+Relations+Campus+Recruiter+Comcast")</f>
        <v>https://www.google.com/search?newwindow=1&amp;ei=2MT0XrvGGM-vytMP1OyDgAY&amp;q=site%3Alinkedin.com+Christine+Kane+University+Relations+Campus+Recruiter+Comcast</v>
      </c>
      <c r="K2247" s="5" t="str">
        <f t="shared" si="1"/>
        <v>Christine Kane</v>
      </c>
      <c r="L2247" s="5" t="str">
        <f t="shared" si="2"/>
        <v>University Relations Campus Recruiter</v>
      </c>
      <c r="M2247" s="5" t="str">
        <f t="shared" si="3"/>
        <v> </v>
      </c>
      <c r="N2247" s="5" t="str">
        <f t="shared" si="4"/>
        <v>Comcast</v>
      </c>
      <c r="O2247" s="5" t="str">
        <f t="shared" si="5"/>
        <v>3 years 2 months in role</v>
      </c>
      <c r="P2247" s="5" t="str">
        <f t="shared" si="6"/>
        <v>Philadelphia</v>
      </c>
      <c r="Q2247" s="5" t="str">
        <f t="shared" si="7"/>
        <v>Pennsylvania</v>
      </c>
      <c r="R2247" s="5" t="str">
        <f t="shared" si="8"/>
        <v>United States</v>
      </c>
    </row>
    <row r="2248">
      <c r="A2248" s="7" t="s">
        <v>195</v>
      </c>
      <c r="B2248" s="5" t="s">
        <v>194</v>
      </c>
      <c r="C2248" s="5" t="s">
        <v>32</v>
      </c>
      <c r="D2248" s="6" t="s">
        <v>13</v>
      </c>
      <c r="E2248" s="5" t="s">
        <v>14</v>
      </c>
      <c r="F2248" s="5" t="s">
        <v>36</v>
      </c>
      <c r="G2248" s="6" t="s">
        <v>64</v>
      </c>
      <c r="H2248" s="6" t="s">
        <v>65</v>
      </c>
      <c r="I2248" s="5" t="s">
        <v>18</v>
      </c>
      <c r="J2248" s="9" t="str">
        <f>IFERROR(__xludf.DUMMYFUNCTION("""COMPUTED_VALUE"""),"https://www.google.com/search?newwindow=1&amp;ei=2MT0XrvGGM-vytMP1OyDgAY&amp;q=site%3Alinkedin.com+Jon+Schulman+University+Tech+Campus+Recruiter+Comcast")</f>
        <v>https://www.google.com/search?newwindow=1&amp;ei=2MT0XrvGGM-vytMP1OyDgAY&amp;q=site%3Alinkedin.com+Jon+Schulman+University+Tech+Campus+Recruiter+Comcast</v>
      </c>
      <c r="K2248" s="5" t="str">
        <f t="shared" si="1"/>
        <v>Jon Schulman</v>
      </c>
      <c r="L2248" s="5" t="str">
        <f t="shared" si="2"/>
        <v>University Tech Campus Recruiter</v>
      </c>
      <c r="M2248" s="5" t="str">
        <f t="shared" si="3"/>
        <v> </v>
      </c>
      <c r="N2248" s="5" t="str">
        <f t="shared" si="4"/>
        <v>Comcast</v>
      </c>
      <c r="O2248" s="5" t="str">
        <f t="shared" si="5"/>
        <v>10 months in role and company</v>
      </c>
      <c r="P2248" s="5" t="str">
        <f t="shared" si="6"/>
        <v>Philadelphia</v>
      </c>
      <c r="Q2248" s="5" t="str">
        <f t="shared" si="7"/>
        <v>Pennsylvania</v>
      </c>
      <c r="R2248" s="5" t="str">
        <f t="shared" si="8"/>
        <v>United States</v>
      </c>
    </row>
    <row r="2249">
      <c r="A2249" s="8" t="s">
        <v>199</v>
      </c>
      <c r="B2249" s="5" t="s">
        <v>196</v>
      </c>
      <c r="C2249" s="5" t="s">
        <v>197</v>
      </c>
      <c r="D2249" s="6" t="s">
        <v>13</v>
      </c>
      <c r="E2249" s="5" t="s">
        <v>198</v>
      </c>
      <c r="F2249" s="5" t="s">
        <v>149</v>
      </c>
      <c r="G2249" s="5" t="s">
        <v>122</v>
      </c>
      <c r="H2249" s="5" t="s">
        <v>44</v>
      </c>
      <c r="I2249" s="5" t="s">
        <v>18</v>
      </c>
      <c r="J2249" s="9" t="str">
        <f>IFERROR(__xludf.DUMMYFUNCTION("""COMPUTED_VALUE"""),"https://www.google.com/search?newwindow=1&amp;ei=2MT0XrvGGM-vytMP1OyDgAY&amp;q=site%3Alinkedin.com+Melanie+Hunter+University+Relations+Recruiter+Comcast")</f>
        <v>https://www.google.com/search?newwindow=1&amp;ei=2MT0XrvGGM-vytMP1OyDgAY&amp;q=site%3Alinkedin.com+Melanie+Hunter+University+Relations+Recruiter+Comcast</v>
      </c>
      <c r="K2249" s="5" t="str">
        <f t="shared" si="1"/>
        <v>Melanie Hunter</v>
      </c>
      <c r="L2249" s="5" t="str">
        <f t="shared" si="2"/>
        <v>University Relations Recruiter</v>
      </c>
      <c r="M2249" s="5" t="str">
        <f t="shared" si="3"/>
        <v> </v>
      </c>
      <c r="N2249" s="5" t="str">
        <f t="shared" si="4"/>
        <v>Comcast</v>
      </c>
      <c r="O2249" s="5" t="str">
        <f t="shared" si="5"/>
        <v>1 year 8 months in role and company</v>
      </c>
      <c r="P2249" s="5" t="str">
        <f t="shared" si="6"/>
        <v>Philadelphia</v>
      </c>
      <c r="Q2249" s="5" t="str">
        <f t="shared" si="7"/>
        <v>Pennsylvania</v>
      </c>
      <c r="R2249" s="5" t="str">
        <f t="shared" si="8"/>
        <v>United States</v>
      </c>
    </row>
    <row r="2250">
      <c r="A2250" s="7" t="s">
        <v>204</v>
      </c>
      <c r="B2250" s="5" t="s">
        <v>200</v>
      </c>
      <c r="C2250" s="5" t="s">
        <v>25</v>
      </c>
      <c r="D2250" s="6" t="s">
        <v>13</v>
      </c>
      <c r="E2250" s="5" t="s">
        <v>201</v>
      </c>
      <c r="F2250" s="5" t="s">
        <v>42</v>
      </c>
      <c r="G2250" s="5" t="s">
        <v>202</v>
      </c>
      <c r="H2250" s="5" t="s">
        <v>203</v>
      </c>
      <c r="I2250" s="5" t="s">
        <v>18</v>
      </c>
      <c r="J2250" s="9" t="str">
        <f>IFERROR(__xludf.DUMMYFUNCTION("""COMPUTED_VALUE"""),"https://www.google.com/search?newwindow=1&amp;ei=2MT0XrvGGM-vytMP1OyDgAY&amp;q=site%3Alinkedin.com+Erin+Kantner+MBA+Campus+Recruiter+&amp;+Program+Manager+Comcast")</f>
        <v>https://www.google.com/search?newwindow=1&amp;ei=2MT0XrvGGM-vytMP1OyDgAY&amp;q=site%3Alinkedin.com+Erin+Kantner+MBA+Campus+Recruiter+&amp;+Program+Manager+Comcast</v>
      </c>
      <c r="K2250" s="5" t="str">
        <f t="shared" si="1"/>
        <v>Erin Kantner</v>
      </c>
      <c r="L2250" s="5" t="str">
        <f t="shared" si="2"/>
        <v>MBA Campus Recruiter &amp; Program Manager</v>
      </c>
      <c r="M2250" s="5" t="str">
        <f t="shared" si="3"/>
        <v>MBA</v>
      </c>
      <c r="N2250" s="5" t="str">
        <f t="shared" si="4"/>
        <v>Comcast</v>
      </c>
      <c r="O2250" s="5" t="str">
        <f t="shared" si="5"/>
        <v>2 years 7 months in role</v>
      </c>
      <c r="P2250" s="5" t="str">
        <f t="shared" si="6"/>
        <v>Philadelphia</v>
      </c>
      <c r="Q2250" s="5" t="str">
        <f t="shared" si="7"/>
        <v>Pennsylvania</v>
      </c>
      <c r="R2250" s="5" t="str">
        <f t="shared" si="8"/>
        <v>United States</v>
      </c>
    </row>
    <row r="2251">
      <c r="A2251" s="8" t="s">
        <v>208</v>
      </c>
      <c r="B2251" s="5" t="s">
        <v>205</v>
      </c>
      <c r="C2251" s="5" t="s">
        <v>206</v>
      </c>
      <c r="D2251" s="6" t="s">
        <v>13</v>
      </c>
      <c r="E2251" s="5" t="s">
        <v>201</v>
      </c>
      <c r="F2251" s="5" t="s">
        <v>207</v>
      </c>
      <c r="G2251" s="5" t="s">
        <v>49</v>
      </c>
      <c r="H2251" s="5" t="s">
        <v>50</v>
      </c>
      <c r="I2251" s="5" t="s">
        <v>18</v>
      </c>
      <c r="J2251" s="9" t="str">
        <f>IFERROR(__xludf.DUMMYFUNCTION("""COMPUTED_VALUE"""),"https://www.google.com/search?newwindow=1&amp;ei=2MT0XrvGGM-vytMP1OyDgAY&amp;q=site%3Alinkedin.com+Kyle+Pagan+Talent+Brand+Marketing+Specialist/Campus+Recruiter+Comcast")</f>
        <v>https://www.google.com/search?newwindow=1&amp;ei=2MT0XrvGGM-vytMP1OyDgAY&amp;q=site%3Alinkedin.com+Kyle+Pagan+Talent+Brand+Marketing+Specialist/Campus+Recruiter+Comcast</v>
      </c>
      <c r="K2251" s="5" t="str">
        <f t="shared" si="1"/>
        <v>Kyle Pagan</v>
      </c>
      <c r="L2251" s="5" t="str">
        <f t="shared" si="2"/>
        <v>Talent Brand Marketing Specialist/Campus Recruiter</v>
      </c>
      <c r="M2251" s="5" t="str">
        <f t="shared" si="3"/>
        <v> </v>
      </c>
      <c r="N2251" s="5" t="str">
        <f t="shared" si="4"/>
        <v>Comcast</v>
      </c>
      <c r="O2251" s="5" t="str">
        <f t="shared" si="5"/>
        <v>3 years 2 months in role</v>
      </c>
      <c r="P2251" s="5" t="str">
        <f t="shared" si="6"/>
        <v>Philadelphia</v>
      </c>
      <c r="Q2251" s="5" t="str">
        <f t="shared" si="7"/>
        <v>Pennsylvania</v>
      </c>
      <c r="R2251" s="5" t="str">
        <f t="shared" si="8"/>
        <v>United States</v>
      </c>
    </row>
    <row r="2252">
      <c r="A2252" s="8" t="s">
        <v>210</v>
      </c>
      <c r="B2252" s="5" t="s">
        <v>209</v>
      </c>
      <c r="C2252" s="5" t="s">
        <v>25</v>
      </c>
      <c r="D2252" s="6" t="s">
        <v>13</v>
      </c>
      <c r="E2252" s="5" t="s">
        <v>201</v>
      </c>
      <c r="F2252" s="5" t="s">
        <v>165</v>
      </c>
      <c r="G2252" s="5" t="s">
        <v>80</v>
      </c>
      <c r="H2252" s="5" t="s">
        <v>38</v>
      </c>
      <c r="I2252" s="5" t="s">
        <v>18</v>
      </c>
      <c r="J2252" s="9" t="str">
        <f>IFERROR(__xludf.DUMMYFUNCTION("""COMPUTED_VALUE"""),"https://www.google.com/search?newwindow=1&amp;ei=2MT0XrvGGM-vytMP1OyDgAY&amp;q=site%3Alinkedin.com+Ann.+Scarp+Campus+Recruiter+Credit+Suisse")</f>
        <v>https://www.google.com/search?newwindow=1&amp;ei=2MT0XrvGGM-vytMP1OyDgAY&amp;q=site%3Alinkedin.com+Ann.+Scarp+Campus+Recruiter+Credit+Suisse</v>
      </c>
      <c r="K2252" s="5" t="str">
        <f t="shared" si="1"/>
        <v>Ann. Scarp</v>
      </c>
      <c r="L2252" s="5" t="str">
        <f t="shared" si="2"/>
        <v>Campus Recruiter</v>
      </c>
      <c r="M2252" s="5" t="str">
        <f t="shared" si="3"/>
        <v> </v>
      </c>
      <c r="N2252" s="5" t="str">
        <f t="shared" si="4"/>
        <v>Credit Suisse</v>
      </c>
      <c r="O2252" s="5" t="str">
        <f t="shared" si="5"/>
        <v/>
      </c>
      <c r="P2252" s="5" t="str">
        <f t="shared" si="6"/>
        <v>Hoboken</v>
      </c>
      <c r="Q2252" s="5" t="str">
        <f t="shared" si="7"/>
        <v>New Jersey</v>
      </c>
      <c r="R2252" s="5" t="str">
        <f t="shared" si="8"/>
        <v>United States</v>
      </c>
    </row>
    <row r="2253">
      <c r="A2253" s="7" t="s">
        <v>215</v>
      </c>
      <c r="B2253" s="5" t="s">
        <v>211</v>
      </c>
      <c r="C2253" s="5" t="s">
        <v>212</v>
      </c>
      <c r="D2253" s="6" t="s">
        <v>13</v>
      </c>
      <c r="E2253" s="5" t="s">
        <v>201</v>
      </c>
      <c r="F2253" s="5" t="s">
        <v>213</v>
      </c>
      <c r="G2253" s="5" t="s">
        <v>214</v>
      </c>
      <c r="H2253" s="5" t="s">
        <v>76</v>
      </c>
      <c r="I2253" s="5" t="s">
        <v>18</v>
      </c>
      <c r="J2253" s="9" t="str">
        <f>IFERROR(__xludf.DUMMYFUNCTION("""COMPUTED_VALUE"""),"https://www.google.com/search?newwindow=1&amp;ei=2MT0XrvGGM-vytMP1OyDgAY&amp;q=site%3Alinkedin.com+Rachael+Schutzbank+AVP,+Campus+Recruiter,+Investment+Banking+&amp;+Capital+Markets+Credit+Suisse")</f>
        <v>https://www.google.com/search?newwindow=1&amp;ei=2MT0XrvGGM-vytMP1OyDgAY&amp;q=site%3Alinkedin.com+Rachael+Schutzbank+AVP,+Campus+Recruiter,+Investment+Banking+&amp;+Capital+Markets+Credit+Suisse</v>
      </c>
      <c r="K2253" s="5" t="str">
        <f t="shared" si="1"/>
        <v>Rachael Schutzbank</v>
      </c>
      <c r="L2253" s="5" t="str">
        <f t="shared" si="2"/>
        <v>AVP, Campus Recruiter, Investment Banking &amp; Capital Markets</v>
      </c>
      <c r="M2253" s="5" t="str">
        <f t="shared" si="3"/>
        <v> </v>
      </c>
      <c r="N2253" s="5" t="str">
        <f t="shared" si="4"/>
        <v>Credit Suisse</v>
      </c>
      <c r="O2253" s="5" t="str">
        <f t="shared" si="5"/>
        <v>3 years 9 months in role and company</v>
      </c>
      <c r="P2253" s="5" t="str">
        <f t="shared" si="6"/>
        <v>New York</v>
      </c>
      <c r="Q2253" s="5" t="str">
        <f t="shared" si="7"/>
        <v>New York</v>
      </c>
      <c r="R2253" s="5" t="str">
        <f t="shared" si="8"/>
        <v>United States</v>
      </c>
    </row>
    <row r="2254">
      <c r="A2254" s="7" t="s">
        <v>220</v>
      </c>
      <c r="B2254" s="5" t="s">
        <v>216</v>
      </c>
      <c r="C2254" s="5" t="s">
        <v>25</v>
      </c>
      <c r="D2254" s="6" t="s">
        <v>13</v>
      </c>
      <c r="E2254" s="5" t="s">
        <v>201</v>
      </c>
      <c r="F2254" s="5" t="s">
        <v>217</v>
      </c>
      <c r="G2254" s="5" t="s">
        <v>218</v>
      </c>
      <c r="H2254" s="5" t="s">
        <v>219</v>
      </c>
      <c r="I2254" s="5" t="s">
        <v>18</v>
      </c>
      <c r="J2254" s="9" t="str">
        <f>IFERROR(__xludf.DUMMYFUNCTION("""COMPUTED_VALUE"""),"https://www.google.com/search?newwindow=1&amp;ei=2MT0XrvGGM-vytMP1OyDgAY&amp;q=site%3Alinkedin.com+Allison+Group+Investment+Banking+Campus+Recruiter+Credit+Suisse")</f>
        <v>https://www.google.com/search?newwindow=1&amp;ei=2MT0XrvGGM-vytMP1OyDgAY&amp;q=site%3Alinkedin.com+Allison+Group+Investment+Banking+Campus+Recruiter+Credit+Suisse</v>
      </c>
      <c r="K2254" s="5" t="str">
        <f t="shared" si="1"/>
        <v>Allison Group</v>
      </c>
      <c r="L2254" s="5" t="str">
        <f t="shared" si="2"/>
        <v>Investment Banking Campus Recruiter</v>
      </c>
      <c r="M2254" s="5" t="str">
        <f t="shared" si="3"/>
        <v> </v>
      </c>
      <c r="N2254" s="5" t="str">
        <f t="shared" si="4"/>
        <v>Credit Suisse</v>
      </c>
      <c r="O2254" s="5" t="str">
        <f t="shared" si="5"/>
        <v>9 years 9 months in role and company</v>
      </c>
      <c r="P2254" s="5" t="str">
        <f t="shared" si="6"/>
        <v>New York</v>
      </c>
      <c r="Q2254" s="5" t="str">
        <f t="shared" si="7"/>
        <v>New York</v>
      </c>
      <c r="R2254" s="5" t="str">
        <f t="shared" si="8"/>
        <v>United States</v>
      </c>
    </row>
    <row r="2255">
      <c r="A2255" s="7" t="s">
        <v>225</v>
      </c>
      <c r="B2255" s="5" t="s">
        <v>221</v>
      </c>
      <c r="C2255" s="5" t="s">
        <v>25</v>
      </c>
      <c r="D2255" s="6" t="s">
        <v>13</v>
      </c>
      <c r="E2255" s="5" t="s">
        <v>201</v>
      </c>
      <c r="F2255" s="5" t="s">
        <v>222</v>
      </c>
      <c r="G2255" s="5" t="s">
        <v>223</v>
      </c>
      <c r="H2255" s="5" t="s">
        <v>224</v>
      </c>
      <c r="I2255" s="5" t="s">
        <v>18</v>
      </c>
      <c r="J2255" s="9" t="str">
        <f>IFERROR(__xludf.DUMMYFUNCTION("""COMPUTED_VALUE"""),"https://www.google.com/search?newwindow=1&amp;ei=2MT0XrvGGM-vytMP1OyDgAY&amp;q=site%3Alinkedin.com+Jennifer+Wilson+Campus+Recruiter+-+Investment+Banking+&amp;+Capital+Markets+Credit+Suisse")</f>
        <v>https://www.google.com/search?newwindow=1&amp;ei=2MT0XrvGGM-vytMP1OyDgAY&amp;q=site%3Alinkedin.com+Jennifer+Wilson+Campus+Recruiter+-+Investment+Banking+&amp;+Capital+Markets+Credit+Suisse</v>
      </c>
      <c r="K2255" s="5" t="str">
        <f t="shared" si="1"/>
        <v>Jennifer Wilson</v>
      </c>
      <c r="L2255" s="5" t="str">
        <f t="shared" si="2"/>
        <v>Campus Recruiter - Investment Banking &amp; Capital Markets</v>
      </c>
      <c r="M2255" s="5" t="str">
        <f t="shared" si="3"/>
        <v> </v>
      </c>
      <c r="N2255" s="5" t="str">
        <f t="shared" si="4"/>
        <v>Credit Suisse</v>
      </c>
      <c r="O2255" s="5" t="str">
        <f t="shared" si="5"/>
        <v>10 months in role</v>
      </c>
      <c r="P2255" s="5" t="str">
        <f t="shared" si="6"/>
        <v>New York</v>
      </c>
      <c r="Q2255" s="5" t="str">
        <f t="shared" si="7"/>
        <v>New York</v>
      </c>
      <c r="R2255" s="5" t="str">
        <f t="shared" si="8"/>
        <v>United States</v>
      </c>
    </row>
    <row r="2256">
      <c r="A2256" s="7" t="s">
        <v>230</v>
      </c>
      <c r="B2256" s="5" t="s">
        <v>226</v>
      </c>
      <c r="C2256" s="5" t="s">
        <v>110</v>
      </c>
      <c r="D2256" s="6" t="s">
        <v>13</v>
      </c>
      <c r="E2256" s="5" t="s">
        <v>227</v>
      </c>
      <c r="F2256" s="5" t="s">
        <v>228</v>
      </c>
      <c r="G2256" s="5" t="s">
        <v>229</v>
      </c>
      <c r="H2256" s="5" t="s">
        <v>86</v>
      </c>
      <c r="I2256" s="5" t="s">
        <v>18</v>
      </c>
      <c r="J2256" s="9" t="str">
        <f>IFERROR(__xludf.DUMMYFUNCTION("""COMPUTED_VALUE"""),"https://www.google.com/search?newwindow=1&amp;ei=2MT0XrvGGM-vytMP1OyDgAY&amp;q=site%3Alinkedin.com+Erin+Gross+Campus+Recruiter,+Global+Markets+&amp;+Asset+Management+Credit+Suisse")</f>
        <v>https://www.google.com/search?newwindow=1&amp;ei=2MT0XrvGGM-vytMP1OyDgAY&amp;q=site%3Alinkedin.com+Erin+Gross+Campus+Recruiter,+Global+Markets+&amp;+Asset+Management+Credit+Suisse</v>
      </c>
      <c r="K2256" s="5" t="str">
        <f t="shared" si="1"/>
        <v>Erin Gross</v>
      </c>
      <c r="L2256" s="5" t="str">
        <f t="shared" si="2"/>
        <v>Campus Recruiter, Global Markets &amp; Asset Management</v>
      </c>
      <c r="M2256" s="5" t="str">
        <f t="shared" si="3"/>
        <v> </v>
      </c>
      <c r="N2256" s="5" t="str">
        <f t="shared" si="4"/>
        <v>Credit Suisse</v>
      </c>
      <c r="O2256" s="5" t="str">
        <f t="shared" si="5"/>
        <v>2 years 5 months in role</v>
      </c>
      <c r="P2256" s="5" t="str">
        <f t="shared" si="6"/>
        <v>New York</v>
      </c>
      <c r="Q2256" s="5" t="str">
        <f t="shared" si="7"/>
        <v>New York</v>
      </c>
      <c r="R2256" s="5" t="str">
        <f t="shared" si="8"/>
        <v>United States</v>
      </c>
    </row>
    <row r="2257">
      <c r="A2257" s="7" t="s">
        <v>234</v>
      </c>
      <c r="B2257" s="5" t="s">
        <v>231</v>
      </c>
      <c r="C2257" s="5" t="s">
        <v>232</v>
      </c>
      <c r="D2257" s="6" t="s">
        <v>13</v>
      </c>
      <c r="E2257" s="5" t="s">
        <v>227</v>
      </c>
      <c r="F2257" s="5" t="s">
        <v>233</v>
      </c>
      <c r="G2257" s="5" t="s">
        <v>37</v>
      </c>
      <c r="H2257" s="5" t="s">
        <v>38</v>
      </c>
      <c r="I2257" s="5" t="s">
        <v>18</v>
      </c>
      <c r="J2257" s="9" t="str">
        <f>IFERROR(__xludf.DUMMYFUNCTION("""COMPUTED_VALUE"""),"https://www.google.com/search?newwindow=1&amp;ei=2MT0XrvGGM-vytMP1OyDgAY&amp;q=site%3Alinkedin.com+Kezia+Gibbs+Campus+Recruiter+Credit+Suisse")</f>
        <v>https://www.google.com/search?newwindow=1&amp;ei=2MT0XrvGGM-vytMP1OyDgAY&amp;q=site%3Alinkedin.com+Kezia+Gibbs+Campus+Recruiter+Credit+Suisse</v>
      </c>
      <c r="K2257" s="5" t="str">
        <f t="shared" si="1"/>
        <v>Kezia Gibbs</v>
      </c>
      <c r="L2257" s="5" t="str">
        <f t="shared" si="2"/>
        <v>Campus Recruiter</v>
      </c>
      <c r="M2257" s="5" t="str">
        <f t="shared" si="3"/>
        <v> </v>
      </c>
      <c r="N2257" s="5" t="str">
        <f t="shared" si="4"/>
        <v>Credit Suisse</v>
      </c>
      <c r="O2257" s="5" t="str">
        <f t="shared" si="5"/>
        <v>3 years 1 month in role and company</v>
      </c>
      <c r="P2257" s="5" t="str">
        <f t="shared" si="6"/>
        <v>New York</v>
      </c>
      <c r="Q2257" s="5" t="str">
        <f t="shared" si="7"/>
        <v>New York</v>
      </c>
      <c r="R2257" s="5" t="str">
        <f t="shared" si="8"/>
        <v>United States</v>
      </c>
    </row>
    <row r="2258">
      <c r="A2258" s="7" t="s">
        <v>238</v>
      </c>
      <c r="B2258" s="5" t="s">
        <v>235</v>
      </c>
      <c r="C2258" s="5" t="s">
        <v>236</v>
      </c>
      <c r="D2258" s="6" t="s">
        <v>13</v>
      </c>
      <c r="E2258" s="5" t="s">
        <v>227</v>
      </c>
      <c r="F2258" s="5" t="s">
        <v>237</v>
      </c>
      <c r="G2258" s="6" t="s">
        <v>64</v>
      </c>
      <c r="H2258" s="6" t="s">
        <v>65</v>
      </c>
      <c r="I2258" s="5" t="s">
        <v>18</v>
      </c>
      <c r="J2258" s="9" t="str">
        <f>IFERROR(__xludf.DUMMYFUNCTION("""COMPUTED_VALUE"""),"https://www.google.com/search?newwindow=1&amp;ei=2MT0XrvGGM-vytMP1OyDgAY&amp;q=site%3Alinkedin.com+Carly+Villa+Campus+Recruiter+Credit+Suisse")</f>
        <v>https://www.google.com/search?newwindow=1&amp;ei=2MT0XrvGGM-vytMP1OyDgAY&amp;q=site%3Alinkedin.com+Carly+Villa+Campus+Recruiter+Credit+Suisse</v>
      </c>
      <c r="K2258" s="5" t="str">
        <f t="shared" si="1"/>
        <v>Carly Villa</v>
      </c>
      <c r="L2258" s="5" t="str">
        <f t="shared" si="2"/>
        <v>Campus Recruiter</v>
      </c>
      <c r="M2258" s="5" t="str">
        <f t="shared" si="3"/>
        <v> </v>
      </c>
      <c r="N2258" s="5" t="str">
        <f t="shared" si="4"/>
        <v>Credit Suisse</v>
      </c>
      <c r="O2258" s="5" t="str">
        <f t="shared" si="5"/>
        <v>1 year 2 months in role and company</v>
      </c>
      <c r="P2258" s="5" t="str">
        <f t="shared" si="6"/>
        <v>Raleigh</v>
      </c>
      <c r="Q2258" s="5" t="str">
        <f t="shared" si="7"/>
        <v>North Carolina</v>
      </c>
      <c r="R2258" s="5" t="str">
        <f t="shared" si="8"/>
        <v>United States</v>
      </c>
    </row>
    <row r="2259">
      <c r="A2259" s="8" t="s">
        <v>242</v>
      </c>
      <c r="B2259" s="5" t="s">
        <v>239</v>
      </c>
      <c r="C2259" s="5" t="s">
        <v>240</v>
      </c>
      <c r="D2259" s="6" t="s">
        <v>4</v>
      </c>
      <c r="E2259" s="5" t="s">
        <v>227</v>
      </c>
      <c r="F2259" s="5" t="s">
        <v>241</v>
      </c>
      <c r="G2259" s="5" t="s">
        <v>85</v>
      </c>
      <c r="H2259" s="5" t="s">
        <v>86</v>
      </c>
      <c r="I2259" s="5" t="s">
        <v>18</v>
      </c>
      <c r="J2259" s="9" t="str">
        <f>IFERROR(__xludf.DUMMYFUNCTION("""COMPUTED_VALUE"""),"https://www.google.com/search?newwindow=1&amp;ei=2MT0XrvGGM-vytMP1OyDgAY&amp;q=site%3Alinkedin.com+Sean+Bea,+MBA+Campus+Recruiter+Cushman+&amp;+Wakefield")</f>
        <v>https://www.google.com/search?newwindow=1&amp;ei=2MT0XrvGGM-vytMP1OyDgAY&amp;q=site%3Alinkedin.com+Sean+Bea,+MBA+Campus+Recruiter+Cushman+&amp;+Wakefield</v>
      </c>
      <c r="K2259" s="5" t="str">
        <f t="shared" si="1"/>
        <v>Sean Bea, MBA</v>
      </c>
      <c r="L2259" s="5" t="str">
        <f t="shared" si="2"/>
        <v>Campus Recruiter</v>
      </c>
      <c r="M2259" s="5" t="str">
        <f t="shared" si="3"/>
        <v> </v>
      </c>
      <c r="N2259" s="5" t="str">
        <f t="shared" si="4"/>
        <v>Cushman &amp; Wakefield</v>
      </c>
      <c r="O2259" s="5" t="str">
        <f t="shared" si="5"/>
        <v>2 years 2 months in role and company</v>
      </c>
      <c r="P2259" s="5" t="str">
        <f t="shared" si="6"/>
        <v>Chicago</v>
      </c>
      <c r="Q2259" s="5" t="str">
        <f t="shared" si="7"/>
        <v>Illinois</v>
      </c>
      <c r="R2259" s="5" t="str">
        <f t="shared" si="8"/>
        <v>United States</v>
      </c>
    </row>
    <row r="2260">
      <c r="A2260" s="7" t="s">
        <v>245</v>
      </c>
      <c r="B2260" s="5" t="s">
        <v>243</v>
      </c>
      <c r="C2260" s="5" t="s">
        <v>244</v>
      </c>
      <c r="D2260" s="6" t="s">
        <v>13</v>
      </c>
      <c r="E2260" s="5" t="s">
        <v>227</v>
      </c>
      <c r="F2260" s="5" t="s">
        <v>237</v>
      </c>
      <c r="G2260" s="5" t="s">
        <v>85</v>
      </c>
      <c r="H2260" s="5" t="s">
        <v>86</v>
      </c>
      <c r="I2260" s="5" t="s">
        <v>18</v>
      </c>
      <c r="J2260" s="9" t="str">
        <f>IFERROR(__xludf.DUMMYFUNCTION("""COMPUTED_VALUE"""),"https://www.google.com/search?newwindow=1&amp;ei=2MT0XrvGGM-vytMP1OyDgAY&amp;q=site%3Alinkedin.com+Jill+Wormser+Campus+Recruiter+Cushman+&amp;+Wakefield")</f>
        <v>https://www.google.com/search?newwindow=1&amp;ei=2MT0XrvGGM-vytMP1OyDgAY&amp;q=site%3Alinkedin.com+Jill+Wormser+Campus+Recruiter+Cushman+&amp;+Wakefield</v>
      </c>
      <c r="K2260" s="5" t="str">
        <f t="shared" si="1"/>
        <v>Jill Wormser</v>
      </c>
      <c r="L2260" s="5" t="str">
        <f t="shared" si="2"/>
        <v>Campus Recruiter</v>
      </c>
      <c r="M2260" s="5" t="str">
        <f t="shared" si="3"/>
        <v> </v>
      </c>
      <c r="N2260" s="5" t="str">
        <f t="shared" si="4"/>
        <v>Cushman &amp; Wakefield</v>
      </c>
      <c r="O2260" s="5" t="str">
        <f t="shared" si="5"/>
        <v>2 years 3 months in role and company</v>
      </c>
      <c r="P2260" s="5" t="str">
        <f t="shared" si="6"/>
        <v>New York</v>
      </c>
      <c r="Q2260" s="5" t="str">
        <f t="shared" si="7"/>
        <v>New York</v>
      </c>
      <c r="R2260" s="5" t="str">
        <f t="shared" si="8"/>
        <v>United States</v>
      </c>
    </row>
    <row r="2261">
      <c r="A2261" s="7" t="s">
        <v>247</v>
      </c>
      <c r="B2261" s="5" t="s">
        <v>246</v>
      </c>
      <c r="C2261" s="5" t="s">
        <v>110</v>
      </c>
      <c r="D2261" s="6" t="s">
        <v>13</v>
      </c>
      <c r="E2261" s="5" t="s">
        <v>227</v>
      </c>
      <c r="F2261" s="5" t="s">
        <v>228</v>
      </c>
      <c r="G2261" s="5" t="s">
        <v>90</v>
      </c>
      <c r="H2261" s="5" t="s">
        <v>91</v>
      </c>
      <c r="I2261" s="5" t="s">
        <v>18</v>
      </c>
      <c r="J2261" s="9" t="str">
        <f>IFERROR(__xludf.DUMMYFUNCTION("""COMPUTED_VALUE"""),"https://www.google.com/search?newwindow=1&amp;ei=2MT0XrvGGM-vytMP1OyDgAY&amp;q=site%3Alinkedin.com+Amanda+Camera+Campus+Recruiter+&amp;+PREP+Manager,+West+Region+at+Cushman+&amp;+Wakefield+Cushman+&amp;+Wakefield")</f>
        <v>https://www.google.com/search?newwindow=1&amp;ei=2MT0XrvGGM-vytMP1OyDgAY&amp;q=site%3Alinkedin.com+Amanda+Camera+Campus+Recruiter+&amp;+PREP+Manager,+West+Region+at+Cushman+&amp;+Wakefield+Cushman+&amp;+Wakefield</v>
      </c>
      <c r="K2261" s="5" t="str">
        <f t="shared" si="1"/>
        <v>Amanda Camera</v>
      </c>
      <c r="L2261" s="5" t="str">
        <f t="shared" si="2"/>
        <v>Campus Recruiter &amp; PREP Manager, West Region at Cushman &amp; Wakefield</v>
      </c>
      <c r="M2261" s="5" t="str">
        <f t="shared" si="3"/>
        <v> </v>
      </c>
      <c r="N2261" s="5" t="str">
        <f t="shared" si="4"/>
        <v>Cushman &amp; Wakefield</v>
      </c>
      <c r="O2261" s="5" t="str">
        <f t="shared" si="5"/>
        <v>2 years  in role and company</v>
      </c>
      <c r="P2261" s="5" t="str">
        <f t="shared" si="6"/>
        <v>San Francisco</v>
      </c>
      <c r="Q2261" s="5" t="str">
        <f t="shared" si="7"/>
        <v>California</v>
      </c>
      <c r="R2261" s="5" t="str">
        <f t="shared" si="8"/>
        <v>United States</v>
      </c>
    </row>
    <row r="2262">
      <c r="A2262" s="7" t="s">
        <v>250</v>
      </c>
      <c r="B2262" s="5" t="s">
        <v>248</v>
      </c>
      <c r="C2262" s="5" t="s">
        <v>110</v>
      </c>
      <c r="D2262" s="6" t="s">
        <v>13</v>
      </c>
      <c r="E2262" s="5" t="s">
        <v>227</v>
      </c>
      <c r="F2262" s="5" t="s">
        <v>237</v>
      </c>
      <c r="G2262" s="5" t="s">
        <v>249</v>
      </c>
      <c r="H2262" s="5" t="s">
        <v>44</v>
      </c>
      <c r="I2262" s="5" t="s">
        <v>18</v>
      </c>
      <c r="J2262" s="9" t="str">
        <f>IFERROR(__xludf.DUMMYFUNCTION("""COMPUTED_VALUE"""),"https://www.google.com/search?newwindow=1&amp;ei=2MT0XrvGGM-vytMP1OyDgAY&amp;q=site%3Alinkedin.com+Katie+Flaschar+Campus+Recruiter+Cushman+&amp;+Wakefield")</f>
        <v>https://www.google.com/search?newwindow=1&amp;ei=2MT0XrvGGM-vytMP1OyDgAY&amp;q=site%3Alinkedin.com+Katie+Flaschar+Campus+Recruiter+Cushman+&amp;+Wakefield</v>
      </c>
      <c r="K2262" s="5" t="str">
        <f t="shared" si="1"/>
        <v>Katie Flaschar</v>
      </c>
      <c r="L2262" s="5" t="str">
        <f t="shared" si="2"/>
        <v>Campus Recruiter</v>
      </c>
      <c r="M2262" s="5" t="str">
        <f t="shared" si="3"/>
        <v> </v>
      </c>
      <c r="N2262" s="5" t="str">
        <f t="shared" si="4"/>
        <v>Cushman &amp; Wakefield</v>
      </c>
      <c r="O2262" s="5" t="str">
        <f t="shared" si="5"/>
        <v>2 years 4 months in role and company</v>
      </c>
      <c r="P2262" s="5" t="str">
        <f t="shared" si="6"/>
        <v>St Louis</v>
      </c>
      <c r="Q2262" s="5" t="str">
        <f t="shared" si="7"/>
        <v>Missouri</v>
      </c>
      <c r="R2262" s="5" t="str">
        <f t="shared" si="8"/>
        <v>United States</v>
      </c>
    </row>
    <row r="2263">
      <c r="A2263" s="7" t="s">
        <v>254</v>
      </c>
      <c r="B2263" s="5" t="s">
        <v>251</v>
      </c>
      <c r="C2263" s="5" t="s">
        <v>252</v>
      </c>
      <c r="D2263" s="6" t="s">
        <v>13</v>
      </c>
      <c r="E2263" s="5" t="s">
        <v>227</v>
      </c>
      <c r="F2263" s="5" t="s">
        <v>237</v>
      </c>
      <c r="G2263" s="5" t="s">
        <v>253</v>
      </c>
      <c r="H2263" s="5" t="s">
        <v>224</v>
      </c>
      <c r="I2263" s="5" t="s">
        <v>18</v>
      </c>
      <c r="J2263" s="9" t="str">
        <f>IFERROR(__xludf.DUMMYFUNCTION("""COMPUTED_VALUE"""),"https://www.google.com/search?newwindow=1&amp;ei=2MT0XrvGGM-vytMP1OyDgAY&amp;q=site%3Alinkedin.com+Callie+Jones+University+Relations+Project+Manager,+Product+&amp;+Operations+Dell")</f>
        <v>https://www.google.com/search?newwindow=1&amp;ei=2MT0XrvGGM-vytMP1OyDgAY&amp;q=site%3Alinkedin.com+Callie+Jones+University+Relations+Project+Manager,+Product+&amp;+Operations+Dell</v>
      </c>
      <c r="K2263" s="5" t="str">
        <f t="shared" si="1"/>
        <v>Callie Jones</v>
      </c>
      <c r="L2263" s="5" t="str">
        <f t="shared" si="2"/>
        <v>University Relations Project Manager, Product &amp; Operations</v>
      </c>
      <c r="M2263" s="5" t="str">
        <f t="shared" si="3"/>
        <v> </v>
      </c>
      <c r="N2263" s="5" t="str">
        <f t="shared" si="4"/>
        <v>Dell</v>
      </c>
      <c r="O2263" s="5" t="str">
        <f t="shared" si="5"/>
        <v>1 year 5 months in role and company</v>
      </c>
      <c r="P2263" s="5" t="str">
        <f t="shared" si="6"/>
        <v>Austin</v>
      </c>
      <c r="Q2263" s="5" t="str">
        <f t="shared" si="7"/>
        <v>Texas</v>
      </c>
      <c r="R2263" s="5" t="str">
        <f t="shared" si="8"/>
        <v>United States</v>
      </c>
    </row>
    <row r="2264">
      <c r="A2264" s="7" t="s">
        <v>260</v>
      </c>
      <c r="B2264" s="5" t="s">
        <v>255</v>
      </c>
      <c r="C2264" s="5" t="s">
        <v>256</v>
      </c>
      <c r="D2264" s="6" t="s">
        <v>13</v>
      </c>
      <c r="E2264" s="5" t="s">
        <v>227</v>
      </c>
      <c r="F2264" s="5" t="s">
        <v>257</v>
      </c>
      <c r="G2264" s="5" t="s">
        <v>258</v>
      </c>
      <c r="H2264" s="5" t="s">
        <v>259</v>
      </c>
      <c r="I2264" s="5" t="s">
        <v>18</v>
      </c>
      <c r="J2264" s="9" t="str">
        <f>IFERROR(__xludf.DUMMYFUNCTION("""COMPUTED_VALUE"""),"https://www.google.com/search?newwindow=1&amp;ei=2MT0XrvGGM-vytMP1OyDgAY&amp;q=site%3Alinkedin.com+Megan+Evangelista+Campus+Recruiting+Manager,+Sales+Academy+Program+Dell")</f>
        <v>https://www.google.com/search?newwindow=1&amp;ei=2MT0XrvGGM-vytMP1OyDgAY&amp;q=site%3Alinkedin.com+Megan+Evangelista+Campus+Recruiting+Manager,+Sales+Academy+Program+Dell</v>
      </c>
      <c r="K2264" s="5" t="str">
        <f t="shared" si="1"/>
        <v>Megan Evangelista</v>
      </c>
      <c r="L2264" s="5" t="str">
        <f t="shared" si="2"/>
        <v>Campus Recruiting Manager, Sales Academy Program</v>
      </c>
      <c r="M2264" s="5" t="str">
        <f t="shared" si="3"/>
        <v> </v>
      </c>
      <c r="N2264" s="5" t="str">
        <f t="shared" si="4"/>
        <v>Dell</v>
      </c>
      <c r="O2264" s="5" t="str">
        <f t="shared" si="5"/>
        <v>2 years 7 months in role and company</v>
      </c>
      <c r="P2264" s="5" t="str">
        <f t="shared" si="6"/>
        <v>Boston</v>
      </c>
      <c r="Q2264" s="5" t="str">
        <f t="shared" si="7"/>
        <v>Massachusetts</v>
      </c>
      <c r="R2264" s="5" t="str">
        <f t="shared" si="8"/>
        <v>United States</v>
      </c>
    </row>
    <row r="2265">
      <c r="A2265" s="7" t="s">
        <v>265</v>
      </c>
      <c r="B2265" s="5" t="s">
        <v>261</v>
      </c>
      <c r="C2265" s="5" t="s">
        <v>262</v>
      </c>
      <c r="D2265" s="6" t="s">
        <v>13</v>
      </c>
      <c r="E2265" s="5" t="s">
        <v>227</v>
      </c>
      <c r="F2265" s="5" t="s">
        <v>237</v>
      </c>
      <c r="G2265" s="5" t="s">
        <v>263</v>
      </c>
      <c r="H2265" s="5" t="s">
        <v>264</v>
      </c>
      <c r="I2265" s="5" t="s">
        <v>18</v>
      </c>
      <c r="J2265" s="9" t="str">
        <f>IFERROR(__xludf.DUMMYFUNCTION("""COMPUTED_VALUE"""),"https://www.google.com/search?newwindow=1&amp;ei=2MT0XrvGGM-vytMP1OyDgAY&amp;q=site%3Alinkedin.com+Tiffany+Taylor+University+Relations+Diversity+Program+Manager+Dell")</f>
        <v>https://www.google.com/search?newwindow=1&amp;ei=2MT0XrvGGM-vytMP1OyDgAY&amp;q=site%3Alinkedin.com+Tiffany+Taylor+University+Relations+Diversity+Program+Manager+Dell</v>
      </c>
      <c r="K2265" s="5" t="str">
        <f t="shared" si="1"/>
        <v>Tiffany Taylor</v>
      </c>
      <c r="L2265" s="5" t="str">
        <f t="shared" si="2"/>
        <v>University Relations Diversity Program Manager</v>
      </c>
      <c r="M2265" s="5" t="str">
        <f t="shared" si="3"/>
        <v> </v>
      </c>
      <c r="N2265" s="5" t="str">
        <f t="shared" si="4"/>
        <v>Dell</v>
      </c>
      <c r="O2265" s="5" t="str">
        <f t="shared" si="5"/>
        <v>1 year 8 months in role and company</v>
      </c>
      <c r="P2265" s="5" t="str">
        <f t="shared" si="6"/>
        <v>Houston</v>
      </c>
      <c r="Q2265" s="5" t="str">
        <f t="shared" si="7"/>
        <v>Texas</v>
      </c>
      <c r="R2265" s="5" t="str">
        <f t="shared" si="8"/>
        <v>United States</v>
      </c>
    </row>
    <row r="2266">
      <c r="A2266" s="8" t="s">
        <v>270</v>
      </c>
      <c r="B2266" s="5" t="s">
        <v>266</v>
      </c>
      <c r="C2266" s="5" t="s">
        <v>267</v>
      </c>
      <c r="D2266" s="6" t="s">
        <v>13</v>
      </c>
      <c r="E2266" s="5" t="s">
        <v>227</v>
      </c>
      <c r="F2266" s="5" t="s">
        <v>268</v>
      </c>
      <c r="G2266" s="5" t="s">
        <v>269</v>
      </c>
      <c r="H2266" s="5" t="s">
        <v>133</v>
      </c>
      <c r="I2266" s="5" t="s">
        <v>18</v>
      </c>
      <c r="J2266" s="9" t="str">
        <f>IFERROR(__xludf.DUMMYFUNCTION("""COMPUTED_VALUE"""),"https://www.google.com/search?newwindow=1&amp;ei=2MT0XrvGGM-vytMP1OyDgAY&amp;q=site%3Alinkedin.com+Ellie+Biscoe+Campus+Recruiting+Manager+|+Next+Gen+Sales+Program+Dell+EMC")</f>
        <v>https://www.google.com/search?newwindow=1&amp;ei=2MT0XrvGGM-vytMP1OyDgAY&amp;q=site%3Alinkedin.com+Ellie+Biscoe+Campus+Recruiting+Manager+|+Next+Gen+Sales+Program+Dell+EMC</v>
      </c>
      <c r="K2266" s="5" t="str">
        <f t="shared" si="1"/>
        <v>Ellie Biscoe</v>
      </c>
      <c r="L2266" s="5" t="str">
        <f t="shared" si="2"/>
        <v>Campus Recruiting Manager | Next Gen Sales Program</v>
      </c>
      <c r="M2266" s="5" t="str">
        <f t="shared" si="3"/>
        <v> </v>
      </c>
      <c r="N2266" s="5" t="str">
        <f t="shared" si="4"/>
        <v>Dell</v>
      </c>
      <c r="O2266" s="5" t="str">
        <f t="shared" si="5"/>
        <v>1 year 3 months in role</v>
      </c>
      <c r="P2266" s="5" t="str">
        <f t="shared" si="6"/>
        <v>Boston</v>
      </c>
      <c r="Q2266" s="5" t="str">
        <f t="shared" si="7"/>
        <v>Massachusetts</v>
      </c>
      <c r="R2266" s="5" t="str">
        <f t="shared" si="8"/>
        <v>United States</v>
      </c>
    </row>
    <row r="2267">
      <c r="A2267" s="7" t="s">
        <v>274</v>
      </c>
      <c r="B2267" s="5" t="s">
        <v>271</v>
      </c>
      <c r="C2267" s="5" t="s">
        <v>272</v>
      </c>
      <c r="D2267" s="6" t="s">
        <v>13</v>
      </c>
      <c r="E2267" s="5" t="s">
        <v>227</v>
      </c>
      <c r="F2267" s="5" t="s">
        <v>237</v>
      </c>
      <c r="G2267" s="5" t="s">
        <v>273</v>
      </c>
      <c r="H2267" s="5" t="s">
        <v>17</v>
      </c>
      <c r="I2267" s="5" t="s">
        <v>18</v>
      </c>
      <c r="J2267" s="9" t="str">
        <f>IFERROR(__xludf.DUMMYFUNCTION("""COMPUTED_VALUE"""),"https://www.google.com/search?newwindow=1&amp;ei=2MT0XrvGGM-vytMP1OyDgAY&amp;q=site%3Alinkedin.com+Molly+Hynes+Recruiter,+University+Relations+Dell+Technologies")</f>
        <v>https://www.google.com/search?newwindow=1&amp;ei=2MT0XrvGGM-vytMP1OyDgAY&amp;q=site%3Alinkedin.com+Molly+Hynes+Recruiter,+University+Relations+Dell+Technologies</v>
      </c>
      <c r="K2267" s="5" t="str">
        <f t="shared" si="1"/>
        <v>Molly Hynes</v>
      </c>
      <c r="L2267" s="5" t="str">
        <f t="shared" si="2"/>
        <v>Recruiter, University Relations</v>
      </c>
      <c r="M2267" s="5" t="str">
        <f t="shared" si="3"/>
        <v> </v>
      </c>
      <c r="N2267" s="5" t="str">
        <f t="shared" si="4"/>
        <v>Dell</v>
      </c>
      <c r="O2267" s="5" t="str">
        <f t="shared" si="5"/>
        <v>1 year 2 months in role and company</v>
      </c>
      <c r="P2267" s="5" t="str">
        <f t="shared" si="6"/>
        <v>Boston</v>
      </c>
      <c r="Q2267" s="5" t="str">
        <f t="shared" si="7"/>
        <v>Massachusetts</v>
      </c>
      <c r="R2267" s="5" t="str">
        <f t="shared" si="8"/>
        <v>United States</v>
      </c>
    </row>
    <row r="2268">
      <c r="A2268" s="7" t="s">
        <v>278</v>
      </c>
      <c r="B2268" s="5" t="s">
        <v>275</v>
      </c>
      <c r="C2268" s="5" t="s">
        <v>276</v>
      </c>
      <c r="D2268" s="6" t="s">
        <v>13</v>
      </c>
      <c r="E2268" s="5" t="s">
        <v>227</v>
      </c>
      <c r="F2268" s="5" t="s">
        <v>277</v>
      </c>
      <c r="G2268" s="5" t="s">
        <v>132</v>
      </c>
      <c r="H2268" s="5" t="s">
        <v>133</v>
      </c>
      <c r="I2268" s="5" t="s">
        <v>18</v>
      </c>
      <c r="J2268" s="9" t="str">
        <f>IFERROR(__xludf.DUMMYFUNCTION("""COMPUTED_VALUE"""),"https://www.google.com/search?newwindow=1&amp;ei=2MT0XrvGGM-vytMP1OyDgAY&amp;q=site%3Alinkedin.com+Abby+de+Goey,+PHR,+SHRM-CP+GPS+Campus+Recruiting+Manager+Deloitte")</f>
        <v>https://www.google.com/search?newwindow=1&amp;ei=2MT0XrvGGM-vytMP1OyDgAY&amp;q=site%3Alinkedin.com+Abby+de+Goey,+PHR,+SHRM-CP+GPS+Campus+Recruiting+Manager+Deloitte</v>
      </c>
      <c r="K2268" s="5" t="str">
        <f t="shared" si="1"/>
        <v>Abby de Goey, PHR, SHRM-CP</v>
      </c>
      <c r="L2268" s="5" t="str">
        <f t="shared" si="2"/>
        <v>GPS Campus Recruiting Manager</v>
      </c>
      <c r="M2268" s="5" t="str">
        <f t="shared" si="3"/>
        <v> </v>
      </c>
      <c r="N2268" s="5" t="str">
        <f t="shared" si="4"/>
        <v>Deloitte</v>
      </c>
      <c r="O2268" s="5" t="str">
        <f t="shared" si="5"/>
        <v>3 years 3 months in role</v>
      </c>
      <c r="P2268" s="5" t="str">
        <f t="shared" si="6"/>
        <v>Arlington</v>
      </c>
      <c r="Q2268" s="5" t="str">
        <f t="shared" si="7"/>
        <v>Virginia</v>
      </c>
      <c r="R2268" s="5" t="str">
        <f t="shared" si="8"/>
        <v>United States</v>
      </c>
    </row>
    <row r="2269">
      <c r="A2269" s="7" t="s">
        <v>280</v>
      </c>
      <c r="B2269" s="5" t="s">
        <v>279</v>
      </c>
      <c r="C2269" s="5" t="s">
        <v>110</v>
      </c>
      <c r="D2269" s="6" t="s">
        <v>13</v>
      </c>
      <c r="E2269" s="5" t="s">
        <v>227</v>
      </c>
      <c r="F2269" s="5" t="s">
        <v>237</v>
      </c>
      <c r="G2269" s="5" t="s">
        <v>132</v>
      </c>
      <c r="H2269" s="5" t="s">
        <v>133</v>
      </c>
      <c r="I2269" s="5" t="s">
        <v>18</v>
      </c>
      <c r="J2269" s="9" t="str">
        <f>IFERROR(__xludf.DUMMYFUNCTION("""COMPUTED_VALUE"""),"https://www.google.com/search?newwindow=1&amp;ei=2MT0XrvGGM-vytMP1OyDgAY&amp;q=site%3Alinkedin.com+Meredith+Sutter+Campus+Recruiting+Manager+Deloitte")</f>
        <v>https://www.google.com/search?newwindow=1&amp;ei=2MT0XrvGGM-vytMP1OyDgAY&amp;q=site%3Alinkedin.com+Meredith+Sutter+Campus+Recruiting+Manager+Deloitte</v>
      </c>
      <c r="K2269" s="5" t="str">
        <f t="shared" si="1"/>
        <v>Meredith Sutter</v>
      </c>
      <c r="L2269" s="5" t="str">
        <f t="shared" si="2"/>
        <v>Campus Recruiting Manager</v>
      </c>
      <c r="M2269" s="5" t="str">
        <f t="shared" si="3"/>
        <v> </v>
      </c>
      <c r="N2269" s="5" t="str">
        <f t="shared" si="4"/>
        <v>Deloitte</v>
      </c>
      <c r="O2269" s="5" t="str">
        <f t="shared" si="5"/>
        <v>1 year 3 months in role</v>
      </c>
      <c r="P2269" s="5" t="str">
        <f t="shared" si="6"/>
        <v>Arlington</v>
      </c>
      <c r="Q2269" s="5" t="str">
        <f t="shared" si="7"/>
        <v>Virginia</v>
      </c>
      <c r="R2269" s="5" t="str">
        <f t="shared" si="8"/>
        <v>United States</v>
      </c>
    </row>
    <row r="2270">
      <c r="A2270" s="7" t="s">
        <v>284</v>
      </c>
      <c r="B2270" s="5" t="s">
        <v>281</v>
      </c>
      <c r="C2270" s="5" t="s">
        <v>282</v>
      </c>
      <c r="D2270" s="6" t="s">
        <v>13</v>
      </c>
      <c r="E2270" s="5" t="s">
        <v>227</v>
      </c>
      <c r="F2270" s="5" t="s">
        <v>283</v>
      </c>
      <c r="G2270" s="5" t="s">
        <v>132</v>
      </c>
      <c r="H2270" s="5" t="s">
        <v>133</v>
      </c>
      <c r="I2270" s="5" t="s">
        <v>18</v>
      </c>
      <c r="J2270" s="9" t="str">
        <f>IFERROR(__xludf.DUMMYFUNCTION("""COMPUTED_VALUE"""),"https://www.google.com/search?newwindow=1&amp;ei=2MT0XrvGGM-vytMP1OyDgAY&amp;q=site%3Alinkedin.com+Kaitlin+Duberstein+Campus+Recruiting+Manager+Deloitte")</f>
        <v>https://www.google.com/search?newwindow=1&amp;ei=2MT0XrvGGM-vytMP1OyDgAY&amp;q=site%3Alinkedin.com+Kaitlin+Duberstein+Campus+Recruiting+Manager+Deloitte</v>
      </c>
      <c r="K2270" s="5" t="str">
        <f t="shared" si="1"/>
        <v>Kaitlin Duberstein</v>
      </c>
      <c r="L2270" s="5" t="str">
        <f t="shared" si="2"/>
        <v>Campus Recruiting Manager</v>
      </c>
      <c r="M2270" s="5" t="str">
        <f t="shared" si="3"/>
        <v> </v>
      </c>
      <c r="N2270" s="5" t="str">
        <f t="shared" si="4"/>
        <v>Deloitte</v>
      </c>
      <c r="O2270" s="5" t="str">
        <f t="shared" si="5"/>
        <v>1 year 2 months in role and company</v>
      </c>
      <c r="P2270" s="5" t="str">
        <f t="shared" si="6"/>
        <v>Arlington</v>
      </c>
      <c r="Q2270" s="5" t="str">
        <f t="shared" si="7"/>
        <v>Virginia</v>
      </c>
      <c r="R2270" s="5" t="str">
        <f t="shared" si="8"/>
        <v>United States</v>
      </c>
    </row>
    <row r="2271">
      <c r="A2271" s="7" t="s">
        <v>288</v>
      </c>
      <c r="B2271" s="5" t="s">
        <v>285</v>
      </c>
      <c r="C2271" s="5" t="s">
        <v>286</v>
      </c>
      <c r="D2271" s="6" t="s">
        <v>13</v>
      </c>
      <c r="E2271" s="5" t="s">
        <v>227</v>
      </c>
      <c r="F2271" s="5" t="s">
        <v>237</v>
      </c>
      <c r="G2271" s="5" t="s">
        <v>287</v>
      </c>
      <c r="H2271" s="5" t="s">
        <v>137</v>
      </c>
      <c r="I2271" s="5" t="s">
        <v>18</v>
      </c>
      <c r="J2271" s="9" t="str">
        <f>IFERROR(__xludf.DUMMYFUNCTION("""COMPUTED_VALUE"""),"https://www.google.com/search?newwindow=1&amp;ei=2MT0XrvGGM-vytMP1OyDgAY&amp;q=site%3Alinkedin.com+Karen+Proctor,+PHR+Campus+Recruiter+Deloitte")</f>
        <v>https://www.google.com/search?newwindow=1&amp;ei=2MT0XrvGGM-vytMP1OyDgAY&amp;q=site%3Alinkedin.com+Karen+Proctor,+PHR+Campus+Recruiter+Deloitte</v>
      </c>
      <c r="K2271" s="5" t="str">
        <f t="shared" si="1"/>
        <v>Karen Proctor, PHR</v>
      </c>
      <c r="L2271" s="5" t="str">
        <f t="shared" si="2"/>
        <v>Campus Recruiter</v>
      </c>
      <c r="M2271" s="5" t="str">
        <f t="shared" si="3"/>
        <v> </v>
      </c>
      <c r="N2271" s="5" t="str">
        <f t="shared" si="4"/>
        <v>Deloitte</v>
      </c>
      <c r="O2271" s="5" t="str">
        <f t="shared" si="5"/>
        <v>14 years 2 months in role and company</v>
      </c>
      <c r="P2271" s="5" t="str">
        <f t="shared" si="6"/>
        <v>Arlington</v>
      </c>
      <c r="Q2271" s="5" t="str">
        <f t="shared" si="7"/>
        <v>Virginia</v>
      </c>
      <c r="R2271" s="5" t="str">
        <f t="shared" si="8"/>
        <v>United States</v>
      </c>
    </row>
    <row r="2272">
      <c r="A2272" s="7" t="s">
        <v>292</v>
      </c>
      <c r="B2272" s="5" t="s">
        <v>289</v>
      </c>
      <c r="C2272" s="5" t="s">
        <v>290</v>
      </c>
      <c r="D2272" s="6" t="s">
        <v>13</v>
      </c>
      <c r="E2272" s="5" t="s">
        <v>227</v>
      </c>
      <c r="F2272" s="5" t="s">
        <v>237</v>
      </c>
      <c r="G2272" s="5" t="s">
        <v>291</v>
      </c>
      <c r="H2272" s="5" t="s">
        <v>44</v>
      </c>
      <c r="I2272" s="5" t="s">
        <v>18</v>
      </c>
      <c r="J2272" s="9" t="str">
        <f>IFERROR(__xludf.DUMMYFUNCTION("""COMPUTED_VALUE"""),"https://www.google.com/search?newwindow=1&amp;ei=2MT0XrvGGM-vytMP1OyDgAY&amp;q=site%3Alinkedin.com+Wandie+Toledo+Bethune+Lead+Diversity+&amp;+Inclusion+Program+Manager+Deloitte")</f>
        <v>https://www.google.com/search?newwindow=1&amp;ei=2MT0XrvGGM-vytMP1OyDgAY&amp;q=site%3Alinkedin.com+Wandie+Toledo+Bethune+Lead+Diversity+&amp;+Inclusion+Program+Manager+Deloitte</v>
      </c>
      <c r="K2272" s="5" t="str">
        <f t="shared" si="1"/>
        <v>Wandie Toledo Bethune</v>
      </c>
      <c r="L2272" s="5" t="str">
        <f t="shared" si="2"/>
        <v>Lead Diversity &amp; Inclusion Program Manager</v>
      </c>
      <c r="M2272" s="5" t="str">
        <f t="shared" si="3"/>
        <v> </v>
      </c>
      <c r="N2272" s="5" t="str">
        <f t="shared" si="4"/>
        <v>Deloitte</v>
      </c>
      <c r="O2272" s="5" t="str">
        <f t="shared" si="5"/>
        <v>4 years 5 months in role</v>
      </c>
      <c r="P2272" s="5" t="str">
        <f t="shared" si="6"/>
        <v>Atlanta</v>
      </c>
      <c r="Q2272" s="5" t="str">
        <f t="shared" si="7"/>
        <v>Georgia</v>
      </c>
      <c r="R2272" s="5" t="str">
        <f t="shared" si="8"/>
        <v>United States</v>
      </c>
    </row>
    <row r="2273">
      <c r="A2273" s="7" t="s">
        <v>296</v>
      </c>
      <c r="B2273" s="5" t="s">
        <v>293</v>
      </c>
      <c r="C2273" s="5" t="s">
        <v>294</v>
      </c>
      <c r="D2273" s="6" t="s">
        <v>13</v>
      </c>
      <c r="E2273" s="5" t="s">
        <v>227</v>
      </c>
      <c r="F2273" s="5" t="s">
        <v>237</v>
      </c>
      <c r="G2273" s="5" t="s">
        <v>295</v>
      </c>
      <c r="H2273" s="5" t="s">
        <v>154</v>
      </c>
      <c r="I2273" s="5" t="s">
        <v>18</v>
      </c>
      <c r="J2273" s="9" t="str">
        <f>IFERROR(__xludf.DUMMYFUNCTION("""COMPUTED_VALUE"""),"https://www.google.com/search?newwindow=1&amp;ei=2MT0XrvGGM-vytMP1OyDgAY&amp;q=site%3Alinkedin.com+Caroline+Fletcher+Campus+Recruiter+Deloitte")</f>
        <v>https://www.google.com/search?newwindow=1&amp;ei=2MT0XrvGGM-vytMP1OyDgAY&amp;q=site%3Alinkedin.com+Caroline+Fletcher+Campus+Recruiter+Deloitte</v>
      </c>
      <c r="K2273" s="5" t="str">
        <f t="shared" si="1"/>
        <v>Caroline Fletcher</v>
      </c>
      <c r="L2273" s="5" t="str">
        <f t="shared" si="2"/>
        <v>Campus Recruiter</v>
      </c>
      <c r="M2273" s="5" t="str">
        <f t="shared" si="3"/>
        <v> </v>
      </c>
      <c r="N2273" s="5" t="str">
        <f t="shared" si="4"/>
        <v>Deloitte</v>
      </c>
      <c r="O2273" s="5" t="str">
        <f t="shared" si="5"/>
        <v>1 year 5 months in role</v>
      </c>
      <c r="P2273" s="5" t="str">
        <f t="shared" si="6"/>
        <v>Atlanta</v>
      </c>
      <c r="Q2273" s="5" t="str">
        <f t="shared" si="7"/>
        <v>Georgia</v>
      </c>
      <c r="R2273" s="5" t="str">
        <f t="shared" si="8"/>
        <v>United States</v>
      </c>
    </row>
    <row r="2274">
      <c r="A2274" s="7" t="s">
        <v>300</v>
      </c>
      <c r="B2274" s="5" t="s">
        <v>297</v>
      </c>
      <c r="C2274" s="5" t="s">
        <v>298</v>
      </c>
      <c r="D2274" s="6" t="s">
        <v>13</v>
      </c>
      <c r="E2274" s="5" t="s">
        <v>227</v>
      </c>
      <c r="F2274" s="5" t="s">
        <v>237</v>
      </c>
      <c r="G2274" s="5" t="s">
        <v>299</v>
      </c>
      <c r="H2274" s="5" t="s">
        <v>44</v>
      </c>
      <c r="I2274" s="5" t="s">
        <v>18</v>
      </c>
      <c r="J2274" s="9" t="str">
        <f>IFERROR(__xludf.DUMMYFUNCTION("""COMPUTED_VALUE"""),"https://www.google.com/search?newwindow=1&amp;ei=2MT0XrvGGM-vytMP1OyDgAY&amp;q=site%3Alinkedin.com+Jessy+Jager+Senior+Campus+Recruiter+Deloitte")</f>
        <v>https://www.google.com/search?newwindow=1&amp;ei=2MT0XrvGGM-vytMP1OyDgAY&amp;q=site%3Alinkedin.com+Jessy+Jager+Senior+Campus+Recruiter+Deloitte</v>
      </c>
      <c r="K2274" s="5" t="str">
        <f t="shared" si="1"/>
        <v>Jessy Jager</v>
      </c>
      <c r="L2274" s="5" t="str">
        <f t="shared" si="2"/>
        <v>Senior Campus Recruiter</v>
      </c>
      <c r="M2274" s="5" t="str">
        <f t="shared" si="3"/>
        <v> </v>
      </c>
      <c r="N2274" s="5" t="str">
        <f t="shared" si="4"/>
        <v>Deloitte</v>
      </c>
      <c r="O2274" s="5" t="str">
        <f t="shared" si="5"/>
        <v>8 years 10 months in role and company</v>
      </c>
      <c r="P2274" s="5" t="str">
        <f t="shared" si="6"/>
        <v>Atlanta</v>
      </c>
      <c r="Q2274" s="5" t="str">
        <f t="shared" si="7"/>
        <v>Georgia</v>
      </c>
      <c r="R2274" s="5" t="str">
        <f t="shared" si="8"/>
        <v>United States</v>
      </c>
    </row>
    <row r="2275">
      <c r="A2275" s="7" t="s">
        <v>303</v>
      </c>
      <c r="B2275" s="5" t="s">
        <v>301</v>
      </c>
      <c r="C2275" s="5" t="s">
        <v>302</v>
      </c>
      <c r="D2275" s="6" t="s">
        <v>13</v>
      </c>
      <c r="E2275" s="5" t="s">
        <v>227</v>
      </c>
      <c r="F2275" s="5" t="s">
        <v>233</v>
      </c>
      <c r="G2275" s="5" t="s">
        <v>166</v>
      </c>
      <c r="H2275" s="5" t="s">
        <v>44</v>
      </c>
      <c r="I2275" s="5" t="s">
        <v>18</v>
      </c>
      <c r="J2275" s="9" t="str">
        <f>IFERROR(__xludf.DUMMYFUNCTION("""COMPUTED_VALUE"""),"https://www.google.com/search?newwindow=1&amp;ei=2MT0XrvGGM-vytMP1OyDgAY&amp;q=site%3Alinkedin.com+Ariel+Bailey+Campus+Recruiter+Deloitte")</f>
        <v>https://www.google.com/search?newwindow=1&amp;ei=2MT0XrvGGM-vytMP1OyDgAY&amp;q=site%3Alinkedin.com+Ariel+Bailey+Campus+Recruiter+Deloitte</v>
      </c>
      <c r="K2275" s="5" t="str">
        <f t="shared" si="1"/>
        <v>Ariel Bailey</v>
      </c>
      <c r="L2275" s="5" t="str">
        <f t="shared" si="2"/>
        <v>Campus Recruiter</v>
      </c>
      <c r="M2275" s="5" t="str">
        <f t="shared" si="3"/>
        <v> </v>
      </c>
      <c r="N2275" s="5" t="str">
        <f t="shared" si="4"/>
        <v>Deloitte</v>
      </c>
      <c r="O2275" s="5" t="str">
        <f t="shared" si="5"/>
        <v>1 year 5 months in role and company</v>
      </c>
      <c r="P2275" s="5" t="str">
        <f t="shared" si="6"/>
        <v>Atlanta</v>
      </c>
      <c r="Q2275" s="5" t="str">
        <f t="shared" si="7"/>
        <v>Georgia</v>
      </c>
      <c r="R2275" s="5" t="str">
        <f t="shared" si="8"/>
        <v>United States</v>
      </c>
    </row>
    <row r="2276">
      <c r="A2276" s="7" t="s">
        <v>306</v>
      </c>
      <c r="B2276" s="5" t="s">
        <v>304</v>
      </c>
      <c r="C2276" s="5" t="s">
        <v>305</v>
      </c>
      <c r="D2276" s="6" t="s">
        <v>13</v>
      </c>
      <c r="E2276" s="5" t="s">
        <v>227</v>
      </c>
      <c r="F2276" s="5" t="s">
        <v>233</v>
      </c>
      <c r="G2276" s="5" t="s">
        <v>166</v>
      </c>
      <c r="H2276" s="5" t="s">
        <v>44</v>
      </c>
      <c r="I2276" s="5" t="s">
        <v>18</v>
      </c>
      <c r="J2276" s="9" t="str">
        <f>IFERROR(__xludf.DUMMYFUNCTION("""COMPUTED_VALUE"""),"https://www.google.com/search?newwindow=1&amp;ei=2MT0XrvGGM-vytMP1OyDgAY&amp;q=site%3Alinkedin.com+Lisa+Twomey,+PHR+Manager,+Consulting+Campus+Recruiting+Deloitte")</f>
        <v>https://www.google.com/search?newwindow=1&amp;ei=2MT0XrvGGM-vytMP1OyDgAY&amp;q=site%3Alinkedin.com+Lisa+Twomey,+PHR+Manager,+Consulting+Campus+Recruiting+Deloitte</v>
      </c>
      <c r="K2276" s="5" t="str">
        <f t="shared" si="1"/>
        <v>Lisa Twomey, PHR</v>
      </c>
      <c r="L2276" s="5" t="str">
        <f t="shared" si="2"/>
        <v>Manager, Consulting Campus Recruiting</v>
      </c>
      <c r="M2276" s="5" t="str">
        <f t="shared" si="3"/>
        <v> </v>
      </c>
      <c r="N2276" s="5" t="str">
        <f t="shared" si="4"/>
        <v>Deloitte</v>
      </c>
      <c r="O2276" s="5" t="str">
        <f t="shared" si="5"/>
        <v>2 years  in role</v>
      </c>
      <c r="P2276" s="5" t="str">
        <f t="shared" si="6"/>
        <v>Boston</v>
      </c>
      <c r="Q2276" s="5" t="str">
        <f t="shared" si="7"/>
        <v>Massachusetts</v>
      </c>
      <c r="R2276" s="5" t="str">
        <f t="shared" si="8"/>
        <v>United States</v>
      </c>
    </row>
    <row r="2277">
      <c r="A2277" s="8" t="s">
        <v>309</v>
      </c>
      <c r="B2277" s="5" t="s">
        <v>307</v>
      </c>
      <c r="C2277" s="5" t="s">
        <v>308</v>
      </c>
      <c r="D2277" s="6" t="s">
        <v>4</v>
      </c>
      <c r="E2277" s="5" t="s">
        <v>227</v>
      </c>
      <c r="F2277" s="5" t="s">
        <v>165</v>
      </c>
      <c r="G2277" s="5" t="s">
        <v>166</v>
      </c>
      <c r="H2277" s="5" t="s">
        <v>44</v>
      </c>
      <c r="I2277" s="5" t="s">
        <v>18</v>
      </c>
      <c r="J2277" s="9" t="str">
        <f>IFERROR(__xludf.DUMMYFUNCTION("""COMPUTED_VALUE"""),"https://www.google.com/search?newwindow=1&amp;ei=2MT0XrvGGM-vytMP1OyDgAY&amp;q=site%3Alinkedin.com+Milan+Sands+Campus+Recruiter+Deloitte")</f>
        <v>https://www.google.com/search?newwindow=1&amp;ei=2MT0XrvGGM-vytMP1OyDgAY&amp;q=site%3Alinkedin.com+Milan+Sands+Campus+Recruiter+Deloitte</v>
      </c>
      <c r="K2277" s="5" t="str">
        <f t="shared" si="1"/>
        <v>Milan Sands</v>
      </c>
      <c r="L2277" s="5" t="str">
        <f t="shared" si="2"/>
        <v>Campus Recruiter</v>
      </c>
      <c r="M2277" s="5" t="str">
        <f t="shared" si="3"/>
        <v> </v>
      </c>
      <c r="N2277" s="5" t="str">
        <f t="shared" si="4"/>
        <v>Deloitte</v>
      </c>
      <c r="O2277" s="5" t="str">
        <f t="shared" si="5"/>
        <v>1 year 10 months in role and company</v>
      </c>
      <c r="P2277" s="5" t="str">
        <f t="shared" si="6"/>
        <v>Boston</v>
      </c>
      <c r="Q2277" s="5" t="str">
        <f t="shared" si="7"/>
        <v>Massachusetts</v>
      </c>
      <c r="R2277" s="5" t="str">
        <f t="shared" si="8"/>
        <v>United States</v>
      </c>
    </row>
    <row r="2278">
      <c r="A2278" s="7" t="s">
        <v>312</v>
      </c>
      <c r="B2278" s="5" t="s">
        <v>310</v>
      </c>
      <c r="C2278" s="5" t="s">
        <v>110</v>
      </c>
      <c r="D2278" s="6" t="s">
        <v>13</v>
      </c>
      <c r="E2278" s="5" t="s">
        <v>227</v>
      </c>
      <c r="F2278" s="5" t="s">
        <v>79</v>
      </c>
      <c r="G2278" s="5" t="s">
        <v>311</v>
      </c>
      <c r="H2278" s="5" t="s">
        <v>102</v>
      </c>
      <c r="I2278" s="5" t="s">
        <v>18</v>
      </c>
      <c r="J2278" s="9" t="str">
        <f>IFERROR(__xludf.DUMMYFUNCTION("""COMPUTED_VALUE"""),"https://www.google.com/search?newwindow=1&amp;ei=2MT0XrvGGM-vytMP1OyDgAY&amp;q=site%3Alinkedin.com+Andrea+Gonso+Campus+Recruiter+Deloitte")</f>
        <v>https://www.google.com/search?newwindow=1&amp;ei=2MT0XrvGGM-vytMP1OyDgAY&amp;q=site%3Alinkedin.com+Andrea+Gonso+Campus+Recruiter+Deloitte</v>
      </c>
      <c r="K2278" s="5" t="str">
        <f t="shared" si="1"/>
        <v>Andrea Gonso</v>
      </c>
      <c r="L2278" s="5" t="str">
        <f t="shared" si="2"/>
        <v>Campus Recruiter</v>
      </c>
      <c r="M2278" s="5" t="str">
        <f t="shared" si="3"/>
        <v> </v>
      </c>
      <c r="N2278" s="5" t="str">
        <f t="shared" si="4"/>
        <v>Deloitte</v>
      </c>
      <c r="O2278" s="5" t="str">
        <f t="shared" si="5"/>
        <v/>
      </c>
      <c r="P2278" s="5" t="str">
        <f t="shared" si="6"/>
        <v>Brownsburg</v>
      </c>
      <c r="Q2278" s="5" t="str">
        <f t="shared" si="7"/>
        <v>Indiana</v>
      </c>
      <c r="R2278" s="5" t="str">
        <f t="shared" si="8"/>
        <v>United States</v>
      </c>
    </row>
    <row r="2279">
      <c r="A2279" s="7" t="s">
        <v>315</v>
      </c>
      <c r="B2279" s="5" t="s">
        <v>313</v>
      </c>
      <c r="C2279" s="5" t="s">
        <v>110</v>
      </c>
      <c r="D2279" s="6" t="s">
        <v>13</v>
      </c>
      <c r="E2279" s="5" t="s">
        <v>227</v>
      </c>
      <c r="F2279" s="5" t="s">
        <v>314</v>
      </c>
      <c r="G2279" s="5" t="s">
        <v>311</v>
      </c>
      <c r="H2279" s="5" t="s">
        <v>102</v>
      </c>
      <c r="I2279" s="5" t="s">
        <v>18</v>
      </c>
      <c r="J2279" s="9" t="str">
        <f>IFERROR(__xludf.DUMMYFUNCTION("""COMPUTED_VALUE"""),"https://www.google.com/search?newwindow=1&amp;ei=2MT0XrvGGM-vytMP1OyDgAY&amp;q=site%3Alinkedin.com+Haley+Kuyk+Campus+Recruiter+Deloitte")</f>
        <v>https://www.google.com/search?newwindow=1&amp;ei=2MT0XrvGGM-vytMP1OyDgAY&amp;q=site%3Alinkedin.com+Haley+Kuyk+Campus+Recruiter+Deloitte</v>
      </c>
      <c r="K2279" s="5" t="str">
        <f t="shared" si="1"/>
        <v>Haley Kuyk</v>
      </c>
      <c r="L2279" s="5" t="str">
        <f t="shared" si="2"/>
        <v>Campus Recruiter</v>
      </c>
      <c r="M2279" s="5" t="str">
        <f t="shared" si="3"/>
        <v> </v>
      </c>
      <c r="N2279" s="5" t="str">
        <f t="shared" si="4"/>
        <v>Deloitte</v>
      </c>
      <c r="O2279" s="5" t="str">
        <f t="shared" si="5"/>
        <v>3 years 7 months in role and company</v>
      </c>
      <c r="P2279" s="5" t="str">
        <f t="shared" si="6"/>
        <v>Charlotte</v>
      </c>
      <c r="Q2279" s="5" t="str">
        <f t="shared" si="7"/>
        <v>North Carolina</v>
      </c>
      <c r="R2279" s="5" t="str">
        <f t="shared" si="8"/>
        <v>United States</v>
      </c>
    </row>
    <row r="2280">
      <c r="A2280" s="7" t="s">
        <v>317</v>
      </c>
      <c r="B2280" s="5" t="s">
        <v>316</v>
      </c>
      <c r="C2280" s="5" t="s">
        <v>256</v>
      </c>
      <c r="D2280" s="6" t="s">
        <v>13</v>
      </c>
      <c r="E2280" s="5" t="s">
        <v>227</v>
      </c>
      <c r="F2280" s="5" t="s">
        <v>228</v>
      </c>
      <c r="G2280" s="5" t="s">
        <v>311</v>
      </c>
      <c r="H2280" s="5" t="s">
        <v>102</v>
      </c>
      <c r="I2280" s="5" t="s">
        <v>18</v>
      </c>
      <c r="J2280" s="9" t="str">
        <f>IFERROR(__xludf.DUMMYFUNCTION("""COMPUTED_VALUE"""),"https://www.google.com/search?newwindow=1&amp;ei=2MT0XrvGGM-vytMP1OyDgAY&amp;q=site%3Alinkedin.com+Kori+Kelly+Campus+Recruiting+Manager+Deloitte")</f>
        <v>https://www.google.com/search?newwindow=1&amp;ei=2MT0XrvGGM-vytMP1OyDgAY&amp;q=site%3Alinkedin.com+Kori+Kelly+Campus+Recruiting+Manager+Deloitte</v>
      </c>
      <c r="K2280" s="5" t="str">
        <f t="shared" si="1"/>
        <v>Kori Kelly</v>
      </c>
      <c r="L2280" s="5" t="str">
        <f t="shared" si="2"/>
        <v>Campus Recruiting Manager</v>
      </c>
      <c r="M2280" s="5" t="str">
        <f t="shared" si="3"/>
        <v> </v>
      </c>
      <c r="N2280" s="5" t="str">
        <f t="shared" si="4"/>
        <v>Deloitte</v>
      </c>
      <c r="O2280" s="5" t="str">
        <f t="shared" si="5"/>
        <v>9 months in role</v>
      </c>
      <c r="P2280" s="5" t="str">
        <f t="shared" si="6"/>
        <v>Chicago</v>
      </c>
      <c r="Q2280" s="5" t="str">
        <f t="shared" si="7"/>
        <v>Illinois</v>
      </c>
      <c r="R2280" s="5" t="str">
        <f t="shared" si="8"/>
        <v>United States</v>
      </c>
    </row>
    <row r="2281">
      <c r="A2281" s="7" t="s">
        <v>320</v>
      </c>
      <c r="B2281" s="5" t="s">
        <v>318</v>
      </c>
      <c r="C2281" s="5" t="s">
        <v>319</v>
      </c>
      <c r="D2281" s="6" t="s">
        <v>13</v>
      </c>
      <c r="E2281" s="5" t="s">
        <v>227</v>
      </c>
      <c r="F2281" s="5" t="s">
        <v>26</v>
      </c>
      <c r="G2281" s="5" t="s">
        <v>311</v>
      </c>
      <c r="H2281" s="5" t="s">
        <v>102</v>
      </c>
      <c r="I2281" s="5" t="s">
        <v>18</v>
      </c>
      <c r="J2281" s="9" t="str">
        <f>IFERROR(__xludf.DUMMYFUNCTION("""COMPUTED_VALUE"""),"https://www.google.com/search?newwindow=1&amp;ei=2MT0XrvGGM-vytMP1OyDgAY&amp;q=site%3Alinkedin.com+Carter+McCormack+Hartung+Campus+Recruiting+Manager+Deloitte")</f>
        <v>https://www.google.com/search?newwindow=1&amp;ei=2MT0XrvGGM-vytMP1OyDgAY&amp;q=site%3Alinkedin.com+Carter+McCormack+Hartung+Campus+Recruiting+Manager+Deloitte</v>
      </c>
      <c r="K2281" s="5" t="str">
        <f t="shared" si="1"/>
        <v>Carter McCormack Hartung</v>
      </c>
      <c r="L2281" s="5" t="str">
        <f t="shared" si="2"/>
        <v>Campus Recruiting Manager</v>
      </c>
      <c r="M2281" s="5" t="str">
        <f t="shared" si="3"/>
        <v> </v>
      </c>
      <c r="N2281" s="5" t="str">
        <f t="shared" si="4"/>
        <v>Deloitte</v>
      </c>
      <c r="O2281" s="5" t="str">
        <f t="shared" si="5"/>
        <v>1 year 5 months in role and company</v>
      </c>
      <c r="P2281" s="5" t="str">
        <f t="shared" si="6"/>
        <v>Chicago</v>
      </c>
      <c r="Q2281" s="5" t="str">
        <f t="shared" si="7"/>
        <v>Illinois</v>
      </c>
      <c r="R2281" s="5" t="str">
        <f t="shared" si="8"/>
        <v>United States</v>
      </c>
    </row>
    <row r="2282">
      <c r="A2282" s="7" t="s">
        <v>323</v>
      </c>
      <c r="B2282" s="5" t="s">
        <v>321</v>
      </c>
      <c r="C2282" s="5" t="s">
        <v>110</v>
      </c>
      <c r="D2282" s="6" t="s">
        <v>13</v>
      </c>
      <c r="E2282" s="5" t="s">
        <v>227</v>
      </c>
      <c r="F2282" s="5" t="s">
        <v>322</v>
      </c>
      <c r="G2282" s="5" t="s">
        <v>311</v>
      </c>
      <c r="H2282" s="5" t="s">
        <v>102</v>
      </c>
      <c r="I2282" s="5" t="s">
        <v>18</v>
      </c>
      <c r="J2282" s="9" t="str">
        <f>IFERROR(__xludf.DUMMYFUNCTION("""COMPUTED_VALUE"""),"https://www.google.com/search?newwindow=1&amp;ei=2MT0XrvGGM-vytMP1OyDgAY&amp;q=site%3Alinkedin.com+Cristina+Tomasko+Campus+Recruiting+Manager+Deloitte")</f>
        <v>https://www.google.com/search?newwindow=1&amp;ei=2MT0XrvGGM-vytMP1OyDgAY&amp;q=site%3Alinkedin.com+Cristina+Tomasko+Campus+Recruiting+Manager+Deloitte</v>
      </c>
      <c r="K2282" s="5" t="str">
        <f t="shared" si="1"/>
        <v>Cristina Tomasko</v>
      </c>
      <c r="L2282" s="5" t="str">
        <f t="shared" si="2"/>
        <v>Campus Recruiting Manager</v>
      </c>
      <c r="M2282" s="5" t="str">
        <f t="shared" si="3"/>
        <v> </v>
      </c>
      <c r="N2282" s="5" t="str">
        <f t="shared" si="4"/>
        <v>Deloitte</v>
      </c>
      <c r="O2282" s="5" t="str">
        <f t="shared" si="5"/>
        <v>2 years 4 months in role</v>
      </c>
      <c r="P2282" s="5" t="str">
        <f t="shared" si="6"/>
        <v>Chicago</v>
      </c>
      <c r="Q2282" s="5" t="str">
        <f t="shared" si="7"/>
        <v>Illinois</v>
      </c>
      <c r="R2282" s="5" t="str">
        <f t="shared" si="8"/>
        <v>United States</v>
      </c>
    </row>
    <row r="2283">
      <c r="A2283" s="8" t="s">
        <v>326</v>
      </c>
      <c r="B2283" s="5" t="s">
        <v>324</v>
      </c>
      <c r="C2283" s="5" t="s">
        <v>325</v>
      </c>
      <c r="D2283" s="6" t="s">
        <v>13</v>
      </c>
      <c r="E2283" s="5" t="s">
        <v>227</v>
      </c>
      <c r="F2283" s="5" t="s">
        <v>228</v>
      </c>
      <c r="G2283" s="5" t="s">
        <v>311</v>
      </c>
      <c r="H2283" s="5" t="s">
        <v>102</v>
      </c>
      <c r="I2283" s="5" t="s">
        <v>18</v>
      </c>
      <c r="J2283" s="9" t="str">
        <f>IFERROR(__xludf.DUMMYFUNCTION("""COMPUTED_VALUE"""),"https://www.google.com/search?newwindow=1&amp;ei=2MT0XrvGGM-vytMP1OyDgAY&amp;q=site%3Alinkedin.com+Kristin+Mikelson+Campus+Recruiting+Manager+Deloitte")</f>
        <v>https://www.google.com/search?newwindow=1&amp;ei=2MT0XrvGGM-vytMP1OyDgAY&amp;q=site%3Alinkedin.com+Kristin+Mikelson+Campus+Recruiting+Manager+Deloitte</v>
      </c>
      <c r="K2283" s="5" t="str">
        <f t="shared" si="1"/>
        <v>Kristin Mikelson</v>
      </c>
      <c r="L2283" s="5" t="str">
        <f t="shared" si="2"/>
        <v>Campus Recruiting Manager</v>
      </c>
      <c r="M2283" s="5" t="str">
        <f t="shared" si="3"/>
        <v> </v>
      </c>
      <c r="N2283" s="5" t="str">
        <f t="shared" si="4"/>
        <v>Deloitte</v>
      </c>
      <c r="O2283" s="5" t="str">
        <f t="shared" si="5"/>
        <v>1 year 2 months in role and company</v>
      </c>
      <c r="P2283" s="5" t="str">
        <f t="shared" si="6"/>
        <v>Chicago</v>
      </c>
      <c r="Q2283" s="5" t="str">
        <f t="shared" si="7"/>
        <v>Illinois</v>
      </c>
      <c r="R2283" s="5" t="str">
        <f t="shared" si="8"/>
        <v>United States</v>
      </c>
    </row>
    <row r="2284">
      <c r="A2284" s="7" t="s">
        <v>329</v>
      </c>
      <c r="B2284" s="5" t="s">
        <v>327</v>
      </c>
      <c r="C2284" s="5" t="s">
        <v>328</v>
      </c>
      <c r="D2284" s="6" t="s">
        <v>13</v>
      </c>
      <c r="E2284" s="5" t="s">
        <v>227</v>
      </c>
      <c r="F2284" s="5" t="s">
        <v>188</v>
      </c>
      <c r="G2284" s="5" t="s">
        <v>311</v>
      </c>
      <c r="H2284" s="5" t="s">
        <v>102</v>
      </c>
      <c r="I2284" s="5" t="s">
        <v>18</v>
      </c>
      <c r="J2284" s="9" t="str">
        <f>IFERROR(__xludf.DUMMYFUNCTION("""COMPUTED_VALUE"""),"https://www.google.com/search?newwindow=1&amp;ei=2MT0XrvGGM-vytMP1OyDgAY&amp;q=site%3Alinkedin.com+Suzanne+Joyce+Senior+Campus+Recruiter+Deloitte")</f>
        <v>https://www.google.com/search?newwindow=1&amp;ei=2MT0XrvGGM-vytMP1OyDgAY&amp;q=site%3Alinkedin.com+Suzanne+Joyce+Senior+Campus+Recruiter+Deloitte</v>
      </c>
      <c r="K2284" s="5" t="str">
        <f t="shared" si="1"/>
        <v>Suzanne Joyce</v>
      </c>
      <c r="L2284" s="5" t="str">
        <f t="shared" si="2"/>
        <v>Senior Campus Recruiter</v>
      </c>
      <c r="M2284" s="5" t="str">
        <f t="shared" si="3"/>
        <v> </v>
      </c>
      <c r="N2284" s="5" t="str">
        <f t="shared" si="4"/>
        <v>Deloitte</v>
      </c>
      <c r="O2284" s="5" t="str">
        <f t="shared" si="5"/>
        <v>3 months in role</v>
      </c>
      <c r="P2284" s="5" t="str">
        <f t="shared" si="6"/>
        <v>Chicago</v>
      </c>
      <c r="Q2284" s="5" t="str">
        <f t="shared" si="7"/>
        <v>Illinois</v>
      </c>
      <c r="R2284" s="5" t="str">
        <f t="shared" si="8"/>
        <v>United States</v>
      </c>
    </row>
    <row r="2285">
      <c r="A2285" s="7" t="s">
        <v>332</v>
      </c>
      <c r="B2285" s="5" t="s">
        <v>330</v>
      </c>
      <c r="C2285" s="5" t="s">
        <v>110</v>
      </c>
      <c r="D2285" s="6" t="s">
        <v>13</v>
      </c>
      <c r="E2285" s="5" t="s">
        <v>227</v>
      </c>
      <c r="F2285" s="5" t="s">
        <v>331</v>
      </c>
      <c r="G2285" s="5" t="s">
        <v>311</v>
      </c>
      <c r="H2285" s="5" t="s">
        <v>102</v>
      </c>
      <c r="I2285" s="5" t="s">
        <v>18</v>
      </c>
      <c r="J2285" s="9" t="str">
        <f>IFERROR(__xludf.DUMMYFUNCTION("""COMPUTED_VALUE"""),"https://www.google.com/search?newwindow=1&amp;ei=2MT0XrvGGM-vytMP1OyDgAY&amp;q=site%3Alinkedin.com+Megan+Candee+Senior+Campus+Recruiter+Deloitte")</f>
        <v>https://www.google.com/search?newwindow=1&amp;ei=2MT0XrvGGM-vytMP1OyDgAY&amp;q=site%3Alinkedin.com+Megan+Candee+Senior+Campus+Recruiter+Deloitte</v>
      </c>
      <c r="K2285" s="5" t="str">
        <f t="shared" si="1"/>
        <v>Megan Candee</v>
      </c>
      <c r="L2285" s="5" t="str">
        <f t="shared" si="2"/>
        <v>Senior Campus Recruiter</v>
      </c>
      <c r="M2285" s="5" t="str">
        <f t="shared" si="3"/>
        <v> </v>
      </c>
      <c r="N2285" s="5" t="str">
        <f t="shared" si="4"/>
        <v>Deloitte</v>
      </c>
      <c r="O2285" s="5" t="str">
        <f t="shared" si="5"/>
        <v>2 years 3 months in role and company</v>
      </c>
      <c r="P2285" s="5" t="str">
        <f t="shared" si="6"/>
        <v>Cincinnati</v>
      </c>
      <c r="Q2285" s="5" t="str">
        <f t="shared" si="7"/>
        <v>Ohio</v>
      </c>
      <c r="R2285" s="5" t="str">
        <f t="shared" si="8"/>
        <v>United States</v>
      </c>
    </row>
    <row r="2286">
      <c r="A2286" s="7" t="s">
        <v>334</v>
      </c>
      <c r="B2286" s="5" t="s">
        <v>333</v>
      </c>
      <c r="C2286" s="5" t="s">
        <v>256</v>
      </c>
      <c r="D2286" s="6" t="s">
        <v>13</v>
      </c>
      <c r="E2286" s="5" t="s">
        <v>227</v>
      </c>
      <c r="F2286" s="5" t="s">
        <v>228</v>
      </c>
      <c r="G2286" s="5" t="s">
        <v>311</v>
      </c>
      <c r="H2286" s="5" t="s">
        <v>102</v>
      </c>
      <c r="I2286" s="5" t="s">
        <v>18</v>
      </c>
      <c r="J2286" s="9" t="str">
        <f>IFERROR(__xludf.DUMMYFUNCTION("""COMPUTED_VALUE"""),"https://www.google.com/search?newwindow=1&amp;ei=2MT0XrvGGM-vytMP1OyDgAY&amp;q=site%3Alinkedin.com+Betty+Chan+Lead+Consulting+Campus+Recruiter+Deloitte")</f>
        <v>https://www.google.com/search?newwindow=1&amp;ei=2MT0XrvGGM-vytMP1OyDgAY&amp;q=site%3Alinkedin.com+Betty+Chan+Lead+Consulting+Campus+Recruiter+Deloitte</v>
      </c>
      <c r="K2286" s="5" t="str">
        <f t="shared" si="1"/>
        <v>Betty Chan</v>
      </c>
      <c r="L2286" s="5" t="str">
        <f t="shared" si="2"/>
        <v>Lead Consulting Campus Recruiter</v>
      </c>
      <c r="M2286" s="5" t="str">
        <f t="shared" si="3"/>
        <v> </v>
      </c>
      <c r="N2286" s="5" t="str">
        <f t="shared" si="4"/>
        <v>Deloitte</v>
      </c>
      <c r="O2286" s="5" t="str">
        <f t="shared" si="5"/>
        <v>3 years 3 months in role</v>
      </c>
      <c r="P2286" s="5" t="str">
        <f t="shared" si="6"/>
        <v>Costa Mesa</v>
      </c>
      <c r="Q2286" s="5" t="str">
        <f t="shared" si="7"/>
        <v>California</v>
      </c>
      <c r="R2286" s="5" t="str">
        <f t="shared" si="8"/>
        <v>United States</v>
      </c>
    </row>
    <row r="2287">
      <c r="A2287" s="7" t="s">
        <v>336</v>
      </c>
      <c r="B2287" s="5" t="s">
        <v>335</v>
      </c>
      <c r="C2287" s="5" t="s">
        <v>110</v>
      </c>
      <c r="D2287" s="6" t="s">
        <v>13</v>
      </c>
      <c r="E2287" s="5" t="s">
        <v>227</v>
      </c>
      <c r="F2287" s="5" t="s">
        <v>228</v>
      </c>
      <c r="G2287" s="5" t="s">
        <v>311</v>
      </c>
      <c r="H2287" s="5" t="s">
        <v>102</v>
      </c>
      <c r="I2287" s="5" t="s">
        <v>18</v>
      </c>
      <c r="J2287" s="9" t="str">
        <f>IFERROR(__xludf.DUMMYFUNCTION("""COMPUTED_VALUE"""),"https://www.google.com/search?newwindow=1&amp;ei=2MT0XrvGGM-vytMP1OyDgAY&amp;q=site%3Alinkedin.com+Sarah+Jensen+Hasenauer+Regional+Campus+Recruiting+Manager+Deloitte")</f>
        <v>https://www.google.com/search?newwindow=1&amp;ei=2MT0XrvGGM-vytMP1OyDgAY&amp;q=site%3Alinkedin.com+Sarah+Jensen+Hasenauer+Regional+Campus+Recruiting+Manager+Deloitte</v>
      </c>
      <c r="K2287" s="5" t="str">
        <f t="shared" si="1"/>
        <v>Sarah Jensen Hasenauer</v>
      </c>
      <c r="L2287" s="5" t="str">
        <f t="shared" si="2"/>
        <v>Regional Campus Recruiting Manager</v>
      </c>
      <c r="M2287" s="5" t="str">
        <f t="shared" si="3"/>
        <v> </v>
      </c>
      <c r="N2287" s="5" t="str">
        <f t="shared" si="4"/>
        <v>Deloitte</v>
      </c>
      <c r="O2287" s="5" t="str">
        <f t="shared" si="5"/>
        <v>7 years 2 months in role and company</v>
      </c>
      <c r="P2287" s="5" t="str">
        <f t="shared" si="6"/>
        <v>Dallas</v>
      </c>
      <c r="Q2287" s="5" t="str">
        <f t="shared" si="7"/>
        <v>Texas</v>
      </c>
      <c r="R2287" s="5" t="str">
        <f t="shared" si="8"/>
        <v>United States</v>
      </c>
    </row>
    <row r="2288">
      <c r="A2288" s="7" t="s">
        <v>340</v>
      </c>
      <c r="B2288" s="5" t="s">
        <v>337</v>
      </c>
      <c r="C2288" s="5" t="s">
        <v>338</v>
      </c>
      <c r="D2288" s="6" t="s">
        <v>13</v>
      </c>
      <c r="E2288" s="5" t="s">
        <v>227</v>
      </c>
      <c r="F2288" s="5" t="s">
        <v>339</v>
      </c>
      <c r="G2288" s="5" t="s">
        <v>311</v>
      </c>
      <c r="H2288" s="5" t="s">
        <v>102</v>
      </c>
      <c r="I2288" s="5" t="s">
        <v>18</v>
      </c>
      <c r="J2288" s="9" t="str">
        <f>IFERROR(__xludf.DUMMYFUNCTION("""COMPUTED_VALUE"""),"https://www.google.com/search?newwindow=1&amp;ei=2MT0XrvGGM-vytMP1OyDgAY&amp;q=site%3Alinkedin.com+Carly+Wenyon+Campus+Recruiter+Deloitte")</f>
        <v>https://www.google.com/search?newwindow=1&amp;ei=2MT0XrvGGM-vytMP1OyDgAY&amp;q=site%3Alinkedin.com+Carly+Wenyon+Campus+Recruiter+Deloitte</v>
      </c>
      <c r="K2288" s="5" t="str">
        <f t="shared" si="1"/>
        <v>Carly Wenyon</v>
      </c>
      <c r="L2288" s="5" t="str">
        <f t="shared" si="2"/>
        <v>Campus Recruiter</v>
      </c>
      <c r="M2288" s="5" t="str">
        <f t="shared" si="3"/>
        <v> </v>
      </c>
      <c r="N2288" s="5" t="str">
        <f t="shared" si="4"/>
        <v>Deloitte</v>
      </c>
      <c r="O2288" s="5" t="str">
        <f t="shared" si="5"/>
        <v>1 year 7 months in role and company</v>
      </c>
      <c r="P2288" s="5" t="str">
        <f t="shared" si="6"/>
        <v>Dallas</v>
      </c>
      <c r="Q2288" s="5" t="str">
        <f t="shared" si="7"/>
        <v>Texas</v>
      </c>
      <c r="R2288" s="5" t="str">
        <f t="shared" si="8"/>
        <v>United States</v>
      </c>
    </row>
    <row r="2289">
      <c r="A2289" s="7" t="s">
        <v>343</v>
      </c>
      <c r="B2289" s="5" t="s">
        <v>341</v>
      </c>
      <c r="C2289" s="5" t="s">
        <v>342</v>
      </c>
      <c r="D2289" s="6" t="s">
        <v>13</v>
      </c>
      <c r="E2289" s="5" t="s">
        <v>227</v>
      </c>
      <c r="F2289" s="5" t="s">
        <v>26</v>
      </c>
      <c r="G2289" s="5" t="s">
        <v>311</v>
      </c>
      <c r="H2289" s="5" t="s">
        <v>102</v>
      </c>
      <c r="I2289" s="5" t="s">
        <v>18</v>
      </c>
      <c r="J2289" s="9" t="str">
        <f>IFERROR(__xludf.DUMMYFUNCTION("""COMPUTED_VALUE"""),"https://www.google.com/search?newwindow=1&amp;ei=2MT0XrvGGM-vytMP1OyDgAY&amp;q=site%3Alinkedin.com+Shawn+Lamb+Senior+Campus+Recruiter+Deloitte")</f>
        <v>https://www.google.com/search?newwindow=1&amp;ei=2MT0XrvGGM-vytMP1OyDgAY&amp;q=site%3Alinkedin.com+Shawn+Lamb+Senior+Campus+Recruiter+Deloitte</v>
      </c>
      <c r="K2289" s="5" t="str">
        <f t="shared" si="1"/>
        <v>Shawn Lamb</v>
      </c>
      <c r="L2289" s="5" t="str">
        <f t="shared" si="2"/>
        <v>Senior Campus Recruiter</v>
      </c>
      <c r="M2289" s="5" t="str">
        <f t="shared" si="3"/>
        <v> </v>
      </c>
      <c r="N2289" s="5" t="str">
        <f t="shared" si="4"/>
        <v>Deloitte</v>
      </c>
      <c r="O2289" s="5" t="str">
        <f t="shared" si="5"/>
        <v>3 months in role</v>
      </c>
      <c r="P2289" s="5" t="str">
        <f t="shared" si="6"/>
        <v>Denver</v>
      </c>
      <c r="Q2289" s="5" t="str">
        <f t="shared" si="7"/>
        <v>Colorado</v>
      </c>
      <c r="R2289" s="5" t="str">
        <f t="shared" si="8"/>
        <v>United States</v>
      </c>
    </row>
    <row r="2290">
      <c r="A2290" s="8" t="s">
        <v>346</v>
      </c>
      <c r="B2290" s="5" t="s">
        <v>344</v>
      </c>
      <c r="C2290" s="5" t="s">
        <v>325</v>
      </c>
      <c r="D2290" s="6" t="s">
        <v>13</v>
      </c>
      <c r="E2290" s="5" t="s">
        <v>227</v>
      </c>
      <c r="F2290" s="5" t="s">
        <v>345</v>
      </c>
      <c r="G2290" s="5" t="s">
        <v>311</v>
      </c>
      <c r="H2290" s="5" t="s">
        <v>102</v>
      </c>
      <c r="I2290" s="5" t="s">
        <v>18</v>
      </c>
      <c r="J2290" s="9" t="str">
        <f>IFERROR(__xludf.DUMMYFUNCTION("""COMPUTED_VALUE"""),"https://www.google.com/search?newwindow=1&amp;ei=2MT0XrvGGM-vytMP1OyDgAY&amp;q=site%3Alinkedin.com+Fleming+Longino+Campus+Recruiter+Deloitte")</f>
        <v>https://www.google.com/search?newwindow=1&amp;ei=2MT0XrvGGM-vytMP1OyDgAY&amp;q=site%3Alinkedin.com+Fleming+Longino+Campus+Recruiter+Deloitte</v>
      </c>
      <c r="K2290" s="5" t="str">
        <f t="shared" si="1"/>
        <v>Fleming Longino</v>
      </c>
      <c r="L2290" s="5" t="str">
        <f t="shared" si="2"/>
        <v>Campus Recruiter</v>
      </c>
      <c r="M2290" s="5" t="str">
        <f t="shared" si="3"/>
        <v> </v>
      </c>
      <c r="N2290" s="5" t="str">
        <f t="shared" si="4"/>
        <v>Deloitte</v>
      </c>
      <c r="O2290" s="5" t="str">
        <f t="shared" si="5"/>
        <v>8 years 2 months in role and company</v>
      </c>
      <c r="P2290" s="5" t="str">
        <f t="shared" si="6"/>
        <v>Denver</v>
      </c>
      <c r="Q2290" s="5" t="str">
        <f t="shared" si="7"/>
        <v>Colorado</v>
      </c>
      <c r="R2290" s="5" t="str">
        <f t="shared" si="8"/>
        <v>United States</v>
      </c>
    </row>
    <row r="2291">
      <c r="A2291" s="8" t="s">
        <v>349</v>
      </c>
      <c r="B2291" s="5" t="s">
        <v>347</v>
      </c>
      <c r="C2291" s="5" t="s">
        <v>348</v>
      </c>
      <c r="D2291" s="6" t="s">
        <v>13</v>
      </c>
      <c r="E2291" s="5" t="s">
        <v>227</v>
      </c>
      <c r="F2291" s="5" t="s">
        <v>228</v>
      </c>
      <c r="G2291" s="5" t="s">
        <v>311</v>
      </c>
      <c r="H2291" s="5" t="s">
        <v>102</v>
      </c>
      <c r="I2291" s="5" t="s">
        <v>18</v>
      </c>
      <c r="J2291" s="9" t="str">
        <f>IFERROR(__xludf.DUMMYFUNCTION("""COMPUTED_VALUE"""),"https://www.google.com/search?newwindow=1&amp;ei=2MT0XrvGGM-vytMP1OyDgAY&amp;q=site%3Alinkedin.com+Gail+Lewis-Kelley+Campus+Recruiting+Manager+Deloitte")</f>
        <v>https://www.google.com/search?newwindow=1&amp;ei=2MT0XrvGGM-vytMP1OyDgAY&amp;q=site%3Alinkedin.com+Gail+Lewis-Kelley+Campus+Recruiting+Manager+Deloitte</v>
      </c>
      <c r="K2291" s="5" t="str">
        <f t="shared" si="1"/>
        <v>Gail Lewis-Kelley</v>
      </c>
      <c r="L2291" s="5" t="str">
        <f t="shared" si="2"/>
        <v>Campus Recruiting Manager</v>
      </c>
      <c r="M2291" s="5" t="str">
        <f t="shared" si="3"/>
        <v> </v>
      </c>
      <c r="N2291" s="5" t="str">
        <f t="shared" si="4"/>
        <v>Deloitte</v>
      </c>
      <c r="O2291" s="5" t="str">
        <f t="shared" si="5"/>
        <v>2 years 3 months in company</v>
      </c>
      <c r="P2291" s="5" t="str">
        <f t="shared" si="6"/>
        <v>Detroit</v>
      </c>
      <c r="Q2291" s="5" t="str">
        <f t="shared" si="7"/>
        <v>Michigan</v>
      </c>
      <c r="R2291" s="5" t="str">
        <f t="shared" si="8"/>
        <v>United States</v>
      </c>
    </row>
    <row r="2292">
      <c r="A2292" s="7" t="s">
        <v>352</v>
      </c>
      <c r="B2292" s="5" t="s">
        <v>350</v>
      </c>
      <c r="C2292" s="5" t="s">
        <v>110</v>
      </c>
      <c r="D2292" s="6" t="s">
        <v>13</v>
      </c>
      <c r="E2292" s="5" t="s">
        <v>227</v>
      </c>
      <c r="F2292" s="5" t="s">
        <v>351</v>
      </c>
      <c r="G2292" s="5" t="s">
        <v>311</v>
      </c>
      <c r="H2292" s="5" t="s">
        <v>102</v>
      </c>
      <c r="I2292" s="5" t="s">
        <v>18</v>
      </c>
      <c r="J2292" s="9" t="str">
        <f>IFERROR(__xludf.DUMMYFUNCTION("""COMPUTED_VALUE"""),"https://www.google.com/search?newwindow=1&amp;ei=2MT0XrvGGM-vytMP1OyDgAY&amp;q=site%3Alinkedin.com+Danica+DeVito+Experienced+Hire+Recruiter+Deloitte")</f>
        <v>https://www.google.com/search?newwindow=1&amp;ei=2MT0XrvGGM-vytMP1OyDgAY&amp;q=site%3Alinkedin.com+Danica+DeVito+Experienced+Hire+Recruiter+Deloitte</v>
      </c>
      <c r="K2292" s="5" t="str">
        <f t="shared" si="1"/>
        <v>Danica DeVito</v>
      </c>
      <c r="L2292" s="5" t="str">
        <f t="shared" si="2"/>
        <v>Experienced Hire Recruiter</v>
      </c>
      <c r="M2292" s="5" t="str">
        <f t="shared" si="3"/>
        <v> </v>
      </c>
      <c r="N2292" s="5" t="str">
        <f t="shared" si="4"/>
        <v>Deloitte</v>
      </c>
      <c r="O2292" s="5" t="str">
        <f t="shared" si="5"/>
        <v>1 year 3 months in role</v>
      </c>
      <c r="P2292" s="5" t="str">
        <f t="shared" si="6"/>
        <v>Englishtown</v>
      </c>
      <c r="Q2292" s="5" t="str">
        <f t="shared" si="7"/>
        <v>New Jersey</v>
      </c>
      <c r="R2292" s="5" t="str">
        <f t="shared" si="8"/>
        <v>United States</v>
      </c>
    </row>
    <row r="2293">
      <c r="A2293" s="8" t="s">
        <v>355</v>
      </c>
      <c r="B2293" s="5" t="s">
        <v>353</v>
      </c>
      <c r="C2293" s="5" t="s">
        <v>348</v>
      </c>
      <c r="D2293" s="6" t="s">
        <v>13</v>
      </c>
      <c r="E2293" s="5" t="s">
        <v>227</v>
      </c>
      <c r="F2293" s="5" t="s">
        <v>354</v>
      </c>
      <c r="G2293" s="5" t="s">
        <v>311</v>
      </c>
      <c r="H2293" s="5" t="s">
        <v>102</v>
      </c>
      <c r="I2293" s="5" t="s">
        <v>18</v>
      </c>
      <c r="J2293" s="9" t="str">
        <f>IFERROR(__xludf.DUMMYFUNCTION("""COMPUTED_VALUE"""),"https://www.google.com/search?newwindow=1&amp;ei=2MT0XrvGGM-vytMP1OyDgAY&amp;q=site%3Alinkedin.com+Amy+Curtin+Human+Capital+Recruiting+Manager+Deloitte")</f>
        <v>https://www.google.com/search?newwindow=1&amp;ei=2MT0XrvGGM-vytMP1OyDgAY&amp;q=site%3Alinkedin.com+Amy+Curtin+Human+Capital+Recruiting+Manager+Deloitte</v>
      </c>
      <c r="K2293" s="5" t="str">
        <f t="shared" si="1"/>
        <v>Amy Curtin</v>
      </c>
      <c r="L2293" s="5" t="str">
        <f t="shared" si="2"/>
        <v>Human Capital Recruiting Manager</v>
      </c>
      <c r="M2293" s="5" t="str">
        <f t="shared" si="3"/>
        <v> </v>
      </c>
      <c r="N2293" s="5" t="str">
        <f t="shared" si="4"/>
        <v>Deloitte</v>
      </c>
      <c r="O2293" s="5" t="str">
        <f t="shared" si="5"/>
        <v>3 years 8 months in role</v>
      </c>
      <c r="P2293" s="5" t="str">
        <f t="shared" si="6"/>
        <v>Franklin Lakes</v>
      </c>
      <c r="Q2293" s="5" t="str">
        <f t="shared" si="7"/>
        <v>New Jersey</v>
      </c>
      <c r="R2293" s="5" t="str">
        <f t="shared" si="8"/>
        <v>United States</v>
      </c>
    </row>
    <row r="2294">
      <c r="A2294" s="7" t="s">
        <v>357</v>
      </c>
      <c r="B2294" s="5" t="s">
        <v>356</v>
      </c>
      <c r="C2294" s="5" t="s">
        <v>110</v>
      </c>
      <c r="D2294" s="6" t="s">
        <v>13</v>
      </c>
      <c r="E2294" s="5" t="s">
        <v>227</v>
      </c>
      <c r="F2294" s="5" t="s">
        <v>228</v>
      </c>
      <c r="G2294" s="5" t="s">
        <v>311</v>
      </c>
      <c r="H2294" s="5" t="s">
        <v>102</v>
      </c>
      <c r="I2294" s="5" t="s">
        <v>18</v>
      </c>
      <c r="J2294" s="9" t="str">
        <f>IFERROR(__xludf.DUMMYFUNCTION("""COMPUTED_VALUE"""),"https://www.google.com/search?newwindow=1&amp;ei=2MT0XrvGGM-vytMP1OyDgAY&amp;q=site%3Alinkedin.com+Marie+Hoyt+Senior+Campus+Recruiter+Deloitte")</f>
        <v>https://www.google.com/search?newwindow=1&amp;ei=2MT0XrvGGM-vytMP1OyDgAY&amp;q=site%3Alinkedin.com+Marie+Hoyt+Senior+Campus+Recruiter+Deloitte</v>
      </c>
      <c r="K2294" s="5" t="str">
        <f t="shared" si="1"/>
        <v>Marie Hoyt</v>
      </c>
      <c r="L2294" s="5" t="str">
        <f t="shared" si="2"/>
        <v>Senior Campus Recruiter</v>
      </c>
      <c r="M2294" s="5" t="str">
        <f t="shared" si="3"/>
        <v> </v>
      </c>
      <c r="N2294" s="5" t="str">
        <f t="shared" si="4"/>
        <v>Deloitte</v>
      </c>
      <c r="O2294" s="5" t="str">
        <f t="shared" si="5"/>
        <v>1 year 2 months in role</v>
      </c>
      <c r="P2294" s="5" t="str">
        <f t="shared" si="6"/>
        <v>Hartford</v>
      </c>
      <c r="Q2294" s="5" t="str">
        <f t="shared" si="7"/>
        <v>Connecticut</v>
      </c>
      <c r="R2294" s="5" t="str">
        <f t="shared" si="8"/>
        <v>United States</v>
      </c>
    </row>
    <row r="2295">
      <c r="A2295" s="7" t="s">
        <v>359</v>
      </c>
      <c r="B2295" s="5" t="s">
        <v>358</v>
      </c>
      <c r="C2295" s="5" t="s">
        <v>110</v>
      </c>
      <c r="D2295" s="6" t="s">
        <v>13</v>
      </c>
      <c r="E2295" s="5" t="s">
        <v>227</v>
      </c>
      <c r="F2295" s="5" t="s">
        <v>351</v>
      </c>
      <c r="G2295" s="5" t="s">
        <v>311</v>
      </c>
      <c r="H2295" s="5" t="s">
        <v>102</v>
      </c>
      <c r="I2295" s="5" t="s">
        <v>18</v>
      </c>
      <c r="J2295" s="9" t="str">
        <f>IFERROR(__xludf.DUMMYFUNCTION("""COMPUTED_VALUE"""),"https://www.google.com/search?newwindow=1&amp;ei=2MT0XrvGGM-vytMP1OyDgAY&amp;q=site%3Alinkedin.com+Kelly+Swartzfager+Campus+Recruiter+Deloitte")</f>
        <v>https://www.google.com/search?newwindow=1&amp;ei=2MT0XrvGGM-vytMP1OyDgAY&amp;q=site%3Alinkedin.com+Kelly+Swartzfager+Campus+Recruiter+Deloitte</v>
      </c>
      <c r="K2295" s="5" t="str">
        <f t="shared" si="1"/>
        <v>Kelly Swartzfager</v>
      </c>
      <c r="L2295" s="5" t="str">
        <f t="shared" si="2"/>
        <v>Campus Recruiter</v>
      </c>
      <c r="M2295" s="5" t="str">
        <f t="shared" si="3"/>
        <v> </v>
      </c>
      <c r="N2295" s="5" t="str">
        <f t="shared" si="4"/>
        <v>Deloitte</v>
      </c>
      <c r="O2295" s="5" t="str">
        <f t="shared" si="5"/>
        <v>6 years 7 months in role and company</v>
      </c>
      <c r="P2295" s="5" t="str">
        <f t="shared" si="6"/>
        <v>Houston</v>
      </c>
      <c r="Q2295" s="5" t="str">
        <f t="shared" si="7"/>
        <v>Texas</v>
      </c>
      <c r="R2295" s="5" t="str">
        <f t="shared" si="8"/>
        <v>United States</v>
      </c>
    </row>
    <row r="2296">
      <c r="A2296" s="7" t="s">
        <v>362</v>
      </c>
      <c r="B2296" s="5" t="s">
        <v>360</v>
      </c>
      <c r="C2296" s="5" t="s">
        <v>361</v>
      </c>
      <c r="D2296" s="6" t="s">
        <v>13</v>
      </c>
      <c r="E2296" s="5" t="s">
        <v>227</v>
      </c>
      <c r="F2296" s="5" t="s">
        <v>26</v>
      </c>
      <c r="G2296" s="5" t="s">
        <v>311</v>
      </c>
      <c r="H2296" s="5" t="s">
        <v>102</v>
      </c>
      <c r="I2296" s="5" t="s">
        <v>18</v>
      </c>
      <c r="J2296" s="9" t="str">
        <f>IFERROR(__xludf.DUMMYFUNCTION("""COMPUTED_VALUE"""),"https://www.google.com/search?newwindow=1&amp;ei=2MT0XrvGGM-vytMP1OyDgAY&amp;q=site%3Alinkedin.com+Rebecca+Maddox+Senior+Campus+Recruiter+Deloitte")</f>
        <v>https://www.google.com/search?newwindow=1&amp;ei=2MT0XrvGGM-vytMP1OyDgAY&amp;q=site%3Alinkedin.com+Rebecca+Maddox+Senior+Campus+Recruiter+Deloitte</v>
      </c>
      <c r="K2296" s="5" t="str">
        <f t="shared" si="1"/>
        <v>Rebecca Maddox</v>
      </c>
      <c r="L2296" s="5" t="str">
        <f t="shared" si="2"/>
        <v>Senior Campus Recruiter</v>
      </c>
      <c r="M2296" s="5" t="str">
        <f t="shared" si="3"/>
        <v> </v>
      </c>
      <c r="N2296" s="5" t="str">
        <f t="shared" si="4"/>
        <v>Deloitte</v>
      </c>
      <c r="O2296" s="5" t="str">
        <f t="shared" si="5"/>
        <v>5 years 4 months in role and company</v>
      </c>
      <c r="P2296" s="5" t="str">
        <f t="shared" si="6"/>
        <v>Houston</v>
      </c>
      <c r="Q2296" s="5" t="str">
        <f t="shared" si="7"/>
        <v>Texas</v>
      </c>
      <c r="R2296" s="5" t="str">
        <f t="shared" si="8"/>
        <v>United States</v>
      </c>
    </row>
    <row r="2297">
      <c r="A2297" s="8" t="s">
        <v>366</v>
      </c>
      <c r="B2297" s="5" t="s">
        <v>363</v>
      </c>
      <c r="C2297" s="5" t="s">
        <v>364</v>
      </c>
      <c r="D2297" s="6" t="s">
        <v>13</v>
      </c>
      <c r="E2297" s="5" t="s">
        <v>227</v>
      </c>
      <c r="F2297" s="5" t="s">
        <v>365</v>
      </c>
      <c r="G2297" s="5" t="s">
        <v>311</v>
      </c>
      <c r="H2297" s="5" t="s">
        <v>102</v>
      </c>
      <c r="I2297" s="5" t="s">
        <v>18</v>
      </c>
      <c r="J2297" s="9" t="str">
        <f>IFERROR(__xludf.DUMMYFUNCTION("""COMPUTED_VALUE"""),"https://www.google.com/search?newwindow=1&amp;ei=2MT0XrvGGM-vytMP1OyDgAY&amp;q=site%3Alinkedin.com+Amanda+Runnalls+Campus+Recruiter+Deloitte")</f>
        <v>https://www.google.com/search?newwindow=1&amp;ei=2MT0XrvGGM-vytMP1OyDgAY&amp;q=site%3Alinkedin.com+Amanda+Runnalls+Campus+Recruiter+Deloitte</v>
      </c>
      <c r="K2297" s="5" t="str">
        <f t="shared" si="1"/>
        <v>Amanda Runnalls</v>
      </c>
      <c r="L2297" s="5" t="str">
        <f t="shared" si="2"/>
        <v>Campus Recruiter</v>
      </c>
      <c r="M2297" s="5" t="str">
        <f t="shared" si="3"/>
        <v> </v>
      </c>
      <c r="N2297" s="5" t="str">
        <f t="shared" si="4"/>
        <v>Deloitte</v>
      </c>
      <c r="O2297" s="5" t="str">
        <f t="shared" si="5"/>
        <v>4 years 3 months in role and company</v>
      </c>
      <c r="P2297" s="5" t="str">
        <f t="shared" si="6"/>
        <v>Hubertus</v>
      </c>
      <c r="Q2297" s="5" t="str">
        <f t="shared" si="7"/>
        <v>Wisconsin</v>
      </c>
      <c r="R2297" s="5" t="str">
        <f t="shared" si="8"/>
        <v>United States</v>
      </c>
    </row>
    <row r="2298">
      <c r="A2298" s="7" t="s">
        <v>369</v>
      </c>
      <c r="B2298" s="5" t="s">
        <v>367</v>
      </c>
      <c r="C2298" s="5" t="s">
        <v>110</v>
      </c>
      <c r="D2298" s="6" t="s">
        <v>13</v>
      </c>
      <c r="E2298" s="5" t="s">
        <v>227</v>
      </c>
      <c r="F2298" s="5" t="s">
        <v>228</v>
      </c>
      <c r="G2298" s="5" t="s">
        <v>368</v>
      </c>
      <c r="H2298" s="5" t="s">
        <v>91</v>
      </c>
      <c r="I2298" s="5" t="s">
        <v>18</v>
      </c>
      <c r="J2298" s="9" t="str">
        <f>IFERROR(__xludf.DUMMYFUNCTION("""COMPUTED_VALUE"""),"https://www.google.com/search?newwindow=1&amp;ei=2MT0XrvGGM-vytMP1OyDgAY&amp;q=site%3Alinkedin.com+Dolorez+Dumas-Aris+Campus+Recruiting+Manager+Deloitte")</f>
        <v>https://www.google.com/search?newwindow=1&amp;ei=2MT0XrvGGM-vytMP1OyDgAY&amp;q=site%3Alinkedin.com+Dolorez+Dumas-Aris+Campus+Recruiting+Manager+Deloitte</v>
      </c>
      <c r="K2298" s="5" t="str">
        <f t="shared" si="1"/>
        <v>Dolorez Dumas-Aris</v>
      </c>
      <c r="L2298" s="5" t="str">
        <f t="shared" si="2"/>
        <v>Campus Recruiting Manager</v>
      </c>
      <c r="M2298" s="5" t="str">
        <f t="shared" si="3"/>
        <v> </v>
      </c>
      <c r="N2298" s="5" t="str">
        <f t="shared" si="4"/>
        <v>Deloitte</v>
      </c>
      <c r="O2298" s="5" t="str">
        <f t="shared" si="5"/>
        <v/>
      </c>
      <c r="P2298" s="5" t="str">
        <f t="shared" si="6"/>
        <v>Lafayette</v>
      </c>
      <c r="Q2298" s="5" t="str">
        <f t="shared" si="7"/>
        <v>California</v>
      </c>
      <c r="R2298" s="5" t="str">
        <f t="shared" si="8"/>
        <v>United States</v>
      </c>
    </row>
    <row r="2299">
      <c r="A2299" s="7" t="s">
        <v>373</v>
      </c>
      <c r="B2299" s="5" t="s">
        <v>370</v>
      </c>
      <c r="C2299" s="5" t="s">
        <v>371</v>
      </c>
      <c r="D2299" s="6" t="s">
        <v>13</v>
      </c>
      <c r="E2299" s="5" t="s">
        <v>227</v>
      </c>
      <c r="F2299" s="5" t="s">
        <v>144</v>
      </c>
      <c r="G2299" s="5" t="s">
        <v>372</v>
      </c>
      <c r="H2299" s="5" t="s">
        <v>86</v>
      </c>
      <c r="I2299" s="5" t="s">
        <v>18</v>
      </c>
      <c r="J2299" s="9" t="str">
        <f>IFERROR(__xludf.DUMMYFUNCTION("""COMPUTED_VALUE"""),"https://www.google.com/search?newwindow=1&amp;ei=2MT0XrvGGM-vytMP1OyDgAY&amp;q=site%3Alinkedin.com+Divya+Shenoy+Campus+Recruiting+Manager+Deloitte")</f>
        <v>https://www.google.com/search?newwindow=1&amp;ei=2MT0XrvGGM-vytMP1OyDgAY&amp;q=site%3Alinkedin.com+Divya+Shenoy+Campus+Recruiting+Manager+Deloitte</v>
      </c>
      <c r="K2299" s="5" t="str">
        <f t="shared" si="1"/>
        <v>Divya Shenoy</v>
      </c>
      <c r="L2299" s="5" t="str">
        <f t="shared" si="2"/>
        <v>Campus Recruiting Manager</v>
      </c>
      <c r="M2299" s="5" t="str">
        <f t="shared" si="3"/>
        <v> </v>
      </c>
      <c r="N2299" s="5" t="str">
        <f t="shared" si="4"/>
        <v>Deloitte</v>
      </c>
      <c r="O2299" s="5" t="str">
        <f t="shared" si="5"/>
        <v>1 year 2 months in role</v>
      </c>
      <c r="P2299" s="5" t="str">
        <f t="shared" si="6"/>
        <v>Los Angeles</v>
      </c>
      <c r="Q2299" s="5" t="str">
        <f t="shared" si="7"/>
        <v>California</v>
      </c>
      <c r="R2299" s="5" t="str">
        <f t="shared" si="8"/>
        <v>United States</v>
      </c>
    </row>
    <row r="2300">
      <c r="A2300" s="7" t="s">
        <v>379</v>
      </c>
      <c r="B2300" s="5" t="s">
        <v>374</v>
      </c>
      <c r="C2300" s="5" t="s">
        <v>375</v>
      </c>
      <c r="D2300" s="6" t="s">
        <v>13</v>
      </c>
      <c r="E2300" s="5" t="s">
        <v>227</v>
      </c>
      <c r="F2300" s="5" t="s">
        <v>376</v>
      </c>
      <c r="G2300" s="6" t="s">
        <v>377</v>
      </c>
      <c r="H2300" s="6" t="s">
        <v>378</v>
      </c>
      <c r="I2300" s="5" t="s">
        <v>18</v>
      </c>
      <c r="J2300" s="9" t="str">
        <f>IFERROR(__xludf.DUMMYFUNCTION("""COMPUTED_VALUE"""),"https://www.google.com/search?newwindow=1&amp;ei=2MT0XrvGGM-vytMP1OyDgAY&amp;q=site%3Alinkedin.com+Kerri+Oliveira+Campus+Recruiter+Deloitte")</f>
        <v>https://www.google.com/search?newwindow=1&amp;ei=2MT0XrvGGM-vytMP1OyDgAY&amp;q=site%3Alinkedin.com+Kerri+Oliveira+Campus+Recruiter+Deloitte</v>
      </c>
      <c r="K2300" s="5" t="str">
        <f t="shared" si="1"/>
        <v>Kerri Oliveira</v>
      </c>
      <c r="L2300" s="5" t="str">
        <f t="shared" si="2"/>
        <v>Campus Recruiter</v>
      </c>
      <c r="M2300" s="5" t="str">
        <f t="shared" si="3"/>
        <v> </v>
      </c>
      <c r="N2300" s="5" t="str">
        <f t="shared" si="4"/>
        <v>Deloitte</v>
      </c>
      <c r="O2300" s="5" t="str">
        <f t="shared" si="5"/>
        <v/>
      </c>
      <c r="P2300" s="5" t="str">
        <f t="shared" si="6"/>
        <v>Los Angeles</v>
      </c>
      <c r="Q2300" s="5" t="str">
        <f t="shared" si="7"/>
        <v>California</v>
      </c>
      <c r="R2300" s="5" t="str">
        <f t="shared" si="8"/>
        <v>United States</v>
      </c>
    </row>
    <row r="2301">
      <c r="A2301" s="7" t="s">
        <v>383</v>
      </c>
      <c r="B2301" s="5" t="s">
        <v>380</v>
      </c>
      <c r="C2301" s="5" t="s">
        <v>381</v>
      </c>
      <c r="D2301" s="6" t="s">
        <v>13</v>
      </c>
      <c r="E2301" s="5" t="s">
        <v>227</v>
      </c>
      <c r="F2301" s="5" t="s">
        <v>331</v>
      </c>
      <c r="G2301" s="5" t="s">
        <v>382</v>
      </c>
      <c r="H2301" s="5" t="s">
        <v>102</v>
      </c>
      <c r="I2301" s="5" t="s">
        <v>18</v>
      </c>
      <c r="J2301" s="9" t="str">
        <f>IFERROR(__xludf.DUMMYFUNCTION("""COMPUTED_VALUE"""),"https://www.google.com/search?newwindow=1&amp;ei=2MT0XrvGGM-vytMP1OyDgAY&amp;q=site%3Alinkedin.com+Jennifer+Cohen,+PHR+Campus+Recruiting+Manager+Deloitte")</f>
        <v>https://www.google.com/search?newwindow=1&amp;ei=2MT0XrvGGM-vytMP1OyDgAY&amp;q=site%3Alinkedin.com+Jennifer+Cohen,+PHR+Campus+Recruiting+Manager+Deloitte</v>
      </c>
      <c r="K2301" s="5" t="str">
        <f t="shared" si="1"/>
        <v>Jennifer Cohen, PHR</v>
      </c>
      <c r="L2301" s="5" t="str">
        <f t="shared" si="2"/>
        <v>Campus Recruiting Manager</v>
      </c>
      <c r="M2301" s="5" t="str">
        <f t="shared" si="3"/>
        <v> </v>
      </c>
      <c r="N2301" s="5" t="str">
        <f t="shared" si="4"/>
        <v>Deloitte</v>
      </c>
      <c r="O2301" s="5" t="str">
        <f t="shared" si="5"/>
        <v>5 years 8 months in role</v>
      </c>
      <c r="P2301" s="5" t="str">
        <f t="shared" si="6"/>
        <v>Los Angeles</v>
      </c>
      <c r="Q2301" s="5" t="str">
        <f t="shared" si="7"/>
        <v>California</v>
      </c>
      <c r="R2301" s="5" t="str">
        <f t="shared" si="8"/>
        <v>United States</v>
      </c>
    </row>
    <row r="2302">
      <c r="A2302" s="7" t="s">
        <v>389</v>
      </c>
      <c r="B2302" s="5" t="s">
        <v>384</v>
      </c>
      <c r="C2302" s="5" t="s">
        <v>385</v>
      </c>
      <c r="D2302" s="6" t="s">
        <v>13</v>
      </c>
      <c r="E2302" s="5" t="s">
        <v>386</v>
      </c>
      <c r="F2302" s="5" t="s">
        <v>387</v>
      </c>
      <c r="G2302" s="5" t="s">
        <v>388</v>
      </c>
      <c r="H2302" s="5" t="s">
        <v>203</v>
      </c>
      <c r="I2302" s="5" t="s">
        <v>18</v>
      </c>
      <c r="J2302" s="9" t="str">
        <f>IFERROR(__xludf.DUMMYFUNCTION("""COMPUTED_VALUE"""),"https://www.google.com/search?newwindow=1&amp;ei=2MT0XrvGGM-vytMP1OyDgAY&amp;q=site%3Alinkedin.com+Kelli+Bakopanos+(Speidel)+Federal+Campus+Recruiting+Senior+Manager+Deloitte")</f>
        <v>https://www.google.com/search?newwindow=1&amp;ei=2MT0XrvGGM-vytMP1OyDgAY&amp;q=site%3Alinkedin.com+Kelli+Bakopanos+(Speidel)+Federal+Campus+Recruiting+Senior+Manager+Deloitte</v>
      </c>
      <c r="K2302" s="5" t="str">
        <f t="shared" si="1"/>
        <v>Kelli Bakopanos (Speidel)</v>
      </c>
      <c r="L2302" s="5" t="str">
        <f t="shared" si="2"/>
        <v>Federal Campus Recruiting Senior Manager</v>
      </c>
      <c r="M2302" s="5" t="str">
        <f t="shared" si="3"/>
        <v> </v>
      </c>
      <c r="N2302" s="5" t="str">
        <f t="shared" si="4"/>
        <v>Deloitte</v>
      </c>
      <c r="O2302" s="5" t="str">
        <f t="shared" si="5"/>
        <v>5 years 10 months in role</v>
      </c>
      <c r="P2302" s="5" t="str">
        <f t="shared" si="6"/>
        <v>McLean</v>
      </c>
      <c r="Q2302" s="5" t="str">
        <f t="shared" si="7"/>
        <v>Virginia</v>
      </c>
      <c r="R2302" s="5" t="str">
        <f t="shared" si="8"/>
        <v>United States</v>
      </c>
    </row>
    <row r="2303">
      <c r="A2303" s="7" t="s">
        <v>391</v>
      </c>
      <c r="B2303" s="5" t="s">
        <v>390</v>
      </c>
      <c r="C2303" s="5" t="s">
        <v>371</v>
      </c>
      <c r="D2303" s="6" t="s">
        <v>13</v>
      </c>
      <c r="E2303" s="5" t="s">
        <v>386</v>
      </c>
      <c r="F2303" s="5" t="s">
        <v>339</v>
      </c>
      <c r="G2303" s="5" t="s">
        <v>137</v>
      </c>
      <c r="H2303" s="5" t="s">
        <v>137</v>
      </c>
      <c r="I2303" s="5" t="s">
        <v>18</v>
      </c>
      <c r="J2303" s="9" t="str">
        <f>IFERROR(__xludf.DUMMYFUNCTION("""COMPUTED_VALUE"""),"https://www.google.com/search?newwindow=1&amp;ei=2MT0XrvGGM-vytMP1OyDgAY&amp;q=site%3Alinkedin.com+Anadelia+Garcia+Campus+Recruiting+Manager+-+Central+Region+Deloitte")</f>
        <v>https://www.google.com/search?newwindow=1&amp;ei=2MT0XrvGGM-vytMP1OyDgAY&amp;q=site%3Alinkedin.com+Anadelia+Garcia+Campus+Recruiting+Manager+-+Central+Region+Deloitte</v>
      </c>
      <c r="K2303" s="5" t="str">
        <f t="shared" si="1"/>
        <v>Anadelia Garcia</v>
      </c>
      <c r="L2303" s="5" t="str">
        <f t="shared" si="2"/>
        <v>Campus Recruiting Manager - Central Region</v>
      </c>
      <c r="M2303" s="5" t="str">
        <f t="shared" si="3"/>
        <v> </v>
      </c>
      <c r="N2303" s="5" t="str">
        <f t="shared" si="4"/>
        <v>Deloitte</v>
      </c>
      <c r="O2303" s="5" t="str">
        <f t="shared" si="5"/>
        <v>1 year 2 months in role</v>
      </c>
      <c r="P2303" s="5" t="str">
        <f t="shared" si="6"/>
        <v>Milwaukee</v>
      </c>
      <c r="Q2303" s="5" t="str">
        <f t="shared" si="7"/>
        <v>Wisconsin</v>
      </c>
      <c r="R2303" s="5" t="str">
        <f t="shared" si="8"/>
        <v>United States</v>
      </c>
    </row>
    <row r="2304">
      <c r="A2304" s="7" t="s">
        <v>394</v>
      </c>
      <c r="B2304" s="5" t="s">
        <v>392</v>
      </c>
      <c r="C2304" s="5" t="s">
        <v>393</v>
      </c>
      <c r="D2304" s="6" t="s">
        <v>13</v>
      </c>
      <c r="E2304" s="5" t="s">
        <v>386</v>
      </c>
      <c r="F2304" s="5" t="s">
        <v>63</v>
      </c>
      <c r="G2304" s="5" t="s">
        <v>137</v>
      </c>
      <c r="H2304" s="5" t="s">
        <v>137</v>
      </c>
      <c r="I2304" s="5" t="s">
        <v>18</v>
      </c>
      <c r="J2304" s="9" t="str">
        <f>IFERROR(__xludf.DUMMYFUNCTION("""COMPUTED_VALUE"""),"https://www.google.com/search?newwindow=1&amp;ei=2MT0XrvGGM-vytMP1OyDgAY&amp;q=site%3Alinkedin.com+Elizabeth+Potter+Senior+University+Recruiter+Deloitte")</f>
        <v>https://www.google.com/search?newwindow=1&amp;ei=2MT0XrvGGM-vytMP1OyDgAY&amp;q=site%3Alinkedin.com+Elizabeth+Potter+Senior+University+Recruiter+Deloitte</v>
      </c>
      <c r="K2304" s="5" t="str">
        <f t="shared" si="1"/>
        <v>Elizabeth Potter</v>
      </c>
      <c r="L2304" s="5" t="str">
        <f t="shared" si="2"/>
        <v>Senior University Recruiter</v>
      </c>
      <c r="M2304" s="5" t="str">
        <f t="shared" si="3"/>
        <v> </v>
      </c>
      <c r="N2304" s="5" t="str">
        <f t="shared" si="4"/>
        <v>Deloitte</v>
      </c>
      <c r="O2304" s="5" t="str">
        <f t="shared" si="5"/>
        <v>2 years  in role and company</v>
      </c>
      <c r="P2304" s="5" t="str">
        <f t="shared" si="6"/>
        <v>New York</v>
      </c>
      <c r="Q2304" s="5" t="str">
        <f t="shared" si="7"/>
        <v>New York</v>
      </c>
      <c r="R2304" s="5" t="str">
        <f t="shared" si="8"/>
        <v>United States</v>
      </c>
    </row>
    <row r="2305">
      <c r="A2305" s="7" t="s">
        <v>396</v>
      </c>
      <c r="B2305" s="5" t="s">
        <v>395</v>
      </c>
      <c r="C2305" s="5" t="s">
        <v>25</v>
      </c>
      <c r="D2305" s="6" t="s">
        <v>13</v>
      </c>
      <c r="E2305" s="5" t="s">
        <v>386</v>
      </c>
      <c r="F2305" s="5" t="s">
        <v>84</v>
      </c>
      <c r="G2305" s="5" t="s">
        <v>137</v>
      </c>
      <c r="H2305" s="5" t="s">
        <v>137</v>
      </c>
      <c r="I2305" s="5" t="s">
        <v>18</v>
      </c>
      <c r="J2305" s="9" t="str">
        <f>IFERROR(__xludf.DUMMYFUNCTION("""COMPUTED_VALUE"""),"https://www.google.com/search?newwindow=1&amp;ei=2MT0XrvGGM-vytMP1OyDgAY&amp;q=site%3Alinkedin.com+Jeremy+Carrine+Campus+Recruiting+Manager+|+East+Region+Deloitte")</f>
        <v>https://www.google.com/search?newwindow=1&amp;ei=2MT0XrvGGM-vytMP1OyDgAY&amp;q=site%3Alinkedin.com+Jeremy+Carrine+Campus+Recruiting+Manager+|+East+Region+Deloitte</v>
      </c>
      <c r="K2305" s="5" t="str">
        <f t="shared" si="1"/>
        <v>Jeremy Carrine</v>
      </c>
      <c r="L2305" s="5" t="str">
        <f t="shared" si="2"/>
        <v>Campus Recruiting Manager | East Region</v>
      </c>
      <c r="M2305" s="5" t="str">
        <f t="shared" si="3"/>
        <v> </v>
      </c>
      <c r="N2305" s="5" t="str">
        <f t="shared" si="4"/>
        <v>Deloitte</v>
      </c>
      <c r="O2305" s="5" t="str">
        <f t="shared" si="5"/>
        <v>5 years 10 months in role</v>
      </c>
      <c r="P2305" s="5" t="str">
        <f t="shared" si="6"/>
        <v>New York</v>
      </c>
      <c r="Q2305" s="5" t="str">
        <f t="shared" si="7"/>
        <v>New York</v>
      </c>
      <c r="R2305" s="5" t="str">
        <f t="shared" si="8"/>
        <v>United States</v>
      </c>
    </row>
    <row r="2306">
      <c r="A2306" s="8" t="s">
        <v>400</v>
      </c>
      <c r="B2306" s="5" t="s">
        <v>397</v>
      </c>
      <c r="C2306" s="5" t="s">
        <v>398</v>
      </c>
      <c r="D2306" s="6" t="s">
        <v>13</v>
      </c>
      <c r="E2306" s="5" t="s">
        <v>386</v>
      </c>
      <c r="F2306" s="5" t="s">
        <v>399</v>
      </c>
      <c r="G2306" s="5" t="s">
        <v>223</v>
      </c>
      <c r="H2306" s="5" t="s">
        <v>224</v>
      </c>
      <c r="I2306" s="5" t="s">
        <v>18</v>
      </c>
      <c r="J2306" s="9" t="str">
        <f>IFERROR(__xludf.DUMMYFUNCTION("""COMPUTED_VALUE"""),"https://www.google.com/search?newwindow=1&amp;ei=2MT0XrvGGM-vytMP1OyDgAY&amp;q=site%3Alinkedin.com+Katie+Long,+SHRM-CP,+PHR+Campus+Recruiting+Manager+Deloitte")</f>
        <v>https://www.google.com/search?newwindow=1&amp;ei=2MT0XrvGGM-vytMP1OyDgAY&amp;q=site%3Alinkedin.com+Katie+Long,+SHRM-CP,+PHR+Campus+Recruiting+Manager+Deloitte</v>
      </c>
      <c r="K2306" s="5" t="str">
        <f t="shared" si="1"/>
        <v>Katie Long, SHRM-CP, PHR</v>
      </c>
      <c r="L2306" s="5" t="str">
        <f t="shared" si="2"/>
        <v>Campus Recruiting Manager</v>
      </c>
      <c r="M2306" s="5" t="str">
        <f t="shared" si="3"/>
        <v> </v>
      </c>
      <c r="N2306" s="5" t="str">
        <f t="shared" si="4"/>
        <v>Deloitte</v>
      </c>
      <c r="O2306" s="5" t="str">
        <f t="shared" si="5"/>
        <v>5 months in role</v>
      </c>
      <c r="P2306" s="5" t="str">
        <f t="shared" si="6"/>
        <v>New York</v>
      </c>
      <c r="Q2306" s="5" t="str">
        <f t="shared" si="7"/>
        <v>New York</v>
      </c>
      <c r="R2306" s="5" t="str">
        <f t="shared" si="8"/>
        <v>United States</v>
      </c>
    </row>
    <row r="2307">
      <c r="A2307" s="7" t="s">
        <v>402</v>
      </c>
      <c r="B2307" s="5" t="s">
        <v>401</v>
      </c>
      <c r="C2307" s="5" t="s">
        <v>25</v>
      </c>
      <c r="D2307" s="6" t="s">
        <v>13</v>
      </c>
      <c r="E2307" s="5" t="s">
        <v>386</v>
      </c>
      <c r="F2307" s="5" t="s">
        <v>29</v>
      </c>
      <c r="G2307" s="5" t="s">
        <v>223</v>
      </c>
      <c r="H2307" s="5" t="s">
        <v>224</v>
      </c>
      <c r="I2307" s="5" t="s">
        <v>18</v>
      </c>
      <c r="J2307" s="9" t="str">
        <f>IFERROR(__xludf.DUMMYFUNCTION("""COMPUTED_VALUE"""),"https://www.google.com/search?newwindow=1&amp;ei=2MT0XrvGGM-vytMP1OyDgAY&amp;q=site%3Alinkedin.com+Ashley+Hyde,+MS,+SPHR+Manager,+Performance+Management+Deloitte")</f>
        <v>https://www.google.com/search?newwindow=1&amp;ei=2MT0XrvGGM-vytMP1OyDgAY&amp;q=site%3Alinkedin.com+Ashley+Hyde,+MS,+SPHR+Manager,+Performance+Management+Deloitte</v>
      </c>
      <c r="K2307" s="5" t="str">
        <f t="shared" si="1"/>
        <v>Ashley Hyde, MS, SPHR</v>
      </c>
      <c r="L2307" s="5" t="str">
        <f t="shared" si="2"/>
        <v>Manager, Performance Management</v>
      </c>
      <c r="M2307" s="5" t="str">
        <f t="shared" si="3"/>
        <v> </v>
      </c>
      <c r="N2307" s="5" t="str">
        <f t="shared" si="4"/>
        <v>Deloitte</v>
      </c>
      <c r="O2307" s="5" t="str">
        <f t="shared" si="5"/>
        <v>1 year 5 months in role and company</v>
      </c>
      <c r="P2307" s="5" t="str">
        <f t="shared" si="6"/>
        <v>New York</v>
      </c>
      <c r="Q2307" s="5" t="str">
        <f t="shared" si="7"/>
        <v>New York</v>
      </c>
      <c r="R2307" s="5" t="str">
        <f t="shared" si="8"/>
        <v>United States</v>
      </c>
    </row>
    <row r="2308">
      <c r="A2308" s="7" t="s">
        <v>406</v>
      </c>
      <c r="B2308" s="5" t="s">
        <v>403</v>
      </c>
      <c r="C2308" s="5" t="s">
        <v>404</v>
      </c>
      <c r="D2308" s="6" t="s">
        <v>13</v>
      </c>
      <c r="E2308" s="5" t="s">
        <v>405</v>
      </c>
      <c r="F2308" s="5" t="s">
        <v>63</v>
      </c>
      <c r="G2308" s="5" t="s">
        <v>43</v>
      </c>
      <c r="H2308" s="5" t="s">
        <v>44</v>
      </c>
      <c r="I2308" s="5" t="s">
        <v>18</v>
      </c>
      <c r="J2308" s="9" t="str">
        <f>IFERROR(__xludf.DUMMYFUNCTION("""COMPUTED_VALUE"""),"https://www.google.com/search?newwindow=1&amp;ei=2MT0XrvGGM-vytMP1OyDgAY&amp;q=site%3Alinkedin.com+Callie+McCarthy+Campus+Recruiter+Deloitte")</f>
        <v>https://www.google.com/search?newwindow=1&amp;ei=2MT0XrvGGM-vytMP1OyDgAY&amp;q=site%3Alinkedin.com+Callie+McCarthy+Campus+Recruiter+Deloitte</v>
      </c>
      <c r="K2308" s="5" t="str">
        <f t="shared" si="1"/>
        <v>Callie McCarthy</v>
      </c>
      <c r="L2308" s="5" t="str">
        <f t="shared" si="2"/>
        <v>Campus Recruiter</v>
      </c>
      <c r="M2308" s="5" t="str">
        <f t="shared" si="3"/>
        <v> </v>
      </c>
      <c r="N2308" s="5" t="str">
        <f t="shared" si="4"/>
        <v>Deloitte</v>
      </c>
      <c r="O2308" s="5" t="str">
        <f t="shared" si="5"/>
        <v>2 years 1 month in role and company</v>
      </c>
      <c r="P2308" s="5" t="str">
        <f t="shared" si="6"/>
        <v>New York</v>
      </c>
      <c r="Q2308" s="5" t="str">
        <f t="shared" si="7"/>
        <v>New York</v>
      </c>
      <c r="R2308" s="5" t="str">
        <f t="shared" si="8"/>
        <v>United States</v>
      </c>
    </row>
    <row r="2309">
      <c r="A2309" s="7" t="s">
        <v>411</v>
      </c>
      <c r="B2309" s="5" t="s">
        <v>407</v>
      </c>
      <c r="C2309" s="5" t="s">
        <v>408</v>
      </c>
      <c r="D2309" s="6" t="s">
        <v>13</v>
      </c>
      <c r="E2309" s="5" t="s">
        <v>405</v>
      </c>
      <c r="F2309" s="5" t="s">
        <v>409</v>
      </c>
      <c r="G2309" s="5" t="s">
        <v>410</v>
      </c>
      <c r="H2309" s="5" t="s">
        <v>44</v>
      </c>
      <c r="I2309" s="5" t="s">
        <v>18</v>
      </c>
      <c r="J2309" s="9" t="str">
        <f>IFERROR(__xludf.DUMMYFUNCTION("""COMPUTED_VALUE"""),"https://www.google.com/search?newwindow=1&amp;ei=2MT0XrvGGM-vytMP1OyDgAY&amp;q=site%3Alinkedin.com+Deanna+Washington+Campus+Recruiter+Deloitte")</f>
        <v>https://www.google.com/search?newwindow=1&amp;ei=2MT0XrvGGM-vytMP1OyDgAY&amp;q=site%3Alinkedin.com+Deanna+Washington+Campus+Recruiter+Deloitte</v>
      </c>
      <c r="K2309" s="5" t="str">
        <f t="shared" si="1"/>
        <v>Deanna Washington</v>
      </c>
      <c r="L2309" s="5" t="str">
        <f t="shared" si="2"/>
        <v>Campus Recruiter</v>
      </c>
      <c r="M2309" s="5" t="str">
        <f t="shared" si="3"/>
        <v> </v>
      </c>
      <c r="N2309" s="5" t="str">
        <f t="shared" si="4"/>
        <v>Deloitte</v>
      </c>
      <c r="O2309" s="5" t="str">
        <f t="shared" si="5"/>
        <v>1 year 6 months in role and company</v>
      </c>
      <c r="P2309" s="5" t="str">
        <f t="shared" si="6"/>
        <v>New York</v>
      </c>
      <c r="Q2309" s="5" t="str">
        <f t="shared" si="7"/>
        <v>New York</v>
      </c>
      <c r="R2309" s="5" t="str">
        <f t="shared" si="8"/>
        <v>United States</v>
      </c>
    </row>
    <row r="2310">
      <c r="A2310" s="8" t="s">
        <v>415</v>
      </c>
      <c r="B2310" s="5" t="s">
        <v>412</v>
      </c>
      <c r="C2310" s="5" t="s">
        <v>413</v>
      </c>
      <c r="D2310" s="6" t="s">
        <v>13</v>
      </c>
      <c r="E2310" s="5" t="s">
        <v>405</v>
      </c>
      <c r="F2310" s="5" t="s">
        <v>48</v>
      </c>
      <c r="G2310" s="5" t="s">
        <v>414</v>
      </c>
      <c r="H2310" s="5" t="s">
        <v>44</v>
      </c>
      <c r="I2310" s="5" t="s">
        <v>18</v>
      </c>
      <c r="J2310" s="9" t="str">
        <f>IFERROR(__xludf.DUMMYFUNCTION("""COMPUTED_VALUE"""),"https://www.google.com/search?newwindow=1&amp;ei=2MT0XrvGGM-vytMP1OyDgAY&amp;q=site%3Alinkedin.com+Alyse+Aven+Lead+Experienced+Hire+Recruiter+Deloitte")</f>
        <v>https://www.google.com/search?newwindow=1&amp;ei=2MT0XrvGGM-vytMP1OyDgAY&amp;q=site%3Alinkedin.com+Alyse+Aven+Lead+Experienced+Hire+Recruiter+Deloitte</v>
      </c>
      <c r="K2310" s="5" t="str">
        <f t="shared" si="1"/>
        <v>Alyse Aven</v>
      </c>
      <c r="L2310" s="5" t="str">
        <f t="shared" si="2"/>
        <v>Lead Experienced Hire Recruiter</v>
      </c>
      <c r="M2310" s="5" t="str">
        <f t="shared" si="3"/>
        <v> </v>
      </c>
      <c r="N2310" s="5" t="str">
        <f t="shared" si="4"/>
        <v>Deloitte</v>
      </c>
      <c r="O2310" s="5" t="str">
        <f t="shared" si="5"/>
        <v>1 year 3 months in role</v>
      </c>
      <c r="P2310" s="5" t="str">
        <f t="shared" si="6"/>
        <v>New York</v>
      </c>
      <c r="Q2310" s="5" t="str">
        <f t="shared" si="7"/>
        <v>New York</v>
      </c>
      <c r="R2310" s="5" t="str">
        <f t="shared" si="8"/>
        <v>United States</v>
      </c>
    </row>
    <row r="2311">
      <c r="A2311" s="7" t="s">
        <v>419</v>
      </c>
      <c r="B2311" s="5" t="s">
        <v>416</v>
      </c>
      <c r="C2311" s="5" t="s">
        <v>417</v>
      </c>
      <c r="D2311" s="6" t="s">
        <v>4</v>
      </c>
      <c r="E2311" s="5" t="s">
        <v>405</v>
      </c>
      <c r="F2311" s="5" t="s">
        <v>418</v>
      </c>
      <c r="G2311" s="5" t="s">
        <v>414</v>
      </c>
      <c r="H2311" s="5" t="s">
        <v>44</v>
      </c>
      <c r="I2311" s="5" t="s">
        <v>18</v>
      </c>
      <c r="J2311" s="9" t="str">
        <f>IFERROR(__xludf.DUMMYFUNCTION("""COMPUTED_VALUE"""),"https://www.google.com/search?newwindow=1&amp;ei=2MT0XrvGGM-vytMP1OyDgAY&amp;q=site%3Alinkedin.com+Melissa+(Uhniat)+Sweeney+Manager,+Experienced+Hire+Recruiting+Deloitte")</f>
        <v>https://www.google.com/search?newwindow=1&amp;ei=2MT0XrvGGM-vytMP1OyDgAY&amp;q=site%3Alinkedin.com+Melissa+(Uhniat)+Sweeney+Manager,+Experienced+Hire+Recruiting+Deloitte</v>
      </c>
      <c r="K2311" s="5" t="str">
        <f t="shared" si="1"/>
        <v>Melissa (Uhniat) Sweeney</v>
      </c>
      <c r="L2311" s="5" t="str">
        <f t="shared" si="2"/>
        <v>Manager, Experienced Hire Recruiting</v>
      </c>
      <c r="M2311" s="5" t="str">
        <f t="shared" si="3"/>
        <v> </v>
      </c>
      <c r="N2311" s="5" t="str">
        <f t="shared" si="4"/>
        <v>Deloitte</v>
      </c>
      <c r="O2311" s="5" t="str">
        <f t="shared" si="5"/>
        <v>1 year 5 months in role</v>
      </c>
      <c r="P2311" s="5" t="str">
        <f t="shared" si="6"/>
        <v>Philadelphia</v>
      </c>
      <c r="Q2311" s="5" t="str">
        <f t="shared" si="7"/>
        <v>Pennsylvania</v>
      </c>
      <c r="R2311" s="5" t="str">
        <f t="shared" si="8"/>
        <v>United States</v>
      </c>
    </row>
    <row r="2312">
      <c r="A2312" s="7" t="s">
        <v>422</v>
      </c>
      <c r="B2312" s="5" t="s">
        <v>420</v>
      </c>
      <c r="C2312" s="5" t="s">
        <v>404</v>
      </c>
      <c r="D2312" s="6" t="s">
        <v>13</v>
      </c>
      <c r="E2312" s="5" t="s">
        <v>405</v>
      </c>
      <c r="F2312" s="5" t="s">
        <v>421</v>
      </c>
      <c r="G2312" s="5" t="s">
        <v>414</v>
      </c>
      <c r="H2312" s="5" t="s">
        <v>44</v>
      </c>
      <c r="I2312" s="5" t="s">
        <v>18</v>
      </c>
      <c r="J2312" s="9" t="str">
        <f>IFERROR(__xludf.DUMMYFUNCTION("""COMPUTED_VALUE"""),"https://www.google.com/search?newwindow=1&amp;ei=2MT0XrvGGM-vytMP1OyDgAY&amp;q=site%3Alinkedin.com+Shannel+Amaraweera,+M.S.W.+Campus+Recruiter+Deloitte")</f>
        <v>https://www.google.com/search?newwindow=1&amp;ei=2MT0XrvGGM-vytMP1OyDgAY&amp;q=site%3Alinkedin.com+Shannel+Amaraweera,+M.S.W.+Campus+Recruiter+Deloitte</v>
      </c>
      <c r="K2312" s="5" t="str">
        <f t="shared" si="1"/>
        <v>Shannel Amaraweera, M.S.W.</v>
      </c>
      <c r="L2312" s="5" t="str">
        <f t="shared" si="2"/>
        <v>Campus Recruiter</v>
      </c>
      <c r="M2312" s="5" t="str">
        <f t="shared" si="3"/>
        <v> </v>
      </c>
      <c r="N2312" s="5" t="str">
        <f t="shared" si="4"/>
        <v>Deloitte</v>
      </c>
      <c r="O2312" s="5" t="str">
        <f t="shared" si="5"/>
        <v>1 year 5 months in role and company</v>
      </c>
      <c r="P2312" s="5" t="str">
        <f t="shared" si="6"/>
        <v>Phoenix</v>
      </c>
      <c r="Q2312" s="5" t="str">
        <f t="shared" si="7"/>
        <v>Arizona</v>
      </c>
      <c r="R2312" s="5" t="str">
        <f t="shared" si="8"/>
        <v>United States</v>
      </c>
    </row>
    <row r="2313">
      <c r="A2313" s="7" t="s">
        <v>428</v>
      </c>
      <c r="B2313" s="5" t="s">
        <v>423</v>
      </c>
      <c r="C2313" s="5" t="s">
        <v>424</v>
      </c>
      <c r="D2313" s="6" t="s">
        <v>13</v>
      </c>
      <c r="E2313" s="5" t="s">
        <v>405</v>
      </c>
      <c r="F2313" s="5" t="s">
        <v>425</v>
      </c>
      <c r="G2313" s="5" t="s">
        <v>426</v>
      </c>
      <c r="H2313" s="5" t="s">
        <v>427</v>
      </c>
      <c r="I2313" s="5" t="s">
        <v>18</v>
      </c>
      <c r="J2313" s="9" t="str">
        <f>IFERROR(__xludf.DUMMYFUNCTION("""COMPUTED_VALUE"""),"https://www.google.com/search?newwindow=1&amp;ei=2MT0XrvGGM-vytMP1OyDgAY&amp;q=site%3Alinkedin.com+Amanda+Willott+Campus+Recruiter+Deloitte")</f>
        <v>https://www.google.com/search?newwindow=1&amp;ei=2MT0XrvGGM-vytMP1OyDgAY&amp;q=site%3Alinkedin.com+Amanda+Willott+Campus+Recruiter+Deloitte</v>
      </c>
      <c r="K2313" s="5" t="str">
        <f t="shared" si="1"/>
        <v>Amanda Willott</v>
      </c>
      <c r="L2313" s="5" t="str">
        <f t="shared" si="2"/>
        <v>Campus Recruiter</v>
      </c>
      <c r="M2313" s="5" t="str">
        <f t="shared" si="3"/>
        <v> </v>
      </c>
      <c r="N2313" s="5" t="str">
        <f t="shared" si="4"/>
        <v>Deloitte</v>
      </c>
      <c r="O2313" s="5" t="str">
        <f t="shared" si="5"/>
        <v>19 years 9 months in role and company</v>
      </c>
      <c r="P2313" s="5" t="str">
        <f t="shared" si="6"/>
        <v>Portland</v>
      </c>
      <c r="Q2313" s="5" t="str">
        <f t="shared" si="7"/>
        <v>Oregon</v>
      </c>
      <c r="R2313" s="5" t="str">
        <f t="shared" si="8"/>
        <v>United States</v>
      </c>
    </row>
    <row r="2314">
      <c r="A2314" s="7" t="s">
        <v>431</v>
      </c>
      <c r="B2314" s="5" t="s">
        <v>429</v>
      </c>
      <c r="C2314" s="5" t="s">
        <v>404</v>
      </c>
      <c r="D2314" s="6" t="s">
        <v>13</v>
      </c>
      <c r="E2314" s="5" t="s">
        <v>405</v>
      </c>
      <c r="F2314" s="5" t="s">
        <v>430</v>
      </c>
      <c r="G2314" s="5" t="s">
        <v>112</v>
      </c>
      <c r="H2314" s="5" t="s">
        <v>38</v>
      </c>
      <c r="I2314" s="5" t="s">
        <v>18</v>
      </c>
      <c r="J2314" s="9" t="str">
        <f>IFERROR(__xludf.DUMMYFUNCTION("""COMPUTED_VALUE"""),"https://www.google.com/search?newwindow=1&amp;ei=2MT0XrvGGM-vytMP1OyDgAY&amp;q=site%3Alinkedin.com+Emily+Kaplan+Campus+Recruiter+Deloitte")</f>
        <v>https://www.google.com/search?newwindow=1&amp;ei=2MT0XrvGGM-vytMP1OyDgAY&amp;q=site%3Alinkedin.com+Emily+Kaplan+Campus+Recruiter+Deloitte</v>
      </c>
      <c r="K2314" s="5" t="str">
        <f t="shared" si="1"/>
        <v>Emily Kaplan</v>
      </c>
      <c r="L2314" s="5" t="str">
        <f t="shared" si="2"/>
        <v>Campus Recruiter</v>
      </c>
      <c r="M2314" s="5" t="str">
        <f t="shared" si="3"/>
        <v> </v>
      </c>
      <c r="N2314" s="5" t="str">
        <f t="shared" si="4"/>
        <v>Deloitte</v>
      </c>
      <c r="O2314" s="5" t="str">
        <f t="shared" si="5"/>
        <v>5 years 7 months in role and company</v>
      </c>
      <c r="P2314" s="5" t="str">
        <f t="shared" si="6"/>
        <v>Raleigh</v>
      </c>
      <c r="Q2314" s="5" t="str">
        <f t="shared" si="7"/>
        <v>North Carolina</v>
      </c>
      <c r="R2314" s="5" t="str">
        <f t="shared" si="8"/>
        <v>United States</v>
      </c>
    </row>
    <row r="2315">
      <c r="A2315" s="8" t="s">
        <v>434</v>
      </c>
      <c r="B2315" s="5" t="s">
        <v>432</v>
      </c>
      <c r="C2315" s="5" t="s">
        <v>413</v>
      </c>
      <c r="D2315" s="6" t="s">
        <v>13</v>
      </c>
      <c r="E2315" s="5" t="s">
        <v>405</v>
      </c>
      <c r="F2315" s="5" t="s">
        <v>48</v>
      </c>
      <c r="G2315" s="5" t="s">
        <v>433</v>
      </c>
      <c r="H2315" s="5" t="s">
        <v>44</v>
      </c>
      <c r="I2315" s="5" t="s">
        <v>18</v>
      </c>
      <c r="J2315" s="9" t="str">
        <f>IFERROR(__xludf.DUMMYFUNCTION("""COMPUTED_VALUE"""),"https://www.google.com/search?newwindow=1&amp;ei=2MT0XrvGGM-vytMP1OyDgAY&amp;q=site%3Alinkedin.com+Dana+Catania+Campus+Recruiting+Manager+Deloitte")</f>
        <v>https://www.google.com/search?newwindow=1&amp;ei=2MT0XrvGGM-vytMP1OyDgAY&amp;q=site%3Alinkedin.com+Dana+Catania+Campus+Recruiting+Manager+Deloitte</v>
      </c>
      <c r="K2315" s="5" t="str">
        <f t="shared" si="1"/>
        <v>Dana Catania</v>
      </c>
      <c r="L2315" s="5" t="str">
        <f t="shared" si="2"/>
        <v>Campus Recruiting Manager</v>
      </c>
      <c r="M2315" s="5" t="str">
        <f t="shared" si="3"/>
        <v> </v>
      </c>
      <c r="N2315" s="5" t="str">
        <f t="shared" si="4"/>
        <v>Deloitte</v>
      </c>
      <c r="O2315" s="5" t="str">
        <f t="shared" si="5"/>
        <v>19 years 10 months in role and company</v>
      </c>
      <c r="P2315" s="5" t="str">
        <f t="shared" si="6"/>
        <v>Royal Oak</v>
      </c>
      <c r="Q2315" s="5" t="str">
        <f t="shared" si="7"/>
        <v>Michigan</v>
      </c>
      <c r="R2315" s="5" t="str">
        <f t="shared" si="8"/>
        <v>United States</v>
      </c>
    </row>
    <row r="2316">
      <c r="A2316" s="7" t="s">
        <v>438</v>
      </c>
      <c r="B2316" s="5" t="s">
        <v>435</v>
      </c>
      <c r="C2316" s="5" t="s">
        <v>436</v>
      </c>
      <c r="D2316" s="6" t="s">
        <v>13</v>
      </c>
      <c r="E2316" s="5" t="s">
        <v>405</v>
      </c>
      <c r="F2316" s="5" t="s">
        <v>437</v>
      </c>
      <c r="G2316" s="5" t="s">
        <v>433</v>
      </c>
      <c r="H2316" s="5" t="s">
        <v>44</v>
      </c>
      <c r="I2316" s="5" t="s">
        <v>18</v>
      </c>
      <c r="J2316" s="9" t="str">
        <f>IFERROR(__xludf.DUMMYFUNCTION("""COMPUTED_VALUE"""),"https://www.google.com/search?newwindow=1&amp;ei=2MT0XrvGGM-vytMP1OyDgAY&amp;q=site%3Alinkedin.com+Vicky+Chang+Campus+Recruiting+Manager+Deloitte")</f>
        <v>https://www.google.com/search?newwindow=1&amp;ei=2MT0XrvGGM-vytMP1OyDgAY&amp;q=site%3Alinkedin.com+Vicky+Chang+Campus+Recruiting+Manager+Deloitte</v>
      </c>
      <c r="K2316" s="5" t="str">
        <f t="shared" si="1"/>
        <v>Vicky Chang</v>
      </c>
      <c r="L2316" s="5" t="str">
        <f t="shared" si="2"/>
        <v>Campus Recruiting Manager</v>
      </c>
      <c r="M2316" s="5" t="str">
        <f t="shared" si="3"/>
        <v> </v>
      </c>
      <c r="N2316" s="5" t="str">
        <f t="shared" si="4"/>
        <v>Deloitte</v>
      </c>
      <c r="O2316" s="5" t="str">
        <f t="shared" si="5"/>
        <v>4 years  in role</v>
      </c>
      <c r="P2316" s="5" t="str">
        <f t="shared" si="6"/>
        <v>San Francisco</v>
      </c>
      <c r="Q2316" s="5" t="str">
        <f t="shared" si="7"/>
        <v>California</v>
      </c>
      <c r="R2316" s="5" t="str">
        <f t="shared" si="8"/>
        <v>United States</v>
      </c>
    </row>
    <row r="2317">
      <c r="A2317" s="7" t="s">
        <v>442</v>
      </c>
      <c r="B2317" s="5" t="s">
        <v>439</v>
      </c>
      <c r="C2317" s="5" t="s">
        <v>440</v>
      </c>
      <c r="D2317" s="6" t="s">
        <v>13</v>
      </c>
      <c r="E2317" s="5" t="s">
        <v>405</v>
      </c>
      <c r="F2317" s="5" t="s">
        <v>441</v>
      </c>
      <c r="G2317" s="5" t="s">
        <v>166</v>
      </c>
      <c r="H2317" s="5" t="s">
        <v>44</v>
      </c>
      <c r="I2317" s="5" t="s">
        <v>18</v>
      </c>
      <c r="J2317" s="9" t="str">
        <f>IFERROR(__xludf.DUMMYFUNCTION("""COMPUTED_VALUE"""),"https://www.google.com/search?newwindow=1&amp;ei=2MT0XrvGGM-vytMP1OyDgAY&amp;q=site%3Alinkedin.com+Britney+(Us+Campus+Recruiting+Manager+Deloitte")</f>
        <v>https://www.google.com/search?newwindow=1&amp;ei=2MT0XrvGGM-vytMP1OyDgAY&amp;q=site%3Alinkedin.com+Britney+(Us+Campus+Recruiting+Manager+Deloitte</v>
      </c>
      <c r="K2317" s="5" t="str">
        <f t="shared" si="1"/>
        <v>Britney (Us</v>
      </c>
      <c r="L2317" s="5" t="str">
        <f t="shared" si="2"/>
        <v>Campus Recruiting Manager</v>
      </c>
      <c r="M2317" s="5" t="str">
        <f t="shared" si="3"/>
        <v> </v>
      </c>
      <c r="N2317" s="5" t="str">
        <f t="shared" si="4"/>
        <v>Deloitte</v>
      </c>
      <c r="O2317" s="5" t="str">
        <f t="shared" si="5"/>
        <v/>
      </c>
      <c r="P2317" s="5" t="str">
        <f t="shared" si="6"/>
        <v>San Francisco</v>
      </c>
      <c r="Q2317" s="5" t="str">
        <f t="shared" si="7"/>
        <v>California</v>
      </c>
      <c r="R2317" s="5" t="str">
        <f t="shared" si="8"/>
        <v>United States</v>
      </c>
    </row>
    <row r="2318">
      <c r="A2318" s="7" t="s">
        <v>444</v>
      </c>
      <c r="B2318" s="5" t="s">
        <v>443</v>
      </c>
      <c r="C2318" s="5" t="s">
        <v>404</v>
      </c>
      <c r="D2318" s="6" t="s">
        <v>13</v>
      </c>
      <c r="E2318" s="5" t="s">
        <v>405</v>
      </c>
      <c r="F2318" s="5" t="s">
        <v>399</v>
      </c>
      <c r="G2318" s="5" t="s">
        <v>166</v>
      </c>
      <c r="H2318" s="5" t="s">
        <v>44</v>
      </c>
      <c r="I2318" s="5" t="s">
        <v>18</v>
      </c>
      <c r="J2318" s="9" t="str">
        <f>IFERROR(__xludf.DUMMYFUNCTION("""COMPUTED_VALUE"""),"https://www.google.com/search?newwindow=1&amp;ei=2MT0XrvGGM-vytMP1OyDgAY&amp;q=site%3Alinkedin.com+KC+Meehan+Campus+Recruiter+Deloitte")</f>
        <v>https://www.google.com/search?newwindow=1&amp;ei=2MT0XrvGGM-vytMP1OyDgAY&amp;q=site%3Alinkedin.com+KC+Meehan+Campus+Recruiter+Deloitte</v>
      </c>
      <c r="K2318" s="5" t="str">
        <f t="shared" si="1"/>
        <v>KC Meehan</v>
      </c>
      <c r="L2318" s="5" t="str">
        <f t="shared" si="2"/>
        <v>Campus Recruiter</v>
      </c>
      <c r="M2318" s="5" t="str">
        <f t="shared" si="3"/>
        <v> </v>
      </c>
      <c r="N2318" s="5" t="str">
        <f t="shared" si="4"/>
        <v>Deloitte</v>
      </c>
      <c r="O2318" s="5" t="str">
        <f t="shared" si="5"/>
        <v>2 years 4 months in role and company</v>
      </c>
      <c r="P2318" s="5" t="str">
        <f t="shared" si="6"/>
        <v>San Francisco</v>
      </c>
      <c r="Q2318" s="5" t="str">
        <f t="shared" si="7"/>
        <v>California</v>
      </c>
      <c r="R2318" s="5" t="str">
        <f t="shared" si="8"/>
        <v>United States</v>
      </c>
    </row>
    <row r="2319">
      <c r="A2319" s="7" t="s">
        <v>447</v>
      </c>
      <c r="B2319" s="5" t="s">
        <v>445</v>
      </c>
      <c r="C2319" s="5" t="s">
        <v>404</v>
      </c>
      <c r="D2319" s="6" t="s">
        <v>13</v>
      </c>
      <c r="E2319" s="5" t="s">
        <v>405</v>
      </c>
      <c r="F2319" s="5" t="s">
        <v>446</v>
      </c>
      <c r="G2319" s="5" t="s">
        <v>166</v>
      </c>
      <c r="H2319" s="5" t="s">
        <v>44</v>
      </c>
      <c r="I2319" s="5" t="s">
        <v>18</v>
      </c>
      <c r="J2319" s="9" t="str">
        <f>IFERROR(__xludf.DUMMYFUNCTION("""COMPUTED_VALUE"""),"https://www.google.com/search?newwindow=1&amp;ei=2MT0XrvGGM-vytMP1OyDgAY&amp;q=site%3Alinkedin.com+Caroline+Grosso+Campus+Recruiter+Deloitte")</f>
        <v>https://www.google.com/search?newwindow=1&amp;ei=2MT0XrvGGM-vytMP1OyDgAY&amp;q=site%3Alinkedin.com+Caroline+Grosso+Campus+Recruiter+Deloitte</v>
      </c>
      <c r="K2319" s="5" t="str">
        <f t="shared" si="1"/>
        <v>Caroline Grosso</v>
      </c>
      <c r="L2319" s="5" t="str">
        <f t="shared" si="2"/>
        <v>Campus Recruiter</v>
      </c>
      <c r="M2319" s="5" t="str">
        <f t="shared" si="3"/>
        <v> </v>
      </c>
      <c r="N2319" s="5" t="str">
        <f t="shared" si="4"/>
        <v>Deloitte</v>
      </c>
      <c r="O2319" s="5" t="str">
        <f t="shared" si="5"/>
        <v>5 years  in role</v>
      </c>
      <c r="P2319" s="5" t="str">
        <f t="shared" si="6"/>
        <v>San Francisco</v>
      </c>
      <c r="Q2319" s="5" t="str">
        <f t="shared" si="7"/>
        <v>California</v>
      </c>
      <c r="R2319" s="5" t="str">
        <f t="shared" si="8"/>
        <v>United States</v>
      </c>
    </row>
    <row r="2320">
      <c r="A2320" s="7" t="s">
        <v>450</v>
      </c>
      <c r="B2320" s="5" t="s">
        <v>448</v>
      </c>
      <c r="C2320" s="5" t="s">
        <v>449</v>
      </c>
      <c r="D2320" s="6" t="s">
        <v>13</v>
      </c>
      <c r="E2320" s="5" t="s">
        <v>405</v>
      </c>
      <c r="F2320" s="5" t="s">
        <v>399</v>
      </c>
      <c r="G2320" s="5" t="s">
        <v>166</v>
      </c>
      <c r="H2320" s="5" t="s">
        <v>44</v>
      </c>
      <c r="I2320" s="5" t="s">
        <v>18</v>
      </c>
      <c r="J2320" s="9" t="str">
        <f>IFERROR(__xludf.DUMMYFUNCTION("""COMPUTED_VALUE"""),"https://www.google.com/search?newwindow=1&amp;ei=2MT0XrvGGM-vytMP1OyDgAY&amp;q=site%3Alinkedin.com+Casey+Comings+Senior+Campus+Recruiter+Deloitte")</f>
        <v>https://www.google.com/search?newwindow=1&amp;ei=2MT0XrvGGM-vytMP1OyDgAY&amp;q=site%3Alinkedin.com+Casey+Comings+Senior+Campus+Recruiter+Deloitte</v>
      </c>
      <c r="K2320" s="5" t="str">
        <f t="shared" si="1"/>
        <v>Casey Comings</v>
      </c>
      <c r="L2320" s="5" t="str">
        <f t="shared" si="2"/>
        <v>Senior Campus Recruiter</v>
      </c>
      <c r="M2320" s="5" t="str">
        <f t="shared" si="3"/>
        <v> </v>
      </c>
      <c r="N2320" s="5" t="str">
        <f t="shared" si="4"/>
        <v>Deloitte</v>
      </c>
      <c r="O2320" s="5" t="str">
        <f t="shared" si="5"/>
        <v>2 years 5 months in role</v>
      </c>
      <c r="P2320" s="5" t="str">
        <f t="shared" si="6"/>
        <v>San Francisco</v>
      </c>
      <c r="Q2320" s="5" t="str">
        <f t="shared" si="7"/>
        <v>California</v>
      </c>
      <c r="R2320" s="5" t="str">
        <f t="shared" si="8"/>
        <v>United States</v>
      </c>
    </row>
    <row r="2321">
      <c r="A2321" s="7" t="s">
        <v>452</v>
      </c>
      <c r="B2321" s="5" t="s">
        <v>451</v>
      </c>
      <c r="C2321" s="5" t="s">
        <v>404</v>
      </c>
      <c r="D2321" s="6" t="s">
        <v>13</v>
      </c>
      <c r="E2321" s="5" t="s">
        <v>405</v>
      </c>
      <c r="F2321" s="5" t="s">
        <v>165</v>
      </c>
      <c r="G2321" s="5" t="s">
        <v>166</v>
      </c>
      <c r="H2321" s="5" t="s">
        <v>44</v>
      </c>
      <c r="I2321" s="5" t="s">
        <v>18</v>
      </c>
      <c r="J2321" s="9" t="str">
        <f>IFERROR(__xludf.DUMMYFUNCTION("""COMPUTED_VALUE"""),"https://www.google.com/search?newwindow=1&amp;ei=2MT0XrvGGM-vytMP1OyDgAY&amp;q=site%3Alinkedin.com+Catherine+Chavez+University+Recruiter+Deloitte")</f>
        <v>https://www.google.com/search?newwindow=1&amp;ei=2MT0XrvGGM-vytMP1OyDgAY&amp;q=site%3Alinkedin.com+Catherine+Chavez+University+Recruiter+Deloitte</v>
      </c>
      <c r="K2321" s="5" t="str">
        <f t="shared" si="1"/>
        <v>Catherine Chavez</v>
      </c>
      <c r="L2321" s="5" t="str">
        <f t="shared" si="2"/>
        <v>University Recruiter</v>
      </c>
      <c r="M2321" s="5" t="str">
        <f t="shared" si="3"/>
        <v> </v>
      </c>
      <c r="N2321" s="5" t="str">
        <f t="shared" si="4"/>
        <v>Deloitte</v>
      </c>
      <c r="O2321" s="5" t="str">
        <f t="shared" si="5"/>
        <v>3 years 3 months in role and company</v>
      </c>
      <c r="P2321" s="5" t="str">
        <f t="shared" si="6"/>
        <v>San Jose</v>
      </c>
      <c r="Q2321" s="5" t="str">
        <f t="shared" si="7"/>
        <v>California</v>
      </c>
      <c r="R2321" s="5" t="str">
        <f t="shared" si="8"/>
        <v>United States</v>
      </c>
    </row>
    <row r="2322">
      <c r="A2322" s="8" t="s">
        <v>456</v>
      </c>
      <c r="B2322" s="5" t="s">
        <v>453</v>
      </c>
      <c r="C2322" s="5" t="s">
        <v>454</v>
      </c>
      <c r="D2322" s="6" t="s">
        <v>13</v>
      </c>
      <c r="E2322" s="5" t="s">
        <v>405</v>
      </c>
      <c r="F2322" s="5" t="s">
        <v>455</v>
      </c>
      <c r="G2322" s="5" t="s">
        <v>166</v>
      </c>
      <c r="H2322" s="5" t="s">
        <v>44</v>
      </c>
      <c r="I2322" s="5" t="s">
        <v>18</v>
      </c>
      <c r="J2322" s="9" t="str">
        <f>IFERROR(__xludf.DUMMYFUNCTION("""COMPUTED_VALUE"""),"https://www.google.com/search?newwindow=1&amp;ei=2MT0XrvGGM-vytMP1OyDgAY&amp;q=site%3Alinkedin.com+Jade+Gingras+Campus+Recruiting+Specialist+Deloitte")</f>
        <v>https://www.google.com/search?newwindow=1&amp;ei=2MT0XrvGGM-vytMP1OyDgAY&amp;q=site%3Alinkedin.com+Jade+Gingras+Campus+Recruiting+Specialist+Deloitte</v>
      </c>
      <c r="K2322" s="5" t="str">
        <f t="shared" si="1"/>
        <v>Jade Gingras</v>
      </c>
      <c r="L2322" s="5" t="str">
        <f t="shared" si="2"/>
        <v>Campus Recruiting Specialist</v>
      </c>
      <c r="M2322" s="5" t="str">
        <f t="shared" si="3"/>
        <v> </v>
      </c>
      <c r="N2322" s="5" t="str">
        <f t="shared" si="4"/>
        <v>Deloitte</v>
      </c>
      <c r="O2322" s="5" t="str">
        <f t="shared" si="5"/>
        <v>1 year 4 months in role and company</v>
      </c>
      <c r="P2322" s="5" t="str">
        <f t="shared" si="6"/>
        <v>Scottsdale</v>
      </c>
      <c r="Q2322" s="5" t="str">
        <f t="shared" si="7"/>
        <v>Arizona</v>
      </c>
      <c r="R2322" s="5" t="str">
        <f t="shared" si="8"/>
        <v>United States</v>
      </c>
    </row>
    <row r="2323">
      <c r="A2323" s="7" t="s">
        <v>460</v>
      </c>
      <c r="B2323" s="5" t="s">
        <v>457</v>
      </c>
      <c r="C2323" s="5" t="s">
        <v>458</v>
      </c>
      <c r="D2323" s="6" t="s">
        <v>13</v>
      </c>
      <c r="E2323" s="5" t="s">
        <v>405</v>
      </c>
      <c r="F2323" s="5" t="s">
        <v>459</v>
      </c>
      <c r="G2323" s="5" t="s">
        <v>169</v>
      </c>
      <c r="H2323" s="5" t="s">
        <v>44</v>
      </c>
      <c r="I2323" s="5" t="s">
        <v>18</v>
      </c>
      <c r="J2323" s="9" t="str">
        <f>IFERROR(__xludf.DUMMYFUNCTION("""COMPUTED_VALUE"""),"https://www.google.com/search?newwindow=1&amp;ei=2MT0XrvGGM-vytMP1OyDgAY&amp;q=site%3Alinkedin.com+Stephanie+Ryder+Campus+Recruiter+Deloitte")</f>
        <v>https://www.google.com/search?newwindow=1&amp;ei=2MT0XrvGGM-vytMP1OyDgAY&amp;q=site%3Alinkedin.com+Stephanie+Ryder+Campus+Recruiter+Deloitte</v>
      </c>
      <c r="K2323" s="5" t="str">
        <f t="shared" si="1"/>
        <v>Stephanie Ryder</v>
      </c>
      <c r="L2323" s="5" t="str">
        <f t="shared" si="2"/>
        <v>Campus Recruiter</v>
      </c>
      <c r="M2323" s="5" t="str">
        <f t="shared" si="3"/>
        <v> </v>
      </c>
      <c r="N2323" s="5" t="str">
        <f t="shared" si="4"/>
        <v>Deloitte</v>
      </c>
      <c r="O2323" s="5" t="str">
        <f t="shared" si="5"/>
        <v>2 years  in role and company</v>
      </c>
      <c r="P2323" s="5" t="str">
        <f t="shared" si="6"/>
        <v>Seattle</v>
      </c>
      <c r="Q2323" s="5" t="str">
        <f t="shared" si="7"/>
        <v>Washington</v>
      </c>
      <c r="R2323" s="5" t="str">
        <f t="shared" si="8"/>
        <v>United States</v>
      </c>
    </row>
    <row r="2324">
      <c r="A2324" s="8" t="s">
        <v>464</v>
      </c>
      <c r="B2324" s="5" t="s">
        <v>461</v>
      </c>
      <c r="C2324" s="5" t="s">
        <v>462</v>
      </c>
      <c r="D2324" s="6" t="s">
        <v>13</v>
      </c>
      <c r="E2324" s="5" t="s">
        <v>405</v>
      </c>
      <c r="F2324" s="5" t="s">
        <v>463</v>
      </c>
      <c r="G2324" s="5" t="s">
        <v>169</v>
      </c>
      <c r="H2324" s="5" t="s">
        <v>44</v>
      </c>
      <c r="I2324" s="5" t="s">
        <v>18</v>
      </c>
      <c r="J2324" s="9" t="str">
        <f>IFERROR(__xludf.DUMMYFUNCTION("""COMPUTED_VALUE"""),"https://www.google.com/search?newwindow=1&amp;ei=2MT0XrvGGM-vytMP1OyDgAY&amp;q=site%3Alinkedin.com+Jenni+Graham+Lead+Experienced+Recruiter+Deloitte")</f>
        <v>https://www.google.com/search?newwindow=1&amp;ei=2MT0XrvGGM-vytMP1OyDgAY&amp;q=site%3Alinkedin.com+Jenni+Graham+Lead+Experienced+Recruiter+Deloitte</v>
      </c>
      <c r="K2324" s="5" t="str">
        <f t="shared" si="1"/>
        <v>Jenni Graham</v>
      </c>
      <c r="L2324" s="5" t="str">
        <f t="shared" si="2"/>
        <v>Lead Experienced Recruiter</v>
      </c>
      <c r="M2324" s="5" t="str">
        <f t="shared" si="3"/>
        <v> </v>
      </c>
      <c r="N2324" s="5" t="str">
        <f t="shared" si="4"/>
        <v>Deloitte</v>
      </c>
      <c r="O2324" s="5" t="str">
        <f t="shared" si="5"/>
        <v>2 years  in role</v>
      </c>
      <c r="P2324" s="5" t="str">
        <f t="shared" si="6"/>
        <v>Seattle</v>
      </c>
      <c r="Q2324" s="5" t="str">
        <f t="shared" si="7"/>
        <v>Washington</v>
      </c>
      <c r="R2324" s="5" t="str">
        <f t="shared" si="8"/>
        <v>United States</v>
      </c>
    </row>
    <row r="2325">
      <c r="A2325" s="7" t="s">
        <v>466</v>
      </c>
      <c r="B2325" s="5" t="s">
        <v>465</v>
      </c>
      <c r="C2325" s="5" t="s">
        <v>404</v>
      </c>
      <c r="D2325" s="6" t="s">
        <v>13</v>
      </c>
      <c r="E2325" s="5" t="s">
        <v>405</v>
      </c>
      <c r="F2325" s="5" t="s">
        <v>15</v>
      </c>
      <c r="G2325" s="5" t="s">
        <v>169</v>
      </c>
      <c r="H2325" s="5" t="s">
        <v>44</v>
      </c>
      <c r="I2325" s="5" t="s">
        <v>18</v>
      </c>
      <c r="J2325" s="9" t="str">
        <f>IFERROR(__xludf.DUMMYFUNCTION("""COMPUTED_VALUE"""),"https://www.google.com/search?newwindow=1&amp;ei=2MT0XrvGGM-vytMP1OyDgAY&amp;q=site%3Alinkedin.com+Melissa+Varkoly+Senior+Manager+-+Audit+Talent+Business+Advisor+Deloitte")</f>
        <v>https://www.google.com/search?newwindow=1&amp;ei=2MT0XrvGGM-vytMP1OyDgAY&amp;q=site%3Alinkedin.com+Melissa+Varkoly+Senior+Manager+-+Audit+Talent+Business+Advisor+Deloitte</v>
      </c>
      <c r="K2325" s="5" t="str">
        <f t="shared" si="1"/>
        <v>Melissa Varkoly</v>
      </c>
      <c r="L2325" s="5" t="str">
        <f t="shared" si="2"/>
        <v>Senior Manager - Audit Talent Business Advisor</v>
      </c>
      <c r="M2325" s="5" t="str">
        <f t="shared" si="3"/>
        <v> </v>
      </c>
      <c r="N2325" s="5" t="str">
        <f t="shared" si="4"/>
        <v>Deloitte</v>
      </c>
      <c r="O2325" s="5" t="str">
        <f t="shared" si="5"/>
        <v>4 years  in role</v>
      </c>
      <c r="P2325" s="5" t="str">
        <f t="shared" si="6"/>
        <v>Smyrna</v>
      </c>
      <c r="Q2325" s="5" t="str">
        <f t="shared" si="7"/>
        <v>Georgia</v>
      </c>
      <c r="R2325" s="5" t="str">
        <f t="shared" si="8"/>
        <v>United States</v>
      </c>
    </row>
    <row r="2326">
      <c r="A2326" s="7" t="s">
        <v>469</v>
      </c>
      <c r="B2326" s="5" t="s">
        <v>467</v>
      </c>
      <c r="C2326" s="5" t="s">
        <v>404</v>
      </c>
      <c r="D2326" s="6" t="s">
        <v>13</v>
      </c>
      <c r="E2326" s="5" t="s">
        <v>405</v>
      </c>
      <c r="F2326" s="5" t="s">
        <v>222</v>
      </c>
      <c r="G2326" s="5" t="s">
        <v>468</v>
      </c>
      <c r="H2326" s="5" t="s">
        <v>44</v>
      </c>
      <c r="I2326" s="5" t="s">
        <v>18</v>
      </c>
      <c r="J2326" s="9" t="str">
        <f>IFERROR(__xludf.DUMMYFUNCTION("""COMPUTED_VALUE"""),"https://www.google.com/search?newwindow=1&amp;ei=2MT0XrvGGM-vytMP1OyDgAY&amp;q=site%3Alinkedin.com+Ashley+Josephson+Campus+Recruiting+Manager+-+Consulting+Deloitte")</f>
        <v>https://www.google.com/search?newwindow=1&amp;ei=2MT0XrvGGM-vytMP1OyDgAY&amp;q=site%3Alinkedin.com+Ashley+Josephson+Campus+Recruiting+Manager+-+Consulting+Deloitte</v>
      </c>
      <c r="K2326" s="5" t="str">
        <f t="shared" si="1"/>
        <v>Ashley Josephson</v>
      </c>
      <c r="L2326" s="5" t="str">
        <f t="shared" si="2"/>
        <v>Campus Recruiting Manager - Consulting</v>
      </c>
      <c r="M2326" s="5" t="str">
        <f t="shared" si="3"/>
        <v> </v>
      </c>
      <c r="N2326" s="5" t="str">
        <f t="shared" si="4"/>
        <v>Deloitte</v>
      </c>
      <c r="O2326" s="5" t="str">
        <f t="shared" si="5"/>
        <v>1 year 5 months in role</v>
      </c>
      <c r="P2326" s="5" t="str">
        <f t="shared" si="6"/>
        <v>St Paul</v>
      </c>
      <c r="Q2326" s="5" t="str">
        <f t="shared" si="7"/>
        <v>Minnesota</v>
      </c>
      <c r="R2326" s="5" t="str">
        <f t="shared" si="8"/>
        <v>United States</v>
      </c>
    </row>
    <row r="2327">
      <c r="A2327" s="7" t="s">
        <v>473</v>
      </c>
      <c r="B2327" s="5" t="s">
        <v>470</v>
      </c>
      <c r="C2327" s="5" t="s">
        <v>471</v>
      </c>
      <c r="D2327" s="6" t="s">
        <v>13</v>
      </c>
      <c r="E2327" s="5" t="s">
        <v>405</v>
      </c>
      <c r="F2327" s="5" t="s">
        <v>472</v>
      </c>
      <c r="G2327" s="5" t="s">
        <v>468</v>
      </c>
      <c r="H2327" s="5" t="s">
        <v>44</v>
      </c>
      <c r="I2327" s="5" t="s">
        <v>18</v>
      </c>
      <c r="J2327" s="9" t="str">
        <f>IFERROR(__xludf.DUMMYFUNCTION("""COMPUTED_VALUE"""),"https://www.google.com/search?newwindow=1&amp;ei=2MT0XrvGGM-vytMP1OyDgAY&amp;q=site%3Alinkedin.com+Angela+Cottrell+Campus+Recruiter+Deloitte")</f>
        <v>https://www.google.com/search?newwindow=1&amp;ei=2MT0XrvGGM-vytMP1OyDgAY&amp;q=site%3Alinkedin.com+Angela+Cottrell+Campus+Recruiter+Deloitte</v>
      </c>
      <c r="K2327" s="5" t="str">
        <f t="shared" si="1"/>
        <v>Angela Cottrell</v>
      </c>
      <c r="L2327" s="5" t="str">
        <f t="shared" si="2"/>
        <v>Campus Recruiter</v>
      </c>
      <c r="M2327" s="5" t="str">
        <f t="shared" si="3"/>
        <v> </v>
      </c>
      <c r="N2327" s="5" t="str">
        <f t="shared" si="4"/>
        <v>Deloitte</v>
      </c>
      <c r="O2327" s="5" t="str">
        <f t="shared" si="5"/>
        <v/>
      </c>
      <c r="P2327" s="5" t="str">
        <f t="shared" si="6"/>
        <v>Sterling</v>
      </c>
      <c r="Q2327" s="5" t="str">
        <f t="shared" si="7"/>
        <v>Virginia</v>
      </c>
      <c r="R2327" s="5" t="str">
        <f t="shared" si="8"/>
        <v>United States</v>
      </c>
    </row>
    <row r="2328">
      <c r="A2328" s="7" t="s">
        <v>478</v>
      </c>
      <c r="B2328" s="5" t="s">
        <v>474</v>
      </c>
      <c r="C2328" s="5" t="s">
        <v>475</v>
      </c>
      <c r="D2328" s="6" t="s">
        <v>13</v>
      </c>
      <c r="E2328" s="5" t="s">
        <v>476</v>
      </c>
      <c r="F2328" s="5" t="s">
        <v>477</v>
      </c>
      <c r="G2328" s="5" t="s">
        <v>122</v>
      </c>
      <c r="H2328" s="5" t="s">
        <v>44</v>
      </c>
      <c r="I2328" s="5" t="s">
        <v>18</v>
      </c>
      <c r="J2328" s="9" t="str">
        <f>IFERROR(__xludf.DUMMYFUNCTION("""COMPUTED_VALUE"""),"https://www.google.com/search?newwindow=1&amp;ei=2MT0XrvGGM-vytMP1OyDgAY&amp;q=site%3Alinkedin.com+Jennifer+Sullivan+Senior+Manager,+National+Technology+Campus+Recruiting+Leader+Deloitte")</f>
        <v>https://www.google.com/search?newwindow=1&amp;ei=2MT0XrvGGM-vytMP1OyDgAY&amp;q=site%3Alinkedin.com+Jennifer+Sullivan+Senior+Manager,+National+Technology+Campus+Recruiting+Leader+Deloitte</v>
      </c>
      <c r="K2328" s="5" t="str">
        <f t="shared" si="1"/>
        <v>Jennifer Sullivan</v>
      </c>
      <c r="L2328" s="5" t="str">
        <f t="shared" si="2"/>
        <v>Senior Manager, National Technology Campus Recruiting Leader</v>
      </c>
      <c r="M2328" s="5" t="str">
        <f t="shared" si="3"/>
        <v> </v>
      </c>
      <c r="N2328" s="5" t="str">
        <f t="shared" si="4"/>
        <v>Deloitte</v>
      </c>
      <c r="O2328" s="5" t="str">
        <f t="shared" si="5"/>
        <v>6 years 3 months in role</v>
      </c>
      <c r="P2328" s="5" t="str">
        <f t="shared" si="6"/>
        <v>Summit</v>
      </c>
      <c r="Q2328" s="5" t="str">
        <f t="shared" si="7"/>
        <v>New Jersey</v>
      </c>
      <c r="R2328" s="5" t="str">
        <f t="shared" si="8"/>
        <v>United States</v>
      </c>
    </row>
    <row r="2329">
      <c r="A2329" s="7" t="s">
        <v>481</v>
      </c>
      <c r="B2329" s="5" t="s">
        <v>479</v>
      </c>
      <c r="C2329" s="5" t="s">
        <v>480</v>
      </c>
      <c r="D2329" s="6" t="s">
        <v>13</v>
      </c>
      <c r="E2329" s="5" t="s">
        <v>476</v>
      </c>
      <c r="F2329" s="5" t="s">
        <v>29</v>
      </c>
      <c r="G2329" s="5" t="s">
        <v>80</v>
      </c>
      <c r="H2329" s="5" t="s">
        <v>38</v>
      </c>
      <c r="I2329" s="5" t="s">
        <v>18</v>
      </c>
      <c r="J2329" s="9" t="str">
        <f>IFERROR(__xludf.DUMMYFUNCTION("""COMPUTED_VALUE"""),"https://www.google.com/search?newwindow=1&amp;ei=2MT0XrvGGM-vytMP1OyDgAY&amp;q=site%3Alinkedin.com+Christa+Sublett+Campus+Recruiting+Manager+Deloitte")</f>
        <v>https://www.google.com/search?newwindow=1&amp;ei=2MT0XrvGGM-vytMP1OyDgAY&amp;q=site%3Alinkedin.com+Christa+Sublett+Campus+Recruiting+Manager+Deloitte</v>
      </c>
      <c r="K2329" s="5" t="str">
        <f t="shared" si="1"/>
        <v>Christa Sublett</v>
      </c>
      <c r="L2329" s="5" t="str">
        <f t="shared" si="2"/>
        <v>Campus Recruiting Manager</v>
      </c>
      <c r="M2329" s="5" t="str">
        <f t="shared" si="3"/>
        <v> </v>
      </c>
      <c r="N2329" s="5" t="str">
        <f t="shared" si="4"/>
        <v>Deloitte</v>
      </c>
      <c r="O2329" s="5" t="str">
        <f t="shared" si="5"/>
        <v>1 year  in role</v>
      </c>
      <c r="P2329" s="5" t="str">
        <f t="shared" si="6"/>
        <v>Washington</v>
      </c>
      <c r="Q2329" s="5" t="str">
        <f t="shared" si="7"/>
        <v>District of Columbia</v>
      </c>
      <c r="R2329" s="5" t="str">
        <f t="shared" si="8"/>
        <v>United States</v>
      </c>
    </row>
    <row r="2330">
      <c r="A2330" s="7" t="s">
        <v>486</v>
      </c>
      <c r="B2330" s="5" t="s">
        <v>482</v>
      </c>
      <c r="C2330" s="5" t="s">
        <v>483</v>
      </c>
      <c r="D2330" s="6" t="s">
        <v>13</v>
      </c>
      <c r="E2330" s="5" t="s">
        <v>476</v>
      </c>
      <c r="F2330" s="5" t="s">
        <v>484</v>
      </c>
      <c r="G2330" s="5" t="s">
        <v>485</v>
      </c>
      <c r="H2330" s="5" t="s">
        <v>44</v>
      </c>
      <c r="I2330" s="5" t="s">
        <v>18</v>
      </c>
      <c r="J2330" s="9" t="str">
        <f>IFERROR(__xludf.DUMMYFUNCTION("""COMPUTED_VALUE"""),"https://www.google.com/search?newwindow=1&amp;ei=2MT0XrvGGM-vytMP1OyDgAY&amp;q=site%3Alinkedin.com+Agi+Galecka,+CPA+Senior+Campus+Recruiter+Deloitte")</f>
        <v>https://www.google.com/search?newwindow=1&amp;ei=2MT0XrvGGM-vytMP1OyDgAY&amp;q=site%3Alinkedin.com+Agi+Galecka,+CPA+Senior+Campus+Recruiter+Deloitte</v>
      </c>
      <c r="K2330" s="5" t="str">
        <f t="shared" si="1"/>
        <v>Agi Galecka, CPA</v>
      </c>
      <c r="L2330" s="5" t="str">
        <f t="shared" si="2"/>
        <v>Senior Campus Recruiter</v>
      </c>
      <c r="M2330" s="5" t="str">
        <f t="shared" si="3"/>
        <v> </v>
      </c>
      <c r="N2330" s="5" t="str">
        <f t="shared" si="4"/>
        <v>Deloitte</v>
      </c>
      <c r="O2330" s="5" t="str">
        <f t="shared" si="5"/>
        <v>1 year 3 months in role</v>
      </c>
      <c r="P2330" s="5" t="str">
        <f t="shared" si="6"/>
        <v>Washington</v>
      </c>
      <c r="Q2330" s="5" t="str">
        <f t="shared" si="7"/>
        <v>District of Columbia</v>
      </c>
      <c r="R2330" s="5" t="str">
        <f t="shared" si="8"/>
        <v>United States</v>
      </c>
    </row>
    <row r="2331">
      <c r="A2331" s="7" t="s">
        <v>489</v>
      </c>
      <c r="B2331" s="5" t="s">
        <v>487</v>
      </c>
      <c r="C2331" s="5" t="s">
        <v>483</v>
      </c>
      <c r="D2331" s="6" t="s">
        <v>13</v>
      </c>
      <c r="E2331" s="5" t="s">
        <v>476</v>
      </c>
      <c r="F2331" s="5" t="s">
        <v>488</v>
      </c>
      <c r="G2331" s="5" t="s">
        <v>485</v>
      </c>
      <c r="H2331" s="5" t="s">
        <v>44</v>
      </c>
      <c r="I2331" s="5" t="s">
        <v>18</v>
      </c>
      <c r="J2331" s="9" t="str">
        <f>IFERROR(__xludf.DUMMYFUNCTION("""COMPUTED_VALUE"""),"https://www.google.com/search?newwindow=1&amp;ei=2MT0XrvGGM-vytMP1OyDgAY&amp;q=site%3Alinkedin.com+Kendra+Murphy+Project+Manager+for+National+Campus+Recruiting+Deloitte+&amp;+Touche")</f>
        <v>https://www.google.com/search?newwindow=1&amp;ei=2MT0XrvGGM-vytMP1OyDgAY&amp;q=site%3Alinkedin.com+Kendra+Murphy+Project+Manager+for+National+Campus+Recruiting+Deloitte+&amp;+Touche</v>
      </c>
      <c r="K2331" s="5" t="str">
        <f t="shared" si="1"/>
        <v>Kendra Murphy</v>
      </c>
      <c r="L2331" s="5" t="str">
        <f t="shared" si="2"/>
        <v>Project Manager for National Campus Recruiting</v>
      </c>
      <c r="M2331" s="5" t="str">
        <f t="shared" si="3"/>
        <v> </v>
      </c>
      <c r="N2331" s="5" t="str">
        <f t="shared" si="4"/>
        <v>Deloitte</v>
      </c>
      <c r="O2331" s="5" t="str">
        <f t="shared" si="5"/>
        <v>14 years 8 months in role and company</v>
      </c>
      <c r="P2331" s="5" t="str">
        <f t="shared" si="6"/>
        <v>Charlotte</v>
      </c>
      <c r="Q2331" s="5" t="str">
        <f t="shared" si="7"/>
        <v>North Carolina</v>
      </c>
      <c r="R2331" s="5" t="str">
        <f t="shared" si="8"/>
        <v>United States</v>
      </c>
    </row>
    <row r="2332">
      <c r="A2332" s="7" t="s">
        <v>493</v>
      </c>
      <c r="B2332" s="5" t="s">
        <v>490</v>
      </c>
      <c r="C2332" s="5" t="s">
        <v>491</v>
      </c>
      <c r="D2332" s="6" t="s">
        <v>13</v>
      </c>
      <c r="E2332" s="5" t="s">
        <v>492</v>
      </c>
      <c r="F2332" s="5" t="s">
        <v>144</v>
      </c>
      <c r="G2332" s="5" t="s">
        <v>377</v>
      </c>
      <c r="H2332" s="5" t="s">
        <v>378</v>
      </c>
      <c r="I2332" s="5" t="s">
        <v>18</v>
      </c>
      <c r="J2332" s="9" t="str">
        <f>IFERROR(__xludf.DUMMYFUNCTION("""COMPUTED_VALUE"""),"https://www.google.com/search?newwindow=1&amp;ei=2MT0XrvGGM-vytMP1OyDgAY&amp;q=site%3Alinkedin.com+Dawn+John+Northeast+Campus+Recruiting+Leader+Deloitte+&amp;+Touche")</f>
        <v>https://www.google.com/search?newwindow=1&amp;ei=2MT0XrvGGM-vytMP1OyDgAY&amp;q=site%3Alinkedin.com+Dawn+John+Northeast+Campus+Recruiting+Leader+Deloitte+&amp;+Touche</v>
      </c>
      <c r="K2332" s="5" t="str">
        <f t="shared" si="1"/>
        <v>Dawn John</v>
      </c>
      <c r="L2332" s="5" t="str">
        <f t="shared" si="2"/>
        <v>Northeast Campus Recruiting Leader</v>
      </c>
      <c r="M2332" s="5" t="str">
        <f t="shared" si="3"/>
        <v> </v>
      </c>
      <c r="N2332" s="5" t="str">
        <f t="shared" si="4"/>
        <v>Deloitte</v>
      </c>
      <c r="O2332" s="5" t="str">
        <f t="shared" si="5"/>
        <v>11 years 4 months in role</v>
      </c>
      <c r="P2332" s="5" t="str">
        <f t="shared" si="6"/>
        <v>Fanwood</v>
      </c>
      <c r="Q2332" s="5" t="str">
        <f t="shared" si="7"/>
        <v>New Jersey</v>
      </c>
      <c r="R2332" s="5" t="str">
        <f t="shared" si="8"/>
        <v>United States</v>
      </c>
    </row>
    <row r="2333">
      <c r="A2333" s="8" t="s">
        <v>497</v>
      </c>
      <c r="B2333" s="5" t="s">
        <v>494</v>
      </c>
      <c r="C2333" s="5" t="s">
        <v>495</v>
      </c>
      <c r="D2333" s="6" t="s">
        <v>13</v>
      </c>
      <c r="E2333" s="5" t="s">
        <v>492</v>
      </c>
      <c r="F2333" s="5" t="s">
        <v>496</v>
      </c>
      <c r="G2333" s="5" t="s">
        <v>49</v>
      </c>
      <c r="H2333" s="5" t="s">
        <v>50</v>
      </c>
      <c r="I2333" s="5" t="s">
        <v>18</v>
      </c>
      <c r="J2333" s="9" t="str">
        <f>IFERROR(__xludf.DUMMYFUNCTION("""COMPUTED_VALUE"""),"https://www.google.com/search?newwindow=1&amp;ei=2MT0XrvGGM-vytMP1OyDgAY&amp;q=site%3Alinkedin.com+Erica+Johnson+Campus+Recruiting+Manager+Deloitte+LP")</f>
        <v>https://www.google.com/search?newwindow=1&amp;ei=2MT0XrvGGM-vytMP1OyDgAY&amp;q=site%3Alinkedin.com+Erica+Johnson+Campus+Recruiting+Manager+Deloitte+LP</v>
      </c>
      <c r="K2333" s="5" t="str">
        <f t="shared" si="1"/>
        <v>Erica Johnson</v>
      </c>
      <c r="L2333" s="5" t="str">
        <f t="shared" si="2"/>
        <v>Campus Recruiting Manager</v>
      </c>
      <c r="M2333" s="5" t="str">
        <f t="shared" si="3"/>
        <v> </v>
      </c>
      <c r="N2333" s="5" t="str">
        <f t="shared" si="4"/>
        <v>Deloitte</v>
      </c>
      <c r="O2333" s="5" t="str">
        <f t="shared" si="5"/>
        <v/>
      </c>
      <c r="P2333" s="5" t="str">
        <f t="shared" si="6"/>
        <v>Cary</v>
      </c>
      <c r="Q2333" s="5" t="str">
        <f t="shared" si="7"/>
        <v>Illinois</v>
      </c>
      <c r="R2333" s="5" t="str">
        <f t="shared" si="8"/>
        <v>United States</v>
      </c>
    </row>
    <row r="2334">
      <c r="A2334" s="8" t="s">
        <v>501</v>
      </c>
      <c r="B2334" s="5" t="s">
        <v>498</v>
      </c>
      <c r="C2334" s="5" t="s">
        <v>499</v>
      </c>
      <c r="D2334" s="6" t="s">
        <v>13</v>
      </c>
      <c r="E2334" s="5" t="s">
        <v>492</v>
      </c>
      <c r="F2334" s="5" t="s">
        <v>500</v>
      </c>
      <c r="G2334" s="5" t="s">
        <v>49</v>
      </c>
      <c r="H2334" s="5" t="s">
        <v>50</v>
      </c>
      <c r="I2334" s="5" t="s">
        <v>18</v>
      </c>
      <c r="J2334" s="9" t="str">
        <f>IFERROR(__xludf.DUMMYFUNCTION("""COMPUTED_VALUE"""),"https://www.google.com/search?newwindow=1&amp;ei=2MT0XrvGGM-vytMP1OyDgAY&amp;q=site%3Alinkedin.com+Suzanne+Hansler+Campus+Recruiter+Deloitte+Services+LLP")</f>
        <v>https://www.google.com/search?newwindow=1&amp;ei=2MT0XrvGGM-vytMP1OyDgAY&amp;q=site%3Alinkedin.com+Suzanne+Hansler+Campus+Recruiter+Deloitte+Services+LLP</v>
      </c>
      <c r="K2334" s="5" t="str">
        <f t="shared" si="1"/>
        <v>Suzanne Hansler</v>
      </c>
      <c r="L2334" s="5" t="str">
        <f t="shared" si="2"/>
        <v>Campus Recruiter</v>
      </c>
      <c r="M2334" s="5" t="str">
        <f t="shared" si="3"/>
        <v> </v>
      </c>
      <c r="N2334" s="5" t="str">
        <f t="shared" si="4"/>
        <v>Deloitte</v>
      </c>
      <c r="O2334" s="5" t="str">
        <f t="shared" si="5"/>
        <v/>
      </c>
      <c r="P2334" s="5" t="str">
        <f t="shared" si="6"/>
        <v>Secaucus</v>
      </c>
      <c r="Q2334" s="5" t="str">
        <f t="shared" si="7"/>
        <v>New Jersey</v>
      </c>
      <c r="R2334" s="5" t="str">
        <f t="shared" si="8"/>
        <v>United States</v>
      </c>
    </row>
    <row r="2335">
      <c r="A2335" s="8" t="s">
        <v>504</v>
      </c>
      <c r="B2335" s="5" t="s">
        <v>502</v>
      </c>
      <c r="C2335" s="5" t="s">
        <v>503</v>
      </c>
      <c r="D2335" s="6" t="s">
        <v>13</v>
      </c>
      <c r="E2335" s="5" t="s">
        <v>492</v>
      </c>
      <c r="F2335" s="5" t="s">
        <v>339</v>
      </c>
      <c r="G2335" s="5" t="s">
        <v>49</v>
      </c>
      <c r="H2335" s="5" t="s">
        <v>50</v>
      </c>
      <c r="I2335" s="5" t="s">
        <v>18</v>
      </c>
      <c r="J2335" s="9" t="str">
        <f>IFERROR(__xludf.DUMMYFUNCTION("""COMPUTED_VALUE"""),"https://www.google.com/search?newwindow=1&amp;ei=2MT0XrvGGM-vytMP1OyDgAY&amp;q=site%3Alinkedin.com+Leslie+Van+Sant+Campus+Recruiter+Deloitte+Services+LP")</f>
        <v>https://www.google.com/search?newwindow=1&amp;ei=2MT0XrvGGM-vytMP1OyDgAY&amp;q=site%3Alinkedin.com+Leslie+Van+Sant+Campus+Recruiter+Deloitte+Services+LP</v>
      </c>
      <c r="K2335" s="5" t="str">
        <f t="shared" si="1"/>
        <v>Leslie Van Sant</v>
      </c>
      <c r="L2335" s="5" t="str">
        <f t="shared" si="2"/>
        <v>Campus Recruiter</v>
      </c>
      <c r="M2335" s="5" t="str">
        <f t="shared" si="3"/>
        <v> </v>
      </c>
      <c r="N2335" s="5" t="str">
        <f t="shared" si="4"/>
        <v>Deloitte</v>
      </c>
      <c r="O2335" s="5" t="str">
        <f t="shared" si="5"/>
        <v>17 years 10 months in role and company</v>
      </c>
      <c r="P2335" s="5" t="str">
        <f t="shared" si="6"/>
        <v>Dallas</v>
      </c>
      <c r="Q2335" s="5" t="str">
        <f t="shared" si="7"/>
        <v>Texas</v>
      </c>
      <c r="R2335" s="5" t="str">
        <f t="shared" si="8"/>
        <v>United States</v>
      </c>
    </row>
    <row r="2336">
      <c r="A2336" s="7" t="s">
        <v>506</v>
      </c>
      <c r="B2336" s="5" t="s">
        <v>505</v>
      </c>
      <c r="C2336" s="5" t="s">
        <v>25</v>
      </c>
      <c r="D2336" s="6" t="s">
        <v>13</v>
      </c>
      <c r="E2336" s="5" t="s">
        <v>492</v>
      </c>
      <c r="F2336" s="5" t="s">
        <v>446</v>
      </c>
      <c r="G2336" s="5" t="s">
        <v>49</v>
      </c>
      <c r="H2336" s="5" t="s">
        <v>50</v>
      </c>
      <c r="I2336" s="5" t="s">
        <v>18</v>
      </c>
      <c r="J2336" s="9" t="str">
        <f>IFERROR(__xludf.DUMMYFUNCTION("""COMPUTED_VALUE"""),"https://www.google.com/search?newwindow=1&amp;ei=2MT0XrvGGM-vytMP1OyDgAY&amp;q=site%3Alinkedin.com+Bob+Warmkessel+Campus+Recruiter+Deloitte+Consulting")</f>
        <v>https://www.google.com/search?newwindow=1&amp;ei=2MT0XrvGGM-vytMP1OyDgAY&amp;q=site%3Alinkedin.com+Bob+Warmkessel+Campus+Recruiter+Deloitte+Consulting</v>
      </c>
      <c r="K2336" s="5" t="str">
        <f t="shared" si="1"/>
        <v>Bob Warmkessel</v>
      </c>
      <c r="L2336" s="5" t="str">
        <f t="shared" si="2"/>
        <v>Campus Recruiter</v>
      </c>
      <c r="M2336" s="5" t="str">
        <f t="shared" si="3"/>
        <v> </v>
      </c>
      <c r="N2336" s="5" t="str">
        <f t="shared" si="4"/>
        <v>Deloitte Consulting</v>
      </c>
      <c r="O2336" s="5" t="str">
        <f t="shared" si="5"/>
        <v>13 years 4 months in role and company</v>
      </c>
      <c r="P2336" s="5" t="str">
        <f t="shared" si="6"/>
        <v>Arlington</v>
      </c>
      <c r="Q2336" s="5" t="str">
        <f t="shared" si="7"/>
        <v>Virginia</v>
      </c>
      <c r="R2336" s="5" t="str">
        <f t="shared" si="8"/>
        <v>United States</v>
      </c>
    </row>
    <row r="2337">
      <c r="A2337" s="7" t="s">
        <v>509</v>
      </c>
      <c r="B2337" s="5" t="s">
        <v>507</v>
      </c>
      <c r="C2337" s="5" t="s">
        <v>508</v>
      </c>
      <c r="D2337" s="6" t="s">
        <v>13</v>
      </c>
      <c r="E2337" s="5" t="s">
        <v>492</v>
      </c>
      <c r="F2337" s="5" t="s">
        <v>399</v>
      </c>
      <c r="G2337" s="5" t="s">
        <v>49</v>
      </c>
      <c r="H2337" s="5" t="s">
        <v>50</v>
      </c>
      <c r="I2337" s="5" t="s">
        <v>18</v>
      </c>
      <c r="J2337" s="9" t="str">
        <f>IFERROR(__xludf.DUMMYFUNCTION("""COMPUTED_VALUE"""),"https://www.google.com/search?newwindow=1&amp;ei=2MT0XrvGGM-vytMP1OyDgAY&amp;q=site%3Alinkedin.com+Allyssa+Tivis+Resource+Manager+Deloitte+Consulting")</f>
        <v>https://www.google.com/search?newwindow=1&amp;ei=2MT0XrvGGM-vytMP1OyDgAY&amp;q=site%3Alinkedin.com+Allyssa+Tivis+Resource+Manager+Deloitte+Consulting</v>
      </c>
      <c r="K2337" s="5" t="str">
        <f t="shared" si="1"/>
        <v>Allyssa Tivis</v>
      </c>
      <c r="L2337" s="5" t="str">
        <f t="shared" si="2"/>
        <v>Resource Manager</v>
      </c>
      <c r="M2337" s="5" t="str">
        <f t="shared" si="3"/>
        <v> </v>
      </c>
      <c r="N2337" s="5" t="str">
        <f t="shared" si="4"/>
        <v>Deloitte Consulting</v>
      </c>
      <c r="O2337" s="5" t="str">
        <f t="shared" si="5"/>
        <v>2 years 11 months in role and company</v>
      </c>
      <c r="P2337" s="5" t="str">
        <f t="shared" si="6"/>
        <v>Dallas</v>
      </c>
      <c r="Q2337" s="5" t="str">
        <f t="shared" si="7"/>
        <v>Texas</v>
      </c>
      <c r="R2337" s="5" t="str">
        <f t="shared" si="8"/>
        <v>United States</v>
      </c>
    </row>
    <row r="2338">
      <c r="A2338" s="8" t="s">
        <v>513</v>
      </c>
      <c r="B2338" s="5" t="s">
        <v>510</v>
      </c>
      <c r="C2338" s="5" t="s">
        <v>511</v>
      </c>
      <c r="D2338" s="6" t="s">
        <v>13</v>
      </c>
      <c r="E2338" s="5" t="s">
        <v>492</v>
      </c>
      <c r="F2338" s="5" t="s">
        <v>512</v>
      </c>
      <c r="G2338" s="5" t="s">
        <v>49</v>
      </c>
      <c r="H2338" s="5" t="s">
        <v>50</v>
      </c>
      <c r="I2338" s="5" t="s">
        <v>18</v>
      </c>
      <c r="J2338" s="9" t="str">
        <f>IFERROR(__xludf.DUMMYFUNCTION("""COMPUTED_VALUE"""),"https://www.google.com/search?newwindow=1&amp;ei=2MT0XrvGGM-vytMP1OyDgAY&amp;q=site%3Alinkedin.com+Carli+Hyatt+Campus+Recruiter+Deloitte+Consulting")</f>
        <v>https://www.google.com/search?newwindow=1&amp;ei=2MT0XrvGGM-vytMP1OyDgAY&amp;q=site%3Alinkedin.com+Carli+Hyatt+Campus+Recruiter+Deloitte+Consulting</v>
      </c>
      <c r="K2338" s="5" t="str">
        <f t="shared" si="1"/>
        <v>Carli Hyatt</v>
      </c>
      <c r="L2338" s="5" t="str">
        <f t="shared" si="2"/>
        <v>Campus Recruiter</v>
      </c>
      <c r="M2338" s="5" t="str">
        <f t="shared" si="3"/>
        <v> </v>
      </c>
      <c r="N2338" s="5" t="str">
        <f t="shared" si="4"/>
        <v>Deloitte Consulting</v>
      </c>
      <c r="O2338" s="5" t="str">
        <f t="shared" si="5"/>
        <v>15 years 9 months in role and company</v>
      </c>
      <c r="P2338" s="5" t="str">
        <f t="shared" si="6"/>
        <v>Dallas</v>
      </c>
      <c r="Q2338" s="5" t="str">
        <f t="shared" si="7"/>
        <v>Texas</v>
      </c>
      <c r="R2338" s="5" t="str">
        <f t="shared" si="8"/>
        <v>United States</v>
      </c>
    </row>
    <row r="2339">
      <c r="A2339" s="7" t="s">
        <v>516</v>
      </c>
      <c r="B2339" s="5" t="s">
        <v>514</v>
      </c>
      <c r="C2339" s="5" t="s">
        <v>515</v>
      </c>
      <c r="D2339" s="6" t="s">
        <v>13</v>
      </c>
      <c r="E2339" s="5" t="s">
        <v>492</v>
      </c>
      <c r="F2339" s="5" t="s">
        <v>144</v>
      </c>
      <c r="G2339" s="5" t="s">
        <v>49</v>
      </c>
      <c r="H2339" s="5" t="s">
        <v>50</v>
      </c>
      <c r="I2339" s="5" t="s">
        <v>18</v>
      </c>
      <c r="J2339" s="9" t="str">
        <f>IFERROR(__xludf.DUMMYFUNCTION("""COMPUTED_VALUE"""),"https://www.google.com/search?newwindow=1&amp;ei=2MT0XrvGGM-vytMP1OyDgAY&amp;q=site%3Alinkedin.com+Tracey+King+Campus+Recruiter+Coordinator+Deloitte+Consulting")</f>
        <v>https://www.google.com/search?newwindow=1&amp;ei=2MT0XrvGGM-vytMP1OyDgAY&amp;q=site%3Alinkedin.com+Tracey+King+Campus+Recruiter+Coordinator+Deloitte+Consulting</v>
      </c>
      <c r="K2339" s="5" t="str">
        <f t="shared" si="1"/>
        <v>Tracey King</v>
      </c>
      <c r="L2339" s="5" t="str">
        <f t="shared" si="2"/>
        <v>Campus Recruiter Coordinator</v>
      </c>
      <c r="M2339" s="5" t="str">
        <f t="shared" si="3"/>
        <v> </v>
      </c>
      <c r="N2339" s="5" t="str">
        <f t="shared" si="4"/>
        <v>Deloitte Consulting</v>
      </c>
      <c r="O2339" s="5" t="str">
        <f t="shared" si="5"/>
        <v/>
      </c>
      <c r="P2339" s="5" t="str">
        <f t="shared" si="6"/>
        <v>McLean</v>
      </c>
      <c r="Q2339" s="5" t="str">
        <f t="shared" si="7"/>
        <v>Virginia</v>
      </c>
      <c r="R2339" s="5" t="str">
        <f t="shared" si="8"/>
        <v>United States</v>
      </c>
    </row>
    <row r="2340">
      <c r="A2340" s="8" t="s">
        <v>501</v>
      </c>
      <c r="B2340" s="5" t="s">
        <v>498</v>
      </c>
      <c r="C2340" s="5" t="s">
        <v>499</v>
      </c>
      <c r="D2340" s="6" t="s">
        <v>13</v>
      </c>
      <c r="E2340" s="5" t="s">
        <v>492</v>
      </c>
      <c r="F2340" s="5" t="s">
        <v>500</v>
      </c>
      <c r="G2340" s="5" t="s">
        <v>49</v>
      </c>
      <c r="H2340" s="5" t="s">
        <v>50</v>
      </c>
      <c r="I2340" s="5" t="s">
        <v>18</v>
      </c>
      <c r="J2340" s="9" t="str">
        <f>IFERROR(__xludf.DUMMYFUNCTION("""COMPUTED_VALUE"""),"https://www.google.com/search?newwindow=1&amp;ei=2MT0XrvGGM-vytMP1OyDgAY&amp;q=site%3Alinkedin.com+Tiffany+Foskey-Lewis,SHRM-CP+US+Delivery+Center+Campus+Recruiter+Deloitte+Consulting")</f>
        <v>https://www.google.com/search?newwindow=1&amp;ei=2MT0XrvGGM-vytMP1OyDgAY&amp;q=site%3Alinkedin.com+Tiffany+Foskey-Lewis,SHRM-CP+US+Delivery+Center+Campus+Recruiter+Deloitte+Consulting</v>
      </c>
      <c r="K2340" s="5" t="str">
        <f t="shared" si="1"/>
        <v>Tiffany Foskey-Lewis,SHRM-CP</v>
      </c>
      <c r="L2340" s="5" t="str">
        <f t="shared" si="2"/>
        <v>US Delivery Center Campus Recruiter</v>
      </c>
      <c r="M2340" s="5" t="str">
        <f t="shared" si="3"/>
        <v> </v>
      </c>
      <c r="N2340" s="5" t="str">
        <f t="shared" si="4"/>
        <v>Deloitte Consulting</v>
      </c>
      <c r="O2340" s="5" t="str">
        <f t="shared" si="5"/>
        <v>2 years 1 month in role and company</v>
      </c>
      <c r="P2340" s="5" t="str">
        <f t="shared" si="6"/>
        <v>Orlando</v>
      </c>
      <c r="Q2340" s="5" t="str">
        <f t="shared" si="7"/>
        <v>Florida</v>
      </c>
      <c r="R2340" s="5" t="str">
        <f t="shared" si="8"/>
        <v>United States</v>
      </c>
    </row>
    <row r="2341">
      <c r="A2341" s="7" t="s">
        <v>519</v>
      </c>
      <c r="B2341" s="5" t="s">
        <v>517</v>
      </c>
      <c r="C2341" s="5" t="s">
        <v>518</v>
      </c>
      <c r="D2341" s="6" t="s">
        <v>13</v>
      </c>
      <c r="E2341" s="5" t="s">
        <v>492</v>
      </c>
      <c r="F2341" s="5" t="s">
        <v>79</v>
      </c>
      <c r="G2341" s="5" t="s">
        <v>49</v>
      </c>
      <c r="H2341" s="5" t="s">
        <v>50</v>
      </c>
      <c r="I2341" s="5" t="s">
        <v>18</v>
      </c>
      <c r="J2341" s="9" t="str">
        <f>IFERROR(__xludf.DUMMYFUNCTION("""COMPUTED_VALUE"""),"https://www.google.com/search?newwindow=1&amp;ei=2MT0XrvGGM-vytMP1OyDgAY&amp;q=site%3Alinkedin.com+Catherine+Casey+Senior+MBA+Campus+Recruiter+Deloitte+Consulting")</f>
        <v>https://www.google.com/search?newwindow=1&amp;ei=2MT0XrvGGM-vytMP1OyDgAY&amp;q=site%3Alinkedin.com+Catherine+Casey+Senior+MBA+Campus+Recruiter+Deloitte+Consulting</v>
      </c>
      <c r="K2341" s="5" t="str">
        <f t="shared" si="1"/>
        <v>Catherine Casey</v>
      </c>
      <c r="L2341" s="5" t="str">
        <f t="shared" si="2"/>
        <v>Senior MBA Campus Recruiter</v>
      </c>
      <c r="M2341" s="5" t="str">
        <f t="shared" si="3"/>
        <v>MBA</v>
      </c>
      <c r="N2341" s="5" t="str">
        <f t="shared" si="4"/>
        <v>Deloitte Consulting</v>
      </c>
      <c r="O2341" s="5" t="str">
        <f t="shared" si="5"/>
        <v>1 year 2 months in role</v>
      </c>
      <c r="P2341" s="5" t="str">
        <f t="shared" si="6"/>
        <v>Philadelphia</v>
      </c>
      <c r="Q2341" s="5" t="str">
        <f t="shared" si="7"/>
        <v>Pennsylvania</v>
      </c>
      <c r="R2341" s="5" t="str">
        <f t="shared" si="8"/>
        <v>United States</v>
      </c>
    </row>
    <row r="2342">
      <c r="A2342" s="8" t="s">
        <v>521</v>
      </c>
      <c r="B2342" s="5" t="s">
        <v>494</v>
      </c>
      <c r="C2342" s="5" t="s">
        <v>520</v>
      </c>
      <c r="D2342" s="6" t="s">
        <v>13</v>
      </c>
      <c r="E2342" s="5" t="s">
        <v>492</v>
      </c>
      <c r="F2342" s="5" t="s">
        <v>121</v>
      </c>
      <c r="G2342" s="5" t="s">
        <v>49</v>
      </c>
      <c r="H2342" s="5" t="s">
        <v>50</v>
      </c>
      <c r="I2342" s="5" t="s">
        <v>18</v>
      </c>
      <c r="J2342" s="9" t="str">
        <f>IFERROR(__xludf.DUMMYFUNCTION("""COMPUTED_VALUE"""),"https://www.google.com/search?newwindow=1&amp;ei=2MT0XrvGGM-vytMP1OyDgAY&amp;q=site%3Alinkedin.com+Maria+Kichler+Campus+Recruiter+Deloitte+Consulting")</f>
        <v>https://www.google.com/search?newwindow=1&amp;ei=2MT0XrvGGM-vytMP1OyDgAY&amp;q=site%3Alinkedin.com+Maria+Kichler+Campus+Recruiter+Deloitte+Consulting</v>
      </c>
      <c r="K2342" s="5" t="str">
        <f t="shared" si="1"/>
        <v>Maria Kichler</v>
      </c>
      <c r="L2342" s="5" t="str">
        <f t="shared" si="2"/>
        <v>Campus Recruiter</v>
      </c>
      <c r="M2342" s="5" t="str">
        <f t="shared" si="3"/>
        <v> </v>
      </c>
      <c r="N2342" s="5" t="str">
        <f t="shared" si="4"/>
        <v>Deloitte Consulting</v>
      </c>
      <c r="O2342" s="5" t="str">
        <f t="shared" si="5"/>
        <v/>
      </c>
      <c r="P2342" s="5" t="str">
        <f t="shared" si="6"/>
        <v>Smyrna</v>
      </c>
      <c r="Q2342" s="5" t="str">
        <f t="shared" si="7"/>
        <v>Georgia</v>
      </c>
      <c r="R2342" s="5" t="str">
        <f t="shared" si="8"/>
        <v>United States</v>
      </c>
    </row>
    <row r="2343">
      <c r="A2343" s="7" t="s">
        <v>524</v>
      </c>
      <c r="B2343" s="5" t="s">
        <v>522</v>
      </c>
      <c r="C2343" s="5" t="s">
        <v>178</v>
      </c>
      <c r="D2343" s="6" t="s">
        <v>13</v>
      </c>
      <c r="E2343" s="5" t="s">
        <v>492</v>
      </c>
      <c r="F2343" s="5" t="s">
        <v>523</v>
      </c>
      <c r="G2343" s="5" t="s">
        <v>49</v>
      </c>
      <c r="H2343" s="5" t="s">
        <v>50</v>
      </c>
      <c r="I2343" s="5" t="s">
        <v>18</v>
      </c>
      <c r="J2343" s="9" t="str">
        <f>IFERROR(__xludf.DUMMYFUNCTION("""COMPUTED_VALUE"""),"https://www.google.com/search?newwindow=1&amp;ei=2MT0XrvGGM-vytMP1OyDgAY&amp;q=site%3Alinkedin.com+Mark+McKenzie+Sr.+Campus+Recruiter+Deloitte+Consulting")</f>
        <v>https://www.google.com/search?newwindow=1&amp;ei=2MT0XrvGGM-vytMP1OyDgAY&amp;q=site%3Alinkedin.com+Mark+McKenzie+Sr.+Campus+Recruiter+Deloitte+Consulting</v>
      </c>
      <c r="K2343" s="5" t="str">
        <f t="shared" si="1"/>
        <v>Mark McKenzie</v>
      </c>
      <c r="L2343" s="5" t="str">
        <f t="shared" si="2"/>
        <v>Sr. Campus Recruiter</v>
      </c>
      <c r="M2343" s="5" t="str">
        <f t="shared" si="3"/>
        <v> </v>
      </c>
      <c r="N2343" s="5" t="str">
        <f t="shared" si="4"/>
        <v>Deloitte Consulting</v>
      </c>
      <c r="O2343" s="5" t="str">
        <f t="shared" si="5"/>
        <v>3 years 10 months in role and company</v>
      </c>
      <c r="P2343" s="5" t="str">
        <f t="shared" si="6"/>
        <v>Washington</v>
      </c>
      <c r="Q2343" s="5" t="str">
        <f t="shared" si="7"/>
        <v>District of Columbia</v>
      </c>
      <c r="R2343" s="5" t="str">
        <f t="shared" si="8"/>
        <v>United States</v>
      </c>
    </row>
    <row r="2344">
      <c r="A2344" s="7" t="s">
        <v>527</v>
      </c>
      <c r="B2344" s="5" t="s">
        <v>525</v>
      </c>
      <c r="C2344" s="5" t="s">
        <v>25</v>
      </c>
      <c r="D2344" s="6" t="s">
        <v>13</v>
      </c>
      <c r="E2344" s="5" t="s">
        <v>492</v>
      </c>
      <c r="F2344" s="5" t="s">
        <v>526</v>
      </c>
      <c r="G2344" s="5" t="s">
        <v>49</v>
      </c>
      <c r="H2344" s="5" t="s">
        <v>50</v>
      </c>
      <c r="I2344" s="5" t="s">
        <v>18</v>
      </c>
      <c r="J2344" s="9" t="str">
        <f>IFERROR(__xludf.DUMMYFUNCTION("""COMPUTED_VALUE"""),"https://www.google.com/search?newwindow=1&amp;ei=2MT0XrvGGM-vytMP1OyDgAY&amp;q=site%3Alinkedin.com+Jennifer+Hadden+Campus+Recruiter+Deutsche+Bank")</f>
        <v>https://www.google.com/search?newwindow=1&amp;ei=2MT0XrvGGM-vytMP1OyDgAY&amp;q=site%3Alinkedin.com+Jennifer+Hadden+Campus+Recruiter+Deutsche+Bank</v>
      </c>
      <c r="K2344" s="5" t="str">
        <f t="shared" si="1"/>
        <v>Jennifer Hadden</v>
      </c>
      <c r="L2344" s="5" t="str">
        <f t="shared" si="2"/>
        <v>Campus Recruiter</v>
      </c>
      <c r="M2344" s="5" t="str">
        <f t="shared" si="3"/>
        <v> </v>
      </c>
      <c r="N2344" s="5" t="str">
        <f t="shared" si="4"/>
        <v>Deutsche Bank</v>
      </c>
      <c r="O2344" s="5" t="str">
        <f t="shared" si="5"/>
        <v>7 years 5 months in role and company</v>
      </c>
      <c r="P2344" s="5" t="str">
        <f t="shared" si="6"/>
        <v>Jacksonville</v>
      </c>
      <c r="Q2344" s="5" t="str">
        <f t="shared" si="7"/>
        <v>Florida</v>
      </c>
      <c r="R2344" s="5" t="str">
        <f t="shared" si="8"/>
        <v>United States</v>
      </c>
    </row>
    <row r="2345">
      <c r="A2345" s="7" t="s">
        <v>530</v>
      </c>
      <c r="B2345" s="5" t="s">
        <v>528</v>
      </c>
      <c r="C2345" s="5" t="s">
        <v>529</v>
      </c>
      <c r="D2345" s="6" t="s">
        <v>13</v>
      </c>
      <c r="E2345" s="5" t="s">
        <v>492</v>
      </c>
      <c r="G2345" s="5" t="s">
        <v>49</v>
      </c>
      <c r="H2345" s="5" t="s">
        <v>50</v>
      </c>
      <c r="I2345" s="5" t="s">
        <v>18</v>
      </c>
      <c r="J2345" s="9" t="str">
        <f>IFERROR(__xludf.DUMMYFUNCTION("""COMPUTED_VALUE"""),"https://www.google.com/search?newwindow=1&amp;ei=2MT0XrvGGM-vytMP1OyDgAY&amp;q=site%3Alinkedin.com+Katy+Franklin+Associate+-+Human+Resources+-+Talent+Sourcing+-+Campus+Recruiter+Deutsche+Bank")</f>
        <v>https://www.google.com/search?newwindow=1&amp;ei=2MT0XrvGGM-vytMP1OyDgAY&amp;q=site%3Alinkedin.com+Katy+Franklin+Associate+-+Human+Resources+-+Talent+Sourcing+-+Campus+Recruiter+Deutsche+Bank</v>
      </c>
      <c r="K2345" s="5" t="str">
        <f t="shared" si="1"/>
        <v>Katy Franklin</v>
      </c>
      <c r="L2345" s="5" t="str">
        <f t="shared" si="2"/>
        <v>Associate - Human Resources - Talent Sourcing - Campus Recruiter</v>
      </c>
      <c r="M2345" s="5" t="str">
        <f t="shared" si="3"/>
        <v> </v>
      </c>
      <c r="N2345" s="5" t="str">
        <f t="shared" si="4"/>
        <v>Deutsche Bank</v>
      </c>
      <c r="O2345" s="5" t="str">
        <f t="shared" si="5"/>
        <v>3 years  in role and company</v>
      </c>
      <c r="P2345" s="5" t="str">
        <f t="shared" si="6"/>
        <v>Jacksonville</v>
      </c>
      <c r="Q2345" s="5" t="str">
        <f t="shared" si="7"/>
        <v>Florida</v>
      </c>
      <c r="R2345" s="5" t="str">
        <f t="shared" si="8"/>
        <v>United States</v>
      </c>
    </row>
    <row r="2346">
      <c r="A2346" s="7" t="s">
        <v>532</v>
      </c>
      <c r="B2346" s="5" t="s">
        <v>531</v>
      </c>
      <c r="C2346" s="5" t="s">
        <v>480</v>
      </c>
      <c r="D2346" s="6" t="s">
        <v>13</v>
      </c>
      <c r="E2346" s="5" t="s">
        <v>492</v>
      </c>
      <c r="F2346" s="5" t="s">
        <v>125</v>
      </c>
      <c r="G2346" s="5" t="s">
        <v>49</v>
      </c>
      <c r="H2346" s="5" t="s">
        <v>50</v>
      </c>
      <c r="I2346" s="5" t="s">
        <v>18</v>
      </c>
      <c r="J2346" s="9" t="str">
        <f>IFERROR(__xludf.DUMMYFUNCTION("""COMPUTED_VALUE"""),"https://www.google.com/search?newwindow=1&amp;ei=2MT0XrvGGM-vytMP1OyDgAY&amp;q=site%3Alinkedin.com+Katherine+Brodhead,+MBA+University+Relations+Recruiter+DISH+Network")</f>
        <v>https://www.google.com/search?newwindow=1&amp;ei=2MT0XrvGGM-vytMP1OyDgAY&amp;q=site%3Alinkedin.com+Katherine+Brodhead,+MBA+University+Relations+Recruiter+DISH+Network</v>
      </c>
      <c r="K2346" s="5" t="str">
        <f t="shared" si="1"/>
        <v>Katherine Brodhead, MBA</v>
      </c>
      <c r="L2346" s="5" t="str">
        <f t="shared" si="2"/>
        <v>University Relations Recruiter</v>
      </c>
      <c r="M2346" s="5" t="str">
        <f t="shared" si="3"/>
        <v> </v>
      </c>
      <c r="N2346" s="5" t="str">
        <f t="shared" si="4"/>
        <v>Dish Network</v>
      </c>
      <c r="O2346" s="5" t="str">
        <f t="shared" si="5"/>
        <v>1 year 4 months in role and company</v>
      </c>
      <c r="P2346" s="5" t="str">
        <f t="shared" si="6"/>
        <v>Denver</v>
      </c>
      <c r="Q2346" s="5" t="str">
        <f t="shared" si="7"/>
        <v>Colorado</v>
      </c>
      <c r="R2346" s="5" t="str">
        <f t="shared" si="8"/>
        <v>United States</v>
      </c>
    </row>
    <row r="2347">
      <c r="A2347" s="7" t="s">
        <v>534</v>
      </c>
      <c r="B2347" s="5" t="s">
        <v>533</v>
      </c>
      <c r="C2347" s="5" t="s">
        <v>515</v>
      </c>
      <c r="D2347" s="6" t="s">
        <v>13</v>
      </c>
      <c r="E2347" s="5" t="s">
        <v>492</v>
      </c>
      <c r="F2347" s="5" t="s">
        <v>26</v>
      </c>
      <c r="G2347" s="5" t="s">
        <v>49</v>
      </c>
      <c r="H2347" s="5" t="s">
        <v>50</v>
      </c>
      <c r="I2347" s="5" t="s">
        <v>18</v>
      </c>
      <c r="J2347" s="9" t="str">
        <f>IFERROR(__xludf.DUMMYFUNCTION("""COMPUTED_VALUE"""),"https://www.google.com/search?newwindow=1&amp;ei=2MT0XrvGGM-vytMP1OyDgAY&amp;q=site%3Alinkedin.com+Chloe+Mercado+University+Relations+Recruiter+Dish+Network")</f>
        <v>https://www.google.com/search?newwindow=1&amp;ei=2MT0XrvGGM-vytMP1OyDgAY&amp;q=site%3Alinkedin.com+Chloe+Mercado+University+Relations+Recruiter+Dish+Network</v>
      </c>
      <c r="K2347" s="5" t="str">
        <f t="shared" si="1"/>
        <v>Chloe Mercado</v>
      </c>
      <c r="L2347" s="5" t="str">
        <f t="shared" si="2"/>
        <v>University Relations Recruiter</v>
      </c>
      <c r="M2347" s="5" t="str">
        <f t="shared" si="3"/>
        <v> </v>
      </c>
      <c r="N2347" s="5" t="str">
        <f t="shared" si="4"/>
        <v>Dish Network</v>
      </c>
      <c r="O2347" s="5" t="str">
        <f t="shared" si="5"/>
        <v>2 years 2 months in role and company</v>
      </c>
      <c r="P2347" s="5" t="str">
        <f t="shared" si="6"/>
        <v>Denver</v>
      </c>
      <c r="Q2347" s="5" t="str">
        <f t="shared" si="7"/>
        <v>Colorado</v>
      </c>
      <c r="R2347" s="5" t="str">
        <f t="shared" si="8"/>
        <v>United States</v>
      </c>
    </row>
    <row r="2348">
      <c r="A2348" s="8" t="s">
        <v>537</v>
      </c>
      <c r="B2348" s="5" t="s">
        <v>535</v>
      </c>
      <c r="C2348" s="5" t="s">
        <v>536</v>
      </c>
      <c r="D2348" s="6" t="s">
        <v>13</v>
      </c>
      <c r="E2348" s="5" t="s">
        <v>492</v>
      </c>
      <c r="F2348" s="5" t="s">
        <v>496</v>
      </c>
      <c r="G2348" s="5" t="s">
        <v>49</v>
      </c>
      <c r="H2348" s="5" t="s">
        <v>50</v>
      </c>
      <c r="I2348" s="5" t="s">
        <v>18</v>
      </c>
      <c r="J2348" s="9" t="str">
        <f>IFERROR(__xludf.DUMMYFUNCTION("""COMPUTED_VALUE"""),"https://www.google.com/search?newwindow=1&amp;ei=2MT0XrvGGM-vytMP1OyDgAY&amp;q=site%3Alinkedin.com+Demi+Evans+University+Relations+Recruiter+Dish+Network")</f>
        <v>https://www.google.com/search?newwindow=1&amp;ei=2MT0XrvGGM-vytMP1OyDgAY&amp;q=site%3Alinkedin.com+Demi+Evans+University+Relations+Recruiter+Dish+Network</v>
      </c>
      <c r="K2348" s="5" t="str">
        <f t="shared" si="1"/>
        <v>Demi Evans</v>
      </c>
      <c r="L2348" s="5" t="str">
        <f t="shared" si="2"/>
        <v>University Relations Recruiter</v>
      </c>
      <c r="M2348" s="5" t="str">
        <f t="shared" si="3"/>
        <v> </v>
      </c>
      <c r="N2348" s="5" t="str">
        <f t="shared" si="4"/>
        <v>Dish Network</v>
      </c>
      <c r="O2348" s="5" t="str">
        <f t="shared" si="5"/>
        <v>1 year 9 months in role</v>
      </c>
      <c r="P2348" s="5" t="str">
        <f t="shared" si="6"/>
        <v>Englewood</v>
      </c>
      <c r="Q2348" s="5" t="str">
        <f t="shared" si="7"/>
        <v>Colorado</v>
      </c>
      <c r="R2348" s="5" t="str">
        <f t="shared" si="8"/>
        <v>United States</v>
      </c>
    </row>
    <row r="2349">
      <c r="A2349" s="7" t="s">
        <v>540</v>
      </c>
      <c r="B2349" s="5" t="s">
        <v>538</v>
      </c>
      <c r="C2349" s="5" t="s">
        <v>539</v>
      </c>
      <c r="D2349" s="5" t="s">
        <v>4</v>
      </c>
      <c r="E2349" s="5" t="s">
        <v>492</v>
      </c>
      <c r="F2349" s="5" t="s">
        <v>217</v>
      </c>
      <c r="G2349" s="5" t="s">
        <v>49</v>
      </c>
      <c r="H2349" s="5" t="s">
        <v>50</v>
      </c>
      <c r="I2349" s="5" t="s">
        <v>18</v>
      </c>
      <c r="J2349" s="9" t="str">
        <f>IFERROR(__xludf.DUMMYFUNCTION("""COMPUTED_VALUE"""),"https://www.google.com/search?newwindow=1&amp;ei=2MT0XrvGGM-vytMP1OyDgAY&amp;q=site%3Alinkedin.com+Kyerra+Moody,+CPA+Campus+Recruiter+Dixon+Hughes+Goodman+LLP")</f>
        <v>https://www.google.com/search?newwindow=1&amp;ei=2MT0XrvGGM-vytMP1OyDgAY&amp;q=site%3Alinkedin.com+Kyerra+Moody,+CPA+Campus+Recruiter+Dixon+Hughes+Goodman+LLP</v>
      </c>
      <c r="K2349" s="5" t="str">
        <f t="shared" si="1"/>
        <v>Kyerra Moody, CPA</v>
      </c>
      <c r="L2349" s="5" t="str">
        <f t="shared" si="2"/>
        <v>Campus Recruiter</v>
      </c>
      <c r="M2349" s="5" t="str">
        <f t="shared" si="3"/>
        <v> </v>
      </c>
      <c r="N2349" s="5" t="str">
        <f t="shared" si="4"/>
        <v>Dixon Hughes Goodman LLP</v>
      </c>
      <c r="O2349" s="5" t="str">
        <f t="shared" si="5"/>
        <v>3 years 3 months in role</v>
      </c>
      <c r="P2349" s="5" t="str">
        <f t="shared" si="6"/>
        <v>Atlanta</v>
      </c>
      <c r="Q2349" s="5" t="str">
        <f t="shared" si="7"/>
        <v>Georgia</v>
      </c>
      <c r="R2349" s="5" t="str">
        <f t="shared" si="8"/>
        <v>United States</v>
      </c>
    </row>
    <row r="2350">
      <c r="A2350" s="8" t="s">
        <v>543</v>
      </c>
      <c r="B2350" s="5" t="s">
        <v>541</v>
      </c>
      <c r="C2350" s="5" t="s">
        <v>542</v>
      </c>
      <c r="D2350" s="6" t="s">
        <v>13</v>
      </c>
      <c r="E2350" s="5" t="s">
        <v>492</v>
      </c>
      <c r="F2350" s="5" t="s">
        <v>339</v>
      </c>
      <c r="G2350" s="5" t="s">
        <v>49</v>
      </c>
      <c r="H2350" s="5" t="s">
        <v>50</v>
      </c>
      <c r="I2350" s="5" t="s">
        <v>18</v>
      </c>
      <c r="J2350" s="9" t="str">
        <f>IFERROR(__xludf.DUMMYFUNCTION("""COMPUTED_VALUE"""),"https://www.google.com/search?newwindow=1&amp;ei=2MT0XrvGGM-vytMP1OyDgAY&amp;q=site%3Alinkedin.com+Katie+Davenport,+CPA,+SHRM-SCP+Senior+Campus+Recruiting+Manager+Dixon+Hughes+Goodman+LLP")</f>
        <v>https://www.google.com/search?newwindow=1&amp;ei=2MT0XrvGGM-vytMP1OyDgAY&amp;q=site%3Alinkedin.com+Katie+Davenport,+CPA,+SHRM-SCP+Senior+Campus+Recruiting+Manager+Dixon+Hughes+Goodman+LLP</v>
      </c>
      <c r="K2350" s="5" t="str">
        <f t="shared" si="1"/>
        <v>Katie Davenport, CPA, SHRM-SCP</v>
      </c>
      <c r="L2350" s="5" t="str">
        <f t="shared" si="2"/>
        <v>Senior Campus Recruiting Manager</v>
      </c>
      <c r="M2350" s="5" t="str">
        <f t="shared" si="3"/>
        <v> </v>
      </c>
      <c r="N2350" s="5" t="str">
        <f t="shared" si="4"/>
        <v>Dixon Hughes Goodman LLP</v>
      </c>
      <c r="O2350" s="5" t="str">
        <f t="shared" si="5"/>
        <v>1 year 2 months in role</v>
      </c>
      <c r="P2350" s="5" t="str">
        <f t="shared" si="6"/>
        <v>Charlotte</v>
      </c>
      <c r="Q2350" s="5" t="str">
        <f t="shared" si="7"/>
        <v>North Carolina</v>
      </c>
      <c r="R2350" s="5" t="str">
        <f t="shared" si="8"/>
        <v>United States</v>
      </c>
    </row>
    <row r="2351">
      <c r="A2351" s="7" t="s">
        <v>546</v>
      </c>
      <c r="B2351" s="5" t="s">
        <v>544</v>
      </c>
      <c r="C2351" s="5" t="s">
        <v>545</v>
      </c>
      <c r="D2351" s="6" t="s">
        <v>13</v>
      </c>
      <c r="E2351" s="5" t="s">
        <v>492</v>
      </c>
      <c r="F2351" s="5" t="s">
        <v>144</v>
      </c>
      <c r="G2351" s="5" t="s">
        <v>49</v>
      </c>
      <c r="H2351" s="5" t="s">
        <v>50</v>
      </c>
      <c r="I2351" s="5" t="s">
        <v>18</v>
      </c>
      <c r="J2351" s="9" t="str">
        <f>IFERROR(__xludf.DUMMYFUNCTION("""COMPUTED_VALUE"""),"https://www.google.com/search?newwindow=1&amp;ei=2MT0XrvGGM-vytMP1OyDgAY&amp;q=site%3Alinkedin.com+Kelly+Anderson+Senior+Associate,+Campus+Recruiter+Dixon+Hughes+Goodman+LLP")</f>
        <v>https://www.google.com/search?newwindow=1&amp;ei=2MT0XrvGGM-vytMP1OyDgAY&amp;q=site%3Alinkedin.com+Kelly+Anderson+Senior+Associate,+Campus+Recruiter+Dixon+Hughes+Goodman+LLP</v>
      </c>
      <c r="K2351" s="5" t="str">
        <f t="shared" si="1"/>
        <v>Kelly Anderson</v>
      </c>
      <c r="L2351" s="5" t="str">
        <f t="shared" si="2"/>
        <v>Senior Associate, Campus Recruiter</v>
      </c>
      <c r="M2351" s="5" t="str">
        <f t="shared" si="3"/>
        <v> </v>
      </c>
      <c r="N2351" s="5" t="str">
        <f t="shared" si="4"/>
        <v>Dixon Hughes Goodman LLP</v>
      </c>
      <c r="O2351" s="5" t="str">
        <f t="shared" si="5"/>
        <v>1 year 2 months in role</v>
      </c>
      <c r="P2351" s="5" t="str">
        <f t="shared" si="6"/>
        <v>Charlotte</v>
      </c>
      <c r="Q2351" s="5" t="str">
        <f t="shared" si="7"/>
        <v>North Carolina</v>
      </c>
      <c r="R2351" s="5" t="str">
        <f t="shared" si="8"/>
        <v>United States</v>
      </c>
    </row>
    <row r="2352">
      <c r="A2352" s="7" t="s">
        <v>549</v>
      </c>
      <c r="B2352" s="5" t="s">
        <v>547</v>
      </c>
      <c r="C2352" s="5" t="s">
        <v>548</v>
      </c>
      <c r="D2352" s="6" t="s">
        <v>13</v>
      </c>
      <c r="E2352" s="5" t="s">
        <v>492</v>
      </c>
      <c r="F2352" s="5" t="s">
        <v>192</v>
      </c>
      <c r="G2352" s="5" t="s">
        <v>49</v>
      </c>
      <c r="H2352" s="5" t="s">
        <v>50</v>
      </c>
      <c r="I2352" s="5" t="s">
        <v>18</v>
      </c>
      <c r="J2352" s="9" t="str">
        <f>IFERROR(__xludf.DUMMYFUNCTION("""COMPUTED_VALUE"""),"https://www.google.com/search?newwindow=1&amp;ei=2MT0XrvGGM-vytMP1OyDgAY&amp;q=site%3Alinkedin.com+Janessa+Harkley+Campus+Recruiter+Dixon+Hughes+Goodman+LLP")</f>
        <v>https://www.google.com/search?newwindow=1&amp;ei=2MT0XrvGGM-vytMP1OyDgAY&amp;q=site%3Alinkedin.com+Janessa+Harkley+Campus+Recruiter+Dixon+Hughes+Goodman+LLP</v>
      </c>
      <c r="K2352" s="5" t="str">
        <f t="shared" si="1"/>
        <v>Janessa Harkley</v>
      </c>
      <c r="L2352" s="5" t="str">
        <f t="shared" si="2"/>
        <v>Campus Recruiter</v>
      </c>
      <c r="M2352" s="5" t="str">
        <f t="shared" si="3"/>
        <v> </v>
      </c>
      <c r="N2352" s="5" t="str">
        <f t="shared" si="4"/>
        <v>Dixon Hughes Goodman LLP</v>
      </c>
      <c r="O2352" s="5" t="str">
        <f t="shared" si="5"/>
        <v>1 year 10 months in role</v>
      </c>
      <c r="P2352" s="5" t="str">
        <f t="shared" si="6"/>
        <v>Greensboro</v>
      </c>
      <c r="Q2352" s="5" t="str">
        <f t="shared" si="7"/>
        <v>North Carolina</v>
      </c>
      <c r="R2352" s="5" t="str">
        <f t="shared" si="8"/>
        <v>United States</v>
      </c>
    </row>
    <row r="2353">
      <c r="A2353" s="7" t="s">
        <v>532</v>
      </c>
      <c r="B2353" s="5" t="s">
        <v>531</v>
      </c>
      <c r="C2353" s="5" t="s">
        <v>480</v>
      </c>
      <c r="D2353" s="6" t="s">
        <v>13</v>
      </c>
      <c r="E2353" s="5" t="s">
        <v>492</v>
      </c>
      <c r="F2353" s="5" t="s">
        <v>125</v>
      </c>
      <c r="G2353" s="5" t="s">
        <v>49</v>
      </c>
      <c r="H2353" s="5" t="s">
        <v>50</v>
      </c>
      <c r="I2353" s="5" t="s">
        <v>18</v>
      </c>
      <c r="J2353" s="9" t="str">
        <f>IFERROR(__xludf.DUMMYFUNCTION("""COMPUTED_VALUE"""),"https://www.google.com/search?newwindow=1&amp;ei=2MT0XrvGGM-vytMP1OyDgAY&amp;q=site%3Alinkedin.com+Nikki+Kettenacker+Campus+Recruiting+Manager+Dixon+Hughes+Goodman+LLP")</f>
        <v>https://www.google.com/search?newwindow=1&amp;ei=2MT0XrvGGM-vytMP1OyDgAY&amp;q=site%3Alinkedin.com+Nikki+Kettenacker+Campus+Recruiting+Manager+Dixon+Hughes+Goodman+LLP</v>
      </c>
      <c r="K2353" s="5" t="str">
        <f t="shared" si="1"/>
        <v>Nikki Kettenacker</v>
      </c>
      <c r="L2353" s="5" t="str">
        <f t="shared" si="2"/>
        <v>Campus Recruiting Manager</v>
      </c>
      <c r="M2353" s="5" t="str">
        <f t="shared" si="3"/>
        <v> </v>
      </c>
      <c r="N2353" s="5" t="str">
        <f t="shared" si="4"/>
        <v>Dixon Hughes Goodman LLP</v>
      </c>
      <c r="O2353" s="5" t="str">
        <f t="shared" si="5"/>
        <v>1 year 2 months in role</v>
      </c>
      <c r="P2353" s="5" t="str">
        <f t="shared" si="6"/>
        <v>Mechanicsville</v>
      </c>
      <c r="Q2353" s="5" t="str">
        <f t="shared" si="7"/>
        <v>Virginia</v>
      </c>
      <c r="R2353" s="5" t="str">
        <f t="shared" si="8"/>
        <v>United States</v>
      </c>
    </row>
    <row r="2354">
      <c r="A2354" s="7" t="s">
        <v>551</v>
      </c>
      <c r="B2354" s="5" t="s">
        <v>550</v>
      </c>
      <c r="C2354" s="5" t="s">
        <v>25</v>
      </c>
      <c r="D2354" s="6" t="s">
        <v>13</v>
      </c>
      <c r="E2354" s="5" t="s">
        <v>492</v>
      </c>
      <c r="G2354" s="5" t="s">
        <v>49</v>
      </c>
      <c r="H2354" s="5" t="s">
        <v>50</v>
      </c>
      <c r="I2354" s="5" t="s">
        <v>18</v>
      </c>
      <c r="J2354" s="9" t="str">
        <f>IFERROR(__xludf.DUMMYFUNCTION("""COMPUTED_VALUE"""),"https://www.google.com/search?newwindow=1&amp;ei=2MT0XrvGGM-vytMP1OyDgAY&amp;q=site%3Alinkedin.com+Taylor+Cocherell+Campus+Recruiter+Dixon+Hughes+Goodman+LLP")</f>
        <v>https://www.google.com/search?newwindow=1&amp;ei=2MT0XrvGGM-vytMP1OyDgAY&amp;q=site%3Alinkedin.com+Taylor+Cocherell+Campus+Recruiter+Dixon+Hughes+Goodman+LLP</v>
      </c>
      <c r="K2354" s="5" t="str">
        <f t="shared" si="1"/>
        <v>Taylor Cocherell</v>
      </c>
      <c r="L2354" s="5" t="str">
        <f t="shared" si="2"/>
        <v>Campus Recruiter</v>
      </c>
      <c r="M2354" s="5" t="str">
        <f t="shared" si="3"/>
        <v> </v>
      </c>
      <c r="N2354" s="5" t="str">
        <f t="shared" si="4"/>
        <v>Dixon Hughes Goodman LLP</v>
      </c>
      <c r="O2354" s="5" t="str">
        <f t="shared" si="5"/>
        <v>1 year 4 months in role and company</v>
      </c>
      <c r="P2354" s="5" t="str">
        <f t="shared" si="6"/>
        <v>Newport News</v>
      </c>
      <c r="Q2354" s="5" t="str">
        <f t="shared" si="7"/>
        <v>Virginia</v>
      </c>
      <c r="R2354" s="5" t="str">
        <f t="shared" si="8"/>
        <v>United States</v>
      </c>
    </row>
    <row r="2355">
      <c r="A2355" s="7" t="s">
        <v>555</v>
      </c>
      <c r="B2355" s="5" t="s">
        <v>552</v>
      </c>
      <c r="C2355" s="5" t="s">
        <v>553</v>
      </c>
      <c r="D2355" s="6" t="s">
        <v>13</v>
      </c>
      <c r="E2355" s="5" t="s">
        <v>492</v>
      </c>
      <c r="F2355" s="5" t="s">
        <v>554</v>
      </c>
      <c r="G2355" s="5" t="s">
        <v>75</v>
      </c>
      <c r="H2355" s="6" t="s">
        <v>76</v>
      </c>
      <c r="I2355" s="5" t="s">
        <v>18</v>
      </c>
      <c r="J2355" s="9" t="str">
        <f>IFERROR(__xludf.DUMMYFUNCTION("""COMPUTED_VALUE"""),"https://www.google.com/search?newwindow=1&amp;ei=2MT0XrvGGM-vytMP1OyDgAY&amp;q=site%3Alinkedin.com+Natalie+Boyles,+CPA+Campus+Recruiter+Dixon+Hughes+Goodman+LLP")</f>
        <v>https://www.google.com/search?newwindow=1&amp;ei=2MT0XrvGGM-vytMP1OyDgAY&amp;q=site%3Alinkedin.com+Natalie+Boyles,+CPA+Campus+Recruiter+Dixon+Hughes+Goodman+LLP</v>
      </c>
      <c r="K2355" s="5" t="str">
        <f t="shared" si="1"/>
        <v>Natalie Boyles, CPA</v>
      </c>
      <c r="L2355" s="5" t="str">
        <f t="shared" si="2"/>
        <v>Campus Recruiter</v>
      </c>
      <c r="M2355" s="5" t="str">
        <f t="shared" si="3"/>
        <v> </v>
      </c>
      <c r="N2355" s="5" t="str">
        <f t="shared" si="4"/>
        <v>Dixon Hughes Goodman LLP</v>
      </c>
      <c r="O2355" s="5" t="str">
        <f t="shared" si="5"/>
        <v>2 years 1 month in role and company</v>
      </c>
      <c r="P2355" s="5" t="str">
        <f t="shared" si="6"/>
        <v>Washington</v>
      </c>
      <c r="Q2355" s="5" t="str">
        <f t="shared" si="7"/>
        <v>District of Columbia</v>
      </c>
      <c r="R2355" s="5" t="str">
        <f t="shared" si="8"/>
        <v>United States</v>
      </c>
    </row>
    <row r="2356">
      <c r="A2356" s="7" t="s">
        <v>559</v>
      </c>
      <c r="B2356" s="5" t="s">
        <v>556</v>
      </c>
      <c r="C2356" s="5" t="s">
        <v>557</v>
      </c>
      <c r="D2356" s="6" t="s">
        <v>13</v>
      </c>
      <c r="E2356" s="5" t="s">
        <v>492</v>
      </c>
      <c r="G2356" s="5" t="s">
        <v>558</v>
      </c>
      <c r="H2356" s="5" t="s">
        <v>50</v>
      </c>
      <c r="I2356" s="5" t="s">
        <v>18</v>
      </c>
      <c r="J2356" s="9" t="str">
        <f>IFERROR(__xludf.DUMMYFUNCTION("""COMPUTED_VALUE"""),"https://www.google.com/search?newwindow=1&amp;ei=2MT0XrvGGM-vytMP1OyDgAY&amp;q=site%3Alinkedin.com+Kunda+Musambacine+Program+Manager,+University+Recruiter+DocuSign")</f>
        <v>https://www.google.com/search?newwindow=1&amp;ei=2MT0XrvGGM-vytMP1OyDgAY&amp;q=site%3Alinkedin.com+Kunda+Musambacine+Program+Manager,+University+Recruiter+DocuSign</v>
      </c>
      <c r="K2356" s="5" t="str">
        <f t="shared" si="1"/>
        <v>Kunda Musambacine</v>
      </c>
      <c r="L2356" s="5" t="str">
        <f t="shared" si="2"/>
        <v>Program Manager, University Recruiter</v>
      </c>
      <c r="M2356" s="5" t="str">
        <f t="shared" si="3"/>
        <v> </v>
      </c>
      <c r="N2356" s="5" t="str">
        <f t="shared" si="4"/>
        <v>DocuSign</v>
      </c>
      <c r="O2356" s="5" t="str">
        <f t="shared" si="5"/>
        <v>2 months in role and company</v>
      </c>
      <c r="P2356" s="5" t="str">
        <f t="shared" si="6"/>
        <v>Alameda</v>
      </c>
      <c r="Q2356" s="5" t="str">
        <f t="shared" si="7"/>
        <v>California</v>
      </c>
      <c r="R2356" s="5" t="str">
        <f t="shared" si="8"/>
        <v>United States</v>
      </c>
    </row>
    <row r="2357">
      <c r="A2357" s="8" t="s">
        <v>562</v>
      </c>
      <c r="B2357" s="5" t="s">
        <v>560</v>
      </c>
      <c r="C2357" s="5" t="s">
        <v>561</v>
      </c>
      <c r="D2357" s="6" t="s">
        <v>13</v>
      </c>
      <c r="E2357" s="5" t="s">
        <v>492</v>
      </c>
      <c r="F2357" s="5" t="s">
        <v>63</v>
      </c>
      <c r="G2357" s="5" t="s">
        <v>80</v>
      </c>
      <c r="H2357" s="5" t="s">
        <v>38</v>
      </c>
      <c r="I2357" s="5" t="s">
        <v>18</v>
      </c>
      <c r="J2357" s="9" t="str">
        <f>IFERROR(__xludf.DUMMYFUNCTION("""COMPUTED_VALUE"""),"https://www.google.com/search?newwindow=1&amp;ei=2MT0XrvGGM-vytMP1OyDgAY&amp;q=site%3Alinkedin.com+Monica+Kim+University+Recruiter+DocuSign")</f>
        <v>https://www.google.com/search?newwindow=1&amp;ei=2MT0XrvGGM-vytMP1OyDgAY&amp;q=site%3Alinkedin.com+Monica+Kim+University+Recruiter+DocuSign</v>
      </c>
      <c r="K2357" s="5" t="str">
        <f t="shared" si="1"/>
        <v>Monica Kim</v>
      </c>
      <c r="L2357" s="5" t="str">
        <f t="shared" si="2"/>
        <v>University Recruiter</v>
      </c>
      <c r="M2357" s="5" t="str">
        <f t="shared" si="3"/>
        <v> </v>
      </c>
      <c r="N2357" s="5" t="str">
        <f t="shared" si="4"/>
        <v>DocuSign</v>
      </c>
      <c r="O2357" s="5" t="str">
        <f t="shared" si="5"/>
        <v>1 year  in role</v>
      </c>
      <c r="P2357" s="5" t="str">
        <f t="shared" si="6"/>
        <v>San Francisco</v>
      </c>
      <c r="Q2357" s="5" t="str">
        <f t="shared" si="7"/>
        <v>California</v>
      </c>
      <c r="R2357" s="5" t="str">
        <f t="shared" si="8"/>
        <v>United States</v>
      </c>
    </row>
    <row r="2358">
      <c r="A2358" s="8" t="s">
        <v>567</v>
      </c>
      <c r="B2358" s="5" t="s">
        <v>563</v>
      </c>
      <c r="C2358" s="5" t="s">
        <v>564</v>
      </c>
      <c r="D2358" s="6" t="s">
        <v>13</v>
      </c>
      <c r="E2358" s="5" t="s">
        <v>492</v>
      </c>
      <c r="F2358" s="5" t="s">
        <v>565</v>
      </c>
      <c r="G2358" s="5" t="s">
        <v>566</v>
      </c>
      <c r="H2358" s="5" t="s">
        <v>38</v>
      </c>
      <c r="I2358" s="5" t="s">
        <v>18</v>
      </c>
      <c r="J2358" s="9" t="str">
        <f>IFERROR(__xludf.DUMMYFUNCTION("""COMPUTED_VALUE"""),"https://www.google.com/search?newwindow=1&amp;ei=2MT0XrvGGM-vytMP1OyDgAY&amp;q=site%3Alinkedin.com+Molly+Holmes+Jacobs+University+Recruiter+DocuSign")</f>
        <v>https://www.google.com/search?newwindow=1&amp;ei=2MT0XrvGGM-vytMP1OyDgAY&amp;q=site%3Alinkedin.com+Molly+Holmes+Jacobs+University+Recruiter+DocuSign</v>
      </c>
      <c r="K2358" s="5" t="str">
        <f t="shared" si="1"/>
        <v>Molly Holmes Jacobs</v>
      </c>
      <c r="L2358" s="5" t="str">
        <f t="shared" si="2"/>
        <v>University Recruiter</v>
      </c>
      <c r="M2358" s="5" t="str">
        <f t="shared" si="3"/>
        <v> </v>
      </c>
      <c r="N2358" s="5" t="str">
        <f t="shared" si="4"/>
        <v>DocuSign</v>
      </c>
      <c r="O2358" s="5" t="str">
        <f t="shared" si="5"/>
        <v>8 months in role</v>
      </c>
      <c r="P2358" s="5" t="str">
        <f t="shared" si="6"/>
        <v>Seattle</v>
      </c>
      <c r="Q2358" s="5" t="str">
        <f t="shared" si="7"/>
        <v>Washington</v>
      </c>
      <c r="R2358" s="5" t="str">
        <f t="shared" si="8"/>
        <v>United States</v>
      </c>
    </row>
    <row r="2359">
      <c r="A2359" s="8" t="s">
        <v>571</v>
      </c>
      <c r="B2359" s="5" t="s">
        <v>568</v>
      </c>
      <c r="C2359" s="5" t="s">
        <v>569</v>
      </c>
      <c r="D2359" s="6" t="s">
        <v>13</v>
      </c>
      <c r="E2359" s="5" t="s">
        <v>492</v>
      </c>
      <c r="F2359" s="5" t="s">
        <v>570</v>
      </c>
      <c r="G2359" s="5" t="s">
        <v>122</v>
      </c>
      <c r="H2359" s="5" t="s">
        <v>44</v>
      </c>
      <c r="I2359" s="5" t="s">
        <v>18</v>
      </c>
      <c r="J2359" s="9" t="str">
        <f>IFERROR(__xludf.DUMMYFUNCTION("""COMPUTED_VALUE"""),"https://www.google.com/search?newwindow=1&amp;ei=2MT0XrvGGM-vytMP1OyDgAY&amp;q=site%3Alinkedin.com+Courtney+Neff+Technical+Recruiter,+University+Recruiting+DoorDash")</f>
        <v>https://www.google.com/search?newwindow=1&amp;ei=2MT0XrvGGM-vytMP1OyDgAY&amp;q=site%3Alinkedin.com+Courtney+Neff+Technical+Recruiter,+University+Recruiting+DoorDash</v>
      </c>
      <c r="K2359" s="5" t="str">
        <f t="shared" si="1"/>
        <v>Courtney Neff</v>
      </c>
      <c r="L2359" s="5" t="str">
        <f t="shared" si="2"/>
        <v>Technical Recruiter, University Recruiting</v>
      </c>
      <c r="M2359" s="5" t="str">
        <f t="shared" si="3"/>
        <v> </v>
      </c>
      <c r="N2359" s="5" t="str">
        <f t="shared" si="4"/>
        <v>DoorDash</v>
      </c>
      <c r="O2359" s="5" t="str">
        <f t="shared" si="5"/>
        <v>2 months in role and company</v>
      </c>
      <c r="P2359" s="5" t="str">
        <f t="shared" si="6"/>
        <v>San Francisco</v>
      </c>
      <c r="Q2359" s="5" t="str">
        <f t="shared" si="7"/>
        <v>California</v>
      </c>
      <c r="R2359" s="5" t="str">
        <f t="shared" si="8"/>
        <v>United States</v>
      </c>
    </row>
    <row r="2360">
      <c r="A2360" s="8" t="s">
        <v>576</v>
      </c>
      <c r="B2360" s="5" t="s">
        <v>572</v>
      </c>
      <c r="C2360" s="5" t="s">
        <v>573</v>
      </c>
      <c r="D2360" s="6" t="s">
        <v>13</v>
      </c>
      <c r="E2360" s="5" t="s">
        <v>492</v>
      </c>
      <c r="F2360" s="5" t="s">
        <v>574</v>
      </c>
      <c r="G2360" s="5" t="s">
        <v>575</v>
      </c>
      <c r="H2360" s="5" t="s">
        <v>137</v>
      </c>
      <c r="I2360" s="5" t="s">
        <v>18</v>
      </c>
      <c r="J2360" s="9" t="str">
        <f>IFERROR(__xludf.DUMMYFUNCTION("""COMPUTED_VALUE"""),"https://www.google.com/search?newwindow=1&amp;ei=2MT0XrvGGM-vytMP1OyDgAY&amp;q=site%3Alinkedin.com+Alexis+Pickett+University+Recruiter+Dropbox")</f>
        <v>https://www.google.com/search?newwindow=1&amp;ei=2MT0XrvGGM-vytMP1OyDgAY&amp;q=site%3Alinkedin.com+Alexis+Pickett+University+Recruiter+Dropbox</v>
      </c>
      <c r="K2360" s="5" t="str">
        <f t="shared" si="1"/>
        <v>Alexis Pickett</v>
      </c>
      <c r="L2360" s="5" t="str">
        <f t="shared" si="2"/>
        <v>University Recruiter</v>
      </c>
      <c r="M2360" s="5" t="str">
        <f t="shared" si="3"/>
        <v> </v>
      </c>
      <c r="N2360" s="5" t="str">
        <f t="shared" si="4"/>
        <v>Dropbox</v>
      </c>
      <c r="O2360" s="5" t="str">
        <f t="shared" si="5"/>
        <v>9 months in role</v>
      </c>
      <c r="P2360" s="5" t="str">
        <f t="shared" si="6"/>
        <v>Austin</v>
      </c>
      <c r="Q2360" s="5" t="str">
        <f t="shared" si="7"/>
        <v>Texas</v>
      </c>
      <c r="R2360" s="5" t="str">
        <f t="shared" si="8"/>
        <v>United States</v>
      </c>
    </row>
    <row r="2361">
      <c r="A2361" s="8" t="s">
        <v>580</v>
      </c>
      <c r="B2361" s="5" t="s">
        <v>577</v>
      </c>
      <c r="C2361" s="5" t="s">
        <v>578</v>
      </c>
      <c r="D2361" s="6" t="s">
        <v>13</v>
      </c>
      <c r="E2361" s="5" t="s">
        <v>492</v>
      </c>
      <c r="F2361" s="5" t="s">
        <v>579</v>
      </c>
      <c r="G2361" s="5" t="s">
        <v>137</v>
      </c>
      <c r="H2361" s="5" t="s">
        <v>137</v>
      </c>
      <c r="I2361" s="5" t="s">
        <v>18</v>
      </c>
      <c r="J2361" s="9" t="str">
        <f>IFERROR(__xludf.DUMMYFUNCTION("""COMPUTED_VALUE"""),"https://www.google.com/search?newwindow=1&amp;ei=2MT0XrvGGM-vytMP1OyDgAY&amp;q=site%3Alinkedin.com+Daniel+Simpson+Senior+University+Recruiter+Dropbox")</f>
        <v>https://www.google.com/search?newwindow=1&amp;ei=2MT0XrvGGM-vytMP1OyDgAY&amp;q=site%3Alinkedin.com+Daniel+Simpson+Senior+University+Recruiter+Dropbox</v>
      </c>
      <c r="K2361" s="5" t="str">
        <f t="shared" si="1"/>
        <v>Daniel Simpson</v>
      </c>
      <c r="L2361" s="5" t="str">
        <f t="shared" si="2"/>
        <v>Senior University Recruiter</v>
      </c>
      <c r="M2361" s="5" t="str">
        <f t="shared" si="3"/>
        <v> </v>
      </c>
      <c r="N2361" s="5" t="str">
        <f t="shared" si="4"/>
        <v>Dropbox</v>
      </c>
      <c r="O2361" s="5" t="str">
        <f t="shared" si="5"/>
        <v>1 year 7 months in role and company</v>
      </c>
      <c r="P2361" s="5" t="str">
        <f t="shared" si="6"/>
        <v>San Francisco</v>
      </c>
      <c r="Q2361" s="5" t="str">
        <f t="shared" si="7"/>
        <v>California</v>
      </c>
      <c r="R2361" s="5" t="str">
        <f t="shared" si="8"/>
        <v>United States</v>
      </c>
    </row>
    <row r="2362">
      <c r="A2362" s="7" t="s">
        <v>583</v>
      </c>
      <c r="B2362" s="5" t="s">
        <v>581</v>
      </c>
      <c r="C2362" s="5" t="s">
        <v>582</v>
      </c>
      <c r="D2362" s="6" t="s">
        <v>13</v>
      </c>
      <c r="E2362" s="5" t="s">
        <v>492</v>
      </c>
      <c r="F2362" s="5" t="s">
        <v>165</v>
      </c>
      <c r="G2362" s="5" t="s">
        <v>137</v>
      </c>
      <c r="H2362" s="5" t="s">
        <v>137</v>
      </c>
      <c r="I2362" s="5" t="s">
        <v>18</v>
      </c>
      <c r="J2362" s="9" t="str">
        <f>IFERROR(__xludf.DUMMYFUNCTION("""COMPUTED_VALUE"""),"https://www.google.com/search?newwindow=1&amp;ei=2MT0XrvGGM-vytMP1OyDgAY&amp;q=site%3Alinkedin.com+Ke+Yang+Campus+Recruiter+DuPont")</f>
        <v>https://www.google.com/search?newwindow=1&amp;ei=2MT0XrvGGM-vytMP1OyDgAY&amp;q=site%3Alinkedin.com+Ke+Yang+Campus+Recruiter+DuPont</v>
      </c>
      <c r="K2362" s="5" t="str">
        <f t="shared" si="1"/>
        <v>Ke Yang</v>
      </c>
      <c r="L2362" s="5" t="str">
        <f t="shared" si="2"/>
        <v>Campus Recruiter</v>
      </c>
      <c r="M2362" s="5" t="str">
        <f t="shared" si="3"/>
        <v> </v>
      </c>
      <c r="N2362" s="5" t="str">
        <f t="shared" si="4"/>
        <v>DuPont</v>
      </c>
      <c r="O2362" s="5" t="str">
        <f t="shared" si="5"/>
        <v>2 years 8 months in role and company</v>
      </c>
      <c r="P2362" s="5" t="str">
        <f t="shared" si="6"/>
        <v>Boston</v>
      </c>
      <c r="Q2362" s="5" t="str">
        <f t="shared" si="7"/>
        <v>Massachusetts</v>
      </c>
      <c r="R2362" s="5" t="str">
        <f t="shared" si="8"/>
        <v>United States</v>
      </c>
    </row>
    <row r="2363">
      <c r="A2363" s="8" t="s">
        <v>586</v>
      </c>
      <c r="B2363" s="5" t="s">
        <v>584</v>
      </c>
      <c r="C2363" s="5" t="s">
        <v>511</v>
      </c>
      <c r="D2363" s="6" t="s">
        <v>13</v>
      </c>
      <c r="E2363" s="5" t="s">
        <v>492</v>
      </c>
      <c r="F2363" s="5" t="s">
        <v>585</v>
      </c>
      <c r="G2363" s="5" t="s">
        <v>137</v>
      </c>
      <c r="H2363" s="5" t="s">
        <v>137</v>
      </c>
      <c r="I2363" s="5" t="s">
        <v>18</v>
      </c>
      <c r="J2363" s="9" t="str">
        <f>IFERROR(__xludf.DUMMYFUNCTION("""COMPUTED_VALUE"""),"https://www.google.com/search?newwindow=1&amp;ei=2MT0XrvGGM-vytMP1OyDgAY&amp;q=site%3Alinkedin.com+Elliott+Jones-Poulson,+M.S.+(he/his/him)+University+Relations+Recruiter+DuPont")</f>
        <v>https://www.google.com/search?newwindow=1&amp;ei=2MT0XrvGGM-vytMP1OyDgAY&amp;q=site%3Alinkedin.com+Elliott+Jones-Poulson,+M.S.+(he/his/him)+University+Relations+Recruiter+DuPont</v>
      </c>
      <c r="K2363" s="5" t="str">
        <f t="shared" si="1"/>
        <v>Elliott Jones-Poulson, M.S. (he/his/him)</v>
      </c>
      <c r="L2363" s="5" t="str">
        <f t="shared" si="2"/>
        <v>University Relations Recruiter</v>
      </c>
      <c r="M2363" s="5" t="str">
        <f t="shared" si="3"/>
        <v> </v>
      </c>
      <c r="N2363" s="5" t="str">
        <f t="shared" si="4"/>
        <v>DuPont</v>
      </c>
      <c r="O2363" s="5" t="str">
        <f t="shared" si="5"/>
        <v>2 years 4 months in role and company</v>
      </c>
      <c r="P2363" s="5" t="str">
        <f t="shared" si="6"/>
        <v>Philadelphia</v>
      </c>
      <c r="Q2363" s="5" t="str">
        <f t="shared" si="7"/>
        <v>Pennsylvania</v>
      </c>
      <c r="R2363" s="5" t="str">
        <f t="shared" si="8"/>
        <v>United States</v>
      </c>
    </row>
    <row r="2364">
      <c r="A2364" s="8" t="s">
        <v>580</v>
      </c>
      <c r="B2364" s="5" t="s">
        <v>577</v>
      </c>
      <c r="C2364" s="5" t="s">
        <v>578</v>
      </c>
      <c r="D2364" s="6" t="s">
        <v>13</v>
      </c>
      <c r="E2364" s="5" t="s">
        <v>492</v>
      </c>
      <c r="F2364" s="5" t="s">
        <v>579</v>
      </c>
      <c r="G2364" s="5" t="s">
        <v>137</v>
      </c>
      <c r="H2364" s="5" t="s">
        <v>137</v>
      </c>
      <c r="I2364" s="5" t="s">
        <v>18</v>
      </c>
      <c r="J2364" s="9" t="str">
        <f>IFERROR(__xludf.DUMMYFUNCTION("""COMPUTED_VALUE"""),"https://www.google.com/search?newwindow=1&amp;ei=2MT0XrvGGM-vytMP1OyDgAY&amp;q=site%3Alinkedin.com+Chalsea+Clark+University+Relations+Recruiter+DuPont")</f>
        <v>https://www.google.com/search?newwindow=1&amp;ei=2MT0XrvGGM-vytMP1OyDgAY&amp;q=site%3Alinkedin.com+Chalsea+Clark+University+Relations+Recruiter+DuPont</v>
      </c>
      <c r="K2364" s="5" t="str">
        <f t="shared" si="1"/>
        <v>Chalsea Clark</v>
      </c>
      <c r="L2364" s="5" t="str">
        <f t="shared" si="2"/>
        <v>University Relations Recruiter</v>
      </c>
      <c r="M2364" s="5" t="str">
        <f t="shared" si="3"/>
        <v> </v>
      </c>
      <c r="N2364" s="5" t="str">
        <f t="shared" si="4"/>
        <v>DuPont</v>
      </c>
      <c r="O2364" s="5" t="str">
        <f t="shared" si="5"/>
        <v>2 years 7 months in role and company</v>
      </c>
      <c r="P2364" s="5" t="str">
        <f t="shared" si="6"/>
        <v>Wilmington</v>
      </c>
      <c r="Q2364" s="5" t="str">
        <f t="shared" si="7"/>
        <v>Delaware</v>
      </c>
      <c r="R2364" s="5" t="str">
        <f t="shared" si="8"/>
        <v>United States</v>
      </c>
    </row>
    <row r="2365">
      <c r="A2365" s="8" t="s">
        <v>588</v>
      </c>
      <c r="B2365" s="5" t="s">
        <v>587</v>
      </c>
      <c r="C2365" s="5" t="s">
        <v>511</v>
      </c>
      <c r="D2365" s="6" t="s">
        <v>13</v>
      </c>
      <c r="E2365" s="5" t="s">
        <v>492</v>
      </c>
      <c r="F2365" s="5" t="s">
        <v>121</v>
      </c>
      <c r="G2365" s="5" t="s">
        <v>137</v>
      </c>
      <c r="H2365" s="5" t="s">
        <v>137</v>
      </c>
      <c r="I2365" s="5" t="s">
        <v>18</v>
      </c>
      <c r="J2365" s="9" t="str">
        <f>IFERROR(__xludf.DUMMYFUNCTION("""COMPUTED_VALUE"""),"https://www.google.com/search?newwindow=1&amp;ei=2MT0XrvGGM-vytMP1OyDgAY&amp;q=site%3Alinkedin.com+DuPont+Campus+Team+Campus+Recruiter+DuPont")</f>
        <v>https://www.google.com/search?newwindow=1&amp;ei=2MT0XrvGGM-vytMP1OyDgAY&amp;q=site%3Alinkedin.com+DuPont+Campus+Team+Campus+Recruiter+DuPont</v>
      </c>
      <c r="K2365" s="5" t="str">
        <f t="shared" si="1"/>
        <v>DuPont Campus Team</v>
      </c>
      <c r="L2365" s="5" t="str">
        <f t="shared" si="2"/>
        <v>Campus Recruiter</v>
      </c>
      <c r="M2365" s="5" t="str">
        <f t="shared" si="3"/>
        <v> </v>
      </c>
      <c r="N2365" s="5" t="str">
        <f t="shared" si="4"/>
        <v>DuPont</v>
      </c>
      <c r="O2365" s="5" t="str">
        <f t="shared" si="5"/>
        <v/>
      </c>
      <c r="P2365" s="5" t="str">
        <f t="shared" si="6"/>
        <v>Wilmington</v>
      </c>
      <c r="Q2365" s="5" t="str">
        <f t="shared" si="7"/>
        <v>Delaware</v>
      </c>
      <c r="R2365" s="5" t="str">
        <f t="shared" si="8"/>
        <v>United States</v>
      </c>
    </row>
    <row r="2366">
      <c r="A2366" s="7" t="s">
        <v>590</v>
      </c>
      <c r="B2366" s="5" t="s">
        <v>589</v>
      </c>
      <c r="C2366" s="5" t="s">
        <v>25</v>
      </c>
      <c r="D2366" s="6" t="s">
        <v>13</v>
      </c>
      <c r="E2366" s="5" t="s">
        <v>492</v>
      </c>
      <c r="F2366" s="5" t="s">
        <v>233</v>
      </c>
      <c r="G2366" s="5" t="s">
        <v>137</v>
      </c>
      <c r="H2366" s="5" t="s">
        <v>137</v>
      </c>
      <c r="I2366" s="5" t="s">
        <v>18</v>
      </c>
      <c r="J2366" s="9" t="str">
        <f>IFERROR(__xludf.DUMMYFUNCTION("""COMPUTED_VALUE"""),"https://www.google.com/search?newwindow=1&amp;ei=2MT0XrvGGM-vytMP1OyDgAY&amp;q=site%3Alinkedin.com+Vanessa+McQueen+University+Recruiter+&amp;+Programs+eBay")</f>
        <v>https://www.google.com/search?newwindow=1&amp;ei=2MT0XrvGGM-vytMP1OyDgAY&amp;q=site%3Alinkedin.com+Vanessa+McQueen+University+Recruiter+&amp;+Programs+eBay</v>
      </c>
      <c r="K2366" s="5" t="str">
        <f t="shared" si="1"/>
        <v>Vanessa McQueen</v>
      </c>
      <c r="L2366" s="5" t="str">
        <f t="shared" si="2"/>
        <v>University Recruiter &amp; Programs</v>
      </c>
      <c r="M2366" s="5" t="str">
        <f t="shared" si="3"/>
        <v> </v>
      </c>
      <c r="N2366" s="5" t="str">
        <f t="shared" si="4"/>
        <v>eBay</v>
      </c>
      <c r="O2366" s="5" t="str">
        <f t="shared" si="5"/>
        <v>6 months in role and company</v>
      </c>
      <c r="P2366" s="5" t="str">
        <f t="shared" si="6"/>
        <v>San Francisco</v>
      </c>
      <c r="Q2366" s="5" t="str">
        <f t="shared" si="7"/>
        <v>California</v>
      </c>
      <c r="R2366" s="5" t="str">
        <f t="shared" si="8"/>
        <v>United States</v>
      </c>
    </row>
    <row r="2367">
      <c r="A2367" s="8" t="s">
        <v>593</v>
      </c>
      <c r="B2367" s="5" t="s">
        <v>591</v>
      </c>
      <c r="C2367" s="5" t="s">
        <v>592</v>
      </c>
      <c r="D2367" s="6" t="s">
        <v>13</v>
      </c>
      <c r="E2367" s="5" t="s">
        <v>492</v>
      </c>
      <c r="F2367" s="5" t="s">
        <v>268</v>
      </c>
      <c r="G2367" s="5" t="s">
        <v>137</v>
      </c>
      <c r="H2367" s="5" t="s">
        <v>137</v>
      </c>
      <c r="I2367" s="5" t="s">
        <v>18</v>
      </c>
      <c r="J2367" s="9" t="str">
        <f>IFERROR(__xludf.DUMMYFUNCTION("""COMPUTED_VALUE"""),"https://www.google.com/search?newwindow=1&amp;ei=2MT0XrvGGM-vytMP1OyDgAY&amp;q=site%3Alinkedin.com+Christy+A.+University+Recruiter+eBay")</f>
        <v>https://www.google.com/search?newwindow=1&amp;ei=2MT0XrvGGM-vytMP1OyDgAY&amp;q=site%3Alinkedin.com+Christy+A.+University+Recruiter+eBay</v>
      </c>
      <c r="K2367" s="5" t="str">
        <f t="shared" si="1"/>
        <v>Christy A.</v>
      </c>
      <c r="L2367" s="5" t="str">
        <f t="shared" si="2"/>
        <v>University Recruiter</v>
      </c>
      <c r="M2367" s="5" t="str">
        <f t="shared" si="3"/>
        <v> </v>
      </c>
      <c r="N2367" s="5" t="str">
        <f t="shared" si="4"/>
        <v>eBay</v>
      </c>
      <c r="O2367" s="5" t="str">
        <f t="shared" si="5"/>
        <v>8 months in role and company</v>
      </c>
      <c r="P2367" s="5" t="str">
        <f t="shared" si="6"/>
        <v>Seattle</v>
      </c>
      <c r="Q2367" s="5" t="str">
        <f t="shared" si="7"/>
        <v>Washington</v>
      </c>
      <c r="R2367" s="5" t="str">
        <f t="shared" si="8"/>
        <v>United States</v>
      </c>
    </row>
    <row r="2368">
      <c r="A2368" s="8" t="s">
        <v>596</v>
      </c>
      <c r="B2368" s="5" t="s">
        <v>594</v>
      </c>
      <c r="C2368" s="5" t="s">
        <v>595</v>
      </c>
      <c r="D2368" s="6" t="s">
        <v>13</v>
      </c>
      <c r="E2368" s="5" t="s">
        <v>492</v>
      </c>
      <c r="F2368" s="5" t="s">
        <v>136</v>
      </c>
      <c r="G2368" s="5" t="s">
        <v>137</v>
      </c>
      <c r="H2368" s="5" t="s">
        <v>137</v>
      </c>
      <c r="I2368" s="5" t="s">
        <v>18</v>
      </c>
      <c r="J2368" s="9" t="str">
        <f>IFERROR(__xludf.DUMMYFUNCTION("""COMPUTED_VALUE"""),"https://www.google.com/search?newwindow=1&amp;ei=2MT0XrvGGM-vytMP1OyDgAY&amp;q=site%3Alinkedin.com+Karen+Stinnett+Recruiter+-+University+Relations+&amp;+Next-Gen+Talent+Electronic+Arts")</f>
        <v>https://www.google.com/search?newwindow=1&amp;ei=2MT0XrvGGM-vytMP1OyDgAY&amp;q=site%3Alinkedin.com+Karen+Stinnett+Recruiter+-+University+Relations+&amp;+Next-Gen+Talent+Electronic+Arts</v>
      </c>
      <c r="K2368" s="5" t="str">
        <f t="shared" si="1"/>
        <v>Karen Stinnett</v>
      </c>
      <c r="L2368" s="5" t="str">
        <f t="shared" si="2"/>
        <v>Recruiter - University Relations &amp; Next-Gen Talent</v>
      </c>
      <c r="M2368" s="5" t="str">
        <f t="shared" si="3"/>
        <v> </v>
      </c>
      <c r="N2368" s="5" t="str">
        <f t="shared" si="4"/>
        <v>Electronic Arts</v>
      </c>
      <c r="O2368" s="5" t="str">
        <f t="shared" si="5"/>
        <v>7 months in role and company</v>
      </c>
      <c r="P2368" s="5" t="str">
        <f t="shared" si="6"/>
        <v>Austin</v>
      </c>
      <c r="Q2368" s="5" t="str">
        <f t="shared" si="7"/>
        <v>Texas</v>
      </c>
      <c r="R2368" s="5" t="str">
        <f t="shared" si="8"/>
        <v>United States</v>
      </c>
    </row>
    <row r="2369">
      <c r="A2369" s="7" t="s">
        <v>598</v>
      </c>
      <c r="B2369" s="5" t="s">
        <v>597</v>
      </c>
      <c r="C2369" s="5" t="s">
        <v>25</v>
      </c>
      <c r="D2369" s="6" t="s">
        <v>13</v>
      </c>
      <c r="E2369" s="5" t="s">
        <v>492</v>
      </c>
      <c r="F2369" s="5" t="s">
        <v>100</v>
      </c>
      <c r="G2369" s="5" t="s">
        <v>137</v>
      </c>
      <c r="H2369" s="5" t="s">
        <v>137</v>
      </c>
      <c r="I2369" s="5" t="s">
        <v>18</v>
      </c>
      <c r="J2369" s="9" t="str">
        <f>IFERROR(__xludf.DUMMYFUNCTION("""COMPUTED_VALUE"""),"https://www.google.com/search?newwindow=1&amp;ei=2MT0XrvGGM-vytMP1OyDgAY&amp;q=site%3Alinkedin.com+Melissa+Wafful+Recruiter+-+University+Relations+&amp;+Next-Gen+Talent+Electronic+Arts+(EA)")</f>
        <v>https://www.google.com/search?newwindow=1&amp;ei=2MT0XrvGGM-vytMP1OyDgAY&amp;q=site%3Alinkedin.com+Melissa+Wafful+Recruiter+-+University+Relations+&amp;+Next-Gen+Talent+Electronic+Arts+(EA)</v>
      </c>
      <c r="K2369" s="5" t="str">
        <f t="shared" si="1"/>
        <v>Melissa Wafful</v>
      </c>
      <c r="L2369" s="5" t="str">
        <f t="shared" si="2"/>
        <v>Recruiter - University Relations &amp; Next-Gen Talent</v>
      </c>
      <c r="M2369" s="5" t="str">
        <f t="shared" si="3"/>
        <v> </v>
      </c>
      <c r="N2369" s="5" t="str">
        <f t="shared" si="4"/>
        <v>Electronic Arts</v>
      </c>
      <c r="O2369" s="5" t="str">
        <f t="shared" si="5"/>
        <v>1 year 10 months in role and company</v>
      </c>
      <c r="P2369" s="5" t="str">
        <f t="shared" si="6"/>
        <v>Austin</v>
      </c>
      <c r="Q2369" s="5" t="str">
        <f t="shared" si="7"/>
        <v>Texas</v>
      </c>
      <c r="R2369" s="5" t="str">
        <f t="shared" si="8"/>
        <v>United States</v>
      </c>
    </row>
    <row r="2370">
      <c r="A2370" s="8" t="s">
        <v>602</v>
      </c>
      <c r="B2370" s="5" t="s">
        <v>599</v>
      </c>
      <c r="C2370" s="5" t="s">
        <v>600</v>
      </c>
      <c r="D2370" s="6" t="s">
        <v>4</v>
      </c>
      <c r="E2370" s="5" t="s">
        <v>492</v>
      </c>
      <c r="F2370" s="5" t="s">
        <v>228</v>
      </c>
      <c r="G2370" s="5" t="s">
        <v>601</v>
      </c>
      <c r="H2370" s="5" t="s">
        <v>137</v>
      </c>
      <c r="I2370" s="5" t="s">
        <v>18</v>
      </c>
      <c r="J2370" s="9" t="str">
        <f>IFERROR(__xludf.DUMMYFUNCTION("""COMPUTED_VALUE"""),"https://www.google.com/search?newwindow=1&amp;ei=2MT0XrvGGM-vytMP1OyDgAY&amp;q=site%3Alinkedin.com+Stephanie+Ha+Sr.+Recruiter+|+University+Relations+&amp;+Next+Gen+Talent+Electronic+Arts+(EA)")</f>
        <v>https://www.google.com/search?newwindow=1&amp;ei=2MT0XrvGGM-vytMP1OyDgAY&amp;q=site%3Alinkedin.com+Stephanie+Ha+Sr.+Recruiter+|+University+Relations+&amp;+Next+Gen+Talent+Electronic+Arts+(EA)</v>
      </c>
      <c r="K2370" s="5" t="str">
        <f t="shared" si="1"/>
        <v>Stephanie Ha</v>
      </c>
      <c r="L2370" s="5" t="str">
        <f t="shared" si="2"/>
        <v>Sr. Recruiter | University Relations &amp; Next Gen Talent</v>
      </c>
      <c r="M2370" s="5" t="str">
        <f t="shared" si="3"/>
        <v> </v>
      </c>
      <c r="N2370" s="5" t="str">
        <f t="shared" si="4"/>
        <v>Electronic Arts</v>
      </c>
      <c r="O2370" s="5" t="str">
        <f t="shared" si="5"/>
        <v>6 months in role and company</v>
      </c>
      <c r="P2370" s="5" t="str">
        <f t="shared" si="6"/>
        <v>Seattle</v>
      </c>
      <c r="Q2370" s="5" t="str">
        <f t="shared" si="7"/>
        <v>Washington</v>
      </c>
      <c r="R2370" s="5" t="str">
        <f t="shared" si="8"/>
        <v>United States</v>
      </c>
    </row>
    <row r="2371">
      <c r="A2371" s="7" t="s">
        <v>605</v>
      </c>
      <c r="B2371" s="5" t="s">
        <v>603</v>
      </c>
      <c r="C2371" s="5" t="s">
        <v>604</v>
      </c>
      <c r="D2371" s="6" t="s">
        <v>13</v>
      </c>
      <c r="E2371" s="5" t="s">
        <v>492</v>
      </c>
      <c r="F2371" s="5" t="s">
        <v>213</v>
      </c>
      <c r="G2371" s="5" t="s">
        <v>102</v>
      </c>
      <c r="H2371" s="5" t="s">
        <v>172</v>
      </c>
      <c r="I2371" s="5" t="s">
        <v>18</v>
      </c>
      <c r="J2371" s="9" t="str">
        <f>IFERROR(__xludf.DUMMYFUNCTION("""COMPUTED_VALUE"""),"https://www.google.com/search?newwindow=1&amp;ei=2MT0XrvGGM-vytMP1OyDgAY&amp;q=site%3Alinkedin.com+Keith+B.+Stanford+Associate+Consultant/,+Campus+Recruiter/Global+Staffing+&amp;+Recruiting+Eli+Lilly")</f>
        <v>https://www.google.com/search?newwindow=1&amp;ei=2MT0XrvGGM-vytMP1OyDgAY&amp;q=site%3Alinkedin.com+Keith+B.+Stanford+Associate+Consultant/,+Campus+Recruiter/Global+Staffing+&amp;+Recruiting+Eli+Lilly</v>
      </c>
      <c r="K2371" s="5" t="str">
        <f t="shared" si="1"/>
        <v>Keith B. Stanford</v>
      </c>
      <c r="L2371" s="5" t="str">
        <f t="shared" si="2"/>
        <v>Associate Consultant/, Campus Recruiter/Global Staffing &amp; Recruiting</v>
      </c>
      <c r="M2371" s="5" t="str">
        <f t="shared" si="3"/>
        <v> </v>
      </c>
      <c r="N2371" s="5" t="str">
        <f t="shared" si="4"/>
        <v>Eli Lilly and Company</v>
      </c>
      <c r="O2371" s="5" t="str">
        <f t="shared" si="5"/>
        <v>6 years 4 months in role and company</v>
      </c>
      <c r="P2371" s="5" t="str">
        <f t="shared" si="6"/>
        <v>Indianapolis</v>
      </c>
      <c r="Q2371" s="5" t="str">
        <f t="shared" si="7"/>
        <v>Indiana</v>
      </c>
      <c r="R2371" s="5" t="str">
        <f t="shared" si="8"/>
        <v>United States</v>
      </c>
    </row>
    <row r="2372">
      <c r="A2372" s="7" t="s">
        <v>605</v>
      </c>
      <c r="B2372" s="5" t="s">
        <v>603</v>
      </c>
      <c r="C2372" s="5" t="s">
        <v>604</v>
      </c>
      <c r="D2372" s="6" t="s">
        <v>13</v>
      </c>
      <c r="E2372" s="5" t="s">
        <v>492</v>
      </c>
      <c r="F2372" s="5" t="s">
        <v>213</v>
      </c>
      <c r="G2372" s="5" t="s">
        <v>102</v>
      </c>
      <c r="H2372" s="5" t="s">
        <v>172</v>
      </c>
      <c r="I2372" s="5" t="s">
        <v>18</v>
      </c>
      <c r="J2372" s="9" t="str">
        <f>IFERROR(__xludf.DUMMYFUNCTION("""COMPUTED_VALUE"""),"https://www.google.com/search?newwindow=1&amp;ei=2MT0XrvGGM-vytMP1OyDgAY&amp;q=site%3Alinkedin.com+Mark+Short+Associate+Consultant,+Sales+Recruiting+-+Campus+Eli+Lilly+and+Company")</f>
        <v>https://www.google.com/search?newwindow=1&amp;ei=2MT0XrvGGM-vytMP1OyDgAY&amp;q=site%3Alinkedin.com+Mark+Short+Associate+Consultant,+Sales+Recruiting+-+Campus+Eli+Lilly+and+Company</v>
      </c>
      <c r="K2372" s="5" t="str">
        <f t="shared" si="1"/>
        <v>Mark Short</v>
      </c>
      <c r="L2372" s="5" t="str">
        <f t="shared" si="2"/>
        <v>Associate Consultant, Sales Recruiting - Campus</v>
      </c>
      <c r="M2372" s="5" t="str">
        <f t="shared" si="3"/>
        <v> </v>
      </c>
      <c r="N2372" s="5" t="str">
        <f t="shared" si="4"/>
        <v>Eli Lilly and Company</v>
      </c>
      <c r="O2372" s="5" t="str">
        <f t="shared" si="5"/>
        <v>4 years 6 months in role</v>
      </c>
      <c r="P2372" s="5" t="str">
        <f t="shared" si="6"/>
        <v>Carmel</v>
      </c>
      <c r="Q2372" s="5" t="str">
        <f t="shared" si="7"/>
        <v>Indiana</v>
      </c>
      <c r="R2372" s="5" t="str">
        <f t="shared" si="8"/>
        <v>United States</v>
      </c>
    </row>
    <row r="2373">
      <c r="A2373" s="7" t="s">
        <v>610</v>
      </c>
      <c r="B2373" s="5" t="s">
        <v>606</v>
      </c>
      <c r="C2373" s="5" t="s">
        <v>25</v>
      </c>
      <c r="D2373" s="6" t="s">
        <v>13</v>
      </c>
      <c r="E2373" s="5" t="s">
        <v>492</v>
      </c>
      <c r="F2373" s="5" t="s">
        <v>607</v>
      </c>
      <c r="G2373" s="5" t="s">
        <v>608</v>
      </c>
      <c r="H2373" s="5" t="s">
        <v>609</v>
      </c>
      <c r="I2373" s="5" t="s">
        <v>18</v>
      </c>
      <c r="J2373" s="9" t="str">
        <f>IFERROR(__xludf.DUMMYFUNCTION("""COMPUTED_VALUE"""),"https://www.google.com/search?newwindow=1&amp;ei=2MT0XrvGGM-vytMP1OyDgAY&amp;q=site%3Alinkedin.com+Alexis+Cohen+Campus+Recruiter+Eli+Lilly+and+Company")</f>
        <v>https://www.google.com/search?newwindow=1&amp;ei=2MT0XrvGGM-vytMP1OyDgAY&amp;q=site%3Alinkedin.com+Alexis+Cohen+Campus+Recruiter+Eli+Lilly+and+Company</v>
      </c>
      <c r="K2373" s="5" t="str">
        <f t="shared" si="1"/>
        <v>Alexis Cohen</v>
      </c>
      <c r="L2373" s="5" t="str">
        <f t="shared" si="2"/>
        <v>Campus Recruiter</v>
      </c>
      <c r="M2373" s="5" t="str">
        <f t="shared" si="3"/>
        <v> </v>
      </c>
      <c r="N2373" s="5" t="str">
        <f t="shared" si="4"/>
        <v>Eli Lilly and Company</v>
      </c>
      <c r="O2373" s="5" t="str">
        <f t="shared" si="5"/>
        <v>1 year 4 months in role</v>
      </c>
      <c r="P2373" s="5" t="str">
        <f t="shared" si="6"/>
        <v>Indianapolis</v>
      </c>
      <c r="Q2373" s="5" t="str">
        <f t="shared" si="7"/>
        <v>Indiana</v>
      </c>
      <c r="R2373" s="5" t="str">
        <f t="shared" si="8"/>
        <v>United States</v>
      </c>
    </row>
    <row r="2374">
      <c r="A2374" s="7" t="s">
        <v>613</v>
      </c>
      <c r="B2374" s="5" t="s">
        <v>611</v>
      </c>
      <c r="C2374" s="5" t="s">
        <v>25</v>
      </c>
      <c r="D2374" s="6" t="s">
        <v>13</v>
      </c>
      <c r="E2374" s="5" t="s">
        <v>492</v>
      </c>
      <c r="F2374" s="5" t="s">
        <v>612</v>
      </c>
      <c r="G2374" s="5" t="s">
        <v>608</v>
      </c>
      <c r="H2374" s="5" t="s">
        <v>50</v>
      </c>
      <c r="I2374" s="5" t="s">
        <v>18</v>
      </c>
      <c r="J2374" s="9" t="str">
        <f>IFERROR(__xludf.DUMMYFUNCTION("""COMPUTED_VALUE"""),"https://www.google.com/search?newwindow=1&amp;ei=2MT0XrvGGM-vytMP1OyDgAY&amp;q=site%3Alinkedin.com+Shawn+Liller+HR+Campus+Recruiter+Eli+Lilly+and+Company")</f>
        <v>https://www.google.com/search?newwindow=1&amp;ei=2MT0XrvGGM-vytMP1OyDgAY&amp;q=site%3Alinkedin.com+Shawn+Liller+HR+Campus+Recruiter+Eli+Lilly+and+Company</v>
      </c>
      <c r="K2374" s="5" t="str">
        <f t="shared" si="1"/>
        <v>Shawn Liller</v>
      </c>
      <c r="L2374" s="5" t="str">
        <f t="shared" si="2"/>
        <v>HR Campus Recruiter</v>
      </c>
      <c r="M2374" s="5" t="str">
        <f t="shared" si="3"/>
        <v> </v>
      </c>
      <c r="N2374" s="5" t="str">
        <f t="shared" si="4"/>
        <v>Eli Lilly and Company</v>
      </c>
      <c r="O2374" s="5" t="str">
        <f t="shared" si="5"/>
        <v>4 years 5 months in role and company</v>
      </c>
      <c r="P2374" s="5" t="str">
        <f t="shared" si="6"/>
        <v>Indianapolis</v>
      </c>
      <c r="Q2374" s="5" t="str">
        <f t="shared" si="7"/>
        <v>Indiana</v>
      </c>
      <c r="R2374" s="5" t="str">
        <f t="shared" si="8"/>
        <v>United States</v>
      </c>
    </row>
    <row r="2375">
      <c r="A2375" s="7" t="s">
        <v>615</v>
      </c>
      <c r="B2375" s="5" t="s">
        <v>614</v>
      </c>
      <c r="C2375" s="5" t="s">
        <v>25</v>
      </c>
      <c r="D2375" s="6" t="s">
        <v>13</v>
      </c>
      <c r="E2375" s="5" t="s">
        <v>492</v>
      </c>
      <c r="F2375" s="5" t="s">
        <v>331</v>
      </c>
      <c r="G2375" s="5" t="s">
        <v>122</v>
      </c>
      <c r="H2375" s="5" t="s">
        <v>44</v>
      </c>
      <c r="I2375" s="5" t="s">
        <v>18</v>
      </c>
      <c r="J2375" s="9" t="str">
        <f>IFERROR(__xludf.DUMMYFUNCTION("""COMPUTED_VALUE"""),"https://www.google.com/search?newwindow=1&amp;ei=2MT0XrvGGM-vytMP1OyDgAY&amp;q=site%3Alinkedin.com+Hira+Majid+Campus+Recruiter+-+Diversity+Lead+Eli+Lilly+and+Company")</f>
        <v>https://www.google.com/search?newwindow=1&amp;ei=2MT0XrvGGM-vytMP1OyDgAY&amp;q=site%3Alinkedin.com+Hira+Majid+Campus+Recruiter+-+Diversity+Lead+Eli+Lilly+and+Company</v>
      </c>
      <c r="K2375" s="5" t="str">
        <f t="shared" si="1"/>
        <v>Hira Majid</v>
      </c>
      <c r="L2375" s="5" t="str">
        <f t="shared" si="2"/>
        <v>Campus Recruiter - Diversity Lead</v>
      </c>
      <c r="M2375" s="5" t="str">
        <f t="shared" si="3"/>
        <v> </v>
      </c>
      <c r="N2375" s="5" t="str">
        <f t="shared" si="4"/>
        <v>Eli Lilly and Company</v>
      </c>
      <c r="O2375" s="5" t="str">
        <f t="shared" si="5"/>
        <v>3 years 8 months in role</v>
      </c>
      <c r="P2375" s="5" t="str">
        <f t="shared" si="6"/>
        <v>Indianapolis</v>
      </c>
      <c r="Q2375" s="5" t="str">
        <f t="shared" si="7"/>
        <v>Indiana</v>
      </c>
      <c r="R2375" s="5" t="str">
        <f t="shared" si="8"/>
        <v>United States</v>
      </c>
    </row>
    <row r="2376">
      <c r="A2376" s="7" t="s">
        <v>617</v>
      </c>
      <c r="B2376" s="5" t="s">
        <v>616</v>
      </c>
      <c r="C2376" s="5" t="s">
        <v>25</v>
      </c>
      <c r="D2376" s="6" t="s">
        <v>13</v>
      </c>
      <c r="E2376" s="5" t="s">
        <v>492</v>
      </c>
      <c r="F2376" s="5" t="s">
        <v>283</v>
      </c>
      <c r="G2376" s="5" t="s">
        <v>137</v>
      </c>
      <c r="H2376" s="5" t="s">
        <v>137</v>
      </c>
      <c r="I2376" s="5" t="s">
        <v>18</v>
      </c>
      <c r="J2376" s="9" t="str">
        <f>IFERROR(__xludf.DUMMYFUNCTION("""COMPUTED_VALUE"""),"https://www.google.com/search?newwindow=1&amp;ei=2MT0XrvGGM-vytMP1OyDgAY&amp;q=site%3Alinkedin.com+Alexandria+Pernell,+MS-HRM+Global+HR+Campus+Recruiter+Eli+Lilly+and+Company")</f>
        <v>https://www.google.com/search?newwindow=1&amp;ei=2MT0XrvGGM-vytMP1OyDgAY&amp;q=site%3Alinkedin.com+Alexandria+Pernell,+MS-HRM+Global+HR+Campus+Recruiter+Eli+Lilly+and+Company</v>
      </c>
      <c r="K2376" s="5" t="str">
        <f t="shared" si="1"/>
        <v>Alexandria Pernell, MS-HRM</v>
      </c>
      <c r="L2376" s="5" t="str">
        <f t="shared" si="2"/>
        <v>Global HR Campus Recruiter</v>
      </c>
      <c r="M2376" s="5" t="str">
        <f t="shared" si="3"/>
        <v> </v>
      </c>
      <c r="N2376" s="5" t="str">
        <f t="shared" si="4"/>
        <v>Eli Lilly and Company</v>
      </c>
      <c r="O2376" s="5" t="str">
        <f t="shared" si="5"/>
        <v>1 year 10 months in role and company</v>
      </c>
      <c r="P2376" s="5" t="str">
        <f t="shared" si="6"/>
        <v>Indianapolis</v>
      </c>
      <c r="Q2376" s="5" t="str">
        <f t="shared" si="7"/>
        <v>Indiana</v>
      </c>
      <c r="R2376" s="5" t="str">
        <f t="shared" si="8"/>
        <v>United States</v>
      </c>
    </row>
    <row r="2377">
      <c r="A2377" s="8" t="s">
        <v>619</v>
      </c>
      <c r="B2377" s="5" t="s">
        <v>618</v>
      </c>
      <c r="C2377" s="5" t="s">
        <v>511</v>
      </c>
      <c r="D2377" s="6" t="s">
        <v>13</v>
      </c>
      <c r="E2377" s="5" t="s">
        <v>492</v>
      </c>
      <c r="F2377" s="5" t="s">
        <v>144</v>
      </c>
      <c r="G2377" s="5" t="s">
        <v>137</v>
      </c>
      <c r="H2377" s="5" t="s">
        <v>137</v>
      </c>
      <c r="I2377" s="5" t="s">
        <v>18</v>
      </c>
      <c r="J2377" s="9" t="str">
        <f>IFERROR(__xludf.DUMMYFUNCTION("""COMPUTED_VALUE"""),"https://www.google.com/search?newwindow=1&amp;ei=2MT0XrvGGM-vytMP1OyDgAY&amp;q=site%3Alinkedin.com+Juniris+Torres+Senior+Sales+Representative,+Campus+Internship+Recruiter+Eli+Lilly+and+Company")</f>
        <v>https://www.google.com/search?newwindow=1&amp;ei=2MT0XrvGGM-vytMP1OyDgAY&amp;q=site%3Alinkedin.com+Juniris+Torres+Senior+Sales+Representative,+Campus+Internship+Recruiter+Eli+Lilly+and+Company</v>
      </c>
      <c r="K2377" s="5" t="str">
        <f t="shared" si="1"/>
        <v>Juniris Torres</v>
      </c>
      <c r="L2377" s="5" t="str">
        <f t="shared" si="2"/>
        <v>Senior Sales Representative, Campus Internship Recruiter</v>
      </c>
      <c r="M2377" s="5" t="str">
        <f t="shared" si="3"/>
        <v> </v>
      </c>
      <c r="N2377" s="5" t="str">
        <f t="shared" si="4"/>
        <v>Eli Lilly and Company</v>
      </c>
      <c r="O2377" s="5" t="str">
        <f t="shared" si="5"/>
        <v>5 years 4 months in role and company</v>
      </c>
      <c r="P2377" s="5" t="str">
        <f t="shared" si="6"/>
        <v>Indianapolis</v>
      </c>
      <c r="Q2377" s="5" t="str">
        <f t="shared" si="7"/>
        <v>Indiana</v>
      </c>
      <c r="R2377" s="5" t="str">
        <f t="shared" si="8"/>
        <v>United States</v>
      </c>
    </row>
    <row r="2378">
      <c r="A2378" s="7" t="s">
        <v>623</v>
      </c>
      <c r="B2378" s="5" t="s">
        <v>620</v>
      </c>
      <c r="C2378" s="5" t="s">
        <v>178</v>
      </c>
      <c r="D2378" s="6" t="s">
        <v>13</v>
      </c>
      <c r="E2378" s="5" t="s">
        <v>621</v>
      </c>
      <c r="F2378" s="5" t="s">
        <v>622</v>
      </c>
      <c r="G2378" s="5" t="s">
        <v>137</v>
      </c>
      <c r="H2378" s="5" t="s">
        <v>137</v>
      </c>
      <c r="I2378" s="5" t="s">
        <v>18</v>
      </c>
      <c r="J2378" s="9" t="str">
        <f>IFERROR(__xludf.DUMMYFUNCTION("""COMPUTED_VALUE"""),"https://www.google.com/search?newwindow=1&amp;ei=2MT0XrvGGM-vytMP1OyDgAY&amp;q=site%3Alinkedin.com+Katie+Price+Associate+Consultant-Campus+Recruiter+Eli+Lilly+and+Company")</f>
        <v>https://www.google.com/search?newwindow=1&amp;ei=2MT0XrvGGM-vytMP1OyDgAY&amp;q=site%3Alinkedin.com+Katie+Price+Associate+Consultant-Campus+Recruiter+Eli+Lilly+and+Company</v>
      </c>
      <c r="K2378" s="5" t="str">
        <f t="shared" si="1"/>
        <v>Katie Price</v>
      </c>
      <c r="L2378" s="5" t="str">
        <f t="shared" si="2"/>
        <v>Associate Consultant-Campus Recruiter</v>
      </c>
      <c r="M2378" s="5" t="str">
        <f t="shared" si="3"/>
        <v> </v>
      </c>
      <c r="N2378" s="5" t="str">
        <f t="shared" si="4"/>
        <v>Eli Lilly and Company</v>
      </c>
      <c r="O2378" s="5" t="str">
        <f t="shared" si="5"/>
        <v>1 year 2 months in role</v>
      </c>
      <c r="P2378" s="5" t="str">
        <f t="shared" si="6"/>
        <v>Indianapolis</v>
      </c>
      <c r="Q2378" s="5" t="str">
        <f t="shared" si="7"/>
        <v>Indiana</v>
      </c>
      <c r="R2378" s="5" t="str">
        <f t="shared" si="8"/>
        <v>United States</v>
      </c>
    </row>
    <row r="2379">
      <c r="A2379" s="7" t="s">
        <v>627</v>
      </c>
      <c r="B2379" s="5" t="s">
        <v>624</v>
      </c>
      <c r="C2379" s="5" t="s">
        <v>625</v>
      </c>
      <c r="D2379" s="6" t="s">
        <v>13</v>
      </c>
      <c r="E2379" s="5" t="s">
        <v>621</v>
      </c>
      <c r="F2379" s="5" t="s">
        <v>626</v>
      </c>
      <c r="G2379" s="5" t="s">
        <v>137</v>
      </c>
      <c r="H2379" s="5" t="s">
        <v>137</v>
      </c>
      <c r="I2379" s="5" t="s">
        <v>18</v>
      </c>
      <c r="J2379" s="9" t="str">
        <f>IFERROR(__xludf.DUMMYFUNCTION("""COMPUTED_VALUE"""),"https://www.google.com/search?newwindow=1&amp;ei=2MT0XrvGGM-vytMP1OyDgAY&amp;q=site%3Alinkedin.com+Oscar+Grau,+MBA+Consultant+-+Campus+Recruiter+Eli+Lilly+and+Company")</f>
        <v>https://www.google.com/search?newwindow=1&amp;ei=2MT0XrvGGM-vytMP1OyDgAY&amp;q=site%3Alinkedin.com+Oscar+Grau,+MBA+Consultant+-+Campus+Recruiter+Eli+Lilly+and+Company</v>
      </c>
      <c r="K2379" s="5" t="str">
        <f t="shared" si="1"/>
        <v>Oscar Grau, MBA</v>
      </c>
      <c r="L2379" s="5" t="str">
        <f t="shared" si="2"/>
        <v>Consultant - Campus Recruiter</v>
      </c>
      <c r="M2379" s="5" t="str">
        <f t="shared" si="3"/>
        <v> </v>
      </c>
      <c r="N2379" s="5" t="str">
        <f t="shared" si="4"/>
        <v>Eli Lilly and Company</v>
      </c>
      <c r="O2379" s="5" t="str">
        <f t="shared" si="5"/>
        <v>1 year 2 months in role and company</v>
      </c>
      <c r="P2379" s="5" t="str">
        <f t="shared" si="6"/>
        <v>Miami</v>
      </c>
      <c r="Q2379" s="5" t="str">
        <f t="shared" si="7"/>
        <v>Florida</v>
      </c>
      <c r="R2379" s="5" t="str">
        <f t="shared" si="8"/>
        <v>United States</v>
      </c>
    </row>
    <row r="2380">
      <c r="A2380" s="7" t="s">
        <v>629</v>
      </c>
      <c r="B2380" s="5" t="s">
        <v>628</v>
      </c>
      <c r="C2380" s="5" t="s">
        <v>25</v>
      </c>
      <c r="D2380" s="6" t="s">
        <v>13</v>
      </c>
      <c r="E2380" s="5" t="s">
        <v>621</v>
      </c>
      <c r="G2380" s="5" t="s">
        <v>137</v>
      </c>
      <c r="H2380" s="5" t="s">
        <v>137</v>
      </c>
      <c r="I2380" s="5" t="s">
        <v>18</v>
      </c>
      <c r="J2380" s="9" t="str">
        <f>IFERROR(__xludf.DUMMYFUNCTION("""COMPUTED_VALUE"""),"https://www.google.com/search?newwindow=1&amp;ei=2MT0XrvGGM-vytMP1OyDgAY&amp;q=site%3Alinkedin.com+LaVenta+Atwater+Campus+Recruiter+Eli+Lilly+and+Company")</f>
        <v>https://www.google.com/search?newwindow=1&amp;ei=2MT0XrvGGM-vytMP1OyDgAY&amp;q=site%3Alinkedin.com+LaVenta+Atwater+Campus+Recruiter+Eli+Lilly+and+Company</v>
      </c>
      <c r="K2380" s="5" t="str">
        <f t="shared" si="1"/>
        <v>LaVenta Atwater</v>
      </c>
      <c r="L2380" s="5" t="str">
        <f t="shared" si="2"/>
        <v>Campus Recruiter</v>
      </c>
      <c r="M2380" s="5" t="str">
        <f t="shared" si="3"/>
        <v> </v>
      </c>
      <c r="N2380" s="5" t="str">
        <f t="shared" si="4"/>
        <v>Eli Lilly and Company</v>
      </c>
      <c r="O2380" s="5" t="str">
        <f t="shared" si="5"/>
        <v>9 months in role</v>
      </c>
      <c r="P2380" s="5" t="str">
        <f t="shared" si="6"/>
        <v>Olde West Chester</v>
      </c>
      <c r="Q2380" s="5" t="str">
        <f t="shared" si="7"/>
        <v>Ohio</v>
      </c>
      <c r="R2380" s="5" t="str">
        <f t="shared" si="8"/>
        <v>United States</v>
      </c>
    </row>
    <row r="2381">
      <c r="A2381" s="7" t="s">
        <v>632</v>
      </c>
      <c r="B2381" s="5" t="s">
        <v>630</v>
      </c>
      <c r="C2381" s="5" t="s">
        <v>631</v>
      </c>
      <c r="D2381" s="6" t="s">
        <v>13</v>
      </c>
      <c r="E2381" s="5" t="s">
        <v>621</v>
      </c>
      <c r="F2381" s="5" t="s">
        <v>441</v>
      </c>
      <c r="G2381" s="5" t="s">
        <v>137</v>
      </c>
      <c r="H2381" s="5" t="s">
        <v>137</v>
      </c>
      <c r="I2381" s="5" t="s">
        <v>18</v>
      </c>
      <c r="J2381" s="9" t="str">
        <f>IFERROR(__xludf.DUMMYFUNCTION("""COMPUTED_VALUE"""),"https://www.google.com/search?newwindow=1&amp;ei=2MT0XrvGGM-vytMP1OyDgAY&amp;q=site%3Alinkedin.com+Paige+Sacks+Campus+recruiter+Ernst+&amp;+Young")</f>
        <v>https://www.google.com/search?newwindow=1&amp;ei=2MT0XrvGGM-vytMP1OyDgAY&amp;q=site%3Alinkedin.com+Paige+Sacks+Campus+recruiter+Ernst+&amp;+Young</v>
      </c>
      <c r="K2381" s="5" t="str">
        <f t="shared" si="1"/>
        <v>Paige Sacks</v>
      </c>
      <c r="L2381" s="5" t="str">
        <f t="shared" si="2"/>
        <v>Campus recruiter</v>
      </c>
      <c r="M2381" s="5" t="str">
        <f t="shared" si="3"/>
        <v> </v>
      </c>
      <c r="N2381" s="5" t="str">
        <f t="shared" si="4"/>
        <v>Ernst &amp; Young</v>
      </c>
      <c r="O2381" s="5" t="str">
        <f t="shared" si="5"/>
        <v>14 years 6 months in role and company</v>
      </c>
      <c r="P2381" s="5" t="str">
        <f t="shared" si="6"/>
        <v>Atlanta</v>
      </c>
      <c r="Q2381" s="5" t="str">
        <f t="shared" si="7"/>
        <v>Georgia</v>
      </c>
      <c r="R2381" s="5" t="str">
        <f t="shared" si="8"/>
        <v>United States</v>
      </c>
    </row>
    <row r="2382">
      <c r="A2382" s="7" t="s">
        <v>636</v>
      </c>
      <c r="B2382" s="5" t="s">
        <v>633</v>
      </c>
      <c r="C2382" s="5" t="s">
        <v>25</v>
      </c>
      <c r="D2382" s="6" t="s">
        <v>13</v>
      </c>
      <c r="E2382" s="5" t="s">
        <v>634</v>
      </c>
      <c r="F2382" s="5" t="s">
        <v>15</v>
      </c>
      <c r="G2382" s="5" t="s">
        <v>635</v>
      </c>
      <c r="H2382" s="5" t="s">
        <v>76</v>
      </c>
      <c r="I2382" s="5" t="s">
        <v>18</v>
      </c>
      <c r="J2382" s="9" t="str">
        <f>IFERROR(__xludf.DUMMYFUNCTION("""COMPUTED_VALUE"""),"https://www.google.com/search?newwindow=1&amp;ei=2MT0XrvGGM-vytMP1OyDgAY&amp;q=site%3Alinkedin.com+Kristin+Schmidt+Campus+Recruiter+Ernst+&amp;+Young")</f>
        <v>https://www.google.com/search?newwindow=1&amp;ei=2MT0XrvGGM-vytMP1OyDgAY&amp;q=site%3Alinkedin.com+Kristin+Schmidt+Campus+Recruiter+Ernst+&amp;+Young</v>
      </c>
      <c r="K2382" s="5" t="str">
        <f t="shared" si="1"/>
        <v>Kristin Schmidt</v>
      </c>
      <c r="L2382" s="5" t="str">
        <f t="shared" si="2"/>
        <v>Campus Recruiter</v>
      </c>
      <c r="M2382" s="5" t="str">
        <f t="shared" si="3"/>
        <v> </v>
      </c>
      <c r="N2382" s="5" t="str">
        <f t="shared" si="4"/>
        <v>Ernst &amp; Young</v>
      </c>
      <c r="O2382" s="5" t="str">
        <f t="shared" si="5"/>
        <v>8 years 9 months in role and company</v>
      </c>
      <c r="P2382" s="5" t="str">
        <f t="shared" si="6"/>
        <v>Boston</v>
      </c>
      <c r="Q2382" s="5" t="str">
        <f t="shared" si="7"/>
        <v>Massachusetts</v>
      </c>
      <c r="R2382" s="5" t="str">
        <f t="shared" si="8"/>
        <v>United States</v>
      </c>
    </row>
    <row r="2383">
      <c r="A2383" s="7" t="s">
        <v>638</v>
      </c>
      <c r="B2383" s="5" t="s">
        <v>637</v>
      </c>
      <c r="C2383" s="5" t="s">
        <v>371</v>
      </c>
      <c r="D2383" s="6" t="s">
        <v>13</v>
      </c>
      <c r="E2383" s="5" t="s">
        <v>634</v>
      </c>
      <c r="F2383" s="5" t="s">
        <v>131</v>
      </c>
      <c r="G2383" s="5" t="s">
        <v>80</v>
      </c>
      <c r="H2383" s="5" t="s">
        <v>38</v>
      </c>
      <c r="I2383" s="5" t="s">
        <v>18</v>
      </c>
      <c r="J2383" s="9" t="str">
        <f>IFERROR(__xludf.DUMMYFUNCTION("""COMPUTED_VALUE"""),"https://www.google.com/search?newwindow=1&amp;ei=2MT0XrvGGM-vytMP1OyDgAY&amp;q=site%3Alinkedin.com+Molly+Leighton+National+Assurance+Campus+Recruiting+Lead+Ernst+&amp;+Young")</f>
        <v>https://www.google.com/search?newwindow=1&amp;ei=2MT0XrvGGM-vytMP1OyDgAY&amp;q=site%3Alinkedin.com+Molly+Leighton+National+Assurance+Campus+Recruiting+Lead+Ernst+&amp;+Young</v>
      </c>
      <c r="K2383" s="5" t="str">
        <f t="shared" si="1"/>
        <v>Molly Leighton</v>
      </c>
      <c r="L2383" s="5" t="str">
        <f t="shared" si="2"/>
        <v>National Assurance Campus Recruiting Lead</v>
      </c>
      <c r="M2383" s="5" t="str">
        <f t="shared" si="3"/>
        <v> </v>
      </c>
      <c r="N2383" s="5" t="str">
        <f t="shared" si="4"/>
        <v>Ernst &amp; Young</v>
      </c>
      <c r="O2383" s="5" t="str">
        <f t="shared" si="5"/>
        <v>1 year 7 months in role and company</v>
      </c>
      <c r="P2383" s="5" t="str">
        <f t="shared" si="6"/>
        <v>Boston</v>
      </c>
      <c r="Q2383" s="5" t="str">
        <f t="shared" si="7"/>
        <v>Massachusetts</v>
      </c>
      <c r="R2383" s="5" t="str">
        <f t="shared" si="8"/>
        <v>United States</v>
      </c>
    </row>
    <row r="2384">
      <c r="A2384" s="7" t="s">
        <v>640</v>
      </c>
      <c r="B2384" s="5" t="s">
        <v>639</v>
      </c>
      <c r="C2384" s="5" t="s">
        <v>25</v>
      </c>
      <c r="D2384" s="6" t="s">
        <v>13</v>
      </c>
      <c r="E2384" s="5" t="s">
        <v>634</v>
      </c>
      <c r="F2384" s="5" t="s">
        <v>125</v>
      </c>
      <c r="G2384" s="5" t="s">
        <v>166</v>
      </c>
      <c r="H2384" s="5" t="s">
        <v>44</v>
      </c>
      <c r="I2384" s="5" t="s">
        <v>18</v>
      </c>
      <c r="J2384" s="9" t="str">
        <f>IFERROR(__xludf.DUMMYFUNCTION("""COMPUTED_VALUE"""),"https://www.google.com/search?newwindow=1&amp;ei=2MT0XrvGGM-vytMP1OyDgAY&amp;q=site%3Alinkedin.com+Michelle+J.+Maynor+Campus+Recruiter+Coordinator+Ernst+&amp;+Young")</f>
        <v>https://www.google.com/search?newwindow=1&amp;ei=2MT0XrvGGM-vytMP1OyDgAY&amp;q=site%3Alinkedin.com+Michelle+J.+Maynor+Campus+Recruiter+Coordinator+Ernst+&amp;+Young</v>
      </c>
      <c r="K2384" s="5" t="str">
        <f t="shared" si="1"/>
        <v>Michelle J. Maynor</v>
      </c>
      <c r="L2384" s="5" t="str">
        <f t="shared" si="2"/>
        <v>Campus Recruiter Coordinator</v>
      </c>
      <c r="M2384" s="5" t="str">
        <f t="shared" si="3"/>
        <v> </v>
      </c>
      <c r="N2384" s="5" t="str">
        <f t="shared" si="4"/>
        <v>Ernst &amp; Young</v>
      </c>
      <c r="O2384" s="5" t="str">
        <f t="shared" si="5"/>
        <v>7 years 1 month in role and company</v>
      </c>
      <c r="P2384" s="5" t="str">
        <f t="shared" si="6"/>
        <v>Brooklyn</v>
      </c>
      <c r="Q2384" s="5" t="str">
        <f t="shared" si="7"/>
        <v>New York</v>
      </c>
      <c r="R2384" s="5" t="str">
        <f t="shared" si="8"/>
        <v>United States</v>
      </c>
    </row>
    <row r="2385">
      <c r="A2385" s="8" t="s">
        <v>643</v>
      </c>
      <c r="B2385" s="5" t="s">
        <v>641</v>
      </c>
      <c r="C2385" s="5" t="s">
        <v>642</v>
      </c>
      <c r="D2385" s="6" t="s">
        <v>13</v>
      </c>
      <c r="E2385" s="5" t="s">
        <v>634</v>
      </c>
      <c r="F2385" s="5" t="s">
        <v>106</v>
      </c>
      <c r="G2385" s="5" t="s">
        <v>16</v>
      </c>
      <c r="H2385" s="5" t="s">
        <v>17</v>
      </c>
      <c r="I2385" s="5" t="s">
        <v>18</v>
      </c>
      <c r="J2385" s="9" t="str">
        <f>IFERROR(__xludf.DUMMYFUNCTION("""COMPUTED_VALUE"""),"https://www.google.com/search?newwindow=1&amp;ei=2MT0XrvGGM-vytMP1OyDgAY&amp;q=site%3Alinkedin.com+Roxanne+Jackson+Campus+Recruiter-+Diversity+Ernst+&amp;+Young")</f>
        <v>https://www.google.com/search?newwindow=1&amp;ei=2MT0XrvGGM-vytMP1OyDgAY&amp;q=site%3Alinkedin.com+Roxanne+Jackson+Campus+Recruiter-+Diversity+Ernst+&amp;+Young</v>
      </c>
      <c r="K2385" s="5" t="str">
        <f t="shared" si="1"/>
        <v>Roxanne Jackson</v>
      </c>
      <c r="L2385" s="5" t="str">
        <f t="shared" si="2"/>
        <v>Campus Recruiter- Diversity</v>
      </c>
      <c r="M2385" s="5" t="str">
        <f t="shared" si="3"/>
        <v> </v>
      </c>
      <c r="N2385" s="5" t="str">
        <f t="shared" si="4"/>
        <v>Ernst &amp; Young</v>
      </c>
      <c r="O2385" s="5" t="str">
        <f t="shared" si="5"/>
        <v/>
      </c>
      <c r="P2385" s="5" t="str">
        <f t="shared" si="6"/>
        <v>Brooklyn</v>
      </c>
      <c r="Q2385" s="5" t="str">
        <f t="shared" si="7"/>
        <v>New York</v>
      </c>
      <c r="R2385" s="5" t="str">
        <f t="shared" si="8"/>
        <v>United States</v>
      </c>
    </row>
    <row r="2386">
      <c r="A2386" s="8" t="s">
        <v>646</v>
      </c>
      <c r="B2386" s="5" t="s">
        <v>644</v>
      </c>
      <c r="C2386" s="5" t="s">
        <v>645</v>
      </c>
      <c r="D2386" s="6" t="s">
        <v>13</v>
      </c>
      <c r="E2386" s="5" t="s">
        <v>634</v>
      </c>
      <c r="F2386" s="5" t="s">
        <v>63</v>
      </c>
      <c r="G2386" s="5" t="s">
        <v>49</v>
      </c>
      <c r="H2386" s="5" t="s">
        <v>50</v>
      </c>
      <c r="I2386" s="5" t="s">
        <v>18</v>
      </c>
      <c r="J2386" s="9" t="str">
        <f>IFERROR(__xludf.DUMMYFUNCTION("""COMPUTED_VALUE"""),"https://www.google.com/search?newwindow=1&amp;ei=2MT0XrvGGM-vytMP1OyDgAY&amp;q=site%3Alinkedin.com+Stephanie+Lopez+Campus+Recruiter+Ernst+&amp;+Young")</f>
        <v>https://www.google.com/search?newwindow=1&amp;ei=2MT0XrvGGM-vytMP1OyDgAY&amp;q=site%3Alinkedin.com+Stephanie+Lopez+Campus+Recruiter+Ernst+&amp;+Young</v>
      </c>
      <c r="K2386" s="5" t="str">
        <f t="shared" si="1"/>
        <v>Stephanie Lopez</v>
      </c>
      <c r="L2386" s="5" t="str">
        <f t="shared" si="2"/>
        <v>Campus Recruiter</v>
      </c>
      <c r="M2386" s="5" t="str">
        <f t="shared" si="3"/>
        <v> </v>
      </c>
      <c r="N2386" s="5" t="str">
        <f t="shared" si="4"/>
        <v>Ernst &amp; Young</v>
      </c>
      <c r="O2386" s="5" t="str">
        <f t="shared" si="5"/>
        <v/>
      </c>
      <c r="P2386" s="5" t="str">
        <f t="shared" si="6"/>
        <v>Chicago</v>
      </c>
      <c r="Q2386" s="5" t="str">
        <f t="shared" si="7"/>
        <v>Illinois</v>
      </c>
      <c r="R2386" s="5" t="str">
        <f t="shared" si="8"/>
        <v>United States</v>
      </c>
    </row>
    <row r="2387">
      <c r="A2387" s="8" t="s">
        <v>649</v>
      </c>
      <c r="B2387" s="5" t="s">
        <v>647</v>
      </c>
      <c r="C2387" s="5" t="s">
        <v>371</v>
      </c>
      <c r="D2387" s="6" t="s">
        <v>13</v>
      </c>
      <c r="E2387" s="5" t="s">
        <v>634</v>
      </c>
      <c r="F2387" s="5" t="s">
        <v>648</v>
      </c>
      <c r="G2387" s="6" t="s">
        <v>64</v>
      </c>
      <c r="H2387" s="6" t="s">
        <v>65</v>
      </c>
      <c r="I2387" s="5" t="s">
        <v>18</v>
      </c>
      <c r="J2387" s="9" t="str">
        <f>IFERROR(__xludf.DUMMYFUNCTION("""COMPUTED_VALUE"""),"https://www.google.com/search?newwindow=1&amp;ei=2MT0XrvGGM-vytMP1OyDgAY&amp;q=site%3Alinkedin.com+Amy+Mait+Campus+Recruiter+Ernst+&amp;+Young")</f>
        <v>https://www.google.com/search?newwindow=1&amp;ei=2MT0XrvGGM-vytMP1OyDgAY&amp;q=site%3Alinkedin.com+Amy+Mait+Campus+Recruiter+Ernst+&amp;+Young</v>
      </c>
      <c r="K2387" s="5" t="str">
        <f t="shared" si="1"/>
        <v>Amy Mait</v>
      </c>
      <c r="L2387" s="5" t="str">
        <f t="shared" si="2"/>
        <v>Campus Recruiter</v>
      </c>
      <c r="M2387" s="5" t="str">
        <f t="shared" si="3"/>
        <v> </v>
      </c>
      <c r="N2387" s="5" t="str">
        <f t="shared" si="4"/>
        <v>Ernst &amp; Young</v>
      </c>
      <c r="O2387" s="5" t="str">
        <f t="shared" si="5"/>
        <v>14 years 10 months in role</v>
      </c>
      <c r="P2387" s="5" t="str">
        <f t="shared" si="6"/>
        <v>Chicago</v>
      </c>
      <c r="Q2387" s="5" t="str">
        <f t="shared" si="7"/>
        <v>Illinois</v>
      </c>
      <c r="R2387" s="5" t="str">
        <f t="shared" si="8"/>
        <v>United States</v>
      </c>
    </row>
    <row r="2388">
      <c r="A2388" s="8" t="s">
        <v>652</v>
      </c>
      <c r="B2388" s="5" t="s">
        <v>650</v>
      </c>
      <c r="C2388" s="5" t="s">
        <v>25</v>
      </c>
      <c r="D2388" s="6" t="s">
        <v>13</v>
      </c>
      <c r="E2388" s="5" t="s">
        <v>634</v>
      </c>
      <c r="F2388" s="5" t="s">
        <v>651</v>
      </c>
      <c r="G2388" s="5" t="s">
        <v>75</v>
      </c>
      <c r="H2388" s="5" t="s">
        <v>76</v>
      </c>
      <c r="I2388" s="5" t="s">
        <v>18</v>
      </c>
      <c r="J2388" s="9" t="str">
        <f>IFERROR(__xludf.DUMMYFUNCTION("""COMPUTED_VALUE"""),"https://www.google.com/search?newwindow=1&amp;ei=2MT0XrvGGM-vytMP1OyDgAY&amp;q=site%3Alinkedin.com+Kaitlin+Kunsman+Campus+Recruiter+Ernst+&amp;+Young")</f>
        <v>https://www.google.com/search?newwindow=1&amp;ei=2MT0XrvGGM-vytMP1OyDgAY&amp;q=site%3Alinkedin.com+Kaitlin+Kunsman+Campus+Recruiter+Ernst+&amp;+Young</v>
      </c>
      <c r="K2388" s="5" t="str">
        <f t="shared" si="1"/>
        <v>Kaitlin Kunsman</v>
      </c>
      <c r="L2388" s="5" t="str">
        <f t="shared" si="2"/>
        <v>Campus Recruiter</v>
      </c>
      <c r="M2388" s="5" t="str">
        <f t="shared" si="3"/>
        <v> </v>
      </c>
      <c r="N2388" s="5" t="str">
        <f t="shared" si="4"/>
        <v>Ernst &amp; Young</v>
      </c>
      <c r="O2388" s="5" t="str">
        <f t="shared" si="5"/>
        <v>8 years 10 months in role and company</v>
      </c>
      <c r="P2388" s="5" t="str">
        <f t="shared" si="6"/>
        <v>Cranford</v>
      </c>
      <c r="Q2388" s="5" t="str">
        <f t="shared" si="7"/>
        <v>New Jersey</v>
      </c>
      <c r="R2388" s="5" t="str">
        <f t="shared" si="8"/>
        <v>United States</v>
      </c>
    </row>
    <row r="2389">
      <c r="A2389" s="8" t="s">
        <v>652</v>
      </c>
      <c r="B2389" s="5" t="s">
        <v>650</v>
      </c>
      <c r="C2389" s="5" t="s">
        <v>25</v>
      </c>
      <c r="D2389" s="6" t="s">
        <v>13</v>
      </c>
      <c r="E2389" s="5" t="s">
        <v>634</v>
      </c>
      <c r="F2389" s="5" t="s">
        <v>651</v>
      </c>
      <c r="G2389" s="5" t="s">
        <v>75</v>
      </c>
      <c r="H2389" s="5" t="s">
        <v>76</v>
      </c>
      <c r="I2389" s="5" t="s">
        <v>18</v>
      </c>
      <c r="J2389" s="9" t="str">
        <f>IFERROR(__xludf.DUMMYFUNCTION("""COMPUTED_VALUE"""),"https://www.google.com/search?newwindow=1&amp;ei=2MT0XrvGGM-vytMP1OyDgAY&amp;q=site%3Alinkedin.com+Maggie+Lemmel+Campus+Recruiter+Ernst+&amp;+Young")</f>
        <v>https://www.google.com/search?newwindow=1&amp;ei=2MT0XrvGGM-vytMP1OyDgAY&amp;q=site%3Alinkedin.com+Maggie+Lemmel+Campus+Recruiter+Ernst+&amp;+Young</v>
      </c>
      <c r="K2389" s="5" t="str">
        <f t="shared" si="1"/>
        <v>Maggie Lemmel</v>
      </c>
      <c r="L2389" s="5" t="str">
        <f t="shared" si="2"/>
        <v>Campus Recruiter</v>
      </c>
      <c r="M2389" s="5" t="str">
        <f t="shared" si="3"/>
        <v> </v>
      </c>
      <c r="N2389" s="5" t="str">
        <f t="shared" si="4"/>
        <v>Ernst &amp; Young</v>
      </c>
      <c r="O2389" s="5" t="str">
        <f t="shared" si="5"/>
        <v>13 years 2 months in role and company</v>
      </c>
      <c r="P2389" s="5" t="str">
        <f t="shared" si="6"/>
        <v>Dallas</v>
      </c>
      <c r="Q2389" s="5" t="str">
        <f t="shared" si="7"/>
        <v>Texas</v>
      </c>
      <c r="R2389" s="5" t="str">
        <f t="shared" si="8"/>
        <v>United States</v>
      </c>
    </row>
    <row r="2390">
      <c r="A2390" s="8" t="s">
        <v>656</v>
      </c>
      <c r="B2390" s="5" t="s">
        <v>653</v>
      </c>
      <c r="C2390" s="5" t="s">
        <v>25</v>
      </c>
      <c r="D2390" s="6" t="s">
        <v>13</v>
      </c>
      <c r="E2390" s="5" t="s">
        <v>634</v>
      </c>
      <c r="F2390" s="5" t="s">
        <v>654</v>
      </c>
      <c r="G2390" s="5" t="s">
        <v>655</v>
      </c>
      <c r="H2390" s="5" t="s">
        <v>65</v>
      </c>
      <c r="I2390" s="5" t="s">
        <v>18</v>
      </c>
      <c r="J2390" s="9" t="str">
        <f>IFERROR(__xludf.DUMMYFUNCTION("""COMPUTED_VALUE"""),"https://www.google.com/search?newwindow=1&amp;ei=2MT0XrvGGM-vytMP1OyDgAY&amp;q=site%3Alinkedin.com+Christyn+Benzle+Campus+Recruiter+Ernst+&amp;+Young")</f>
        <v>https://www.google.com/search?newwindow=1&amp;ei=2MT0XrvGGM-vytMP1OyDgAY&amp;q=site%3Alinkedin.com+Christyn+Benzle+Campus+Recruiter+Ernst+&amp;+Young</v>
      </c>
      <c r="K2390" s="5" t="str">
        <f t="shared" si="1"/>
        <v>Christyn Benzle</v>
      </c>
      <c r="L2390" s="5" t="str">
        <f t="shared" si="2"/>
        <v>Campus Recruiter</v>
      </c>
      <c r="M2390" s="5" t="str">
        <f t="shared" si="3"/>
        <v> </v>
      </c>
      <c r="N2390" s="5" t="str">
        <f t="shared" si="4"/>
        <v>Ernst &amp; Young</v>
      </c>
      <c r="O2390" s="5" t="str">
        <f t="shared" si="5"/>
        <v>14 years 10 months in role and company</v>
      </c>
      <c r="P2390" s="5" t="str">
        <f t="shared" si="6"/>
        <v>Denver</v>
      </c>
      <c r="Q2390" s="5" t="str">
        <f t="shared" si="7"/>
        <v>Colorado</v>
      </c>
      <c r="R2390" s="5" t="str">
        <f t="shared" si="8"/>
        <v>United States</v>
      </c>
    </row>
    <row r="2391">
      <c r="A2391" s="8" t="s">
        <v>659</v>
      </c>
      <c r="B2391" s="5" t="s">
        <v>657</v>
      </c>
      <c r="C2391" s="5" t="s">
        <v>371</v>
      </c>
      <c r="D2391" s="6" t="s">
        <v>13</v>
      </c>
      <c r="E2391" s="5" t="s">
        <v>634</v>
      </c>
      <c r="F2391" s="5" t="s">
        <v>496</v>
      </c>
      <c r="G2391" s="5" t="s">
        <v>658</v>
      </c>
      <c r="H2391" s="5" t="s">
        <v>91</v>
      </c>
      <c r="I2391" s="5" t="s">
        <v>18</v>
      </c>
      <c r="J2391" s="9" t="str">
        <f>IFERROR(__xludf.DUMMYFUNCTION("""COMPUTED_VALUE"""),"https://www.google.com/search?newwindow=1&amp;ei=2MT0XrvGGM-vytMP1OyDgAY&amp;q=site%3Alinkedin.com+Julie+Benner+Campus+Recruiting+Manager+Ernst+&amp;+Young")</f>
        <v>https://www.google.com/search?newwindow=1&amp;ei=2MT0XrvGGM-vytMP1OyDgAY&amp;q=site%3Alinkedin.com+Julie+Benner+Campus+Recruiting+Manager+Ernst+&amp;+Young</v>
      </c>
      <c r="K2391" s="5" t="str">
        <f t="shared" si="1"/>
        <v>Julie Benner</v>
      </c>
      <c r="L2391" s="5" t="str">
        <f t="shared" si="2"/>
        <v>Campus Recruiting Manager</v>
      </c>
      <c r="M2391" s="5" t="str">
        <f t="shared" si="3"/>
        <v> </v>
      </c>
      <c r="N2391" s="5" t="str">
        <f t="shared" si="4"/>
        <v>Ernst &amp; Young</v>
      </c>
      <c r="O2391" s="5" t="str">
        <f t="shared" si="5"/>
        <v/>
      </c>
      <c r="P2391" s="5" t="str">
        <f t="shared" si="6"/>
        <v>Dublin</v>
      </c>
      <c r="Q2391" s="5" t="str">
        <f t="shared" si="7"/>
        <v>Ohio</v>
      </c>
      <c r="R2391" s="5" t="str">
        <f t="shared" si="8"/>
        <v>United States</v>
      </c>
    </row>
    <row r="2392">
      <c r="A2392" s="8" t="s">
        <v>662</v>
      </c>
      <c r="B2392" s="5" t="s">
        <v>660</v>
      </c>
      <c r="C2392" s="5" t="s">
        <v>25</v>
      </c>
      <c r="D2392" s="6" t="s">
        <v>13</v>
      </c>
      <c r="E2392" s="5" t="s">
        <v>634</v>
      </c>
      <c r="F2392" s="5" t="s">
        <v>661</v>
      </c>
      <c r="G2392" s="5" t="s">
        <v>122</v>
      </c>
      <c r="H2392" s="5" t="s">
        <v>44</v>
      </c>
      <c r="I2392" s="5" t="s">
        <v>18</v>
      </c>
      <c r="J2392" s="9" t="str">
        <f>IFERROR(__xludf.DUMMYFUNCTION("""COMPUTED_VALUE"""),"https://www.google.com/search?newwindow=1&amp;ei=2MT0XrvGGM-vytMP1OyDgAY&amp;q=site%3Alinkedin.com+Kaami+Moore+Florida+Campus+Recruiter+Ernst+&amp;+Young")</f>
        <v>https://www.google.com/search?newwindow=1&amp;ei=2MT0XrvGGM-vytMP1OyDgAY&amp;q=site%3Alinkedin.com+Kaami+Moore+Florida+Campus+Recruiter+Ernst+&amp;+Young</v>
      </c>
      <c r="K2392" s="5" t="str">
        <f t="shared" si="1"/>
        <v>Kaami Moore</v>
      </c>
      <c r="L2392" s="5" t="str">
        <f t="shared" si="2"/>
        <v>Florida Campus Recruiter</v>
      </c>
      <c r="M2392" s="5" t="str">
        <f t="shared" si="3"/>
        <v> </v>
      </c>
      <c r="N2392" s="5" t="str">
        <f t="shared" si="4"/>
        <v>Ernst &amp; Young</v>
      </c>
      <c r="O2392" s="5" t="str">
        <f t="shared" si="5"/>
        <v/>
      </c>
      <c r="P2392" s="5" t="str">
        <f t="shared" si="6"/>
        <v>Fort Lauderdale</v>
      </c>
      <c r="Q2392" s="5" t="str">
        <f t="shared" si="7"/>
        <v>Florida</v>
      </c>
      <c r="R2392" s="5" t="str">
        <f t="shared" si="8"/>
        <v>United States</v>
      </c>
    </row>
    <row r="2393">
      <c r="A2393" s="8" t="s">
        <v>664</v>
      </c>
      <c r="B2393" s="5" t="s">
        <v>663</v>
      </c>
      <c r="C2393" s="5" t="s">
        <v>371</v>
      </c>
      <c r="D2393" s="6" t="s">
        <v>13</v>
      </c>
      <c r="E2393" s="5" t="s">
        <v>634</v>
      </c>
      <c r="F2393" s="5" t="s">
        <v>345</v>
      </c>
      <c r="G2393" s="5" t="s">
        <v>137</v>
      </c>
      <c r="H2393" s="5" t="s">
        <v>137</v>
      </c>
      <c r="I2393" s="5" t="s">
        <v>18</v>
      </c>
      <c r="J2393" s="9" t="str">
        <f>IFERROR(__xludf.DUMMYFUNCTION("""COMPUTED_VALUE"""),"https://www.google.com/search?newwindow=1&amp;ei=2MT0XrvGGM-vytMP1OyDgAY&amp;q=site%3Alinkedin.com+Jennifer+Sell+Campus+Recruiter+Ernst+&amp;+Young")</f>
        <v>https://www.google.com/search?newwindow=1&amp;ei=2MT0XrvGGM-vytMP1OyDgAY&amp;q=site%3Alinkedin.com+Jennifer+Sell+Campus+Recruiter+Ernst+&amp;+Young</v>
      </c>
      <c r="K2393" s="5" t="str">
        <f t="shared" si="1"/>
        <v>Jennifer Sell</v>
      </c>
      <c r="L2393" s="5" t="str">
        <f t="shared" si="2"/>
        <v>Campus Recruiter</v>
      </c>
      <c r="M2393" s="5" t="str">
        <f t="shared" si="3"/>
        <v> </v>
      </c>
      <c r="N2393" s="5" t="str">
        <f t="shared" si="4"/>
        <v>Ernst &amp; Young</v>
      </c>
      <c r="O2393" s="5" t="str">
        <f t="shared" si="5"/>
        <v>15 years 4 months in role and company</v>
      </c>
      <c r="P2393" s="5" t="str">
        <f t="shared" si="6"/>
        <v>Haddonfield</v>
      </c>
      <c r="Q2393" s="5" t="str">
        <f t="shared" si="7"/>
        <v>New Jersey</v>
      </c>
      <c r="R2393" s="5" t="str">
        <f t="shared" si="8"/>
        <v>United States</v>
      </c>
    </row>
    <row r="2394">
      <c r="A2394" s="8" t="s">
        <v>667</v>
      </c>
      <c r="B2394" s="5" t="s">
        <v>665</v>
      </c>
      <c r="C2394" s="5" t="s">
        <v>25</v>
      </c>
      <c r="D2394" s="6" t="s">
        <v>13</v>
      </c>
      <c r="E2394" s="5" t="s">
        <v>634</v>
      </c>
      <c r="F2394" s="5" t="s">
        <v>666</v>
      </c>
      <c r="G2394" s="5" t="s">
        <v>311</v>
      </c>
      <c r="H2394" s="5" t="s">
        <v>102</v>
      </c>
      <c r="I2394" s="5" t="s">
        <v>18</v>
      </c>
      <c r="J2394" s="9" t="str">
        <f>IFERROR(__xludf.DUMMYFUNCTION("""COMPUTED_VALUE"""),"https://www.google.com/search?newwindow=1&amp;ei=2MT0XrvGGM-vytMP1OyDgAY&amp;q=site%3Alinkedin.com+Rachel+Bresnick+Lipson+Campus+Recruiter+Ernst+&amp;+Young")</f>
        <v>https://www.google.com/search?newwindow=1&amp;ei=2MT0XrvGGM-vytMP1OyDgAY&amp;q=site%3Alinkedin.com+Rachel+Bresnick+Lipson+Campus+Recruiter+Ernst+&amp;+Young</v>
      </c>
      <c r="K2394" s="5" t="str">
        <f t="shared" si="1"/>
        <v>Rachel Bresnick Lipson</v>
      </c>
      <c r="L2394" s="5" t="str">
        <f t="shared" si="2"/>
        <v>Campus Recruiter</v>
      </c>
      <c r="M2394" s="5" t="str">
        <f t="shared" si="3"/>
        <v> </v>
      </c>
      <c r="N2394" s="5" t="str">
        <f t="shared" si="4"/>
        <v>Ernst &amp; Young</v>
      </c>
      <c r="O2394" s="5" t="str">
        <f t="shared" si="5"/>
        <v/>
      </c>
      <c r="P2394" s="5" t="str">
        <f t="shared" si="6"/>
        <v>Hermosa Beach</v>
      </c>
      <c r="Q2394" s="5" t="str">
        <f t="shared" si="7"/>
        <v>California</v>
      </c>
      <c r="R2394" s="5" t="str">
        <f t="shared" si="8"/>
        <v>United States</v>
      </c>
    </row>
    <row r="2395">
      <c r="A2395" s="8" t="s">
        <v>670</v>
      </c>
      <c r="B2395" s="5" t="s">
        <v>668</v>
      </c>
      <c r="C2395" s="5" t="s">
        <v>371</v>
      </c>
      <c r="D2395" s="6" t="s">
        <v>13</v>
      </c>
      <c r="E2395" s="5" t="s">
        <v>634</v>
      </c>
      <c r="F2395" s="5" t="s">
        <v>441</v>
      </c>
      <c r="G2395" s="5" t="s">
        <v>669</v>
      </c>
      <c r="H2395" s="5" t="s">
        <v>17</v>
      </c>
      <c r="I2395" s="5" t="s">
        <v>18</v>
      </c>
      <c r="J2395" s="9" t="str">
        <f>IFERROR(__xludf.DUMMYFUNCTION("""COMPUTED_VALUE"""),"https://www.google.com/search?newwindow=1&amp;ei=2MT0XrvGGM-vytMP1OyDgAY&amp;q=site%3Alinkedin.com+Eleni+Athanasiou+Campus+Recruiter+Ernst+&amp;+Young")</f>
        <v>https://www.google.com/search?newwindow=1&amp;ei=2MT0XrvGGM-vytMP1OyDgAY&amp;q=site%3Alinkedin.com+Eleni+Athanasiou+Campus+Recruiter+Ernst+&amp;+Young</v>
      </c>
      <c r="K2395" s="5" t="str">
        <f t="shared" si="1"/>
        <v>Eleni Athanasiou</v>
      </c>
      <c r="L2395" s="5" t="str">
        <f t="shared" si="2"/>
        <v>Campus Recruiter</v>
      </c>
      <c r="M2395" s="5" t="str">
        <f t="shared" si="3"/>
        <v> </v>
      </c>
      <c r="N2395" s="5" t="str">
        <f t="shared" si="4"/>
        <v>Ernst &amp; Young</v>
      </c>
      <c r="O2395" s="5" t="str">
        <f t="shared" si="5"/>
        <v>23 years 10 months in role and company</v>
      </c>
      <c r="P2395" s="5" t="str">
        <f t="shared" si="6"/>
        <v>Iselin</v>
      </c>
      <c r="Q2395" s="5" t="str">
        <f t="shared" si="7"/>
        <v>New Jersey</v>
      </c>
      <c r="R2395" s="5" t="str">
        <f t="shared" si="8"/>
        <v>United States</v>
      </c>
    </row>
    <row r="2396">
      <c r="A2396" s="8" t="s">
        <v>674</v>
      </c>
      <c r="B2396" s="5" t="s">
        <v>671</v>
      </c>
      <c r="C2396" s="5" t="s">
        <v>672</v>
      </c>
      <c r="D2396" s="6" t="s">
        <v>13</v>
      </c>
      <c r="E2396" s="5" t="s">
        <v>634</v>
      </c>
      <c r="F2396" s="5" t="s">
        <v>207</v>
      </c>
      <c r="G2396" s="5" t="s">
        <v>673</v>
      </c>
      <c r="H2396" s="5" t="s">
        <v>137</v>
      </c>
      <c r="I2396" s="5" t="s">
        <v>18</v>
      </c>
      <c r="J2396" s="9" t="str">
        <f>IFERROR(__xludf.DUMMYFUNCTION("""COMPUTED_VALUE"""),"https://www.google.com/search?newwindow=1&amp;ei=2MT0XrvGGM-vytMP1OyDgAY&amp;q=site%3Alinkedin.com+Grethel+Gaitan+Campus+Recruiter+Ernst+&amp;+Young")</f>
        <v>https://www.google.com/search?newwindow=1&amp;ei=2MT0XrvGGM-vytMP1OyDgAY&amp;q=site%3Alinkedin.com+Grethel+Gaitan+Campus+Recruiter+Ernst+&amp;+Young</v>
      </c>
      <c r="K2396" s="5" t="str">
        <f t="shared" si="1"/>
        <v>Grethel Gaitan</v>
      </c>
      <c r="L2396" s="5" t="str">
        <f t="shared" si="2"/>
        <v>Campus Recruiter</v>
      </c>
      <c r="M2396" s="5" t="str">
        <f t="shared" si="3"/>
        <v> </v>
      </c>
      <c r="N2396" s="5" t="str">
        <f t="shared" si="4"/>
        <v>Ernst &amp; Young</v>
      </c>
      <c r="O2396" s="5" t="str">
        <f t="shared" si="5"/>
        <v>9 years 8 months in role and company</v>
      </c>
      <c r="P2396" s="5" t="str">
        <f t="shared" si="6"/>
        <v>Los Angeles</v>
      </c>
      <c r="Q2396" s="5" t="str">
        <f t="shared" si="7"/>
        <v>California</v>
      </c>
      <c r="R2396" s="5" t="str">
        <f t="shared" si="8"/>
        <v>United States</v>
      </c>
    </row>
    <row r="2397">
      <c r="A2397" s="8" t="s">
        <v>676</v>
      </c>
      <c r="B2397" s="5" t="s">
        <v>675</v>
      </c>
      <c r="C2397" s="5" t="s">
        <v>371</v>
      </c>
      <c r="D2397" s="6" t="s">
        <v>13</v>
      </c>
      <c r="E2397" s="5" t="s">
        <v>634</v>
      </c>
      <c r="F2397" s="5" t="s">
        <v>79</v>
      </c>
      <c r="G2397" s="5" t="s">
        <v>102</v>
      </c>
      <c r="H2397" s="5" t="s">
        <v>172</v>
      </c>
      <c r="I2397" s="5" t="s">
        <v>18</v>
      </c>
      <c r="J2397" s="9" t="str">
        <f>IFERROR(__xludf.DUMMYFUNCTION("""COMPUTED_VALUE"""),"https://www.google.com/search?newwindow=1&amp;ei=2MT0XrvGGM-vytMP1OyDgAY&amp;q=site%3Alinkedin.com+Katy+Elliott+Steinbach+Campus+Recruiter+Ernst+&amp;+Young")</f>
        <v>https://www.google.com/search?newwindow=1&amp;ei=2MT0XrvGGM-vytMP1OyDgAY&amp;q=site%3Alinkedin.com+Katy+Elliott+Steinbach+Campus+Recruiter+Ernst+&amp;+Young</v>
      </c>
      <c r="K2397" s="5" t="str">
        <f t="shared" si="1"/>
        <v>Katy Elliott Steinbach</v>
      </c>
      <c r="L2397" s="5" t="str">
        <f t="shared" si="2"/>
        <v>Campus Recruiter</v>
      </c>
      <c r="M2397" s="5" t="str">
        <f t="shared" si="3"/>
        <v> </v>
      </c>
      <c r="N2397" s="5" t="str">
        <f t="shared" si="4"/>
        <v>Ernst &amp; Young</v>
      </c>
      <c r="O2397" s="5" t="str">
        <f t="shared" si="5"/>
        <v>9 years 3 months in role and company</v>
      </c>
      <c r="P2397" s="5" t="str">
        <f t="shared" si="6"/>
        <v>Milwaukee</v>
      </c>
      <c r="Q2397" s="5" t="str">
        <f t="shared" si="7"/>
        <v>Wisconsin</v>
      </c>
      <c r="R2397" s="5" t="str">
        <f t="shared" si="8"/>
        <v>United States</v>
      </c>
    </row>
    <row r="2398">
      <c r="A2398" s="8" t="s">
        <v>680</v>
      </c>
      <c r="B2398" s="5" t="s">
        <v>677</v>
      </c>
      <c r="C2398" s="5" t="s">
        <v>678</v>
      </c>
      <c r="D2398" s="6" t="s">
        <v>13</v>
      </c>
      <c r="E2398" s="5" t="s">
        <v>634</v>
      </c>
      <c r="F2398" s="5" t="s">
        <v>149</v>
      </c>
      <c r="G2398" s="5" t="s">
        <v>679</v>
      </c>
      <c r="H2398" s="5" t="s">
        <v>65</v>
      </c>
      <c r="I2398" s="5" t="s">
        <v>18</v>
      </c>
      <c r="J2398" s="9" t="str">
        <f>IFERROR(__xludf.DUMMYFUNCTION("""COMPUTED_VALUE"""),"https://www.google.com/search?newwindow=1&amp;ei=2MT0XrvGGM-vytMP1OyDgAY&amp;q=site%3Alinkedin.com+Danielle+M.+Campus+Recruiter+Ernst+&amp;+Young")</f>
        <v>https://www.google.com/search?newwindow=1&amp;ei=2MT0XrvGGM-vytMP1OyDgAY&amp;q=site%3Alinkedin.com+Danielle+M.+Campus+Recruiter+Ernst+&amp;+Young</v>
      </c>
      <c r="K2398" s="5" t="str">
        <f t="shared" si="1"/>
        <v>Danielle M.</v>
      </c>
      <c r="L2398" s="5" t="str">
        <f t="shared" si="2"/>
        <v>Campus Recruiter</v>
      </c>
      <c r="M2398" s="5" t="str">
        <f t="shared" si="3"/>
        <v> </v>
      </c>
      <c r="N2398" s="5" t="str">
        <f t="shared" si="4"/>
        <v>Ernst &amp; Young</v>
      </c>
      <c r="O2398" s="5" t="str">
        <f t="shared" si="5"/>
        <v>1 year 2 months in role and company</v>
      </c>
      <c r="P2398" s="5" t="str">
        <f t="shared" si="6"/>
        <v>New York</v>
      </c>
      <c r="Q2398" s="5" t="str">
        <f t="shared" si="7"/>
        <v>New York</v>
      </c>
      <c r="R2398" s="5" t="str">
        <f t="shared" si="8"/>
        <v>United States</v>
      </c>
    </row>
    <row r="2399">
      <c r="A2399" s="7" t="s">
        <v>683</v>
      </c>
      <c r="B2399" s="5" t="s">
        <v>681</v>
      </c>
      <c r="C2399" s="5" t="s">
        <v>25</v>
      </c>
      <c r="D2399" s="6" t="s">
        <v>13</v>
      </c>
      <c r="E2399" s="5" t="s">
        <v>682</v>
      </c>
      <c r="F2399" s="5" t="s">
        <v>455</v>
      </c>
      <c r="G2399" s="5" t="s">
        <v>16</v>
      </c>
      <c r="H2399" s="5" t="s">
        <v>17</v>
      </c>
      <c r="I2399" s="5" t="s">
        <v>18</v>
      </c>
      <c r="J2399" s="9" t="str">
        <f>IFERROR(__xludf.DUMMYFUNCTION("""COMPUTED_VALUE"""),"https://www.google.com/search?newwindow=1&amp;ei=2MT0XrvGGM-vytMP1OyDgAY&amp;q=site%3Alinkedin.com+Debbie+Dillon+Campus+Recruiter+Ernst+&amp;+Young")</f>
        <v>https://www.google.com/search?newwindow=1&amp;ei=2MT0XrvGGM-vytMP1OyDgAY&amp;q=site%3Alinkedin.com+Debbie+Dillon+Campus+Recruiter+Ernst+&amp;+Young</v>
      </c>
      <c r="K2399" s="5" t="str">
        <f t="shared" si="1"/>
        <v>Debbie Dillon</v>
      </c>
      <c r="L2399" s="5" t="str">
        <f t="shared" si="2"/>
        <v>Campus Recruiter</v>
      </c>
      <c r="M2399" s="5" t="str">
        <f t="shared" si="3"/>
        <v> </v>
      </c>
      <c r="N2399" s="5" t="str">
        <f t="shared" si="4"/>
        <v>Ernst &amp; Young</v>
      </c>
      <c r="O2399" s="5" t="str">
        <f t="shared" si="5"/>
        <v/>
      </c>
      <c r="P2399" s="5" t="str">
        <f t="shared" si="6"/>
        <v>St Louis</v>
      </c>
      <c r="Q2399" s="5" t="str">
        <f t="shared" si="7"/>
        <v>Missouri</v>
      </c>
      <c r="R2399" s="5" t="str">
        <f t="shared" si="8"/>
        <v>United States</v>
      </c>
    </row>
    <row r="2400">
      <c r="A2400" s="8" t="s">
        <v>687</v>
      </c>
      <c r="B2400" s="5" t="s">
        <v>684</v>
      </c>
      <c r="C2400" s="5" t="s">
        <v>685</v>
      </c>
      <c r="D2400" s="6" t="s">
        <v>13</v>
      </c>
      <c r="E2400" s="5" t="s">
        <v>682</v>
      </c>
      <c r="F2400" s="5" t="s">
        <v>686</v>
      </c>
      <c r="G2400" s="5" t="s">
        <v>16</v>
      </c>
      <c r="H2400" s="5" t="s">
        <v>17</v>
      </c>
      <c r="I2400" s="5" t="s">
        <v>18</v>
      </c>
      <c r="J2400" s="9" t="str">
        <f>IFERROR(__xludf.DUMMYFUNCTION("""COMPUTED_VALUE"""),"https://www.google.com/search?newwindow=1&amp;ei=2MT0XrvGGM-vytMP1OyDgAY&amp;q=site%3Alinkedin.com+Angie+Menendez+Area+Campus+Recruiter+Ernst+and+Young")</f>
        <v>https://www.google.com/search?newwindow=1&amp;ei=2MT0XrvGGM-vytMP1OyDgAY&amp;q=site%3Alinkedin.com+Angie+Menendez+Area+Campus+Recruiter+Ernst+and+Young</v>
      </c>
      <c r="K2400" s="5" t="str">
        <f t="shared" si="1"/>
        <v>Angie Menendez</v>
      </c>
      <c r="L2400" s="5" t="str">
        <f t="shared" si="2"/>
        <v>Area Campus Recruiter</v>
      </c>
      <c r="M2400" s="5" t="str">
        <f t="shared" si="3"/>
        <v> </v>
      </c>
      <c r="N2400" s="5" t="str">
        <f t="shared" si="4"/>
        <v>Ernst &amp; Young</v>
      </c>
      <c r="O2400" s="5" t="str">
        <f t="shared" si="5"/>
        <v>16 years 7 months in role and company</v>
      </c>
      <c r="P2400" s="5" t="str">
        <f t="shared" si="6"/>
        <v>Newport Beach</v>
      </c>
      <c r="Q2400" s="5" t="str">
        <f t="shared" si="7"/>
        <v>California</v>
      </c>
      <c r="R2400" s="5" t="str">
        <f t="shared" si="8"/>
        <v>United States</v>
      </c>
    </row>
    <row r="2401">
      <c r="A2401" s="8" t="s">
        <v>689</v>
      </c>
      <c r="B2401" s="5" t="s">
        <v>688</v>
      </c>
      <c r="C2401" s="5" t="s">
        <v>25</v>
      </c>
      <c r="D2401" s="6" t="s">
        <v>13</v>
      </c>
      <c r="E2401" s="5" t="s">
        <v>682</v>
      </c>
      <c r="F2401" s="5" t="s">
        <v>29</v>
      </c>
      <c r="G2401" s="5" t="s">
        <v>16</v>
      </c>
      <c r="H2401" s="5" t="s">
        <v>17</v>
      </c>
      <c r="I2401" s="5" t="s">
        <v>18</v>
      </c>
      <c r="J2401" s="9" t="str">
        <f>IFERROR(__xludf.DUMMYFUNCTION("""COMPUTED_VALUE"""),"https://www.google.com/search?newwindow=1&amp;ei=2MT0XrvGGM-vytMP1OyDgAY&amp;q=site%3Alinkedin.com+Kelsey+Rock+Campus+Recruiter+EY")</f>
        <v>https://www.google.com/search?newwindow=1&amp;ei=2MT0XrvGGM-vytMP1OyDgAY&amp;q=site%3Alinkedin.com+Kelsey+Rock+Campus+Recruiter+EY</v>
      </c>
      <c r="K2401" s="5" t="str">
        <f t="shared" si="1"/>
        <v>Kelsey Rock</v>
      </c>
      <c r="L2401" s="5" t="str">
        <f t="shared" si="2"/>
        <v>Campus Recruiter</v>
      </c>
      <c r="M2401" s="5" t="str">
        <f t="shared" si="3"/>
        <v> </v>
      </c>
      <c r="N2401" s="5" t="str">
        <f t="shared" si="4"/>
        <v>Ernst &amp; Young</v>
      </c>
      <c r="O2401" s="5" t="str">
        <f t="shared" si="5"/>
        <v>1 year 4 months in role</v>
      </c>
      <c r="P2401" s="5" t="str">
        <f t="shared" si="6"/>
        <v>Atlanta</v>
      </c>
      <c r="Q2401" s="5" t="str">
        <f t="shared" si="7"/>
        <v>Georgia</v>
      </c>
      <c r="R2401" s="5" t="str">
        <f t="shared" si="8"/>
        <v>United States</v>
      </c>
    </row>
    <row r="2402">
      <c r="A2402" s="7" t="s">
        <v>692</v>
      </c>
      <c r="B2402" s="5" t="s">
        <v>690</v>
      </c>
      <c r="C2402" s="5" t="s">
        <v>25</v>
      </c>
      <c r="D2402" s="6" t="s">
        <v>13</v>
      </c>
      <c r="E2402" s="5" t="s">
        <v>682</v>
      </c>
      <c r="F2402" s="5" t="s">
        <v>691</v>
      </c>
      <c r="G2402" s="5" t="s">
        <v>137</v>
      </c>
      <c r="H2402" s="5" t="s">
        <v>137</v>
      </c>
      <c r="I2402" s="5" t="s">
        <v>18</v>
      </c>
      <c r="J2402" s="9" t="str">
        <f>IFERROR(__xludf.DUMMYFUNCTION("""COMPUTED_VALUE"""),"https://www.google.com/search?newwindow=1&amp;ei=2MT0XrvGGM-vytMP1OyDgAY&amp;q=site%3Alinkedin.com+Jessica+Robson+Campus+Recruiter+EY")</f>
        <v>https://www.google.com/search?newwindow=1&amp;ei=2MT0XrvGGM-vytMP1OyDgAY&amp;q=site%3Alinkedin.com+Jessica+Robson+Campus+Recruiter+EY</v>
      </c>
      <c r="K2402" s="5" t="str">
        <f t="shared" si="1"/>
        <v>Jessica Robson</v>
      </c>
      <c r="L2402" s="5" t="str">
        <f t="shared" si="2"/>
        <v>Campus Recruiter</v>
      </c>
      <c r="M2402" s="5" t="str">
        <f t="shared" si="3"/>
        <v> </v>
      </c>
      <c r="N2402" s="5" t="str">
        <f t="shared" si="4"/>
        <v>Ernst &amp; Young</v>
      </c>
      <c r="O2402" s="5" t="str">
        <f t="shared" si="5"/>
        <v>6 years 9 months in role and company</v>
      </c>
      <c r="P2402" s="5" t="str">
        <f t="shared" si="6"/>
        <v>Atlanta</v>
      </c>
      <c r="Q2402" s="5" t="str">
        <f t="shared" si="7"/>
        <v>Georgia</v>
      </c>
      <c r="R2402" s="5" t="str">
        <f t="shared" si="8"/>
        <v>United States</v>
      </c>
    </row>
    <row r="2403">
      <c r="A2403" s="7" t="s">
        <v>695</v>
      </c>
      <c r="B2403" s="5" t="s">
        <v>693</v>
      </c>
      <c r="C2403" s="5" t="s">
        <v>625</v>
      </c>
      <c r="D2403" s="6" t="s">
        <v>13</v>
      </c>
      <c r="E2403" s="5" t="s">
        <v>682</v>
      </c>
      <c r="F2403" s="5" t="s">
        <v>694</v>
      </c>
      <c r="G2403" s="5" t="s">
        <v>137</v>
      </c>
      <c r="H2403" s="5" t="s">
        <v>137</v>
      </c>
      <c r="I2403" s="5" t="s">
        <v>18</v>
      </c>
      <c r="J2403" s="9" t="str">
        <f>IFERROR(__xludf.DUMMYFUNCTION("""COMPUTED_VALUE"""),"https://www.google.com/search?newwindow=1&amp;ei=2MT0XrvGGM-vytMP1OyDgAY&amp;q=site%3Alinkedin.com+Ellen+Stark+Campus+Recruiter+EY")</f>
        <v>https://www.google.com/search?newwindow=1&amp;ei=2MT0XrvGGM-vytMP1OyDgAY&amp;q=site%3Alinkedin.com+Ellen+Stark+Campus+Recruiter+EY</v>
      </c>
      <c r="K2403" s="5" t="str">
        <f t="shared" si="1"/>
        <v>Ellen Stark</v>
      </c>
      <c r="L2403" s="5" t="str">
        <f t="shared" si="2"/>
        <v>Campus Recruiter</v>
      </c>
      <c r="M2403" s="5" t="str">
        <f t="shared" si="3"/>
        <v> </v>
      </c>
      <c r="N2403" s="5" t="str">
        <f t="shared" si="4"/>
        <v>Ernst &amp; Young</v>
      </c>
      <c r="O2403" s="5" t="str">
        <f t="shared" si="5"/>
        <v>4 years 4 months in role and company</v>
      </c>
      <c r="P2403" s="5" t="str">
        <f t="shared" si="6"/>
        <v>Atlanta</v>
      </c>
      <c r="Q2403" s="5" t="str">
        <f t="shared" si="7"/>
        <v>Georgia</v>
      </c>
      <c r="R2403" s="5" t="str">
        <f t="shared" si="8"/>
        <v>United States</v>
      </c>
    </row>
    <row r="2404">
      <c r="A2404" s="7" t="s">
        <v>698</v>
      </c>
      <c r="B2404" s="5" t="s">
        <v>696</v>
      </c>
      <c r="C2404" s="5" t="s">
        <v>625</v>
      </c>
      <c r="D2404" s="6" t="s">
        <v>13</v>
      </c>
      <c r="E2404" s="5" t="s">
        <v>682</v>
      </c>
      <c r="F2404" s="5" t="s">
        <v>697</v>
      </c>
      <c r="G2404" s="5" t="s">
        <v>137</v>
      </c>
      <c r="H2404" s="5" t="s">
        <v>137</v>
      </c>
      <c r="I2404" s="5" t="s">
        <v>18</v>
      </c>
      <c r="J2404" s="9" t="str">
        <f>IFERROR(__xludf.DUMMYFUNCTION("""COMPUTED_VALUE"""),"https://www.google.com/search?newwindow=1&amp;ei=2MT0XrvGGM-vytMP1OyDgAY&amp;q=site%3Alinkedin.com+Katie+Fiorenzo+Sharp+Campus+Recruiter+-+Transaction+Advisory+Services+EY")</f>
        <v>https://www.google.com/search?newwindow=1&amp;ei=2MT0XrvGGM-vytMP1OyDgAY&amp;q=site%3Alinkedin.com+Katie+Fiorenzo+Sharp+Campus+Recruiter+-+Transaction+Advisory+Services+EY</v>
      </c>
      <c r="K2404" s="5" t="str">
        <f t="shared" si="1"/>
        <v>Katie Fiorenzo Sharp</v>
      </c>
      <c r="L2404" s="5" t="str">
        <f t="shared" si="2"/>
        <v>Campus Recruiter - Transaction Advisory Services</v>
      </c>
      <c r="M2404" s="5" t="str">
        <f t="shared" si="3"/>
        <v> </v>
      </c>
      <c r="N2404" s="5" t="str">
        <f t="shared" si="4"/>
        <v>Ernst &amp; Young</v>
      </c>
      <c r="O2404" s="5" t="str">
        <f t="shared" si="5"/>
        <v>6 years 5 months in role</v>
      </c>
      <c r="P2404" s="5" t="str">
        <f t="shared" si="6"/>
        <v>Atlanta</v>
      </c>
      <c r="Q2404" s="5" t="str">
        <f t="shared" si="7"/>
        <v>Georgia</v>
      </c>
      <c r="R2404" s="5" t="str">
        <f t="shared" si="8"/>
        <v>United States</v>
      </c>
    </row>
    <row r="2405">
      <c r="A2405" s="7" t="s">
        <v>700</v>
      </c>
      <c r="B2405" s="5" t="s">
        <v>699</v>
      </c>
      <c r="C2405" s="5" t="s">
        <v>25</v>
      </c>
      <c r="D2405" s="6" t="s">
        <v>13</v>
      </c>
      <c r="E2405" s="5" t="s">
        <v>682</v>
      </c>
      <c r="F2405" s="5" t="s">
        <v>36</v>
      </c>
      <c r="G2405" s="5" t="s">
        <v>137</v>
      </c>
      <c r="H2405" s="5" t="s">
        <v>137</v>
      </c>
      <c r="I2405" s="5" t="s">
        <v>18</v>
      </c>
      <c r="J2405" s="9" t="str">
        <f>IFERROR(__xludf.DUMMYFUNCTION("""COMPUTED_VALUE"""),"https://www.google.com/search?newwindow=1&amp;ei=2MT0XrvGGM-vytMP1OyDgAY&amp;q=site%3Alinkedin.com+Erica+Alfaro+Hammett+Campus+Recruiter,+Talent+Attraction+and+Acquisition+(TA2)+EY")</f>
        <v>https://www.google.com/search?newwindow=1&amp;ei=2MT0XrvGGM-vytMP1OyDgAY&amp;q=site%3Alinkedin.com+Erica+Alfaro+Hammett+Campus+Recruiter,+Talent+Attraction+and+Acquisition+(TA2)+EY</v>
      </c>
      <c r="K2405" s="5" t="str">
        <f t="shared" si="1"/>
        <v>Erica Alfaro Hammett</v>
      </c>
      <c r="L2405" s="5" t="str">
        <f t="shared" si="2"/>
        <v>Campus Recruiter, Talent Attraction and Acquisition (TA2)</v>
      </c>
      <c r="M2405" s="5" t="str">
        <f t="shared" si="3"/>
        <v> </v>
      </c>
      <c r="N2405" s="5" t="str">
        <f t="shared" si="4"/>
        <v>Ernst &amp; Young</v>
      </c>
      <c r="O2405" s="5" t="str">
        <f t="shared" si="5"/>
        <v>2 years 10 months in role and company</v>
      </c>
      <c r="P2405" s="5" t="str">
        <f t="shared" si="6"/>
        <v>Austin</v>
      </c>
      <c r="Q2405" s="5" t="str">
        <f t="shared" si="7"/>
        <v>Texas</v>
      </c>
      <c r="R2405" s="5" t="str">
        <f t="shared" si="8"/>
        <v>United States</v>
      </c>
    </row>
    <row r="2406">
      <c r="A2406" s="7" t="s">
        <v>704</v>
      </c>
      <c r="B2406" s="5" t="s">
        <v>701</v>
      </c>
      <c r="C2406" s="5" t="s">
        <v>47</v>
      </c>
      <c r="D2406" s="6" t="s">
        <v>13</v>
      </c>
      <c r="E2406" s="5" t="s">
        <v>702</v>
      </c>
      <c r="F2406" s="5" t="s">
        <v>331</v>
      </c>
      <c r="G2406" s="5" t="s">
        <v>703</v>
      </c>
      <c r="H2406" s="5" t="s">
        <v>137</v>
      </c>
      <c r="I2406" s="5" t="s">
        <v>18</v>
      </c>
      <c r="J2406" s="9" t="str">
        <f>IFERROR(__xludf.DUMMYFUNCTION("""COMPUTED_VALUE"""),"https://www.google.com/search?newwindow=1&amp;ei=2MT0XrvGGM-vytMP1OyDgAY&amp;q=site%3Alinkedin.com+Callie+Jones+Campus+Recruiter+EY")</f>
        <v>https://www.google.com/search?newwindow=1&amp;ei=2MT0XrvGGM-vytMP1OyDgAY&amp;q=site%3Alinkedin.com+Callie+Jones+Campus+Recruiter+EY</v>
      </c>
      <c r="K2406" s="5" t="str">
        <f t="shared" si="1"/>
        <v>Callie Jones</v>
      </c>
      <c r="L2406" s="5" t="str">
        <f t="shared" si="2"/>
        <v>Campus Recruiter</v>
      </c>
      <c r="M2406" s="5" t="str">
        <f t="shared" si="3"/>
        <v> </v>
      </c>
      <c r="N2406" s="5" t="str">
        <f t="shared" si="4"/>
        <v>Ernst &amp; Young</v>
      </c>
      <c r="O2406" s="5" t="str">
        <f t="shared" si="5"/>
        <v>3 years  in role</v>
      </c>
      <c r="P2406" s="5" t="str">
        <f t="shared" si="6"/>
        <v>Austin</v>
      </c>
      <c r="Q2406" s="5" t="str">
        <f t="shared" si="7"/>
        <v>Texas</v>
      </c>
      <c r="R2406" s="5" t="str">
        <f t="shared" si="8"/>
        <v>United States</v>
      </c>
    </row>
    <row r="2407">
      <c r="A2407" s="7" t="s">
        <v>707</v>
      </c>
      <c r="B2407" s="5" t="s">
        <v>705</v>
      </c>
      <c r="C2407" s="5" t="s">
        <v>25</v>
      </c>
      <c r="D2407" s="6" t="s">
        <v>13</v>
      </c>
      <c r="E2407" s="5" t="s">
        <v>702</v>
      </c>
      <c r="F2407" s="5" t="s">
        <v>387</v>
      </c>
      <c r="G2407" s="5" t="s">
        <v>706</v>
      </c>
      <c r="H2407" s="5" t="s">
        <v>96</v>
      </c>
      <c r="I2407" s="5" t="s">
        <v>18</v>
      </c>
      <c r="J2407" s="9" t="str">
        <f>IFERROR(__xludf.DUMMYFUNCTION("""COMPUTED_VALUE"""),"https://www.google.com/search?newwindow=1&amp;ei=2MT0XrvGGM-vytMP1OyDgAY&amp;q=site%3Alinkedin.com+Ally+Yawman+Campus+Recruiter+EY")</f>
        <v>https://www.google.com/search?newwindow=1&amp;ei=2MT0XrvGGM-vytMP1OyDgAY&amp;q=site%3Alinkedin.com+Ally+Yawman+Campus+Recruiter+EY</v>
      </c>
      <c r="K2407" s="5" t="str">
        <f t="shared" si="1"/>
        <v>Ally Yawman</v>
      </c>
      <c r="L2407" s="5" t="str">
        <f t="shared" si="2"/>
        <v>Campus Recruiter</v>
      </c>
      <c r="M2407" s="5" t="str">
        <f t="shared" si="3"/>
        <v> </v>
      </c>
      <c r="N2407" s="5" t="str">
        <f t="shared" si="4"/>
        <v>Ernst &amp; Young</v>
      </c>
      <c r="O2407" s="5" t="str">
        <f t="shared" si="5"/>
        <v>6 years 2 months in role and company</v>
      </c>
      <c r="P2407" s="5" t="str">
        <f t="shared" si="6"/>
        <v>Baltimore</v>
      </c>
      <c r="Q2407" s="5" t="str">
        <f t="shared" si="7"/>
        <v>Maryland</v>
      </c>
      <c r="R2407" s="5" t="str">
        <f t="shared" si="8"/>
        <v>United States</v>
      </c>
    </row>
    <row r="2408">
      <c r="A2408" s="7" t="s">
        <v>710</v>
      </c>
      <c r="B2408" s="5" t="s">
        <v>708</v>
      </c>
      <c r="C2408" s="5" t="s">
        <v>709</v>
      </c>
      <c r="D2408" s="6" t="s">
        <v>13</v>
      </c>
      <c r="E2408" s="5" t="s">
        <v>702</v>
      </c>
      <c r="F2408" s="5" t="s">
        <v>241</v>
      </c>
      <c r="G2408" s="5" t="s">
        <v>137</v>
      </c>
      <c r="H2408" s="5" t="s">
        <v>137</v>
      </c>
      <c r="I2408" s="5" t="s">
        <v>18</v>
      </c>
      <c r="J2408" s="9" t="str">
        <f>IFERROR(__xludf.DUMMYFUNCTION("""COMPUTED_VALUE"""),"https://www.google.com/search?newwindow=1&amp;ei=2MT0XrvGGM-vytMP1OyDgAY&amp;q=site%3Alinkedin.com+Jennifer+Nienberg+Campus+Recruiter+EY")</f>
        <v>https://www.google.com/search?newwindow=1&amp;ei=2MT0XrvGGM-vytMP1OyDgAY&amp;q=site%3Alinkedin.com+Jennifer+Nienberg+Campus+Recruiter+EY</v>
      </c>
      <c r="K2408" s="5" t="str">
        <f t="shared" si="1"/>
        <v>Jennifer Nienberg</v>
      </c>
      <c r="L2408" s="5" t="str">
        <f t="shared" si="2"/>
        <v>Campus Recruiter</v>
      </c>
      <c r="M2408" s="5" t="str">
        <f t="shared" si="3"/>
        <v> </v>
      </c>
      <c r="N2408" s="5" t="str">
        <f t="shared" si="4"/>
        <v>Ernst &amp; Young</v>
      </c>
      <c r="O2408" s="5" t="str">
        <f t="shared" si="5"/>
        <v>4 years 8 months in role</v>
      </c>
      <c r="P2408" s="5" t="str">
        <f t="shared" si="6"/>
        <v>Birmingham</v>
      </c>
      <c r="Q2408" s="5" t="str">
        <f t="shared" si="7"/>
        <v>Michigan</v>
      </c>
      <c r="R2408" s="5" t="str">
        <f t="shared" si="8"/>
        <v>United States</v>
      </c>
    </row>
    <row r="2409">
      <c r="A2409" s="7" t="s">
        <v>713</v>
      </c>
      <c r="B2409" s="5" t="s">
        <v>711</v>
      </c>
      <c r="C2409" s="5" t="s">
        <v>25</v>
      </c>
      <c r="D2409" s="6" t="s">
        <v>13</v>
      </c>
      <c r="E2409" s="5" t="s">
        <v>702</v>
      </c>
      <c r="F2409" s="5" t="s">
        <v>712</v>
      </c>
      <c r="G2409" s="5" t="s">
        <v>137</v>
      </c>
      <c r="H2409" s="5" t="s">
        <v>137</v>
      </c>
      <c r="I2409" s="5" t="s">
        <v>18</v>
      </c>
      <c r="J2409" s="9" t="str">
        <f>IFERROR(__xludf.DUMMYFUNCTION("""COMPUTED_VALUE"""),"https://www.google.com/search?newwindow=1&amp;ei=2MT0XrvGGM-vytMP1OyDgAY&amp;q=site%3Alinkedin.com+Katie+Mullaney+Campus+Recruiter+EY")</f>
        <v>https://www.google.com/search?newwindow=1&amp;ei=2MT0XrvGGM-vytMP1OyDgAY&amp;q=site%3Alinkedin.com+Katie+Mullaney+Campus+Recruiter+EY</v>
      </c>
      <c r="K2409" s="5" t="str">
        <f t="shared" si="1"/>
        <v>Katie Mullaney</v>
      </c>
      <c r="L2409" s="5" t="str">
        <f t="shared" si="2"/>
        <v>Campus Recruiter</v>
      </c>
      <c r="M2409" s="5" t="str">
        <f t="shared" si="3"/>
        <v> </v>
      </c>
      <c r="N2409" s="5" t="str">
        <f t="shared" si="4"/>
        <v>Ernst &amp; Young</v>
      </c>
      <c r="O2409" s="5" t="str">
        <f t="shared" si="5"/>
        <v>1 year 2 months in role</v>
      </c>
      <c r="P2409" s="5" t="str">
        <f t="shared" si="6"/>
        <v>Boston</v>
      </c>
      <c r="Q2409" s="5" t="str">
        <f t="shared" si="7"/>
        <v>Massachusetts</v>
      </c>
      <c r="R2409" s="5" t="str">
        <f t="shared" si="8"/>
        <v>United States</v>
      </c>
    </row>
    <row r="2410">
      <c r="A2410" s="7" t="s">
        <v>717</v>
      </c>
      <c r="B2410" s="5" t="s">
        <v>714</v>
      </c>
      <c r="C2410" s="5" t="s">
        <v>715</v>
      </c>
      <c r="D2410" s="6" t="s">
        <v>13</v>
      </c>
      <c r="E2410" s="5" t="s">
        <v>702</v>
      </c>
      <c r="F2410" s="5" t="s">
        <v>716</v>
      </c>
      <c r="G2410" s="5" t="s">
        <v>137</v>
      </c>
      <c r="H2410" s="5" t="s">
        <v>137</v>
      </c>
      <c r="I2410" s="5" t="s">
        <v>18</v>
      </c>
      <c r="J2410" s="9" t="str">
        <f>IFERROR(__xludf.DUMMYFUNCTION("""COMPUTED_VALUE"""),"https://www.google.com/search?newwindow=1&amp;ei=2MT0XrvGGM-vytMP1OyDgAY&amp;q=site%3Alinkedin.com+Sarah+Fraser+US-East+Campus+Recruiter,+Supervising+Assoc.+EY")</f>
        <v>https://www.google.com/search?newwindow=1&amp;ei=2MT0XrvGGM-vytMP1OyDgAY&amp;q=site%3Alinkedin.com+Sarah+Fraser+US-East+Campus+Recruiter,+Supervising+Assoc.+EY</v>
      </c>
      <c r="K2410" s="5" t="str">
        <f t="shared" si="1"/>
        <v>Sarah Fraser</v>
      </c>
      <c r="L2410" s="5" t="str">
        <f t="shared" si="2"/>
        <v>US-East Campus Recruiter, Supervising Assoc.</v>
      </c>
      <c r="M2410" s="5" t="str">
        <f t="shared" si="3"/>
        <v> </v>
      </c>
      <c r="N2410" s="5" t="str">
        <f t="shared" si="4"/>
        <v>Ernst &amp; Young</v>
      </c>
      <c r="O2410" s="5" t="str">
        <f t="shared" si="5"/>
        <v>1 year 1 month in role</v>
      </c>
      <c r="P2410" s="5" t="str">
        <f t="shared" si="6"/>
        <v>Boston</v>
      </c>
      <c r="Q2410" s="5" t="str">
        <f t="shared" si="7"/>
        <v>Massachusetts</v>
      </c>
      <c r="R2410" s="5" t="str">
        <f t="shared" si="8"/>
        <v>United States</v>
      </c>
    </row>
    <row r="2411">
      <c r="A2411" s="7" t="s">
        <v>719</v>
      </c>
      <c r="B2411" s="5" t="s">
        <v>718</v>
      </c>
      <c r="C2411" s="5" t="s">
        <v>715</v>
      </c>
      <c r="D2411" s="6" t="s">
        <v>13</v>
      </c>
      <c r="E2411" s="5" t="s">
        <v>702</v>
      </c>
      <c r="F2411" s="5" t="s">
        <v>351</v>
      </c>
      <c r="G2411" s="5" t="s">
        <v>137</v>
      </c>
      <c r="H2411" s="5" t="s">
        <v>137</v>
      </c>
      <c r="I2411" s="5" t="s">
        <v>18</v>
      </c>
      <c r="J2411" s="9" t="str">
        <f>IFERROR(__xludf.DUMMYFUNCTION("""COMPUTED_VALUE"""),"https://www.google.com/search?newwindow=1&amp;ei=2MT0XrvGGM-vytMP1OyDgAY&amp;q=site%3Alinkedin.com+Lauren+Thornton+Campus+Recruiter+EY")</f>
        <v>https://www.google.com/search?newwindow=1&amp;ei=2MT0XrvGGM-vytMP1OyDgAY&amp;q=site%3Alinkedin.com+Lauren+Thornton+Campus+Recruiter+EY</v>
      </c>
      <c r="K2411" s="5" t="str">
        <f t="shared" si="1"/>
        <v>Lauren Thornton</v>
      </c>
      <c r="L2411" s="5" t="str">
        <f t="shared" si="2"/>
        <v>Campus Recruiter</v>
      </c>
      <c r="M2411" s="5" t="str">
        <f t="shared" si="3"/>
        <v> </v>
      </c>
      <c r="N2411" s="5" t="str">
        <f t="shared" si="4"/>
        <v>Ernst &amp; Young</v>
      </c>
      <c r="O2411" s="5" t="str">
        <f t="shared" si="5"/>
        <v>1 year 2 months in role and company</v>
      </c>
      <c r="P2411" s="5" t="str">
        <f t="shared" si="6"/>
        <v>Boston</v>
      </c>
      <c r="Q2411" s="5" t="str">
        <f t="shared" si="7"/>
        <v>Massachusetts</v>
      </c>
      <c r="R2411" s="5" t="str">
        <f t="shared" si="8"/>
        <v>United States</v>
      </c>
    </row>
    <row r="2412">
      <c r="A2412" s="7" t="s">
        <v>721</v>
      </c>
      <c r="B2412" s="5" t="s">
        <v>720</v>
      </c>
      <c r="C2412" s="5" t="s">
        <v>715</v>
      </c>
      <c r="D2412" s="6" t="s">
        <v>13</v>
      </c>
      <c r="E2412" s="5" t="s">
        <v>702</v>
      </c>
      <c r="F2412" s="5" t="s">
        <v>36</v>
      </c>
      <c r="G2412" s="5" t="s">
        <v>137</v>
      </c>
      <c r="H2412" s="5" t="s">
        <v>137</v>
      </c>
      <c r="I2412" s="5" t="s">
        <v>18</v>
      </c>
      <c r="J2412" s="9" t="str">
        <f>IFERROR(__xludf.DUMMYFUNCTION("""COMPUTED_VALUE"""),"https://www.google.com/search?newwindow=1&amp;ei=2MT0XrvGGM-vytMP1OyDgAY&amp;q=site%3Alinkedin.com+Addison+Hugo+Recruiter,+Campus+Talent+Attraction+and+Acquisition+EY")</f>
        <v>https://www.google.com/search?newwindow=1&amp;ei=2MT0XrvGGM-vytMP1OyDgAY&amp;q=site%3Alinkedin.com+Addison+Hugo+Recruiter,+Campus+Talent+Attraction+and+Acquisition+EY</v>
      </c>
      <c r="K2412" s="5" t="str">
        <f t="shared" si="1"/>
        <v>Addison Hugo</v>
      </c>
      <c r="L2412" s="5" t="str">
        <f t="shared" si="2"/>
        <v>Recruiter, Campus Talent Attraction and Acquisition</v>
      </c>
      <c r="M2412" s="5" t="str">
        <f t="shared" si="3"/>
        <v> </v>
      </c>
      <c r="N2412" s="5" t="str">
        <f t="shared" si="4"/>
        <v>Ernst &amp; Young</v>
      </c>
      <c r="O2412" s="5" t="str">
        <f t="shared" si="5"/>
        <v>1 year 4 months in role</v>
      </c>
      <c r="P2412" s="5" t="str">
        <f t="shared" si="6"/>
        <v>Boston</v>
      </c>
      <c r="Q2412" s="5" t="str">
        <f t="shared" si="7"/>
        <v>Massachusetts</v>
      </c>
      <c r="R2412" s="5" t="str">
        <f t="shared" si="8"/>
        <v>United States</v>
      </c>
    </row>
    <row r="2413">
      <c r="A2413" s="7" t="s">
        <v>723</v>
      </c>
      <c r="B2413" s="5" t="s">
        <v>722</v>
      </c>
      <c r="C2413" s="5" t="s">
        <v>715</v>
      </c>
      <c r="D2413" s="6" t="s">
        <v>13</v>
      </c>
      <c r="E2413" s="5" t="s">
        <v>702</v>
      </c>
      <c r="F2413" s="5" t="s">
        <v>441</v>
      </c>
      <c r="G2413" s="5" t="s">
        <v>137</v>
      </c>
      <c r="H2413" s="5" t="s">
        <v>137</v>
      </c>
      <c r="I2413" s="5" t="s">
        <v>18</v>
      </c>
      <c r="J2413" s="9" t="str">
        <f>IFERROR(__xludf.DUMMYFUNCTION("""COMPUTED_VALUE"""),"https://www.google.com/search?newwindow=1&amp;ei=2MT0XrvGGM-vytMP1OyDgAY&amp;q=site%3Alinkedin.com+Meaghan+Sansbury+Campus+Recruiter,+Supervising+Associate+EY")</f>
        <v>https://www.google.com/search?newwindow=1&amp;ei=2MT0XrvGGM-vytMP1OyDgAY&amp;q=site%3Alinkedin.com+Meaghan+Sansbury+Campus+Recruiter,+Supervising+Associate+EY</v>
      </c>
      <c r="K2413" s="5" t="str">
        <f t="shared" si="1"/>
        <v>Meaghan Sansbury</v>
      </c>
      <c r="L2413" s="5" t="str">
        <f t="shared" si="2"/>
        <v>Campus Recruiter, Supervising Associate</v>
      </c>
      <c r="M2413" s="5" t="str">
        <f t="shared" si="3"/>
        <v> </v>
      </c>
      <c r="N2413" s="5" t="str">
        <f t="shared" si="4"/>
        <v>Ernst &amp; Young</v>
      </c>
      <c r="O2413" s="5" t="str">
        <f t="shared" si="5"/>
        <v>1 year 1 month in role</v>
      </c>
      <c r="P2413" s="5" t="str">
        <f t="shared" si="6"/>
        <v>Boston</v>
      </c>
      <c r="Q2413" s="5" t="str">
        <f t="shared" si="7"/>
        <v>Massachusetts</v>
      </c>
      <c r="R2413" s="5" t="str">
        <f t="shared" si="8"/>
        <v>United States</v>
      </c>
    </row>
    <row r="2414">
      <c r="A2414" s="7" t="s">
        <v>725</v>
      </c>
      <c r="B2414" s="5" t="s">
        <v>724</v>
      </c>
      <c r="C2414" s="5" t="s">
        <v>25</v>
      </c>
      <c r="D2414" s="6" t="s">
        <v>13</v>
      </c>
      <c r="E2414" s="5" t="s">
        <v>702</v>
      </c>
      <c r="F2414" s="5" t="s">
        <v>512</v>
      </c>
      <c r="G2414" s="5" t="s">
        <v>137</v>
      </c>
      <c r="H2414" s="5" t="s">
        <v>137</v>
      </c>
      <c r="I2414" s="5" t="s">
        <v>18</v>
      </c>
      <c r="J2414" s="9" t="str">
        <f>IFERROR(__xludf.DUMMYFUNCTION("""COMPUTED_VALUE"""),"https://www.google.com/search?newwindow=1&amp;ei=2MT0XrvGGM-vytMP1OyDgAY&amp;q=site%3Alinkedin.com+Jessica+M.+Campus+Recruiter;+Supervising+Associate+EY")</f>
        <v>https://www.google.com/search?newwindow=1&amp;ei=2MT0XrvGGM-vytMP1OyDgAY&amp;q=site%3Alinkedin.com+Jessica+M.+Campus+Recruiter;+Supervising+Associate+EY</v>
      </c>
      <c r="K2414" s="5" t="str">
        <f t="shared" si="1"/>
        <v>Jessica M.</v>
      </c>
      <c r="L2414" s="5" t="str">
        <f t="shared" si="2"/>
        <v>Campus Recruiter; Supervising Associate</v>
      </c>
      <c r="M2414" s="5" t="str">
        <f t="shared" si="3"/>
        <v> </v>
      </c>
      <c r="N2414" s="5" t="str">
        <f t="shared" si="4"/>
        <v>Ernst &amp; Young</v>
      </c>
      <c r="O2414" s="5" t="str">
        <f t="shared" si="5"/>
        <v>1 year 1 month in role</v>
      </c>
      <c r="P2414" s="5" t="str">
        <f t="shared" si="6"/>
        <v>Boston</v>
      </c>
      <c r="Q2414" s="5" t="str">
        <f t="shared" si="7"/>
        <v>Massachusetts</v>
      </c>
      <c r="R2414" s="5" t="str">
        <f t="shared" si="8"/>
        <v>United States</v>
      </c>
    </row>
    <row r="2415">
      <c r="A2415" s="7" t="s">
        <v>728</v>
      </c>
      <c r="B2415" s="5" t="s">
        <v>726</v>
      </c>
      <c r="C2415" s="5" t="s">
        <v>715</v>
      </c>
      <c r="D2415" s="6" t="s">
        <v>13</v>
      </c>
      <c r="E2415" s="5" t="s">
        <v>702</v>
      </c>
      <c r="F2415" s="5" t="s">
        <v>727</v>
      </c>
      <c r="G2415" s="5" t="s">
        <v>137</v>
      </c>
      <c r="H2415" s="5" t="s">
        <v>137</v>
      </c>
      <c r="I2415" s="5" t="s">
        <v>18</v>
      </c>
      <c r="J2415" s="9" t="str">
        <f>IFERROR(__xludf.DUMMYFUNCTION("""COMPUTED_VALUE"""),"https://www.google.com/search?newwindow=1&amp;ei=2MT0XrvGGM-vytMP1OyDgAY&amp;q=site%3Alinkedin.com+Yasmin+Xavier+Campus+Recruiter+EY")</f>
        <v>https://www.google.com/search?newwindow=1&amp;ei=2MT0XrvGGM-vytMP1OyDgAY&amp;q=site%3Alinkedin.com+Yasmin+Xavier+Campus+Recruiter+EY</v>
      </c>
      <c r="K2415" s="5" t="str">
        <f t="shared" si="1"/>
        <v>Yasmin Xavier</v>
      </c>
      <c r="L2415" s="5" t="str">
        <f t="shared" si="2"/>
        <v>Campus Recruiter</v>
      </c>
      <c r="M2415" s="5" t="str">
        <f t="shared" si="3"/>
        <v> </v>
      </c>
      <c r="N2415" s="5" t="str">
        <f t="shared" si="4"/>
        <v>Ernst &amp; Young</v>
      </c>
      <c r="O2415" s="5" t="str">
        <f t="shared" si="5"/>
        <v>1 year 11 months in role</v>
      </c>
      <c r="P2415" s="5" t="str">
        <f t="shared" si="6"/>
        <v>Boston</v>
      </c>
      <c r="Q2415" s="5" t="str">
        <f t="shared" si="7"/>
        <v>Massachusetts</v>
      </c>
      <c r="R2415" s="5" t="str">
        <f t="shared" si="8"/>
        <v>United States</v>
      </c>
    </row>
    <row r="2416">
      <c r="A2416" s="7" t="s">
        <v>730</v>
      </c>
      <c r="B2416" s="5" t="s">
        <v>729</v>
      </c>
      <c r="C2416" s="5" t="s">
        <v>25</v>
      </c>
      <c r="D2416" s="6" t="s">
        <v>13</v>
      </c>
      <c r="E2416" s="5" t="s">
        <v>702</v>
      </c>
      <c r="F2416" s="5" t="s">
        <v>175</v>
      </c>
      <c r="G2416" s="5" t="s">
        <v>137</v>
      </c>
      <c r="H2416" s="5" t="s">
        <v>137</v>
      </c>
      <c r="I2416" s="5" t="s">
        <v>18</v>
      </c>
      <c r="J2416" s="9" t="str">
        <f>IFERROR(__xludf.DUMMYFUNCTION("""COMPUTED_VALUE"""),"https://www.google.com/search?newwindow=1&amp;ei=2MT0XrvGGM-vytMP1OyDgAY&amp;q=site%3Alinkedin.com+Lorene+Santos+Rabelo+Campus+Recruiter+EY")</f>
        <v>https://www.google.com/search?newwindow=1&amp;ei=2MT0XrvGGM-vytMP1OyDgAY&amp;q=site%3Alinkedin.com+Lorene+Santos+Rabelo+Campus+Recruiter+EY</v>
      </c>
      <c r="K2416" s="5" t="str">
        <f t="shared" si="1"/>
        <v>Lorene Santos Rabelo</v>
      </c>
      <c r="L2416" s="5" t="str">
        <f t="shared" si="2"/>
        <v>Campus Recruiter</v>
      </c>
      <c r="M2416" s="5" t="str">
        <f t="shared" si="3"/>
        <v> </v>
      </c>
      <c r="N2416" s="5" t="str">
        <f t="shared" si="4"/>
        <v>Ernst &amp; Young</v>
      </c>
      <c r="O2416" s="5" t="str">
        <f t="shared" si="5"/>
        <v>1 year  in role and company</v>
      </c>
      <c r="P2416" s="5" t="str">
        <f t="shared" si="6"/>
        <v>Bridgeport</v>
      </c>
      <c r="Q2416" s="5" t="str">
        <f t="shared" si="7"/>
        <v>Connecticut</v>
      </c>
      <c r="R2416" s="5" t="str">
        <f t="shared" si="8"/>
        <v>United States</v>
      </c>
    </row>
    <row r="2417">
      <c r="A2417" s="7" t="s">
        <v>732</v>
      </c>
      <c r="B2417" s="5" t="s">
        <v>731</v>
      </c>
      <c r="C2417" s="5" t="s">
        <v>25</v>
      </c>
      <c r="D2417" s="6" t="s">
        <v>13</v>
      </c>
      <c r="E2417" s="5" t="s">
        <v>702</v>
      </c>
      <c r="F2417" s="5" t="s">
        <v>121</v>
      </c>
      <c r="G2417" s="5" t="s">
        <v>137</v>
      </c>
      <c r="H2417" s="5" t="s">
        <v>137</v>
      </c>
      <c r="I2417" s="5" t="s">
        <v>18</v>
      </c>
      <c r="J2417" s="9" t="str">
        <f>IFERROR(__xludf.DUMMYFUNCTION("""COMPUTED_VALUE"""),"https://www.google.com/search?newwindow=1&amp;ei=2MT0XrvGGM-vytMP1OyDgAY&amp;q=site%3Alinkedin.com+Erin+Green+Campus+Recruiting+Manager+EY")</f>
        <v>https://www.google.com/search?newwindow=1&amp;ei=2MT0XrvGGM-vytMP1OyDgAY&amp;q=site%3Alinkedin.com+Erin+Green+Campus+Recruiting+Manager+EY</v>
      </c>
      <c r="K2417" s="5" t="str">
        <f t="shared" si="1"/>
        <v>Erin Green</v>
      </c>
      <c r="L2417" s="5" t="str">
        <f t="shared" si="2"/>
        <v>Campus Recruiting Manager</v>
      </c>
      <c r="M2417" s="5" t="str">
        <f t="shared" si="3"/>
        <v> </v>
      </c>
      <c r="N2417" s="5" t="str">
        <f t="shared" si="4"/>
        <v>Ernst &amp; Young</v>
      </c>
      <c r="O2417" s="5" t="str">
        <f t="shared" si="5"/>
        <v>7 years 7 months in role</v>
      </c>
      <c r="P2417" s="5" t="str">
        <f t="shared" si="6"/>
        <v>Charlotte</v>
      </c>
      <c r="Q2417" s="5" t="str">
        <f t="shared" si="7"/>
        <v>North Carolina</v>
      </c>
      <c r="R2417" s="5" t="str">
        <f t="shared" si="8"/>
        <v>United States</v>
      </c>
    </row>
    <row r="2418">
      <c r="A2418" s="7" t="s">
        <v>735</v>
      </c>
      <c r="B2418" s="5" t="s">
        <v>733</v>
      </c>
      <c r="C2418" s="5" t="s">
        <v>715</v>
      </c>
      <c r="D2418" s="6" t="s">
        <v>13</v>
      </c>
      <c r="E2418" s="5" t="s">
        <v>702</v>
      </c>
      <c r="F2418" s="5" t="s">
        <v>734</v>
      </c>
      <c r="G2418" s="5" t="s">
        <v>137</v>
      </c>
      <c r="H2418" s="5" t="s">
        <v>137</v>
      </c>
      <c r="I2418" s="5" t="s">
        <v>18</v>
      </c>
      <c r="J2418" s="9" t="str">
        <f>IFERROR(__xludf.DUMMYFUNCTION("""COMPUTED_VALUE"""),"https://www.google.com/search?newwindow=1&amp;ei=2MT0XrvGGM-vytMP1OyDgAY&amp;q=site%3Alinkedin.com+Ella+Ryan+Campus+Recruiter+EY")</f>
        <v>https://www.google.com/search?newwindow=1&amp;ei=2MT0XrvGGM-vytMP1OyDgAY&amp;q=site%3Alinkedin.com+Ella+Ryan+Campus+Recruiter+EY</v>
      </c>
      <c r="K2418" s="5" t="str">
        <f t="shared" si="1"/>
        <v>Ella Ryan</v>
      </c>
      <c r="L2418" s="5" t="str">
        <f t="shared" si="2"/>
        <v>Campus Recruiter</v>
      </c>
      <c r="M2418" s="5" t="str">
        <f t="shared" si="3"/>
        <v> </v>
      </c>
      <c r="N2418" s="5" t="str">
        <f t="shared" si="4"/>
        <v>Ernst &amp; Young</v>
      </c>
      <c r="O2418" s="5" t="str">
        <f t="shared" si="5"/>
        <v>1 year 2 months in role</v>
      </c>
      <c r="P2418" s="5" t="str">
        <f t="shared" si="6"/>
        <v>Charlotte</v>
      </c>
      <c r="Q2418" s="5" t="str">
        <f t="shared" si="7"/>
        <v>North Carolina</v>
      </c>
      <c r="R2418" s="5" t="str">
        <f t="shared" si="8"/>
        <v>United States</v>
      </c>
    </row>
    <row r="2419">
      <c r="A2419" s="8" t="s">
        <v>739</v>
      </c>
      <c r="B2419" s="5" t="s">
        <v>736</v>
      </c>
      <c r="C2419" s="5" t="s">
        <v>25</v>
      </c>
      <c r="D2419" s="6" t="s">
        <v>13</v>
      </c>
      <c r="E2419" s="5" t="s">
        <v>737</v>
      </c>
      <c r="F2419" s="5" t="s">
        <v>512</v>
      </c>
      <c r="G2419" s="5" t="s">
        <v>738</v>
      </c>
      <c r="H2419" s="5" t="s">
        <v>154</v>
      </c>
      <c r="I2419" s="5" t="s">
        <v>18</v>
      </c>
      <c r="J2419" s="9" t="str">
        <f>IFERROR(__xludf.DUMMYFUNCTION("""COMPUTED_VALUE"""),"https://www.google.com/search?newwindow=1&amp;ei=2MT0XrvGGM-vytMP1OyDgAY&amp;q=site%3Alinkedin.com+Catherine+Nolff+Campus+Recruiter+EY")</f>
        <v>https://www.google.com/search?newwindow=1&amp;ei=2MT0XrvGGM-vytMP1OyDgAY&amp;q=site%3Alinkedin.com+Catherine+Nolff+Campus+Recruiter+EY</v>
      </c>
      <c r="K2419" s="5" t="str">
        <f t="shared" si="1"/>
        <v>Catherine Nolff</v>
      </c>
      <c r="L2419" s="5" t="str">
        <f t="shared" si="2"/>
        <v>Campus Recruiter</v>
      </c>
      <c r="M2419" s="5" t="str">
        <f t="shared" si="3"/>
        <v> </v>
      </c>
      <c r="N2419" s="5" t="str">
        <f t="shared" si="4"/>
        <v>Ernst &amp; Young</v>
      </c>
      <c r="O2419" s="5" t="str">
        <f t="shared" si="5"/>
        <v>3 years 2 months in role and company</v>
      </c>
      <c r="P2419" s="5" t="str">
        <f t="shared" si="6"/>
        <v>Charlotte</v>
      </c>
      <c r="Q2419" s="5" t="str">
        <f t="shared" si="7"/>
        <v>North Carolina</v>
      </c>
      <c r="R2419" s="5" t="str">
        <f t="shared" si="8"/>
        <v>United States</v>
      </c>
    </row>
    <row r="2420">
      <c r="A2420" s="7" t="s">
        <v>742</v>
      </c>
      <c r="B2420" s="5" t="s">
        <v>740</v>
      </c>
      <c r="C2420" s="5" t="s">
        <v>741</v>
      </c>
      <c r="D2420" s="6" t="s">
        <v>13</v>
      </c>
      <c r="E2420" s="5" t="s">
        <v>737</v>
      </c>
      <c r="F2420" s="5" t="s">
        <v>222</v>
      </c>
      <c r="G2420" s="5" t="s">
        <v>295</v>
      </c>
      <c r="H2420" s="5" t="s">
        <v>154</v>
      </c>
      <c r="I2420" s="5" t="s">
        <v>18</v>
      </c>
      <c r="J2420" s="9" t="str">
        <f>IFERROR(__xludf.DUMMYFUNCTION("""COMPUTED_VALUE"""),"https://www.google.com/search?newwindow=1&amp;ei=2MT0XrvGGM-vytMP1OyDgAY&amp;q=site%3Alinkedin.com+Merissa+Medlin+Campus+Recruiter+EY")</f>
        <v>https://www.google.com/search?newwindow=1&amp;ei=2MT0XrvGGM-vytMP1OyDgAY&amp;q=site%3Alinkedin.com+Merissa+Medlin+Campus+Recruiter+EY</v>
      </c>
      <c r="K2420" s="5" t="str">
        <f t="shared" si="1"/>
        <v>Merissa Medlin</v>
      </c>
      <c r="L2420" s="5" t="str">
        <f t="shared" si="2"/>
        <v>Campus Recruiter</v>
      </c>
      <c r="M2420" s="5" t="str">
        <f t="shared" si="3"/>
        <v> </v>
      </c>
      <c r="N2420" s="5" t="str">
        <f t="shared" si="4"/>
        <v>Ernst &amp; Young</v>
      </c>
      <c r="O2420" s="5" t="str">
        <f t="shared" si="5"/>
        <v>7 years 2 months in role and company</v>
      </c>
      <c r="P2420" s="5" t="str">
        <f t="shared" si="6"/>
        <v>Charlotte</v>
      </c>
      <c r="Q2420" s="5" t="str">
        <f t="shared" si="7"/>
        <v>North Carolina</v>
      </c>
      <c r="R2420" s="5" t="str">
        <f t="shared" si="8"/>
        <v>United States</v>
      </c>
    </row>
    <row r="2421">
      <c r="A2421" s="7" t="s">
        <v>745</v>
      </c>
      <c r="B2421" s="5" t="s">
        <v>743</v>
      </c>
      <c r="C2421" s="5" t="s">
        <v>744</v>
      </c>
      <c r="D2421" s="6" t="s">
        <v>13</v>
      </c>
      <c r="E2421" s="5" t="s">
        <v>737</v>
      </c>
      <c r="F2421" s="5" t="s">
        <v>228</v>
      </c>
      <c r="G2421" s="5" t="s">
        <v>295</v>
      </c>
      <c r="H2421" s="5" t="s">
        <v>154</v>
      </c>
      <c r="I2421" s="5" t="s">
        <v>18</v>
      </c>
      <c r="J2421" s="9" t="str">
        <f>IFERROR(__xludf.DUMMYFUNCTION("""COMPUTED_VALUE"""),"https://www.google.com/search?newwindow=1&amp;ei=2MT0XrvGGM-vytMP1OyDgAY&amp;q=site%3Alinkedin.com+Anuj+Patel+Campus+Recruiter+EY")</f>
        <v>https://www.google.com/search?newwindow=1&amp;ei=2MT0XrvGGM-vytMP1OyDgAY&amp;q=site%3Alinkedin.com+Anuj+Patel+Campus+Recruiter+EY</v>
      </c>
      <c r="K2421" s="5" t="str">
        <f t="shared" si="1"/>
        <v>Anuj Patel</v>
      </c>
      <c r="L2421" s="5" t="str">
        <f t="shared" si="2"/>
        <v>Campus Recruiter</v>
      </c>
      <c r="M2421" s="5" t="str">
        <f t="shared" si="3"/>
        <v> </v>
      </c>
      <c r="N2421" s="5" t="str">
        <f t="shared" si="4"/>
        <v>Ernst &amp; Young</v>
      </c>
      <c r="O2421" s="5" t="str">
        <f t="shared" si="5"/>
        <v>4 years 10 months in role</v>
      </c>
      <c r="P2421" s="5" t="str">
        <f t="shared" si="6"/>
        <v>Chicago</v>
      </c>
      <c r="Q2421" s="5" t="str">
        <f t="shared" si="7"/>
        <v>Illinois</v>
      </c>
      <c r="R2421" s="5" t="str">
        <f t="shared" si="8"/>
        <v>United States</v>
      </c>
    </row>
    <row r="2422">
      <c r="A2422" s="7" t="s">
        <v>748</v>
      </c>
      <c r="B2422" s="5" t="s">
        <v>746</v>
      </c>
      <c r="C2422" s="5" t="s">
        <v>747</v>
      </c>
      <c r="D2422" s="6" t="s">
        <v>13</v>
      </c>
      <c r="E2422" s="5" t="s">
        <v>737</v>
      </c>
      <c r="F2422" s="5" t="s">
        <v>79</v>
      </c>
      <c r="G2422" s="5" t="s">
        <v>295</v>
      </c>
      <c r="H2422" s="5" t="s">
        <v>154</v>
      </c>
      <c r="I2422" s="5" t="s">
        <v>18</v>
      </c>
      <c r="J2422" s="9" t="str">
        <f>IFERROR(__xludf.DUMMYFUNCTION("""COMPUTED_VALUE"""),"https://www.google.com/search?newwindow=1&amp;ei=2MT0XrvGGM-vytMP1OyDgAY&amp;q=site%3Alinkedin.com+Alyssa+Curl+Campus+Recruiter+EY")</f>
        <v>https://www.google.com/search?newwindow=1&amp;ei=2MT0XrvGGM-vytMP1OyDgAY&amp;q=site%3Alinkedin.com+Alyssa+Curl+Campus+Recruiter+EY</v>
      </c>
      <c r="K2422" s="5" t="str">
        <f t="shared" si="1"/>
        <v>Alyssa Curl</v>
      </c>
      <c r="L2422" s="5" t="str">
        <f t="shared" si="2"/>
        <v>Campus Recruiter</v>
      </c>
      <c r="M2422" s="5" t="str">
        <f t="shared" si="3"/>
        <v> </v>
      </c>
      <c r="N2422" s="5" t="str">
        <f t="shared" si="4"/>
        <v>Ernst &amp; Young</v>
      </c>
      <c r="O2422" s="5" t="str">
        <f t="shared" si="5"/>
        <v>3 years  in role</v>
      </c>
      <c r="P2422" s="5" t="str">
        <f t="shared" si="6"/>
        <v>Chicago</v>
      </c>
      <c r="Q2422" s="5" t="str">
        <f t="shared" si="7"/>
        <v>Illinois</v>
      </c>
      <c r="R2422" s="5" t="str">
        <f t="shared" si="8"/>
        <v>United States</v>
      </c>
    </row>
    <row r="2423">
      <c r="A2423" s="7" t="s">
        <v>751</v>
      </c>
      <c r="B2423" s="5" t="s">
        <v>749</v>
      </c>
      <c r="C2423" s="5" t="s">
        <v>750</v>
      </c>
      <c r="D2423" s="6" t="s">
        <v>13</v>
      </c>
      <c r="E2423" s="5" t="s">
        <v>737</v>
      </c>
      <c r="F2423" s="5" t="s">
        <v>192</v>
      </c>
      <c r="G2423" s="5" t="s">
        <v>295</v>
      </c>
      <c r="H2423" s="5" t="s">
        <v>154</v>
      </c>
      <c r="I2423" s="5" t="s">
        <v>18</v>
      </c>
      <c r="J2423" s="9" t="str">
        <f>IFERROR(__xludf.DUMMYFUNCTION("""COMPUTED_VALUE"""),"https://www.google.com/search?newwindow=1&amp;ei=2MT0XrvGGM-vytMP1OyDgAY&amp;q=site%3Alinkedin.com+Leia+Gertos+Campus+Recruiter+EY")</f>
        <v>https://www.google.com/search?newwindow=1&amp;ei=2MT0XrvGGM-vytMP1OyDgAY&amp;q=site%3Alinkedin.com+Leia+Gertos+Campus+Recruiter+EY</v>
      </c>
      <c r="K2423" s="5" t="str">
        <f t="shared" si="1"/>
        <v>Leia Gertos</v>
      </c>
      <c r="L2423" s="5" t="str">
        <f t="shared" si="2"/>
        <v>Campus Recruiter</v>
      </c>
      <c r="M2423" s="5" t="str">
        <f t="shared" si="3"/>
        <v> </v>
      </c>
      <c r="N2423" s="5" t="str">
        <f t="shared" si="4"/>
        <v>Ernst &amp; Young</v>
      </c>
      <c r="O2423" s="5" t="str">
        <f t="shared" si="5"/>
        <v>1 year 9 months in role and company</v>
      </c>
      <c r="P2423" s="5" t="str">
        <f t="shared" si="6"/>
        <v>Chicago</v>
      </c>
      <c r="Q2423" s="5" t="str">
        <f t="shared" si="7"/>
        <v>Illinois</v>
      </c>
      <c r="R2423" s="5" t="str">
        <f t="shared" si="8"/>
        <v>United States</v>
      </c>
    </row>
    <row r="2424">
      <c r="A2424" s="7" t="s">
        <v>757</v>
      </c>
      <c r="B2424" s="5" t="s">
        <v>752</v>
      </c>
      <c r="C2424" s="5" t="s">
        <v>480</v>
      </c>
      <c r="D2424" s="6" t="s">
        <v>13</v>
      </c>
      <c r="E2424" s="5" t="s">
        <v>753</v>
      </c>
      <c r="F2424" s="5" t="s">
        <v>754</v>
      </c>
      <c r="G2424" s="5" t="s">
        <v>755</v>
      </c>
      <c r="H2424" s="6" t="s">
        <v>756</v>
      </c>
      <c r="I2424" s="5" t="s">
        <v>18</v>
      </c>
      <c r="J2424" s="9" t="str">
        <f>IFERROR(__xludf.DUMMYFUNCTION("""COMPUTED_VALUE"""),"https://www.google.com/search?newwindow=1&amp;ei=2MT0XrvGGM-vytMP1OyDgAY&amp;q=site%3Alinkedin.com+Jordan+England+Campus+Recruiter,+Talent+Attraction+and+Acquisition+(TA²)+EY")</f>
        <v>https://www.google.com/search?newwindow=1&amp;ei=2MT0XrvGGM-vytMP1OyDgAY&amp;q=site%3Alinkedin.com+Jordan+England+Campus+Recruiter,+Talent+Attraction+and+Acquisition+(TA²)+EY</v>
      </c>
      <c r="K2424" s="5" t="str">
        <f t="shared" si="1"/>
        <v>Jordan England</v>
      </c>
      <c r="L2424" s="5" t="str">
        <f t="shared" si="2"/>
        <v>Campus Recruiter, Talent Attraction and Acquisition (TA²)</v>
      </c>
      <c r="M2424" s="5" t="str">
        <f t="shared" si="3"/>
        <v> </v>
      </c>
      <c r="N2424" s="5" t="str">
        <f t="shared" si="4"/>
        <v>Ernst &amp; Young</v>
      </c>
      <c r="O2424" s="5" t="str">
        <f t="shared" si="5"/>
        <v>7 years 11 months in role</v>
      </c>
      <c r="P2424" s="5" t="str">
        <f t="shared" si="6"/>
        <v>Chicago</v>
      </c>
      <c r="Q2424" s="5" t="str">
        <f t="shared" si="7"/>
        <v>Illinois</v>
      </c>
      <c r="R2424" s="5" t="str">
        <f t="shared" si="8"/>
        <v>United States</v>
      </c>
    </row>
    <row r="2425">
      <c r="A2425" s="7" t="s">
        <v>759</v>
      </c>
      <c r="B2425" s="5" t="s">
        <v>758</v>
      </c>
      <c r="C2425" s="5" t="s">
        <v>480</v>
      </c>
      <c r="D2425" s="6" t="s">
        <v>13</v>
      </c>
      <c r="E2425" s="5" t="s">
        <v>753</v>
      </c>
      <c r="G2425" s="5" t="s">
        <v>382</v>
      </c>
      <c r="H2425" s="5" t="s">
        <v>102</v>
      </c>
      <c r="I2425" s="5" t="s">
        <v>18</v>
      </c>
      <c r="J2425" s="9" t="str">
        <f>IFERROR(__xludf.DUMMYFUNCTION("""COMPUTED_VALUE"""),"https://www.google.com/search?newwindow=1&amp;ei=2MT0XrvGGM-vytMP1OyDgAY&amp;q=site%3Alinkedin.com+Erin+Kelly+Campus+Recruiter+EY")</f>
        <v>https://www.google.com/search?newwindow=1&amp;ei=2MT0XrvGGM-vytMP1OyDgAY&amp;q=site%3Alinkedin.com+Erin+Kelly+Campus+Recruiter+EY</v>
      </c>
      <c r="K2425" s="5" t="str">
        <f t="shared" si="1"/>
        <v>Erin Kelly</v>
      </c>
      <c r="L2425" s="5" t="str">
        <f t="shared" si="2"/>
        <v>Campus Recruiter</v>
      </c>
      <c r="M2425" s="5" t="str">
        <f t="shared" si="3"/>
        <v> </v>
      </c>
      <c r="N2425" s="5" t="str">
        <f t="shared" si="4"/>
        <v>Ernst &amp; Young</v>
      </c>
      <c r="O2425" s="5" t="str">
        <f t="shared" si="5"/>
        <v>3 years  in role and company</v>
      </c>
      <c r="P2425" s="5" t="str">
        <f t="shared" si="6"/>
        <v>Chicago</v>
      </c>
      <c r="Q2425" s="5" t="str">
        <f t="shared" si="7"/>
        <v>Illinois</v>
      </c>
      <c r="R2425" s="5" t="str">
        <f t="shared" si="8"/>
        <v>United States</v>
      </c>
    </row>
    <row r="2426">
      <c r="A2426" s="8" t="s">
        <v>764</v>
      </c>
      <c r="B2426" s="5" t="s">
        <v>760</v>
      </c>
      <c r="C2426" s="5" t="s">
        <v>761</v>
      </c>
      <c r="D2426" s="6" t="s">
        <v>13</v>
      </c>
      <c r="E2426" s="5" t="s">
        <v>753</v>
      </c>
      <c r="F2426" s="5" t="s">
        <v>512</v>
      </c>
      <c r="G2426" s="5" t="s">
        <v>762</v>
      </c>
      <c r="H2426" s="5" t="s">
        <v>763</v>
      </c>
      <c r="I2426" s="5" t="s">
        <v>18</v>
      </c>
      <c r="J2426" s="9" t="str">
        <f>IFERROR(__xludf.DUMMYFUNCTION("""COMPUTED_VALUE"""),"https://www.google.com/search?newwindow=1&amp;ei=2MT0XrvGGM-vytMP1OyDgAY&amp;q=site%3Alinkedin.com+Megan+Bruce+Campus+Recruiter+EY")</f>
        <v>https://www.google.com/search?newwindow=1&amp;ei=2MT0XrvGGM-vytMP1OyDgAY&amp;q=site%3Alinkedin.com+Megan+Bruce+Campus+Recruiter+EY</v>
      </c>
      <c r="K2426" s="5" t="str">
        <f t="shared" si="1"/>
        <v>Megan Bruce</v>
      </c>
      <c r="L2426" s="5" t="str">
        <f t="shared" si="2"/>
        <v>Campus Recruiter</v>
      </c>
      <c r="M2426" s="5" t="str">
        <f t="shared" si="3"/>
        <v> </v>
      </c>
      <c r="N2426" s="5" t="str">
        <f t="shared" si="4"/>
        <v>Ernst &amp; Young</v>
      </c>
      <c r="O2426" s="5" t="str">
        <f t="shared" si="5"/>
        <v>3 years 6 months in role</v>
      </c>
      <c r="P2426" s="5" t="str">
        <f t="shared" si="6"/>
        <v>Chicago</v>
      </c>
      <c r="Q2426" s="5" t="str">
        <f t="shared" si="7"/>
        <v>Illinois</v>
      </c>
      <c r="R2426" s="5" t="str">
        <f t="shared" si="8"/>
        <v>United States</v>
      </c>
    </row>
    <row r="2427">
      <c r="A2427" s="7" t="s">
        <v>768</v>
      </c>
      <c r="B2427" s="5" t="s">
        <v>765</v>
      </c>
      <c r="C2427" s="5" t="s">
        <v>766</v>
      </c>
      <c r="D2427" s="6" t="s">
        <v>13</v>
      </c>
      <c r="E2427" s="5" t="s">
        <v>753</v>
      </c>
      <c r="F2427" s="5" t="s">
        <v>94</v>
      </c>
      <c r="G2427" s="5" t="s">
        <v>767</v>
      </c>
      <c r="H2427" s="5" t="s">
        <v>102</v>
      </c>
      <c r="I2427" s="5" t="s">
        <v>18</v>
      </c>
      <c r="J2427" s="9" t="str">
        <f>IFERROR(__xludf.DUMMYFUNCTION("""COMPUTED_VALUE"""),"https://www.google.com/search?newwindow=1&amp;ei=2MT0XrvGGM-vytMP1OyDgAY&amp;q=site%3Alinkedin.com+Madison+Pierini+Supervising+Associate+-+Campus+Recruiter,++Financial+Services+Organization+EY")</f>
        <v>https://www.google.com/search?newwindow=1&amp;ei=2MT0XrvGGM-vytMP1OyDgAY&amp;q=site%3Alinkedin.com+Madison+Pierini+Supervising+Associate+-+Campus+Recruiter,++Financial+Services+Organization+EY</v>
      </c>
      <c r="K2427" s="5" t="str">
        <f t="shared" si="1"/>
        <v>Madison Pierini</v>
      </c>
      <c r="L2427" s="5" t="str">
        <f t="shared" si="2"/>
        <v>Supervising Associate - Campus Recruiter,  Financial Services Organization</v>
      </c>
      <c r="M2427" s="5" t="str">
        <f t="shared" si="3"/>
        <v> </v>
      </c>
      <c r="N2427" s="5" t="str">
        <f t="shared" si="4"/>
        <v>Ernst &amp; Young</v>
      </c>
      <c r="O2427" s="5" t="str">
        <f t="shared" si="5"/>
        <v>5 years  in role and company</v>
      </c>
      <c r="P2427" s="5" t="str">
        <f t="shared" si="6"/>
        <v>Chicago</v>
      </c>
      <c r="Q2427" s="5" t="str">
        <f t="shared" si="7"/>
        <v>Illinois</v>
      </c>
      <c r="R2427" s="5" t="str">
        <f t="shared" si="8"/>
        <v>United States</v>
      </c>
    </row>
    <row r="2428">
      <c r="A2428" s="7" t="s">
        <v>771</v>
      </c>
      <c r="B2428" s="5" t="s">
        <v>769</v>
      </c>
      <c r="C2428" s="5" t="s">
        <v>770</v>
      </c>
      <c r="D2428" s="6" t="s">
        <v>13</v>
      </c>
      <c r="E2428" s="5" t="s">
        <v>753</v>
      </c>
      <c r="F2428" s="5" t="s">
        <v>268</v>
      </c>
      <c r="G2428" s="5" t="s">
        <v>311</v>
      </c>
      <c r="H2428" s="5" t="s">
        <v>102</v>
      </c>
      <c r="I2428" s="5" t="s">
        <v>18</v>
      </c>
      <c r="J2428" s="9" t="str">
        <f>IFERROR(__xludf.DUMMYFUNCTION("""COMPUTED_VALUE"""),"https://www.google.com/search?newwindow=1&amp;ei=2MT0XrvGGM-vytMP1OyDgAY&amp;q=site%3Alinkedin.com+Emily+Deering+Campus+Recruiter,+Supervising+Associate+EY")</f>
        <v>https://www.google.com/search?newwindow=1&amp;ei=2MT0XrvGGM-vytMP1OyDgAY&amp;q=site%3Alinkedin.com+Emily+Deering+Campus+Recruiter,+Supervising+Associate+EY</v>
      </c>
      <c r="K2428" s="5" t="str">
        <f t="shared" si="1"/>
        <v>Emily Deering</v>
      </c>
      <c r="L2428" s="5" t="str">
        <f t="shared" si="2"/>
        <v>Campus Recruiter, Supervising Associate</v>
      </c>
      <c r="M2428" s="5" t="str">
        <f t="shared" si="3"/>
        <v> </v>
      </c>
      <c r="N2428" s="5" t="str">
        <f t="shared" si="4"/>
        <v>Ernst &amp; Young</v>
      </c>
      <c r="O2428" s="5" t="str">
        <f t="shared" si="5"/>
        <v>5 years 10 months in role and company</v>
      </c>
      <c r="P2428" s="5" t="str">
        <f t="shared" si="6"/>
        <v>Chicago</v>
      </c>
      <c r="Q2428" s="5" t="str">
        <f t="shared" si="7"/>
        <v>Illinois</v>
      </c>
      <c r="R2428" s="5" t="str">
        <f t="shared" si="8"/>
        <v>United States</v>
      </c>
    </row>
    <row r="2429">
      <c r="A2429" s="7" t="s">
        <v>776</v>
      </c>
      <c r="B2429" s="5" t="s">
        <v>772</v>
      </c>
      <c r="C2429" s="5" t="s">
        <v>773</v>
      </c>
      <c r="D2429" s="6" t="s">
        <v>13</v>
      </c>
      <c r="E2429" s="5" t="s">
        <v>753</v>
      </c>
      <c r="F2429" s="5" t="s">
        <v>774</v>
      </c>
      <c r="G2429" s="5" t="s">
        <v>775</v>
      </c>
      <c r="H2429" s="5" t="s">
        <v>102</v>
      </c>
      <c r="I2429" s="5" t="s">
        <v>18</v>
      </c>
      <c r="J2429" s="9" t="str">
        <f>IFERROR(__xludf.DUMMYFUNCTION("""COMPUTED_VALUE"""),"https://www.google.com/search?newwindow=1&amp;ei=2MT0XrvGGM-vytMP1OyDgAY&amp;q=site%3Alinkedin.com+Amy+Keighley+Campus+Recruiter+EY")</f>
        <v>https://www.google.com/search?newwindow=1&amp;ei=2MT0XrvGGM-vytMP1OyDgAY&amp;q=site%3Alinkedin.com+Amy+Keighley+Campus+Recruiter+EY</v>
      </c>
      <c r="K2429" s="5" t="str">
        <f t="shared" si="1"/>
        <v>Amy Keighley</v>
      </c>
      <c r="L2429" s="5" t="str">
        <f t="shared" si="2"/>
        <v>Campus Recruiter</v>
      </c>
      <c r="M2429" s="5" t="str">
        <f t="shared" si="3"/>
        <v> </v>
      </c>
      <c r="N2429" s="5" t="str">
        <f t="shared" si="4"/>
        <v>Ernst &amp; Young</v>
      </c>
      <c r="O2429" s="5" t="str">
        <f t="shared" si="5"/>
        <v>2 years 3 months in role</v>
      </c>
      <c r="P2429" s="5" t="str">
        <f t="shared" si="6"/>
        <v>Cincinnati</v>
      </c>
      <c r="Q2429" s="5" t="str">
        <f t="shared" si="7"/>
        <v>Ohio</v>
      </c>
      <c r="R2429" s="5" t="str">
        <f t="shared" si="8"/>
        <v>United States</v>
      </c>
    </row>
    <row r="2430">
      <c r="A2430" s="8" t="s">
        <v>782</v>
      </c>
      <c r="B2430" s="5" t="s">
        <v>777</v>
      </c>
      <c r="C2430" s="5" t="s">
        <v>778</v>
      </c>
      <c r="D2430" s="6" t="s">
        <v>13</v>
      </c>
      <c r="E2430" s="6" t="s">
        <v>753</v>
      </c>
      <c r="F2430" s="5" t="s">
        <v>779</v>
      </c>
      <c r="G2430" s="5" t="s">
        <v>780</v>
      </c>
      <c r="H2430" s="5" t="s">
        <v>781</v>
      </c>
      <c r="I2430" s="5" t="s">
        <v>18</v>
      </c>
      <c r="J2430" s="9" t="str">
        <f>IFERROR(__xludf.DUMMYFUNCTION("""COMPUTED_VALUE"""),"https://www.google.com/search?newwindow=1&amp;ei=2MT0XrvGGM-vytMP1OyDgAY&amp;q=site%3Alinkedin.com+Megan+Miniello+Driscoll+Financial+Services+Campus+Recruiter+EY")</f>
        <v>https://www.google.com/search?newwindow=1&amp;ei=2MT0XrvGGM-vytMP1OyDgAY&amp;q=site%3Alinkedin.com+Megan+Miniello+Driscoll+Financial+Services+Campus+Recruiter+EY</v>
      </c>
      <c r="K2430" s="5" t="str">
        <f t="shared" si="1"/>
        <v>Megan Miniello Driscoll</v>
      </c>
      <c r="L2430" s="5" t="str">
        <f t="shared" si="2"/>
        <v>Financial Services Campus Recruiter</v>
      </c>
      <c r="M2430" s="5" t="str">
        <f t="shared" si="3"/>
        <v> </v>
      </c>
      <c r="N2430" s="5" t="str">
        <f t="shared" si="4"/>
        <v>Ernst &amp; Young</v>
      </c>
      <c r="O2430" s="5" t="str">
        <f t="shared" si="5"/>
        <v>6 years 4 months in role and company</v>
      </c>
      <c r="P2430" s="5" t="str">
        <f t="shared" si="6"/>
        <v>Clayton</v>
      </c>
      <c r="Q2430" s="5" t="str">
        <f t="shared" si="7"/>
        <v>California</v>
      </c>
      <c r="R2430" s="5" t="str">
        <f t="shared" si="8"/>
        <v>United States</v>
      </c>
    </row>
    <row r="2431">
      <c r="A2431" s="7" t="s">
        <v>785</v>
      </c>
      <c r="B2431" s="5" t="s">
        <v>783</v>
      </c>
      <c r="C2431" s="5" t="s">
        <v>480</v>
      </c>
      <c r="D2431" s="6" t="s">
        <v>13</v>
      </c>
      <c r="E2431" s="6" t="s">
        <v>753</v>
      </c>
      <c r="F2431" s="5" t="s">
        <v>784</v>
      </c>
      <c r="G2431" s="5" t="s">
        <v>311</v>
      </c>
      <c r="H2431" s="5" t="s">
        <v>102</v>
      </c>
      <c r="I2431" s="5" t="s">
        <v>18</v>
      </c>
      <c r="J2431" s="9" t="str">
        <f>IFERROR(__xludf.DUMMYFUNCTION("""COMPUTED_VALUE"""),"https://www.google.com/search?newwindow=1&amp;ei=2MT0XrvGGM-vytMP1OyDgAY&amp;q=site%3Alinkedin.com+Ashley+Redmond+Campus+Referral+Recruiter+EY")</f>
        <v>https://www.google.com/search?newwindow=1&amp;ei=2MT0XrvGGM-vytMP1OyDgAY&amp;q=site%3Alinkedin.com+Ashley+Redmond+Campus+Referral+Recruiter+EY</v>
      </c>
      <c r="K2431" s="5" t="str">
        <f t="shared" si="1"/>
        <v>Ashley Redmond</v>
      </c>
      <c r="L2431" s="5" t="str">
        <f t="shared" si="2"/>
        <v>Campus Referral Recruiter</v>
      </c>
      <c r="M2431" s="5" t="str">
        <f t="shared" si="3"/>
        <v> </v>
      </c>
      <c r="N2431" s="5" t="str">
        <f t="shared" si="4"/>
        <v>Ernst &amp; Young</v>
      </c>
      <c r="O2431" s="5" t="str">
        <f t="shared" si="5"/>
        <v>2 years 8 months in role</v>
      </c>
      <c r="P2431" s="5" t="str">
        <f t="shared" si="6"/>
        <v>Cleveland</v>
      </c>
      <c r="Q2431" s="5" t="str">
        <f t="shared" si="7"/>
        <v>Ohio</v>
      </c>
      <c r="R2431" s="5" t="str">
        <f t="shared" si="8"/>
        <v>United States</v>
      </c>
    </row>
    <row r="2432">
      <c r="A2432" s="7" t="s">
        <v>789</v>
      </c>
      <c r="B2432" s="5" t="s">
        <v>786</v>
      </c>
      <c r="C2432" s="5" t="s">
        <v>787</v>
      </c>
      <c r="D2432" s="6" t="s">
        <v>13</v>
      </c>
      <c r="E2432" s="6" t="s">
        <v>753</v>
      </c>
      <c r="F2432" s="5" t="s">
        <v>716</v>
      </c>
      <c r="G2432" s="5" t="s">
        <v>788</v>
      </c>
      <c r="H2432" s="5" t="s">
        <v>102</v>
      </c>
      <c r="I2432" s="5" t="s">
        <v>18</v>
      </c>
      <c r="J2432" s="9" t="str">
        <f>IFERROR(__xludf.DUMMYFUNCTION("""COMPUTED_VALUE"""),"https://www.google.com/search?newwindow=1&amp;ei=2MT0XrvGGM-vytMP1OyDgAY&amp;q=site%3Alinkedin.com+Addison+(Goodwin)+Wilkie+Consulting+Campus+Recruiter+EY")</f>
        <v>https://www.google.com/search?newwindow=1&amp;ei=2MT0XrvGGM-vytMP1OyDgAY&amp;q=site%3Alinkedin.com+Addison+(Goodwin)+Wilkie+Consulting+Campus+Recruiter+EY</v>
      </c>
      <c r="K2432" s="5" t="str">
        <f t="shared" si="1"/>
        <v>Addison (Goodwin) Wilkie</v>
      </c>
      <c r="L2432" s="5" t="str">
        <f t="shared" si="2"/>
        <v>Consulting Campus Recruiter</v>
      </c>
      <c r="M2432" s="5" t="str">
        <f t="shared" si="3"/>
        <v> </v>
      </c>
      <c r="N2432" s="5" t="str">
        <f t="shared" si="4"/>
        <v>Ernst &amp; Young</v>
      </c>
      <c r="O2432" s="5" t="str">
        <f t="shared" si="5"/>
        <v>1 year 4 months in role</v>
      </c>
      <c r="P2432" s="5" t="str">
        <f t="shared" si="6"/>
        <v>Columbus</v>
      </c>
      <c r="Q2432" s="5" t="str">
        <f t="shared" si="7"/>
        <v>Ohio</v>
      </c>
      <c r="R2432" s="5" t="str">
        <f t="shared" si="8"/>
        <v>United States</v>
      </c>
    </row>
    <row r="2433">
      <c r="A2433" s="7" t="s">
        <v>794</v>
      </c>
      <c r="B2433" s="5" t="s">
        <v>790</v>
      </c>
      <c r="C2433" s="5" t="s">
        <v>110</v>
      </c>
      <c r="D2433" s="6" t="s">
        <v>13</v>
      </c>
      <c r="E2433" s="5" t="s">
        <v>791</v>
      </c>
      <c r="F2433" s="5" t="s">
        <v>792</v>
      </c>
      <c r="G2433" s="5" t="s">
        <v>793</v>
      </c>
      <c r="H2433" s="5" t="s">
        <v>184</v>
      </c>
      <c r="I2433" s="5" t="s">
        <v>18</v>
      </c>
      <c r="J2433" s="9" t="str">
        <f>IFERROR(__xludf.DUMMYFUNCTION("""COMPUTED_VALUE"""),"https://www.google.com/search?newwindow=1&amp;ei=2MT0XrvGGM-vytMP1OyDgAY&amp;q=site%3Alinkedin.com+Katie+Caraboa+Campus+Recruiter+EY")</f>
        <v>https://www.google.com/search?newwindow=1&amp;ei=2MT0XrvGGM-vytMP1OyDgAY&amp;q=site%3Alinkedin.com+Katie+Caraboa+Campus+Recruiter+EY</v>
      </c>
      <c r="K2433" s="5" t="str">
        <f t="shared" si="1"/>
        <v>Katie Caraboa</v>
      </c>
      <c r="L2433" s="5" t="str">
        <f t="shared" si="2"/>
        <v>Campus Recruiter</v>
      </c>
      <c r="M2433" s="5" t="str">
        <f t="shared" si="3"/>
        <v> </v>
      </c>
      <c r="N2433" s="5" t="str">
        <f t="shared" si="4"/>
        <v>Ernst &amp; Young</v>
      </c>
      <c r="O2433" s="5" t="str">
        <f t="shared" si="5"/>
        <v>1 year 4 months in role</v>
      </c>
      <c r="P2433" s="5" t="str">
        <f t="shared" si="6"/>
        <v>Columbus</v>
      </c>
      <c r="Q2433" s="5" t="str">
        <f t="shared" si="7"/>
        <v>Indiana</v>
      </c>
      <c r="R2433" s="5" t="str">
        <f t="shared" si="8"/>
        <v>United States</v>
      </c>
    </row>
    <row r="2434">
      <c r="A2434" s="8" t="s">
        <v>798</v>
      </c>
      <c r="B2434" s="5" t="s">
        <v>795</v>
      </c>
      <c r="C2434" s="5" t="s">
        <v>796</v>
      </c>
      <c r="D2434" s="6" t="s">
        <v>13</v>
      </c>
      <c r="E2434" s="5" t="s">
        <v>791</v>
      </c>
      <c r="F2434" s="5" t="s">
        <v>797</v>
      </c>
      <c r="G2434" s="5" t="s">
        <v>137</v>
      </c>
      <c r="H2434" s="5" t="s">
        <v>137</v>
      </c>
      <c r="I2434" s="5" t="s">
        <v>18</v>
      </c>
      <c r="J2434" s="9" t="str">
        <f>IFERROR(__xludf.DUMMYFUNCTION("""COMPUTED_VALUE"""),"https://www.google.com/search?newwindow=1&amp;ei=2MT0XrvGGM-vytMP1OyDgAY&amp;q=site%3Alinkedin.com+Maddie+Castro+Campus+Recruiter+EY")</f>
        <v>https://www.google.com/search?newwindow=1&amp;ei=2MT0XrvGGM-vytMP1OyDgAY&amp;q=site%3Alinkedin.com+Maddie+Castro+Campus+Recruiter+EY</v>
      </c>
      <c r="K2434" s="5" t="str">
        <f t="shared" si="1"/>
        <v>Maddie Castro</v>
      </c>
      <c r="L2434" s="5" t="str">
        <f t="shared" si="2"/>
        <v>Campus Recruiter</v>
      </c>
      <c r="M2434" s="5" t="str">
        <f t="shared" si="3"/>
        <v> </v>
      </c>
      <c r="N2434" s="5" t="str">
        <f t="shared" si="4"/>
        <v>Ernst &amp; Young</v>
      </c>
      <c r="O2434" s="5" t="str">
        <f t="shared" si="5"/>
        <v>1 year 1 month in role and company</v>
      </c>
      <c r="P2434" s="5" t="str">
        <f t="shared" si="6"/>
        <v>Dallas</v>
      </c>
      <c r="Q2434" s="5" t="str">
        <f t="shared" si="7"/>
        <v>Texas</v>
      </c>
      <c r="R2434" s="5" t="str">
        <f t="shared" si="8"/>
        <v>United States</v>
      </c>
    </row>
    <row r="2435">
      <c r="A2435" s="7" t="s">
        <v>802</v>
      </c>
      <c r="B2435" s="5" t="s">
        <v>799</v>
      </c>
      <c r="C2435" s="5" t="s">
        <v>800</v>
      </c>
      <c r="D2435" s="6" t="s">
        <v>13</v>
      </c>
      <c r="E2435" s="5" t="s">
        <v>791</v>
      </c>
      <c r="F2435" s="5" t="s">
        <v>100</v>
      </c>
      <c r="G2435" s="5" t="s">
        <v>801</v>
      </c>
      <c r="H2435" s="5" t="s">
        <v>50</v>
      </c>
      <c r="I2435" s="5" t="s">
        <v>18</v>
      </c>
      <c r="J2435" s="9" t="str">
        <f>IFERROR(__xludf.DUMMYFUNCTION("""COMPUTED_VALUE"""),"https://www.google.com/search?newwindow=1&amp;ei=2MT0XrvGGM-vytMP1OyDgAY&amp;q=site%3Alinkedin.com+Carol+Nielsen+Campus+Recruiter+(Rotational+Talent+Advisor),+Supervising+Associate+EY")</f>
        <v>https://www.google.com/search?newwindow=1&amp;ei=2MT0XrvGGM-vytMP1OyDgAY&amp;q=site%3Alinkedin.com+Carol+Nielsen+Campus+Recruiter+(Rotational+Talent+Advisor),+Supervising+Associate+EY</v>
      </c>
      <c r="K2435" s="5" t="str">
        <f t="shared" si="1"/>
        <v>Carol Nielsen</v>
      </c>
      <c r="L2435" s="5" t="str">
        <f t="shared" si="2"/>
        <v>Campus Recruiter (Rotational Talent Advisor), Supervising Associate</v>
      </c>
      <c r="M2435" s="5" t="str">
        <f t="shared" si="3"/>
        <v> </v>
      </c>
      <c r="N2435" s="5" t="str">
        <f t="shared" si="4"/>
        <v>Ernst &amp; Young</v>
      </c>
      <c r="O2435" s="5" t="str">
        <f t="shared" si="5"/>
        <v>2 years  in role and company</v>
      </c>
      <c r="P2435" s="5" t="str">
        <f t="shared" si="6"/>
        <v>Dallas</v>
      </c>
      <c r="Q2435" s="5" t="str">
        <f t="shared" si="7"/>
        <v>Texas</v>
      </c>
      <c r="R2435" s="5" t="str">
        <f t="shared" si="8"/>
        <v>United States</v>
      </c>
    </row>
    <row r="2436">
      <c r="A2436" s="7" t="s">
        <v>806</v>
      </c>
      <c r="B2436" s="5" t="s">
        <v>803</v>
      </c>
      <c r="C2436" s="5" t="s">
        <v>804</v>
      </c>
      <c r="D2436" s="6" t="s">
        <v>13</v>
      </c>
      <c r="E2436" s="5" t="s">
        <v>791</v>
      </c>
      <c r="F2436" s="5" t="s">
        <v>144</v>
      </c>
      <c r="G2436" s="5" t="s">
        <v>805</v>
      </c>
      <c r="H2436" s="5" t="s">
        <v>184</v>
      </c>
      <c r="I2436" s="5" t="s">
        <v>18</v>
      </c>
      <c r="J2436" s="9" t="str">
        <f>IFERROR(__xludf.DUMMYFUNCTION("""COMPUTED_VALUE"""),"https://www.google.com/search?newwindow=1&amp;ei=2MT0XrvGGM-vytMP1OyDgAY&amp;q=site%3Alinkedin.com+Hannah+Bergoon+Campus+Recruiter+EY")</f>
        <v>https://www.google.com/search?newwindow=1&amp;ei=2MT0XrvGGM-vytMP1OyDgAY&amp;q=site%3Alinkedin.com+Hannah+Bergoon+Campus+Recruiter+EY</v>
      </c>
      <c r="K2436" s="5" t="str">
        <f t="shared" si="1"/>
        <v>Hannah Bergoon</v>
      </c>
      <c r="L2436" s="5" t="str">
        <f t="shared" si="2"/>
        <v>Campus Recruiter</v>
      </c>
      <c r="M2436" s="5" t="str">
        <f t="shared" si="3"/>
        <v> </v>
      </c>
      <c r="N2436" s="5" t="str">
        <f t="shared" si="4"/>
        <v>Ernst &amp; Young</v>
      </c>
      <c r="O2436" s="5" t="str">
        <f t="shared" si="5"/>
        <v>2 years 2 months in role</v>
      </c>
      <c r="P2436" s="5" t="str">
        <f t="shared" si="6"/>
        <v>Dallas</v>
      </c>
      <c r="Q2436" s="5" t="str">
        <f t="shared" si="7"/>
        <v>Texas</v>
      </c>
      <c r="R2436" s="5" t="str">
        <f t="shared" si="8"/>
        <v>United States</v>
      </c>
    </row>
    <row r="2437">
      <c r="A2437" s="7" t="s">
        <v>806</v>
      </c>
      <c r="B2437" s="5" t="s">
        <v>803</v>
      </c>
      <c r="C2437" s="5" t="s">
        <v>804</v>
      </c>
      <c r="D2437" s="6" t="s">
        <v>13</v>
      </c>
      <c r="E2437" s="5" t="s">
        <v>791</v>
      </c>
      <c r="F2437" s="5" t="s">
        <v>144</v>
      </c>
      <c r="G2437" s="5" t="s">
        <v>805</v>
      </c>
      <c r="H2437" s="5" t="s">
        <v>184</v>
      </c>
      <c r="I2437" s="5" t="s">
        <v>18</v>
      </c>
      <c r="J2437" s="9" t="str">
        <f>IFERROR(__xludf.DUMMYFUNCTION("""COMPUTED_VALUE"""),"https://www.google.com/search?newwindow=1&amp;ei=2MT0XrvGGM-vytMP1OyDgAY&amp;q=site%3Alinkedin.com+Kati+Lavarias+Campus+Recruiter+EY")</f>
        <v>https://www.google.com/search?newwindow=1&amp;ei=2MT0XrvGGM-vytMP1OyDgAY&amp;q=site%3Alinkedin.com+Kati+Lavarias+Campus+Recruiter+EY</v>
      </c>
      <c r="K2437" s="5" t="str">
        <f t="shared" si="1"/>
        <v>Kati Lavarias</v>
      </c>
      <c r="L2437" s="5" t="str">
        <f t="shared" si="2"/>
        <v>Campus Recruiter</v>
      </c>
      <c r="M2437" s="5" t="str">
        <f t="shared" si="3"/>
        <v> </v>
      </c>
      <c r="N2437" s="5" t="str">
        <f t="shared" si="4"/>
        <v>Ernst &amp; Young</v>
      </c>
      <c r="O2437" s="5" t="str">
        <f t="shared" si="5"/>
        <v>5 years 3 months in role and company</v>
      </c>
      <c r="P2437" s="5" t="str">
        <f t="shared" si="6"/>
        <v>Dallas</v>
      </c>
      <c r="Q2437" s="5" t="str">
        <f t="shared" si="7"/>
        <v>Texas</v>
      </c>
      <c r="R2437" s="5" t="str">
        <f t="shared" si="8"/>
        <v>United States</v>
      </c>
    </row>
    <row r="2438">
      <c r="A2438" s="8" t="s">
        <v>809</v>
      </c>
      <c r="B2438" s="5" t="s">
        <v>807</v>
      </c>
      <c r="C2438" s="5" t="s">
        <v>808</v>
      </c>
      <c r="D2438" s="6" t="s">
        <v>13</v>
      </c>
      <c r="E2438" s="5" t="s">
        <v>791</v>
      </c>
      <c r="F2438" s="5" t="s">
        <v>79</v>
      </c>
      <c r="G2438" s="5" t="s">
        <v>102</v>
      </c>
      <c r="H2438" s="5" t="s">
        <v>172</v>
      </c>
      <c r="I2438" s="5" t="s">
        <v>18</v>
      </c>
      <c r="J2438" s="9" t="str">
        <f>IFERROR(__xludf.DUMMYFUNCTION("""COMPUTED_VALUE"""),"https://www.google.com/search?newwindow=1&amp;ei=2MT0XrvGGM-vytMP1OyDgAY&amp;q=site%3Alinkedin.com+Brighid+Jensen+US+Campus+Recruiting,+Associate+Director+-+Transformation+Project+Leader+EY")</f>
        <v>https://www.google.com/search?newwindow=1&amp;ei=2MT0XrvGGM-vytMP1OyDgAY&amp;q=site%3Alinkedin.com+Brighid+Jensen+US+Campus+Recruiting,+Associate+Director+-+Transformation+Project+Leader+EY</v>
      </c>
      <c r="K2438" s="5" t="str">
        <f t="shared" si="1"/>
        <v>Brighid Jensen</v>
      </c>
      <c r="L2438" s="5" t="str">
        <f t="shared" si="2"/>
        <v>US Campus Recruiting, Associate Director - Transformation Project Leader</v>
      </c>
      <c r="M2438" s="5" t="str">
        <f t="shared" si="3"/>
        <v> </v>
      </c>
      <c r="N2438" s="5" t="str">
        <f t="shared" si="4"/>
        <v>Ernst &amp; Young</v>
      </c>
      <c r="O2438" s="5" t="str">
        <f t="shared" si="5"/>
        <v>1 year 10 months in role</v>
      </c>
      <c r="P2438" s="5" t="str">
        <f t="shared" si="6"/>
        <v>Dallas</v>
      </c>
      <c r="Q2438" s="5" t="str">
        <f t="shared" si="7"/>
        <v>Texas</v>
      </c>
      <c r="R2438" s="5" t="str">
        <f t="shared" si="8"/>
        <v>United States</v>
      </c>
    </row>
    <row r="2439">
      <c r="A2439" s="7" t="s">
        <v>813</v>
      </c>
      <c r="B2439" s="5" t="s">
        <v>810</v>
      </c>
      <c r="C2439" s="5" t="s">
        <v>811</v>
      </c>
      <c r="D2439" s="6" t="s">
        <v>13</v>
      </c>
      <c r="E2439" s="5" t="s">
        <v>812</v>
      </c>
      <c r="F2439" s="5" t="s">
        <v>94</v>
      </c>
      <c r="G2439" s="5" t="s">
        <v>16</v>
      </c>
      <c r="H2439" s="5" t="s">
        <v>17</v>
      </c>
      <c r="I2439" s="5" t="s">
        <v>18</v>
      </c>
      <c r="J2439" s="9" t="str">
        <f>IFERROR(__xludf.DUMMYFUNCTION("""COMPUTED_VALUE"""),"https://www.google.com/search?newwindow=1&amp;ei=2MT0XrvGGM-vytMP1OyDgAY&amp;q=site%3Alinkedin.com+Scott+Dai+Senior+Manager,+Business+Strategy+&amp;+Consulting+EY")</f>
        <v>https://www.google.com/search?newwindow=1&amp;ei=2MT0XrvGGM-vytMP1OyDgAY&amp;q=site%3Alinkedin.com+Scott+Dai+Senior+Manager,+Business+Strategy+&amp;+Consulting+EY</v>
      </c>
      <c r="K2439" s="5" t="str">
        <f t="shared" si="1"/>
        <v>Scott Dai</v>
      </c>
      <c r="L2439" s="5" t="str">
        <f t="shared" si="2"/>
        <v>Senior Manager, Business Strategy &amp; Consulting</v>
      </c>
      <c r="M2439" s="5" t="str">
        <f t="shared" si="3"/>
        <v> </v>
      </c>
      <c r="N2439" s="5" t="str">
        <f t="shared" si="4"/>
        <v>Ernst &amp; Young</v>
      </c>
      <c r="O2439" s="5" t="str">
        <f t="shared" si="5"/>
        <v>10 years 10 months in role and company</v>
      </c>
      <c r="P2439" s="5" t="str">
        <f t="shared" si="6"/>
        <v>Dallas</v>
      </c>
      <c r="Q2439" s="5" t="str">
        <f t="shared" si="7"/>
        <v>Texas</v>
      </c>
      <c r="R2439" s="5" t="str">
        <f t="shared" si="8"/>
        <v>United States</v>
      </c>
    </row>
    <row r="2440">
      <c r="A2440" s="7" t="s">
        <v>815</v>
      </c>
      <c r="B2440" s="5" t="s">
        <v>814</v>
      </c>
      <c r="C2440" s="5" t="s">
        <v>25</v>
      </c>
      <c r="D2440" s="6" t="s">
        <v>13</v>
      </c>
      <c r="E2440" s="5" t="s">
        <v>812</v>
      </c>
      <c r="F2440" s="5" t="s">
        <v>207</v>
      </c>
      <c r="G2440" s="5" t="s">
        <v>16</v>
      </c>
      <c r="H2440" s="5" t="s">
        <v>17</v>
      </c>
      <c r="I2440" s="5" t="s">
        <v>18</v>
      </c>
      <c r="J2440" s="9" t="str">
        <f>IFERROR(__xludf.DUMMYFUNCTION("""COMPUTED_VALUE"""),"https://www.google.com/search?newwindow=1&amp;ei=2MT0XrvGGM-vytMP1OyDgAY&amp;q=site%3Alinkedin.com+Rachel+Kessler+Campus+Recruiter+EY")</f>
        <v>https://www.google.com/search?newwindow=1&amp;ei=2MT0XrvGGM-vytMP1OyDgAY&amp;q=site%3Alinkedin.com+Rachel+Kessler+Campus+Recruiter+EY</v>
      </c>
      <c r="K2440" s="5" t="str">
        <f t="shared" si="1"/>
        <v>Rachel Kessler</v>
      </c>
      <c r="L2440" s="5" t="str">
        <f t="shared" si="2"/>
        <v>Campus Recruiter</v>
      </c>
      <c r="M2440" s="5" t="str">
        <f t="shared" si="3"/>
        <v> </v>
      </c>
      <c r="N2440" s="5" t="str">
        <f t="shared" si="4"/>
        <v>Ernst &amp; Young</v>
      </c>
      <c r="O2440" s="5" t="str">
        <f t="shared" si="5"/>
        <v>12 years 10 months in role and company</v>
      </c>
      <c r="P2440" s="5" t="str">
        <f t="shared" si="6"/>
        <v>Denver</v>
      </c>
      <c r="Q2440" s="5" t="str">
        <f t="shared" si="7"/>
        <v>Colorado</v>
      </c>
      <c r="R2440" s="5" t="str">
        <f t="shared" si="8"/>
        <v>United States</v>
      </c>
    </row>
    <row r="2441">
      <c r="A2441" s="7" t="s">
        <v>819</v>
      </c>
      <c r="B2441" s="5" t="s">
        <v>816</v>
      </c>
      <c r="C2441" s="5" t="s">
        <v>817</v>
      </c>
      <c r="D2441" s="6" t="s">
        <v>13</v>
      </c>
      <c r="E2441" s="5" t="s">
        <v>812</v>
      </c>
      <c r="F2441" s="5" t="s">
        <v>222</v>
      </c>
      <c r="G2441" s="5" t="s">
        <v>818</v>
      </c>
      <c r="H2441" s="5" t="s">
        <v>763</v>
      </c>
      <c r="I2441" s="5" t="s">
        <v>18</v>
      </c>
      <c r="J2441" s="9" t="str">
        <f>IFERROR(__xludf.DUMMYFUNCTION("""COMPUTED_VALUE"""),"https://www.google.com/search?newwindow=1&amp;ei=2MT0XrvGGM-vytMP1OyDgAY&amp;q=site%3Alinkedin.com+Lauren+Lilly+Campus+Recruiter+EY")</f>
        <v>https://www.google.com/search?newwindow=1&amp;ei=2MT0XrvGGM-vytMP1OyDgAY&amp;q=site%3Alinkedin.com+Lauren+Lilly+Campus+Recruiter+EY</v>
      </c>
      <c r="K2441" s="5" t="str">
        <f t="shared" si="1"/>
        <v>Lauren Lilly</v>
      </c>
      <c r="L2441" s="5" t="str">
        <f t="shared" si="2"/>
        <v>Campus Recruiter</v>
      </c>
      <c r="M2441" s="5" t="str">
        <f t="shared" si="3"/>
        <v> </v>
      </c>
      <c r="N2441" s="5" t="str">
        <f t="shared" si="4"/>
        <v>Ernst &amp; Young</v>
      </c>
      <c r="O2441" s="5" t="str">
        <f t="shared" si="5"/>
        <v>5 years 8 months in role and company</v>
      </c>
      <c r="P2441" s="5" t="str">
        <f t="shared" si="6"/>
        <v>Denver</v>
      </c>
      <c r="Q2441" s="5" t="str">
        <f t="shared" si="7"/>
        <v>Colorado</v>
      </c>
      <c r="R2441" s="5" t="str">
        <f t="shared" si="8"/>
        <v>United States</v>
      </c>
    </row>
    <row r="2442">
      <c r="A2442" s="7" t="s">
        <v>823</v>
      </c>
      <c r="B2442" s="5" t="s">
        <v>820</v>
      </c>
      <c r="C2442" s="5" t="s">
        <v>821</v>
      </c>
      <c r="D2442" s="6" t="s">
        <v>13</v>
      </c>
      <c r="E2442" s="5" t="s">
        <v>812</v>
      </c>
      <c r="F2442" s="5" t="s">
        <v>822</v>
      </c>
      <c r="G2442" s="5" t="s">
        <v>64</v>
      </c>
      <c r="H2442" s="5" t="s">
        <v>65</v>
      </c>
      <c r="I2442" s="5" t="s">
        <v>18</v>
      </c>
      <c r="J2442" s="9" t="str">
        <f>IFERROR(__xludf.DUMMYFUNCTION("""COMPUTED_VALUE"""),"https://www.google.com/search?newwindow=1&amp;ei=2MT0XrvGGM-vytMP1OyDgAY&amp;q=site%3Alinkedin.com+Jennifer+Bidlingmaier+Campus+Recruiter+EY")</f>
        <v>https://www.google.com/search?newwindow=1&amp;ei=2MT0XrvGGM-vytMP1OyDgAY&amp;q=site%3Alinkedin.com+Jennifer+Bidlingmaier+Campus+Recruiter+EY</v>
      </c>
      <c r="K2442" s="5" t="str">
        <f t="shared" si="1"/>
        <v>Jennifer Bidlingmaier</v>
      </c>
      <c r="L2442" s="5" t="str">
        <f t="shared" si="2"/>
        <v>Campus Recruiter</v>
      </c>
      <c r="M2442" s="5" t="str">
        <f t="shared" si="3"/>
        <v> </v>
      </c>
      <c r="N2442" s="5" t="str">
        <f t="shared" si="4"/>
        <v>Ernst &amp; Young</v>
      </c>
      <c r="O2442" s="5" t="str">
        <f t="shared" si="5"/>
        <v>11 months in role and company</v>
      </c>
      <c r="P2442" s="5" t="str">
        <f t="shared" si="6"/>
        <v>Detroit</v>
      </c>
      <c r="Q2442" s="5" t="str">
        <f t="shared" si="7"/>
        <v>Michigan</v>
      </c>
      <c r="R2442" s="5" t="str">
        <f t="shared" si="8"/>
        <v>United States</v>
      </c>
    </row>
    <row r="2443">
      <c r="A2443" s="7" t="s">
        <v>826</v>
      </c>
      <c r="B2443" s="5" t="s">
        <v>824</v>
      </c>
      <c r="C2443" s="5" t="s">
        <v>25</v>
      </c>
      <c r="D2443" s="6" t="s">
        <v>13</v>
      </c>
      <c r="E2443" s="5" t="s">
        <v>812</v>
      </c>
      <c r="F2443" s="5" t="s">
        <v>42</v>
      </c>
      <c r="G2443" s="5" t="s">
        <v>825</v>
      </c>
      <c r="H2443" s="6" t="s">
        <v>756</v>
      </c>
      <c r="I2443" s="5" t="s">
        <v>18</v>
      </c>
      <c r="J2443" s="9" t="str">
        <f>IFERROR(__xludf.DUMMYFUNCTION("""COMPUTED_VALUE"""),"https://www.google.com/search?newwindow=1&amp;ei=2MT0XrvGGM-vytMP1OyDgAY&amp;q=site%3Alinkedin.com+Kristen+(Miller)+Goldman+Campus+Recruiter,+Assistant+Director+EY")</f>
        <v>https://www.google.com/search?newwindow=1&amp;ei=2MT0XrvGGM-vytMP1OyDgAY&amp;q=site%3Alinkedin.com+Kristen+(Miller)+Goldman+Campus+Recruiter,+Assistant+Director+EY</v>
      </c>
      <c r="K2443" s="5" t="str">
        <f t="shared" si="1"/>
        <v>Kristen (Miller) Goldman</v>
      </c>
      <c r="L2443" s="5" t="str">
        <f t="shared" si="2"/>
        <v>Campus Recruiter, Assistant Director</v>
      </c>
      <c r="M2443" s="5" t="str">
        <f t="shared" si="3"/>
        <v> </v>
      </c>
      <c r="N2443" s="5" t="str">
        <f t="shared" si="4"/>
        <v>Ernst &amp; Young</v>
      </c>
      <c r="O2443" s="5" t="str">
        <f t="shared" si="5"/>
        <v>3 years 4 months in role</v>
      </c>
      <c r="P2443" s="5" t="str">
        <f t="shared" si="6"/>
        <v>Detroit</v>
      </c>
      <c r="Q2443" s="5" t="str">
        <f t="shared" si="7"/>
        <v>Michigan</v>
      </c>
      <c r="R2443" s="5" t="str">
        <f t="shared" si="8"/>
        <v>United States</v>
      </c>
    </row>
    <row r="2444">
      <c r="A2444" s="7" t="s">
        <v>829</v>
      </c>
      <c r="B2444" s="5" t="s">
        <v>827</v>
      </c>
      <c r="C2444" s="5" t="s">
        <v>828</v>
      </c>
      <c r="D2444" s="6" t="s">
        <v>13</v>
      </c>
      <c r="E2444" s="5" t="s">
        <v>812</v>
      </c>
      <c r="F2444" s="5" t="s">
        <v>165</v>
      </c>
      <c r="G2444" s="5" t="s">
        <v>80</v>
      </c>
      <c r="H2444" s="5" t="s">
        <v>38</v>
      </c>
      <c r="I2444" s="5" t="s">
        <v>18</v>
      </c>
      <c r="J2444" s="9" t="str">
        <f>IFERROR(__xludf.DUMMYFUNCTION("""COMPUTED_VALUE"""),"https://www.google.com/search?newwindow=1&amp;ei=2MT0XrvGGM-vytMP1OyDgAY&amp;q=site%3Alinkedin.com+Paige+Leininger+Campus+Recruiter+EY")</f>
        <v>https://www.google.com/search?newwindow=1&amp;ei=2MT0XrvGGM-vytMP1OyDgAY&amp;q=site%3Alinkedin.com+Paige+Leininger+Campus+Recruiter+EY</v>
      </c>
      <c r="K2444" s="5" t="str">
        <f t="shared" si="1"/>
        <v>Paige Leininger</v>
      </c>
      <c r="L2444" s="5" t="str">
        <f t="shared" si="2"/>
        <v>Campus Recruiter</v>
      </c>
      <c r="M2444" s="5" t="str">
        <f t="shared" si="3"/>
        <v> </v>
      </c>
      <c r="N2444" s="5" t="str">
        <f t="shared" si="4"/>
        <v>Ernst &amp; Young</v>
      </c>
      <c r="O2444" s="5" t="str">
        <f t="shared" si="5"/>
        <v>1 year 8 months in role and company</v>
      </c>
      <c r="P2444" s="5" t="str">
        <f t="shared" si="6"/>
        <v>Detroit</v>
      </c>
      <c r="Q2444" s="5" t="str">
        <f t="shared" si="7"/>
        <v>Michigan</v>
      </c>
      <c r="R2444" s="5" t="str">
        <f t="shared" si="8"/>
        <v>United States</v>
      </c>
    </row>
    <row r="2445">
      <c r="A2445" s="7" t="s">
        <v>834</v>
      </c>
      <c r="B2445" s="5" t="s">
        <v>830</v>
      </c>
      <c r="C2445" s="5" t="s">
        <v>831</v>
      </c>
      <c r="D2445" s="6" t="s">
        <v>13</v>
      </c>
      <c r="E2445" s="5" t="s">
        <v>812</v>
      </c>
      <c r="F2445" s="5" t="s">
        <v>832</v>
      </c>
      <c r="G2445" s="5" t="s">
        <v>833</v>
      </c>
      <c r="H2445" s="5" t="s">
        <v>203</v>
      </c>
      <c r="I2445" s="5" t="s">
        <v>18</v>
      </c>
      <c r="J2445" s="9" t="str">
        <f>IFERROR(__xludf.DUMMYFUNCTION("""COMPUTED_VALUE"""),"https://www.google.com/search?newwindow=1&amp;ei=2MT0XrvGGM-vytMP1OyDgAY&amp;q=site%3Alinkedin.com+Morgan+Liss+FSO+Assurance+Campus+Recruiter+EY")</f>
        <v>https://www.google.com/search?newwindow=1&amp;ei=2MT0XrvGGM-vytMP1OyDgAY&amp;q=site%3Alinkedin.com+Morgan+Liss+FSO+Assurance+Campus+Recruiter+EY</v>
      </c>
      <c r="K2445" s="5" t="str">
        <f t="shared" si="1"/>
        <v>Morgan Liss</v>
      </c>
      <c r="L2445" s="5" t="str">
        <f t="shared" si="2"/>
        <v>FSO Assurance Campus Recruiter</v>
      </c>
      <c r="M2445" s="5" t="str">
        <f t="shared" si="3"/>
        <v> </v>
      </c>
      <c r="N2445" s="5" t="str">
        <f t="shared" si="4"/>
        <v>Ernst &amp; Young</v>
      </c>
      <c r="O2445" s="5" t="str">
        <f t="shared" si="5"/>
        <v>2 years 6 months in role</v>
      </c>
      <c r="P2445" s="5" t="str">
        <f t="shared" si="6"/>
        <v>Hoboken</v>
      </c>
      <c r="Q2445" s="5" t="str">
        <f t="shared" si="7"/>
        <v>New Jersey</v>
      </c>
      <c r="R2445" s="5" t="str">
        <f t="shared" si="8"/>
        <v>United States</v>
      </c>
    </row>
    <row r="2446">
      <c r="A2446" s="8" t="s">
        <v>837</v>
      </c>
      <c r="B2446" s="5" t="s">
        <v>835</v>
      </c>
      <c r="C2446" s="5" t="s">
        <v>836</v>
      </c>
      <c r="D2446" s="6" t="s">
        <v>13</v>
      </c>
      <c r="E2446" s="5" t="s">
        <v>812</v>
      </c>
      <c r="F2446" s="5" t="s">
        <v>512</v>
      </c>
      <c r="G2446" s="5" t="s">
        <v>112</v>
      </c>
      <c r="H2446" s="5" t="s">
        <v>38</v>
      </c>
      <c r="I2446" s="5" t="s">
        <v>18</v>
      </c>
      <c r="J2446" s="9" t="str">
        <f>IFERROR(__xludf.DUMMYFUNCTION("""COMPUTED_VALUE"""),"https://www.google.com/search?newwindow=1&amp;ei=2MT0XrvGGM-vytMP1OyDgAY&amp;q=site%3Alinkedin.com+Valerie+King+Campus+Recruiter+EY")</f>
        <v>https://www.google.com/search?newwindow=1&amp;ei=2MT0XrvGGM-vytMP1OyDgAY&amp;q=site%3Alinkedin.com+Valerie+King+Campus+Recruiter+EY</v>
      </c>
      <c r="K2446" s="5" t="str">
        <f t="shared" si="1"/>
        <v>Valerie King</v>
      </c>
      <c r="L2446" s="5" t="str">
        <f t="shared" si="2"/>
        <v>Campus Recruiter</v>
      </c>
      <c r="M2446" s="5" t="str">
        <f t="shared" si="3"/>
        <v> </v>
      </c>
      <c r="N2446" s="5" t="str">
        <f t="shared" si="4"/>
        <v>Ernst &amp; Young</v>
      </c>
      <c r="O2446" s="5" t="str">
        <f t="shared" si="5"/>
        <v>2 years 4 months in role</v>
      </c>
      <c r="P2446" s="5" t="str">
        <f t="shared" si="6"/>
        <v>Houston</v>
      </c>
      <c r="Q2446" s="5" t="str">
        <f t="shared" si="7"/>
        <v>Texas</v>
      </c>
      <c r="R2446" s="5" t="str">
        <f t="shared" si="8"/>
        <v>United States</v>
      </c>
    </row>
    <row r="2447">
      <c r="A2447" s="7" t="s">
        <v>841</v>
      </c>
      <c r="B2447" s="5" t="s">
        <v>838</v>
      </c>
      <c r="C2447" s="5" t="s">
        <v>839</v>
      </c>
      <c r="D2447" s="6" t="s">
        <v>13</v>
      </c>
      <c r="E2447" s="5" t="s">
        <v>812</v>
      </c>
      <c r="F2447" s="5" t="s">
        <v>840</v>
      </c>
      <c r="G2447" s="5" t="s">
        <v>299</v>
      </c>
      <c r="H2447" s="5" t="s">
        <v>44</v>
      </c>
      <c r="I2447" s="5" t="s">
        <v>18</v>
      </c>
      <c r="J2447" s="9" t="str">
        <f>IFERROR(__xludf.DUMMYFUNCTION("""COMPUTED_VALUE"""),"https://www.google.com/search?newwindow=1&amp;ei=2MT0XrvGGM-vytMP1OyDgAY&amp;q=site%3Alinkedin.com+Lindsay+Sadler+West+Region+Campus+Recruiter+EY")</f>
        <v>https://www.google.com/search?newwindow=1&amp;ei=2MT0XrvGGM-vytMP1OyDgAY&amp;q=site%3Alinkedin.com+Lindsay+Sadler+West+Region+Campus+Recruiter+EY</v>
      </c>
      <c r="K2447" s="5" t="str">
        <f t="shared" si="1"/>
        <v>Lindsay Sadler</v>
      </c>
      <c r="L2447" s="5" t="str">
        <f t="shared" si="2"/>
        <v>West Region Campus Recruiter</v>
      </c>
      <c r="M2447" s="5" t="str">
        <f t="shared" si="3"/>
        <v> </v>
      </c>
      <c r="N2447" s="5" t="str">
        <f t="shared" si="4"/>
        <v>Ernst &amp; Young</v>
      </c>
      <c r="O2447" s="5" t="str">
        <f t="shared" si="5"/>
        <v>2 years  in role and company</v>
      </c>
      <c r="P2447" s="5" t="str">
        <f t="shared" si="6"/>
        <v>Houston</v>
      </c>
      <c r="Q2447" s="5" t="str">
        <f t="shared" si="7"/>
        <v>Texas</v>
      </c>
      <c r="R2447" s="5" t="str">
        <f t="shared" si="8"/>
        <v>United States</v>
      </c>
    </row>
    <row r="2448">
      <c r="A2448" s="7" t="s">
        <v>842</v>
      </c>
      <c r="B2448" s="5" t="s">
        <v>810</v>
      </c>
      <c r="C2448" s="5" t="s">
        <v>25</v>
      </c>
      <c r="D2448" s="6" t="s">
        <v>13</v>
      </c>
      <c r="E2448" s="5" t="s">
        <v>812</v>
      </c>
      <c r="F2448" s="5" t="s">
        <v>111</v>
      </c>
      <c r="G2448" s="5" t="s">
        <v>16</v>
      </c>
      <c r="H2448" s="5" t="s">
        <v>17</v>
      </c>
      <c r="I2448" s="5" t="s">
        <v>18</v>
      </c>
      <c r="J2448" s="9" t="str">
        <f>IFERROR(__xludf.DUMMYFUNCTION("""COMPUTED_VALUE"""),"https://www.google.com/search?newwindow=1&amp;ei=2MT0XrvGGM-vytMP1OyDgAY&amp;q=site%3Alinkedin.com+Stephanie+Eckland+Campus+Recruiter+EY")</f>
        <v>https://www.google.com/search?newwindow=1&amp;ei=2MT0XrvGGM-vytMP1OyDgAY&amp;q=site%3Alinkedin.com+Stephanie+Eckland+Campus+Recruiter+EY</v>
      </c>
      <c r="K2448" s="5" t="str">
        <f t="shared" si="1"/>
        <v>Stephanie Eckland</v>
      </c>
      <c r="L2448" s="5" t="str">
        <f t="shared" si="2"/>
        <v>Campus Recruiter</v>
      </c>
      <c r="M2448" s="5" t="str">
        <f t="shared" si="3"/>
        <v> </v>
      </c>
      <c r="N2448" s="5" t="str">
        <f t="shared" si="4"/>
        <v>Ernst &amp; Young</v>
      </c>
      <c r="O2448" s="5" t="str">
        <f t="shared" si="5"/>
        <v>2 years 2 months in role and company</v>
      </c>
      <c r="P2448" s="5" t="str">
        <f t="shared" si="6"/>
        <v>Houston</v>
      </c>
      <c r="Q2448" s="5" t="str">
        <f t="shared" si="7"/>
        <v>Texas</v>
      </c>
      <c r="R2448" s="5" t="str">
        <f t="shared" si="8"/>
        <v>United States</v>
      </c>
    </row>
    <row r="2449">
      <c r="A2449" s="7" t="s">
        <v>846</v>
      </c>
      <c r="B2449" s="5" t="s">
        <v>843</v>
      </c>
      <c r="C2449" s="5" t="s">
        <v>844</v>
      </c>
      <c r="D2449" s="6" t="s">
        <v>13</v>
      </c>
      <c r="E2449" s="5" t="s">
        <v>845</v>
      </c>
      <c r="F2449" s="5" t="s">
        <v>228</v>
      </c>
      <c r="G2449" s="5" t="s">
        <v>183</v>
      </c>
      <c r="H2449" s="5" t="s">
        <v>184</v>
      </c>
      <c r="I2449" s="5" t="s">
        <v>18</v>
      </c>
      <c r="J2449" s="9" t="str">
        <f>IFERROR(__xludf.DUMMYFUNCTION("""COMPUTED_VALUE"""),"https://www.google.com/search?newwindow=1&amp;ei=2MT0XrvGGM-vytMP1OyDgAY&amp;q=site%3Alinkedin.com+Daniela+McLoad+Campus+Recruiter,+Supervising+Associate+EY")</f>
        <v>https://www.google.com/search?newwindow=1&amp;ei=2MT0XrvGGM-vytMP1OyDgAY&amp;q=site%3Alinkedin.com+Daniela+McLoad+Campus+Recruiter,+Supervising+Associate+EY</v>
      </c>
      <c r="K2449" s="5" t="str">
        <f t="shared" si="1"/>
        <v>Daniela McLoad</v>
      </c>
      <c r="L2449" s="5" t="str">
        <f t="shared" si="2"/>
        <v>Campus Recruiter, Supervising Associate</v>
      </c>
      <c r="M2449" s="5" t="str">
        <f t="shared" si="3"/>
        <v> </v>
      </c>
      <c r="N2449" s="5" t="str">
        <f t="shared" si="4"/>
        <v>Ernst &amp; Young</v>
      </c>
      <c r="O2449" s="5" t="str">
        <f t="shared" si="5"/>
        <v>1 year 1 month in role</v>
      </c>
      <c r="P2449" s="5" t="str">
        <f t="shared" si="6"/>
        <v>Houston</v>
      </c>
      <c r="Q2449" s="5" t="str">
        <f t="shared" si="7"/>
        <v>Texas</v>
      </c>
      <c r="R2449" s="5" t="str">
        <f t="shared" si="8"/>
        <v>United States</v>
      </c>
    </row>
    <row r="2450">
      <c r="A2450" s="7" t="s">
        <v>849</v>
      </c>
      <c r="B2450" s="5" t="s">
        <v>847</v>
      </c>
      <c r="C2450" s="5" t="s">
        <v>25</v>
      </c>
      <c r="D2450" s="6" t="s">
        <v>13</v>
      </c>
      <c r="E2450" s="5" t="s">
        <v>845</v>
      </c>
      <c r="F2450" s="5" t="s">
        <v>848</v>
      </c>
      <c r="G2450" s="5" t="s">
        <v>189</v>
      </c>
      <c r="H2450" s="5" t="s">
        <v>184</v>
      </c>
      <c r="I2450" s="5" t="s">
        <v>18</v>
      </c>
      <c r="J2450" s="9" t="str">
        <f>IFERROR(__xludf.DUMMYFUNCTION("""COMPUTED_VALUE"""),"https://www.google.com/search?newwindow=1&amp;ei=2MT0XrvGGM-vytMP1OyDgAY&amp;q=site%3Alinkedin.com+Caroline+Hudnall+Campus+Recruiter+EY")</f>
        <v>https://www.google.com/search?newwindow=1&amp;ei=2MT0XrvGGM-vytMP1OyDgAY&amp;q=site%3Alinkedin.com+Caroline+Hudnall+Campus+Recruiter+EY</v>
      </c>
      <c r="K2450" s="5" t="str">
        <f t="shared" si="1"/>
        <v>Caroline Hudnall</v>
      </c>
      <c r="L2450" s="5" t="str">
        <f t="shared" si="2"/>
        <v>Campus Recruiter</v>
      </c>
      <c r="M2450" s="5" t="str">
        <f t="shared" si="3"/>
        <v> </v>
      </c>
      <c r="N2450" s="5" t="str">
        <f t="shared" si="4"/>
        <v>Ernst &amp; Young</v>
      </c>
      <c r="O2450" s="5" t="str">
        <f t="shared" si="5"/>
        <v>6 years  in role and company</v>
      </c>
      <c r="P2450" s="5" t="str">
        <f t="shared" si="6"/>
        <v>Houston</v>
      </c>
      <c r="Q2450" s="5" t="str">
        <f t="shared" si="7"/>
        <v>Texas</v>
      </c>
      <c r="R2450" s="5" t="str">
        <f t="shared" si="8"/>
        <v>United States</v>
      </c>
    </row>
    <row r="2451">
      <c r="A2451" s="7" t="s">
        <v>851</v>
      </c>
      <c r="B2451" s="5" t="s">
        <v>850</v>
      </c>
      <c r="C2451" s="5" t="s">
        <v>25</v>
      </c>
      <c r="D2451" s="6" t="s">
        <v>13</v>
      </c>
      <c r="E2451" s="5" t="s">
        <v>845</v>
      </c>
      <c r="G2451" s="5" t="s">
        <v>189</v>
      </c>
      <c r="H2451" s="5" t="s">
        <v>184</v>
      </c>
      <c r="I2451" s="5" t="s">
        <v>18</v>
      </c>
      <c r="J2451" s="9" t="str">
        <f>IFERROR(__xludf.DUMMYFUNCTION("""COMPUTED_VALUE"""),"https://www.google.com/search?newwindow=1&amp;ei=2MT0XrvGGM-vytMP1OyDgAY&amp;q=site%3Alinkedin.com+Maricarolyn+Stith+Campus+Recruiter+EY")</f>
        <v>https://www.google.com/search?newwindow=1&amp;ei=2MT0XrvGGM-vytMP1OyDgAY&amp;q=site%3Alinkedin.com+Maricarolyn+Stith+Campus+Recruiter+EY</v>
      </c>
      <c r="K2451" s="5" t="str">
        <f t="shared" si="1"/>
        <v>Maricarolyn Stith</v>
      </c>
      <c r="L2451" s="5" t="str">
        <f t="shared" si="2"/>
        <v>Campus Recruiter</v>
      </c>
      <c r="M2451" s="5" t="str">
        <f t="shared" si="3"/>
        <v> </v>
      </c>
      <c r="N2451" s="5" t="str">
        <f t="shared" si="4"/>
        <v>Ernst &amp; Young</v>
      </c>
      <c r="O2451" s="5" t="str">
        <f t="shared" si="5"/>
        <v>1 year 4 months in role</v>
      </c>
      <c r="P2451" s="5" t="str">
        <f t="shared" si="6"/>
        <v>Houston</v>
      </c>
      <c r="Q2451" s="5" t="str">
        <f t="shared" si="7"/>
        <v>Texas</v>
      </c>
      <c r="R2451" s="5" t="str">
        <f t="shared" si="8"/>
        <v>United States</v>
      </c>
    </row>
    <row r="2452">
      <c r="A2452" s="7" t="s">
        <v>853</v>
      </c>
      <c r="B2452" s="5" t="s">
        <v>852</v>
      </c>
      <c r="C2452" s="5" t="s">
        <v>25</v>
      </c>
      <c r="D2452" s="6" t="s">
        <v>13</v>
      </c>
      <c r="E2452" s="5" t="s">
        <v>845</v>
      </c>
      <c r="F2452" s="5" t="s">
        <v>192</v>
      </c>
      <c r="G2452" s="5" t="s">
        <v>16</v>
      </c>
      <c r="H2452" s="5" t="s">
        <v>17</v>
      </c>
      <c r="I2452" s="5" t="s">
        <v>18</v>
      </c>
      <c r="J2452" s="9" t="str">
        <f>IFERROR(__xludf.DUMMYFUNCTION("""COMPUTED_VALUE"""),"https://www.google.com/search?newwindow=1&amp;ei=2MT0XrvGGM-vytMP1OyDgAY&amp;q=site%3Alinkedin.com+Monica+Zeno+Campus+Recruiter+-+Senior+Associate+-+FSO+EY")</f>
        <v>https://www.google.com/search?newwindow=1&amp;ei=2MT0XrvGGM-vytMP1OyDgAY&amp;q=site%3Alinkedin.com+Monica+Zeno+Campus+Recruiter+-+Senior+Associate+-+FSO+EY</v>
      </c>
      <c r="K2452" s="5" t="str">
        <f t="shared" si="1"/>
        <v>Monica Zeno</v>
      </c>
      <c r="L2452" s="5" t="str">
        <f t="shared" si="2"/>
        <v>Campus Recruiter - Senior Associate - FSO</v>
      </c>
      <c r="M2452" s="5" t="str">
        <f t="shared" si="3"/>
        <v> </v>
      </c>
      <c r="N2452" s="5" t="str">
        <f t="shared" si="4"/>
        <v>Ernst &amp; Young</v>
      </c>
      <c r="O2452" s="5" t="str">
        <f t="shared" si="5"/>
        <v>2 years  in role and company</v>
      </c>
      <c r="P2452" s="5" t="str">
        <f t="shared" si="6"/>
        <v>Houston</v>
      </c>
      <c r="Q2452" s="5" t="str">
        <f t="shared" si="7"/>
        <v>Texas</v>
      </c>
      <c r="R2452" s="5" t="str">
        <f t="shared" si="8"/>
        <v>United States</v>
      </c>
    </row>
    <row r="2453">
      <c r="A2453" s="7" t="s">
        <v>856</v>
      </c>
      <c r="B2453" s="5" t="s">
        <v>854</v>
      </c>
      <c r="C2453" s="5" t="s">
        <v>25</v>
      </c>
      <c r="D2453" s="6" t="s">
        <v>13</v>
      </c>
      <c r="E2453" s="5" t="s">
        <v>845</v>
      </c>
      <c r="F2453" s="5" t="s">
        <v>331</v>
      </c>
      <c r="G2453" s="5" t="s">
        <v>855</v>
      </c>
      <c r="H2453" s="5" t="s">
        <v>184</v>
      </c>
      <c r="I2453" s="5" t="s">
        <v>18</v>
      </c>
      <c r="J2453" s="9" t="str">
        <f>IFERROR(__xludf.DUMMYFUNCTION("""COMPUTED_VALUE"""),"https://www.google.com/search?newwindow=1&amp;ei=2MT0XrvGGM-vytMP1OyDgAY&amp;q=site%3Alinkedin.com+Hannah+Daluga+Campus+Recruiter+EY")</f>
        <v>https://www.google.com/search?newwindow=1&amp;ei=2MT0XrvGGM-vytMP1OyDgAY&amp;q=site%3Alinkedin.com+Hannah+Daluga+Campus+Recruiter+EY</v>
      </c>
      <c r="K2453" s="5" t="str">
        <f t="shared" si="1"/>
        <v>Hannah Daluga</v>
      </c>
      <c r="L2453" s="5" t="str">
        <f t="shared" si="2"/>
        <v>Campus Recruiter</v>
      </c>
      <c r="M2453" s="5" t="str">
        <f t="shared" si="3"/>
        <v> </v>
      </c>
      <c r="N2453" s="5" t="str">
        <f t="shared" si="4"/>
        <v>Ernst &amp; Young</v>
      </c>
      <c r="O2453" s="5" t="str">
        <f t="shared" si="5"/>
        <v>6 years 6 months in role</v>
      </c>
      <c r="P2453" s="5" t="str">
        <f t="shared" si="6"/>
        <v>Indianapolis</v>
      </c>
      <c r="Q2453" s="5" t="str">
        <f t="shared" si="7"/>
        <v>Indiana</v>
      </c>
      <c r="R2453" s="5" t="str">
        <f t="shared" si="8"/>
        <v>United States</v>
      </c>
    </row>
    <row r="2454">
      <c r="A2454" s="7" t="s">
        <v>859</v>
      </c>
      <c r="B2454" s="5" t="s">
        <v>857</v>
      </c>
      <c r="C2454" s="5" t="s">
        <v>25</v>
      </c>
      <c r="D2454" s="6" t="s">
        <v>13</v>
      </c>
      <c r="E2454" s="5" t="s">
        <v>845</v>
      </c>
      <c r="F2454" s="5" t="s">
        <v>228</v>
      </c>
      <c r="G2454" s="5" t="s">
        <v>858</v>
      </c>
      <c r="H2454" s="5" t="s">
        <v>38</v>
      </c>
      <c r="I2454" s="5" t="s">
        <v>18</v>
      </c>
      <c r="J2454" s="9" t="str">
        <f>IFERROR(__xludf.DUMMYFUNCTION("""COMPUTED_VALUE"""),"https://www.google.com/search?newwindow=1&amp;ei=2MT0XrvGGM-vytMP1OyDgAY&amp;q=site%3Alinkedin.com+Crystal+Hill+Campus+Recruiter+EY")</f>
        <v>https://www.google.com/search?newwindow=1&amp;ei=2MT0XrvGGM-vytMP1OyDgAY&amp;q=site%3Alinkedin.com+Crystal+Hill+Campus+Recruiter+EY</v>
      </c>
      <c r="K2454" s="5" t="str">
        <f t="shared" si="1"/>
        <v>Crystal Hill</v>
      </c>
      <c r="L2454" s="5" t="str">
        <f t="shared" si="2"/>
        <v>Campus Recruiter</v>
      </c>
      <c r="M2454" s="5" t="str">
        <f t="shared" si="3"/>
        <v> </v>
      </c>
      <c r="N2454" s="5" t="str">
        <f t="shared" si="4"/>
        <v>Ernst &amp; Young</v>
      </c>
      <c r="O2454" s="5" t="str">
        <f t="shared" si="5"/>
        <v>3 years 10 months in role and company</v>
      </c>
      <c r="P2454" s="5" t="str">
        <f t="shared" si="6"/>
        <v>Jacksonville</v>
      </c>
      <c r="Q2454" s="5" t="str">
        <f t="shared" si="7"/>
        <v>Florida</v>
      </c>
      <c r="R2454" s="5" t="str">
        <f t="shared" si="8"/>
        <v>United States</v>
      </c>
    </row>
    <row r="2455">
      <c r="A2455" s="8" t="s">
        <v>863</v>
      </c>
      <c r="B2455" s="5" t="s">
        <v>860</v>
      </c>
      <c r="C2455" s="5" t="s">
        <v>861</v>
      </c>
      <c r="D2455" s="6" t="s">
        <v>13</v>
      </c>
      <c r="E2455" s="5" t="s">
        <v>845</v>
      </c>
      <c r="F2455" s="5" t="s">
        <v>848</v>
      </c>
      <c r="G2455" s="5" t="s">
        <v>862</v>
      </c>
      <c r="H2455" s="5" t="s">
        <v>184</v>
      </c>
      <c r="I2455" s="5" t="s">
        <v>18</v>
      </c>
      <c r="J2455" s="9" t="str">
        <f>IFERROR(__xludf.DUMMYFUNCTION("""COMPUTED_VALUE"""),"https://www.google.com/search?newwindow=1&amp;ei=2MT0XrvGGM-vytMP1OyDgAY&amp;q=site%3Alinkedin.com+Britt+Stacy+Campus+Recruiter+EY")</f>
        <v>https://www.google.com/search?newwindow=1&amp;ei=2MT0XrvGGM-vytMP1OyDgAY&amp;q=site%3Alinkedin.com+Britt+Stacy+Campus+Recruiter+EY</v>
      </c>
      <c r="K2455" s="5" t="str">
        <f t="shared" si="1"/>
        <v>Britt Stacy</v>
      </c>
      <c r="L2455" s="5" t="str">
        <f t="shared" si="2"/>
        <v>Campus Recruiter</v>
      </c>
      <c r="M2455" s="5" t="str">
        <f t="shared" si="3"/>
        <v> </v>
      </c>
      <c r="N2455" s="5" t="str">
        <f t="shared" si="4"/>
        <v>Ernst &amp; Young</v>
      </c>
      <c r="O2455" s="5" t="str">
        <f t="shared" si="5"/>
        <v>1 year 3 months in role</v>
      </c>
      <c r="P2455" s="5" t="str">
        <f t="shared" si="6"/>
        <v>Jacksonville</v>
      </c>
      <c r="Q2455" s="5" t="str">
        <f t="shared" si="7"/>
        <v>Florida</v>
      </c>
      <c r="R2455" s="5" t="str">
        <f t="shared" si="8"/>
        <v>United States</v>
      </c>
    </row>
    <row r="2456">
      <c r="A2456" s="7" t="s">
        <v>866</v>
      </c>
      <c r="B2456" s="5" t="s">
        <v>864</v>
      </c>
      <c r="C2456" s="5" t="s">
        <v>25</v>
      </c>
      <c r="D2456" s="6" t="s">
        <v>13</v>
      </c>
      <c r="E2456" s="5" t="s">
        <v>845</v>
      </c>
      <c r="F2456" s="5" t="s">
        <v>237</v>
      </c>
      <c r="G2456" s="5" t="s">
        <v>865</v>
      </c>
      <c r="H2456" s="5" t="s">
        <v>184</v>
      </c>
      <c r="I2456" s="5" t="s">
        <v>18</v>
      </c>
      <c r="J2456" s="9" t="str">
        <f>IFERROR(__xludf.DUMMYFUNCTION("""COMPUTED_VALUE"""),"https://www.google.com/search?newwindow=1&amp;ei=2MT0XrvGGM-vytMP1OyDgAY&amp;q=site%3Alinkedin.com+Francesca+Jones+Campus+Recruiting+Leader+-+Financial+Services+Organization+EY")</f>
        <v>https://www.google.com/search?newwindow=1&amp;ei=2MT0XrvGGM-vytMP1OyDgAY&amp;q=site%3Alinkedin.com+Francesca+Jones+Campus+Recruiting+Leader+-+Financial+Services+Organization+EY</v>
      </c>
      <c r="K2456" s="5" t="str">
        <f t="shared" si="1"/>
        <v>Francesca Jones</v>
      </c>
      <c r="L2456" s="5" t="str">
        <f t="shared" si="2"/>
        <v>Campus Recruiting Leader - Financial Services Organization</v>
      </c>
      <c r="M2456" s="5" t="str">
        <f t="shared" si="3"/>
        <v> </v>
      </c>
      <c r="N2456" s="5" t="str">
        <f t="shared" si="4"/>
        <v>Ernst &amp; Young</v>
      </c>
      <c r="O2456" s="5" t="str">
        <f t="shared" si="5"/>
        <v>1 year 4 months in role</v>
      </c>
      <c r="P2456" s="5" t="str">
        <f t="shared" si="6"/>
        <v>Los Angeles</v>
      </c>
      <c r="Q2456" s="5" t="str">
        <f t="shared" si="7"/>
        <v>California</v>
      </c>
      <c r="R2456" s="5" t="str">
        <f t="shared" si="8"/>
        <v>United States</v>
      </c>
    </row>
    <row r="2457">
      <c r="A2457" s="7" t="s">
        <v>868</v>
      </c>
      <c r="B2457" s="5" t="s">
        <v>867</v>
      </c>
      <c r="C2457" s="5" t="s">
        <v>25</v>
      </c>
      <c r="D2457" s="6" t="s">
        <v>13</v>
      </c>
      <c r="E2457" s="5" t="s">
        <v>845</v>
      </c>
      <c r="F2457" s="5" t="s">
        <v>228</v>
      </c>
      <c r="G2457" s="5" t="s">
        <v>137</v>
      </c>
      <c r="H2457" s="5" t="s">
        <v>137</v>
      </c>
      <c r="I2457" s="5" t="s">
        <v>18</v>
      </c>
      <c r="J2457" s="9" t="str">
        <f>IFERROR(__xludf.DUMMYFUNCTION("""COMPUTED_VALUE"""),"https://www.google.com/search?newwindow=1&amp;ei=2MT0XrvGGM-vytMP1OyDgAY&amp;q=site%3Alinkedin.com+Je'nell+Griffin+Supervisory+Associate+Campus+Recruiter+EY")</f>
        <v>https://www.google.com/search?newwindow=1&amp;ei=2MT0XrvGGM-vytMP1OyDgAY&amp;q=site%3Alinkedin.com+Je'nell+Griffin+Supervisory+Associate+Campus+Recruiter+EY</v>
      </c>
      <c r="K2457" s="5" t="str">
        <f t="shared" si="1"/>
        <v>Je'nell Griffin</v>
      </c>
      <c r="L2457" s="5" t="str">
        <f t="shared" si="2"/>
        <v>Supervisory Associate Campus Recruiter</v>
      </c>
      <c r="M2457" s="5" t="str">
        <f t="shared" si="3"/>
        <v> </v>
      </c>
      <c r="N2457" s="5" t="str">
        <f t="shared" si="4"/>
        <v>Ernst &amp; Young</v>
      </c>
      <c r="O2457" s="5" t="str">
        <f t="shared" si="5"/>
        <v>6 years 3 months in role and company</v>
      </c>
      <c r="P2457" s="5" t="str">
        <f t="shared" si="6"/>
        <v>Los Angeles</v>
      </c>
      <c r="Q2457" s="5" t="str">
        <f t="shared" si="7"/>
        <v>California</v>
      </c>
      <c r="R2457" s="5" t="str">
        <f t="shared" si="8"/>
        <v>United States</v>
      </c>
    </row>
    <row r="2458">
      <c r="A2458" s="8" t="s">
        <v>871</v>
      </c>
      <c r="B2458" s="5" t="s">
        <v>869</v>
      </c>
      <c r="C2458" s="5" t="s">
        <v>870</v>
      </c>
      <c r="D2458" s="6" t="s">
        <v>13</v>
      </c>
      <c r="E2458" s="5" t="s">
        <v>845</v>
      </c>
      <c r="F2458" s="5" t="s">
        <v>149</v>
      </c>
      <c r="G2458" s="5" t="s">
        <v>137</v>
      </c>
      <c r="H2458" s="5" t="s">
        <v>137</v>
      </c>
      <c r="I2458" s="5" t="s">
        <v>18</v>
      </c>
      <c r="J2458" s="9" t="str">
        <f>IFERROR(__xludf.DUMMYFUNCTION("""COMPUTED_VALUE"""),"https://www.google.com/search?newwindow=1&amp;ei=2MT0XrvGGM-vytMP1OyDgAY&amp;q=site%3Alinkedin.com+Emily+Zoller+Assistant+Director,+Financial+Services+Campus+Recruiter+EY")</f>
        <v>https://www.google.com/search?newwindow=1&amp;ei=2MT0XrvGGM-vytMP1OyDgAY&amp;q=site%3Alinkedin.com+Emily+Zoller+Assistant+Director,+Financial+Services+Campus+Recruiter+EY</v>
      </c>
      <c r="K2458" s="5" t="str">
        <f t="shared" si="1"/>
        <v>Emily Zoller</v>
      </c>
      <c r="L2458" s="5" t="str">
        <f t="shared" si="2"/>
        <v>Assistant Director, Financial Services Campus Recruiter</v>
      </c>
      <c r="M2458" s="5" t="str">
        <f t="shared" si="3"/>
        <v> </v>
      </c>
      <c r="N2458" s="5" t="str">
        <f t="shared" si="4"/>
        <v>Ernst &amp; Young</v>
      </c>
      <c r="O2458" s="5" t="str">
        <f t="shared" si="5"/>
        <v>1 year 1 month in role</v>
      </c>
      <c r="P2458" s="5" t="str">
        <f t="shared" si="6"/>
        <v>Los Angeles</v>
      </c>
      <c r="Q2458" s="5" t="str">
        <f t="shared" si="7"/>
        <v>California</v>
      </c>
      <c r="R2458" s="5" t="str">
        <f t="shared" si="8"/>
        <v>United States</v>
      </c>
    </row>
    <row r="2459">
      <c r="A2459" s="7" t="s">
        <v>873</v>
      </c>
      <c r="B2459" s="5" t="s">
        <v>872</v>
      </c>
      <c r="C2459" s="5" t="s">
        <v>25</v>
      </c>
      <c r="D2459" s="6" t="s">
        <v>13</v>
      </c>
      <c r="E2459" s="5" t="s">
        <v>845</v>
      </c>
      <c r="F2459" s="5" t="s">
        <v>228</v>
      </c>
      <c r="G2459" s="5" t="s">
        <v>137</v>
      </c>
      <c r="H2459" s="5" t="s">
        <v>137</v>
      </c>
      <c r="I2459" s="5" t="s">
        <v>18</v>
      </c>
      <c r="J2459" s="9" t="str">
        <f>IFERROR(__xludf.DUMMYFUNCTION("""COMPUTED_VALUE"""),"https://www.google.com/search?newwindow=1&amp;ei=2MT0XrvGGM-vytMP1OyDgAY&amp;q=site%3Alinkedin.com+Javan+Cross+Campus+Recruiter+-+Assurance+EY")</f>
        <v>https://www.google.com/search?newwindow=1&amp;ei=2MT0XrvGGM-vytMP1OyDgAY&amp;q=site%3Alinkedin.com+Javan+Cross+Campus+Recruiter+-+Assurance+EY</v>
      </c>
      <c r="K2459" s="5" t="str">
        <f t="shared" si="1"/>
        <v>Javan Cross</v>
      </c>
      <c r="L2459" s="5" t="str">
        <f t="shared" si="2"/>
        <v>Campus Recruiter - Assurance</v>
      </c>
      <c r="M2459" s="5" t="str">
        <f t="shared" si="3"/>
        <v> </v>
      </c>
      <c r="N2459" s="5" t="str">
        <f t="shared" si="4"/>
        <v>Ernst &amp; Young</v>
      </c>
      <c r="O2459" s="5" t="str">
        <f t="shared" si="5"/>
        <v>1 year 3 months in role and company</v>
      </c>
      <c r="P2459" s="5" t="str">
        <f t="shared" si="6"/>
        <v>Los Angeles</v>
      </c>
      <c r="Q2459" s="5" t="str">
        <f t="shared" si="7"/>
        <v>California</v>
      </c>
      <c r="R2459" s="5" t="str">
        <f t="shared" si="8"/>
        <v>United States</v>
      </c>
    </row>
    <row r="2460">
      <c r="A2460" s="8" t="s">
        <v>877</v>
      </c>
      <c r="B2460" s="5" t="s">
        <v>874</v>
      </c>
      <c r="C2460" s="5" t="s">
        <v>875</v>
      </c>
      <c r="D2460" s="6" t="s">
        <v>13</v>
      </c>
      <c r="E2460" s="5" t="s">
        <v>845</v>
      </c>
      <c r="F2460" s="5" t="s">
        <v>29</v>
      </c>
      <c r="G2460" s="5" t="s">
        <v>876</v>
      </c>
      <c r="H2460" s="5" t="s">
        <v>184</v>
      </c>
      <c r="I2460" s="5" t="s">
        <v>18</v>
      </c>
      <c r="J2460" s="9" t="str">
        <f>IFERROR(__xludf.DUMMYFUNCTION("""COMPUTED_VALUE"""),"https://www.google.com/search?newwindow=1&amp;ei=2MT0XrvGGM-vytMP1OyDgAY&amp;q=site%3Alinkedin.com+Kreddow+Savetsaranee+Campus+Recruiter+EY")</f>
        <v>https://www.google.com/search?newwindow=1&amp;ei=2MT0XrvGGM-vytMP1OyDgAY&amp;q=site%3Alinkedin.com+Kreddow+Savetsaranee+Campus+Recruiter+EY</v>
      </c>
      <c r="K2460" s="5" t="str">
        <f t="shared" si="1"/>
        <v>Kreddow Savetsaranee</v>
      </c>
      <c r="L2460" s="5" t="str">
        <f t="shared" si="2"/>
        <v>Campus Recruiter</v>
      </c>
      <c r="M2460" s="5" t="str">
        <f t="shared" si="3"/>
        <v> </v>
      </c>
      <c r="N2460" s="5" t="str">
        <f t="shared" si="4"/>
        <v>Ernst &amp; Young</v>
      </c>
      <c r="O2460" s="5" t="str">
        <f t="shared" si="5"/>
        <v>2 years 1 month in role and company</v>
      </c>
      <c r="P2460" s="5" t="str">
        <f t="shared" si="6"/>
        <v>Los Angeles</v>
      </c>
      <c r="Q2460" s="5" t="str">
        <f t="shared" si="7"/>
        <v>California</v>
      </c>
      <c r="R2460" s="5" t="str">
        <f t="shared" si="8"/>
        <v>United States</v>
      </c>
    </row>
    <row r="2461">
      <c r="A2461" s="8" t="s">
        <v>880</v>
      </c>
      <c r="B2461" s="5" t="s">
        <v>878</v>
      </c>
      <c r="C2461" s="5" t="s">
        <v>879</v>
      </c>
      <c r="D2461" s="6" t="s">
        <v>13</v>
      </c>
      <c r="E2461" s="5" t="s">
        <v>845</v>
      </c>
      <c r="F2461" s="5" t="s">
        <v>100</v>
      </c>
      <c r="G2461" s="5" t="s">
        <v>876</v>
      </c>
      <c r="H2461" s="5" t="s">
        <v>184</v>
      </c>
      <c r="I2461" s="5" t="s">
        <v>18</v>
      </c>
      <c r="J2461" s="9" t="str">
        <f>IFERROR(__xludf.DUMMYFUNCTION("""COMPUTED_VALUE"""),"https://www.google.com/search?newwindow=1&amp;ei=2MT0XrvGGM-vytMP1OyDgAY&amp;q=site%3Alinkedin.com+Ashley+P.+Campus+Recruiter,+Talent+Attraction+&amp;+Acquisition+EY")</f>
        <v>https://www.google.com/search?newwindow=1&amp;ei=2MT0XrvGGM-vytMP1OyDgAY&amp;q=site%3Alinkedin.com+Ashley+P.+Campus+Recruiter,+Talent+Attraction+&amp;+Acquisition+EY</v>
      </c>
      <c r="K2461" s="5" t="str">
        <f t="shared" si="1"/>
        <v>Ashley P.</v>
      </c>
      <c r="L2461" s="5" t="str">
        <f t="shared" si="2"/>
        <v>Campus Recruiter, Talent Attraction &amp; Acquisition</v>
      </c>
      <c r="M2461" s="5" t="str">
        <f t="shared" si="3"/>
        <v> </v>
      </c>
      <c r="N2461" s="5" t="str">
        <f t="shared" si="4"/>
        <v>Ernst &amp; Young</v>
      </c>
      <c r="O2461" s="5" t="str">
        <f t="shared" si="5"/>
        <v>1 year  in role</v>
      </c>
      <c r="P2461" s="5" t="str">
        <f t="shared" si="6"/>
        <v>Los Angeles</v>
      </c>
      <c r="Q2461" s="5" t="str">
        <f t="shared" si="7"/>
        <v>California</v>
      </c>
      <c r="R2461" s="5" t="str">
        <f t="shared" si="8"/>
        <v>United States</v>
      </c>
    </row>
    <row r="2462">
      <c r="A2462" s="7" t="s">
        <v>882</v>
      </c>
      <c r="B2462" s="5" t="s">
        <v>881</v>
      </c>
      <c r="C2462" s="5" t="s">
        <v>25</v>
      </c>
      <c r="D2462" s="6" t="s">
        <v>13</v>
      </c>
      <c r="E2462" s="5" t="s">
        <v>845</v>
      </c>
      <c r="F2462" s="5" t="s">
        <v>100</v>
      </c>
      <c r="G2462" s="5" t="s">
        <v>876</v>
      </c>
      <c r="H2462" s="5" t="s">
        <v>184</v>
      </c>
      <c r="I2462" s="5" t="s">
        <v>18</v>
      </c>
      <c r="J2462" s="9" t="str">
        <f>IFERROR(__xludf.DUMMYFUNCTION("""COMPUTED_VALUE"""),"https://www.google.com/search?newwindow=1&amp;ei=2MT0XrvGGM-vytMP1OyDgAY&amp;q=site%3Alinkedin.com+Ricardo+Contreras+Campus+Recruiter+EY")</f>
        <v>https://www.google.com/search?newwindow=1&amp;ei=2MT0XrvGGM-vytMP1OyDgAY&amp;q=site%3Alinkedin.com+Ricardo+Contreras+Campus+Recruiter+EY</v>
      </c>
      <c r="K2462" s="5" t="str">
        <f t="shared" si="1"/>
        <v>Ricardo Contreras</v>
      </c>
      <c r="L2462" s="5" t="str">
        <f t="shared" si="2"/>
        <v>Campus Recruiter</v>
      </c>
      <c r="M2462" s="5" t="str">
        <f t="shared" si="3"/>
        <v> </v>
      </c>
      <c r="N2462" s="5" t="str">
        <f t="shared" si="4"/>
        <v>Ernst &amp; Young</v>
      </c>
      <c r="O2462" s="5" t="str">
        <f t="shared" si="5"/>
        <v>5 years 3 months in role</v>
      </c>
      <c r="P2462" s="5" t="str">
        <f t="shared" si="6"/>
        <v>Los Angeles</v>
      </c>
      <c r="Q2462" s="5" t="str">
        <f t="shared" si="7"/>
        <v>California</v>
      </c>
      <c r="R2462" s="5" t="str">
        <f t="shared" si="8"/>
        <v>United States</v>
      </c>
    </row>
    <row r="2463">
      <c r="A2463" s="7" t="s">
        <v>884</v>
      </c>
      <c r="B2463" s="5" t="s">
        <v>883</v>
      </c>
      <c r="C2463" s="5" t="s">
        <v>25</v>
      </c>
      <c r="D2463" s="6" t="s">
        <v>13</v>
      </c>
      <c r="E2463" s="5" t="s">
        <v>845</v>
      </c>
      <c r="F2463" s="5" t="s">
        <v>228</v>
      </c>
      <c r="G2463" s="5" t="s">
        <v>876</v>
      </c>
      <c r="H2463" s="5" t="s">
        <v>184</v>
      </c>
      <c r="I2463" s="5" t="s">
        <v>18</v>
      </c>
      <c r="J2463" s="9" t="str">
        <f>IFERROR(__xludf.DUMMYFUNCTION("""COMPUTED_VALUE"""),"https://www.google.com/search?newwindow=1&amp;ei=2MT0XrvGGM-vytMP1OyDgAY&amp;q=site%3Alinkedin.com+Jazsmin+Watson+-+Booth+Campus+Recruiter+Senior+Associate+EY")</f>
        <v>https://www.google.com/search?newwindow=1&amp;ei=2MT0XrvGGM-vytMP1OyDgAY&amp;q=site%3Alinkedin.com+Jazsmin+Watson+-+Booth+Campus+Recruiter+Senior+Associate+EY</v>
      </c>
      <c r="K2463" s="5" t="str">
        <f t="shared" si="1"/>
        <v>Jazsmin Watson - Booth</v>
      </c>
      <c r="L2463" s="5" t="str">
        <f t="shared" si="2"/>
        <v>Campus Recruiter Senior Associate</v>
      </c>
      <c r="M2463" s="5" t="str">
        <f t="shared" si="3"/>
        <v> </v>
      </c>
      <c r="N2463" s="5" t="str">
        <f t="shared" si="4"/>
        <v>Ernst &amp; Young</v>
      </c>
      <c r="O2463" s="5" t="str">
        <f t="shared" si="5"/>
        <v>1 year 3 months in role and company</v>
      </c>
      <c r="P2463" s="5" t="str">
        <f t="shared" si="6"/>
        <v>McLean</v>
      </c>
      <c r="Q2463" s="5" t="str">
        <f t="shared" si="7"/>
        <v>Virginia</v>
      </c>
      <c r="R2463" s="5" t="str">
        <f t="shared" si="8"/>
        <v>United States</v>
      </c>
    </row>
    <row r="2464">
      <c r="A2464" s="8" t="s">
        <v>887</v>
      </c>
      <c r="B2464" s="5" t="s">
        <v>885</v>
      </c>
      <c r="C2464" s="5" t="s">
        <v>796</v>
      </c>
      <c r="D2464" s="6" t="s">
        <v>13</v>
      </c>
      <c r="E2464" s="5" t="s">
        <v>845</v>
      </c>
      <c r="F2464" s="5" t="s">
        <v>886</v>
      </c>
      <c r="G2464" s="5" t="s">
        <v>876</v>
      </c>
      <c r="H2464" s="5" t="s">
        <v>184</v>
      </c>
      <c r="I2464" s="5" t="s">
        <v>18</v>
      </c>
      <c r="J2464" s="9" t="str">
        <f>IFERROR(__xludf.DUMMYFUNCTION("""COMPUTED_VALUE"""),"https://www.google.com/search?newwindow=1&amp;ei=2MT0XrvGGM-vytMP1OyDgAY&amp;q=site%3Alinkedin.com+Thomas+S.+Campus+Recruiter+EY")</f>
        <v>https://www.google.com/search?newwindow=1&amp;ei=2MT0XrvGGM-vytMP1OyDgAY&amp;q=site%3Alinkedin.com+Thomas+S.+Campus+Recruiter+EY</v>
      </c>
      <c r="K2464" s="5" t="str">
        <f t="shared" si="1"/>
        <v>Thomas S.</v>
      </c>
      <c r="L2464" s="5" t="str">
        <f t="shared" si="2"/>
        <v>Campus Recruiter</v>
      </c>
      <c r="M2464" s="5" t="str">
        <f t="shared" si="3"/>
        <v> </v>
      </c>
      <c r="N2464" s="5" t="str">
        <f t="shared" si="4"/>
        <v>Ernst &amp; Young</v>
      </c>
      <c r="O2464" s="5" t="str">
        <f t="shared" si="5"/>
        <v>2 years 8 months in role</v>
      </c>
      <c r="P2464" s="5" t="str">
        <f t="shared" si="6"/>
        <v>Minneapolis</v>
      </c>
      <c r="Q2464" s="5" t="str">
        <f t="shared" si="7"/>
        <v>Minnesota</v>
      </c>
      <c r="R2464" s="5" t="str">
        <f t="shared" si="8"/>
        <v>United States</v>
      </c>
    </row>
    <row r="2465">
      <c r="A2465" s="8" t="s">
        <v>891</v>
      </c>
      <c r="B2465" s="5" t="s">
        <v>888</v>
      </c>
      <c r="C2465" s="5" t="s">
        <v>889</v>
      </c>
      <c r="D2465" s="6" t="s">
        <v>13</v>
      </c>
      <c r="E2465" s="5" t="s">
        <v>845</v>
      </c>
      <c r="F2465" s="5" t="s">
        <v>890</v>
      </c>
      <c r="G2465" s="5" t="s">
        <v>876</v>
      </c>
      <c r="H2465" s="5" t="s">
        <v>184</v>
      </c>
      <c r="I2465" s="5" t="s">
        <v>18</v>
      </c>
      <c r="J2465" s="9" t="str">
        <f>IFERROR(__xludf.DUMMYFUNCTION("""COMPUTED_VALUE"""),"https://www.google.com/search?newwindow=1&amp;ei=2MT0XrvGGM-vytMP1OyDgAY&amp;q=site%3Alinkedin.com+Renee+Morrison,+CPA+Campus+Recruiter+EY")</f>
        <v>https://www.google.com/search?newwindow=1&amp;ei=2MT0XrvGGM-vytMP1OyDgAY&amp;q=site%3Alinkedin.com+Renee+Morrison,+CPA+Campus+Recruiter+EY</v>
      </c>
      <c r="K2465" s="5" t="str">
        <f t="shared" si="1"/>
        <v>Renee Morrison, CPA</v>
      </c>
      <c r="L2465" s="5" t="str">
        <f t="shared" si="2"/>
        <v>Campus Recruiter</v>
      </c>
      <c r="M2465" s="5" t="str">
        <f t="shared" si="3"/>
        <v> </v>
      </c>
      <c r="N2465" s="5" t="str">
        <f t="shared" si="4"/>
        <v>Ernst &amp; Young</v>
      </c>
      <c r="O2465" s="5" t="str">
        <f t="shared" si="5"/>
        <v>10 months in role</v>
      </c>
      <c r="P2465" s="5" t="str">
        <f t="shared" si="6"/>
        <v>Mount Vernon</v>
      </c>
      <c r="Q2465" s="5" t="str">
        <f t="shared" si="7"/>
        <v>New York</v>
      </c>
      <c r="R2465" s="5" t="str">
        <f t="shared" si="8"/>
        <v>United States</v>
      </c>
    </row>
    <row r="2466">
      <c r="A2466" s="7" t="s">
        <v>894</v>
      </c>
      <c r="B2466" s="5" t="s">
        <v>892</v>
      </c>
      <c r="C2466" s="5" t="s">
        <v>893</v>
      </c>
      <c r="D2466" s="6" t="s">
        <v>13</v>
      </c>
      <c r="E2466" s="5" t="s">
        <v>845</v>
      </c>
      <c r="F2466" s="5" t="s">
        <v>149</v>
      </c>
      <c r="G2466" s="5" t="s">
        <v>876</v>
      </c>
      <c r="H2466" s="5" t="s">
        <v>184</v>
      </c>
      <c r="I2466" s="5" t="s">
        <v>18</v>
      </c>
      <c r="J2466" s="9" t="str">
        <f>IFERROR(__xludf.DUMMYFUNCTION("""COMPUTED_VALUE"""),"https://www.google.com/search?newwindow=1&amp;ei=2MT0XrvGGM-vytMP1OyDgAY&amp;q=site%3Alinkedin.com+Drew+Ford+Campus+Recruiter+EY")</f>
        <v>https://www.google.com/search?newwindow=1&amp;ei=2MT0XrvGGM-vytMP1OyDgAY&amp;q=site%3Alinkedin.com+Drew+Ford+Campus+Recruiter+EY</v>
      </c>
      <c r="K2466" s="5" t="str">
        <f t="shared" si="1"/>
        <v>Drew Ford</v>
      </c>
      <c r="L2466" s="5" t="str">
        <f t="shared" si="2"/>
        <v>Campus Recruiter</v>
      </c>
      <c r="M2466" s="5" t="str">
        <f t="shared" si="3"/>
        <v> </v>
      </c>
      <c r="N2466" s="5" t="str">
        <f t="shared" si="4"/>
        <v>Ernst &amp; Young</v>
      </c>
      <c r="O2466" s="5" t="str">
        <f t="shared" si="5"/>
        <v>1 year 10 months in role and company</v>
      </c>
      <c r="P2466" s="5" t="str">
        <f t="shared" si="6"/>
        <v>Nashville</v>
      </c>
      <c r="Q2466" s="5" t="str">
        <f t="shared" si="7"/>
        <v>Tennessee</v>
      </c>
      <c r="R2466" s="5" t="str">
        <f t="shared" si="8"/>
        <v>United States</v>
      </c>
    </row>
    <row r="2467">
      <c r="A2467" s="8" t="s">
        <v>896</v>
      </c>
      <c r="B2467" s="5" t="s">
        <v>895</v>
      </c>
      <c r="C2467" s="5" t="s">
        <v>25</v>
      </c>
      <c r="D2467" s="6" t="s">
        <v>13</v>
      </c>
      <c r="E2467" s="5" t="s">
        <v>845</v>
      </c>
      <c r="F2467" s="5" t="s">
        <v>149</v>
      </c>
      <c r="G2467" s="5" t="s">
        <v>876</v>
      </c>
      <c r="H2467" s="5" t="s">
        <v>184</v>
      </c>
      <c r="I2467" s="5" t="s">
        <v>18</v>
      </c>
      <c r="J2467" s="9" t="str">
        <f>IFERROR(__xludf.DUMMYFUNCTION("""COMPUTED_VALUE"""),"https://www.google.com/search?newwindow=1&amp;ei=2MT0XrvGGM-vytMP1OyDgAY&amp;q=site%3Alinkedin.com+Emily+Dorsey+Perno+Assistant+Director,+Campus+Recruiting+-+Tax+EY")</f>
        <v>https://www.google.com/search?newwindow=1&amp;ei=2MT0XrvGGM-vytMP1OyDgAY&amp;q=site%3Alinkedin.com+Emily+Dorsey+Perno+Assistant+Director,+Campus+Recruiting+-+Tax+EY</v>
      </c>
      <c r="K2467" s="5" t="str">
        <f t="shared" si="1"/>
        <v>Emily Dorsey Perno</v>
      </c>
      <c r="L2467" s="5" t="str">
        <f t="shared" si="2"/>
        <v>Assistant Director, Campus Recruiting - Tax</v>
      </c>
      <c r="M2467" s="5" t="str">
        <f t="shared" si="3"/>
        <v> </v>
      </c>
      <c r="N2467" s="5" t="str">
        <f t="shared" si="4"/>
        <v>Ernst &amp; Young</v>
      </c>
      <c r="O2467" s="5" t="str">
        <f t="shared" si="5"/>
        <v>2 years 1 month in role</v>
      </c>
      <c r="P2467" s="5" t="str">
        <f t="shared" si="6"/>
        <v>Nashville</v>
      </c>
      <c r="Q2467" s="5" t="str">
        <f t="shared" si="7"/>
        <v>Tennessee</v>
      </c>
      <c r="R2467" s="5" t="str">
        <f t="shared" si="8"/>
        <v>United States</v>
      </c>
    </row>
    <row r="2468">
      <c r="A2468" s="8" t="s">
        <v>899</v>
      </c>
      <c r="B2468" s="5" t="s">
        <v>897</v>
      </c>
      <c r="C2468" s="5" t="s">
        <v>898</v>
      </c>
      <c r="D2468" s="6" t="s">
        <v>13</v>
      </c>
      <c r="E2468" s="5" t="s">
        <v>845</v>
      </c>
      <c r="F2468" s="5" t="s">
        <v>100</v>
      </c>
      <c r="G2468" s="5" t="s">
        <v>876</v>
      </c>
      <c r="H2468" s="5" t="s">
        <v>184</v>
      </c>
      <c r="I2468" s="5" t="s">
        <v>18</v>
      </c>
      <c r="J2468" s="9" t="str">
        <f>IFERROR(__xludf.DUMMYFUNCTION("""COMPUTED_VALUE"""),"https://www.google.com/search?newwindow=1&amp;ei=2MT0XrvGGM-vytMP1OyDgAY&amp;q=site%3Alinkedin.com+Ami+Takahashi+Campus+Recruiter+EY")</f>
        <v>https://www.google.com/search?newwindow=1&amp;ei=2MT0XrvGGM-vytMP1OyDgAY&amp;q=site%3Alinkedin.com+Ami+Takahashi+Campus+Recruiter+EY</v>
      </c>
      <c r="K2468" s="5" t="str">
        <f t="shared" si="1"/>
        <v>Ami Takahashi</v>
      </c>
      <c r="L2468" s="5" t="str">
        <f t="shared" si="2"/>
        <v>Campus Recruiter</v>
      </c>
      <c r="M2468" s="5" t="str">
        <f t="shared" si="3"/>
        <v> </v>
      </c>
      <c r="N2468" s="5" t="str">
        <f t="shared" si="4"/>
        <v>Ernst &amp; Young</v>
      </c>
      <c r="O2468" s="5" t="str">
        <f t="shared" si="5"/>
        <v>5 years 4 months in role</v>
      </c>
      <c r="P2468" s="5" t="str">
        <f t="shared" si="6"/>
        <v>New York</v>
      </c>
      <c r="Q2468" s="5" t="str">
        <f t="shared" si="7"/>
        <v>New York</v>
      </c>
      <c r="R2468" s="5" t="str">
        <f t="shared" si="8"/>
        <v>United States</v>
      </c>
    </row>
    <row r="2469">
      <c r="A2469" s="7" t="s">
        <v>902</v>
      </c>
      <c r="B2469" s="5" t="s">
        <v>900</v>
      </c>
      <c r="C2469" s="5" t="s">
        <v>25</v>
      </c>
      <c r="D2469" s="6" t="s">
        <v>13</v>
      </c>
      <c r="E2469" s="5" t="s">
        <v>845</v>
      </c>
      <c r="F2469" s="5" t="s">
        <v>901</v>
      </c>
      <c r="G2469" s="5" t="s">
        <v>876</v>
      </c>
      <c r="H2469" s="5" t="s">
        <v>184</v>
      </c>
      <c r="I2469" s="5" t="s">
        <v>18</v>
      </c>
      <c r="J2469" s="9" t="str">
        <f>IFERROR(__xludf.DUMMYFUNCTION("""COMPUTED_VALUE"""),"https://www.google.com/search?newwindow=1&amp;ei=2MT0XrvGGM-vytMP1OyDgAY&amp;q=site%3Alinkedin.com+Allison+Maron+Senior+Associate,+Campus+Recruiter+EY")</f>
        <v>https://www.google.com/search?newwindow=1&amp;ei=2MT0XrvGGM-vytMP1OyDgAY&amp;q=site%3Alinkedin.com+Allison+Maron+Senior+Associate,+Campus+Recruiter+EY</v>
      </c>
      <c r="K2469" s="5" t="str">
        <f t="shared" si="1"/>
        <v>Allison Maron</v>
      </c>
      <c r="L2469" s="5" t="str">
        <f t="shared" si="2"/>
        <v>Senior Associate, Campus Recruiter</v>
      </c>
      <c r="M2469" s="5" t="str">
        <f t="shared" si="3"/>
        <v> </v>
      </c>
      <c r="N2469" s="5" t="str">
        <f t="shared" si="4"/>
        <v>Ernst &amp; Young</v>
      </c>
      <c r="O2469" s="5" t="str">
        <f t="shared" si="5"/>
        <v>1 year 5 months in role</v>
      </c>
      <c r="P2469" s="5" t="str">
        <f t="shared" si="6"/>
        <v>New York</v>
      </c>
      <c r="Q2469" s="5" t="str">
        <f t="shared" si="7"/>
        <v>New York</v>
      </c>
      <c r="R2469" s="5" t="str">
        <f t="shared" si="8"/>
        <v>United States</v>
      </c>
    </row>
    <row r="2470">
      <c r="A2470" s="7" t="s">
        <v>904</v>
      </c>
      <c r="B2470" s="5" t="s">
        <v>903</v>
      </c>
      <c r="C2470" s="5" t="s">
        <v>25</v>
      </c>
      <c r="D2470" s="6" t="s">
        <v>13</v>
      </c>
      <c r="E2470" s="5" t="s">
        <v>845</v>
      </c>
      <c r="F2470" s="5" t="s">
        <v>421</v>
      </c>
      <c r="G2470" s="5" t="s">
        <v>876</v>
      </c>
      <c r="H2470" s="5" t="s">
        <v>184</v>
      </c>
      <c r="I2470" s="5" t="s">
        <v>18</v>
      </c>
      <c r="J2470" s="9" t="str">
        <f>IFERROR(__xludf.DUMMYFUNCTION("""COMPUTED_VALUE"""),"https://www.google.com/search?newwindow=1&amp;ei=2MT0XrvGGM-vytMP1OyDgAY&amp;q=site%3Alinkedin.com+Ritu+M.+Campus+Recruiter+EY")</f>
        <v>https://www.google.com/search?newwindow=1&amp;ei=2MT0XrvGGM-vytMP1OyDgAY&amp;q=site%3Alinkedin.com+Ritu+M.+Campus+Recruiter+EY</v>
      </c>
      <c r="K2470" s="5" t="str">
        <f t="shared" si="1"/>
        <v>Ritu M.</v>
      </c>
      <c r="L2470" s="5" t="str">
        <f t="shared" si="2"/>
        <v>Campus Recruiter</v>
      </c>
      <c r="M2470" s="5" t="str">
        <f t="shared" si="3"/>
        <v> </v>
      </c>
      <c r="N2470" s="5" t="str">
        <f t="shared" si="4"/>
        <v>Ernst &amp; Young</v>
      </c>
      <c r="O2470" s="5" t="str">
        <f t="shared" si="5"/>
        <v>6 years 5 months in role</v>
      </c>
      <c r="P2470" s="5" t="str">
        <f t="shared" si="6"/>
        <v>New York</v>
      </c>
      <c r="Q2470" s="5" t="str">
        <f t="shared" si="7"/>
        <v>New York</v>
      </c>
      <c r="R2470" s="5" t="str">
        <f t="shared" si="8"/>
        <v>United States</v>
      </c>
    </row>
    <row r="2471">
      <c r="A2471" s="8" t="s">
        <v>907</v>
      </c>
      <c r="B2471" s="5" t="s">
        <v>905</v>
      </c>
      <c r="C2471" s="5" t="s">
        <v>906</v>
      </c>
      <c r="D2471" s="6" t="s">
        <v>13</v>
      </c>
      <c r="E2471" s="5" t="s">
        <v>845</v>
      </c>
      <c r="F2471" s="5" t="s">
        <v>74</v>
      </c>
      <c r="G2471" s="5" t="s">
        <v>876</v>
      </c>
      <c r="H2471" s="5" t="s">
        <v>184</v>
      </c>
      <c r="I2471" s="5" t="s">
        <v>18</v>
      </c>
      <c r="J2471" s="9" t="str">
        <f>IFERROR(__xludf.DUMMYFUNCTION("""COMPUTED_VALUE"""),"https://www.google.com/search?newwindow=1&amp;ei=2MT0XrvGGM-vytMP1OyDgAY&amp;q=site%3Alinkedin.com+Bryan+Doyle+Campus+Recruiter+EY")</f>
        <v>https://www.google.com/search?newwindow=1&amp;ei=2MT0XrvGGM-vytMP1OyDgAY&amp;q=site%3Alinkedin.com+Bryan+Doyle+Campus+Recruiter+EY</v>
      </c>
      <c r="K2471" s="5" t="str">
        <f t="shared" si="1"/>
        <v>Bryan Doyle</v>
      </c>
      <c r="L2471" s="5" t="str">
        <f t="shared" si="2"/>
        <v>Campus Recruiter</v>
      </c>
      <c r="M2471" s="5" t="str">
        <f t="shared" si="3"/>
        <v> </v>
      </c>
      <c r="N2471" s="5" t="str">
        <f t="shared" si="4"/>
        <v>Ernst &amp; Young</v>
      </c>
      <c r="O2471" s="5" t="str">
        <f t="shared" si="5"/>
        <v>6 years 5 months in role</v>
      </c>
      <c r="P2471" s="5" t="str">
        <f t="shared" si="6"/>
        <v>New York</v>
      </c>
      <c r="Q2471" s="5" t="str">
        <f t="shared" si="7"/>
        <v>New York</v>
      </c>
      <c r="R2471" s="5" t="str">
        <f t="shared" si="8"/>
        <v>United States</v>
      </c>
    </row>
    <row r="2472">
      <c r="A2472" s="7" t="s">
        <v>910</v>
      </c>
      <c r="B2472" s="5" t="s">
        <v>908</v>
      </c>
      <c r="C2472" s="5" t="s">
        <v>25</v>
      </c>
      <c r="D2472" s="6" t="s">
        <v>13</v>
      </c>
      <c r="E2472" s="5" t="s">
        <v>845</v>
      </c>
      <c r="F2472" s="5" t="s">
        <v>909</v>
      </c>
      <c r="G2472" s="5" t="s">
        <v>876</v>
      </c>
      <c r="H2472" s="5" t="s">
        <v>184</v>
      </c>
      <c r="I2472" s="5" t="s">
        <v>18</v>
      </c>
      <c r="J2472" s="9" t="str">
        <f>IFERROR(__xludf.DUMMYFUNCTION("""COMPUTED_VALUE"""),"https://www.google.com/search?newwindow=1&amp;ei=2MT0XrvGGM-vytMP1OyDgAY&amp;q=site%3Alinkedin.com+Cori+Fitzpatrick-Rosario+Campus+Recruiter,+Transaction+Advisory+Services+and+Campus+Relationship+Manager+for+Cornell+EY")</f>
        <v>https://www.google.com/search?newwindow=1&amp;ei=2MT0XrvGGM-vytMP1OyDgAY&amp;q=site%3Alinkedin.com+Cori+Fitzpatrick-Rosario+Campus+Recruiter,+Transaction+Advisory+Services+and+Campus+Relationship+Manager+for+Cornell+EY</v>
      </c>
      <c r="K2472" s="5" t="str">
        <f t="shared" si="1"/>
        <v>Cori Fitzpatrick-Rosario</v>
      </c>
      <c r="L2472" s="5" t="str">
        <f t="shared" si="2"/>
        <v>Campus Recruiter, Transaction Advisory Services and Campus Relationship Manager for Cornell</v>
      </c>
      <c r="M2472" s="5" t="str">
        <f t="shared" si="3"/>
        <v> </v>
      </c>
      <c r="N2472" s="5" t="str">
        <f t="shared" si="4"/>
        <v>Ernst &amp; Young</v>
      </c>
      <c r="O2472" s="5" t="str">
        <f t="shared" si="5"/>
        <v>7 years 7 months in role and company</v>
      </c>
      <c r="P2472" s="5" t="str">
        <f t="shared" si="6"/>
        <v>New York</v>
      </c>
      <c r="Q2472" s="5" t="str">
        <f t="shared" si="7"/>
        <v>New York</v>
      </c>
      <c r="R2472" s="5" t="str">
        <f t="shared" si="8"/>
        <v>United States</v>
      </c>
    </row>
    <row r="2473">
      <c r="A2473" s="8" t="s">
        <v>912</v>
      </c>
      <c r="B2473" s="5" t="s">
        <v>911</v>
      </c>
      <c r="C2473" s="5" t="s">
        <v>371</v>
      </c>
      <c r="D2473" s="6" t="s">
        <v>13</v>
      </c>
      <c r="E2473" s="5" t="s">
        <v>845</v>
      </c>
      <c r="F2473" s="5" t="s">
        <v>136</v>
      </c>
      <c r="G2473" s="5" t="s">
        <v>102</v>
      </c>
      <c r="H2473" s="5" t="s">
        <v>172</v>
      </c>
      <c r="I2473" s="5" t="s">
        <v>18</v>
      </c>
      <c r="J2473" s="9" t="str">
        <f>IFERROR(__xludf.DUMMYFUNCTION("""COMPUTED_VALUE"""),"https://www.google.com/search?newwindow=1&amp;ei=2MT0XrvGGM-vytMP1OyDgAY&amp;q=site%3Alinkedin.com+Ashley+Lee+Campus+Recruiter+EY")</f>
        <v>https://www.google.com/search?newwindow=1&amp;ei=2MT0XrvGGM-vytMP1OyDgAY&amp;q=site%3Alinkedin.com+Ashley+Lee+Campus+Recruiter+EY</v>
      </c>
      <c r="K2473" s="5" t="str">
        <f t="shared" si="1"/>
        <v>Ashley Lee</v>
      </c>
      <c r="L2473" s="5" t="str">
        <f t="shared" si="2"/>
        <v>Campus Recruiter</v>
      </c>
      <c r="M2473" s="5" t="str">
        <f t="shared" si="3"/>
        <v> </v>
      </c>
      <c r="N2473" s="5" t="str">
        <f t="shared" si="4"/>
        <v>Ernst &amp; Young</v>
      </c>
      <c r="O2473" s="5" t="str">
        <f t="shared" si="5"/>
        <v>5 years 2 months in role and company</v>
      </c>
      <c r="P2473" s="5" t="str">
        <f t="shared" si="6"/>
        <v>New York</v>
      </c>
      <c r="Q2473" s="5" t="str">
        <f t="shared" si="7"/>
        <v>New York</v>
      </c>
      <c r="R2473" s="5" t="str">
        <f t="shared" si="8"/>
        <v>United States</v>
      </c>
    </row>
    <row r="2474">
      <c r="A2474" s="8" t="s">
        <v>915</v>
      </c>
      <c r="B2474" s="5" t="s">
        <v>913</v>
      </c>
      <c r="C2474" s="5" t="s">
        <v>914</v>
      </c>
      <c r="D2474" s="6" t="s">
        <v>13</v>
      </c>
      <c r="E2474" s="5" t="s">
        <v>845</v>
      </c>
      <c r="F2474" s="5" t="s">
        <v>574</v>
      </c>
      <c r="G2474" s="5" t="s">
        <v>102</v>
      </c>
      <c r="H2474" s="5" t="s">
        <v>172</v>
      </c>
      <c r="I2474" s="5" t="s">
        <v>18</v>
      </c>
      <c r="J2474" s="9" t="str">
        <f>IFERROR(__xludf.DUMMYFUNCTION("""COMPUTED_VALUE"""),"https://www.google.com/search?newwindow=1&amp;ei=2MT0XrvGGM-vytMP1OyDgAY&amp;q=site%3Alinkedin.com+Abigail+Morgan+Campus+Recruiter+-+Talent+Attraction+&amp;+Acquisition+-+Senior+Associate+EY")</f>
        <v>https://www.google.com/search?newwindow=1&amp;ei=2MT0XrvGGM-vytMP1OyDgAY&amp;q=site%3Alinkedin.com+Abigail+Morgan+Campus+Recruiter+-+Talent+Attraction+&amp;+Acquisition+-+Senior+Associate+EY</v>
      </c>
      <c r="K2474" s="5" t="str">
        <f t="shared" si="1"/>
        <v>Abigail Morgan</v>
      </c>
      <c r="L2474" s="5" t="str">
        <f t="shared" si="2"/>
        <v>Campus Recruiter - Talent Attraction &amp; Acquisition - Senior Associate</v>
      </c>
      <c r="M2474" s="5" t="str">
        <f t="shared" si="3"/>
        <v> </v>
      </c>
      <c r="N2474" s="5" t="str">
        <f t="shared" si="4"/>
        <v>Ernst &amp; Young</v>
      </c>
      <c r="O2474" s="5" t="str">
        <f t="shared" si="5"/>
        <v>9 months in role</v>
      </c>
      <c r="P2474" s="5" t="str">
        <f t="shared" si="6"/>
        <v>New York</v>
      </c>
      <c r="Q2474" s="5" t="str">
        <f t="shared" si="7"/>
        <v>New York</v>
      </c>
      <c r="R2474" s="5" t="str">
        <f t="shared" si="8"/>
        <v>United States</v>
      </c>
    </row>
    <row r="2475">
      <c r="A2475" s="7" t="s">
        <v>917</v>
      </c>
      <c r="B2475" s="5" t="s">
        <v>916</v>
      </c>
      <c r="C2475" s="5" t="s">
        <v>25</v>
      </c>
      <c r="D2475" s="6" t="s">
        <v>13</v>
      </c>
      <c r="E2475" s="5" t="s">
        <v>845</v>
      </c>
      <c r="F2475" s="5" t="s">
        <v>182</v>
      </c>
      <c r="G2475" s="5" t="s">
        <v>102</v>
      </c>
      <c r="H2475" s="5" t="s">
        <v>172</v>
      </c>
      <c r="I2475" s="5" t="s">
        <v>18</v>
      </c>
      <c r="J2475" s="9" t="str">
        <f>IFERROR(__xludf.DUMMYFUNCTION("""COMPUTED_VALUE"""),"https://www.google.com/search?newwindow=1&amp;ei=2MT0XrvGGM-vytMP1OyDgAY&amp;q=site%3Alinkedin.com+Adrianne+Dias+Campus+Recruiter+(National+Tax),+Supervising+Associate+EY")</f>
        <v>https://www.google.com/search?newwindow=1&amp;ei=2MT0XrvGGM-vytMP1OyDgAY&amp;q=site%3Alinkedin.com+Adrianne+Dias+Campus+Recruiter+(National+Tax),+Supervising+Associate+EY</v>
      </c>
      <c r="K2475" s="5" t="str">
        <f t="shared" si="1"/>
        <v>Adrianne Dias</v>
      </c>
      <c r="L2475" s="5" t="str">
        <f t="shared" si="2"/>
        <v>Campus Recruiter (National Tax), Supervising Associate</v>
      </c>
      <c r="M2475" s="5" t="str">
        <f t="shared" si="3"/>
        <v> </v>
      </c>
      <c r="N2475" s="5" t="str">
        <f t="shared" si="4"/>
        <v>Ernst &amp; Young</v>
      </c>
      <c r="O2475" s="5" t="str">
        <f t="shared" si="5"/>
        <v>1 year 2 months in role and company</v>
      </c>
      <c r="P2475" s="5" t="str">
        <f t="shared" si="6"/>
        <v>New York</v>
      </c>
      <c r="Q2475" s="5" t="str">
        <f t="shared" si="7"/>
        <v>New York</v>
      </c>
      <c r="R2475" s="5" t="str">
        <f t="shared" si="8"/>
        <v>United States</v>
      </c>
    </row>
    <row r="2476">
      <c r="A2476" s="7" t="s">
        <v>920</v>
      </c>
      <c r="B2476" s="5" t="s">
        <v>918</v>
      </c>
      <c r="C2476" s="5" t="s">
        <v>919</v>
      </c>
      <c r="D2476" s="6" t="s">
        <v>13</v>
      </c>
      <c r="E2476" s="5" t="s">
        <v>845</v>
      </c>
      <c r="F2476" s="5" t="s">
        <v>512</v>
      </c>
      <c r="G2476" s="5" t="s">
        <v>102</v>
      </c>
      <c r="H2476" s="5" t="s">
        <v>172</v>
      </c>
      <c r="I2476" s="5" t="s">
        <v>18</v>
      </c>
      <c r="J2476" s="9" t="str">
        <f>IFERROR(__xludf.DUMMYFUNCTION("""COMPUTED_VALUE"""),"https://www.google.com/search?newwindow=1&amp;ei=2MT0XrvGGM-vytMP1OyDgAY&amp;q=site%3Alinkedin.com+Carolyn+Duffett+Talent+Attraction+&amp;+Acquisition,+Campus+Recruiter+EY")</f>
        <v>https://www.google.com/search?newwindow=1&amp;ei=2MT0XrvGGM-vytMP1OyDgAY&amp;q=site%3Alinkedin.com+Carolyn+Duffett+Talent+Attraction+&amp;+Acquisition,+Campus+Recruiter+EY</v>
      </c>
      <c r="K2476" s="5" t="str">
        <f t="shared" si="1"/>
        <v>Carolyn Duffett</v>
      </c>
      <c r="L2476" s="5" t="str">
        <f t="shared" si="2"/>
        <v>Talent Attraction &amp; Acquisition, Campus Recruiter</v>
      </c>
      <c r="M2476" s="5" t="str">
        <f t="shared" si="3"/>
        <v> </v>
      </c>
      <c r="N2476" s="5" t="str">
        <f t="shared" si="4"/>
        <v>Ernst &amp; Young</v>
      </c>
      <c r="O2476" s="5" t="str">
        <f t="shared" si="5"/>
        <v>1 year 9 months in role</v>
      </c>
      <c r="P2476" s="5" t="str">
        <f t="shared" si="6"/>
        <v>New York</v>
      </c>
      <c r="Q2476" s="5" t="str">
        <f t="shared" si="7"/>
        <v>New York</v>
      </c>
      <c r="R2476" s="5" t="str">
        <f t="shared" si="8"/>
        <v>United States</v>
      </c>
    </row>
    <row r="2477">
      <c r="A2477" s="7" t="s">
        <v>922</v>
      </c>
      <c r="B2477" s="5" t="s">
        <v>921</v>
      </c>
      <c r="C2477" s="5" t="s">
        <v>371</v>
      </c>
      <c r="D2477" s="6" t="s">
        <v>13</v>
      </c>
      <c r="E2477" s="5" t="s">
        <v>845</v>
      </c>
      <c r="F2477" s="5" t="s">
        <v>48</v>
      </c>
      <c r="G2477" s="5" t="s">
        <v>102</v>
      </c>
      <c r="H2477" s="5" t="s">
        <v>172</v>
      </c>
      <c r="I2477" s="5" t="s">
        <v>18</v>
      </c>
      <c r="J2477" s="9" t="str">
        <f>IFERROR(__xludf.DUMMYFUNCTION("""COMPUTED_VALUE"""),"https://www.google.com/search?newwindow=1&amp;ei=2MT0XrvGGM-vytMP1OyDgAY&amp;q=site%3Alinkedin.com+Chelsea+Vena+MBA+Campus+Recruiter+-+Senior+Associate+EY")</f>
        <v>https://www.google.com/search?newwindow=1&amp;ei=2MT0XrvGGM-vytMP1OyDgAY&amp;q=site%3Alinkedin.com+Chelsea+Vena+MBA+Campus+Recruiter+-+Senior+Associate+EY</v>
      </c>
      <c r="K2477" s="5" t="str">
        <f t="shared" si="1"/>
        <v>Chelsea Vena</v>
      </c>
      <c r="L2477" s="5" t="str">
        <f t="shared" si="2"/>
        <v>MBA Campus Recruiter - Senior Associate</v>
      </c>
      <c r="M2477" s="5" t="str">
        <f t="shared" si="3"/>
        <v>MBA</v>
      </c>
      <c r="N2477" s="5" t="str">
        <f t="shared" si="4"/>
        <v>Ernst &amp; Young</v>
      </c>
      <c r="O2477" s="5" t="str">
        <f t="shared" si="5"/>
        <v>1 year 4 months in role and company</v>
      </c>
      <c r="P2477" s="5" t="str">
        <f t="shared" si="6"/>
        <v>New York</v>
      </c>
      <c r="Q2477" s="5" t="str">
        <f t="shared" si="7"/>
        <v>New York</v>
      </c>
      <c r="R2477" s="5" t="str">
        <f t="shared" si="8"/>
        <v>United States</v>
      </c>
    </row>
    <row r="2478">
      <c r="A2478" s="7" t="s">
        <v>925</v>
      </c>
      <c r="B2478" s="5" t="s">
        <v>923</v>
      </c>
      <c r="C2478" s="5" t="s">
        <v>924</v>
      </c>
      <c r="D2478" s="6" t="s">
        <v>13</v>
      </c>
      <c r="E2478" s="5" t="s">
        <v>845</v>
      </c>
      <c r="F2478" s="5" t="s">
        <v>217</v>
      </c>
      <c r="G2478" s="5" t="s">
        <v>102</v>
      </c>
      <c r="H2478" s="5" t="s">
        <v>172</v>
      </c>
      <c r="I2478" s="5" t="s">
        <v>18</v>
      </c>
      <c r="J2478" s="9" t="str">
        <f>IFERROR(__xludf.DUMMYFUNCTION("""COMPUTED_VALUE"""),"https://www.google.com/search?newwindow=1&amp;ei=2MT0XrvGGM-vytMP1OyDgAY&amp;q=site%3Alinkedin.com+Jessica+(Gutman)+Lefkowitz+Campus+Recruiter,+Talent+Attraction+&amp;+Acquisition+EY")</f>
        <v>https://www.google.com/search?newwindow=1&amp;ei=2MT0XrvGGM-vytMP1OyDgAY&amp;q=site%3Alinkedin.com+Jessica+(Gutman)+Lefkowitz+Campus+Recruiter,+Talent+Attraction+&amp;+Acquisition+EY</v>
      </c>
      <c r="K2478" s="5" t="str">
        <f t="shared" si="1"/>
        <v>Jessica (Gutman) Lefkowitz</v>
      </c>
      <c r="L2478" s="5" t="str">
        <f t="shared" si="2"/>
        <v>Campus Recruiter, Talent Attraction &amp; Acquisition</v>
      </c>
      <c r="M2478" s="5" t="str">
        <f t="shared" si="3"/>
        <v> </v>
      </c>
      <c r="N2478" s="5" t="str">
        <f t="shared" si="4"/>
        <v>Ernst &amp; Young</v>
      </c>
      <c r="O2478" s="5" t="str">
        <f t="shared" si="5"/>
        <v>6 years 10 months in role and company</v>
      </c>
      <c r="P2478" s="5" t="str">
        <f t="shared" si="6"/>
        <v>New York</v>
      </c>
      <c r="Q2478" s="5" t="str">
        <f t="shared" si="7"/>
        <v>New York</v>
      </c>
      <c r="R2478" s="5" t="str">
        <f t="shared" si="8"/>
        <v>United States</v>
      </c>
    </row>
    <row r="2479">
      <c r="A2479" s="7" t="s">
        <v>928</v>
      </c>
      <c r="B2479" s="5" t="s">
        <v>926</v>
      </c>
      <c r="C2479" s="5" t="s">
        <v>927</v>
      </c>
      <c r="D2479" s="6" t="s">
        <v>13</v>
      </c>
      <c r="E2479" s="5" t="s">
        <v>845</v>
      </c>
      <c r="F2479" s="5" t="s">
        <v>149</v>
      </c>
      <c r="G2479" s="5" t="s">
        <v>102</v>
      </c>
      <c r="H2479" s="5" t="s">
        <v>172</v>
      </c>
      <c r="I2479" s="5" t="s">
        <v>18</v>
      </c>
      <c r="J2479" s="9" t="str">
        <f>IFERROR(__xludf.DUMMYFUNCTION("""COMPUTED_VALUE"""),"https://www.google.com/search?newwindow=1&amp;ei=2MT0XrvGGM-vytMP1OyDgAY&amp;q=site%3Alinkedin.com+Joseph+Wehle+Campus+Recruiter+EY")</f>
        <v>https://www.google.com/search?newwindow=1&amp;ei=2MT0XrvGGM-vytMP1OyDgAY&amp;q=site%3Alinkedin.com+Joseph+Wehle+Campus+Recruiter+EY</v>
      </c>
      <c r="K2479" s="5" t="str">
        <f t="shared" si="1"/>
        <v>Joseph Wehle</v>
      </c>
      <c r="L2479" s="5" t="str">
        <f t="shared" si="2"/>
        <v>Campus Recruiter</v>
      </c>
      <c r="M2479" s="5" t="str">
        <f t="shared" si="3"/>
        <v> </v>
      </c>
      <c r="N2479" s="5" t="str">
        <f t="shared" si="4"/>
        <v>Ernst &amp; Young</v>
      </c>
      <c r="O2479" s="5" t="str">
        <f t="shared" si="5"/>
        <v>7 years 8 months in role</v>
      </c>
      <c r="P2479" s="5" t="str">
        <f t="shared" si="6"/>
        <v>New York</v>
      </c>
      <c r="Q2479" s="5" t="str">
        <f t="shared" si="7"/>
        <v>New York</v>
      </c>
      <c r="R2479" s="5" t="str">
        <f t="shared" si="8"/>
        <v>United States</v>
      </c>
    </row>
    <row r="2480">
      <c r="A2480" s="7" t="s">
        <v>931</v>
      </c>
      <c r="B2480" s="5" t="s">
        <v>929</v>
      </c>
      <c r="C2480" s="5" t="s">
        <v>930</v>
      </c>
      <c r="D2480" s="6" t="s">
        <v>13</v>
      </c>
      <c r="E2480" s="5" t="s">
        <v>845</v>
      </c>
      <c r="F2480" s="5" t="s">
        <v>60</v>
      </c>
      <c r="G2480" s="5" t="s">
        <v>102</v>
      </c>
      <c r="H2480" s="5" t="s">
        <v>172</v>
      </c>
      <c r="I2480" s="5" t="s">
        <v>18</v>
      </c>
      <c r="J2480" s="9" t="str">
        <f>IFERROR(__xludf.DUMMYFUNCTION("""COMPUTED_VALUE"""),"https://www.google.com/search?newwindow=1&amp;ei=2MT0XrvGGM-vytMP1OyDgAY&amp;q=site%3Alinkedin.com+Katherine+Infante+Senior+Associate,+Campus+Recruiter+EY")</f>
        <v>https://www.google.com/search?newwindow=1&amp;ei=2MT0XrvGGM-vytMP1OyDgAY&amp;q=site%3Alinkedin.com+Katherine+Infante+Senior+Associate,+Campus+Recruiter+EY</v>
      </c>
      <c r="K2480" s="5" t="str">
        <f t="shared" si="1"/>
        <v>Katherine Infante</v>
      </c>
      <c r="L2480" s="5" t="str">
        <f t="shared" si="2"/>
        <v>Senior Associate, Campus Recruiter</v>
      </c>
      <c r="M2480" s="5" t="str">
        <f t="shared" si="3"/>
        <v> </v>
      </c>
      <c r="N2480" s="5" t="str">
        <f t="shared" si="4"/>
        <v>Ernst &amp; Young</v>
      </c>
      <c r="O2480" s="5" t="str">
        <f t="shared" si="5"/>
        <v>10 months in role and company</v>
      </c>
      <c r="P2480" s="5" t="str">
        <f t="shared" si="6"/>
        <v>New York</v>
      </c>
      <c r="Q2480" s="5" t="str">
        <f t="shared" si="7"/>
        <v>New York</v>
      </c>
      <c r="R2480" s="5" t="str">
        <f t="shared" si="8"/>
        <v>United States</v>
      </c>
    </row>
    <row r="2481">
      <c r="A2481" s="7" t="s">
        <v>933</v>
      </c>
      <c r="B2481" s="5" t="s">
        <v>932</v>
      </c>
      <c r="C2481" s="5" t="s">
        <v>25</v>
      </c>
      <c r="D2481" s="6" t="s">
        <v>13</v>
      </c>
      <c r="E2481" s="5" t="s">
        <v>845</v>
      </c>
      <c r="F2481" s="5" t="s">
        <v>100</v>
      </c>
      <c r="G2481" s="5" t="s">
        <v>102</v>
      </c>
      <c r="H2481" s="5" t="s">
        <v>172</v>
      </c>
      <c r="I2481" s="5" t="s">
        <v>18</v>
      </c>
      <c r="J2481" s="9" t="str">
        <f>IFERROR(__xludf.DUMMYFUNCTION("""COMPUTED_VALUE"""),"https://www.google.com/search?newwindow=1&amp;ei=2MT0XrvGGM-vytMP1OyDgAY&amp;q=site%3Alinkedin.com+Katie+F.+Consulting+Campus+Recruiter+EY")</f>
        <v>https://www.google.com/search?newwindow=1&amp;ei=2MT0XrvGGM-vytMP1OyDgAY&amp;q=site%3Alinkedin.com+Katie+F.+Consulting+Campus+Recruiter+EY</v>
      </c>
      <c r="K2481" s="5" t="str">
        <f t="shared" si="1"/>
        <v>Katie F.</v>
      </c>
      <c r="L2481" s="5" t="str">
        <f t="shared" si="2"/>
        <v>Consulting Campus Recruiter</v>
      </c>
      <c r="M2481" s="5" t="str">
        <f t="shared" si="3"/>
        <v> </v>
      </c>
      <c r="N2481" s="5" t="str">
        <f t="shared" si="4"/>
        <v>Ernst &amp; Young</v>
      </c>
      <c r="O2481" s="5" t="str">
        <f t="shared" si="5"/>
        <v>6 years 1 month in role and company</v>
      </c>
      <c r="P2481" s="5" t="str">
        <f t="shared" si="6"/>
        <v>New York</v>
      </c>
      <c r="Q2481" s="5" t="str">
        <f t="shared" si="7"/>
        <v>New York</v>
      </c>
      <c r="R2481" s="5" t="str">
        <f t="shared" si="8"/>
        <v>United States</v>
      </c>
    </row>
    <row r="2482">
      <c r="A2482" s="7" t="s">
        <v>935</v>
      </c>
      <c r="B2482" s="5" t="s">
        <v>934</v>
      </c>
      <c r="C2482" s="5" t="s">
        <v>25</v>
      </c>
      <c r="D2482" s="6" t="s">
        <v>13</v>
      </c>
      <c r="E2482" s="5" t="s">
        <v>845</v>
      </c>
      <c r="F2482" s="5" t="s">
        <v>100</v>
      </c>
      <c r="G2482" s="5" t="s">
        <v>102</v>
      </c>
      <c r="H2482" s="5" t="s">
        <v>172</v>
      </c>
      <c r="I2482" s="5" t="s">
        <v>18</v>
      </c>
      <c r="J2482" s="9" t="str">
        <f>IFERROR(__xludf.DUMMYFUNCTION("""COMPUTED_VALUE"""),"https://www.google.com/search?newwindow=1&amp;ei=2MT0XrvGGM-vytMP1OyDgAY&amp;q=site%3Alinkedin.com+Mary+Bongart+Campus+Recruiter+EY")</f>
        <v>https://www.google.com/search?newwindow=1&amp;ei=2MT0XrvGGM-vytMP1OyDgAY&amp;q=site%3Alinkedin.com+Mary+Bongart+Campus+Recruiter+EY</v>
      </c>
      <c r="K2482" s="5" t="str">
        <f t="shared" si="1"/>
        <v>Mary Bongart</v>
      </c>
      <c r="L2482" s="5" t="str">
        <f t="shared" si="2"/>
        <v>Campus Recruiter</v>
      </c>
      <c r="M2482" s="5" t="str">
        <f t="shared" si="3"/>
        <v> </v>
      </c>
      <c r="N2482" s="5" t="str">
        <f t="shared" si="4"/>
        <v>Ernst &amp; Young</v>
      </c>
      <c r="O2482" s="5" t="str">
        <f t="shared" si="5"/>
        <v>3 years 8 months in role</v>
      </c>
      <c r="P2482" s="5" t="str">
        <f t="shared" si="6"/>
        <v>Philadelphia</v>
      </c>
      <c r="Q2482" s="5" t="str">
        <f t="shared" si="7"/>
        <v>Pennsylvania</v>
      </c>
      <c r="R2482" s="5" t="str">
        <f t="shared" si="8"/>
        <v>United States</v>
      </c>
    </row>
    <row r="2483">
      <c r="A2483" s="7" t="s">
        <v>937</v>
      </c>
      <c r="B2483" s="5" t="s">
        <v>936</v>
      </c>
      <c r="C2483" s="5" t="s">
        <v>25</v>
      </c>
      <c r="D2483" s="6" t="s">
        <v>13</v>
      </c>
      <c r="E2483" s="5" t="s">
        <v>845</v>
      </c>
      <c r="F2483" s="5" t="s">
        <v>228</v>
      </c>
      <c r="G2483" s="5" t="s">
        <v>608</v>
      </c>
      <c r="H2483" s="5" t="s">
        <v>609</v>
      </c>
      <c r="I2483" s="5" t="s">
        <v>18</v>
      </c>
      <c r="J2483" s="9" t="str">
        <f>IFERROR(__xludf.DUMMYFUNCTION("""COMPUTED_VALUE"""),"https://www.google.com/search?newwindow=1&amp;ei=2MT0XrvGGM-vytMP1OyDgAY&amp;q=site%3Alinkedin.com+Bryan+Ferretti+Campus+Recruiter+EY")</f>
        <v>https://www.google.com/search?newwindow=1&amp;ei=2MT0XrvGGM-vytMP1OyDgAY&amp;q=site%3Alinkedin.com+Bryan+Ferretti+Campus+Recruiter+EY</v>
      </c>
      <c r="K2483" s="5" t="str">
        <f t="shared" si="1"/>
        <v>Bryan Ferretti</v>
      </c>
      <c r="L2483" s="5" t="str">
        <f t="shared" si="2"/>
        <v>Campus Recruiter</v>
      </c>
      <c r="M2483" s="5" t="str">
        <f t="shared" si="3"/>
        <v> </v>
      </c>
      <c r="N2483" s="5" t="str">
        <f t="shared" si="4"/>
        <v>Ernst &amp; Young</v>
      </c>
      <c r="O2483" s="5" t="str">
        <f t="shared" si="5"/>
        <v>4 years 3 months in role and company</v>
      </c>
      <c r="P2483" s="5" t="str">
        <f t="shared" si="6"/>
        <v>Philadelphia</v>
      </c>
      <c r="Q2483" s="5" t="str">
        <f t="shared" si="7"/>
        <v>Pennsylvania</v>
      </c>
      <c r="R2483" s="5" t="str">
        <f t="shared" si="8"/>
        <v>United States</v>
      </c>
    </row>
    <row r="2484">
      <c r="A2484" s="7" t="s">
        <v>941</v>
      </c>
      <c r="B2484" s="5" t="s">
        <v>938</v>
      </c>
      <c r="C2484" s="5" t="s">
        <v>939</v>
      </c>
      <c r="D2484" s="6" t="s">
        <v>13</v>
      </c>
      <c r="E2484" s="5" t="s">
        <v>940</v>
      </c>
      <c r="F2484" s="5" t="s">
        <v>512</v>
      </c>
      <c r="G2484" s="5" t="s">
        <v>80</v>
      </c>
      <c r="H2484" s="5" t="s">
        <v>38</v>
      </c>
      <c r="I2484" s="5" t="s">
        <v>18</v>
      </c>
      <c r="J2484" s="9" t="str">
        <f>IFERROR(__xludf.DUMMYFUNCTION("""COMPUTED_VALUE"""),"https://www.google.com/search?newwindow=1&amp;ei=2MT0XrvGGM-vytMP1OyDgAY&amp;q=site%3Alinkedin.com+Alex+Swit+Campus+Recruiter+EY")</f>
        <v>https://www.google.com/search?newwindow=1&amp;ei=2MT0XrvGGM-vytMP1OyDgAY&amp;q=site%3Alinkedin.com+Alex+Swit+Campus+Recruiter+EY</v>
      </c>
      <c r="K2484" s="5" t="str">
        <f t="shared" si="1"/>
        <v>Alex Swit</v>
      </c>
      <c r="L2484" s="5" t="str">
        <f t="shared" si="2"/>
        <v>Campus Recruiter</v>
      </c>
      <c r="M2484" s="5" t="str">
        <f t="shared" si="3"/>
        <v> </v>
      </c>
      <c r="N2484" s="5" t="str">
        <f t="shared" si="4"/>
        <v>Ernst &amp; Young</v>
      </c>
      <c r="O2484" s="5" t="str">
        <f t="shared" si="5"/>
        <v>4 years 6 months in role and company</v>
      </c>
      <c r="P2484" s="5" t="str">
        <f t="shared" si="6"/>
        <v>Philadelphia</v>
      </c>
      <c r="Q2484" s="5" t="str">
        <f t="shared" si="7"/>
        <v>Pennsylvania</v>
      </c>
      <c r="R2484" s="5" t="str">
        <f t="shared" si="8"/>
        <v>United States</v>
      </c>
    </row>
    <row r="2485">
      <c r="A2485" s="7" t="s">
        <v>946</v>
      </c>
      <c r="B2485" s="5" t="s">
        <v>942</v>
      </c>
      <c r="C2485" s="5" t="s">
        <v>943</v>
      </c>
      <c r="D2485" s="6" t="s">
        <v>13</v>
      </c>
      <c r="E2485" s="5" t="s">
        <v>940</v>
      </c>
      <c r="F2485" s="5" t="s">
        <v>455</v>
      </c>
      <c r="G2485" s="5" t="s">
        <v>944</v>
      </c>
      <c r="H2485" s="5" t="s">
        <v>945</v>
      </c>
      <c r="I2485" s="5" t="s">
        <v>18</v>
      </c>
      <c r="J2485" s="9" t="str">
        <f>IFERROR(__xludf.DUMMYFUNCTION("""COMPUTED_VALUE"""),"https://www.google.com/search?newwindow=1&amp;ei=2MT0XrvGGM-vytMP1OyDgAY&amp;q=site%3Alinkedin.com+Christine+Brennan+Campus+Referral+Recruiter,+Talent+Attraction+and+Acquisition+(TA²)+EY")</f>
        <v>https://www.google.com/search?newwindow=1&amp;ei=2MT0XrvGGM-vytMP1OyDgAY&amp;q=site%3Alinkedin.com+Christine+Brennan+Campus+Referral+Recruiter,+Talent+Attraction+and+Acquisition+(TA²)+EY</v>
      </c>
      <c r="K2485" s="5" t="str">
        <f t="shared" si="1"/>
        <v>Christine Brennan</v>
      </c>
      <c r="L2485" s="5" t="str">
        <f t="shared" si="2"/>
        <v>Campus Referral Recruiter, Talent Attraction and Acquisition (TA²)</v>
      </c>
      <c r="M2485" s="5" t="str">
        <f t="shared" si="3"/>
        <v> </v>
      </c>
      <c r="N2485" s="5" t="str">
        <f t="shared" si="4"/>
        <v>Ernst &amp; Young</v>
      </c>
      <c r="O2485" s="5" t="str">
        <f t="shared" si="5"/>
        <v>2 years 8 months in role</v>
      </c>
      <c r="P2485" s="5" t="str">
        <f t="shared" si="6"/>
        <v>Philadelphia</v>
      </c>
      <c r="Q2485" s="5" t="str">
        <f t="shared" si="7"/>
        <v>Pennsylvania</v>
      </c>
      <c r="R2485" s="5" t="str">
        <f t="shared" si="8"/>
        <v>United States</v>
      </c>
    </row>
    <row r="2486">
      <c r="A2486" s="8" t="s">
        <v>950</v>
      </c>
      <c r="B2486" s="5" t="s">
        <v>947</v>
      </c>
      <c r="C2486" s="5" t="s">
        <v>110</v>
      </c>
      <c r="D2486" s="6" t="s">
        <v>13</v>
      </c>
      <c r="E2486" s="5" t="s">
        <v>940</v>
      </c>
      <c r="F2486" s="5" t="s">
        <v>144</v>
      </c>
      <c r="G2486" s="5" t="s">
        <v>948</v>
      </c>
      <c r="H2486" s="5" t="s">
        <v>949</v>
      </c>
      <c r="I2486" s="5" t="s">
        <v>18</v>
      </c>
      <c r="J2486" s="9" t="str">
        <f>IFERROR(__xludf.DUMMYFUNCTION("""COMPUTED_VALUE"""),"https://www.google.com/search?newwindow=1&amp;ei=2MT0XrvGGM-vytMP1OyDgAY&amp;q=site%3Alinkedin.com+Abby+Motson+Campus+Recruiter+(Advisory,+Cybersecurity)+EY")</f>
        <v>https://www.google.com/search?newwindow=1&amp;ei=2MT0XrvGGM-vytMP1OyDgAY&amp;q=site%3Alinkedin.com+Abby+Motson+Campus+Recruiter+(Advisory,+Cybersecurity)+EY</v>
      </c>
      <c r="K2486" s="5" t="str">
        <f t="shared" si="1"/>
        <v>Abby Motson</v>
      </c>
      <c r="L2486" s="5" t="str">
        <f t="shared" si="2"/>
        <v>Campus Recruiter (Advisory, Cybersecurity)</v>
      </c>
      <c r="M2486" s="5" t="str">
        <f t="shared" si="3"/>
        <v> </v>
      </c>
      <c r="N2486" s="5" t="str">
        <f t="shared" si="4"/>
        <v>Ernst &amp; Young</v>
      </c>
      <c r="O2486" s="5" t="str">
        <f t="shared" si="5"/>
        <v>2 years 3 months in role</v>
      </c>
      <c r="P2486" s="5" t="str">
        <f t="shared" si="6"/>
        <v>Philadelphia</v>
      </c>
      <c r="Q2486" s="5" t="str">
        <f t="shared" si="7"/>
        <v>Pennsylvania</v>
      </c>
      <c r="R2486" s="5" t="str">
        <f t="shared" si="8"/>
        <v>United States</v>
      </c>
    </row>
    <row r="2487">
      <c r="A2487" s="7" t="s">
        <v>955</v>
      </c>
      <c r="B2487" s="5" t="s">
        <v>951</v>
      </c>
      <c r="C2487" s="5" t="s">
        <v>952</v>
      </c>
      <c r="D2487" s="6" t="s">
        <v>13</v>
      </c>
      <c r="E2487" s="5" t="s">
        <v>940</v>
      </c>
      <c r="F2487" s="5" t="s">
        <v>441</v>
      </c>
      <c r="G2487" s="5" t="s">
        <v>953</v>
      </c>
      <c r="H2487" s="5" t="s">
        <v>954</v>
      </c>
      <c r="I2487" s="5" t="s">
        <v>18</v>
      </c>
      <c r="J2487" s="9" t="str">
        <f>IFERROR(__xludf.DUMMYFUNCTION("""COMPUTED_VALUE"""),"https://www.google.com/search?newwindow=1&amp;ei=2MT0XrvGGM-vytMP1OyDgAY&amp;q=site%3Alinkedin.com+Nichole+Howarth+Campus+Recruiter,+Rotating+Talent+Advisor,+Supervising+Associate+EY")</f>
        <v>https://www.google.com/search?newwindow=1&amp;ei=2MT0XrvGGM-vytMP1OyDgAY&amp;q=site%3Alinkedin.com+Nichole+Howarth+Campus+Recruiter,+Rotating+Talent+Advisor,+Supervising+Associate+EY</v>
      </c>
      <c r="K2487" s="5" t="str">
        <f t="shared" si="1"/>
        <v>Nichole Howarth</v>
      </c>
      <c r="L2487" s="5" t="str">
        <f t="shared" si="2"/>
        <v>Campus Recruiter, Rotating Talent Advisor, Supervising Associate</v>
      </c>
      <c r="M2487" s="5" t="str">
        <f t="shared" si="3"/>
        <v> </v>
      </c>
      <c r="N2487" s="5" t="str">
        <f t="shared" si="4"/>
        <v>Ernst &amp; Young</v>
      </c>
      <c r="O2487" s="5" t="str">
        <f t="shared" si="5"/>
        <v>5 years 1 month in role and company</v>
      </c>
      <c r="P2487" s="5" t="str">
        <f t="shared" si="6"/>
        <v>Phoenix</v>
      </c>
      <c r="Q2487" s="5" t="str">
        <f t="shared" si="7"/>
        <v>Arizona</v>
      </c>
      <c r="R2487" s="5" t="str">
        <f t="shared" si="8"/>
        <v>United States</v>
      </c>
    </row>
    <row r="2488">
      <c r="A2488" s="8" t="s">
        <v>959</v>
      </c>
      <c r="B2488" s="5" t="s">
        <v>956</v>
      </c>
      <c r="C2488" s="5" t="s">
        <v>957</v>
      </c>
      <c r="D2488" s="6" t="s">
        <v>13</v>
      </c>
      <c r="E2488" s="5" t="s">
        <v>940</v>
      </c>
      <c r="F2488" s="5" t="s">
        <v>958</v>
      </c>
      <c r="G2488" s="5" t="s">
        <v>953</v>
      </c>
      <c r="H2488" s="5" t="s">
        <v>954</v>
      </c>
      <c r="I2488" s="5" t="s">
        <v>18</v>
      </c>
      <c r="J2488" s="9" t="str">
        <f>IFERROR(__xludf.DUMMYFUNCTION("""COMPUTED_VALUE"""),"https://www.google.com/search?newwindow=1&amp;ei=2MT0XrvGGM-vytMP1OyDgAY&amp;q=site%3Alinkedin.com+MaryBeth+Allen+Campus+Recruiter+EY")</f>
        <v>https://www.google.com/search?newwindow=1&amp;ei=2MT0XrvGGM-vytMP1OyDgAY&amp;q=site%3Alinkedin.com+MaryBeth+Allen+Campus+Recruiter+EY</v>
      </c>
      <c r="K2488" s="5" t="str">
        <f t="shared" si="1"/>
        <v>MaryBeth Allen</v>
      </c>
      <c r="L2488" s="5" t="str">
        <f t="shared" si="2"/>
        <v>Campus Recruiter</v>
      </c>
      <c r="M2488" s="5" t="str">
        <f t="shared" si="3"/>
        <v> </v>
      </c>
      <c r="N2488" s="5" t="str">
        <f t="shared" si="4"/>
        <v>Ernst &amp; Young</v>
      </c>
      <c r="O2488" s="5" t="str">
        <f t="shared" si="5"/>
        <v>9 years 1 month in role</v>
      </c>
      <c r="P2488" s="5" t="str">
        <f t="shared" si="6"/>
        <v>Pittsburgh</v>
      </c>
      <c r="Q2488" s="5" t="str">
        <f t="shared" si="7"/>
        <v>Pennsylvania</v>
      </c>
      <c r="R2488" s="5" t="str">
        <f t="shared" si="8"/>
        <v>United States</v>
      </c>
    </row>
    <row r="2489">
      <c r="A2489" s="7" t="s">
        <v>963</v>
      </c>
      <c r="B2489" s="5" t="s">
        <v>960</v>
      </c>
      <c r="C2489" s="5" t="s">
        <v>25</v>
      </c>
      <c r="D2489" s="6" t="s">
        <v>13</v>
      </c>
      <c r="E2489" s="5" t="s">
        <v>940</v>
      </c>
      <c r="G2489" s="5" t="s">
        <v>961</v>
      </c>
      <c r="H2489" s="5" t="s">
        <v>962</v>
      </c>
      <c r="I2489" s="5" t="s">
        <v>18</v>
      </c>
      <c r="J2489" s="9" t="str">
        <f>IFERROR(__xludf.DUMMYFUNCTION("""COMPUTED_VALUE"""),"https://www.google.com/search?newwindow=1&amp;ei=2MT0XrvGGM-vytMP1OyDgAY&amp;q=site%3Alinkedin.com+Jordan+Gaunt+Campus+Recruiter+Senior+Associate+EY")</f>
        <v>https://www.google.com/search?newwindow=1&amp;ei=2MT0XrvGGM-vytMP1OyDgAY&amp;q=site%3Alinkedin.com+Jordan+Gaunt+Campus+Recruiter+Senior+Associate+EY</v>
      </c>
      <c r="K2489" s="5" t="str">
        <f t="shared" si="1"/>
        <v>Jordan Gaunt</v>
      </c>
      <c r="L2489" s="5" t="str">
        <f t="shared" si="2"/>
        <v>Campus Recruiter Senior Associate</v>
      </c>
      <c r="M2489" s="5" t="str">
        <f t="shared" si="3"/>
        <v> </v>
      </c>
      <c r="N2489" s="5" t="str">
        <f t="shared" si="4"/>
        <v>Ernst &amp; Young</v>
      </c>
      <c r="O2489" s="5" t="str">
        <f t="shared" si="5"/>
        <v>1 year 3 months in role and company</v>
      </c>
      <c r="P2489" s="5" t="str">
        <f t="shared" si="6"/>
        <v>Plano</v>
      </c>
      <c r="Q2489" s="5" t="str">
        <f t="shared" si="7"/>
        <v>Texas</v>
      </c>
      <c r="R2489" s="5" t="str">
        <f t="shared" si="8"/>
        <v>United States</v>
      </c>
    </row>
    <row r="2490">
      <c r="A2490" s="7" t="s">
        <v>966</v>
      </c>
      <c r="B2490" s="5" t="s">
        <v>964</v>
      </c>
      <c r="C2490" s="5" t="s">
        <v>480</v>
      </c>
      <c r="D2490" s="6" t="s">
        <v>13</v>
      </c>
      <c r="E2490" s="5" t="s">
        <v>965</v>
      </c>
      <c r="G2490" s="5" t="s">
        <v>16</v>
      </c>
      <c r="H2490" s="5" t="s">
        <v>17</v>
      </c>
      <c r="I2490" s="5" t="s">
        <v>18</v>
      </c>
      <c r="J2490" s="9" t="str">
        <f>IFERROR(__xludf.DUMMYFUNCTION("""COMPUTED_VALUE"""),"https://www.google.com/search?newwindow=1&amp;ei=2MT0XrvGGM-vytMP1OyDgAY&amp;q=site%3Alinkedin.com+Max+Hyland+Campus+Recruiter+EY")</f>
        <v>https://www.google.com/search?newwindow=1&amp;ei=2MT0XrvGGM-vytMP1OyDgAY&amp;q=site%3Alinkedin.com+Max+Hyland+Campus+Recruiter+EY</v>
      </c>
      <c r="K2490" s="5" t="str">
        <f t="shared" si="1"/>
        <v>Max Hyland</v>
      </c>
      <c r="L2490" s="5" t="str">
        <f t="shared" si="2"/>
        <v>Campus Recruiter</v>
      </c>
      <c r="M2490" s="5" t="str">
        <f t="shared" si="3"/>
        <v> </v>
      </c>
      <c r="N2490" s="5" t="str">
        <f t="shared" si="4"/>
        <v>Ernst &amp; Young</v>
      </c>
      <c r="O2490" s="5" t="str">
        <f t="shared" si="5"/>
        <v>3 years 8 months in role</v>
      </c>
      <c r="P2490" s="5" t="str">
        <f t="shared" si="6"/>
        <v>Ridgefield</v>
      </c>
      <c r="Q2490" s="5" t="str">
        <f t="shared" si="7"/>
        <v>New Jersey</v>
      </c>
      <c r="R2490" s="5" t="str">
        <f t="shared" si="8"/>
        <v>United States</v>
      </c>
    </row>
    <row r="2491">
      <c r="A2491" s="7" t="s">
        <v>969</v>
      </c>
      <c r="B2491" s="5" t="s">
        <v>967</v>
      </c>
      <c r="C2491" s="5" t="s">
        <v>480</v>
      </c>
      <c r="D2491" s="6" t="s">
        <v>13</v>
      </c>
      <c r="E2491" s="5" t="s">
        <v>965</v>
      </c>
      <c r="F2491" s="5" t="s">
        <v>106</v>
      </c>
      <c r="G2491" s="5" t="s">
        <v>968</v>
      </c>
      <c r="H2491" s="5" t="s">
        <v>184</v>
      </c>
      <c r="I2491" s="5" t="s">
        <v>18</v>
      </c>
      <c r="J2491" s="9" t="str">
        <f>IFERROR(__xludf.DUMMYFUNCTION("""COMPUTED_VALUE"""),"https://www.google.com/search?newwindow=1&amp;ei=2MT0XrvGGM-vytMP1OyDgAY&amp;q=site%3Alinkedin.com+Kendra+Stanfill+Graduate+Campus+Recruiter+EY")</f>
        <v>https://www.google.com/search?newwindow=1&amp;ei=2MT0XrvGGM-vytMP1OyDgAY&amp;q=site%3Alinkedin.com+Kendra+Stanfill+Graduate+Campus+Recruiter+EY</v>
      </c>
      <c r="K2491" s="5" t="str">
        <f t="shared" si="1"/>
        <v>Kendra Stanfill</v>
      </c>
      <c r="L2491" s="5" t="str">
        <f t="shared" si="2"/>
        <v>Graduate Campus Recruiter</v>
      </c>
      <c r="M2491" s="5" t="str">
        <f t="shared" si="3"/>
        <v> </v>
      </c>
      <c r="N2491" s="5" t="str">
        <f t="shared" si="4"/>
        <v>Ernst &amp; Young</v>
      </c>
      <c r="O2491" s="5" t="str">
        <f t="shared" si="5"/>
        <v>1 year 9 months in role</v>
      </c>
      <c r="P2491" s="5" t="str">
        <f t="shared" si="6"/>
        <v>Sacramento</v>
      </c>
      <c r="Q2491" s="5" t="str">
        <f t="shared" si="7"/>
        <v>California</v>
      </c>
      <c r="R2491" s="5" t="str">
        <f t="shared" si="8"/>
        <v>United States</v>
      </c>
    </row>
    <row r="2492">
      <c r="A2492" s="7" t="s">
        <v>972</v>
      </c>
      <c r="B2492" s="5" t="s">
        <v>970</v>
      </c>
      <c r="C2492" s="5" t="s">
        <v>971</v>
      </c>
      <c r="D2492" s="6" t="s">
        <v>13</v>
      </c>
      <c r="E2492" s="5" t="s">
        <v>965</v>
      </c>
      <c r="F2492" s="5" t="s">
        <v>15</v>
      </c>
      <c r="G2492" s="5" t="s">
        <v>85</v>
      </c>
      <c r="H2492" s="5" t="s">
        <v>86</v>
      </c>
      <c r="I2492" s="5" t="s">
        <v>18</v>
      </c>
      <c r="J2492" s="9" t="str">
        <f>IFERROR(__xludf.DUMMYFUNCTION("""COMPUTED_VALUE"""),"https://www.google.com/search?newwindow=1&amp;ei=2MT0XrvGGM-vytMP1OyDgAY&amp;q=site%3Alinkedin.com+Jennifer+Garrard+Campus+Recruiter+EY")</f>
        <v>https://www.google.com/search?newwindow=1&amp;ei=2MT0XrvGGM-vytMP1OyDgAY&amp;q=site%3Alinkedin.com+Jennifer+Garrard+Campus+Recruiter+EY</v>
      </c>
      <c r="K2492" s="5" t="str">
        <f t="shared" si="1"/>
        <v>Jennifer Garrard</v>
      </c>
      <c r="L2492" s="5" t="str">
        <f t="shared" si="2"/>
        <v>Campus Recruiter</v>
      </c>
      <c r="M2492" s="5" t="str">
        <f t="shared" si="3"/>
        <v> </v>
      </c>
      <c r="N2492" s="5" t="str">
        <f t="shared" si="4"/>
        <v>Ernst &amp; Young</v>
      </c>
      <c r="O2492" s="5" t="str">
        <f t="shared" si="5"/>
        <v>6 years 4 months in role and company</v>
      </c>
      <c r="P2492" s="5" t="str">
        <f t="shared" si="6"/>
        <v>Salt Lake City</v>
      </c>
      <c r="Q2492" s="5" t="str">
        <f t="shared" si="7"/>
        <v>Utah</v>
      </c>
      <c r="R2492" s="5" t="str">
        <f t="shared" si="8"/>
        <v>United States</v>
      </c>
    </row>
    <row r="2493">
      <c r="A2493" s="8" t="s">
        <v>976</v>
      </c>
      <c r="B2493" s="5" t="s">
        <v>973</v>
      </c>
      <c r="C2493" s="5" t="s">
        <v>974</v>
      </c>
      <c r="D2493" s="6" t="s">
        <v>13</v>
      </c>
      <c r="E2493" s="5" t="s">
        <v>965</v>
      </c>
      <c r="F2493" s="5" t="s">
        <v>217</v>
      </c>
      <c r="G2493" s="5" t="s">
        <v>975</v>
      </c>
      <c r="H2493" s="5" t="s">
        <v>427</v>
      </c>
      <c r="I2493" s="5" t="s">
        <v>18</v>
      </c>
      <c r="J2493" s="9" t="str">
        <f>IFERROR(__xludf.DUMMYFUNCTION("""COMPUTED_VALUE"""),"https://www.google.com/search?newwindow=1&amp;ei=2MT0XrvGGM-vytMP1OyDgAY&amp;q=site%3Alinkedin.com+Jordan+W.+Campus+Recruiter+EY")</f>
        <v>https://www.google.com/search?newwindow=1&amp;ei=2MT0XrvGGM-vytMP1OyDgAY&amp;q=site%3Alinkedin.com+Jordan+W.+Campus+Recruiter+EY</v>
      </c>
      <c r="K2493" s="5" t="str">
        <f t="shared" si="1"/>
        <v>Jordan W.</v>
      </c>
      <c r="L2493" s="5" t="str">
        <f t="shared" si="2"/>
        <v>Campus Recruiter</v>
      </c>
      <c r="M2493" s="5" t="str">
        <f t="shared" si="3"/>
        <v> </v>
      </c>
      <c r="N2493" s="5" t="str">
        <f t="shared" si="4"/>
        <v>Ernst &amp; Young</v>
      </c>
      <c r="O2493" s="5" t="str">
        <f t="shared" si="5"/>
        <v>2 years 10 months in role and company</v>
      </c>
      <c r="P2493" s="5" t="str">
        <f t="shared" si="6"/>
        <v>San Antonio</v>
      </c>
      <c r="Q2493" s="5" t="str">
        <f t="shared" si="7"/>
        <v>Texas</v>
      </c>
      <c r="R2493" s="5" t="str">
        <f t="shared" si="8"/>
        <v>United States</v>
      </c>
    </row>
    <row r="2494">
      <c r="A2494" s="7" t="s">
        <v>978</v>
      </c>
      <c r="B2494" s="5" t="s">
        <v>977</v>
      </c>
      <c r="C2494" s="5" t="s">
        <v>480</v>
      </c>
      <c r="D2494" s="6" t="s">
        <v>13</v>
      </c>
      <c r="E2494" s="5" t="s">
        <v>965</v>
      </c>
      <c r="F2494" s="5" t="s">
        <v>29</v>
      </c>
      <c r="G2494" s="5" t="s">
        <v>975</v>
      </c>
      <c r="H2494" s="5" t="s">
        <v>427</v>
      </c>
      <c r="I2494" s="5" t="s">
        <v>18</v>
      </c>
      <c r="J2494" s="9" t="str">
        <f>IFERROR(__xludf.DUMMYFUNCTION("""COMPUTED_VALUE"""),"https://www.google.com/search?newwindow=1&amp;ei=2MT0XrvGGM-vytMP1OyDgAY&amp;q=site%3Alinkedin.com+Ali+Meersman,+CPA+Campus+Recruiter+|+Talent+Attraction+&amp;+Acquisition+EY")</f>
        <v>https://www.google.com/search?newwindow=1&amp;ei=2MT0XrvGGM-vytMP1OyDgAY&amp;q=site%3Alinkedin.com+Ali+Meersman,+CPA+Campus+Recruiter+|+Talent+Attraction+&amp;+Acquisition+EY</v>
      </c>
      <c r="K2494" s="5" t="str">
        <f t="shared" si="1"/>
        <v>Ali Meersman, CPA</v>
      </c>
      <c r="L2494" s="5" t="str">
        <f t="shared" si="2"/>
        <v>Campus Recruiter | Talent Attraction &amp; Acquisition</v>
      </c>
      <c r="M2494" s="5" t="str">
        <f t="shared" si="3"/>
        <v> </v>
      </c>
      <c r="N2494" s="5" t="str">
        <f t="shared" si="4"/>
        <v>Ernst &amp; Young</v>
      </c>
      <c r="O2494" s="5" t="str">
        <f t="shared" si="5"/>
        <v>4 years 8 months in role</v>
      </c>
      <c r="P2494" s="5" t="str">
        <f t="shared" si="6"/>
        <v>San Diego</v>
      </c>
      <c r="Q2494" s="5" t="str">
        <f t="shared" si="7"/>
        <v>California</v>
      </c>
      <c r="R2494" s="5" t="str">
        <f t="shared" si="8"/>
        <v>United States</v>
      </c>
    </row>
    <row r="2495">
      <c r="A2495" s="7" t="s">
        <v>981</v>
      </c>
      <c r="B2495" s="5" t="s">
        <v>979</v>
      </c>
      <c r="C2495" s="5" t="s">
        <v>480</v>
      </c>
      <c r="D2495" s="6" t="s">
        <v>13</v>
      </c>
      <c r="E2495" s="5" t="s">
        <v>965</v>
      </c>
      <c r="F2495" s="5" t="s">
        <v>980</v>
      </c>
      <c r="G2495" s="5" t="s">
        <v>975</v>
      </c>
      <c r="H2495" s="6" t="s">
        <v>427</v>
      </c>
      <c r="I2495" s="5" t="s">
        <v>18</v>
      </c>
      <c r="J2495" s="9" t="str">
        <f>IFERROR(__xludf.DUMMYFUNCTION("""COMPUTED_VALUE"""),"https://www.google.com/search?newwindow=1&amp;ei=2MT0XrvGGM-vytMP1OyDgAY&amp;q=site%3Alinkedin.com+Jennifer+Voss+Campus+Recruiting+Manager+EY")</f>
        <v>https://www.google.com/search?newwindow=1&amp;ei=2MT0XrvGGM-vytMP1OyDgAY&amp;q=site%3Alinkedin.com+Jennifer+Voss+Campus+Recruiting+Manager+EY</v>
      </c>
      <c r="K2495" s="5" t="str">
        <f t="shared" si="1"/>
        <v>Jennifer Voss</v>
      </c>
      <c r="L2495" s="5" t="str">
        <f t="shared" si="2"/>
        <v>Campus Recruiting Manager</v>
      </c>
      <c r="M2495" s="5" t="str">
        <f t="shared" si="3"/>
        <v> </v>
      </c>
      <c r="N2495" s="5" t="str">
        <f t="shared" si="4"/>
        <v>Ernst &amp; Young</v>
      </c>
      <c r="O2495" s="5" t="str">
        <f t="shared" si="5"/>
        <v>1 year 6 months in role</v>
      </c>
      <c r="P2495" s="5" t="str">
        <f t="shared" si="6"/>
        <v>San Francisco</v>
      </c>
      <c r="Q2495" s="5" t="str">
        <f t="shared" si="7"/>
        <v>California</v>
      </c>
      <c r="R2495" s="5" t="str">
        <f t="shared" si="8"/>
        <v>United States</v>
      </c>
    </row>
    <row r="2496">
      <c r="A2496" s="7" t="s">
        <v>983</v>
      </c>
      <c r="B2496" s="5" t="s">
        <v>982</v>
      </c>
      <c r="C2496" s="5" t="s">
        <v>25</v>
      </c>
      <c r="D2496" s="6" t="s">
        <v>13</v>
      </c>
      <c r="E2496" s="5" t="s">
        <v>965</v>
      </c>
      <c r="F2496" s="5" t="s">
        <v>222</v>
      </c>
      <c r="G2496" s="5" t="s">
        <v>975</v>
      </c>
      <c r="H2496" s="5" t="s">
        <v>427</v>
      </c>
      <c r="I2496" s="5" t="s">
        <v>18</v>
      </c>
      <c r="J2496" s="9" t="str">
        <f>IFERROR(__xludf.DUMMYFUNCTION("""COMPUTED_VALUE"""),"https://www.google.com/search?newwindow=1&amp;ei=2MT0XrvGGM-vytMP1OyDgAY&amp;q=site%3Alinkedin.com+Lauren+Vujovich+Campus+Recruiter+EY")</f>
        <v>https://www.google.com/search?newwindow=1&amp;ei=2MT0XrvGGM-vytMP1OyDgAY&amp;q=site%3Alinkedin.com+Lauren+Vujovich+Campus+Recruiter+EY</v>
      </c>
      <c r="K2496" s="5" t="str">
        <f t="shared" si="1"/>
        <v>Lauren Vujovich</v>
      </c>
      <c r="L2496" s="5" t="str">
        <f t="shared" si="2"/>
        <v>Campus Recruiter</v>
      </c>
      <c r="M2496" s="5" t="str">
        <f t="shared" si="3"/>
        <v> </v>
      </c>
      <c r="N2496" s="5" t="str">
        <f t="shared" si="4"/>
        <v>Ernst &amp; Young</v>
      </c>
      <c r="O2496" s="5" t="str">
        <f t="shared" si="5"/>
        <v>1 year 9 months in role</v>
      </c>
      <c r="P2496" s="5" t="str">
        <f t="shared" si="6"/>
        <v>San Francisco</v>
      </c>
      <c r="Q2496" s="5" t="str">
        <f t="shared" si="7"/>
        <v>California</v>
      </c>
      <c r="R2496" s="5" t="str">
        <f t="shared" si="8"/>
        <v>United States</v>
      </c>
    </row>
    <row r="2497">
      <c r="A2497" s="7" t="s">
        <v>987</v>
      </c>
      <c r="B2497" s="5" t="s">
        <v>984</v>
      </c>
      <c r="C2497" s="5" t="s">
        <v>985</v>
      </c>
      <c r="D2497" s="6" t="s">
        <v>13</v>
      </c>
      <c r="E2497" s="5" t="s">
        <v>965</v>
      </c>
      <c r="F2497" s="5" t="s">
        <v>666</v>
      </c>
      <c r="G2497" s="5" t="s">
        <v>986</v>
      </c>
      <c r="H2497" s="5" t="s">
        <v>184</v>
      </c>
      <c r="I2497" s="5" t="s">
        <v>18</v>
      </c>
      <c r="J2497" s="9" t="str">
        <f>IFERROR(__xludf.DUMMYFUNCTION("""COMPUTED_VALUE"""),"https://www.google.com/search?newwindow=1&amp;ei=2MT0XrvGGM-vytMP1OyDgAY&amp;q=site%3Alinkedin.com+Beverly+Tran+Campus+Recruiter,+Senior+Associate+EY")</f>
        <v>https://www.google.com/search?newwindow=1&amp;ei=2MT0XrvGGM-vytMP1OyDgAY&amp;q=site%3Alinkedin.com+Beverly+Tran+Campus+Recruiter,+Senior+Associate+EY</v>
      </c>
      <c r="K2497" s="5" t="str">
        <f t="shared" si="1"/>
        <v>Beverly Tran</v>
      </c>
      <c r="L2497" s="5" t="str">
        <f t="shared" si="2"/>
        <v>Campus Recruiter, Senior Associate</v>
      </c>
      <c r="M2497" s="5" t="str">
        <f t="shared" si="3"/>
        <v> </v>
      </c>
      <c r="N2497" s="5" t="str">
        <f t="shared" si="4"/>
        <v>Ernst &amp; Young</v>
      </c>
      <c r="O2497" s="5" t="str">
        <f t="shared" si="5"/>
        <v>1 year 1 month in role</v>
      </c>
      <c r="P2497" s="5" t="str">
        <f t="shared" si="6"/>
        <v>San Jose</v>
      </c>
      <c r="Q2497" s="5" t="str">
        <f t="shared" si="7"/>
        <v>California</v>
      </c>
      <c r="R2497" s="5" t="str">
        <f t="shared" si="8"/>
        <v>United States</v>
      </c>
    </row>
    <row r="2498">
      <c r="A2498" s="7" t="s">
        <v>989</v>
      </c>
      <c r="B2498" s="5" t="s">
        <v>988</v>
      </c>
      <c r="C2498" s="5" t="s">
        <v>480</v>
      </c>
      <c r="D2498" s="6" t="s">
        <v>13</v>
      </c>
      <c r="E2498" s="5" t="s">
        <v>965</v>
      </c>
      <c r="F2498" s="5" t="s">
        <v>48</v>
      </c>
      <c r="G2498" s="5" t="s">
        <v>295</v>
      </c>
      <c r="H2498" s="5" t="s">
        <v>154</v>
      </c>
      <c r="I2498" s="5" t="s">
        <v>18</v>
      </c>
      <c r="J2498" s="9" t="str">
        <f>IFERROR(__xludf.DUMMYFUNCTION("""COMPUTED_VALUE"""),"https://www.google.com/search?newwindow=1&amp;ei=2MT0XrvGGM-vytMP1OyDgAY&amp;q=site%3Alinkedin.com+Julia+Silvestre+West+Campus+Lead+Recruiting+Coordinator+EY")</f>
        <v>https://www.google.com/search?newwindow=1&amp;ei=2MT0XrvGGM-vytMP1OyDgAY&amp;q=site%3Alinkedin.com+Julia+Silvestre+West+Campus+Lead+Recruiting+Coordinator+EY</v>
      </c>
      <c r="K2498" s="5" t="str">
        <f t="shared" si="1"/>
        <v>Julia Silvestre</v>
      </c>
      <c r="L2498" s="5" t="str">
        <f t="shared" si="2"/>
        <v>West Campus Lead Recruiting Coordinator</v>
      </c>
      <c r="M2498" s="5" t="str">
        <f t="shared" si="3"/>
        <v> </v>
      </c>
      <c r="N2498" s="5" t="str">
        <f t="shared" si="4"/>
        <v>Ernst &amp; Young</v>
      </c>
      <c r="O2498" s="5" t="str">
        <f t="shared" si="5"/>
        <v/>
      </c>
      <c r="P2498" s="5" t="str">
        <f t="shared" si="6"/>
        <v>San Jose</v>
      </c>
      <c r="Q2498" s="5" t="str">
        <f t="shared" si="7"/>
        <v>California</v>
      </c>
      <c r="R2498" s="5" t="str">
        <f t="shared" si="8"/>
        <v>United States</v>
      </c>
    </row>
    <row r="2499">
      <c r="A2499" s="7" t="s">
        <v>992</v>
      </c>
      <c r="B2499" s="5" t="s">
        <v>990</v>
      </c>
      <c r="C2499" s="5" t="s">
        <v>991</v>
      </c>
      <c r="D2499" s="6" t="s">
        <v>13</v>
      </c>
      <c r="E2499" s="5" t="s">
        <v>965</v>
      </c>
      <c r="F2499" s="5" t="s">
        <v>268</v>
      </c>
      <c r="G2499" s="5" t="s">
        <v>102</v>
      </c>
      <c r="H2499" s="5" t="s">
        <v>172</v>
      </c>
      <c r="I2499" s="5" t="s">
        <v>18</v>
      </c>
      <c r="J2499" s="9" t="str">
        <f>IFERROR(__xludf.DUMMYFUNCTION("""COMPUTED_VALUE"""),"https://www.google.com/search?newwindow=1&amp;ei=2MT0XrvGGM-vytMP1OyDgAY&amp;q=site%3Alinkedin.com+Darci+Curtin+Campus+Recruiter+EY")</f>
        <v>https://www.google.com/search?newwindow=1&amp;ei=2MT0XrvGGM-vytMP1OyDgAY&amp;q=site%3Alinkedin.com+Darci+Curtin+Campus+Recruiter+EY</v>
      </c>
      <c r="K2499" s="5" t="str">
        <f t="shared" si="1"/>
        <v>Darci Curtin</v>
      </c>
      <c r="L2499" s="5" t="str">
        <f t="shared" si="2"/>
        <v>Campus Recruiter</v>
      </c>
      <c r="M2499" s="5" t="str">
        <f t="shared" si="3"/>
        <v> </v>
      </c>
      <c r="N2499" s="5" t="str">
        <f t="shared" si="4"/>
        <v>Ernst &amp; Young</v>
      </c>
      <c r="O2499" s="5" t="str">
        <f t="shared" si="5"/>
        <v>2 years 11 months in role</v>
      </c>
      <c r="P2499" s="5" t="str">
        <f t="shared" si="6"/>
        <v>Seattle</v>
      </c>
      <c r="Q2499" s="5" t="str">
        <f t="shared" si="7"/>
        <v>Washington</v>
      </c>
      <c r="R2499" s="5" t="str">
        <f t="shared" si="8"/>
        <v>United States</v>
      </c>
    </row>
    <row r="2500">
      <c r="A2500" s="7" t="s">
        <v>995</v>
      </c>
      <c r="B2500" s="5" t="s">
        <v>993</v>
      </c>
      <c r="C2500" s="5" t="s">
        <v>25</v>
      </c>
      <c r="D2500" s="6" t="s">
        <v>13</v>
      </c>
      <c r="E2500" s="5" t="s">
        <v>994</v>
      </c>
      <c r="F2500" s="5" t="s">
        <v>399</v>
      </c>
      <c r="G2500" s="5" t="s">
        <v>377</v>
      </c>
      <c r="H2500" s="5" t="s">
        <v>378</v>
      </c>
      <c r="I2500" s="5" t="s">
        <v>18</v>
      </c>
      <c r="J2500" s="9" t="str">
        <f>IFERROR(__xludf.DUMMYFUNCTION("""COMPUTED_VALUE"""),"https://www.google.com/search?newwindow=1&amp;ei=2MT0XrvGGM-vytMP1OyDgAY&amp;q=site%3Alinkedin.com+Jessi+Dale+Seattle+&amp;+Portland+Campus+Recruiter+-+West+Region+Diversity+and+Inclusion+Internship+(Launch)+Lead+EY")</f>
        <v>https://www.google.com/search?newwindow=1&amp;ei=2MT0XrvGGM-vytMP1OyDgAY&amp;q=site%3Alinkedin.com+Jessi+Dale+Seattle+&amp;+Portland+Campus+Recruiter+-+West+Region+Diversity+and+Inclusion+Internship+(Launch)+Lead+EY</v>
      </c>
      <c r="K2500" s="5" t="str">
        <f t="shared" si="1"/>
        <v>Jessi Dale</v>
      </c>
      <c r="L2500" s="5" t="str">
        <f t="shared" si="2"/>
        <v>Seattle &amp; Portland Campus Recruiter - West Region Diversity and Inclusion Internship (Launch) Lead</v>
      </c>
      <c r="M2500" s="5" t="str">
        <f t="shared" si="3"/>
        <v> </v>
      </c>
      <c r="N2500" s="5" t="str">
        <f t="shared" si="4"/>
        <v>Ernst &amp; Young</v>
      </c>
      <c r="O2500" s="5" t="str">
        <f t="shared" si="5"/>
        <v>5 years 5 months in role and company</v>
      </c>
      <c r="P2500" s="5" t="str">
        <f t="shared" si="6"/>
        <v>Seattle</v>
      </c>
      <c r="Q2500" s="5" t="str">
        <f t="shared" si="7"/>
        <v>Washington</v>
      </c>
      <c r="R2500" s="5" t="str">
        <f t="shared" si="8"/>
        <v>United States</v>
      </c>
    </row>
    <row r="2501">
      <c r="A2501" s="7" t="s">
        <v>997</v>
      </c>
      <c r="B2501" s="5" t="s">
        <v>996</v>
      </c>
      <c r="C2501" s="5" t="s">
        <v>25</v>
      </c>
      <c r="D2501" s="6" t="s">
        <v>13</v>
      </c>
      <c r="E2501" s="5" t="s">
        <v>994</v>
      </c>
      <c r="F2501" s="5" t="s">
        <v>136</v>
      </c>
      <c r="G2501" s="5" t="s">
        <v>377</v>
      </c>
      <c r="H2501" s="5" t="s">
        <v>378</v>
      </c>
      <c r="I2501" s="5" t="s">
        <v>18</v>
      </c>
      <c r="J2501" s="9" t="str">
        <f>IFERROR(__xludf.DUMMYFUNCTION("""COMPUTED_VALUE"""),"https://www.google.com/search?newwindow=1&amp;ei=2MT0XrvGGM-vytMP1OyDgAY&amp;q=site%3Alinkedin.com+Jennifer+Weeks+Campus+Recruiter+EY")</f>
        <v>https://www.google.com/search?newwindow=1&amp;ei=2MT0XrvGGM-vytMP1OyDgAY&amp;q=site%3Alinkedin.com+Jennifer+Weeks+Campus+Recruiter+EY</v>
      </c>
      <c r="K2501" s="5" t="str">
        <f t="shared" si="1"/>
        <v>Jennifer Weeks</v>
      </c>
      <c r="L2501" s="5" t="str">
        <f t="shared" si="2"/>
        <v>Campus Recruiter</v>
      </c>
      <c r="M2501" s="5" t="str">
        <f t="shared" si="3"/>
        <v> </v>
      </c>
      <c r="N2501" s="5" t="str">
        <f t="shared" si="4"/>
        <v>Ernst &amp; Young</v>
      </c>
      <c r="O2501" s="5" t="str">
        <f t="shared" si="5"/>
        <v>2 years 3 months in role and company</v>
      </c>
      <c r="P2501" s="5" t="str">
        <f t="shared" si="6"/>
        <v>Stafford</v>
      </c>
      <c r="Q2501" s="5" t="str">
        <f t="shared" si="7"/>
        <v>Virginia</v>
      </c>
      <c r="R2501" s="5" t="str">
        <f t="shared" si="8"/>
        <v>United States</v>
      </c>
    </row>
    <row r="2502">
      <c r="A2502" s="7" t="s">
        <v>999</v>
      </c>
      <c r="B2502" s="5" t="s">
        <v>998</v>
      </c>
      <c r="C2502" s="5" t="s">
        <v>47</v>
      </c>
      <c r="D2502" s="6" t="s">
        <v>13</v>
      </c>
      <c r="E2502" s="5" t="s">
        <v>994</v>
      </c>
      <c r="F2502" s="5" t="s">
        <v>455</v>
      </c>
      <c r="G2502" s="5" t="s">
        <v>377</v>
      </c>
      <c r="H2502" s="5" t="s">
        <v>378</v>
      </c>
      <c r="I2502" s="5" t="s">
        <v>18</v>
      </c>
      <c r="J2502" s="9" t="str">
        <f>IFERROR(__xludf.DUMMYFUNCTION("""COMPUTED_VALUE"""),"https://www.google.com/search?newwindow=1&amp;ei=2MT0XrvGGM-vytMP1OyDgAY&amp;q=site%3Alinkedin.com+Jessica+Gruber+Supervising+Associate+-+Campus+Recruiter+EY")</f>
        <v>https://www.google.com/search?newwindow=1&amp;ei=2MT0XrvGGM-vytMP1OyDgAY&amp;q=site%3Alinkedin.com+Jessica+Gruber+Supervising+Associate+-+Campus+Recruiter+EY</v>
      </c>
      <c r="K2502" s="5" t="str">
        <f t="shared" si="1"/>
        <v>Jessica Gruber</v>
      </c>
      <c r="L2502" s="5" t="str">
        <f t="shared" si="2"/>
        <v>Supervising Associate - Campus Recruiter</v>
      </c>
      <c r="M2502" s="5" t="str">
        <f t="shared" si="3"/>
        <v> </v>
      </c>
      <c r="N2502" s="5" t="str">
        <f t="shared" si="4"/>
        <v>Ernst &amp; Young</v>
      </c>
      <c r="O2502" s="5" t="str">
        <f t="shared" si="5"/>
        <v>1 year 1 month in role</v>
      </c>
      <c r="P2502" s="5" t="str">
        <f t="shared" si="6"/>
        <v>Tampa</v>
      </c>
      <c r="Q2502" s="5" t="str">
        <f t="shared" si="7"/>
        <v>Florida</v>
      </c>
      <c r="R2502" s="5" t="str">
        <f t="shared" si="8"/>
        <v>United States</v>
      </c>
    </row>
    <row r="2503">
      <c r="A2503" s="7" t="s">
        <v>1001</v>
      </c>
      <c r="B2503" s="5" t="s">
        <v>1000</v>
      </c>
      <c r="C2503" s="5" t="s">
        <v>25</v>
      </c>
      <c r="D2503" s="6" t="s">
        <v>13</v>
      </c>
      <c r="E2503" s="5" t="s">
        <v>994</v>
      </c>
      <c r="F2503" s="5" t="s">
        <v>222</v>
      </c>
      <c r="G2503" s="5" t="s">
        <v>388</v>
      </c>
      <c r="H2503" s="5" t="s">
        <v>203</v>
      </c>
      <c r="I2503" s="5" t="s">
        <v>18</v>
      </c>
      <c r="J2503" s="9" t="str">
        <f>IFERROR(__xludf.DUMMYFUNCTION("""COMPUTED_VALUE"""),"https://www.google.com/search?newwindow=1&amp;ei=2MT0XrvGGM-vytMP1OyDgAY&amp;q=site%3Alinkedin.com+Joe+Santulli+Campus+Recruiter,+Supervising+Associate+EY")</f>
        <v>https://www.google.com/search?newwindow=1&amp;ei=2MT0XrvGGM-vytMP1OyDgAY&amp;q=site%3Alinkedin.com+Joe+Santulli+Campus+Recruiter,+Supervising+Associate+EY</v>
      </c>
      <c r="K2503" s="5" t="str">
        <f t="shared" si="1"/>
        <v>Joe Santulli</v>
      </c>
      <c r="L2503" s="5" t="str">
        <f t="shared" si="2"/>
        <v>Campus Recruiter, Supervising Associate</v>
      </c>
      <c r="M2503" s="5" t="str">
        <f t="shared" si="3"/>
        <v> </v>
      </c>
      <c r="N2503" s="5" t="str">
        <f t="shared" si="4"/>
        <v>Ernst &amp; Young</v>
      </c>
      <c r="O2503" s="5" t="str">
        <f t="shared" si="5"/>
        <v>4 years 9 months in role and company</v>
      </c>
      <c r="P2503" s="5" t="str">
        <f t="shared" si="6"/>
        <v>Voorhees</v>
      </c>
      <c r="Q2503" s="5" t="str">
        <f t="shared" si="7"/>
        <v>New Jersey</v>
      </c>
      <c r="R2503" s="5" t="str">
        <f t="shared" si="8"/>
        <v>United States</v>
      </c>
    </row>
    <row r="2504">
      <c r="A2504" s="8" t="s">
        <v>1005</v>
      </c>
      <c r="B2504" s="5" t="s">
        <v>1002</v>
      </c>
      <c r="C2504" s="5" t="s">
        <v>1003</v>
      </c>
      <c r="D2504" s="6" t="s">
        <v>13</v>
      </c>
      <c r="E2504" s="5" t="s">
        <v>994</v>
      </c>
      <c r="F2504" s="5" t="s">
        <v>237</v>
      </c>
      <c r="G2504" s="5" t="s">
        <v>1004</v>
      </c>
      <c r="H2504" s="5" t="s">
        <v>378</v>
      </c>
      <c r="I2504" s="5" t="s">
        <v>18</v>
      </c>
      <c r="J2504" s="9" t="str">
        <f>IFERROR(__xludf.DUMMYFUNCTION("""COMPUTED_VALUE"""),"https://www.google.com/search?newwindow=1&amp;ei=2MT0XrvGGM-vytMP1OyDgAY&amp;q=site%3Alinkedin.com+Kelly+Kasenetz+Campus+Recruiting+EY")</f>
        <v>https://www.google.com/search?newwindow=1&amp;ei=2MT0XrvGGM-vytMP1OyDgAY&amp;q=site%3Alinkedin.com+Kelly+Kasenetz+Campus+Recruiting+EY</v>
      </c>
      <c r="K2504" s="5" t="str">
        <f t="shared" si="1"/>
        <v>Kelly Kasenetz</v>
      </c>
      <c r="L2504" s="5" t="str">
        <f t="shared" si="2"/>
        <v>Campus Recruiting</v>
      </c>
      <c r="M2504" s="5" t="str">
        <f t="shared" si="3"/>
        <v> </v>
      </c>
      <c r="N2504" s="5" t="str">
        <f t="shared" si="4"/>
        <v>Ernst &amp; Young</v>
      </c>
      <c r="O2504" s="5" t="str">
        <f t="shared" si="5"/>
        <v>1 year 8 months in role and company</v>
      </c>
      <c r="P2504" s="5" t="str">
        <f t="shared" si="6"/>
        <v>Washington</v>
      </c>
      <c r="Q2504" s="5" t="str">
        <f t="shared" si="7"/>
        <v>District of Columbia</v>
      </c>
      <c r="R2504" s="5" t="str">
        <f t="shared" si="8"/>
        <v>United States</v>
      </c>
    </row>
    <row r="2505">
      <c r="A2505" s="7" t="s">
        <v>1009</v>
      </c>
      <c r="B2505" s="5" t="s">
        <v>1006</v>
      </c>
      <c r="C2505" s="5" t="s">
        <v>110</v>
      </c>
      <c r="D2505" s="6" t="s">
        <v>13</v>
      </c>
      <c r="E2505" s="5" t="s">
        <v>1007</v>
      </c>
      <c r="G2505" s="5" t="s">
        <v>1008</v>
      </c>
      <c r="H2505" s="5" t="s">
        <v>44</v>
      </c>
      <c r="I2505" s="5" t="s">
        <v>18</v>
      </c>
      <c r="J2505" s="9" t="str">
        <f>IFERROR(__xludf.DUMMYFUNCTION("""COMPUTED_VALUE"""),"https://www.google.com/search?newwindow=1&amp;ei=2MT0XrvGGM-vytMP1OyDgAY&amp;q=site%3Alinkedin.com+Sean+Woolford+Supervising+Associate,+Financial+Services+Organization,+Campus+Recruiting+EY")</f>
        <v>https://www.google.com/search?newwindow=1&amp;ei=2MT0XrvGGM-vytMP1OyDgAY&amp;q=site%3Alinkedin.com+Sean+Woolford+Supervising+Associate,+Financial+Services+Organization,+Campus+Recruiting+EY</v>
      </c>
      <c r="K2505" s="5" t="str">
        <f t="shared" si="1"/>
        <v>Sean Woolford</v>
      </c>
      <c r="L2505" s="5" t="str">
        <f t="shared" si="2"/>
        <v>Supervising Associate, Financial Services Organization, Campus Recruiting</v>
      </c>
      <c r="M2505" s="5" t="str">
        <f t="shared" si="3"/>
        <v> </v>
      </c>
      <c r="N2505" s="5" t="str">
        <f t="shared" si="4"/>
        <v>Ernst &amp; Young</v>
      </c>
      <c r="O2505" s="5" t="str">
        <f t="shared" si="5"/>
        <v>1 year 1 month in role</v>
      </c>
      <c r="P2505" s="5" t="str">
        <f t="shared" si="6"/>
        <v>Washington</v>
      </c>
      <c r="Q2505" s="5" t="str">
        <f t="shared" si="7"/>
        <v>District of Columbia</v>
      </c>
      <c r="R2505" s="5" t="str">
        <f t="shared" si="8"/>
        <v>United States</v>
      </c>
    </row>
    <row r="2506">
      <c r="A2506" s="7" t="s">
        <v>1012</v>
      </c>
      <c r="B2506" s="5" t="s">
        <v>1010</v>
      </c>
      <c r="C2506" s="5" t="s">
        <v>1011</v>
      </c>
      <c r="D2506" s="6" t="s">
        <v>13</v>
      </c>
      <c r="E2506" s="5" t="s">
        <v>1007</v>
      </c>
      <c r="F2506" s="5" t="s">
        <v>217</v>
      </c>
      <c r="G2506" s="5" t="s">
        <v>85</v>
      </c>
      <c r="H2506" s="5" t="s">
        <v>86</v>
      </c>
      <c r="I2506" s="5" t="s">
        <v>18</v>
      </c>
      <c r="J2506" s="9" t="str">
        <f>IFERROR(__xludf.DUMMYFUNCTION("""COMPUTED_VALUE"""),"https://www.google.com/search?newwindow=1&amp;ei=2MT0XrvGGM-vytMP1OyDgAY&amp;q=site%3Alinkedin.com+Jacqueline+Jaszczak+Campus+Recruiter,+Talent+Attraction+and+Acquisition+EY")</f>
        <v>https://www.google.com/search?newwindow=1&amp;ei=2MT0XrvGGM-vytMP1OyDgAY&amp;q=site%3Alinkedin.com+Jacqueline+Jaszczak+Campus+Recruiter,+Talent+Attraction+and+Acquisition+EY</v>
      </c>
      <c r="K2506" s="5" t="str">
        <f t="shared" si="1"/>
        <v>Jacqueline Jaszczak</v>
      </c>
      <c r="L2506" s="5" t="str">
        <f t="shared" si="2"/>
        <v>Campus Recruiter, Talent Attraction and Acquisition</v>
      </c>
      <c r="M2506" s="5" t="str">
        <f t="shared" si="3"/>
        <v> </v>
      </c>
      <c r="N2506" s="5" t="str">
        <f t="shared" si="4"/>
        <v>Ernst &amp; Young</v>
      </c>
      <c r="O2506" s="5" t="str">
        <f t="shared" si="5"/>
        <v>2 years 3 months in role and company</v>
      </c>
      <c r="P2506" s="5" t="str">
        <f t="shared" si="6"/>
        <v>Washington</v>
      </c>
      <c r="Q2506" s="5" t="str">
        <f t="shared" si="7"/>
        <v>District of Columbia</v>
      </c>
      <c r="R2506" s="5" t="str">
        <f t="shared" si="8"/>
        <v>United States</v>
      </c>
    </row>
    <row r="2507">
      <c r="A2507" s="8" t="s">
        <v>1014</v>
      </c>
      <c r="B2507" s="5" t="s">
        <v>1013</v>
      </c>
      <c r="C2507" s="5" t="s">
        <v>110</v>
      </c>
      <c r="D2507" s="6" t="s">
        <v>13</v>
      </c>
      <c r="E2507" s="5" t="s">
        <v>1007</v>
      </c>
      <c r="F2507" s="5" t="s">
        <v>345</v>
      </c>
      <c r="G2507" s="5" t="s">
        <v>801</v>
      </c>
      <c r="H2507" s="5" t="s">
        <v>50</v>
      </c>
      <c r="I2507" s="5" t="s">
        <v>18</v>
      </c>
      <c r="J2507" s="9" t="str">
        <f>IFERROR(__xludf.DUMMYFUNCTION("""COMPUTED_VALUE"""),"https://www.google.com/search?newwindow=1&amp;ei=2MT0XrvGGM-vytMP1OyDgAY&amp;q=site%3Alinkedin.com+Sarah+Tegen+Supervising+Associate,+Campus+Recruiting+EY")</f>
        <v>https://www.google.com/search?newwindow=1&amp;ei=2MT0XrvGGM-vytMP1OyDgAY&amp;q=site%3Alinkedin.com+Sarah+Tegen+Supervising+Associate,+Campus+Recruiting+EY</v>
      </c>
      <c r="K2507" s="5" t="str">
        <f t="shared" si="1"/>
        <v>Sarah Tegen</v>
      </c>
      <c r="L2507" s="5" t="str">
        <f t="shared" si="2"/>
        <v>Supervising Associate, Campus Recruiting</v>
      </c>
      <c r="M2507" s="5" t="str">
        <f t="shared" si="3"/>
        <v> </v>
      </c>
      <c r="N2507" s="5" t="str">
        <f t="shared" si="4"/>
        <v>Ernst &amp; Young</v>
      </c>
      <c r="O2507" s="5" t="str">
        <f t="shared" si="5"/>
        <v>2 years 1 month in role</v>
      </c>
      <c r="P2507" s="5" t="str">
        <f t="shared" si="6"/>
        <v>Wilmington</v>
      </c>
      <c r="Q2507" s="5" t="str">
        <f t="shared" si="7"/>
        <v>North Carolina</v>
      </c>
      <c r="R2507" s="5" t="str">
        <f t="shared" si="8"/>
        <v>United States</v>
      </c>
    </row>
    <row r="2508">
      <c r="A2508" s="7" t="s">
        <v>1016</v>
      </c>
      <c r="B2508" s="5" t="s">
        <v>1015</v>
      </c>
      <c r="C2508" s="5" t="s">
        <v>110</v>
      </c>
      <c r="D2508" s="6" t="s">
        <v>13</v>
      </c>
      <c r="E2508" s="5" t="s">
        <v>1007</v>
      </c>
      <c r="F2508" s="5" t="s">
        <v>351</v>
      </c>
      <c r="G2508" s="5" t="s">
        <v>166</v>
      </c>
      <c r="H2508" s="5" t="s">
        <v>44</v>
      </c>
      <c r="I2508" s="5" t="s">
        <v>18</v>
      </c>
      <c r="J2508" s="9" t="str">
        <f>IFERROR(__xludf.DUMMYFUNCTION("""COMPUTED_VALUE"""),"https://www.google.com/search?newwindow=1&amp;ei=2MT0XrvGGM-vytMP1OyDgAY&amp;q=site%3Alinkedin.com+Ali+Reiff+University+Recruiter+Facebook")</f>
        <v>https://www.google.com/search?newwindow=1&amp;ei=2MT0XrvGGM-vytMP1OyDgAY&amp;q=site%3Alinkedin.com+Ali+Reiff+University+Recruiter+Facebook</v>
      </c>
      <c r="K2508" s="5" t="str">
        <f t="shared" si="1"/>
        <v>Ali Reiff</v>
      </c>
      <c r="L2508" s="5" t="str">
        <f t="shared" si="2"/>
        <v>University Recruiter</v>
      </c>
      <c r="M2508" s="5" t="str">
        <f t="shared" si="3"/>
        <v> </v>
      </c>
      <c r="N2508" s="5" t="str">
        <f t="shared" si="4"/>
        <v>Facebook</v>
      </c>
      <c r="O2508" s="5" t="str">
        <f t="shared" si="5"/>
        <v>10 months in role and company</v>
      </c>
      <c r="P2508" s="5" t="str">
        <f t="shared" si="6"/>
        <v>Austin</v>
      </c>
      <c r="Q2508" s="5" t="str">
        <f t="shared" si="7"/>
        <v>Texas</v>
      </c>
      <c r="R2508" s="5" t="str">
        <f t="shared" si="8"/>
        <v>United States</v>
      </c>
    </row>
    <row r="2509">
      <c r="A2509" s="7" t="s">
        <v>1019</v>
      </c>
      <c r="B2509" s="5" t="s">
        <v>1017</v>
      </c>
      <c r="C2509" s="5" t="s">
        <v>110</v>
      </c>
      <c r="D2509" s="6" t="s">
        <v>13</v>
      </c>
      <c r="E2509" s="5" t="s">
        <v>1007</v>
      </c>
      <c r="F2509" s="5" t="s">
        <v>331</v>
      </c>
      <c r="G2509" s="5" t="s">
        <v>1018</v>
      </c>
      <c r="H2509" s="5" t="s">
        <v>203</v>
      </c>
      <c r="I2509" s="5" t="s">
        <v>18</v>
      </c>
      <c r="J2509" s="9" t="str">
        <f>IFERROR(__xludf.DUMMYFUNCTION("""COMPUTED_VALUE"""),"https://www.google.com/search?newwindow=1&amp;ei=2MT0XrvGGM-vytMP1OyDgAY&amp;q=site%3Alinkedin.com+Crystal+Wood+University+Recruiter+Facebook")</f>
        <v>https://www.google.com/search?newwindow=1&amp;ei=2MT0XrvGGM-vytMP1OyDgAY&amp;q=site%3Alinkedin.com+Crystal+Wood+University+Recruiter+Facebook</v>
      </c>
      <c r="K2509" s="5" t="str">
        <f t="shared" si="1"/>
        <v>Crystal Wood</v>
      </c>
      <c r="L2509" s="5" t="str">
        <f t="shared" si="2"/>
        <v>University Recruiter</v>
      </c>
      <c r="M2509" s="5" t="str">
        <f t="shared" si="3"/>
        <v> </v>
      </c>
      <c r="N2509" s="5" t="str">
        <f t="shared" si="4"/>
        <v>Facebook</v>
      </c>
      <c r="O2509" s="5" t="str">
        <f t="shared" si="5"/>
        <v>1 year  in role and company</v>
      </c>
      <c r="P2509" s="5" t="str">
        <f t="shared" si="6"/>
        <v>Boston</v>
      </c>
      <c r="Q2509" s="5" t="str">
        <f t="shared" si="7"/>
        <v>Massachusetts</v>
      </c>
      <c r="R2509" s="5" t="str">
        <f t="shared" si="8"/>
        <v>United States</v>
      </c>
    </row>
    <row r="2510">
      <c r="A2510" s="8" t="s">
        <v>1023</v>
      </c>
      <c r="B2510" s="5" t="s">
        <v>1020</v>
      </c>
      <c r="C2510" s="5" t="s">
        <v>1021</v>
      </c>
      <c r="D2510" s="6" t="s">
        <v>13</v>
      </c>
      <c r="E2510" s="5" t="s">
        <v>1007</v>
      </c>
      <c r="F2510" s="5" t="s">
        <v>268</v>
      </c>
      <c r="G2510" s="5" t="s">
        <v>1022</v>
      </c>
      <c r="H2510" s="5" t="s">
        <v>264</v>
      </c>
      <c r="I2510" s="5" t="s">
        <v>18</v>
      </c>
      <c r="J2510" s="9" t="str">
        <f>IFERROR(__xludf.DUMMYFUNCTION("""COMPUTED_VALUE"""),"https://www.google.com/search?newwindow=1&amp;ei=2MT0XrvGGM-vytMP1OyDgAY&amp;q=site%3Alinkedin.com+Benjamin+Pastor+University+Recruiter+-+Software+Engineering:+MIT+&amp;+Harvard+Facebook")</f>
        <v>https://www.google.com/search?newwindow=1&amp;ei=2MT0XrvGGM-vytMP1OyDgAY&amp;q=site%3Alinkedin.com+Benjamin+Pastor+University+Recruiter+-+Software+Engineering:+MIT+&amp;+Harvard+Facebook</v>
      </c>
      <c r="K2510" s="5" t="str">
        <f t="shared" si="1"/>
        <v>Benjamin Pastor</v>
      </c>
      <c r="L2510" s="5" t="str">
        <f t="shared" si="2"/>
        <v>University Recruiter - Software Engineering: MIT &amp; Harvard</v>
      </c>
      <c r="M2510" s="5" t="str">
        <f t="shared" si="3"/>
        <v> </v>
      </c>
      <c r="N2510" s="5" t="str">
        <f t="shared" si="4"/>
        <v>Facebook</v>
      </c>
      <c r="O2510" s="5" t="str">
        <f t="shared" si="5"/>
        <v>3 years 8 months in role and company</v>
      </c>
      <c r="P2510" s="5" t="str">
        <f t="shared" si="6"/>
        <v>Cambridge</v>
      </c>
      <c r="Q2510" s="5" t="str">
        <f t="shared" si="7"/>
        <v>Massachusetts</v>
      </c>
      <c r="R2510" s="5" t="str">
        <f t="shared" si="8"/>
        <v>United States</v>
      </c>
    </row>
    <row r="2511">
      <c r="A2511" s="7" t="s">
        <v>1026</v>
      </c>
      <c r="B2511" s="5" t="s">
        <v>1020</v>
      </c>
      <c r="C2511" s="5" t="s">
        <v>1024</v>
      </c>
      <c r="D2511" s="6" t="s">
        <v>13</v>
      </c>
      <c r="E2511" s="5" t="s">
        <v>1007</v>
      </c>
      <c r="F2511" s="5" t="s">
        <v>1025</v>
      </c>
      <c r="G2511" s="5" t="s">
        <v>1022</v>
      </c>
      <c r="H2511" s="5" t="s">
        <v>264</v>
      </c>
      <c r="I2511" s="5" t="s">
        <v>18</v>
      </c>
      <c r="J2511" s="9" t="str">
        <f>IFERROR(__xludf.DUMMYFUNCTION("""COMPUTED_VALUE"""),"https://www.google.com/search?newwindow=1&amp;ei=2MT0XrvGGM-vytMP1OyDgAY&amp;q=site%3Alinkedin.com+Sarai+Dennison+University+Recruiter+Facebook")</f>
        <v>https://www.google.com/search?newwindow=1&amp;ei=2MT0XrvGGM-vytMP1OyDgAY&amp;q=site%3Alinkedin.com+Sarai+Dennison+University+Recruiter+Facebook</v>
      </c>
      <c r="K2511" s="5" t="str">
        <f t="shared" si="1"/>
        <v>Sarai Dennison</v>
      </c>
      <c r="L2511" s="5" t="str">
        <f t="shared" si="2"/>
        <v>University Recruiter</v>
      </c>
      <c r="M2511" s="5" t="str">
        <f t="shared" si="3"/>
        <v> </v>
      </c>
      <c r="N2511" s="5" t="str">
        <f t="shared" si="4"/>
        <v>Facebook</v>
      </c>
      <c r="O2511" s="5" t="str">
        <f t="shared" si="5"/>
        <v>3 years 6 months in role and company</v>
      </c>
      <c r="P2511" s="5" t="str">
        <f t="shared" si="6"/>
        <v>Danville</v>
      </c>
      <c r="Q2511" s="5" t="str">
        <f t="shared" si="7"/>
        <v>California</v>
      </c>
      <c r="R2511" s="5" t="str">
        <f t="shared" si="8"/>
        <v>United States</v>
      </c>
    </row>
    <row r="2512">
      <c r="A2512" s="7" t="s">
        <v>1029</v>
      </c>
      <c r="B2512" s="5" t="s">
        <v>1027</v>
      </c>
      <c r="C2512" s="5" t="s">
        <v>1028</v>
      </c>
      <c r="D2512" s="6" t="s">
        <v>13</v>
      </c>
      <c r="E2512" s="5" t="s">
        <v>1007</v>
      </c>
      <c r="F2512" s="5" t="s">
        <v>727</v>
      </c>
      <c r="G2512" s="6" t="s">
        <v>64</v>
      </c>
      <c r="H2512" s="6" t="s">
        <v>65</v>
      </c>
      <c r="I2512" s="5" t="s">
        <v>18</v>
      </c>
      <c r="J2512" s="9" t="str">
        <f>IFERROR(__xludf.DUMMYFUNCTION("""COMPUTED_VALUE"""),"https://www.google.com/search?newwindow=1&amp;ei=2MT0XrvGGM-vytMP1OyDgAY&amp;q=site%3Alinkedin.com+Candice+Simpson+Infrastructure+University+Recruiter+Facebook")</f>
        <v>https://www.google.com/search?newwindow=1&amp;ei=2MT0XrvGGM-vytMP1OyDgAY&amp;q=site%3Alinkedin.com+Candice+Simpson+Infrastructure+University+Recruiter+Facebook</v>
      </c>
      <c r="K2512" s="5" t="str">
        <f t="shared" si="1"/>
        <v>Candice Simpson</v>
      </c>
      <c r="L2512" s="5" t="str">
        <f t="shared" si="2"/>
        <v>Infrastructure University Recruiter</v>
      </c>
      <c r="M2512" s="5" t="str">
        <f t="shared" si="3"/>
        <v> </v>
      </c>
      <c r="N2512" s="5" t="str">
        <f t="shared" si="4"/>
        <v>Facebook</v>
      </c>
      <c r="O2512" s="5" t="str">
        <f t="shared" si="5"/>
        <v>5 years 1 month in role</v>
      </c>
      <c r="P2512" s="5" t="str">
        <f t="shared" si="6"/>
        <v>Los Altos</v>
      </c>
      <c r="Q2512" s="5" t="str">
        <f t="shared" si="7"/>
        <v>California</v>
      </c>
      <c r="R2512" s="5" t="str">
        <f t="shared" si="8"/>
        <v>United States</v>
      </c>
    </row>
    <row r="2513">
      <c r="A2513" s="7" t="s">
        <v>1031</v>
      </c>
      <c r="B2513" s="5" t="s">
        <v>1030</v>
      </c>
      <c r="C2513" s="5" t="s">
        <v>480</v>
      </c>
      <c r="D2513" s="6" t="s">
        <v>13</v>
      </c>
      <c r="E2513" s="5" t="s">
        <v>1007</v>
      </c>
      <c r="G2513" s="5" t="s">
        <v>801</v>
      </c>
      <c r="H2513" s="5" t="s">
        <v>50</v>
      </c>
      <c r="I2513" s="5" t="s">
        <v>18</v>
      </c>
      <c r="J2513" s="9" t="str">
        <f>IFERROR(__xludf.DUMMYFUNCTION("""COMPUTED_VALUE"""),"https://www.google.com/search?newwindow=1&amp;ei=2MT0XrvGGM-vytMP1OyDgAY&amp;q=site%3Alinkedin.com+Chris+Bakes+University+Recruiter,+Artificial+Intelligence+Facebook")</f>
        <v>https://www.google.com/search?newwindow=1&amp;ei=2MT0XrvGGM-vytMP1OyDgAY&amp;q=site%3Alinkedin.com+Chris+Bakes+University+Recruiter,+Artificial+Intelligence+Facebook</v>
      </c>
      <c r="K2513" s="5" t="str">
        <f t="shared" si="1"/>
        <v>Chris Bakes</v>
      </c>
      <c r="L2513" s="5" t="str">
        <f t="shared" si="2"/>
        <v>University Recruiter, Artificial Intelligence</v>
      </c>
      <c r="M2513" s="5" t="str">
        <f t="shared" si="3"/>
        <v> </v>
      </c>
      <c r="N2513" s="5" t="str">
        <f t="shared" si="4"/>
        <v>Facebook</v>
      </c>
      <c r="O2513" s="5" t="str">
        <f t="shared" si="5"/>
        <v>3 years 4 months in role and company</v>
      </c>
      <c r="P2513" s="5" t="str">
        <f t="shared" si="6"/>
        <v>Los Angeles</v>
      </c>
      <c r="Q2513" s="5" t="str">
        <f t="shared" si="7"/>
        <v>California</v>
      </c>
      <c r="R2513" s="5" t="str">
        <f t="shared" si="8"/>
        <v>United States</v>
      </c>
    </row>
    <row r="2514">
      <c r="A2514" s="7" t="s">
        <v>1036</v>
      </c>
      <c r="B2514" s="5" t="s">
        <v>1032</v>
      </c>
      <c r="C2514" s="5" t="s">
        <v>1033</v>
      </c>
      <c r="D2514" s="6" t="s">
        <v>13</v>
      </c>
      <c r="E2514" s="5" t="s">
        <v>1007</v>
      </c>
      <c r="F2514" s="5" t="s">
        <v>1034</v>
      </c>
      <c r="G2514" s="5" t="s">
        <v>1035</v>
      </c>
      <c r="H2514" s="5" t="s">
        <v>38</v>
      </c>
      <c r="I2514" s="5" t="s">
        <v>18</v>
      </c>
      <c r="J2514" s="9" t="str">
        <f>IFERROR(__xludf.DUMMYFUNCTION("""COMPUTED_VALUE"""),"https://www.google.com/search?newwindow=1&amp;ei=2MT0XrvGGM-vytMP1OyDgAY&amp;q=site%3Alinkedin.com+Donnell+Jackson+University+Recruiter+Facebook")</f>
        <v>https://www.google.com/search?newwindow=1&amp;ei=2MT0XrvGGM-vytMP1OyDgAY&amp;q=site%3Alinkedin.com+Donnell+Jackson+University+Recruiter+Facebook</v>
      </c>
      <c r="K2514" s="5" t="str">
        <f t="shared" si="1"/>
        <v>Donnell Jackson</v>
      </c>
      <c r="L2514" s="5" t="str">
        <f t="shared" si="2"/>
        <v>University Recruiter</v>
      </c>
      <c r="M2514" s="5" t="str">
        <f t="shared" si="3"/>
        <v> </v>
      </c>
      <c r="N2514" s="5" t="str">
        <f t="shared" si="4"/>
        <v>Facebook</v>
      </c>
      <c r="O2514" s="5" t="str">
        <f t="shared" si="5"/>
        <v>3 years 1 month in role and company</v>
      </c>
      <c r="P2514" s="5" t="str">
        <f t="shared" si="6"/>
        <v>Los Angeles</v>
      </c>
      <c r="Q2514" s="5" t="str">
        <f t="shared" si="7"/>
        <v>California</v>
      </c>
      <c r="R2514" s="5" t="str">
        <f t="shared" si="8"/>
        <v>United States</v>
      </c>
    </row>
    <row r="2515">
      <c r="A2515" s="8" t="s">
        <v>1038</v>
      </c>
      <c r="B2515" s="5" t="s">
        <v>1037</v>
      </c>
      <c r="C2515" s="5" t="s">
        <v>110</v>
      </c>
      <c r="D2515" s="6" t="s">
        <v>13</v>
      </c>
      <c r="E2515" s="5" t="s">
        <v>1007</v>
      </c>
      <c r="G2515" s="5" t="s">
        <v>169</v>
      </c>
      <c r="H2515" s="5" t="s">
        <v>44</v>
      </c>
      <c r="I2515" s="5" t="s">
        <v>18</v>
      </c>
      <c r="J2515" s="9" t="str">
        <f>IFERROR(__xludf.DUMMYFUNCTION("""COMPUTED_VALUE"""),"https://www.google.com/search?newwindow=1&amp;ei=2MT0XrvGGM-vytMP1OyDgAY&amp;q=site%3Alinkedin.com+Jenna+Satterfield+University+Programs+Manager+Facebook")</f>
        <v>https://www.google.com/search?newwindow=1&amp;ei=2MT0XrvGGM-vytMP1OyDgAY&amp;q=site%3Alinkedin.com+Jenna+Satterfield+University+Programs+Manager+Facebook</v>
      </c>
      <c r="K2515" s="5" t="str">
        <f t="shared" si="1"/>
        <v>Jenna Satterfield</v>
      </c>
      <c r="L2515" s="5" t="str">
        <f t="shared" si="2"/>
        <v>University Programs Manager</v>
      </c>
      <c r="M2515" s="5" t="str">
        <f t="shared" si="3"/>
        <v> </v>
      </c>
      <c r="N2515" s="5" t="str">
        <f t="shared" si="4"/>
        <v>Facebook</v>
      </c>
      <c r="O2515" s="5" t="str">
        <f t="shared" si="5"/>
        <v>3 years 6 months in role</v>
      </c>
      <c r="P2515" s="5" t="str">
        <f t="shared" si="6"/>
        <v>Menlo Park</v>
      </c>
      <c r="Q2515" s="5" t="str">
        <f t="shared" si="7"/>
        <v>California</v>
      </c>
      <c r="R2515" s="5" t="str">
        <f t="shared" si="8"/>
        <v>United States</v>
      </c>
    </row>
    <row r="2516">
      <c r="A2516" s="8" t="s">
        <v>1041</v>
      </c>
      <c r="B2516" s="5" t="s">
        <v>1039</v>
      </c>
      <c r="C2516" s="5" t="s">
        <v>480</v>
      </c>
      <c r="D2516" s="6" t="s">
        <v>13</v>
      </c>
      <c r="E2516" s="5" t="s">
        <v>1007</v>
      </c>
      <c r="G2516" s="5" t="s">
        <v>1040</v>
      </c>
      <c r="H2516" s="5" t="s">
        <v>50</v>
      </c>
      <c r="I2516" s="5" t="s">
        <v>18</v>
      </c>
      <c r="J2516" s="9" t="str">
        <f>IFERROR(__xludf.DUMMYFUNCTION("""COMPUTED_VALUE"""),"https://www.google.com/search?newwindow=1&amp;ei=2MT0XrvGGM-vytMP1OyDgAY&amp;q=site%3Alinkedin.com+Sarah+Johnson+University+Recruiter+at+Facebook+Facebook")</f>
        <v>https://www.google.com/search?newwindow=1&amp;ei=2MT0XrvGGM-vytMP1OyDgAY&amp;q=site%3Alinkedin.com+Sarah+Johnson+University+Recruiter+at+Facebook+Facebook</v>
      </c>
      <c r="K2516" s="5" t="str">
        <f t="shared" si="1"/>
        <v>Sarah Johnson</v>
      </c>
      <c r="L2516" s="5" t="str">
        <f t="shared" si="2"/>
        <v>University Recruiter at Facebook</v>
      </c>
      <c r="M2516" s="5" t="str">
        <f t="shared" si="3"/>
        <v> </v>
      </c>
      <c r="N2516" s="5" t="str">
        <f t="shared" si="4"/>
        <v>Facebook</v>
      </c>
      <c r="O2516" s="5" t="str">
        <f t="shared" si="5"/>
        <v>3 years 2 months in role and company</v>
      </c>
      <c r="P2516" s="5" t="str">
        <f t="shared" si="6"/>
        <v>Menlo Park</v>
      </c>
      <c r="Q2516" s="5" t="str">
        <f t="shared" si="7"/>
        <v>California</v>
      </c>
      <c r="R2516" s="5" t="str">
        <f t="shared" si="8"/>
        <v>United States</v>
      </c>
    </row>
    <row r="2517">
      <c r="A2517" s="7" t="s">
        <v>1044</v>
      </c>
      <c r="B2517" s="5" t="s">
        <v>1042</v>
      </c>
      <c r="C2517" s="5" t="s">
        <v>25</v>
      </c>
      <c r="D2517" s="6" t="s">
        <v>13</v>
      </c>
      <c r="E2517" s="5" t="s">
        <v>1043</v>
      </c>
      <c r="F2517" s="5" t="s">
        <v>512</v>
      </c>
      <c r="G2517" s="5" t="s">
        <v>64</v>
      </c>
      <c r="H2517" s="5" t="s">
        <v>65</v>
      </c>
      <c r="I2517" s="5" t="s">
        <v>18</v>
      </c>
      <c r="J2517" s="9" t="str">
        <f>IFERROR(__xludf.DUMMYFUNCTION("""COMPUTED_VALUE"""),"https://www.google.com/search?newwindow=1&amp;ei=2MT0XrvGGM-vytMP1OyDgAY&amp;q=site%3Alinkedin.com+Adam+D.+Harrison,+MHRLR+University+Recruiter+Facebook")</f>
        <v>https://www.google.com/search?newwindow=1&amp;ei=2MT0XrvGGM-vytMP1OyDgAY&amp;q=site%3Alinkedin.com+Adam+D.+Harrison,+MHRLR+University+Recruiter+Facebook</v>
      </c>
      <c r="K2517" s="5" t="str">
        <f t="shared" si="1"/>
        <v>Adam D. Harrison, MHRLR</v>
      </c>
      <c r="L2517" s="5" t="str">
        <f t="shared" si="2"/>
        <v>University Recruiter</v>
      </c>
      <c r="M2517" s="5" t="str">
        <f t="shared" si="3"/>
        <v> </v>
      </c>
      <c r="N2517" s="5" t="str">
        <f t="shared" si="4"/>
        <v>Facebook</v>
      </c>
      <c r="O2517" s="5" t="str">
        <f t="shared" si="5"/>
        <v>5 months in role and company</v>
      </c>
      <c r="P2517" s="5" t="str">
        <f t="shared" si="6"/>
        <v>Milwaukee</v>
      </c>
      <c r="Q2517" s="5" t="str">
        <f t="shared" si="7"/>
        <v>Wisconsin</v>
      </c>
      <c r="R2517" s="5" t="str">
        <f t="shared" si="8"/>
        <v>United States</v>
      </c>
    </row>
    <row r="2518">
      <c r="A2518" s="7" t="s">
        <v>1046</v>
      </c>
      <c r="B2518" s="5" t="s">
        <v>1045</v>
      </c>
      <c r="C2518" s="5" t="s">
        <v>371</v>
      </c>
      <c r="D2518" s="6" t="s">
        <v>13</v>
      </c>
      <c r="E2518" s="5" t="s">
        <v>1043</v>
      </c>
      <c r="F2518" s="5" t="s">
        <v>182</v>
      </c>
      <c r="G2518" s="6" t="s">
        <v>64</v>
      </c>
      <c r="H2518" s="6" t="s">
        <v>65</v>
      </c>
      <c r="I2518" s="5" t="s">
        <v>18</v>
      </c>
      <c r="J2518" s="9" t="str">
        <f>IFERROR(__xludf.DUMMYFUNCTION("""COMPUTED_VALUE"""),"https://www.google.com/search?newwindow=1&amp;ei=2MT0XrvGGM-vytMP1OyDgAY&amp;q=site%3Alinkedin.com+Sarah+Bochner+University+Recruiter,+Design+Facebook")</f>
        <v>https://www.google.com/search?newwindow=1&amp;ei=2MT0XrvGGM-vytMP1OyDgAY&amp;q=site%3Alinkedin.com+Sarah+Bochner+University+Recruiter,+Design+Facebook</v>
      </c>
      <c r="K2518" s="5" t="str">
        <f t="shared" si="1"/>
        <v>Sarah Bochner</v>
      </c>
      <c r="L2518" s="5" t="str">
        <f t="shared" si="2"/>
        <v>University Recruiter, Design</v>
      </c>
      <c r="M2518" s="5" t="str">
        <f t="shared" si="3"/>
        <v> </v>
      </c>
      <c r="N2518" s="5" t="str">
        <f t="shared" si="4"/>
        <v>Facebook</v>
      </c>
      <c r="O2518" s="5" t="str">
        <f t="shared" si="5"/>
        <v>7 months in role and company</v>
      </c>
      <c r="P2518" s="5" t="str">
        <f t="shared" si="6"/>
        <v>Mountain View</v>
      </c>
      <c r="Q2518" s="5" t="str">
        <f t="shared" si="7"/>
        <v>California</v>
      </c>
      <c r="R2518" s="5" t="str">
        <f t="shared" si="8"/>
        <v>United States</v>
      </c>
    </row>
    <row r="2519">
      <c r="A2519" s="7" t="s">
        <v>1049</v>
      </c>
      <c r="B2519" s="5" t="s">
        <v>1047</v>
      </c>
      <c r="C2519" s="5" t="s">
        <v>1048</v>
      </c>
      <c r="D2519" s="6" t="s">
        <v>13</v>
      </c>
      <c r="E2519" s="5" t="s">
        <v>1043</v>
      </c>
      <c r="F2519" s="5" t="s">
        <v>74</v>
      </c>
      <c r="G2519" s="6" t="s">
        <v>64</v>
      </c>
      <c r="H2519" s="6" t="s">
        <v>65</v>
      </c>
      <c r="I2519" s="5" t="s">
        <v>18</v>
      </c>
      <c r="J2519" s="9" t="str">
        <f>IFERROR(__xludf.DUMMYFUNCTION("""COMPUTED_VALUE"""),"https://www.google.com/search?newwindow=1&amp;ei=2MT0XrvGGM-vytMP1OyDgAY&amp;q=site%3Alinkedin.com+Meagan+Harn+University+Recruiter,+Product+Analytics+Facebook")</f>
        <v>https://www.google.com/search?newwindow=1&amp;ei=2MT0XrvGGM-vytMP1OyDgAY&amp;q=site%3Alinkedin.com+Meagan+Harn+University+Recruiter,+Product+Analytics+Facebook</v>
      </c>
      <c r="K2519" s="5" t="str">
        <f t="shared" si="1"/>
        <v>Meagan Harn</v>
      </c>
      <c r="L2519" s="5" t="str">
        <f t="shared" si="2"/>
        <v>University Recruiter, Product Analytics</v>
      </c>
      <c r="M2519" s="5" t="str">
        <f t="shared" si="3"/>
        <v> </v>
      </c>
      <c r="N2519" s="5" t="str">
        <f t="shared" si="4"/>
        <v>Facebook</v>
      </c>
      <c r="O2519" s="5" t="str">
        <f t="shared" si="5"/>
        <v>2 years 7 months in role and company</v>
      </c>
      <c r="P2519" s="5" t="str">
        <f t="shared" si="6"/>
        <v>Mountain View</v>
      </c>
      <c r="Q2519" s="5" t="str">
        <f t="shared" si="7"/>
        <v>California</v>
      </c>
      <c r="R2519" s="5" t="str">
        <f t="shared" si="8"/>
        <v>United States</v>
      </c>
    </row>
    <row r="2520">
      <c r="A2520" s="8" t="s">
        <v>1052</v>
      </c>
      <c r="B2520" s="5" t="s">
        <v>1050</v>
      </c>
      <c r="C2520" s="5" t="s">
        <v>1051</v>
      </c>
      <c r="D2520" s="6" t="s">
        <v>13</v>
      </c>
      <c r="E2520" s="5" t="s">
        <v>1043</v>
      </c>
      <c r="F2520" s="5" t="s">
        <v>79</v>
      </c>
      <c r="G2520" s="5" t="s">
        <v>137</v>
      </c>
      <c r="H2520" s="5" t="s">
        <v>137</v>
      </c>
      <c r="I2520" s="5" t="s">
        <v>18</v>
      </c>
      <c r="J2520" s="9" t="str">
        <f>IFERROR(__xludf.DUMMYFUNCTION("""COMPUTED_VALUE"""),"https://www.google.com/search?newwindow=1&amp;ei=2MT0XrvGGM-vytMP1OyDgAY&amp;q=site%3Alinkedin.com+Cecil+Johnson+University+Recruiter,+Diversity+Facebook")</f>
        <v>https://www.google.com/search?newwindow=1&amp;ei=2MT0XrvGGM-vytMP1OyDgAY&amp;q=site%3Alinkedin.com+Cecil+Johnson+University+Recruiter,+Diversity+Facebook</v>
      </c>
      <c r="K2520" s="5" t="str">
        <f t="shared" si="1"/>
        <v>Cecil Johnson</v>
      </c>
      <c r="L2520" s="5" t="str">
        <f t="shared" si="2"/>
        <v>University Recruiter, Diversity</v>
      </c>
      <c r="M2520" s="5" t="str">
        <f t="shared" si="3"/>
        <v> </v>
      </c>
      <c r="N2520" s="5" t="str">
        <f t="shared" si="4"/>
        <v>Facebook</v>
      </c>
      <c r="O2520" s="5" t="str">
        <f t="shared" si="5"/>
        <v>9 months in role</v>
      </c>
      <c r="P2520" s="5" t="str">
        <f t="shared" si="6"/>
        <v>New York</v>
      </c>
      <c r="Q2520" s="5" t="str">
        <f t="shared" si="7"/>
        <v>New York</v>
      </c>
      <c r="R2520" s="5" t="str">
        <f t="shared" si="8"/>
        <v>United States</v>
      </c>
    </row>
    <row r="2521">
      <c r="A2521" s="7" t="s">
        <v>1054</v>
      </c>
      <c r="B2521" s="5" t="s">
        <v>1053</v>
      </c>
      <c r="C2521" s="5" t="s">
        <v>25</v>
      </c>
      <c r="D2521" s="6" t="s">
        <v>13</v>
      </c>
      <c r="E2521" s="5" t="s">
        <v>1043</v>
      </c>
      <c r="F2521" s="5" t="s">
        <v>15</v>
      </c>
      <c r="G2521" s="5" t="s">
        <v>137</v>
      </c>
      <c r="H2521" s="5" t="s">
        <v>137</v>
      </c>
      <c r="I2521" s="5" t="s">
        <v>18</v>
      </c>
      <c r="J2521" s="9" t="str">
        <f>IFERROR(__xludf.DUMMYFUNCTION("""COMPUTED_VALUE"""),"https://www.google.com/search?newwindow=1&amp;ei=2MT0XrvGGM-vytMP1OyDgAY&amp;q=site%3Alinkedin.com+Jessica+Kornstein+University+Recruiter+Facebook")</f>
        <v>https://www.google.com/search?newwindow=1&amp;ei=2MT0XrvGGM-vytMP1OyDgAY&amp;q=site%3Alinkedin.com+Jessica+Kornstein+University+Recruiter+Facebook</v>
      </c>
      <c r="K2521" s="5" t="str">
        <f t="shared" si="1"/>
        <v>Jessica Kornstein</v>
      </c>
      <c r="L2521" s="5" t="str">
        <f t="shared" si="2"/>
        <v>University Recruiter</v>
      </c>
      <c r="M2521" s="5" t="str">
        <f t="shared" si="3"/>
        <v> </v>
      </c>
      <c r="N2521" s="5" t="str">
        <f t="shared" si="4"/>
        <v>Facebook</v>
      </c>
      <c r="O2521" s="5" t="str">
        <f t="shared" si="5"/>
        <v>3 years  in role</v>
      </c>
      <c r="P2521" s="5" t="str">
        <f t="shared" si="6"/>
        <v>New York</v>
      </c>
      <c r="Q2521" s="5" t="str">
        <f t="shared" si="7"/>
        <v>New York</v>
      </c>
      <c r="R2521" s="5" t="str">
        <f t="shared" si="8"/>
        <v>United States</v>
      </c>
    </row>
    <row r="2522">
      <c r="A2522" s="7" t="s">
        <v>1056</v>
      </c>
      <c r="B2522" s="5" t="s">
        <v>1055</v>
      </c>
      <c r="C2522" s="5" t="s">
        <v>25</v>
      </c>
      <c r="D2522" s="6" t="s">
        <v>13</v>
      </c>
      <c r="E2522" s="5" t="s">
        <v>1043</v>
      </c>
      <c r="F2522" s="5" t="s">
        <v>165</v>
      </c>
      <c r="G2522" s="5" t="s">
        <v>137</v>
      </c>
      <c r="H2522" s="5" t="s">
        <v>137</v>
      </c>
      <c r="I2522" s="5" t="s">
        <v>18</v>
      </c>
      <c r="J2522" s="9" t="str">
        <f>IFERROR(__xludf.DUMMYFUNCTION("""COMPUTED_VALUE"""),"https://www.google.com/search?newwindow=1&amp;ei=2MT0XrvGGM-vytMP1OyDgAY&amp;q=site%3Alinkedin.com+Jessica+Y.+University+Recruiter+Facebook")</f>
        <v>https://www.google.com/search?newwindow=1&amp;ei=2MT0XrvGGM-vytMP1OyDgAY&amp;q=site%3Alinkedin.com+Jessica+Y.+University+Recruiter+Facebook</v>
      </c>
      <c r="K2522" s="5" t="str">
        <f t="shared" si="1"/>
        <v>Jessica Y.</v>
      </c>
      <c r="L2522" s="5" t="str">
        <f t="shared" si="2"/>
        <v>University Recruiter</v>
      </c>
      <c r="M2522" s="5" t="str">
        <f t="shared" si="3"/>
        <v> </v>
      </c>
      <c r="N2522" s="5" t="str">
        <f t="shared" si="4"/>
        <v>Facebook</v>
      </c>
      <c r="O2522" s="5" t="str">
        <f t="shared" si="5"/>
        <v>3 years 5 months in role</v>
      </c>
      <c r="P2522" s="5" t="str">
        <f t="shared" si="6"/>
        <v>New York</v>
      </c>
      <c r="Q2522" s="5" t="str">
        <f t="shared" si="7"/>
        <v>New York</v>
      </c>
      <c r="R2522" s="5" t="str">
        <f t="shared" si="8"/>
        <v>United States</v>
      </c>
    </row>
    <row r="2523">
      <c r="A2523" s="7" t="s">
        <v>1058</v>
      </c>
      <c r="B2523" s="5" t="s">
        <v>1057</v>
      </c>
      <c r="C2523" s="5" t="s">
        <v>25</v>
      </c>
      <c r="D2523" s="6" t="s">
        <v>13</v>
      </c>
      <c r="E2523" s="5" t="s">
        <v>1043</v>
      </c>
      <c r="F2523" s="5" t="s">
        <v>79</v>
      </c>
      <c r="G2523" s="5" t="s">
        <v>137</v>
      </c>
      <c r="H2523" s="5" t="s">
        <v>137</v>
      </c>
      <c r="I2523" s="5" t="s">
        <v>18</v>
      </c>
      <c r="J2523" s="9" t="str">
        <f>IFERROR(__xludf.DUMMYFUNCTION("""COMPUTED_VALUE"""),"https://www.google.com/search?newwindow=1&amp;ei=2MT0XrvGGM-vytMP1OyDgAY&amp;q=site%3Alinkedin.com+Rima+Akras+University+Recruiter+Facebook")</f>
        <v>https://www.google.com/search?newwindow=1&amp;ei=2MT0XrvGGM-vytMP1OyDgAY&amp;q=site%3Alinkedin.com+Rima+Akras+University+Recruiter+Facebook</v>
      </c>
      <c r="K2523" s="5" t="str">
        <f t="shared" si="1"/>
        <v>Rima Akras</v>
      </c>
      <c r="L2523" s="5" t="str">
        <f t="shared" si="2"/>
        <v>University Recruiter</v>
      </c>
      <c r="M2523" s="5" t="str">
        <f t="shared" si="3"/>
        <v> </v>
      </c>
      <c r="N2523" s="5" t="str">
        <f t="shared" si="4"/>
        <v>Facebook</v>
      </c>
      <c r="O2523" s="5" t="str">
        <f t="shared" si="5"/>
        <v>2 years 8 months in role and company</v>
      </c>
      <c r="P2523" s="5" t="str">
        <f t="shared" si="6"/>
        <v>New York</v>
      </c>
      <c r="Q2523" s="5" t="str">
        <f t="shared" si="7"/>
        <v>New York</v>
      </c>
      <c r="R2523" s="5" t="str">
        <f t="shared" si="8"/>
        <v>United States</v>
      </c>
    </row>
    <row r="2524">
      <c r="A2524" s="7" t="s">
        <v>1060</v>
      </c>
      <c r="B2524" s="5" t="s">
        <v>1059</v>
      </c>
      <c r="C2524" s="5" t="s">
        <v>25</v>
      </c>
      <c r="D2524" s="6" t="s">
        <v>13</v>
      </c>
      <c r="E2524" s="5" t="s">
        <v>1043</v>
      </c>
      <c r="F2524" s="5" t="s">
        <v>734</v>
      </c>
      <c r="G2524" s="6" t="s">
        <v>64</v>
      </c>
      <c r="H2524" s="6" t="s">
        <v>65</v>
      </c>
      <c r="I2524" s="5" t="s">
        <v>18</v>
      </c>
      <c r="J2524" s="9" t="str">
        <f>IFERROR(__xludf.DUMMYFUNCTION("""COMPUTED_VALUE"""),"https://www.google.com/search?newwindow=1&amp;ei=2MT0XrvGGM-vytMP1OyDgAY&amp;q=site%3Alinkedin.com+Emily+Nagele+University+Recruiter+-+SWE+Facebook")</f>
        <v>https://www.google.com/search?newwindow=1&amp;ei=2MT0XrvGGM-vytMP1OyDgAY&amp;q=site%3Alinkedin.com+Emily+Nagele+University+Recruiter+-+SWE+Facebook</v>
      </c>
      <c r="K2524" s="5" t="str">
        <f t="shared" si="1"/>
        <v>Emily Nagele</v>
      </c>
      <c r="L2524" s="5" t="str">
        <f t="shared" si="2"/>
        <v>University Recruiter - SWE</v>
      </c>
      <c r="M2524" s="5" t="str">
        <f t="shared" si="3"/>
        <v> </v>
      </c>
      <c r="N2524" s="5" t="str">
        <f t="shared" si="4"/>
        <v>Facebook</v>
      </c>
      <c r="O2524" s="5" t="str">
        <f t="shared" si="5"/>
        <v>2 years 3 months in role and company</v>
      </c>
      <c r="P2524" s="5" t="str">
        <f t="shared" si="6"/>
        <v>New York</v>
      </c>
      <c r="Q2524" s="5" t="str">
        <f t="shared" si="7"/>
        <v>New York</v>
      </c>
      <c r="R2524" s="5" t="str">
        <f t="shared" si="8"/>
        <v>United States</v>
      </c>
    </row>
    <row r="2525">
      <c r="A2525" s="7" t="s">
        <v>1062</v>
      </c>
      <c r="B2525" s="5" t="s">
        <v>1061</v>
      </c>
      <c r="C2525" s="5" t="s">
        <v>1048</v>
      </c>
      <c r="D2525" s="6" t="s">
        <v>13</v>
      </c>
      <c r="E2525" s="5" t="s">
        <v>1043</v>
      </c>
      <c r="F2525" s="5" t="s">
        <v>734</v>
      </c>
      <c r="G2525" s="6" t="s">
        <v>64</v>
      </c>
      <c r="H2525" s="6" t="s">
        <v>65</v>
      </c>
      <c r="I2525" s="5" t="s">
        <v>18</v>
      </c>
      <c r="J2525" s="9" t="str">
        <f>IFERROR(__xludf.DUMMYFUNCTION("""COMPUTED_VALUE"""),"https://www.google.com/search?newwindow=1&amp;ei=2MT0XrvGGM-vytMP1OyDgAY&amp;q=site%3Alinkedin.com+Danielle+Buchenot+University+Recruiter+Facebook")</f>
        <v>https://www.google.com/search?newwindow=1&amp;ei=2MT0XrvGGM-vytMP1OyDgAY&amp;q=site%3Alinkedin.com+Danielle+Buchenot+University+Recruiter+Facebook</v>
      </c>
      <c r="K2525" s="5" t="str">
        <f t="shared" si="1"/>
        <v>Danielle Buchenot</v>
      </c>
      <c r="L2525" s="5" t="str">
        <f t="shared" si="2"/>
        <v>University Recruiter</v>
      </c>
      <c r="M2525" s="5" t="str">
        <f t="shared" si="3"/>
        <v> </v>
      </c>
      <c r="N2525" s="5" t="str">
        <f t="shared" si="4"/>
        <v>Facebook</v>
      </c>
      <c r="O2525" s="5" t="str">
        <f t="shared" si="5"/>
        <v>1 year 7 months in role and company</v>
      </c>
      <c r="P2525" s="5" t="str">
        <f t="shared" si="6"/>
        <v>New York</v>
      </c>
      <c r="Q2525" s="5" t="str">
        <f t="shared" si="7"/>
        <v>New York</v>
      </c>
      <c r="R2525" s="5" t="str">
        <f t="shared" si="8"/>
        <v>United States</v>
      </c>
    </row>
    <row r="2526">
      <c r="A2526" s="7" t="s">
        <v>1066</v>
      </c>
      <c r="B2526" s="5" t="s">
        <v>1063</v>
      </c>
      <c r="C2526" s="5" t="s">
        <v>25</v>
      </c>
      <c r="D2526" s="6" t="s">
        <v>13</v>
      </c>
      <c r="E2526" s="5" t="s">
        <v>1064</v>
      </c>
      <c r="F2526" s="5" t="s">
        <v>1065</v>
      </c>
      <c r="G2526" s="5" t="s">
        <v>16</v>
      </c>
      <c r="H2526" s="5" t="s">
        <v>17</v>
      </c>
      <c r="I2526" s="5" t="s">
        <v>18</v>
      </c>
      <c r="J2526" s="9" t="str">
        <f>IFERROR(__xludf.DUMMYFUNCTION("""COMPUTED_VALUE"""),"https://www.google.com/search?newwindow=1&amp;ei=2MT0XrvGGM-vytMP1OyDgAY&amp;q=site%3Alinkedin.com+Elizabeth+W.+Campus+Recruiter+Facebook")</f>
        <v>https://www.google.com/search?newwindow=1&amp;ei=2MT0XrvGGM-vytMP1OyDgAY&amp;q=site%3Alinkedin.com+Elizabeth+W.+Campus+Recruiter+Facebook</v>
      </c>
      <c r="K2526" s="5" t="str">
        <f t="shared" si="1"/>
        <v>Elizabeth W.</v>
      </c>
      <c r="L2526" s="5" t="str">
        <f t="shared" si="2"/>
        <v>Campus Recruiter</v>
      </c>
      <c r="M2526" s="5" t="str">
        <f t="shared" si="3"/>
        <v> </v>
      </c>
      <c r="N2526" s="5" t="str">
        <f t="shared" si="4"/>
        <v>Facebook</v>
      </c>
      <c r="O2526" s="5" t="str">
        <f t="shared" si="5"/>
        <v>4 years 6 months in role and company</v>
      </c>
      <c r="P2526" s="5" t="str">
        <f t="shared" si="6"/>
        <v>Omaha</v>
      </c>
      <c r="Q2526" s="5" t="str">
        <f t="shared" si="7"/>
        <v>Nebraska</v>
      </c>
      <c r="R2526" s="5" t="str">
        <f t="shared" si="8"/>
        <v>United States</v>
      </c>
    </row>
    <row r="2527">
      <c r="A2527" s="7" t="s">
        <v>1070</v>
      </c>
      <c r="B2527" s="5" t="s">
        <v>1067</v>
      </c>
      <c r="C2527" s="5" t="s">
        <v>371</v>
      </c>
      <c r="D2527" s="6" t="s">
        <v>13</v>
      </c>
      <c r="E2527" s="5" t="s">
        <v>1064</v>
      </c>
      <c r="F2527" s="5" t="s">
        <v>1068</v>
      </c>
      <c r="G2527" s="5" t="s">
        <v>1069</v>
      </c>
      <c r="H2527" s="5" t="s">
        <v>96</v>
      </c>
      <c r="I2527" s="5" t="s">
        <v>18</v>
      </c>
      <c r="J2527" s="9" t="str">
        <f>IFERROR(__xludf.DUMMYFUNCTION("""COMPUTED_VALUE"""),"https://www.google.com/search?newwindow=1&amp;ei=2MT0XrvGGM-vytMP1OyDgAY&amp;q=site%3Alinkedin.com+Hillary+S.+University+Recruiter+(Software+Engineering)+Facebook")</f>
        <v>https://www.google.com/search?newwindow=1&amp;ei=2MT0XrvGGM-vytMP1OyDgAY&amp;q=site%3Alinkedin.com+Hillary+S.+University+Recruiter+(Software+Engineering)+Facebook</v>
      </c>
      <c r="K2527" s="5" t="str">
        <f t="shared" si="1"/>
        <v>Hillary S.</v>
      </c>
      <c r="L2527" s="5" t="str">
        <f t="shared" si="2"/>
        <v>University Recruiter (Software Engineering)</v>
      </c>
      <c r="M2527" s="5" t="str">
        <f t="shared" si="3"/>
        <v> </v>
      </c>
      <c r="N2527" s="5" t="str">
        <f t="shared" si="4"/>
        <v>Facebook</v>
      </c>
      <c r="O2527" s="5" t="str">
        <f t="shared" si="5"/>
        <v>1 year  in role</v>
      </c>
      <c r="P2527" s="5" t="str">
        <f t="shared" si="6"/>
        <v>Palo Alto</v>
      </c>
      <c r="Q2527" s="5" t="str">
        <f t="shared" si="7"/>
        <v>California</v>
      </c>
      <c r="R2527" s="5" t="str">
        <f t="shared" si="8"/>
        <v>United States</v>
      </c>
    </row>
    <row r="2528">
      <c r="A2528" s="7" t="s">
        <v>1072</v>
      </c>
      <c r="B2528" s="5" t="s">
        <v>1071</v>
      </c>
      <c r="C2528" s="5" t="s">
        <v>25</v>
      </c>
      <c r="D2528" s="6" t="s">
        <v>13</v>
      </c>
      <c r="E2528" s="5" t="s">
        <v>1064</v>
      </c>
      <c r="F2528" s="5" t="s">
        <v>430</v>
      </c>
      <c r="G2528" s="6" t="s">
        <v>64</v>
      </c>
      <c r="H2528" s="6" t="s">
        <v>65</v>
      </c>
      <c r="I2528" s="5" t="s">
        <v>18</v>
      </c>
      <c r="J2528" s="9" t="str">
        <f>IFERROR(__xludf.DUMMYFUNCTION("""COMPUTED_VALUE"""),"https://www.google.com/search?newwindow=1&amp;ei=2MT0XrvGGM-vytMP1OyDgAY&amp;q=site%3Alinkedin.com+Alfonso+Avila+University+Recruiter-Software+Engineering+West+Facebook")</f>
        <v>https://www.google.com/search?newwindow=1&amp;ei=2MT0XrvGGM-vytMP1OyDgAY&amp;q=site%3Alinkedin.com+Alfonso+Avila+University+Recruiter-Software+Engineering+West+Facebook</v>
      </c>
      <c r="K2528" s="5" t="str">
        <f t="shared" si="1"/>
        <v>Alfonso Avila</v>
      </c>
      <c r="L2528" s="5" t="str">
        <f t="shared" si="2"/>
        <v>University Recruiter-Software Engineering West</v>
      </c>
      <c r="M2528" s="5" t="str">
        <f t="shared" si="3"/>
        <v> </v>
      </c>
      <c r="N2528" s="5" t="str">
        <f t="shared" si="4"/>
        <v>Facebook</v>
      </c>
      <c r="O2528" s="5" t="str">
        <f t="shared" si="5"/>
        <v>3 years 2 months in role and company</v>
      </c>
      <c r="P2528" s="5" t="str">
        <f t="shared" si="6"/>
        <v>Redwood City</v>
      </c>
      <c r="Q2528" s="5" t="str">
        <f t="shared" si="7"/>
        <v>California</v>
      </c>
      <c r="R2528" s="5" t="str">
        <f t="shared" si="8"/>
        <v>United States</v>
      </c>
    </row>
    <row r="2529">
      <c r="A2529" s="7" t="s">
        <v>1074</v>
      </c>
      <c r="B2529" s="5" t="s">
        <v>1073</v>
      </c>
      <c r="C2529" s="5" t="s">
        <v>25</v>
      </c>
      <c r="D2529" s="6" t="s">
        <v>13</v>
      </c>
      <c r="E2529" s="5" t="s">
        <v>1064</v>
      </c>
      <c r="F2529" s="5" t="s">
        <v>500</v>
      </c>
      <c r="G2529" s="5" t="s">
        <v>80</v>
      </c>
      <c r="H2529" s="5" t="s">
        <v>38</v>
      </c>
      <c r="I2529" s="5" t="s">
        <v>18</v>
      </c>
      <c r="J2529" s="9" t="str">
        <f>IFERROR(__xludf.DUMMYFUNCTION("""COMPUTED_VALUE"""),"https://www.google.com/search?newwindow=1&amp;ei=2MT0XrvGGM-vytMP1OyDgAY&amp;q=site%3Alinkedin.com+Amal+S.+Diversity+Recruiter,+University+Recruiting+Facebook")</f>
        <v>https://www.google.com/search?newwindow=1&amp;ei=2MT0XrvGGM-vytMP1OyDgAY&amp;q=site%3Alinkedin.com+Amal+S.+Diversity+Recruiter,+University+Recruiting+Facebook</v>
      </c>
      <c r="K2529" s="5" t="str">
        <f t="shared" si="1"/>
        <v>Amal S.</v>
      </c>
      <c r="L2529" s="5" t="str">
        <f t="shared" si="2"/>
        <v>Diversity Recruiter, University Recruiting</v>
      </c>
      <c r="M2529" s="5" t="str">
        <f t="shared" si="3"/>
        <v> </v>
      </c>
      <c r="N2529" s="5" t="str">
        <f t="shared" si="4"/>
        <v>Facebook</v>
      </c>
      <c r="O2529" s="5" t="str">
        <f t="shared" si="5"/>
        <v>2 years 8 months in role and company</v>
      </c>
      <c r="P2529" s="5" t="str">
        <f t="shared" si="6"/>
        <v>San Francisco</v>
      </c>
      <c r="Q2529" s="5" t="str">
        <f t="shared" si="7"/>
        <v>California</v>
      </c>
      <c r="R2529" s="5" t="str">
        <f t="shared" si="8"/>
        <v>United States</v>
      </c>
    </row>
    <row r="2530">
      <c r="A2530" s="7" t="s">
        <v>1077</v>
      </c>
      <c r="B2530" s="5" t="s">
        <v>1075</v>
      </c>
      <c r="C2530" s="5" t="s">
        <v>1076</v>
      </c>
      <c r="D2530" s="6" t="s">
        <v>13</v>
      </c>
      <c r="E2530" s="5" t="s">
        <v>1064</v>
      </c>
      <c r="F2530" s="5" t="s">
        <v>579</v>
      </c>
      <c r="G2530" s="5" t="s">
        <v>80</v>
      </c>
      <c r="H2530" s="5" t="s">
        <v>38</v>
      </c>
      <c r="I2530" s="5" t="s">
        <v>18</v>
      </c>
      <c r="J2530" s="9" t="str">
        <f>IFERROR(__xludf.DUMMYFUNCTION("""COMPUTED_VALUE"""),"https://www.google.com/search?newwindow=1&amp;ei=2MT0XrvGGM-vytMP1OyDgAY&amp;q=site%3Alinkedin.com+Katie+Tenboer+University+Recruiter,+Design+Facebook")</f>
        <v>https://www.google.com/search?newwindow=1&amp;ei=2MT0XrvGGM-vytMP1OyDgAY&amp;q=site%3Alinkedin.com+Katie+Tenboer+University+Recruiter,+Design+Facebook</v>
      </c>
      <c r="K2530" s="5" t="str">
        <f t="shared" si="1"/>
        <v>Katie Tenboer</v>
      </c>
      <c r="L2530" s="5" t="str">
        <f t="shared" si="2"/>
        <v>University Recruiter, Design</v>
      </c>
      <c r="M2530" s="5" t="str">
        <f t="shared" si="3"/>
        <v> </v>
      </c>
      <c r="N2530" s="5" t="str">
        <f t="shared" si="4"/>
        <v>Facebook</v>
      </c>
      <c r="O2530" s="5" t="str">
        <f t="shared" si="5"/>
        <v>10 months in role</v>
      </c>
      <c r="P2530" s="5" t="str">
        <f t="shared" si="6"/>
        <v>San Francisco</v>
      </c>
      <c r="Q2530" s="5" t="str">
        <f t="shared" si="7"/>
        <v>California</v>
      </c>
      <c r="R2530" s="5" t="str">
        <f t="shared" si="8"/>
        <v>United States</v>
      </c>
    </row>
    <row r="2531">
      <c r="A2531" s="7" t="s">
        <v>1080</v>
      </c>
      <c r="B2531" s="5" t="s">
        <v>1078</v>
      </c>
      <c r="C2531" s="5" t="s">
        <v>25</v>
      </c>
      <c r="D2531" s="6" t="s">
        <v>13</v>
      </c>
      <c r="E2531" s="5" t="s">
        <v>1064</v>
      </c>
      <c r="F2531" s="5" t="s">
        <v>626</v>
      </c>
      <c r="G2531" s="5" t="s">
        <v>1079</v>
      </c>
      <c r="H2531" s="5" t="s">
        <v>259</v>
      </c>
      <c r="I2531" s="5" t="s">
        <v>18</v>
      </c>
      <c r="J2531" s="9" t="str">
        <f>IFERROR(__xludf.DUMMYFUNCTION("""COMPUTED_VALUE"""),"https://www.google.com/search?newwindow=1&amp;ei=2MT0XrvGGM-vytMP1OyDgAY&amp;q=site%3Alinkedin.com+Ernesto+F.+University+Recruiter+Facebook")</f>
        <v>https://www.google.com/search?newwindow=1&amp;ei=2MT0XrvGGM-vytMP1OyDgAY&amp;q=site%3Alinkedin.com+Ernesto+F.+University+Recruiter+Facebook</v>
      </c>
      <c r="K2531" s="5" t="str">
        <f t="shared" si="1"/>
        <v>Ernesto F.</v>
      </c>
      <c r="L2531" s="5" t="str">
        <f t="shared" si="2"/>
        <v>University Recruiter</v>
      </c>
      <c r="M2531" s="5" t="str">
        <f t="shared" si="3"/>
        <v> </v>
      </c>
      <c r="N2531" s="5" t="str">
        <f t="shared" si="4"/>
        <v>Facebook</v>
      </c>
      <c r="O2531" s="5" t="str">
        <f t="shared" si="5"/>
        <v>3 years 4 months in role and company</v>
      </c>
      <c r="P2531" s="5" t="str">
        <f t="shared" si="6"/>
        <v>San Francisco</v>
      </c>
      <c r="Q2531" s="5" t="str">
        <f t="shared" si="7"/>
        <v>California</v>
      </c>
      <c r="R2531" s="5" t="str">
        <f t="shared" si="8"/>
        <v>United States</v>
      </c>
    </row>
    <row r="2532">
      <c r="A2532" s="8" t="s">
        <v>1083</v>
      </c>
      <c r="B2532" s="5" t="s">
        <v>1081</v>
      </c>
      <c r="C2532" s="5" t="s">
        <v>1082</v>
      </c>
      <c r="D2532" s="6" t="s">
        <v>13</v>
      </c>
      <c r="E2532" s="5" t="s">
        <v>1064</v>
      </c>
      <c r="F2532" s="5" t="s">
        <v>42</v>
      </c>
      <c r="G2532" s="5" t="s">
        <v>137</v>
      </c>
      <c r="H2532" s="5" t="s">
        <v>137</v>
      </c>
      <c r="I2532" s="5" t="s">
        <v>18</v>
      </c>
      <c r="J2532" s="9" t="str">
        <f>IFERROR(__xludf.DUMMYFUNCTION("""COMPUTED_VALUE"""),"https://www.google.com/search?newwindow=1&amp;ei=2MT0XrvGGM-vytMP1OyDgAY&amp;q=site%3Alinkedin.com+Seth+Radin+University+Recruiter+-+AR/VR+Facebook")</f>
        <v>https://www.google.com/search?newwindow=1&amp;ei=2MT0XrvGGM-vytMP1OyDgAY&amp;q=site%3Alinkedin.com+Seth+Radin+University+Recruiter+-+AR/VR+Facebook</v>
      </c>
      <c r="K2532" s="5" t="str">
        <f t="shared" si="1"/>
        <v>Seth Radin</v>
      </c>
      <c r="L2532" s="5" t="str">
        <f t="shared" si="2"/>
        <v>University Recruiter - AR/VR</v>
      </c>
      <c r="M2532" s="5" t="str">
        <f t="shared" si="3"/>
        <v> </v>
      </c>
      <c r="N2532" s="5" t="str">
        <f t="shared" si="4"/>
        <v>Facebook</v>
      </c>
      <c r="O2532" s="5" t="str">
        <f t="shared" si="5"/>
        <v>5 years 8 months in role and company</v>
      </c>
      <c r="P2532" s="5" t="str">
        <f t="shared" si="6"/>
        <v>San Francisco</v>
      </c>
      <c r="Q2532" s="5" t="str">
        <f t="shared" si="7"/>
        <v>California</v>
      </c>
      <c r="R2532" s="5" t="str">
        <f t="shared" si="8"/>
        <v>United States</v>
      </c>
    </row>
    <row r="2533">
      <c r="A2533" s="8" t="s">
        <v>1086</v>
      </c>
      <c r="B2533" s="5" t="s">
        <v>1084</v>
      </c>
      <c r="C2533" s="5" t="s">
        <v>1085</v>
      </c>
      <c r="D2533" s="6" t="s">
        <v>13</v>
      </c>
      <c r="E2533" s="5" t="s">
        <v>1064</v>
      </c>
      <c r="F2533" s="5" t="s">
        <v>84</v>
      </c>
      <c r="G2533" s="5" t="s">
        <v>137</v>
      </c>
      <c r="H2533" s="5" t="s">
        <v>137</v>
      </c>
      <c r="I2533" s="5" t="s">
        <v>18</v>
      </c>
      <c r="J2533" s="9" t="str">
        <f>IFERROR(__xludf.DUMMYFUNCTION("""COMPUTED_VALUE"""),"https://www.google.com/search?newwindow=1&amp;ei=2MT0XrvGGM-vytMP1OyDgAY&amp;q=site%3Alinkedin.com+Eleanor+Johnson+Software+Engineer+University+Recruiter+Facebook")</f>
        <v>https://www.google.com/search?newwindow=1&amp;ei=2MT0XrvGGM-vytMP1OyDgAY&amp;q=site%3Alinkedin.com+Eleanor+Johnson+Software+Engineer+University+Recruiter+Facebook</v>
      </c>
      <c r="K2533" s="5" t="str">
        <f t="shared" si="1"/>
        <v>Eleanor Johnson</v>
      </c>
      <c r="L2533" s="5" t="str">
        <f t="shared" si="2"/>
        <v>Software Engineer University Recruiter</v>
      </c>
      <c r="M2533" s="5" t="str">
        <f t="shared" si="3"/>
        <v> </v>
      </c>
      <c r="N2533" s="5" t="str">
        <f t="shared" si="4"/>
        <v>Facebook</v>
      </c>
      <c r="O2533" s="5" t="str">
        <f t="shared" si="5"/>
        <v>3 years 1 month in role and company</v>
      </c>
      <c r="P2533" s="5" t="str">
        <f t="shared" si="6"/>
        <v>San Francisco</v>
      </c>
      <c r="Q2533" s="5" t="str">
        <f t="shared" si="7"/>
        <v>California</v>
      </c>
      <c r="R2533" s="5" t="str">
        <f t="shared" si="8"/>
        <v>United States</v>
      </c>
    </row>
    <row r="2534">
      <c r="A2534" s="7" t="s">
        <v>1090</v>
      </c>
      <c r="B2534" s="5" t="s">
        <v>1087</v>
      </c>
      <c r="C2534" s="5" t="s">
        <v>1088</v>
      </c>
      <c r="D2534" s="6" t="s">
        <v>13</v>
      </c>
      <c r="E2534" s="5" t="s">
        <v>1064</v>
      </c>
      <c r="F2534" s="5" t="s">
        <v>1089</v>
      </c>
      <c r="G2534" s="5" t="s">
        <v>137</v>
      </c>
      <c r="H2534" s="5" t="s">
        <v>137</v>
      </c>
      <c r="I2534" s="5" t="s">
        <v>18</v>
      </c>
      <c r="J2534" s="9" t="str">
        <f>IFERROR(__xludf.DUMMYFUNCTION("""COMPUTED_VALUE"""),"https://www.google.com/search?newwindow=1&amp;ei=2MT0XrvGGM-vytMP1OyDgAY&amp;q=site%3Alinkedin.com+Allie+Bordeaux+University+Recruiter+|+Infrastructure+Foundation+Facebook")</f>
        <v>https://www.google.com/search?newwindow=1&amp;ei=2MT0XrvGGM-vytMP1OyDgAY&amp;q=site%3Alinkedin.com+Allie+Bordeaux+University+Recruiter+|+Infrastructure+Foundation+Facebook</v>
      </c>
      <c r="K2534" s="5" t="str">
        <f t="shared" si="1"/>
        <v>Allie Bordeaux</v>
      </c>
      <c r="L2534" s="5" t="str">
        <f t="shared" si="2"/>
        <v>University Recruiter | Infrastructure Foundation</v>
      </c>
      <c r="M2534" s="5" t="str">
        <f t="shared" si="3"/>
        <v> </v>
      </c>
      <c r="N2534" s="5" t="str">
        <f t="shared" si="4"/>
        <v>Facebook</v>
      </c>
      <c r="O2534" s="5" t="str">
        <f t="shared" si="5"/>
        <v>5 months in role and company</v>
      </c>
      <c r="P2534" s="5" t="str">
        <f t="shared" si="6"/>
        <v>San Francisco</v>
      </c>
      <c r="Q2534" s="5" t="str">
        <f t="shared" si="7"/>
        <v>California</v>
      </c>
      <c r="R2534" s="5" t="str">
        <f t="shared" si="8"/>
        <v>United States</v>
      </c>
    </row>
    <row r="2535">
      <c r="A2535" s="8" t="s">
        <v>1092</v>
      </c>
      <c r="B2535" s="5" t="s">
        <v>1091</v>
      </c>
      <c r="C2535" s="5" t="s">
        <v>511</v>
      </c>
      <c r="D2535" s="6" t="s">
        <v>13</v>
      </c>
      <c r="E2535" s="5" t="s">
        <v>1064</v>
      </c>
      <c r="F2535" s="5" t="s">
        <v>94</v>
      </c>
      <c r="G2535" s="5" t="s">
        <v>137</v>
      </c>
      <c r="H2535" s="5" t="s">
        <v>137</v>
      </c>
      <c r="I2535" s="5" t="s">
        <v>18</v>
      </c>
      <c r="J2535" s="9" t="str">
        <f>IFERROR(__xludf.DUMMYFUNCTION("""COMPUTED_VALUE"""),"https://www.google.com/search?newwindow=1&amp;ei=2MT0XrvGGM-vytMP1OyDgAY&amp;q=site%3Alinkedin.com+Nicci+Moscuzza+University+Recruiter+Facebook")</f>
        <v>https://www.google.com/search?newwindow=1&amp;ei=2MT0XrvGGM-vytMP1OyDgAY&amp;q=site%3Alinkedin.com+Nicci+Moscuzza+University+Recruiter+Facebook</v>
      </c>
      <c r="K2535" s="5" t="str">
        <f t="shared" si="1"/>
        <v>Nicci Moscuzza</v>
      </c>
      <c r="L2535" s="5" t="str">
        <f t="shared" si="2"/>
        <v>University Recruiter</v>
      </c>
      <c r="M2535" s="5" t="str">
        <f t="shared" si="3"/>
        <v> </v>
      </c>
      <c r="N2535" s="5" t="str">
        <f t="shared" si="4"/>
        <v>Facebook</v>
      </c>
      <c r="O2535" s="5" t="str">
        <f t="shared" si="5"/>
        <v>7 years 2 months in role and company</v>
      </c>
      <c r="P2535" s="5" t="str">
        <f t="shared" si="6"/>
        <v>San Francisco</v>
      </c>
      <c r="Q2535" s="5" t="str">
        <f t="shared" si="7"/>
        <v>California</v>
      </c>
      <c r="R2535" s="5" t="str">
        <f t="shared" si="8"/>
        <v>United States</v>
      </c>
    </row>
    <row r="2536">
      <c r="A2536" s="8" t="s">
        <v>1095</v>
      </c>
      <c r="B2536" s="5" t="s">
        <v>1093</v>
      </c>
      <c r="C2536" s="5" t="s">
        <v>1094</v>
      </c>
      <c r="D2536" s="6" t="s">
        <v>4</v>
      </c>
      <c r="E2536" s="5" t="s">
        <v>1064</v>
      </c>
      <c r="F2536" s="5" t="s">
        <v>651</v>
      </c>
      <c r="G2536" s="5" t="s">
        <v>137</v>
      </c>
      <c r="H2536" s="5" t="s">
        <v>137</v>
      </c>
      <c r="I2536" s="5" t="s">
        <v>18</v>
      </c>
      <c r="J2536" s="9" t="str">
        <f>IFERROR(__xludf.DUMMYFUNCTION("""COMPUTED_VALUE"""),"https://www.google.com/search?newwindow=1&amp;ei=2MT0XrvGGM-vytMP1OyDgAY&amp;q=site%3Alinkedin.com+Kim+Birch+University+Recruiter,+Global+Marketing+Solutions+&amp;+Business+Facebook")</f>
        <v>https://www.google.com/search?newwindow=1&amp;ei=2MT0XrvGGM-vytMP1OyDgAY&amp;q=site%3Alinkedin.com+Kim+Birch+University+Recruiter,+Global+Marketing+Solutions+&amp;+Business+Facebook</v>
      </c>
      <c r="K2536" s="5" t="str">
        <f t="shared" si="1"/>
        <v>Kim Birch</v>
      </c>
      <c r="L2536" s="5" t="str">
        <f t="shared" si="2"/>
        <v>University Recruiter, Global Marketing Solutions &amp; Business</v>
      </c>
      <c r="M2536" s="5" t="str">
        <f t="shared" si="3"/>
        <v> </v>
      </c>
      <c r="N2536" s="5" t="str">
        <f t="shared" si="4"/>
        <v>Facebook</v>
      </c>
      <c r="O2536" s="5" t="str">
        <f t="shared" si="5"/>
        <v>3 years 4 months in role and company</v>
      </c>
      <c r="P2536" s="5" t="str">
        <f t="shared" si="6"/>
        <v>San Francisco</v>
      </c>
      <c r="Q2536" s="5" t="str">
        <f t="shared" si="7"/>
        <v>California</v>
      </c>
      <c r="R2536" s="5" t="str">
        <f t="shared" si="8"/>
        <v>United States</v>
      </c>
    </row>
    <row r="2537">
      <c r="A2537" s="8" t="s">
        <v>1099</v>
      </c>
      <c r="B2537" s="5" t="s">
        <v>1096</v>
      </c>
      <c r="C2537" s="5" t="s">
        <v>1097</v>
      </c>
      <c r="D2537" s="6" t="s">
        <v>13</v>
      </c>
      <c r="E2537" s="5" t="s">
        <v>1064</v>
      </c>
      <c r="F2537" s="5" t="s">
        <v>1098</v>
      </c>
      <c r="G2537" s="5" t="s">
        <v>137</v>
      </c>
      <c r="H2537" s="5" t="s">
        <v>137</v>
      </c>
      <c r="I2537" s="5" t="s">
        <v>18</v>
      </c>
      <c r="J2537" s="9" t="str">
        <f>IFERROR(__xludf.DUMMYFUNCTION("""COMPUTED_VALUE"""),"https://www.google.com/search?newwindow=1&amp;ei=2MT0XrvGGM-vytMP1OyDgAY&amp;q=site%3Alinkedin.com+Ryan+Biega+University+Recruiter,+Design+Facebook")</f>
        <v>https://www.google.com/search?newwindow=1&amp;ei=2MT0XrvGGM-vytMP1OyDgAY&amp;q=site%3Alinkedin.com+Ryan+Biega+University+Recruiter,+Design+Facebook</v>
      </c>
      <c r="K2537" s="5" t="str">
        <f t="shared" si="1"/>
        <v>Ryan Biega</v>
      </c>
      <c r="L2537" s="5" t="str">
        <f t="shared" si="2"/>
        <v>University Recruiter, Design</v>
      </c>
      <c r="M2537" s="5" t="str">
        <f t="shared" si="3"/>
        <v> </v>
      </c>
      <c r="N2537" s="5" t="str">
        <f t="shared" si="4"/>
        <v>Facebook</v>
      </c>
      <c r="O2537" s="5" t="str">
        <f t="shared" si="5"/>
        <v>5 years 9 months in role and company</v>
      </c>
      <c r="P2537" s="5" t="str">
        <f t="shared" si="6"/>
        <v>San Francisco</v>
      </c>
      <c r="Q2537" s="5" t="str">
        <f t="shared" si="7"/>
        <v>California</v>
      </c>
      <c r="R2537" s="5" t="str">
        <f t="shared" si="8"/>
        <v>United States</v>
      </c>
    </row>
    <row r="2538">
      <c r="A2538" s="8" t="s">
        <v>1102</v>
      </c>
      <c r="B2538" s="5" t="s">
        <v>1100</v>
      </c>
      <c r="C2538" s="5" t="s">
        <v>1101</v>
      </c>
      <c r="D2538" s="6" t="s">
        <v>13</v>
      </c>
      <c r="E2538" s="5" t="s">
        <v>1064</v>
      </c>
      <c r="F2538" s="5" t="s">
        <v>144</v>
      </c>
      <c r="G2538" s="5" t="s">
        <v>137</v>
      </c>
      <c r="H2538" s="5" t="s">
        <v>137</v>
      </c>
      <c r="I2538" s="5" t="s">
        <v>18</v>
      </c>
      <c r="J2538" s="9" t="str">
        <f>IFERROR(__xludf.DUMMYFUNCTION("""COMPUTED_VALUE"""),"https://www.google.com/search?newwindow=1&amp;ei=2MT0XrvGGM-vytMP1OyDgAY&amp;q=site%3Alinkedin.com+Alexandra+Mettler+University+Recruiter,+Software+Engineering+Facebook")</f>
        <v>https://www.google.com/search?newwindow=1&amp;ei=2MT0XrvGGM-vytMP1OyDgAY&amp;q=site%3Alinkedin.com+Alexandra+Mettler+University+Recruiter,+Software+Engineering+Facebook</v>
      </c>
      <c r="K2538" s="5" t="str">
        <f t="shared" si="1"/>
        <v>Alexandra Mettler</v>
      </c>
      <c r="L2538" s="5" t="str">
        <f t="shared" si="2"/>
        <v>University Recruiter, Software Engineering</v>
      </c>
      <c r="M2538" s="5" t="str">
        <f t="shared" si="3"/>
        <v> </v>
      </c>
      <c r="N2538" s="5" t="str">
        <f t="shared" si="4"/>
        <v>Facebook</v>
      </c>
      <c r="O2538" s="5" t="str">
        <f t="shared" si="5"/>
        <v>11 months in role</v>
      </c>
      <c r="P2538" s="5" t="str">
        <f t="shared" si="6"/>
        <v>San Francisco</v>
      </c>
      <c r="Q2538" s="5" t="str">
        <f t="shared" si="7"/>
        <v>California</v>
      </c>
      <c r="R2538" s="5" t="str">
        <f t="shared" si="8"/>
        <v>United States</v>
      </c>
    </row>
    <row r="2539">
      <c r="A2539" s="8" t="s">
        <v>1104</v>
      </c>
      <c r="B2539" s="5" t="s">
        <v>1084</v>
      </c>
      <c r="C2539" s="5" t="s">
        <v>1103</v>
      </c>
      <c r="D2539" s="6" t="s">
        <v>13</v>
      </c>
      <c r="E2539" s="5" t="s">
        <v>1064</v>
      </c>
      <c r="F2539" s="5" t="s">
        <v>848</v>
      </c>
      <c r="G2539" s="5" t="s">
        <v>137</v>
      </c>
      <c r="H2539" s="5" t="s">
        <v>137</v>
      </c>
      <c r="I2539" s="5" t="s">
        <v>18</v>
      </c>
      <c r="J2539" s="9" t="str">
        <f>IFERROR(__xludf.DUMMYFUNCTION("""COMPUTED_VALUE"""),"https://www.google.com/search?newwindow=1&amp;ei=2MT0XrvGGM-vytMP1OyDgAY&amp;q=site%3Alinkedin.com+Joyce+M.+C.+University+Recruiter+Facebook")</f>
        <v>https://www.google.com/search?newwindow=1&amp;ei=2MT0XrvGGM-vytMP1OyDgAY&amp;q=site%3Alinkedin.com+Joyce+M.+C.+University+Recruiter+Facebook</v>
      </c>
      <c r="K2539" s="5" t="str">
        <f t="shared" si="1"/>
        <v>Joyce M. C.</v>
      </c>
      <c r="L2539" s="5" t="str">
        <f t="shared" si="2"/>
        <v>University Recruiter</v>
      </c>
      <c r="M2539" s="5" t="str">
        <f t="shared" si="3"/>
        <v> </v>
      </c>
      <c r="N2539" s="5" t="str">
        <f t="shared" si="4"/>
        <v>Facebook</v>
      </c>
      <c r="O2539" s="5" t="str">
        <f t="shared" si="5"/>
        <v>10 months in role and company</v>
      </c>
      <c r="P2539" s="5" t="str">
        <f t="shared" si="6"/>
        <v>San Francisco</v>
      </c>
      <c r="Q2539" s="5" t="str">
        <f t="shared" si="7"/>
        <v>California</v>
      </c>
      <c r="R2539" s="5" t="str">
        <f t="shared" si="8"/>
        <v>United States</v>
      </c>
    </row>
    <row r="2540">
      <c r="A2540" s="7" t="s">
        <v>1106</v>
      </c>
      <c r="B2540" s="5" t="s">
        <v>1067</v>
      </c>
      <c r="C2540" s="5" t="s">
        <v>25</v>
      </c>
      <c r="D2540" s="6" t="s">
        <v>13</v>
      </c>
      <c r="E2540" s="5" t="s">
        <v>1064</v>
      </c>
      <c r="F2540" s="5" t="s">
        <v>1105</v>
      </c>
      <c r="G2540" s="5" t="s">
        <v>137</v>
      </c>
      <c r="H2540" s="5" t="s">
        <v>137</v>
      </c>
      <c r="I2540" s="5" t="s">
        <v>18</v>
      </c>
      <c r="J2540" s="9" t="str">
        <f>IFERROR(__xludf.DUMMYFUNCTION("""COMPUTED_VALUE"""),"https://www.google.com/search?newwindow=1&amp;ei=2MT0XrvGGM-vytMP1OyDgAY&amp;q=site%3Alinkedin.com+Lai+Anderson+University+Recruiter,+Software+Engineering+Facebook")</f>
        <v>https://www.google.com/search?newwindow=1&amp;ei=2MT0XrvGGM-vytMP1OyDgAY&amp;q=site%3Alinkedin.com+Lai+Anderson+University+Recruiter,+Software+Engineering+Facebook</v>
      </c>
      <c r="K2540" s="5" t="str">
        <f t="shared" si="1"/>
        <v>Lai Anderson</v>
      </c>
      <c r="L2540" s="5" t="str">
        <f t="shared" si="2"/>
        <v>University Recruiter, Software Engineering</v>
      </c>
      <c r="M2540" s="5" t="str">
        <f t="shared" si="3"/>
        <v> </v>
      </c>
      <c r="N2540" s="5" t="str">
        <f t="shared" si="4"/>
        <v>Facebook</v>
      </c>
      <c r="O2540" s="5" t="str">
        <f t="shared" si="5"/>
        <v>2 years 1 month in role</v>
      </c>
      <c r="P2540" s="5" t="str">
        <f t="shared" si="6"/>
        <v>San Francisco</v>
      </c>
      <c r="Q2540" s="5" t="str">
        <f t="shared" si="7"/>
        <v>California</v>
      </c>
      <c r="R2540" s="5" t="str">
        <f t="shared" si="8"/>
        <v>United States</v>
      </c>
    </row>
    <row r="2541">
      <c r="A2541" s="8" t="s">
        <v>1109</v>
      </c>
      <c r="B2541" s="5" t="s">
        <v>1107</v>
      </c>
      <c r="C2541" s="5" t="s">
        <v>1108</v>
      </c>
      <c r="D2541" s="6" t="s">
        <v>13</v>
      </c>
      <c r="E2541" s="5" t="s">
        <v>1064</v>
      </c>
      <c r="F2541" s="5" t="s">
        <v>512</v>
      </c>
      <c r="G2541" s="5" t="s">
        <v>137</v>
      </c>
      <c r="H2541" s="5" t="s">
        <v>137</v>
      </c>
      <c r="I2541" s="5" t="s">
        <v>18</v>
      </c>
      <c r="J2541" s="9" t="str">
        <f>IFERROR(__xludf.DUMMYFUNCTION("""COMPUTED_VALUE"""),"https://www.google.com/search?newwindow=1&amp;ei=2MT0XrvGGM-vytMP1OyDgAY&amp;q=site%3Alinkedin.com+Jarrod+F.+University+Recruiter+Facebook")</f>
        <v>https://www.google.com/search?newwindow=1&amp;ei=2MT0XrvGGM-vytMP1OyDgAY&amp;q=site%3Alinkedin.com+Jarrod+F.+University+Recruiter+Facebook</v>
      </c>
      <c r="K2541" s="5" t="str">
        <f t="shared" si="1"/>
        <v>Jarrod F.</v>
      </c>
      <c r="L2541" s="5" t="str">
        <f t="shared" si="2"/>
        <v>University Recruiter</v>
      </c>
      <c r="M2541" s="5" t="str">
        <f t="shared" si="3"/>
        <v> </v>
      </c>
      <c r="N2541" s="5" t="str">
        <f t="shared" si="4"/>
        <v>Facebook</v>
      </c>
      <c r="O2541" s="5" t="str">
        <f t="shared" si="5"/>
        <v>3 years 6 months in role and company</v>
      </c>
      <c r="P2541" s="5" t="str">
        <f t="shared" si="6"/>
        <v>San Francisco</v>
      </c>
      <c r="Q2541" s="5" t="str">
        <f t="shared" si="7"/>
        <v>California</v>
      </c>
      <c r="R2541" s="5" t="str">
        <f t="shared" si="8"/>
        <v>United States</v>
      </c>
    </row>
    <row r="2542">
      <c r="A2542" s="8" t="s">
        <v>1112</v>
      </c>
      <c r="B2542" s="5" t="s">
        <v>1110</v>
      </c>
      <c r="C2542" s="5" t="s">
        <v>1111</v>
      </c>
      <c r="D2542" s="6" t="s">
        <v>13</v>
      </c>
      <c r="E2542" s="5" t="s">
        <v>1064</v>
      </c>
      <c r="F2542" s="5" t="s">
        <v>712</v>
      </c>
      <c r="G2542" s="5" t="s">
        <v>137</v>
      </c>
      <c r="H2542" s="5" t="s">
        <v>137</v>
      </c>
      <c r="I2542" s="5" t="s">
        <v>18</v>
      </c>
      <c r="J2542" s="9" t="str">
        <f>IFERROR(__xludf.DUMMYFUNCTION("""COMPUTED_VALUE"""),"https://www.google.com/search?newwindow=1&amp;ei=2MT0XrvGGM-vytMP1OyDgAY&amp;q=site%3Alinkedin.com+Molly+Seale+University+Recruiter+Facebook")</f>
        <v>https://www.google.com/search?newwindow=1&amp;ei=2MT0XrvGGM-vytMP1OyDgAY&amp;q=site%3Alinkedin.com+Molly+Seale+University+Recruiter+Facebook</v>
      </c>
      <c r="K2542" s="5" t="str">
        <f t="shared" si="1"/>
        <v>Molly Seale</v>
      </c>
      <c r="L2542" s="5" t="str">
        <f t="shared" si="2"/>
        <v>University Recruiter</v>
      </c>
      <c r="M2542" s="5" t="str">
        <f t="shared" si="3"/>
        <v> </v>
      </c>
      <c r="N2542" s="5" t="str">
        <f t="shared" si="4"/>
        <v>Facebook</v>
      </c>
      <c r="O2542" s="5" t="str">
        <f t="shared" si="5"/>
        <v>2 years 10 months in role and company</v>
      </c>
      <c r="P2542" s="5" t="str">
        <f t="shared" si="6"/>
        <v>San Francisco</v>
      </c>
      <c r="Q2542" s="5" t="str">
        <f t="shared" si="7"/>
        <v>California</v>
      </c>
      <c r="R2542" s="5" t="str">
        <f t="shared" si="8"/>
        <v>United States</v>
      </c>
    </row>
    <row r="2543">
      <c r="A2543" s="7" t="s">
        <v>1115</v>
      </c>
      <c r="B2543" s="5" t="s">
        <v>1113</v>
      </c>
      <c r="C2543" s="5" t="s">
        <v>1114</v>
      </c>
      <c r="D2543" s="6" t="s">
        <v>13</v>
      </c>
      <c r="E2543" s="5" t="s">
        <v>1064</v>
      </c>
      <c r="F2543" s="5" t="s">
        <v>222</v>
      </c>
      <c r="G2543" s="5" t="s">
        <v>137</v>
      </c>
      <c r="H2543" s="5" t="s">
        <v>137</v>
      </c>
      <c r="I2543" s="5" t="s">
        <v>18</v>
      </c>
      <c r="J2543" s="9" t="str">
        <f>IFERROR(__xludf.DUMMYFUNCTION("""COMPUTED_VALUE"""),"https://www.google.com/search?newwindow=1&amp;ei=2MT0XrvGGM-vytMP1OyDgAY&amp;q=site%3Alinkedin.com+Alyssa+Salindong+University+Recruiter+Facebook")</f>
        <v>https://www.google.com/search?newwindow=1&amp;ei=2MT0XrvGGM-vytMP1OyDgAY&amp;q=site%3Alinkedin.com+Alyssa+Salindong+University+Recruiter+Facebook</v>
      </c>
      <c r="K2543" s="5" t="str">
        <f t="shared" si="1"/>
        <v>Alyssa Salindong</v>
      </c>
      <c r="L2543" s="5" t="str">
        <f t="shared" si="2"/>
        <v>University Recruiter</v>
      </c>
      <c r="M2543" s="5" t="str">
        <f t="shared" si="3"/>
        <v> </v>
      </c>
      <c r="N2543" s="5" t="str">
        <f t="shared" si="4"/>
        <v>Facebook</v>
      </c>
      <c r="O2543" s="5" t="str">
        <f t="shared" si="5"/>
        <v>3 years 6 months in role and company</v>
      </c>
      <c r="P2543" s="5" t="str">
        <f t="shared" si="6"/>
        <v>San Francisco</v>
      </c>
      <c r="Q2543" s="5" t="str">
        <f t="shared" si="7"/>
        <v>California</v>
      </c>
      <c r="R2543" s="5" t="str">
        <f t="shared" si="8"/>
        <v>United States</v>
      </c>
    </row>
    <row r="2544">
      <c r="A2544" s="7" t="s">
        <v>1118</v>
      </c>
      <c r="B2544" s="5" t="s">
        <v>1116</v>
      </c>
      <c r="C2544" s="5" t="s">
        <v>1117</v>
      </c>
      <c r="D2544" s="6" t="s">
        <v>13</v>
      </c>
      <c r="E2544" s="5" t="s">
        <v>1064</v>
      </c>
      <c r="F2544" s="5" t="s">
        <v>29</v>
      </c>
      <c r="G2544" s="5" t="s">
        <v>137</v>
      </c>
      <c r="H2544" s="5" t="s">
        <v>137</v>
      </c>
      <c r="I2544" s="5" t="s">
        <v>18</v>
      </c>
      <c r="J2544" s="9" t="str">
        <f>IFERROR(__xludf.DUMMYFUNCTION("""COMPUTED_VALUE"""),"https://www.google.com/search?newwindow=1&amp;ei=2MT0XrvGGM-vytMP1OyDgAY&amp;q=site%3Alinkedin.com+Kelly+Simon+University+Design+Recruiter+Facebook")</f>
        <v>https://www.google.com/search?newwindow=1&amp;ei=2MT0XrvGGM-vytMP1OyDgAY&amp;q=site%3Alinkedin.com+Kelly+Simon+University+Design+Recruiter+Facebook</v>
      </c>
      <c r="K2544" s="5" t="str">
        <f t="shared" si="1"/>
        <v>Kelly Simon</v>
      </c>
      <c r="L2544" s="5" t="str">
        <f t="shared" si="2"/>
        <v>University Design Recruiter</v>
      </c>
      <c r="M2544" s="5" t="str">
        <f t="shared" si="3"/>
        <v> </v>
      </c>
      <c r="N2544" s="5" t="str">
        <f t="shared" si="4"/>
        <v>Facebook</v>
      </c>
      <c r="O2544" s="5" t="str">
        <f t="shared" si="5"/>
        <v>3 years 1 month in role and company</v>
      </c>
      <c r="P2544" s="5" t="str">
        <f t="shared" si="6"/>
        <v>San Francisco</v>
      </c>
      <c r="Q2544" s="5" t="str">
        <f t="shared" si="7"/>
        <v>California</v>
      </c>
      <c r="R2544" s="5" t="str">
        <f t="shared" si="8"/>
        <v>United States</v>
      </c>
    </row>
    <row r="2545">
      <c r="A2545" s="8" t="s">
        <v>1121</v>
      </c>
      <c r="B2545" s="5" t="s">
        <v>1119</v>
      </c>
      <c r="C2545" s="5" t="s">
        <v>1120</v>
      </c>
      <c r="D2545" s="6" t="s">
        <v>13</v>
      </c>
      <c r="E2545" s="5" t="s">
        <v>1064</v>
      </c>
      <c r="F2545" s="5" t="s">
        <v>441</v>
      </c>
      <c r="G2545" s="5" t="s">
        <v>137</v>
      </c>
      <c r="H2545" s="5" t="s">
        <v>137</v>
      </c>
      <c r="I2545" s="5" t="s">
        <v>18</v>
      </c>
      <c r="J2545" s="9" t="str">
        <f>IFERROR(__xludf.DUMMYFUNCTION("""COMPUTED_VALUE"""),"https://www.google.com/search?newwindow=1&amp;ei=2MT0XrvGGM-vytMP1OyDgAY&amp;q=site%3Alinkedin.com+Jessica+Cox+University+Recruiter,+Design+Facebook")</f>
        <v>https://www.google.com/search?newwindow=1&amp;ei=2MT0XrvGGM-vytMP1OyDgAY&amp;q=site%3Alinkedin.com+Jessica+Cox+University+Recruiter,+Design+Facebook</v>
      </c>
      <c r="K2545" s="5" t="str">
        <f t="shared" si="1"/>
        <v>Jessica Cox</v>
      </c>
      <c r="L2545" s="5" t="str">
        <f t="shared" si="2"/>
        <v>University Recruiter, Design</v>
      </c>
      <c r="M2545" s="5" t="str">
        <f t="shared" si="3"/>
        <v> </v>
      </c>
      <c r="N2545" s="5" t="str">
        <f t="shared" si="4"/>
        <v>Facebook</v>
      </c>
      <c r="O2545" s="5" t="str">
        <f t="shared" si="5"/>
        <v>2 years 11 months in role</v>
      </c>
      <c r="P2545" s="5" t="str">
        <f t="shared" si="6"/>
        <v>San Francisco</v>
      </c>
      <c r="Q2545" s="5" t="str">
        <f t="shared" si="7"/>
        <v>California</v>
      </c>
      <c r="R2545" s="5" t="str">
        <f t="shared" si="8"/>
        <v>United States</v>
      </c>
    </row>
    <row r="2546">
      <c r="A2546" s="8" t="s">
        <v>1124</v>
      </c>
      <c r="B2546" s="5" t="s">
        <v>1122</v>
      </c>
      <c r="C2546" s="5" t="s">
        <v>1101</v>
      </c>
      <c r="D2546" s="6" t="s">
        <v>13</v>
      </c>
      <c r="E2546" s="5" t="s">
        <v>1064</v>
      </c>
      <c r="F2546" s="5" t="s">
        <v>1123</v>
      </c>
      <c r="G2546" s="5" t="s">
        <v>137</v>
      </c>
      <c r="H2546" s="5" t="s">
        <v>137</v>
      </c>
      <c r="I2546" s="5" t="s">
        <v>18</v>
      </c>
      <c r="J2546" s="9" t="str">
        <f>IFERROR(__xludf.DUMMYFUNCTION("""COMPUTED_VALUE"""),"https://www.google.com/search?newwindow=1&amp;ei=2MT0XrvGGM-vytMP1OyDgAY&amp;q=site%3Alinkedin.com+Noopur+Chhabra+Technical+Recruiter,+University+Facebook")</f>
        <v>https://www.google.com/search?newwindow=1&amp;ei=2MT0XrvGGM-vytMP1OyDgAY&amp;q=site%3Alinkedin.com+Noopur+Chhabra+Technical+Recruiter,+University+Facebook</v>
      </c>
      <c r="K2546" s="5" t="str">
        <f t="shared" si="1"/>
        <v>Noopur Chhabra</v>
      </c>
      <c r="L2546" s="5" t="str">
        <f t="shared" si="2"/>
        <v>Technical Recruiter, University</v>
      </c>
      <c r="M2546" s="5" t="str">
        <f t="shared" si="3"/>
        <v> </v>
      </c>
      <c r="N2546" s="5" t="str">
        <f t="shared" si="4"/>
        <v>Facebook</v>
      </c>
      <c r="O2546" s="5" t="str">
        <f t="shared" si="5"/>
        <v>2 years 1 month in role</v>
      </c>
      <c r="P2546" s="5" t="str">
        <f t="shared" si="6"/>
        <v>San Francisco</v>
      </c>
      <c r="Q2546" s="5" t="str">
        <f t="shared" si="7"/>
        <v>California</v>
      </c>
      <c r="R2546" s="5" t="str">
        <f t="shared" si="8"/>
        <v>United States</v>
      </c>
    </row>
    <row r="2547">
      <c r="A2547" s="8" t="s">
        <v>1126</v>
      </c>
      <c r="B2547" s="5" t="s">
        <v>1125</v>
      </c>
      <c r="C2547" s="5" t="s">
        <v>511</v>
      </c>
      <c r="D2547" s="6" t="s">
        <v>13</v>
      </c>
      <c r="E2547" s="5" t="s">
        <v>1064</v>
      </c>
      <c r="F2547" s="5" t="s">
        <v>421</v>
      </c>
      <c r="G2547" s="5" t="s">
        <v>137</v>
      </c>
      <c r="H2547" s="5" t="s">
        <v>137</v>
      </c>
      <c r="I2547" s="5" t="s">
        <v>18</v>
      </c>
      <c r="J2547" s="9" t="str">
        <f>IFERROR(__xludf.DUMMYFUNCTION("""COMPUTED_VALUE"""),"https://www.google.com/search?newwindow=1&amp;ei=2MT0XrvGGM-vytMP1OyDgAY&amp;q=site%3Alinkedin.com+Sydney+Horner+Senior+Recruiter,+University+Recruitment,+Full+Life-Cycle+Facebook")</f>
        <v>https://www.google.com/search?newwindow=1&amp;ei=2MT0XrvGGM-vytMP1OyDgAY&amp;q=site%3Alinkedin.com+Sydney+Horner+Senior+Recruiter,+University+Recruitment,+Full+Life-Cycle+Facebook</v>
      </c>
      <c r="K2547" s="5" t="str">
        <f t="shared" si="1"/>
        <v>Sydney Horner</v>
      </c>
      <c r="L2547" s="5" t="str">
        <f t="shared" si="2"/>
        <v>Senior Recruiter, University Recruitment, Full Life-Cycle</v>
      </c>
      <c r="M2547" s="5" t="str">
        <f t="shared" si="3"/>
        <v> </v>
      </c>
      <c r="N2547" s="5" t="str">
        <f t="shared" si="4"/>
        <v>Facebook</v>
      </c>
      <c r="O2547" s="5" t="str">
        <f t="shared" si="5"/>
        <v>2 years 5 months in role and company</v>
      </c>
      <c r="P2547" s="5" t="str">
        <f t="shared" si="6"/>
        <v>San Francisco</v>
      </c>
      <c r="Q2547" s="5" t="str">
        <f t="shared" si="7"/>
        <v>California</v>
      </c>
      <c r="R2547" s="5" t="str">
        <f t="shared" si="8"/>
        <v>United States</v>
      </c>
    </row>
    <row r="2548">
      <c r="A2548" s="7" t="s">
        <v>1129</v>
      </c>
      <c r="B2548" s="5" t="s">
        <v>1127</v>
      </c>
      <c r="C2548" s="5" t="s">
        <v>1128</v>
      </c>
      <c r="D2548" s="6" t="s">
        <v>13</v>
      </c>
      <c r="E2548" s="5" t="s">
        <v>1064</v>
      </c>
      <c r="F2548" s="5" t="s">
        <v>694</v>
      </c>
      <c r="G2548" s="5" t="s">
        <v>137</v>
      </c>
      <c r="H2548" s="5" t="s">
        <v>137</v>
      </c>
      <c r="I2548" s="5" t="s">
        <v>18</v>
      </c>
      <c r="J2548" s="9" t="str">
        <f>IFERROR(__xludf.DUMMYFUNCTION("""COMPUTED_VALUE"""),"https://www.google.com/search?newwindow=1&amp;ei=2MT0XrvGGM-vytMP1OyDgAY&amp;q=site%3Alinkedin.com+Cynthia+Leu+University+Recruiter+(Infrastructure)+Facebook")</f>
        <v>https://www.google.com/search?newwindow=1&amp;ei=2MT0XrvGGM-vytMP1OyDgAY&amp;q=site%3Alinkedin.com+Cynthia+Leu+University+Recruiter+(Infrastructure)+Facebook</v>
      </c>
      <c r="K2548" s="5" t="str">
        <f t="shared" si="1"/>
        <v>Cynthia Leu</v>
      </c>
      <c r="L2548" s="5" t="str">
        <f t="shared" si="2"/>
        <v>University Recruiter (Infrastructure)</v>
      </c>
      <c r="M2548" s="5" t="str">
        <f t="shared" si="3"/>
        <v> </v>
      </c>
      <c r="N2548" s="5" t="str">
        <f t="shared" si="4"/>
        <v>Facebook</v>
      </c>
      <c r="O2548" s="5" t="str">
        <f t="shared" si="5"/>
        <v>3 years 10 months in role and company</v>
      </c>
      <c r="P2548" s="5" t="str">
        <f t="shared" si="6"/>
        <v>San Francisco</v>
      </c>
      <c r="Q2548" s="5" t="str">
        <f t="shared" si="7"/>
        <v>California</v>
      </c>
      <c r="R2548" s="5" t="str">
        <f t="shared" si="8"/>
        <v>United States</v>
      </c>
    </row>
    <row r="2549">
      <c r="A2549" s="7" t="s">
        <v>1132</v>
      </c>
      <c r="B2549" s="5" t="s">
        <v>1130</v>
      </c>
      <c r="C2549" s="5" t="s">
        <v>25</v>
      </c>
      <c r="D2549" s="6" t="s">
        <v>13</v>
      </c>
      <c r="E2549" s="5" t="s">
        <v>1064</v>
      </c>
      <c r="F2549" s="5" t="s">
        <v>585</v>
      </c>
      <c r="G2549" s="5" t="s">
        <v>1131</v>
      </c>
      <c r="H2549" s="5" t="s">
        <v>203</v>
      </c>
      <c r="I2549" s="5" t="s">
        <v>18</v>
      </c>
      <c r="J2549" s="9" t="str">
        <f>IFERROR(__xludf.DUMMYFUNCTION("""COMPUTED_VALUE"""),"https://www.google.com/search?newwindow=1&amp;ei=2MT0XrvGGM-vytMP1OyDgAY&amp;q=site%3Alinkedin.com+Rima+Itani+University+Recruiter+Facebook")</f>
        <v>https://www.google.com/search?newwindow=1&amp;ei=2MT0XrvGGM-vytMP1OyDgAY&amp;q=site%3Alinkedin.com+Rima+Itani+University+Recruiter+Facebook</v>
      </c>
      <c r="K2549" s="5" t="str">
        <f t="shared" si="1"/>
        <v>Rima Itani</v>
      </c>
      <c r="L2549" s="5" t="str">
        <f t="shared" si="2"/>
        <v>University Recruiter</v>
      </c>
      <c r="M2549" s="5" t="str">
        <f t="shared" si="3"/>
        <v> </v>
      </c>
      <c r="N2549" s="5" t="str">
        <f t="shared" si="4"/>
        <v>Facebook</v>
      </c>
      <c r="O2549" s="5" t="str">
        <f t="shared" si="5"/>
        <v>4 years 4 months in role and company</v>
      </c>
      <c r="P2549" s="5" t="str">
        <f t="shared" si="6"/>
        <v>San Francisco</v>
      </c>
      <c r="Q2549" s="5" t="str">
        <f t="shared" si="7"/>
        <v>California</v>
      </c>
      <c r="R2549" s="5" t="str">
        <f t="shared" si="8"/>
        <v>United States</v>
      </c>
    </row>
    <row r="2550">
      <c r="A2550" s="7" t="s">
        <v>1136</v>
      </c>
      <c r="B2550" s="5" t="s">
        <v>1133</v>
      </c>
      <c r="C2550" s="5" t="s">
        <v>25</v>
      </c>
      <c r="D2550" s="6" t="s">
        <v>13</v>
      </c>
      <c r="E2550" s="5" t="s">
        <v>1064</v>
      </c>
      <c r="F2550" s="5" t="s">
        <v>1134</v>
      </c>
      <c r="G2550" s="5" t="s">
        <v>1135</v>
      </c>
      <c r="H2550" s="5" t="s">
        <v>96</v>
      </c>
      <c r="I2550" s="5" t="s">
        <v>18</v>
      </c>
      <c r="J2550" s="9" t="str">
        <f>IFERROR(__xludf.DUMMYFUNCTION("""COMPUTED_VALUE"""),"https://www.google.com/search?newwindow=1&amp;ei=2MT0XrvGGM-vytMP1OyDgAY&amp;q=site%3Alinkedin.com+Cheriece+Williams+University+Recruiter+Facebook")</f>
        <v>https://www.google.com/search?newwindow=1&amp;ei=2MT0XrvGGM-vytMP1OyDgAY&amp;q=site%3Alinkedin.com+Cheriece+Williams+University+Recruiter+Facebook</v>
      </c>
      <c r="K2550" s="5" t="str">
        <f t="shared" si="1"/>
        <v>Cheriece Williams</v>
      </c>
      <c r="L2550" s="5" t="str">
        <f t="shared" si="2"/>
        <v>University Recruiter</v>
      </c>
      <c r="M2550" s="5" t="str">
        <f t="shared" si="3"/>
        <v> </v>
      </c>
      <c r="N2550" s="5" t="str">
        <f t="shared" si="4"/>
        <v>Facebook</v>
      </c>
      <c r="O2550" s="5" t="str">
        <f t="shared" si="5"/>
        <v>4 years 5 months in role and company</v>
      </c>
      <c r="P2550" s="5" t="str">
        <f t="shared" si="6"/>
        <v>San Francisco</v>
      </c>
      <c r="Q2550" s="5" t="str">
        <f t="shared" si="7"/>
        <v>California</v>
      </c>
      <c r="R2550" s="5" t="str">
        <f t="shared" si="8"/>
        <v>United States</v>
      </c>
    </row>
    <row r="2551">
      <c r="A2551" s="7" t="s">
        <v>1140</v>
      </c>
      <c r="B2551" s="5" t="s">
        <v>1137</v>
      </c>
      <c r="C2551" s="5" t="s">
        <v>1138</v>
      </c>
      <c r="D2551" s="6" t="s">
        <v>13</v>
      </c>
      <c r="E2551" s="5" t="s">
        <v>1139</v>
      </c>
      <c r="F2551" s="5" t="s">
        <v>149</v>
      </c>
      <c r="G2551" s="5" t="s">
        <v>833</v>
      </c>
      <c r="H2551" s="5" t="s">
        <v>203</v>
      </c>
      <c r="I2551" s="5" t="s">
        <v>18</v>
      </c>
      <c r="J2551" s="9" t="str">
        <f>IFERROR(__xludf.DUMMYFUNCTION("""COMPUTED_VALUE"""),"https://www.google.com/search?newwindow=1&amp;ei=2MT0XrvGGM-vytMP1OyDgAY&amp;q=site%3Alinkedin.com+Kaitlin+Wilson+University+Recruiter+Facebook")</f>
        <v>https://www.google.com/search?newwindow=1&amp;ei=2MT0XrvGGM-vytMP1OyDgAY&amp;q=site%3Alinkedin.com+Kaitlin+Wilson+University+Recruiter+Facebook</v>
      </c>
      <c r="K2551" s="5" t="str">
        <f t="shared" si="1"/>
        <v>Kaitlin Wilson</v>
      </c>
      <c r="L2551" s="5" t="str">
        <f t="shared" si="2"/>
        <v>University Recruiter</v>
      </c>
      <c r="M2551" s="5" t="str">
        <f t="shared" si="3"/>
        <v> </v>
      </c>
      <c r="N2551" s="5" t="str">
        <f t="shared" si="4"/>
        <v>Facebook</v>
      </c>
      <c r="O2551" s="5" t="str">
        <f t="shared" si="5"/>
        <v>4 years 4 months in role</v>
      </c>
      <c r="P2551" s="5" t="str">
        <f t="shared" si="6"/>
        <v>San Francisco</v>
      </c>
      <c r="Q2551" s="5" t="str">
        <f t="shared" si="7"/>
        <v>California</v>
      </c>
      <c r="R2551" s="5" t="str">
        <f t="shared" si="8"/>
        <v>United States</v>
      </c>
    </row>
    <row r="2552">
      <c r="A2552" s="7" t="s">
        <v>1142</v>
      </c>
      <c r="B2552" s="5" t="s">
        <v>1141</v>
      </c>
      <c r="C2552" s="5" t="s">
        <v>110</v>
      </c>
      <c r="D2552" s="6" t="s">
        <v>13</v>
      </c>
      <c r="E2552" s="5" t="s">
        <v>1139</v>
      </c>
      <c r="F2552" s="5" t="s">
        <v>421</v>
      </c>
      <c r="G2552" s="5" t="s">
        <v>833</v>
      </c>
      <c r="H2552" s="5" t="s">
        <v>203</v>
      </c>
      <c r="I2552" s="5" t="s">
        <v>18</v>
      </c>
      <c r="J2552" s="9" t="str">
        <f>IFERROR(__xludf.DUMMYFUNCTION("""COMPUTED_VALUE"""),"https://www.google.com/search?newwindow=1&amp;ei=2MT0XrvGGM-vytMP1OyDgAY&amp;q=site%3Alinkedin.com+Kathleen+Roberts+University+Recruiter+-+Closer+Facebook")</f>
        <v>https://www.google.com/search?newwindow=1&amp;ei=2MT0XrvGGM-vytMP1OyDgAY&amp;q=site%3Alinkedin.com+Kathleen+Roberts+University+Recruiter+-+Closer+Facebook</v>
      </c>
      <c r="K2552" s="5" t="str">
        <f t="shared" si="1"/>
        <v>Kathleen Roberts</v>
      </c>
      <c r="L2552" s="5" t="str">
        <f t="shared" si="2"/>
        <v>University Recruiter - Closer</v>
      </c>
      <c r="M2552" s="5" t="str">
        <f t="shared" si="3"/>
        <v> </v>
      </c>
      <c r="N2552" s="5" t="str">
        <f t="shared" si="4"/>
        <v>Facebook</v>
      </c>
      <c r="O2552" s="5" t="str">
        <f t="shared" si="5"/>
        <v>1 year 5 months in role and company</v>
      </c>
      <c r="P2552" s="5" t="str">
        <f t="shared" si="6"/>
        <v>San Jose</v>
      </c>
      <c r="Q2552" s="5" t="str">
        <f t="shared" si="7"/>
        <v>California</v>
      </c>
      <c r="R2552" s="5" t="str">
        <f t="shared" si="8"/>
        <v>United States</v>
      </c>
    </row>
    <row r="2553">
      <c r="A2553" s="8" t="s">
        <v>1145</v>
      </c>
      <c r="B2553" s="5" t="s">
        <v>1143</v>
      </c>
      <c r="C2553" s="5" t="s">
        <v>1144</v>
      </c>
      <c r="D2553" s="6" t="s">
        <v>13</v>
      </c>
      <c r="E2553" s="5" t="s">
        <v>1139</v>
      </c>
      <c r="F2553" s="5" t="s">
        <v>351</v>
      </c>
      <c r="G2553" s="5" t="s">
        <v>876</v>
      </c>
      <c r="H2553" s="5" t="s">
        <v>184</v>
      </c>
      <c r="I2553" s="5" t="s">
        <v>18</v>
      </c>
      <c r="J2553" s="9" t="str">
        <f>IFERROR(__xludf.DUMMYFUNCTION("""COMPUTED_VALUE"""),"https://www.google.com/search?newwindow=1&amp;ei=2MT0XrvGGM-vytMP1OyDgAY&amp;q=site%3Alinkedin.com+Marina+Moreno+University+Recruiter+Facebook")</f>
        <v>https://www.google.com/search?newwindow=1&amp;ei=2MT0XrvGGM-vytMP1OyDgAY&amp;q=site%3Alinkedin.com+Marina+Moreno+University+Recruiter+Facebook</v>
      </c>
      <c r="K2553" s="5" t="str">
        <f t="shared" si="1"/>
        <v>Marina Moreno</v>
      </c>
      <c r="L2553" s="5" t="str">
        <f t="shared" si="2"/>
        <v>University Recruiter</v>
      </c>
      <c r="M2553" s="5" t="str">
        <f t="shared" si="3"/>
        <v> </v>
      </c>
      <c r="N2553" s="5" t="str">
        <f t="shared" si="4"/>
        <v>Facebook</v>
      </c>
      <c r="O2553" s="5" t="str">
        <f t="shared" si="5"/>
        <v>8 years 11 months in role</v>
      </c>
      <c r="P2553" s="5" t="str">
        <f t="shared" si="6"/>
        <v>San Jose</v>
      </c>
      <c r="Q2553" s="5" t="str">
        <f t="shared" si="7"/>
        <v>California</v>
      </c>
      <c r="R2553" s="5" t="str">
        <f t="shared" si="8"/>
        <v>United States</v>
      </c>
    </row>
    <row r="2554">
      <c r="A2554" s="7" t="s">
        <v>1149</v>
      </c>
      <c r="B2554" s="5" t="s">
        <v>1146</v>
      </c>
      <c r="C2554" s="5" t="s">
        <v>1147</v>
      </c>
      <c r="D2554" s="6" t="s">
        <v>13</v>
      </c>
      <c r="E2554" s="5" t="s">
        <v>1139</v>
      </c>
      <c r="F2554" s="5" t="s">
        <v>1148</v>
      </c>
      <c r="G2554" s="5" t="s">
        <v>1131</v>
      </c>
      <c r="H2554" s="5" t="s">
        <v>203</v>
      </c>
      <c r="I2554" s="5" t="s">
        <v>18</v>
      </c>
      <c r="J2554" s="9" t="str">
        <f>IFERROR(__xludf.DUMMYFUNCTION("""COMPUTED_VALUE"""),"https://www.google.com/search?newwindow=1&amp;ei=2MT0XrvGGM-vytMP1OyDgAY&amp;q=site%3Alinkedin.com+Gwen+Mahurin+University+Recruiter+Facebook")</f>
        <v>https://www.google.com/search?newwindow=1&amp;ei=2MT0XrvGGM-vytMP1OyDgAY&amp;q=site%3Alinkedin.com+Gwen+Mahurin+University+Recruiter+Facebook</v>
      </c>
      <c r="K2554" s="5" t="str">
        <f t="shared" si="1"/>
        <v>Gwen Mahurin</v>
      </c>
      <c r="L2554" s="5" t="str">
        <f t="shared" si="2"/>
        <v>University Recruiter</v>
      </c>
      <c r="M2554" s="5" t="str">
        <f t="shared" si="3"/>
        <v> </v>
      </c>
      <c r="N2554" s="5" t="str">
        <f t="shared" si="4"/>
        <v>Facebook</v>
      </c>
      <c r="O2554" s="5" t="str">
        <f t="shared" si="5"/>
        <v>4 years 1 month in role and company</v>
      </c>
      <c r="P2554" s="5" t="str">
        <f t="shared" si="6"/>
        <v>San Jose</v>
      </c>
      <c r="Q2554" s="5" t="str">
        <f t="shared" si="7"/>
        <v>California</v>
      </c>
      <c r="R2554" s="5" t="str">
        <f t="shared" si="8"/>
        <v>United States</v>
      </c>
    </row>
    <row r="2555">
      <c r="A2555" s="7" t="s">
        <v>1153</v>
      </c>
      <c r="B2555" s="5" t="s">
        <v>1150</v>
      </c>
      <c r="C2555" s="5" t="s">
        <v>110</v>
      </c>
      <c r="D2555" s="6" t="s">
        <v>13</v>
      </c>
      <c r="E2555" s="5" t="s">
        <v>1151</v>
      </c>
      <c r="F2555" s="5" t="s">
        <v>1089</v>
      </c>
      <c r="G2555" s="5" t="s">
        <v>1152</v>
      </c>
      <c r="H2555" s="5" t="s">
        <v>38</v>
      </c>
      <c r="I2555" s="5" t="s">
        <v>18</v>
      </c>
      <c r="J2555" s="9" t="str">
        <f>IFERROR(__xludf.DUMMYFUNCTION("""COMPUTED_VALUE"""),"https://www.google.com/search?newwindow=1&amp;ei=2MT0XrvGGM-vytMP1OyDgAY&amp;q=site%3Alinkedin.com+Emily+Caceres+University+Recruiter+Facebook")</f>
        <v>https://www.google.com/search?newwindow=1&amp;ei=2MT0XrvGGM-vytMP1OyDgAY&amp;q=site%3Alinkedin.com+Emily+Caceres+University+Recruiter+Facebook</v>
      </c>
      <c r="K2555" s="5" t="str">
        <f t="shared" si="1"/>
        <v>Emily Caceres</v>
      </c>
      <c r="L2555" s="5" t="str">
        <f t="shared" si="2"/>
        <v>University Recruiter</v>
      </c>
      <c r="M2555" s="5" t="str">
        <f t="shared" si="3"/>
        <v> </v>
      </c>
      <c r="N2555" s="5" t="str">
        <f t="shared" si="4"/>
        <v>Facebook</v>
      </c>
      <c r="O2555" s="5" t="str">
        <f t="shared" si="5"/>
        <v>4 years 1 month in role and company</v>
      </c>
      <c r="P2555" s="5" t="str">
        <f t="shared" si="6"/>
        <v>San Jose</v>
      </c>
      <c r="Q2555" s="5" t="str">
        <f t="shared" si="7"/>
        <v>California</v>
      </c>
      <c r="R2555" s="5" t="str">
        <f t="shared" si="8"/>
        <v>United States</v>
      </c>
    </row>
    <row r="2556">
      <c r="A2556" s="8" t="s">
        <v>1156</v>
      </c>
      <c r="B2556" s="5" t="s">
        <v>1154</v>
      </c>
      <c r="C2556" s="5" t="s">
        <v>1155</v>
      </c>
      <c r="D2556" s="6" t="s">
        <v>13</v>
      </c>
      <c r="E2556" s="5" t="s">
        <v>1151</v>
      </c>
      <c r="F2556" s="5" t="s">
        <v>60</v>
      </c>
      <c r="G2556" s="5" t="s">
        <v>833</v>
      </c>
      <c r="H2556" s="5" t="s">
        <v>203</v>
      </c>
      <c r="I2556" s="5" t="s">
        <v>18</v>
      </c>
      <c r="J2556" s="9" t="str">
        <f>IFERROR(__xludf.DUMMYFUNCTION("""COMPUTED_VALUE"""),"https://www.google.com/search?newwindow=1&amp;ei=2MT0XrvGGM-vytMP1OyDgAY&amp;q=site%3Alinkedin.com+Theresa+Kaufman+University+Recruiter+Facebook")</f>
        <v>https://www.google.com/search?newwindow=1&amp;ei=2MT0XrvGGM-vytMP1OyDgAY&amp;q=site%3Alinkedin.com+Theresa+Kaufman+University+Recruiter+Facebook</v>
      </c>
      <c r="K2556" s="5" t="str">
        <f t="shared" si="1"/>
        <v>Theresa Kaufman</v>
      </c>
      <c r="L2556" s="5" t="str">
        <f t="shared" si="2"/>
        <v>University Recruiter</v>
      </c>
      <c r="M2556" s="5" t="str">
        <f t="shared" si="3"/>
        <v> </v>
      </c>
      <c r="N2556" s="5" t="str">
        <f t="shared" si="4"/>
        <v>Facebook</v>
      </c>
      <c r="O2556" s="5" t="str">
        <f t="shared" si="5"/>
        <v>3 years 10 months in role and company</v>
      </c>
      <c r="P2556" s="5" t="str">
        <f t="shared" si="6"/>
        <v>San Jose</v>
      </c>
      <c r="Q2556" s="5" t="str">
        <f t="shared" si="7"/>
        <v>California</v>
      </c>
      <c r="R2556" s="5" t="str">
        <f t="shared" si="8"/>
        <v>United States</v>
      </c>
    </row>
    <row r="2557">
      <c r="A2557" s="8" t="s">
        <v>1159</v>
      </c>
      <c r="B2557" s="5" t="s">
        <v>1157</v>
      </c>
      <c r="C2557" s="5" t="s">
        <v>1158</v>
      </c>
      <c r="D2557" s="6" t="s">
        <v>13</v>
      </c>
      <c r="E2557" s="5" t="s">
        <v>1151</v>
      </c>
      <c r="F2557" s="5" t="s">
        <v>430</v>
      </c>
      <c r="G2557" s="6" t="s">
        <v>64</v>
      </c>
      <c r="H2557" s="6" t="s">
        <v>65</v>
      </c>
      <c r="I2557" s="5" t="s">
        <v>18</v>
      </c>
      <c r="J2557" s="9" t="str">
        <f>IFERROR(__xludf.DUMMYFUNCTION("""COMPUTED_VALUE"""),"https://www.google.com/search?newwindow=1&amp;ei=2MT0XrvGGM-vytMP1OyDgAY&amp;q=site%3Alinkedin.com+Kel+Lau+University+Recruiter+Facebook")</f>
        <v>https://www.google.com/search?newwindow=1&amp;ei=2MT0XrvGGM-vytMP1OyDgAY&amp;q=site%3Alinkedin.com+Kel+Lau+University+Recruiter+Facebook</v>
      </c>
      <c r="K2557" s="5" t="str">
        <f t="shared" si="1"/>
        <v>Kel Lau</v>
      </c>
      <c r="L2557" s="5" t="str">
        <f t="shared" si="2"/>
        <v>University Recruiter</v>
      </c>
      <c r="M2557" s="5" t="str">
        <f t="shared" si="3"/>
        <v> </v>
      </c>
      <c r="N2557" s="5" t="str">
        <f t="shared" si="4"/>
        <v>Facebook</v>
      </c>
      <c r="O2557" s="5" t="str">
        <f t="shared" si="5"/>
        <v>2 years 2 months in role</v>
      </c>
      <c r="P2557" s="5" t="str">
        <f t="shared" si="6"/>
        <v>San Mateo</v>
      </c>
      <c r="Q2557" s="5" t="str">
        <f t="shared" si="7"/>
        <v>California</v>
      </c>
      <c r="R2557" s="5" t="str">
        <f t="shared" si="8"/>
        <v>United States</v>
      </c>
    </row>
    <row r="2558">
      <c r="A2558" s="7" t="s">
        <v>1162</v>
      </c>
      <c r="B2558" s="5" t="s">
        <v>1160</v>
      </c>
      <c r="C2558" s="5" t="s">
        <v>404</v>
      </c>
      <c r="D2558" s="6" t="s">
        <v>13</v>
      </c>
      <c r="E2558" s="5" t="s">
        <v>1161</v>
      </c>
      <c r="F2558" s="5" t="s">
        <v>136</v>
      </c>
      <c r="G2558" s="5" t="s">
        <v>16</v>
      </c>
      <c r="H2558" s="5" t="s">
        <v>17</v>
      </c>
      <c r="I2558" s="5" t="s">
        <v>18</v>
      </c>
      <c r="J2558" s="9" t="str">
        <f>IFERROR(__xludf.DUMMYFUNCTION("""COMPUTED_VALUE"""),"https://www.google.com/search?newwindow=1&amp;ei=2MT0XrvGGM-vytMP1OyDgAY&amp;q=site%3Alinkedin.com+Stephanie+Roesbery+University+Recruiter+|+Infrastructure+Foundation+Facebook")</f>
        <v>https://www.google.com/search?newwindow=1&amp;ei=2MT0XrvGGM-vytMP1OyDgAY&amp;q=site%3Alinkedin.com+Stephanie+Roesbery+University+Recruiter+|+Infrastructure+Foundation+Facebook</v>
      </c>
      <c r="K2558" s="5" t="str">
        <f t="shared" si="1"/>
        <v>Stephanie Roesbery</v>
      </c>
      <c r="L2558" s="5" t="str">
        <f t="shared" si="2"/>
        <v>University Recruiter | Infrastructure Foundation</v>
      </c>
      <c r="M2558" s="5" t="str">
        <f t="shared" si="3"/>
        <v> </v>
      </c>
      <c r="N2558" s="5" t="str">
        <f t="shared" si="4"/>
        <v>Facebook</v>
      </c>
      <c r="O2558" s="5" t="str">
        <f t="shared" si="5"/>
        <v>2 years 9 months in role and company</v>
      </c>
      <c r="P2558" s="5" t="str">
        <f t="shared" si="6"/>
        <v>San Ramon</v>
      </c>
      <c r="Q2558" s="5" t="str">
        <f t="shared" si="7"/>
        <v>California</v>
      </c>
      <c r="R2558" s="5" t="str">
        <f t="shared" si="8"/>
        <v>United States</v>
      </c>
    </row>
    <row r="2559">
      <c r="A2559" s="7" t="s">
        <v>1165</v>
      </c>
      <c r="B2559" s="5" t="s">
        <v>1163</v>
      </c>
      <c r="C2559" s="5" t="s">
        <v>1164</v>
      </c>
      <c r="D2559" s="6" t="s">
        <v>13</v>
      </c>
      <c r="E2559" s="5" t="s">
        <v>1161</v>
      </c>
      <c r="F2559" s="5" t="s">
        <v>84</v>
      </c>
      <c r="G2559" s="5" t="s">
        <v>16</v>
      </c>
      <c r="H2559" s="5" t="s">
        <v>17</v>
      </c>
      <c r="I2559" s="5" t="s">
        <v>18</v>
      </c>
      <c r="J2559" s="9" t="str">
        <f>IFERROR(__xludf.DUMMYFUNCTION("""COMPUTED_VALUE"""),"https://www.google.com/search?newwindow=1&amp;ei=2MT0XrvGGM-vytMP1OyDgAY&amp;q=site%3Alinkedin.com+Lucía+Arévalo+Valeta+University+Recruiter,+Diversity+Facebook")</f>
        <v>https://www.google.com/search?newwindow=1&amp;ei=2MT0XrvGGM-vytMP1OyDgAY&amp;q=site%3Alinkedin.com+Lucía+Arévalo+Valeta+University+Recruiter,+Diversity+Facebook</v>
      </c>
      <c r="K2559" s="5" t="str">
        <f t="shared" si="1"/>
        <v>Lucía Arévalo Valeta</v>
      </c>
      <c r="L2559" s="5" t="str">
        <f t="shared" si="2"/>
        <v>University Recruiter, Diversity</v>
      </c>
      <c r="M2559" s="5" t="str">
        <f t="shared" si="3"/>
        <v> </v>
      </c>
      <c r="N2559" s="5" t="str">
        <f t="shared" si="4"/>
        <v>Facebook</v>
      </c>
      <c r="O2559" s="5" t="str">
        <f t="shared" si="5"/>
        <v>10 months in role</v>
      </c>
      <c r="P2559" s="5" t="str">
        <f t="shared" si="6"/>
        <v>Santa Clara</v>
      </c>
      <c r="Q2559" s="5" t="str">
        <f t="shared" si="7"/>
        <v>California</v>
      </c>
      <c r="R2559" s="5" t="str">
        <f t="shared" si="8"/>
        <v>United States</v>
      </c>
    </row>
    <row r="2560">
      <c r="A2560" s="7" t="s">
        <v>1168</v>
      </c>
      <c r="B2560" s="5" t="s">
        <v>1166</v>
      </c>
      <c r="C2560" s="5" t="s">
        <v>1167</v>
      </c>
      <c r="D2560" s="6" t="s">
        <v>13</v>
      </c>
      <c r="E2560" s="5" t="s">
        <v>1161</v>
      </c>
      <c r="F2560" s="5" t="s">
        <v>283</v>
      </c>
      <c r="G2560" s="5" t="s">
        <v>153</v>
      </c>
      <c r="H2560" s="5" t="s">
        <v>154</v>
      </c>
      <c r="I2560" s="5" t="s">
        <v>18</v>
      </c>
      <c r="J2560" s="9" t="str">
        <f>IFERROR(__xludf.DUMMYFUNCTION("""COMPUTED_VALUE"""),"https://www.google.com/search?newwindow=1&amp;ei=2MT0XrvGGM-vytMP1OyDgAY&amp;q=site%3Alinkedin.com+Urooj+S.+University+Recruiter+Facebook")</f>
        <v>https://www.google.com/search?newwindow=1&amp;ei=2MT0XrvGGM-vytMP1OyDgAY&amp;q=site%3Alinkedin.com+Urooj+S.+University+Recruiter+Facebook</v>
      </c>
      <c r="K2560" s="5" t="str">
        <f t="shared" si="1"/>
        <v>Urooj S.</v>
      </c>
      <c r="L2560" s="5" t="str">
        <f t="shared" si="2"/>
        <v>University Recruiter</v>
      </c>
      <c r="M2560" s="5" t="str">
        <f t="shared" si="3"/>
        <v> </v>
      </c>
      <c r="N2560" s="5" t="str">
        <f t="shared" si="4"/>
        <v>Facebook</v>
      </c>
      <c r="O2560" s="5" t="str">
        <f t="shared" si="5"/>
        <v>2 years 6 months in role</v>
      </c>
      <c r="P2560" s="5" t="str">
        <f t="shared" si="6"/>
        <v>Santa Clara</v>
      </c>
      <c r="Q2560" s="5" t="str">
        <f t="shared" si="7"/>
        <v>California</v>
      </c>
      <c r="R2560" s="5" t="str">
        <f t="shared" si="8"/>
        <v>United States</v>
      </c>
    </row>
    <row r="2561">
      <c r="A2561" s="8" t="s">
        <v>1171</v>
      </c>
      <c r="B2561" s="5" t="s">
        <v>1169</v>
      </c>
      <c r="C2561" s="5" t="s">
        <v>1170</v>
      </c>
      <c r="D2561" s="6" t="s">
        <v>13</v>
      </c>
      <c r="E2561" s="5" t="s">
        <v>1161</v>
      </c>
      <c r="F2561" s="5" t="s">
        <v>217</v>
      </c>
      <c r="G2561" s="5" t="s">
        <v>153</v>
      </c>
      <c r="H2561" s="5" t="s">
        <v>154</v>
      </c>
      <c r="I2561" s="5" t="s">
        <v>18</v>
      </c>
      <c r="J2561" s="9" t="str">
        <f>IFERROR(__xludf.DUMMYFUNCTION("""COMPUTED_VALUE"""),"https://www.google.com/search?newwindow=1&amp;ei=2MT0XrvGGM-vytMP1OyDgAY&amp;q=site%3Alinkedin.com+Emilio+Arias+(He/Him)+University+Recruiter+-+Production+Engineering+Facebook")</f>
        <v>https://www.google.com/search?newwindow=1&amp;ei=2MT0XrvGGM-vytMP1OyDgAY&amp;q=site%3Alinkedin.com+Emilio+Arias+(He/Him)+University+Recruiter+-+Production+Engineering+Facebook</v>
      </c>
      <c r="K2561" s="5" t="str">
        <f t="shared" si="1"/>
        <v>Emilio Arias (He/Him)</v>
      </c>
      <c r="L2561" s="5" t="str">
        <f t="shared" si="2"/>
        <v>University Recruiter - Production Engineering</v>
      </c>
      <c r="M2561" s="5" t="str">
        <f t="shared" si="3"/>
        <v> </v>
      </c>
      <c r="N2561" s="5" t="str">
        <f t="shared" si="4"/>
        <v>Facebook</v>
      </c>
      <c r="O2561" s="5" t="str">
        <f t="shared" si="5"/>
        <v>10 months in role</v>
      </c>
      <c r="P2561" s="5" t="str">
        <f t="shared" si="6"/>
        <v>Seattle</v>
      </c>
      <c r="Q2561" s="5" t="str">
        <f t="shared" si="7"/>
        <v>Washington</v>
      </c>
      <c r="R2561" s="5" t="str">
        <f t="shared" si="8"/>
        <v>United States</v>
      </c>
    </row>
    <row r="2562">
      <c r="A2562" s="7" t="s">
        <v>1173</v>
      </c>
      <c r="B2562" s="5" t="s">
        <v>1166</v>
      </c>
      <c r="C2562" s="5" t="s">
        <v>1172</v>
      </c>
      <c r="D2562" s="6" t="s">
        <v>13</v>
      </c>
      <c r="E2562" s="5" t="s">
        <v>1161</v>
      </c>
      <c r="F2562" s="5" t="s">
        <v>523</v>
      </c>
      <c r="G2562" s="5" t="s">
        <v>153</v>
      </c>
      <c r="H2562" s="5" t="s">
        <v>154</v>
      </c>
      <c r="I2562" s="5" t="s">
        <v>18</v>
      </c>
      <c r="J2562" s="9" t="str">
        <f>IFERROR(__xludf.DUMMYFUNCTION("""COMPUTED_VALUE"""),"https://www.google.com/search?newwindow=1&amp;ei=2MT0XrvGGM-vytMP1OyDgAY&amp;q=site%3Alinkedin.com+Lawrence+A.+Lucas+III+University+Recruiter+Facebook")</f>
        <v>https://www.google.com/search?newwindow=1&amp;ei=2MT0XrvGGM-vytMP1OyDgAY&amp;q=site%3Alinkedin.com+Lawrence+A.+Lucas+III+University+Recruiter+Facebook</v>
      </c>
      <c r="K2562" s="5" t="str">
        <f t="shared" si="1"/>
        <v>Lawrence A. Lucas III</v>
      </c>
      <c r="L2562" s="5" t="str">
        <f t="shared" si="2"/>
        <v>University Recruiter</v>
      </c>
      <c r="M2562" s="5" t="str">
        <f t="shared" si="3"/>
        <v> </v>
      </c>
      <c r="N2562" s="5" t="str">
        <f t="shared" si="4"/>
        <v>Facebook</v>
      </c>
      <c r="O2562" s="5" t="str">
        <f t="shared" si="5"/>
        <v>1 year 5 months in role and company</v>
      </c>
      <c r="P2562" s="5" t="str">
        <f t="shared" si="6"/>
        <v>Seattle</v>
      </c>
      <c r="Q2562" s="5" t="str">
        <f t="shared" si="7"/>
        <v>Washington</v>
      </c>
      <c r="R2562" s="5" t="str">
        <f t="shared" si="8"/>
        <v>United States</v>
      </c>
    </row>
    <row r="2563">
      <c r="A2563" s="7" t="s">
        <v>1176</v>
      </c>
      <c r="B2563" s="5" t="s">
        <v>1174</v>
      </c>
      <c r="C2563" s="5" t="s">
        <v>1175</v>
      </c>
      <c r="D2563" s="6" t="s">
        <v>13</v>
      </c>
      <c r="E2563" s="5" t="s">
        <v>1161</v>
      </c>
      <c r="F2563" s="5" t="s">
        <v>165</v>
      </c>
      <c r="G2563" s="5" t="s">
        <v>153</v>
      </c>
      <c r="H2563" s="5" t="s">
        <v>154</v>
      </c>
      <c r="I2563" s="5" t="s">
        <v>18</v>
      </c>
      <c r="J2563" s="9" t="str">
        <f>IFERROR(__xludf.DUMMYFUNCTION("""COMPUTED_VALUE"""),"https://www.google.com/search?newwindow=1&amp;ei=2MT0XrvGGM-vytMP1OyDgAY&amp;q=site%3Alinkedin.com+Erin+Johnson+University+Recruiter,+Analytics+Facebook")</f>
        <v>https://www.google.com/search?newwindow=1&amp;ei=2MT0XrvGGM-vytMP1OyDgAY&amp;q=site%3Alinkedin.com+Erin+Johnson+University+Recruiter,+Analytics+Facebook</v>
      </c>
      <c r="K2563" s="5" t="str">
        <f t="shared" si="1"/>
        <v>Erin Johnson</v>
      </c>
      <c r="L2563" s="5" t="str">
        <f t="shared" si="2"/>
        <v>University Recruiter, Analytics</v>
      </c>
      <c r="M2563" s="5" t="str">
        <f t="shared" si="3"/>
        <v> </v>
      </c>
      <c r="N2563" s="5" t="str">
        <f t="shared" si="4"/>
        <v>Facebook</v>
      </c>
      <c r="O2563" s="5" t="str">
        <f t="shared" si="5"/>
        <v>1 year  in role and company</v>
      </c>
      <c r="P2563" s="5" t="str">
        <f t="shared" si="6"/>
        <v>Seattle</v>
      </c>
      <c r="Q2563" s="5" t="str">
        <f t="shared" si="7"/>
        <v>Washington</v>
      </c>
      <c r="R2563" s="5" t="str">
        <f t="shared" si="8"/>
        <v>United States</v>
      </c>
    </row>
    <row r="2564">
      <c r="A2564" s="7" t="s">
        <v>1178</v>
      </c>
      <c r="B2564" s="5" t="s">
        <v>1177</v>
      </c>
      <c r="C2564" s="5" t="s">
        <v>404</v>
      </c>
      <c r="D2564" s="6" t="s">
        <v>13</v>
      </c>
      <c r="E2564" s="5" t="s">
        <v>1161</v>
      </c>
      <c r="F2564" s="5" t="s">
        <v>686</v>
      </c>
      <c r="G2564" s="5" t="s">
        <v>153</v>
      </c>
      <c r="H2564" s="5" t="s">
        <v>154</v>
      </c>
      <c r="I2564" s="5" t="s">
        <v>18</v>
      </c>
      <c r="J2564" s="9" t="str">
        <f>IFERROR(__xludf.DUMMYFUNCTION("""COMPUTED_VALUE"""),"https://www.google.com/search?newwindow=1&amp;ei=2MT0XrvGGM-vytMP1OyDgAY&amp;q=site%3Alinkedin.com+Stefanie+Chorianopoulos+Full+Cycle+University+Recruiter+Facebook")</f>
        <v>https://www.google.com/search?newwindow=1&amp;ei=2MT0XrvGGM-vytMP1OyDgAY&amp;q=site%3Alinkedin.com+Stefanie+Chorianopoulos+Full+Cycle+University+Recruiter+Facebook</v>
      </c>
      <c r="K2564" s="5" t="str">
        <f t="shared" si="1"/>
        <v>Stefanie Chorianopoulos</v>
      </c>
      <c r="L2564" s="5" t="str">
        <f t="shared" si="2"/>
        <v>Full Cycle University Recruiter</v>
      </c>
      <c r="M2564" s="5" t="str">
        <f t="shared" si="3"/>
        <v> </v>
      </c>
      <c r="N2564" s="5" t="str">
        <f t="shared" si="4"/>
        <v>Facebook</v>
      </c>
      <c r="O2564" s="5" t="str">
        <f t="shared" si="5"/>
        <v>2 years 3 months in role and company</v>
      </c>
      <c r="P2564" s="5" t="str">
        <f t="shared" si="6"/>
        <v>Seattle</v>
      </c>
      <c r="Q2564" s="5" t="str">
        <f t="shared" si="7"/>
        <v>Washington</v>
      </c>
      <c r="R2564" s="5" t="str">
        <f t="shared" si="8"/>
        <v>United States</v>
      </c>
    </row>
    <row r="2565">
      <c r="A2565" s="7" t="s">
        <v>1181</v>
      </c>
      <c r="B2565" s="5" t="s">
        <v>1179</v>
      </c>
      <c r="C2565" s="5" t="s">
        <v>1180</v>
      </c>
      <c r="D2565" s="5" t="s">
        <v>4</v>
      </c>
      <c r="E2565" s="5" t="s">
        <v>1161</v>
      </c>
      <c r="F2565" s="5" t="s">
        <v>890</v>
      </c>
      <c r="G2565" s="5" t="s">
        <v>153</v>
      </c>
      <c r="H2565" s="5" t="s">
        <v>154</v>
      </c>
      <c r="I2565" s="5" t="s">
        <v>18</v>
      </c>
      <c r="J2565" s="9" t="str">
        <f>IFERROR(__xludf.DUMMYFUNCTION("""COMPUTED_VALUE"""),"https://www.google.com/search?newwindow=1&amp;ei=2MT0XrvGGM-vytMP1OyDgAY&amp;q=site%3Alinkedin.com+Bill+Haughney+University+Recruiter+Facebook")</f>
        <v>https://www.google.com/search?newwindow=1&amp;ei=2MT0XrvGGM-vytMP1OyDgAY&amp;q=site%3Alinkedin.com+Bill+Haughney+University+Recruiter+Facebook</v>
      </c>
      <c r="K2565" s="5" t="str">
        <f t="shared" si="1"/>
        <v>Bill Haughney</v>
      </c>
      <c r="L2565" s="5" t="str">
        <f t="shared" si="2"/>
        <v>University Recruiter</v>
      </c>
      <c r="M2565" s="5" t="str">
        <f t="shared" si="3"/>
        <v> </v>
      </c>
      <c r="N2565" s="5" t="str">
        <f t="shared" si="4"/>
        <v>Facebook</v>
      </c>
      <c r="O2565" s="5" t="str">
        <f t="shared" si="5"/>
        <v>5 years 4 months in role and company</v>
      </c>
      <c r="P2565" s="5" t="str">
        <f t="shared" si="6"/>
        <v>Seattle</v>
      </c>
      <c r="Q2565" s="5" t="str">
        <f t="shared" si="7"/>
        <v>Washington</v>
      </c>
      <c r="R2565" s="5" t="str">
        <f t="shared" si="8"/>
        <v>United States</v>
      </c>
    </row>
    <row r="2566">
      <c r="A2566" s="7" t="s">
        <v>1176</v>
      </c>
      <c r="B2566" s="5" t="s">
        <v>1174</v>
      </c>
      <c r="C2566" s="5" t="s">
        <v>1175</v>
      </c>
      <c r="D2566" s="6" t="s">
        <v>13</v>
      </c>
      <c r="E2566" s="5" t="s">
        <v>1161</v>
      </c>
      <c r="F2566" s="5" t="s">
        <v>165</v>
      </c>
      <c r="G2566" s="5" t="s">
        <v>153</v>
      </c>
      <c r="H2566" s="5" t="s">
        <v>154</v>
      </c>
      <c r="I2566" s="5" t="s">
        <v>18</v>
      </c>
      <c r="J2566" s="9" t="str">
        <f>IFERROR(__xludf.DUMMYFUNCTION("""COMPUTED_VALUE"""),"https://www.google.com/search?newwindow=1&amp;ei=2MT0XrvGGM-vytMP1OyDgAY&amp;q=site%3Alinkedin.com+Scott+Flanary+Senior+University+Recruiter,+Full-Cycle+Recruiting+for+Product+and+Analytics+Facebook")</f>
        <v>https://www.google.com/search?newwindow=1&amp;ei=2MT0XrvGGM-vytMP1OyDgAY&amp;q=site%3Alinkedin.com+Scott+Flanary+Senior+University+Recruiter,+Full-Cycle+Recruiting+for+Product+and+Analytics+Facebook</v>
      </c>
      <c r="K2566" s="5" t="str">
        <f t="shared" si="1"/>
        <v>Scott Flanary</v>
      </c>
      <c r="L2566" s="5" t="str">
        <f t="shared" si="2"/>
        <v>Senior University Recruiter, Full-Cycle Recruiting for Product and Analytics</v>
      </c>
      <c r="M2566" s="5" t="str">
        <f t="shared" si="3"/>
        <v> </v>
      </c>
      <c r="N2566" s="5" t="str">
        <f t="shared" si="4"/>
        <v>Facebook</v>
      </c>
      <c r="O2566" s="5" t="str">
        <f t="shared" si="5"/>
        <v>2 years 1 month in role and company</v>
      </c>
      <c r="P2566" s="5" t="str">
        <f t="shared" si="6"/>
        <v>Seattle</v>
      </c>
      <c r="Q2566" s="5" t="str">
        <f t="shared" si="7"/>
        <v>Washington</v>
      </c>
      <c r="R2566" s="5" t="str">
        <f t="shared" si="8"/>
        <v>United States</v>
      </c>
    </row>
    <row r="2567">
      <c r="A2567" s="7" t="s">
        <v>1184</v>
      </c>
      <c r="B2567" s="5" t="s">
        <v>1182</v>
      </c>
      <c r="C2567" s="5" t="s">
        <v>1183</v>
      </c>
      <c r="D2567" s="6" t="s">
        <v>13</v>
      </c>
      <c r="E2567" s="5" t="s">
        <v>1161</v>
      </c>
      <c r="F2567" s="5" t="s">
        <v>523</v>
      </c>
      <c r="G2567" s="5" t="s">
        <v>153</v>
      </c>
      <c r="H2567" s="5" t="s">
        <v>154</v>
      </c>
      <c r="I2567" s="5" t="s">
        <v>18</v>
      </c>
      <c r="J2567" s="9" t="str">
        <f>IFERROR(__xludf.DUMMYFUNCTION("""COMPUTED_VALUE"""),"https://www.google.com/search?newwindow=1&amp;ei=2MT0XrvGGM-vytMP1OyDgAY&amp;q=site%3Alinkedin.com+Hayley+Mesojednik+University+Recruiter+-+Early+Career+Facebook")</f>
        <v>https://www.google.com/search?newwindow=1&amp;ei=2MT0XrvGGM-vytMP1OyDgAY&amp;q=site%3Alinkedin.com+Hayley+Mesojednik+University+Recruiter+-+Early+Career+Facebook</v>
      </c>
      <c r="K2567" s="5" t="str">
        <f t="shared" si="1"/>
        <v>Hayley Mesojednik</v>
      </c>
      <c r="L2567" s="5" t="str">
        <f t="shared" si="2"/>
        <v>University Recruiter - Early Career</v>
      </c>
      <c r="M2567" s="5" t="str">
        <f t="shared" si="3"/>
        <v> </v>
      </c>
      <c r="N2567" s="5" t="str">
        <f t="shared" si="4"/>
        <v>Facebook</v>
      </c>
      <c r="O2567" s="5" t="str">
        <f t="shared" si="5"/>
        <v>7 months in role and company</v>
      </c>
      <c r="P2567" s="5" t="str">
        <f t="shared" si="6"/>
        <v>Seattle</v>
      </c>
      <c r="Q2567" s="5" t="str">
        <f t="shared" si="7"/>
        <v>Washington</v>
      </c>
      <c r="R2567" s="5" t="str">
        <f t="shared" si="8"/>
        <v>United States</v>
      </c>
    </row>
    <row r="2568">
      <c r="A2568" s="7" t="s">
        <v>1188</v>
      </c>
      <c r="B2568" s="5" t="s">
        <v>1185</v>
      </c>
      <c r="C2568" s="5" t="s">
        <v>25</v>
      </c>
      <c r="D2568" s="6" t="s">
        <v>13</v>
      </c>
      <c r="E2568" s="5" t="s">
        <v>1186</v>
      </c>
      <c r="G2568" s="5" t="s">
        <v>1187</v>
      </c>
      <c r="H2568" s="5" t="s">
        <v>96</v>
      </c>
      <c r="I2568" s="5" t="s">
        <v>18</v>
      </c>
      <c r="J2568" s="9" t="str">
        <f>IFERROR(__xludf.DUMMYFUNCTION("""COMPUTED_VALUE"""),"https://www.google.com/search?newwindow=1&amp;ei=2MT0XrvGGM-vytMP1OyDgAY&amp;q=site%3Alinkedin.com+Laura+Amrein+University+Recruiter,+Analytics+Facebook")</f>
        <v>https://www.google.com/search?newwindow=1&amp;ei=2MT0XrvGGM-vytMP1OyDgAY&amp;q=site%3Alinkedin.com+Laura+Amrein+University+Recruiter,+Analytics+Facebook</v>
      </c>
      <c r="K2568" s="5" t="str">
        <f t="shared" si="1"/>
        <v>Laura Amrein</v>
      </c>
      <c r="L2568" s="5" t="str">
        <f t="shared" si="2"/>
        <v>University Recruiter, Analytics</v>
      </c>
      <c r="M2568" s="5" t="str">
        <f t="shared" si="3"/>
        <v> </v>
      </c>
      <c r="N2568" s="5" t="str">
        <f t="shared" si="4"/>
        <v>Facebook</v>
      </c>
      <c r="O2568" s="5" t="str">
        <f t="shared" si="5"/>
        <v>1 year 4 months in role and company</v>
      </c>
      <c r="P2568" s="5" t="str">
        <f t="shared" si="6"/>
        <v>Seattle</v>
      </c>
      <c r="Q2568" s="5" t="str">
        <f t="shared" si="7"/>
        <v>Washington</v>
      </c>
      <c r="R2568" s="5" t="str">
        <f t="shared" si="8"/>
        <v>United States</v>
      </c>
    </row>
    <row r="2569">
      <c r="A2569" s="8" t="s">
        <v>1191</v>
      </c>
      <c r="B2569" s="5" t="s">
        <v>1189</v>
      </c>
      <c r="C2569" s="5" t="s">
        <v>1190</v>
      </c>
      <c r="D2569" s="6" t="s">
        <v>13</v>
      </c>
      <c r="E2569" s="5" t="s">
        <v>1186</v>
      </c>
      <c r="F2569" s="5" t="s">
        <v>241</v>
      </c>
      <c r="G2569" s="5" t="s">
        <v>137</v>
      </c>
      <c r="H2569" s="5" t="s">
        <v>137</v>
      </c>
      <c r="I2569" s="5" t="s">
        <v>18</v>
      </c>
      <c r="J2569" s="9" t="str">
        <f>IFERROR(__xludf.DUMMYFUNCTION("""COMPUTED_VALUE"""),"https://www.google.com/search?newwindow=1&amp;ei=2MT0XrvGGM-vytMP1OyDgAY&amp;q=site%3Alinkedin.com+Christina+Koike+University+Recruiter+Facebook")</f>
        <v>https://www.google.com/search?newwindow=1&amp;ei=2MT0XrvGGM-vytMP1OyDgAY&amp;q=site%3Alinkedin.com+Christina+Koike+University+Recruiter+Facebook</v>
      </c>
      <c r="K2569" s="5" t="str">
        <f t="shared" si="1"/>
        <v>Christina Koike</v>
      </c>
      <c r="L2569" s="5" t="str">
        <f t="shared" si="2"/>
        <v>University Recruiter</v>
      </c>
      <c r="M2569" s="5" t="str">
        <f t="shared" si="3"/>
        <v> </v>
      </c>
      <c r="N2569" s="5" t="str">
        <f t="shared" si="4"/>
        <v>Facebook</v>
      </c>
      <c r="O2569" s="5" t="str">
        <f t="shared" si="5"/>
        <v>3 years 10 months in role and company</v>
      </c>
      <c r="P2569" s="5" t="str">
        <f t="shared" si="6"/>
        <v>Seattle</v>
      </c>
      <c r="Q2569" s="5" t="str">
        <f t="shared" si="7"/>
        <v>Washington</v>
      </c>
      <c r="R2569" s="5" t="str">
        <f t="shared" si="8"/>
        <v>United States</v>
      </c>
    </row>
    <row r="2570">
      <c r="A2570" s="7" t="s">
        <v>1195</v>
      </c>
      <c r="B2570" s="5" t="s">
        <v>1192</v>
      </c>
      <c r="C2570" s="5" t="s">
        <v>1193</v>
      </c>
      <c r="D2570" s="6" t="s">
        <v>13</v>
      </c>
      <c r="E2570" s="5" t="s">
        <v>1186</v>
      </c>
      <c r="F2570" s="5" t="s">
        <v>1194</v>
      </c>
      <c r="G2570" s="5" t="s">
        <v>137</v>
      </c>
      <c r="H2570" s="5" t="s">
        <v>137</v>
      </c>
      <c r="I2570" s="5" t="s">
        <v>18</v>
      </c>
      <c r="J2570" s="9" t="str">
        <f>IFERROR(__xludf.DUMMYFUNCTION("""COMPUTED_VALUE"""),"https://www.google.com/search?newwindow=1&amp;ei=2MT0XrvGGM-vytMP1OyDgAY&amp;q=site%3Alinkedin.com+Melanie+Loud+Recruiter,+University+Recruiting+Facebook")</f>
        <v>https://www.google.com/search?newwindow=1&amp;ei=2MT0XrvGGM-vytMP1OyDgAY&amp;q=site%3Alinkedin.com+Melanie+Loud+Recruiter,+University+Recruiting+Facebook</v>
      </c>
      <c r="K2570" s="5" t="str">
        <f t="shared" si="1"/>
        <v>Melanie Loud</v>
      </c>
      <c r="L2570" s="5" t="str">
        <f t="shared" si="2"/>
        <v>Recruiter, University Recruiting</v>
      </c>
      <c r="M2570" s="5" t="str">
        <f t="shared" si="3"/>
        <v> </v>
      </c>
      <c r="N2570" s="5" t="str">
        <f t="shared" si="4"/>
        <v>Facebook</v>
      </c>
      <c r="O2570" s="5" t="str">
        <f t="shared" si="5"/>
        <v>2 years 7 months in role and company</v>
      </c>
      <c r="P2570" s="5" t="str">
        <f t="shared" si="6"/>
        <v>Seattle</v>
      </c>
      <c r="Q2570" s="5" t="str">
        <f t="shared" si="7"/>
        <v>Washington</v>
      </c>
      <c r="R2570" s="5" t="str">
        <f t="shared" si="8"/>
        <v>United States</v>
      </c>
    </row>
    <row r="2571">
      <c r="A2571" s="7" t="s">
        <v>1198</v>
      </c>
      <c r="B2571" s="5" t="s">
        <v>1196</v>
      </c>
      <c r="C2571" s="5" t="s">
        <v>1197</v>
      </c>
      <c r="D2571" s="6" t="s">
        <v>13</v>
      </c>
      <c r="E2571" s="5" t="s">
        <v>1186</v>
      </c>
      <c r="F2571" s="5" t="s">
        <v>512</v>
      </c>
      <c r="G2571" s="5" t="s">
        <v>137</v>
      </c>
      <c r="H2571" s="5" t="s">
        <v>137</v>
      </c>
      <c r="I2571" s="5" t="s">
        <v>18</v>
      </c>
      <c r="J2571" s="9" t="str">
        <f>IFERROR(__xludf.DUMMYFUNCTION("""COMPUTED_VALUE"""),"https://www.google.com/search?newwindow=1&amp;ei=2MT0XrvGGM-vytMP1OyDgAY&amp;q=site%3Alinkedin.com+Krystle+Sanchez+University+Recruiter+Facebook")</f>
        <v>https://www.google.com/search?newwindow=1&amp;ei=2MT0XrvGGM-vytMP1OyDgAY&amp;q=site%3Alinkedin.com+Krystle+Sanchez+University+Recruiter+Facebook</v>
      </c>
      <c r="K2571" s="5" t="str">
        <f t="shared" si="1"/>
        <v>Krystle Sanchez</v>
      </c>
      <c r="L2571" s="5" t="str">
        <f t="shared" si="2"/>
        <v>University Recruiter</v>
      </c>
      <c r="M2571" s="5" t="str">
        <f t="shared" si="3"/>
        <v> </v>
      </c>
      <c r="N2571" s="5" t="str">
        <f t="shared" si="4"/>
        <v>Facebook</v>
      </c>
      <c r="O2571" s="5" t="str">
        <f t="shared" si="5"/>
        <v>3 years 6 months in role and company</v>
      </c>
      <c r="P2571" s="5" t="str">
        <f t="shared" si="6"/>
        <v>Sunnyvale</v>
      </c>
      <c r="Q2571" s="5" t="str">
        <f t="shared" si="7"/>
        <v>California</v>
      </c>
      <c r="R2571" s="5" t="str">
        <f t="shared" si="8"/>
        <v>United States</v>
      </c>
    </row>
    <row r="2572">
      <c r="A2572" s="8" t="s">
        <v>1201</v>
      </c>
      <c r="B2572" s="5" t="s">
        <v>1199</v>
      </c>
      <c r="C2572" s="5" t="s">
        <v>1200</v>
      </c>
      <c r="D2572" s="6" t="s">
        <v>13</v>
      </c>
      <c r="E2572" s="5" t="s">
        <v>1186</v>
      </c>
      <c r="F2572" s="5" t="s">
        <v>666</v>
      </c>
      <c r="G2572" s="5" t="s">
        <v>137</v>
      </c>
      <c r="H2572" s="5" t="s">
        <v>137</v>
      </c>
      <c r="I2572" s="5" t="s">
        <v>18</v>
      </c>
      <c r="J2572" s="9" t="str">
        <f>IFERROR(__xludf.DUMMYFUNCTION("""COMPUTED_VALUE"""),"https://www.google.com/search?newwindow=1&amp;ei=2MT0XrvGGM-vytMP1OyDgAY&amp;q=site%3Alinkedin.com+Carmen+Ng+University+Recruiter+Facebook")</f>
        <v>https://www.google.com/search?newwindow=1&amp;ei=2MT0XrvGGM-vytMP1OyDgAY&amp;q=site%3Alinkedin.com+Carmen+Ng+University+Recruiter+Facebook</v>
      </c>
      <c r="K2572" s="5" t="str">
        <f t="shared" si="1"/>
        <v>Carmen Ng</v>
      </c>
      <c r="L2572" s="5" t="str">
        <f t="shared" si="2"/>
        <v>University Recruiter</v>
      </c>
      <c r="M2572" s="5" t="str">
        <f t="shared" si="3"/>
        <v> </v>
      </c>
      <c r="N2572" s="5" t="str">
        <f t="shared" si="4"/>
        <v>Facebook</v>
      </c>
      <c r="O2572" s="5" t="str">
        <f t="shared" si="5"/>
        <v>6 years  in role</v>
      </c>
      <c r="P2572" s="5" t="str">
        <f t="shared" si="6"/>
        <v>Sunnyvale</v>
      </c>
      <c r="Q2572" s="5" t="str">
        <f t="shared" si="7"/>
        <v>California</v>
      </c>
      <c r="R2572" s="5" t="str">
        <f t="shared" si="8"/>
        <v>United States</v>
      </c>
    </row>
    <row r="2573">
      <c r="A2573" s="7" t="s">
        <v>1203</v>
      </c>
      <c r="B2573" s="5" t="s">
        <v>1202</v>
      </c>
      <c r="C2573" s="5" t="s">
        <v>25</v>
      </c>
      <c r="D2573" s="6" t="s">
        <v>13</v>
      </c>
      <c r="E2573" s="5" t="s">
        <v>1186</v>
      </c>
      <c r="F2573" s="5" t="s">
        <v>697</v>
      </c>
      <c r="G2573" s="5" t="s">
        <v>137</v>
      </c>
      <c r="H2573" s="5" t="s">
        <v>137</v>
      </c>
      <c r="I2573" s="5" t="s">
        <v>18</v>
      </c>
      <c r="J2573" s="9" t="str">
        <f>IFERROR(__xludf.DUMMYFUNCTION("""COMPUTED_VALUE"""),"https://www.google.com/search?newwindow=1&amp;ei=2MT0XrvGGM-vytMP1OyDgAY&amp;q=site%3Alinkedin.com+Konnie+H.+University+Recruiter+Facebook")</f>
        <v>https://www.google.com/search?newwindow=1&amp;ei=2MT0XrvGGM-vytMP1OyDgAY&amp;q=site%3Alinkedin.com+Konnie+H.+University+Recruiter+Facebook</v>
      </c>
      <c r="K2573" s="5" t="str">
        <f t="shared" si="1"/>
        <v>Konnie H.</v>
      </c>
      <c r="L2573" s="5" t="str">
        <f t="shared" si="2"/>
        <v>University Recruiter</v>
      </c>
      <c r="M2573" s="5" t="str">
        <f t="shared" si="3"/>
        <v> </v>
      </c>
      <c r="N2573" s="5" t="str">
        <f t="shared" si="4"/>
        <v>Facebook</v>
      </c>
      <c r="O2573" s="5" t="str">
        <f t="shared" si="5"/>
        <v>5 years 8 months in role</v>
      </c>
      <c r="P2573" s="5" t="str">
        <f t="shared" si="6"/>
        <v>Union City</v>
      </c>
      <c r="Q2573" s="5" t="str">
        <f t="shared" si="7"/>
        <v>California</v>
      </c>
      <c r="R2573" s="5" t="str">
        <f t="shared" si="8"/>
        <v>United States</v>
      </c>
    </row>
    <row r="2574">
      <c r="A2574" s="7" t="s">
        <v>1205</v>
      </c>
      <c r="B2574" s="5" t="s">
        <v>1204</v>
      </c>
      <c r="C2574" s="5" t="s">
        <v>25</v>
      </c>
      <c r="D2574" s="6" t="s">
        <v>13</v>
      </c>
      <c r="E2574" s="5" t="s">
        <v>1186</v>
      </c>
      <c r="F2574" s="5" t="s">
        <v>144</v>
      </c>
      <c r="G2574" s="5" t="s">
        <v>801</v>
      </c>
      <c r="H2574" s="5" t="s">
        <v>50</v>
      </c>
      <c r="I2574" s="5" t="s">
        <v>18</v>
      </c>
      <c r="J2574" s="9" t="str">
        <f>IFERROR(__xludf.DUMMYFUNCTION("""COMPUTED_VALUE"""),"https://www.google.com/search?newwindow=1&amp;ei=2MT0XrvGGM-vytMP1OyDgAY&amp;q=site%3Alinkedin.com+Rodney+Aziz+Senior+Product+Manager+-+Loyalty+Platforms+Ford+Motor+Company")</f>
        <v>https://www.google.com/search?newwindow=1&amp;ei=2MT0XrvGGM-vytMP1OyDgAY&amp;q=site%3Alinkedin.com+Rodney+Aziz+Senior+Product+Manager+-+Loyalty+Platforms+Ford+Motor+Company</v>
      </c>
      <c r="K2574" s="5" t="str">
        <f t="shared" si="1"/>
        <v>Rodney Aziz</v>
      </c>
      <c r="L2574" s="5" t="str">
        <f t="shared" si="2"/>
        <v>Senior Product Manager - Loyalty Platforms</v>
      </c>
      <c r="M2574" s="5" t="str">
        <f t="shared" si="3"/>
        <v> </v>
      </c>
      <c r="N2574" s="5" t="str">
        <f t="shared" si="4"/>
        <v>Ford Motor Company</v>
      </c>
      <c r="O2574" s="5" t="str">
        <f t="shared" si="5"/>
        <v>11 months in role</v>
      </c>
      <c r="P2574" s="5" t="str">
        <f t="shared" si="6"/>
        <v>Dearborn</v>
      </c>
      <c r="Q2574" s="5" t="str">
        <f t="shared" si="7"/>
        <v>Michigan</v>
      </c>
      <c r="R2574" s="5" t="str">
        <f t="shared" si="8"/>
        <v>United States</v>
      </c>
    </row>
    <row r="2575">
      <c r="A2575" s="8" t="s">
        <v>1208</v>
      </c>
      <c r="B2575" s="5" t="s">
        <v>1206</v>
      </c>
      <c r="C2575" s="5" t="s">
        <v>25</v>
      </c>
      <c r="D2575" s="6" t="s">
        <v>13</v>
      </c>
      <c r="E2575" s="5" t="s">
        <v>1207</v>
      </c>
      <c r="F2575" s="5" t="s">
        <v>48</v>
      </c>
      <c r="G2575" s="5" t="s">
        <v>64</v>
      </c>
      <c r="H2575" s="5" t="s">
        <v>65</v>
      </c>
      <c r="I2575" s="5" t="s">
        <v>18</v>
      </c>
      <c r="J2575" s="9" t="str">
        <f>IFERROR(__xludf.DUMMYFUNCTION("""COMPUTED_VALUE"""),"https://www.google.com/search?newwindow=1&amp;ei=2MT0XrvGGM-vytMP1OyDgAY&amp;q=site%3Alinkedin.com+Shae+Lorenc+Campus+Recruiter+Ford+Motor+Company")</f>
        <v>https://www.google.com/search?newwindow=1&amp;ei=2MT0XrvGGM-vytMP1OyDgAY&amp;q=site%3Alinkedin.com+Shae+Lorenc+Campus+Recruiter+Ford+Motor+Company</v>
      </c>
      <c r="K2575" s="5" t="str">
        <f t="shared" si="1"/>
        <v>Shae Lorenc</v>
      </c>
      <c r="L2575" s="5" t="str">
        <f t="shared" si="2"/>
        <v>Campus Recruiter</v>
      </c>
      <c r="M2575" s="5" t="str">
        <f t="shared" si="3"/>
        <v> </v>
      </c>
      <c r="N2575" s="5" t="str">
        <f t="shared" si="4"/>
        <v>Ford Motor Company</v>
      </c>
      <c r="O2575" s="5" t="str">
        <f t="shared" si="5"/>
        <v>20 years 10 months in role</v>
      </c>
      <c r="P2575" s="5" t="str">
        <f t="shared" si="6"/>
        <v>Dearborn</v>
      </c>
      <c r="Q2575" s="5" t="str">
        <f t="shared" si="7"/>
        <v>Michigan</v>
      </c>
      <c r="R2575" s="5" t="str">
        <f t="shared" si="8"/>
        <v>United States</v>
      </c>
    </row>
    <row r="2576">
      <c r="A2576" s="7" t="s">
        <v>1210</v>
      </c>
      <c r="B2576" s="5" t="s">
        <v>1209</v>
      </c>
      <c r="C2576" s="5" t="s">
        <v>25</v>
      </c>
      <c r="D2576" s="6" t="s">
        <v>13</v>
      </c>
      <c r="E2576" s="5" t="s">
        <v>1207</v>
      </c>
      <c r="F2576" s="5" t="s">
        <v>182</v>
      </c>
      <c r="G2576" s="5" t="s">
        <v>137</v>
      </c>
      <c r="H2576" s="5" t="s">
        <v>137</v>
      </c>
      <c r="I2576" s="5" t="s">
        <v>18</v>
      </c>
      <c r="J2576" s="9" t="str">
        <f>IFERROR(__xludf.DUMMYFUNCTION("""COMPUTED_VALUE"""),"https://www.google.com/search?newwindow=1&amp;ei=2MT0XrvGGM-vytMP1OyDgAY&amp;q=site%3Alinkedin.com+Jessica+Ritter+LTU+Campus+Recruiter+Ford+Motor+Company")</f>
        <v>https://www.google.com/search?newwindow=1&amp;ei=2MT0XrvGGM-vytMP1OyDgAY&amp;q=site%3Alinkedin.com+Jessica+Ritter+LTU+Campus+Recruiter+Ford+Motor+Company</v>
      </c>
      <c r="K2576" s="5" t="str">
        <f t="shared" si="1"/>
        <v>Jessica Ritter</v>
      </c>
      <c r="L2576" s="5" t="str">
        <f t="shared" si="2"/>
        <v>LTU Campus Recruiter</v>
      </c>
      <c r="M2576" s="5" t="str">
        <f t="shared" si="3"/>
        <v> </v>
      </c>
      <c r="N2576" s="5" t="str">
        <f t="shared" si="4"/>
        <v>Ford Motor Company</v>
      </c>
      <c r="O2576" s="5" t="str">
        <f t="shared" si="5"/>
        <v>2 years 3 months in role</v>
      </c>
      <c r="P2576" s="5" t="str">
        <f t="shared" si="6"/>
        <v>Detroit</v>
      </c>
      <c r="Q2576" s="5" t="str">
        <f t="shared" si="7"/>
        <v>Michigan</v>
      </c>
      <c r="R2576" s="5" t="str">
        <f t="shared" si="8"/>
        <v>United States</v>
      </c>
    </row>
    <row r="2577">
      <c r="A2577" s="8" t="s">
        <v>1213</v>
      </c>
      <c r="B2577" s="5" t="s">
        <v>1211</v>
      </c>
      <c r="C2577" s="5" t="s">
        <v>1212</v>
      </c>
      <c r="D2577" s="6" t="s">
        <v>13</v>
      </c>
      <c r="E2577" s="5" t="s">
        <v>1207</v>
      </c>
      <c r="F2577" s="5" t="s">
        <v>421</v>
      </c>
      <c r="G2577" s="5" t="s">
        <v>166</v>
      </c>
      <c r="H2577" s="5" t="s">
        <v>44</v>
      </c>
      <c r="I2577" s="5" t="s">
        <v>18</v>
      </c>
      <c r="J2577" s="9" t="str">
        <f>IFERROR(__xludf.DUMMYFUNCTION("""COMPUTED_VALUE"""),"https://www.google.com/search?newwindow=1&amp;ei=2MT0XrvGGM-vytMP1OyDgAY&amp;q=site%3Alinkedin.com+Jack+Thomas+MSU+Campus+Recruiter+Ford+Motor+Company")</f>
        <v>https://www.google.com/search?newwindow=1&amp;ei=2MT0XrvGGM-vytMP1OyDgAY&amp;q=site%3Alinkedin.com+Jack+Thomas+MSU+Campus+Recruiter+Ford+Motor+Company</v>
      </c>
      <c r="K2577" s="5" t="str">
        <f t="shared" si="1"/>
        <v>Jack Thomas</v>
      </c>
      <c r="L2577" s="5" t="str">
        <f t="shared" si="2"/>
        <v>MSU Campus Recruiter</v>
      </c>
      <c r="M2577" s="5" t="str">
        <f t="shared" si="3"/>
        <v> </v>
      </c>
      <c r="N2577" s="5" t="str">
        <f t="shared" si="4"/>
        <v>Ford Motor Company</v>
      </c>
      <c r="O2577" s="5" t="str">
        <f t="shared" si="5"/>
        <v>5 years 10 months in role and company</v>
      </c>
      <c r="P2577" s="5" t="str">
        <f t="shared" si="6"/>
        <v>St Clair Shores</v>
      </c>
      <c r="Q2577" s="5" t="str">
        <f t="shared" si="7"/>
        <v>Michigan</v>
      </c>
      <c r="R2577" s="5" t="str">
        <f t="shared" si="8"/>
        <v>United States</v>
      </c>
    </row>
    <row r="2578">
      <c r="A2578" s="7" t="s">
        <v>1215</v>
      </c>
      <c r="B2578" s="5" t="s">
        <v>1214</v>
      </c>
      <c r="C2578" s="5" t="s">
        <v>25</v>
      </c>
      <c r="D2578" s="6" t="s">
        <v>13</v>
      </c>
      <c r="E2578" s="5" t="s">
        <v>1207</v>
      </c>
      <c r="F2578" s="5" t="s">
        <v>36</v>
      </c>
      <c r="G2578" s="5" t="s">
        <v>1022</v>
      </c>
      <c r="H2578" s="5" t="s">
        <v>264</v>
      </c>
      <c r="I2578" s="5" t="s">
        <v>18</v>
      </c>
      <c r="J2578" s="9" t="str">
        <f>IFERROR(__xludf.DUMMYFUNCTION("""COMPUTED_VALUE"""),"https://www.google.com/search?newwindow=1&amp;ei=2MT0XrvGGM-vytMP1OyDgAY&amp;q=site%3Alinkedin.com+McKenzie+Randall,+MAOL+University+Recruiter+Garmin")</f>
        <v>https://www.google.com/search?newwindow=1&amp;ei=2MT0XrvGGM-vytMP1OyDgAY&amp;q=site%3Alinkedin.com+McKenzie+Randall,+MAOL+University+Recruiter+Garmin</v>
      </c>
      <c r="K2578" s="5" t="str">
        <f t="shared" si="1"/>
        <v>McKenzie Randall, MAOL</v>
      </c>
      <c r="L2578" s="5" t="str">
        <f t="shared" si="2"/>
        <v>University Recruiter</v>
      </c>
      <c r="M2578" s="5" t="str">
        <f t="shared" si="3"/>
        <v> </v>
      </c>
      <c r="N2578" s="5" t="str">
        <f t="shared" si="4"/>
        <v>Garmin</v>
      </c>
      <c r="O2578" s="5" t="str">
        <f t="shared" si="5"/>
        <v>9 months in role</v>
      </c>
      <c r="P2578" s="5" t="str">
        <f t="shared" si="6"/>
        <v>Kansas City</v>
      </c>
      <c r="Q2578" s="5" t="str">
        <f t="shared" si="7"/>
        <v>Missouri</v>
      </c>
      <c r="R2578" s="5" t="str">
        <f t="shared" si="8"/>
        <v>United States</v>
      </c>
    </row>
    <row r="2579">
      <c r="A2579" s="8" t="s">
        <v>1219</v>
      </c>
      <c r="B2579" s="5" t="s">
        <v>1216</v>
      </c>
      <c r="C2579" s="5" t="s">
        <v>1217</v>
      </c>
      <c r="D2579" s="6" t="s">
        <v>13</v>
      </c>
      <c r="E2579" s="5" t="s">
        <v>1218</v>
      </c>
      <c r="F2579" s="5" t="s">
        <v>15</v>
      </c>
      <c r="G2579" s="5" t="s">
        <v>37</v>
      </c>
      <c r="H2579" s="5" t="s">
        <v>38</v>
      </c>
      <c r="I2579" s="5" t="s">
        <v>18</v>
      </c>
      <c r="J2579" s="9" t="str">
        <f>IFERROR(__xludf.DUMMYFUNCTION("""COMPUTED_VALUE"""),"https://www.google.com/search?newwindow=1&amp;ei=2MT0XrvGGM-vytMP1OyDgAY&amp;q=site%3Alinkedin.com+Jen+Larson+University+Relations+Recruiter+Garmin")</f>
        <v>https://www.google.com/search?newwindow=1&amp;ei=2MT0XrvGGM-vytMP1OyDgAY&amp;q=site%3Alinkedin.com+Jen+Larson+University+Relations+Recruiter+Garmin</v>
      </c>
      <c r="K2579" s="5" t="str">
        <f t="shared" si="1"/>
        <v>Jen Larson</v>
      </c>
      <c r="L2579" s="5" t="str">
        <f t="shared" si="2"/>
        <v>University Relations Recruiter</v>
      </c>
      <c r="M2579" s="5" t="str">
        <f t="shared" si="3"/>
        <v> </v>
      </c>
      <c r="N2579" s="5" t="str">
        <f t="shared" si="4"/>
        <v>Garmin</v>
      </c>
      <c r="O2579" s="5" t="str">
        <f t="shared" si="5"/>
        <v>3 years  in role and company</v>
      </c>
      <c r="P2579" s="5" t="str">
        <f t="shared" si="6"/>
        <v>Olathe</v>
      </c>
      <c r="Q2579" s="5" t="str">
        <f t="shared" si="7"/>
        <v>Kansas</v>
      </c>
      <c r="R2579" s="5" t="str">
        <f t="shared" si="8"/>
        <v>United States</v>
      </c>
    </row>
    <row r="2580">
      <c r="A2580" s="8" t="s">
        <v>1222</v>
      </c>
      <c r="B2580" s="5" t="s">
        <v>1220</v>
      </c>
      <c r="C2580" s="5" t="s">
        <v>1221</v>
      </c>
      <c r="D2580" s="6" t="s">
        <v>13</v>
      </c>
      <c r="E2580" s="5" t="s">
        <v>1218</v>
      </c>
      <c r="F2580" s="5" t="s">
        <v>446</v>
      </c>
      <c r="G2580" s="5" t="s">
        <v>377</v>
      </c>
      <c r="H2580" s="5" t="s">
        <v>378</v>
      </c>
      <c r="I2580" s="5" t="s">
        <v>18</v>
      </c>
      <c r="J2580" s="9" t="str">
        <f>IFERROR(__xludf.DUMMYFUNCTION("""COMPUTED_VALUE"""),"https://www.google.com/search?newwindow=1&amp;ei=2MT0XrvGGM-vytMP1OyDgAY&amp;q=site%3Alinkedin.com+Caroline+Hamera-Menges+University+Relations+Recruiter+Garmin+International")</f>
        <v>https://www.google.com/search?newwindow=1&amp;ei=2MT0XrvGGM-vytMP1OyDgAY&amp;q=site%3Alinkedin.com+Caroline+Hamera-Menges+University+Relations+Recruiter+Garmin+International</v>
      </c>
      <c r="K2580" s="5" t="str">
        <f t="shared" si="1"/>
        <v>Caroline Hamera-Menges</v>
      </c>
      <c r="L2580" s="5" t="str">
        <f t="shared" si="2"/>
        <v>University Relations Recruiter</v>
      </c>
      <c r="M2580" s="5" t="str">
        <f t="shared" si="3"/>
        <v> </v>
      </c>
      <c r="N2580" s="5" t="str">
        <f t="shared" si="4"/>
        <v>Garmin</v>
      </c>
      <c r="O2580" s="5" t="str">
        <f t="shared" si="5"/>
        <v>1 year  in role and company</v>
      </c>
      <c r="P2580" s="5" t="str">
        <f t="shared" si="6"/>
        <v>Kansas City</v>
      </c>
      <c r="Q2580" s="5" t="str">
        <f t="shared" si="7"/>
        <v>Missouri</v>
      </c>
      <c r="R2580" s="5" t="str">
        <f t="shared" si="8"/>
        <v>United States</v>
      </c>
    </row>
    <row r="2581">
      <c r="A2581" s="7" t="s">
        <v>1225</v>
      </c>
      <c r="B2581" s="5" t="s">
        <v>1223</v>
      </c>
      <c r="C2581" s="5" t="s">
        <v>1224</v>
      </c>
      <c r="D2581" s="6" t="s">
        <v>13</v>
      </c>
      <c r="E2581" s="5" t="s">
        <v>1218</v>
      </c>
      <c r="F2581" s="5" t="s">
        <v>686</v>
      </c>
      <c r="G2581" s="5" t="s">
        <v>112</v>
      </c>
      <c r="H2581" s="5" t="s">
        <v>38</v>
      </c>
      <c r="I2581" s="5" t="s">
        <v>18</v>
      </c>
      <c r="J2581" s="9" t="str">
        <f>IFERROR(__xludf.DUMMYFUNCTION("""COMPUTED_VALUE"""),"https://www.google.com/search?newwindow=1&amp;ei=2MT0XrvGGM-vytMP1OyDgAY&amp;q=site%3Alinkedin.com+Kourtney+Welch+University+Relations+Recruiter+Garmin+International")</f>
        <v>https://www.google.com/search?newwindow=1&amp;ei=2MT0XrvGGM-vytMP1OyDgAY&amp;q=site%3Alinkedin.com+Kourtney+Welch+University+Relations+Recruiter+Garmin+International</v>
      </c>
      <c r="K2581" s="5" t="str">
        <f t="shared" si="1"/>
        <v>Kourtney Welch</v>
      </c>
      <c r="L2581" s="5" t="str">
        <f t="shared" si="2"/>
        <v>University Relations Recruiter</v>
      </c>
      <c r="M2581" s="5" t="str">
        <f t="shared" si="3"/>
        <v> </v>
      </c>
      <c r="N2581" s="5" t="str">
        <f t="shared" si="4"/>
        <v>Garmin</v>
      </c>
      <c r="O2581" s="5" t="str">
        <f t="shared" si="5"/>
        <v>1 year 7 months in role and company</v>
      </c>
      <c r="P2581" s="5" t="str">
        <f t="shared" si="6"/>
        <v>Kansas City</v>
      </c>
      <c r="Q2581" s="5" t="str">
        <f t="shared" si="7"/>
        <v>Missouri</v>
      </c>
      <c r="R2581" s="5" t="str">
        <f t="shared" si="8"/>
        <v>United States</v>
      </c>
    </row>
    <row r="2582">
      <c r="A2582" s="8" t="s">
        <v>1228</v>
      </c>
      <c r="B2582" s="5" t="s">
        <v>1226</v>
      </c>
      <c r="C2582" s="5" t="s">
        <v>1227</v>
      </c>
      <c r="D2582" s="6" t="s">
        <v>13</v>
      </c>
      <c r="E2582" s="5" t="s">
        <v>1218</v>
      </c>
      <c r="F2582" s="5" t="s">
        <v>192</v>
      </c>
      <c r="G2582" s="5" t="s">
        <v>377</v>
      </c>
      <c r="H2582" s="5" t="s">
        <v>378</v>
      </c>
      <c r="I2582" s="5" t="s">
        <v>18</v>
      </c>
      <c r="J2582" s="9" t="str">
        <f>IFERROR(__xludf.DUMMYFUNCTION("""COMPUTED_VALUE"""),"https://www.google.com/search?newwindow=1&amp;ei=2MT0XrvGGM-vytMP1OyDgAY&amp;q=site%3Alinkedin.com+Kelly+O'Connor+University+Relations+Recruiter+Garmin+International")</f>
        <v>https://www.google.com/search?newwindow=1&amp;ei=2MT0XrvGGM-vytMP1OyDgAY&amp;q=site%3Alinkedin.com+Kelly+O'Connor+University+Relations+Recruiter+Garmin+International</v>
      </c>
      <c r="K2582" s="5" t="str">
        <f t="shared" si="1"/>
        <v>Kelly O'Connor</v>
      </c>
      <c r="L2582" s="5" t="str">
        <f t="shared" si="2"/>
        <v>University Relations Recruiter</v>
      </c>
      <c r="M2582" s="5" t="str">
        <f t="shared" si="3"/>
        <v> </v>
      </c>
      <c r="N2582" s="5" t="str">
        <f t="shared" si="4"/>
        <v>Garmin</v>
      </c>
      <c r="O2582" s="5" t="str">
        <f t="shared" si="5"/>
        <v>1 year 6 months in role</v>
      </c>
      <c r="P2582" s="5" t="str">
        <f t="shared" si="6"/>
        <v>Overland Park</v>
      </c>
      <c r="Q2582" s="5" t="str">
        <f t="shared" si="7"/>
        <v>Kansas</v>
      </c>
      <c r="R2582" s="5" t="str">
        <f t="shared" si="8"/>
        <v>United States</v>
      </c>
    </row>
    <row r="2583">
      <c r="A2583" s="8" t="s">
        <v>1230</v>
      </c>
      <c r="B2583" s="5" t="s">
        <v>1229</v>
      </c>
      <c r="C2583" s="5" t="s">
        <v>413</v>
      </c>
      <c r="D2583" s="6" t="s">
        <v>13</v>
      </c>
      <c r="E2583" s="5" t="s">
        <v>1218</v>
      </c>
      <c r="F2583" s="5" t="s">
        <v>144</v>
      </c>
      <c r="G2583" s="6" t="s">
        <v>377</v>
      </c>
      <c r="H2583" s="6" t="s">
        <v>378</v>
      </c>
      <c r="I2583" s="5" t="s">
        <v>18</v>
      </c>
      <c r="J2583" s="9" t="str">
        <f>IFERROR(__xludf.DUMMYFUNCTION("""COMPUTED_VALUE"""),"https://www.google.com/search?newwindow=1&amp;ei=2MT0XrvGGM-vytMP1OyDgAY&amp;q=site%3Alinkedin.com+Elizabeth+Baldridge+University+Relations+Recruiter+Garmin+International")</f>
        <v>https://www.google.com/search?newwindow=1&amp;ei=2MT0XrvGGM-vytMP1OyDgAY&amp;q=site%3Alinkedin.com+Elizabeth+Baldridge+University+Relations+Recruiter+Garmin+International</v>
      </c>
      <c r="K2583" s="5" t="str">
        <f t="shared" si="1"/>
        <v>Elizabeth Baldridge</v>
      </c>
      <c r="L2583" s="5" t="str">
        <f t="shared" si="2"/>
        <v>University Relations Recruiter</v>
      </c>
      <c r="M2583" s="5" t="str">
        <f t="shared" si="3"/>
        <v> </v>
      </c>
      <c r="N2583" s="5" t="str">
        <f t="shared" si="4"/>
        <v>Garmin</v>
      </c>
      <c r="O2583" s="5" t="str">
        <f t="shared" si="5"/>
        <v>4 years 1 month in role and company</v>
      </c>
      <c r="P2583" s="5" t="str">
        <f t="shared" si="6"/>
        <v>Vancouver</v>
      </c>
      <c r="Q2583" s="5" t="str">
        <f t="shared" si="7"/>
        <v>Washington</v>
      </c>
      <c r="R2583" s="5" t="str">
        <f t="shared" si="8"/>
        <v>United States</v>
      </c>
    </row>
    <row r="2584">
      <c r="A2584" s="8" t="s">
        <v>1234</v>
      </c>
      <c r="B2584" s="5" t="s">
        <v>1231</v>
      </c>
      <c r="C2584" s="5" t="s">
        <v>1232</v>
      </c>
      <c r="D2584" s="6" t="s">
        <v>13</v>
      </c>
      <c r="E2584" s="5" t="s">
        <v>1233</v>
      </c>
      <c r="F2584" s="5" t="s">
        <v>980</v>
      </c>
      <c r="G2584" s="5" t="s">
        <v>183</v>
      </c>
      <c r="H2584" s="5" t="s">
        <v>184</v>
      </c>
      <c r="I2584" s="5" t="s">
        <v>18</v>
      </c>
      <c r="J2584" s="9" t="str">
        <f>IFERROR(__xludf.DUMMYFUNCTION("""COMPUTED_VALUE"""),"https://www.google.com/search?newwindow=1&amp;ei=2MT0XrvGGM-vytMP1OyDgAY&amp;q=site%3Alinkedin.com+Jessie+King+University+Recruiter+-+Southeast+Territory+Gartner")</f>
        <v>https://www.google.com/search?newwindow=1&amp;ei=2MT0XrvGGM-vytMP1OyDgAY&amp;q=site%3Alinkedin.com+Jessie+King+University+Recruiter+-+Southeast+Territory+Gartner</v>
      </c>
      <c r="K2584" s="5" t="str">
        <f t="shared" si="1"/>
        <v>Jessie King</v>
      </c>
      <c r="L2584" s="5" t="str">
        <f t="shared" si="2"/>
        <v>University Recruiter - Southeast Territory</v>
      </c>
      <c r="M2584" s="5" t="str">
        <f t="shared" si="3"/>
        <v> </v>
      </c>
      <c r="N2584" s="5" t="str">
        <f t="shared" si="4"/>
        <v>Gartner</v>
      </c>
      <c r="O2584" s="5" t="str">
        <f t="shared" si="5"/>
        <v>1 year 3 months in role</v>
      </c>
      <c r="P2584" s="5" t="str">
        <f t="shared" si="6"/>
        <v>Atlanta</v>
      </c>
      <c r="Q2584" s="5" t="str">
        <f t="shared" si="7"/>
        <v>Georgia</v>
      </c>
      <c r="R2584" s="5" t="str">
        <f t="shared" si="8"/>
        <v>United States</v>
      </c>
    </row>
    <row r="2585">
      <c r="A2585" s="7" t="s">
        <v>1236</v>
      </c>
      <c r="B2585" s="5" t="s">
        <v>1235</v>
      </c>
      <c r="C2585" s="5" t="s">
        <v>371</v>
      </c>
      <c r="D2585" s="6" t="s">
        <v>13</v>
      </c>
      <c r="E2585" s="5" t="s">
        <v>1233</v>
      </c>
      <c r="F2585" s="5" t="s">
        <v>192</v>
      </c>
      <c r="G2585" s="5" t="s">
        <v>183</v>
      </c>
      <c r="H2585" s="5" t="s">
        <v>184</v>
      </c>
      <c r="I2585" s="5" t="s">
        <v>18</v>
      </c>
      <c r="J2585" s="9" t="str">
        <f>IFERROR(__xludf.DUMMYFUNCTION("""COMPUTED_VALUE"""),"https://www.google.com/search?newwindow=1&amp;ei=2MT0XrvGGM-vytMP1OyDgAY&amp;q=site%3Alinkedin.com+Stephanie+Scott+Campus+Recruiter+Gartner")</f>
        <v>https://www.google.com/search?newwindow=1&amp;ei=2MT0XrvGGM-vytMP1OyDgAY&amp;q=site%3Alinkedin.com+Stephanie+Scott+Campus+Recruiter+Gartner</v>
      </c>
      <c r="K2585" s="5" t="str">
        <f t="shared" si="1"/>
        <v>Stephanie Scott</v>
      </c>
      <c r="L2585" s="5" t="str">
        <f t="shared" si="2"/>
        <v>Campus Recruiter</v>
      </c>
      <c r="M2585" s="5" t="str">
        <f t="shared" si="3"/>
        <v> </v>
      </c>
      <c r="N2585" s="5" t="str">
        <f t="shared" si="4"/>
        <v>Gartner</v>
      </c>
      <c r="O2585" s="5" t="str">
        <f t="shared" si="5"/>
        <v>8 years 1 month in role and company</v>
      </c>
      <c r="P2585" s="5" t="str">
        <f t="shared" si="6"/>
        <v>Atlanta</v>
      </c>
      <c r="Q2585" s="5" t="str">
        <f t="shared" si="7"/>
        <v>Georgia</v>
      </c>
      <c r="R2585" s="5" t="str">
        <f t="shared" si="8"/>
        <v>United States</v>
      </c>
    </row>
    <row r="2586">
      <c r="A2586" s="7" t="s">
        <v>1238</v>
      </c>
      <c r="B2586" s="5" t="s">
        <v>1237</v>
      </c>
      <c r="C2586" s="5" t="s">
        <v>371</v>
      </c>
      <c r="D2586" s="6" t="s">
        <v>13</v>
      </c>
      <c r="E2586" s="5" t="s">
        <v>1233</v>
      </c>
      <c r="F2586" s="5" t="s">
        <v>144</v>
      </c>
      <c r="G2586" s="5" t="s">
        <v>183</v>
      </c>
      <c r="H2586" s="5" t="s">
        <v>184</v>
      </c>
      <c r="I2586" s="5" t="s">
        <v>18</v>
      </c>
      <c r="J2586" s="9" t="str">
        <f>IFERROR(__xludf.DUMMYFUNCTION("""COMPUTED_VALUE"""),"https://www.google.com/search?newwindow=1&amp;ei=2MT0XrvGGM-vytMP1OyDgAY&amp;q=site%3Alinkedin.com+Austin+Closs+Senior+University+Recruiter+Gartner")</f>
        <v>https://www.google.com/search?newwindow=1&amp;ei=2MT0XrvGGM-vytMP1OyDgAY&amp;q=site%3Alinkedin.com+Austin+Closs+Senior+University+Recruiter+Gartner</v>
      </c>
      <c r="K2586" s="5" t="str">
        <f t="shared" si="1"/>
        <v>Austin Closs</v>
      </c>
      <c r="L2586" s="5" t="str">
        <f t="shared" si="2"/>
        <v>Senior University Recruiter</v>
      </c>
      <c r="M2586" s="5" t="str">
        <f t="shared" si="3"/>
        <v> </v>
      </c>
      <c r="N2586" s="5" t="str">
        <f t="shared" si="4"/>
        <v>Gartner</v>
      </c>
      <c r="O2586" s="5" t="str">
        <f t="shared" si="5"/>
        <v>9 months in role</v>
      </c>
      <c r="P2586" s="5" t="str">
        <f t="shared" si="6"/>
        <v>Austin</v>
      </c>
      <c r="Q2586" s="5" t="str">
        <f t="shared" si="7"/>
        <v>Texas</v>
      </c>
      <c r="R2586" s="5" t="str">
        <f t="shared" si="8"/>
        <v>United States</v>
      </c>
    </row>
    <row r="2587">
      <c r="A2587" s="8" t="s">
        <v>1241</v>
      </c>
      <c r="B2587" s="5" t="s">
        <v>1239</v>
      </c>
      <c r="C2587" s="5" t="s">
        <v>25</v>
      </c>
      <c r="D2587" s="6" t="s">
        <v>13</v>
      </c>
      <c r="E2587" s="5" t="s">
        <v>1233</v>
      </c>
      <c r="F2587" s="5" t="s">
        <v>1240</v>
      </c>
      <c r="G2587" s="5" t="s">
        <v>183</v>
      </c>
      <c r="H2587" s="5" t="s">
        <v>184</v>
      </c>
      <c r="I2587" s="5" t="s">
        <v>18</v>
      </c>
      <c r="J2587" s="9" t="str">
        <f>IFERROR(__xludf.DUMMYFUNCTION("""COMPUTED_VALUE"""),"https://www.google.com/search?newwindow=1&amp;ei=2MT0XrvGGM-vytMP1OyDgAY&amp;q=site%3Alinkedin.com+Ben+Idle+Associate+Director,+AMSE+&amp;+EMSE+Sales+Recruiting+Gartner")</f>
        <v>https://www.google.com/search?newwindow=1&amp;ei=2MT0XrvGGM-vytMP1OyDgAY&amp;q=site%3Alinkedin.com+Ben+Idle+Associate+Director,+AMSE+&amp;+EMSE+Sales+Recruiting+Gartner</v>
      </c>
      <c r="K2587" s="5" t="str">
        <f t="shared" si="1"/>
        <v>Ben Idle</v>
      </c>
      <c r="L2587" s="5" t="str">
        <f t="shared" si="2"/>
        <v>Associate Director, AMSE &amp; EMSE Sales Recruiting</v>
      </c>
      <c r="M2587" s="5" t="str">
        <f t="shared" si="3"/>
        <v> </v>
      </c>
      <c r="N2587" s="5" t="str">
        <f t="shared" si="4"/>
        <v>Gartner</v>
      </c>
      <c r="O2587" s="5" t="str">
        <f t="shared" si="5"/>
        <v>1 year 2 months in role</v>
      </c>
      <c r="P2587" s="5" t="str">
        <f t="shared" si="6"/>
        <v>Cape Coral</v>
      </c>
      <c r="Q2587" s="5" t="str">
        <f t="shared" si="7"/>
        <v>Florida</v>
      </c>
      <c r="R2587" s="5" t="str">
        <f t="shared" si="8"/>
        <v>United States</v>
      </c>
    </row>
    <row r="2588">
      <c r="A2588" s="7" t="s">
        <v>1245</v>
      </c>
      <c r="B2588" s="5" t="s">
        <v>1242</v>
      </c>
      <c r="C2588" s="5" t="s">
        <v>1243</v>
      </c>
      <c r="D2588" s="6" t="s">
        <v>13</v>
      </c>
      <c r="E2588" s="5" t="s">
        <v>1233</v>
      </c>
      <c r="F2588" s="5" t="s">
        <v>1244</v>
      </c>
      <c r="G2588" s="5" t="s">
        <v>16</v>
      </c>
      <c r="H2588" s="5" t="s">
        <v>17</v>
      </c>
      <c r="I2588" s="5" t="s">
        <v>18</v>
      </c>
      <c r="J2588" s="9" t="str">
        <f>IFERROR(__xludf.DUMMYFUNCTION("""COMPUTED_VALUE"""),"https://www.google.com/search?newwindow=1&amp;ei=2MT0XrvGGM-vytMP1OyDgAY&amp;q=site%3Alinkedin.com+Caitlin+Deltgen+University+Recruiter+Gartner")</f>
        <v>https://www.google.com/search?newwindow=1&amp;ei=2MT0XrvGGM-vytMP1OyDgAY&amp;q=site%3Alinkedin.com+Caitlin+Deltgen+University+Recruiter+Gartner</v>
      </c>
      <c r="K2588" s="5" t="str">
        <f t="shared" si="1"/>
        <v>Caitlin Deltgen</v>
      </c>
      <c r="L2588" s="5" t="str">
        <f t="shared" si="2"/>
        <v>University Recruiter</v>
      </c>
      <c r="M2588" s="5" t="str">
        <f t="shared" si="3"/>
        <v> </v>
      </c>
      <c r="N2588" s="5" t="str">
        <f t="shared" si="4"/>
        <v>Gartner</v>
      </c>
      <c r="O2588" s="5" t="str">
        <f t="shared" si="5"/>
        <v>1 year 5 months in role and company</v>
      </c>
      <c r="P2588" s="5" t="str">
        <f t="shared" si="6"/>
        <v>Charlotte</v>
      </c>
      <c r="Q2588" s="5" t="str">
        <f t="shared" si="7"/>
        <v>North Carolina</v>
      </c>
      <c r="R2588" s="5" t="str">
        <f t="shared" si="8"/>
        <v>United States</v>
      </c>
    </row>
    <row r="2589">
      <c r="A2589" s="7" t="s">
        <v>1247</v>
      </c>
      <c r="B2589" s="5" t="s">
        <v>1246</v>
      </c>
      <c r="C2589" s="5" t="s">
        <v>25</v>
      </c>
      <c r="D2589" s="6" t="s">
        <v>13</v>
      </c>
      <c r="E2589" s="5" t="s">
        <v>1233</v>
      </c>
      <c r="F2589" s="5" t="s">
        <v>106</v>
      </c>
      <c r="G2589" s="5" t="s">
        <v>16</v>
      </c>
      <c r="H2589" s="5" t="s">
        <v>17</v>
      </c>
      <c r="I2589" s="5" t="s">
        <v>18</v>
      </c>
      <c r="J2589" s="9" t="str">
        <f>IFERROR(__xludf.DUMMYFUNCTION("""COMPUTED_VALUE"""),"https://www.google.com/search?newwindow=1&amp;ei=2MT0XrvGGM-vytMP1OyDgAY&amp;q=site%3Alinkedin.com+Nikki+McTernan+Associate+University+Recruiter+Gartner")</f>
        <v>https://www.google.com/search?newwindow=1&amp;ei=2MT0XrvGGM-vytMP1OyDgAY&amp;q=site%3Alinkedin.com+Nikki+McTernan+Associate+University+Recruiter+Gartner</v>
      </c>
      <c r="K2589" s="5" t="str">
        <f t="shared" si="1"/>
        <v>Nikki McTernan</v>
      </c>
      <c r="L2589" s="5" t="str">
        <f t="shared" si="2"/>
        <v>Associate University Recruiter</v>
      </c>
      <c r="M2589" s="5" t="str">
        <f t="shared" si="3"/>
        <v> </v>
      </c>
      <c r="N2589" s="5" t="str">
        <f t="shared" si="4"/>
        <v>Gartner</v>
      </c>
      <c r="O2589" s="5" t="str">
        <f t="shared" si="5"/>
        <v>1 year 4 months in role</v>
      </c>
      <c r="P2589" s="5" t="str">
        <f t="shared" si="6"/>
        <v>Charlotte</v>
      </c>
      <c r="Q2589" s="5" t="str">
        <f t="shared" si="7"/>
        <v>North Carolina</v>
      </c>
      <c r="R2589" s="5" t="str">
        <f t="shared" si="8"/>
        <v>United States</v>
      </c>
    </row>
    <row r="2590">
      <c r="A2590" s="7" t="s">
        <v>1250</v>
      </c>
      <c r="B2590" s="5" t="s">
        <v>1248</v>
      </c>
      <c r="C2590" s="5" t="s">
        <v>32</v>
      </c>
      <c r="D2590" s="6" t="s">
        <v>13</v>
      </c>
      <c r="E2590" s="5" t="s">
        <v>1233</v>
      </c>
      <c r="F2590" s="5" t="s">
        <v>1249</v>
      </c>
      <c r="G2590" s="5" t="s">
        <v>16</v>
      </c>
      <c r="H2590" s="5" t="s">
        <v>17</v>
      </c>
      <c r="I2590" s="5" t="s">
        <v>18</v>
      </c>
      <c r="J2590" s="9" t="str">
        <f>IFERROR(__xludf.DUMMYFUNCTION("""COMPUTED_VALUE"""),"https://www.google.com/search?newwindow=1&amp;ei=2MT0XrvGGM-vytMP1OyDgAY&amp;q=site%3Alinkedin.com+Danielle+Goldberg+Graduate+(MBA)+University+Recruiter+Gartner")</f>
        <v>https://www.google.com/search?newwindow=1&amp;ei=2MT0XrvGGM-vytMP1OyDgAY&amp;q=site%3Alinkedin.com+Danielle+Goldberg+Graduate+(MBA)+University+Recruiter+Gartner</v>
      </c>
      <c r="K2590" s="5" t="str">
        <f t="shared" si="1"/>
        <v>Danielle Goldberg</v>
      </c>
      <c r="L2590" s="5" t="str">
        <f t="shared" si="2"/>
        <v>Graduate (MBA) University Recruiter</v>
      </c>
      <c r="M2590" s="5" t="str">
        <f t="shared" si="3"/>
        <v>MBA</v>
      </c>
      <c r="N2590" s="5" t="str">
        <f t="shared" si="4"/>
        <v>Gartner</v>
      </c>
      <c r="O2590" s="5" t="str">
        <f t="shared" si="5"/>
        <v>2 years 2 months in role and company</v>
      </c>
      <c r="P2590" s="5" t="str">
        <f t="shared" si="6"/>
        <v>Chicago</v>
      </c>
      <c r="Q2590" s="5" t="str">
        <f t="shared" si="7"/>
        <v>Illinois</v>
      </c>
      <c r="R2590" s="5" t="str">
        <f t="shared" si="8"/>
        <v>United States</v>
      </c>
    </row>
    <row r="2591">
      <c r="A2591" s="7" t="s">
        <v>1252</v>
      </c>
      <c r="B2591" s="5" t="s">
        <v>1251</v>
      </c>
      <c r="C2591" s="5" t="s">
        <v>25</v>
      </c>
      <c r="D2591" s="6" t="s">
        <v>13</v>
      </c>
      <c r="E2591" s="5" t="s">
        <v>1233</v>
      </c>
      <c r="F2591" s="5" t="s">
        <v>15</v>
      </c>
      <c r="G2591" s="5" t="s">
        <v>16</v>
      </c>
      <c r="H2591" s="5" t="s">
        <v>17</v>
      </c>
      <c r="I2591" s="5" t="s">
        <v>18</v>
      </c>
      <c r="J2591" s="9" t="str">
        <f>IFERROR(__xludf.DUMMYFUNCTION("""COMPUTED_VALUE"""),"https://www.google.com/search?newwindow=1&amp;ei=2MT0XrvGGM-vytMP1OyDgAY&amp;q=site%3Alinkedin.com+Kimberly+Embick+Campus+Recruiter+Gartner")</f>
        <v>https://www.google.com/search?newwindow=1&amp;ei=2MT0XrvGGM-vytMP1OyDgAY&amp;q=site%3Alinkedin.com+Kimberly+Embick+Campus+Recruiter+Gartner</v>
      </c>
      <c r="K2591" s="5" t="str">
        <f t="shared" si="1"/>
        <v>Kimberly Embick</v>
      </c>
      <c r="L2591" s="5" t="str">
        <f t="shared" si="2"/>
        <v>Campus Recruiter</v>
      </c>
      <c r="M2591" s="5" t="str">
        <f t="shared" si="3"/>
        <v> </v>
      </c>
      <c r="N2591" s="5" t="str">
        <f t="shared" si="4"/>
        <v>Gartner</v>
      </c>
      <c r="O2591" s="5" t="str">
        <f t="shared" si="5"/>
        <v>1 year 7 months in role</v>
      </c>
      <c r="P2591" s="5" t="str">
        <f t="shared" si="6"/>
        <v>Cleveland</v>
      </c>
      <c r="Q2591" s="5" t="str">
        <f t="shared" si="7"/>
        <v>Ohio</v>
      </c>
      <c r="R2591" s="5" t="str">
        <f t="shared" si="8"/>
        <v>United States</v>
      </c>
    </row>
    <row r="2592">
      <c r="A2592" s="8" t="s">
        <v>1255</v>
      </c>
      <c r="B2592" s="5" t="s">
        <v>1253</v>
      </c>
      <c r="C2592" s="5" t="s">
        <v>1254</v>
      </c>
      <c r="D2592" s="6" t="s">
        <v>13</v>
      </c>
      <c r="E2592" s="5" t="s">
        <v>1233</v>
      </c>
      <c r="F2592" s="5" t="s">
        <v>365</v>
      </c>
      <c r="G2592" s="5" t="s">
        <v>377</v>
      </c>
      <c r="H2592" s="5" t="s">
        <v>378</v>
      </c>
      <c r="I2592" s="5" t="s">
        <v>18</v>
      </c>
      <c r="J2592" s="9" t="str">
        <f>IFERROR(__xludf.DUMMYFUNCTION("""COMPUTED_VALUE"""),"https://www.google.com/search?newwindow=1&amp;ei=2MT0XrvGGM-vytMP1OyDgAY&amp;q=site%3Alinkedin.com+Presley+Pender+University+Recruiter+Gartner")</f>
        <v>https://www.google.com/search?newwindow=1&amp;ei=2MT0XrvGGM-vytMP1OyDgAY&amp;q=site%3Alinkedin.com+Presley+Pender+University+Recruiter+Gartner</v>
      </c>
      <c r="K2592" s="5" t="str">
        <f t="shared" si="1"/>
        <v>Presley Pender</v>
      </c>
      <c r="L2592" s="5" t="str">
        <f t="shared" si="2"/>
        <v>University Recruiter</v>
      </c>
      <c r="M2592" s="5" t="str">
        <f t="shared" si="3"/>
        <v> </v>
      </c>
      <c r="N2592" s="5" t="str">
        <f t="shared" si="4"/>
        <v>Gartner</v>
      </c>
      <c r="O2592" s="5" t="str">
        <f t="shared" si="5"/>
        <v>1 year 5 months in role</v>
      </c>
      <c r="P2592" s="5" t="str">
        <f t="shared" si="6"/>
        <v>Dallas</v>
      </c>
      <c r="Q2592" s="5" t="str">
        <f t="shared" si="7"/>
        <v>Texas</v>
      </c>
      <c r="R2592" s="5" t="str">
        <f t="shared" si="8"/>
        <v>United States</v>
      </c>
    </row>
    <row r="2593">
      <c r="A2593" s="7" t="s">
        <v>1257</v>
      </c>
      <c r="B2593" s="5" t="s">
        <v>1256</v>
      </c>
      <c r="C2593" s="5" t="s">
        <v>25</v>
      </c>
      <c r="D2593" s="6" t="s">
        <v>13</v>
      </c>
      <c r="E2593" s="5" t="s">
        <v>1233</v>
      </c>
      <c r="F2593" s="5" t="s">
        <v>63</v>
      </c>
      <c r="G2593" s="6" t="s">
        <v>377</v>
      </c>
      <c r="H2593" s="6" t="s">
        <v>378</v>
      </c>
      <c r="I2593" s="5" t="s">
        <v>18</v>
      </c>
      <c r="J2593" s="9" t="str">
        <f>IFERROR(__xludf.DUMMYFUNCTION("""COMPUTED_VALUE"""),"https://www.google.com/search?newwindow=1&amp;ei=2MT0XrvGGM-vytMP1OyDgAY&amp;q=site%3Alinkedin.com+Jeff+Stencel+Team+Lead,+University+Recruiting+Gartner")</f>
        <v>https://www.google.com/search?newwindow=1&amp;ei=2MT0XrvGGM-vytMP1OyDgAY&amp;q=site%3Alinkedin.com+Jeff+Stencel+Team+Lead,+University+Recruiting+Gartner</v>
      </c>
      <c r="K2593" s="5" t="str">
        <f t="shared" si="1"/>
        <v>Jeff Stencel</v>
      </c>
      <c r="L2593" s="5" t="str">
        <f t="shared" si="2"/>
        <v>Team Lead, University Recruiting</v>
      </c>
      <c r="M2593" s="5" t="str">
        <f t="shared" si="3"/>
        <v> </v>
      </c>
      <c r="N2593" s="5" t="str">
        <f t="shared" si="4"/>
        <v>Gartner</v>
      </c>
      <c r="O2593" s="5" t="str">
        <f t="shared" si="5"/>
        <v>2 years 6 months in role</v>
      </c>
      <c r="P2593" s="5" t="str">
        <f t="shared" si="6"/>
        <v>Durham</v>
      </c>
      <c r="Q2593" s="5" t="str">
        <f t="shared" si="7"/>
        <v>North Carolina</v>
      </c>
      <c r="R2593" s="5" t="str">
        <f t="shared" si="8"/>
        <v>United States</v>
      </c>
    </row>
    <row r="2594">
      <c r="A2594" s="7" t="s">
        <v>1260</v>
      </c>
      <c r="B2594" s="5" t="s">
        <v>1258</v>
      </c>
      <c r="C2594" s="5" t="s">
        <v>25</v>
      </c>
      <c r="D2594" s="6" t="s">
        <v>13</v>
      </c>
      <c r="E2594" s="5" t="s">
        <v>1233</v>
      </c>
      <c r="G2594" s="5" t="s">
        <v>1259</v>
      </c>
      <c r="H2594" s="5" t="s">
        <v>945</v>
      </c>
      <c r="I2594" s="5" t="s">
        <v>18</v>
      </c>
      <c r="J2594" s="9" t="str">
        <f>IFERROR(__xludf.DUMMYFUNCTION("""COMPUTED_VALUE"""),"https://www.google.com/search?newwindow=1&amp;ei=2MT0XrvGGM-vytMP1OyDgAY&amp;q=site%3Alinkedin.com+Jeff+Stencel+Senior+Campus+Recruiter+Gartner")</f>
        <v>https://www.google.com/search?newwindow=1&amp;ei=2MT0XrvGGM-vytMP1OyDgAY&amp;q=site%3Alinkedin.com+Jeff+Stencel+Senior+Campus+Recruiter+Gartner</v>
      </c>
      <c r="K2594" s="5" t="str">
        <f t="shared" si="1"/>
        <v>Jeff Stencel</v>
      </c>
      <c r="L2594" s="5" t="str">
        <f t="shared" si="2"/>
        <v>Senior Campus Recruiter</v>
      </c>
      <c r="M2594" s="5" t="str">
        <f t="shared" si="3"/>
        <v> </v>
      </c>
      <c r="N2594" s="5" t="str">
        <f t="shared" si="4"/>
        <v>Gartner</v>
      </c>
      <c r="O2594" s="5" t="str">
        <f t="shared" si="5"/>
        <v>3 years 4 months in role and company</v>
      </c>
      <c r="P2594" s="5" t="str">
        <f t="shared" si="6"/>
        <v>Durham</v>
      </c>
      <c r="Q2594" s="5" t="str">
        <f t="shared" si="7"/>
        <v>North Carolina</v>
      </c>
      <c r="R2594" s="5" t="str">
        <f t="shared" si="8"/>
        <v>United States</v>
      </c>
    </row>
    <row r="2595">
      <c r="A2595" s="7" t="s">
        <v>1262</v>
      </c>
      <c r="B2595" s="5" t="s">
        <v>1261</v>
      </c>
      <c r="C2595" s="5" t="s">
        <v>25</v>
      </c>
      <c r="D2595" s="6" t="s">
        <v>13</v>
      </c>
      <c r="E2595" s="5" t="s">
        <v>1233</v>
      </c>
      <c r="F2595" s="5" t="s">
        <v>648</v>
      </c>
      <c r="G2595" s="5" t="s">
        <v>49</v>
      </c>
      <c r="H2595" s="5" t="s">
        <v>50</v>
      </c>
      <c r="I2595" s="5" t="s">
        <v>18</v>
      </c>
      <c r="J2595" s="9" t="str">
        <f>IFERROR(__xludf.DUMMYFUNCTION("""COMPUTED_VALUE"""),"https://www.google.com/search?newwindow=1&amp;ei=2MT0XrvGGM-vytMP1OyDgAY&amp;q=site%3Alinkedin.com+Kiersten+Post+University+Recruiter+Gartner")</f>
        <v>https://www.google.com/search?newwindow=1&amp;ei=2MT0XrvGGM-vytMP1OyDgAY&amp;q=site%3Alinkedin.com+Kiersten+Post+University+Recruiter+Gartner</v>
      </c>
      <c r="K2595" s="5" t="str">
        <f t="shared" si="1"/>
        <v>Kiersten Post</v>
      </c>
      <c r="L2595" s="5" t="str">
        <f t="shared" si="2"/>
        <v>University Recruiter</v>
      </c>
      <c r="M2595" s="5" t="str">
        <f t="shared" si="3"/>
        <v> </v>
      </c>
      <c r="N2595" s="5" t="str">
        <f t="shared" si="4"/>
        <v>Gartner</v>
      </c>
      <c r="O2595" s="5" t="str">
        <f t="shared" si="5"/>
        <v>9 months in role</v>
      </c>
      <c r="P2595" s="5" t="str">
        <f t="shared" si="6"/>
        <v>Fort Myers</v>
      </c>
      <c r="Q2595" s="5" t="str">
        <f t="shared" si="7"/>
        <v>Florida</v>
      </c>
      <c r="R2595" s="5" t="str">
        <f t="shared" si="8"/>
        <v>United States</v>
      </c>
    </row>
    <row r="2596">
      <c r="A2596" s="7" t="s">
        <v>1264</v>
      </c>
      <c r="B2596" s="5" t="s">
        <v>1263</v>
      </c>
      <c r="C2596" s="5" t="s">
        <v>371</v>
      </c>
      <c r="D2596" s="6" t="s">
        <v>13</v>
      </c>
      <c r="E2596" s="5" t="s">
        <v>1233</v>
      </c>
      <c r="F2596" s="5" t="s">
        <v>496</v>
      </c>
      <c r="G2596" s="6" t="s">
        <v>64</v>
      </c>
      <c r="H2596" s="6" t="s">
        <v>65</v>
      </c>
      <c r="I2596" s="5" t="s">
        <v>18</v>
      </c>
      <c r="J2596" s="9" t="str">
        <f>IFERROR(__xludf.DUMMYFUNCTION("""COMPUTED_VALUE"""),"https://www.google.com/search?newwindow=1&amp;ei=2MT0XrvGGM-vytMP1OyDgAY&amp;q=site%3Alinkedin.com+Matthew+Duarte+University+Recruiter+Gartner")</f>
        <v>https://www.google.com/search?newwindow=1&amp;ei=2MT0XrvGGM-vytMP1OyDgAY&amp;q=site%3Alinkedin.com+Matthew+Duarte+University+Recruiter+Gartner</v>
      </c>
      <c r="K2596" s="5" t="str">
        <f t="shared" si="1"/>
        <v>Matthew Duarte</v>
      </c>
      <c r="L2596" s="5" t="str">
        <f t="shared" si="2"/>
        <v>University Recruiter</v>
      </c>
      <c r="M2596" s="5" t="str">
        <f t="shared" si="3"/>
        <v> </v>
      </c>
      <c r="N2596" s="5" t="str">
        <f t="shared" si="4"/>
        <v>Gartner</v>
      </c>
      <c r="O2596" s="5" t="str">
        <f t="shared" si="5"/>
        <v>1 year 8 months in role and company</v>
      </c>
      <c r="P2596" s="5" t="str">
        <f t="shared" si="6"/>
        <v>Fort Myers</v>
      </c>
      <c r="Q2596" s="5" t="str">
        <f t="shared" si="7"/>
        <v>Florida</v>
      </c>
      <c r="R2596" s="5" t="str">
        <f t="shared" si="8"/>
        <v>United States</v>
      </c>
    </row>
    <row r="2597">
      <c r="A2597" s="7" t="s">
        <v>1266</v>
      </c>
      <c r="B2597" s="5" t="s">
        <v>1265</v>
      </c>
      <c r="C2597" s="5" t="s">
        <v>371</v>
      </c>
      <c r="D2597" s="6" t="s">
        <v>13</v>
      </c>
      <c r="E2597" s="5" t="s">
        <v>1233</v>
      </c>
      <c r="F2597" s="5" t="s">
        <v>15</v>
      </c>
      <c r="G2597" s="6" t="s">
        <v>64</v>
      </c>
      <c r="H2597" s="6" t="s">
        <v>65</v>
      </c>
      <c r="I2597" s="5" t="s">
        <v>18</v>
      </c>
      <c r="J2597" s="9" t="str">
        <f>IFERROR(__xludf.DUMMYFUNCTION("""COMPUTED_VALUE"""),"https://www.google.com/search?newwindow=1&amp;ei=2MT0XrvGGM-vytMP1OyDgAY&amp;q=site%3Alinkedin.com+Caitlin+Seccombe+Manager,+Recruiting+Gartner")</f>
        <v>https://www.google.com/search?newwindow=1&amp;ei=2MT0XrvGGM-vytMP1OyDgAY&amp;q=site%3Alinkedin.com+Caitlin+Seccombe+Manager,+Recruiting+Gartner</v>
      </c>
      <c r="K2597" s="5" t="str">
        <f t="shared" si="1"/>
        <v>Caitlin Seccombe</v>
      </c>
      <c r="L2597" s="5" t="str">
        <f t="shared" si="2"/>
        <v>Manager, Recruiting</v>
      </c>
      <c r="M2597" s="5" t="str">
        <f t="shared" si="3"/>
        <v> </v>
      </c>
      <c r="N2597" s="5" t="str">
        <f t="shared" si="4"/>
        <v>Gartner</v>
      </c>
      <c r="O2597" s="5" t="str">
        <f t="shared" si="5"/>
        <v>1 year 7 months in role</v>
      </c>
      <c r="P2597" s="5" t="str">
        <f t="shared" si="6"/>
        <v>Fort Myers</v>
      </c>
      <c r="Q2597" s="5" t="str">
        <f t="shared" si="7"/>
        <v>Florida</v>
      </c>
      <c r="R2597" s="5" t="str">
        <f t="shared" si="8"/>
        <v>United States</v>
      </c>
    </row>
    <row r="2598">
      <c r="A2598" s="7" t="s">
        <v>1268</v>
      </c>
      <c r="B2598" s="5" t="s">
        <v>1267</v>
      </c>
      <c r="C2598" s="5" t="s">
        <v>371</v>
      </c>
      <c r="D2598" s="6" t="s">
        <v>13</v>
      </c>
      <c r="E2598" s="5" t="s">
        <v>1233</v>
      </c>
      <c r="F2598" s="5" t="s">
        <v>94</v>
      </c>
      <c r="G2598" s="6" t="s">
        <v>64</v>
      </c>
      <c r="H2598" s="6" t="s">
        <v>65</v>
      </c>
      <c r="I2598" s="5" t="s">
        <v>18</v>
      </c>
      <c r="J2598" s="9" t="str">
        <f>IFERROR(__xludf.DUMMYFUNCTION("""COMPUTED_VALUE"""),"https://www.google.com/search?newwindow=1&amp;ei=2MT0XrvGGM-vytMP1OyDgAY&amp;q=site%3Alinkedin.com+CJ+Giles+Senior+Recruiting+-+Global+and+Large+Enterprise+Sales+Gartner")</f>
        <v>https://www.google.com/search?newwindow=1&amp;ei=2MT0XrvGGM-vytMP1OyDgAY&amp;q=site%3Alinkedin.com+CJ+Giles+Senior+Recruiting+-+Global+and+Large+Enterprise+Sales+Gartner</v>
      </c>
      <c r="K2598" s="5" t="str">
        <f t="shared" si="1"/>
        <v>CJ Giles</v>
      </c>
      <c r="L2598" s="5" t="str">
        <f t="shared" si="2"/>
        <v>Senior Recruiting - Global and Large Enterprise Sales</v>
      </c>
      <c r="M2598" s="5" t="str">
        <f t="shared" si="3"/>
        <v> </v>
      </c>
      <c r="N2598" s="5" t="str">
        <f t="shared" si="4"/>
        <v>Gartner</v>
      </c>
      <c r="O2598" s="5" t="str">
        <f t="shared" si="5"/>
        <v>2 years 7 months in role and company</v>
      </c>
      <c r="P2598" s="5" t="str">
        <f t="shared" si="6"/>
        <v>Fort Myers</v>
      </c>
      <c r="Q2598" s="5" t="str">
        <f t="shared" si="7"/>
        <v>Florida</v>
      </c>
      <c r="R2598" s="5" t="str">
        <f t="shared" si="8"/>
        <v>United States</v>
      </c>
    </row>
    <row r="2599">
      <c r="A2599" s="7" t="s">
        <v>1270</v>
      </c>
      <c r="B2599" s="5" t="s">
        <v>1269</v>
      </c>
      <c r="C2599" s="5" t="s">
        <v>371</v>
      </c>
      <c r="D2599" s="6" t="s">
        <v>13</v>
      </c>
      <c r="E2599" s="5" t="s">
        <v>1233</v>
      </c>
      <c r="F2599" s="5" t="s">
        <v>144</v>
      </c>
      <c r="G2599" s="6" t="s">
        <v>64</v>
      </c>
      <c r="H2599" s="6" t="s">
        <v>65</v>
      </c>
      <c r="I2599" s="5" t="s">
        <v>18</v>
      </c>
      <c r="J2599" s="9" t="str">
        <f>IFERROR(__xludf.DUMMYFUNCTION("""COMPUTED_VALUE"""),"https://www.google.com/search?newwindow=1&amp;ei=2MT0XrvGGM-vytMP1OyDgAY&amp;q=site%3Alinkedin.com+CJ+Giles+Manager,+Campus+Recruiting+Gartner")</f>
        <v>https://www.google.com/search?newwindow=1&amp;ei=2MT0XrvGGM-vytMP1OyDgAY&amp;q=site%3Alinkedin.com+CJ+Giles+Manager,+Campus+Recruiting+Gartner</v>
      </c>
      <c r="K2599" s="5" t="str">
        <f t="shared" si="1"/>
        <v>CJ Giles</v>
      </c>
      <c r="L2599" s="5" t="str">
        <f t="shared" si="2"/>
        <v>Manager, Campus Recruiting</v>
      </c>
      <c r="M2599" s="5" t="str">
        <f t="shared" si="3"/>
        <v> </v>
      </c>
      <c r="N2599" s="5" t="str">
        <f t="shared" si="4"/>
        <v>Gartner</v>
      </c>
      <c r="O2599" s="5" t="str">
        <f t="shared" si="5"/>
        <v>3 years 7 months in role</v>
      </c>
      <c r="P2599" s="5" t="str">
        <f t="shared" si="6"/>
        <v>Fort Myers</v>
      </c>
      <c r="Q2599" s="5" t="str">
        <f t="shared" si="7"/>
        <v>Florida</v>
      </c>
      <c r="R2599" s="5" t="str">
        <f t="shared" si="8"/>
        <v>United States</v>
      </c>
    </row>
    <row r="2600">
      <c r="A2600" s="7" t="s">
        <v>1272</v>
      </c>
      <c r="B2600" s="5" t="s">
        <v>1271</v>
      </c>
      <c r="C2600" s="5" t="s">
        <v>32</v>
      </c>
      <c r="D2600" s="6" t="s">
        <v>13</v>
      </c>
      <c r="E2600" s="5" t="s">
        <v>1233</v>
      </c>
      <c r="F2600" s="5" t="s">
        <v>228</v>
      </c>
      <c r="G2600" s="6" t="s">
        <v>64</v>
      </c>
      <c r="H2600" s="6" t="s">
        <v>65</v>
      </c>
      <c r="I2600" s="5" t="s">
        <v>18</v>
      </c>
      <c r="J2600" s="9" t="str">
        <f>IFERROR(__xludf.DUMMYFUNCTION("""COMPUTED_VALUE"""),"https://www.google.com/search?newwindow=1&amp;ei=2MT0XrvGGM-vytMP1OyDgAY&amp;q=site%3Alinkedin.com+Katie+Deisler+Associate+University+Recruiter+Gartner")</f>
        <v>https://www.google.com/search?newwindow=1&amp;ei=2MT0XrvGGM-vytMP1OyDgAY&amp;q=site%3Alinkedin.com+Katie+Deisler+Associate+University+Recruiter+Gartner</v>
      </c>
      <c r="K2600" s="5" t="str">
        <f t="shared" si="1"/>
        <v>Katie Deisler</v>
      </c>
      <c r="L2600" s="5" t="str">
        <f t="shared" si="2"/>
        <v>Associate University Recruiter</v>
      </c>
      <c r="M2600" s="5" t="str">
        <f t="shared" si="3"/>
        <v> </v>
      </c>
      <c r="N2600" s="5" t="str">
        <f t="shared" si="4"/>
        <v>Gartner</v>
      </c>
      <c r="O2600" s="5" t="str">
        <f t="shared" si="5"/>
        <v>1 year 2 months in role</v>
      </c>
      <c r="P2600" s="5" t="str">
        <f t="shared" si="6"/>
        <v>Grand Rapids</v>
      </c>
      <c r="Q2600" s="5" t="str">
        <f t="shared" si="7"/>
        <v>Michigan</v>
      </c>
      <c r="R2600" s="5" t="str">
        <f t="shared" si="8"/>
        <v>United States</v>
      </c>
    </row>
    <row r="2601">
      <c r="A2601" s="7" t="s">
        <v>1275</v>
      </c>
      <c r="B2601" s="5" t="s">
        <v>1273</v>
      </c>
      <c r="C2601" s="5" t="s">
        <v>32</v>
      </c>
      <c r="D2601" s="6" t="s">
        <v>13</v>
      </c>
      <c r="E2601" s="5" t="s">
        <v>1233</v>
      </c>
      <c r="F2601" s="5" t="s">
        <v>182</v>
      </c>
      <c r="G2601" s="5" t="s">
        <v>1274</v>
      </c>
      <c r="H2601" s="5" t="s">
        <v>76</v>
      </c>
      <c r="I2601" s="5" t="s">
        <v>18</v>
      </c>
      <c r="J2601" s="9" t="str">
        <f>IFERROR(__xludf.DUMMYFUNCTION("""COMPUTED_VALUE"""),"https://www.google.com/search?newwindow=1&amp;ei=2MT0XrvGGM-vytMP1OyDgAY&amp;q=site%3Alinkedin.com+Anna+Longar+Associate+Director,+University+Recruiting+Gartner")</f>
        <v>https://www.google.com/search?newwindow=1&amp;ei=2MT0XrvGGM-vytMP1OyDgAY&amp;q=site%3Alinkedin.com+Anna+Longar+Associate+Director,+University+Recruiting+Gartner</v>
      </c>
      <c r="K2601" s="5" t="str">
        <f t="shared" si="1"/>
        <v>Anna Longar</v>
      </c>
      <c r="L2601" s="5" t="str">
        <f t="shared" si="2"/>
        <v>Associate Director, University Recruiting</v>
      </c>
      <c r="M2601" s="5" t="str">
        <f t="shared" si="3"/>
        <v> </v>
      </c>
      <c r="N2601" s="5" t="str">
        <f t="shared" si="4"/>
        <v>Gartner</v>
      </c>
      <c r="O2601" s="5" t="str">
        <f t="shared" si="5"/>
        <v>1 year 8 months in role</v>
      </c>
      <c r="P2601" s="5" t="str">
        <f t="shared" si="6"/>
        <v>Loveland</v>
      </c>
      <c r="Q2601" s="5" t="str">
        <f t="shared" si="7"/>
        <v>Ohio</v>
      </c>
      <c r="R2601" s="5" t="str">
        <f t="shared" si="8"/>
        <v>United States</v>
      </c>
    </row>
    <row r="2602">
      <c r="A2602" s="7" t="s">
        <v>1279</v>
      </c>
      <c r="B2602" s="5" t="s">
        <v>1276</v>
      </c>
      <c r="C2602" s="5" t="s">
        <v>1277</v>
      </c>
      <c r="D2602" s="6" t="s">
        <v>13</v>
      </c>
      <c r="E2602" s="5" t="s">
        <v>1233</v>
      </c>
      <c r="F2602" s="5" t="s">
        <v>980</v>
      </c>
      <c r="G2602" s="5" t="s">
        <v>1278</v>
      </c>
      <c r="H2602" s="5" t="s">
        <v>44</v>
      </c>
      <c r="I2602" s="5" t="s">
        <v>18</v>
      </c>
      <c r="J2602" s="9" t="str">
        <f>IFERROR(__xludf.DUMMYFUNCTION("""COMPUTED_VALUE"""),"https://www.google.com/search?newwindow=1&amp;ei=2MT0XrvGGM-vytMP1OyDgAY&amp;q=site%3Alinkedin.com+Olivia+Lageman+University+Recruiter+Gartner")</f>
        <v>https://www.google.com/search?newwindow=1&amp;ei=2MT0XrvGGM-vytMP1OyDgAY&amp;q=site%3Alinkedin.com+Olivia+Lageman+University+Recruiter+Gartner</v>
      </c>
      <c r="K2602" s="5" t="str">
        <f t="shared" si="1"/>
        <v>Olivia Lageman</v>
      </c>
      <c r="L2602" s="5" t="str">
        <f t="shared" si="2"/>
        <v>University Recruiter</v>
      </c>
      <c r="M2602" s="5" t="str">
        <f t="shared" si="3"/>
        <v> </v>
      </c>
      <c r="N2602" s="5" t="str">
        <f t="shared" si="4"/>
        <v>Gartner</v>
      </c>
      <c r="O2602" s="5" t="str">
        <f t="shared" si="5"/>
        <v>1 year 3 months in role</v>
      </c>
      <c r="P2602" s="5" t="str">
        <f t="shared" si="6"/>
        <v>Naples</v>
      </c>
      <c r="Q2602" s="5" t="str">
        <f t="shared" si="7"/>
        <v>Florida</v>
      </c>
      <c r="R2602" s="5" t="str">
        <f t="shared" si="8"/>
        <v>United States</v>
      </c>
    </row>
    <row r="2603">
      <c r="A2603" s="7" t="s">
        <v>1283</v>
      </c>
      <c r="B2603" s="5" t="s">
        <v>1280</v>
      </c>
      <c r="C2603" s="5" t="s">
        <v>1281</v>
      </c>
      <c r="D2603" s="6" t="s">
        <v>13</v>
      </c>
      <c r="E2603" s="5" t="s">
        <v>1233</v>
      </c>
      <c r="F2603" s="5" t="s">
        <v>1282</v>
      </c>
      <c r="G2603" s="5" t="s">
        <v>80</v>
      </c>
      <c r="H2603" s="5" t="s">
        <v>38</v>
      </c>
      <c r="I2603" s="5" t="s">
        <v>18</v>
      </c>
      <c r="J2603" s="9" t="str">
        <f>IFERROR(__xludf.DUMMYFUNCTION("""COMPUTED_VALUE"""),"https://www.google.com/search?newwindow=1&amp;ei=2MT0XrvGGM-vytMP1OyDgAY&amp;q=site%3Alinkedin.com+April+Doktor+Senior+University+Recruiter+Gartner")</f>
        <v>https://www.google.com/search?newwindow=1&amp;ei=2MT0XrvGGM-vytMP1OyDgAY&amp;q=site%3Alinkedin.com+April+Doktor+Senior+University+Recruiter+Gartner</v>
      </c>
      <c r="K2603" s="5" t="str">
        <f t="shared" si="1"/>
        <v>April Doktor</v>
      </c>
      <c r="L2603" s="5" t="str">
        <f t="shared" si="2"/>
        <v>Senior University Recruiter</v>
      </c>
      <c r="M2603" s="5" t="str">
        <f t="shared" si="3"/>
        <v> </v>
      </c>
      <c r="N2603" s="5" t="str">
        <f t="shared" si="4"/>
        <v>Gartner</v>
      </c>
      <c r="O2603" s="5" t="str">
        <f t="shared" si="5"/>
        <v>1 year 5 months in role</v>
      </c>
      <c r="P2603" s="5" t="str">
        <f t="shared" si="6"/>
        <v>Orlando</v>
      </c>
      <c r="Q2603" s="5" t="str">
        <f t="shared" si="7"/>
        <v>Florida</v>
      </c>
      <c r="R2603" s="5" t="str">
        <f t="shared" si="8"/>
        <v>United States</v>
      </c>
    </row>
    <row r="2604">
      <c r="A2604" s="7" t="s">
        <v>1285</v>
      </c>
      <c r="B2604" s="5" t="s">
        <v>1284</v>
      </c>
      <c r="C2604" s="5" t="s">
        <v>25</v>
      </c>
      <c r="D2604" s="6" t="s">
        <v>13</v>
      </c>
      <c r="E2604" s="5" t="s">
        <v>1233</v>
      </c>
      <c r="F2604" s="5" t="s">
        <v>100</v>
      </c>
      <c r="G2604" s="5" t="s">
        <v>80</v>
      </c>
      <c r="H2604" s="5" t="s">
        <v>38</v>
      </c>
      <c r="I2604" s="5" t="s">
        <v>18</v>
      </c>
      <c r="J2604" s="9" t="str">
        <f>IFERROR(__xludf.DUMMYFUNCTION("""COMPUTED_VALUE"""),"https://www.google.com/search?newwindow=1&amp;ei=2MT0XrvGGM-vytMP1OyDgAY&amp;q=site%3Alinkedin.com+Kristin+LaRosa+Rotational+Campus+Recruiter+Gartner")</f>
        <v>https://www.google.com/search?newwindow=1&amp;ei=2MT0XrvGGM-vytMP1OyDgAY&amp;q=site%3Alinkedin.com+Kristin+LaRosa+Rotational+Campus+Recruiter+Gartner</v>
      </c>
      <c r="K2604" s="5" t="str">
        <f t="shared" si="1"/>
        <v>Kristin LaRosa</v>
      </c>
      <c r="L2604" s="5" t="str">
        <f t="shared" si="2"/>
        <v>Rotational Campus Recruiter</v>
      </c>
      <c r="M2604" s="5" t="str">
        <f t="shared" si="3"/>
        <v> </v>
      </c>
      <c r="N2604" s="5" t="str">
        <f t="shared" si="4"/>
        <v>Gartner</v>
      </c>
      <c r="O2604" s="5" t="str">
        <f t="shared" si="5"/>
        <v>1 year 3 months in role and company</v>
      </c>
      <c r="P2604" s="5" t="str">
        <f t="shared" si="6"/>
        <v>Philadelphia</v>
      </c>
      <c r="Q2604" s="5" t="str">
        <f t="shared" si="7"/>
        <v>Pennsylvania</v>
      </c>
      <c r="R2604" s="5" t="str">
        <f t="shared" si="8"/>
        <v>United States</v>
      </c>
    </row>
    <row r="2605">
      <c r="A2605" s="7" t="s">
        <v>1287</v>
      </c>
      <c r="B2605" s="5" t="s">
        <v>1286</v>
      </c>
      <c r="C2605" s="5" t="s">
        <v>32</v>
      </c>
      <c r="D2605" s="6" t="s">
        <v>13</v>
      </c>
      <c r="E2605" s="5" t="s">
        <v>1233</v>
      </c>
      <c r="F2605" s="5" t="s">
        <v>228</v>
      </c>
      <c r="G2605" s="5" t="s">
        <v>85</v>
      </c>
      <c r="H2605" s="5" t="s">
        <v>86</v>
      </c>
      <c r="I2605" s="5" t="s">
        <v>18</v>
      </c>
      <c r="J2605" s="9" t="str">
        <f>IFERROR(__xludf.DUMMYFUNCTION("""COMPUTED_VALUE"""),"https://www.google.com/search?newwindow=1&amp;ei=2MT0XrvGGM-vytMP1OyDgAY&amp;q=site%3Alinkedin.com+Claire+McCaskey+University+Recruiter+Gartner")</f>
        <v>https://www.google.com/search?newwindow=1&amp;ei=2MT0XrvGGM-vytMP1OyDgAY&amp;q=site%3Alinkedin.com+Claire+McCaskey+University+Recruiter+Gartner</v>
      </c>
      <c r="K2605" s="5" t="str">
        <f t="shared" si="1"/>
        <v>Claire McCaskey</v>
      </c>
      <c r="L2605" s="5" t="str">
        <f t="shared" si="2"/>
        <v>University Recruiter</v>
      </c>
      <c r="M2605" s="5" t="str">
        <f t="shared" si="3"/>
        <v> </v>
      </c>
      <c r="N2605" s="5" t="str">
        <f t="shared" si="4"/>
        <v>Gartner</v>
      </c>
      <c r="O2605" s="5" t="str">
        <f t="shared" si="5"/>
        <v>2 years 2 months in role and company</v>
      </c>
      <c r="P2605" s="5" t="str">
        <f t="shared" si="6"/>
        <v>Philadelphia</v>
      </c>
      <c r="Q2605" s="5" t="str">
        <f t="shared" si="7"/>
        <v>Pennsylvania</v>
      </c>
      <c r="R2605" s="5" t="str">
        <f t="shared" si="8"/>
        <v>United States</v>
      </c>
    </row>
    <row r="2606">
      <c r="A2606" s="7" t="s">
        <v>1290</v>
      </c>
      <c r="B2606" s="5" t="s">
        <v>1288</v>
      </c>
      <c r="C2606" s="5" t="s">
        <v>25</v>
      </c>
      <c r="D2606" s="6" t="s">
        <v>13</v>
      </c>
      <c r="E2606" s="5" t="s">
        <v>1233</v>
      </c>
      <c r="F2606" s="5" t="s">
        <v>1289</v>
      </c>
      <c r="G2606" s="5" t="s">
        <v>85</v>
      </c>
      <c r="H2606" s="5" t="s">
        <v>86</v>
      </c>
      <c r="I2606" s="5" t="s">
        <v>18</v>
      </c>
      <c r="J2606" s="9" t="str">
        <f>IFERROR(__xludf.DUMMYFUNCTION("""COMPUTED_VALUE"""),"https://www.google.com/search?newwindow=1&amp;ei=2MT0XrvGGM-vytMP1OyDgAY&amp;q=site%3Alinkedin.com+Sarah+Dennis+Senior+University+Field+MBA+Recruiter+Gartner")</f>
        <v>https://www.google.com/search?newwindow=1&amp;ei=2MT0XrvGGM-vytMP1OyDgAY&amp;q=site%3Alinkedin.com+Sarah+Dennis+Senior+University+Field+MBA+Recruiter+Gartner</v>
      </c>
      <c r="K2606" s="5" t="str">
        <f t="shared" si="1"/>
        <v>Sarah Dennis</v>
      </c>
      <c r="L2606" s="5" t="str">
        <f t="shared" si="2"/>
        <v>Senior University Field MBA Recruiter</v>
      </c>
      <c r="M2606" s="5" t="str">
        <f t="shared" si="3"/>
        <v>MBA</v>
      </c>
      <c r="N2606" s="5" t="str">
        <f t="shared" si="4"/>
        <v>Gartner</v>
      </c>
      <c r="O2606" s="5" t="str">
        <f t="shared" si="5"/>
        <v>7 months in role</v>
      </c>
      <c r="P2606" s="5" t="str">
        <f t="shared" si="6"/>
        <v>Philadelphia</v>
      </c>
      <c r="Q2606" s="5" t="str">
        <f t="shared" si="7"/>
        <v>Pennsylvania</v>
      </c>
      <c r="R2606" s="5" t="str">
        <f t="shared" si="8"/>
        <v>United States</v>
      </c>
    </row>
    <row r="2607">
      <c r="A2607" s="7" t="s">
        <v>1293</v>
      </c>
      <c r="B2607" s="5" t="s">
        <v>1291</v>
      </c>
      <c r="C2607" s="5" t="s">
        <v>371</v>
      </c>
      <c r="D2607" s="6" t="s">
        <v>13</v>
      </c>
      <c r="E2607" s="5" t="s">
        <v>1233</v>
      </c>
      <c r="F2607" s="5" t="s">
        <v>1292</v>
      </c>
      <c r="G2607" s="5" t="s">
        <v>90</v>
      </c>
      <c r="H2607" s="5" t="s">
        <v>91</v>
      </c>
      <c r="I2607" s="5" t="s">
        <v>18</v>
      </c>
      <c r="J2607" s="9" t="str">
        <f>IFERROR(__xludf.DUMMYFUNCTION("""COMPUTED_VALUE"""),"https://www.google.com/search?newwindow=1&amp;ei=2MT0XrvGGM-vytMP1OyDgAY&amp;q=site%3Alinkedin.com+Gracie+Enright+University+Recruiter,+Associate+Gartner")</f>
        <v>https://www.google.com/search?newwindow=1&amp;ei=2MT0XrvGGM-vytMP1OyDgAY&amp;q=site%3Alinkedin.com+Gracie+Enright+University+Recruiter,+Associate+Gartner</v>
      </c>
      <c r="K2607" s="5" t="str">
        <f t="shared" si="1"/>
        <v>Gracie Enright</v>
      </c>
      <c r="L2607" s="5" t="str">
        <f t="shared" si="2"/>
        <v>University Recruiter, Associate</v>
      </c>
      <c r="M2607" s="5" t="str">
        <f t="shared" si="3"/>
        <v> </v>
      </c>
      <c r="N2607" s="5" t="str">
        <f t="shared" si="4"/>
        <v>Gartner</v>
      </c>
      <c r="O2607" s="5" t="str">
        <f t="shared" si="5"/>
        <v>1 year 4 months in role and company</v>
      </c>
      <c r="P2607" s="5" t="str">
        <f t="shared" si="6"/>
        <v>Stamford</v>
      </c>
      <c r="Q2607" s="5" t="str">
        <f t="shared" si="7"/>
        <v>Connecticut</v>
      </c>
      <c r="R2607" s="5" t="str">
        <f t="shared" si="8"/>
        <v>United States</v>
      </c>
    </row>
    <row r="2608">
      <c r="A2608" s="7" t="s">
        <v>1297</v>
      </c>
      <c r="B2608" s="5" t="s">
        <v>1294</v>
      </c>
      <c r="C2608" s="5" t="s">
        <v>1295</v>
      </c>
      <c r="D2608" s="6" t="s">
        <v>13</v>
      </c>
      <c r="E2608" s="5" t="s">
        <v>1233</v>
      </c>
      <c r="F2608" s="5" t="s">
        <v>192</v>
      </c>
      <c r="G2608" s="5" t="s">
        <v>1296</v>
      </c>
      <c r="H2608" s="5" t="s">
        <v>96</v>
      </c>
      <c r="I2608" s="5" t="s">
        <v>18</v>
      </c>
      <c r="J2608" s="9" t="str">
        <f>IFERROR(__xludf.DUMMYFUNCTION("""COMPUTED_VALUE"""),"https://www.google.com/search?newwindow=1&amp;ei=2MT0XrvGGM-vytMP1OyDgAY&amp;q=site%3Alinkedin.com+Jackie+Potter+Sr.+University+Recruiter+Gartner")</f>
        <v>https://www.google.com/search?newwindow=1&amp;ei=2MT0XrvGGM-vytMP1OyDgAY&amp;q=site%3Alinkedin.com+Jackie+Potter+Sr.+University+Recruiter+Gartner</v>
      </c>
      <c r="K2608" s="5" t="str">
        <f t="shared" si="1"/>
        <v>Jackie Potter</v>
      </c>
      <c r="L2608" s="5" t="str">
        <f t="shared" si="2"/>
        <v>Sr. University Recruiter</v>
      </c>
      <c r="M2608" s="5" t="str">
        <f t="shared" si="3"/>
        <v> </v>
      </c>
      <c r="N2608" s="5" t="str">
        <f t="shared" si="4"/>
        <v>Gartner</v>
      </c>
      <c r="O2608" s="5" t="str">
        <f t="shared" si="5"/>
        <v>1 year 5 months in role</v>
      </c>
      <c r="P2608" s="5" t="str">
        <f t="shared" si="6"/>
        <v>Washington</v>
      </c>
      <c r="Q2608" s="5" t="str">
        <f t="shared" si="7"/>
        <v>District of Columbia</v>
      </c>
      <c r="R2608" s="5" t="str">
        <f t="shared" si="8"/>
        <v>United States</v>
      </c>
    </row>
    <row r="2609">
      <c r="A2609" s="7" t="s">
        <v>1302</v>
      </c>
      <c r="B2609" s="5" t="s">
        <v>1298</v>
      </c>
      <c r="C2609" s="5" t="s">
        <v>1299</v>
      </c>
      <c r="D2609" s="6" t="s">
        <v>13</v>
      </c>
      <c r="E2609" s="5" t="s">
        <v>1233</v>
      </c>
      <c r="F2609" s="5" t="s">
        <v>1300</v>
      </c>
      <c r="G2609" s="5" t="s">
        <v>1301</v>
      </c>
      <c r="H2609" s="5" t="s">
        <v>96</v>
      </c>
      <c r="I2609" s="5" t="s">
        <v>18</v>
      </c>
      <c r="J2609" s="9" t="str">
        <f>IFERROR(__xludf.DUMMYFUNCTION("""COMPUTED_VALUE"""),"https://www.google.com/search?newwindow=1&amp;ei=2MT0XrvGGM-vytMP1OyDgAY&amp;q=site%3Alinkedin.com+Gillian+Fecht+Healthcare+Digital+FP&amp;A+Reporting+&amp;+Ops+Manager+GE")</f>
        <v>https://www.google.com/search?newwindow=1&amp;ei=2MT0XrvGGM-vytMP1OyDgAY&amp;q=site%3Alinkedin.com+Gillian+Fecht+Healthcare+Digital+FP&amp;A+Reporting+&amp;+Ops+Manager+GE</v>
      </c>
      <c r="K2609" s="5" t="str">
        <f t="shared" si="1"/>
        <v>Gillian Fecht</v>
      </c>
      <c r="L2609" s="5" t="str">
        <f t="shared" si="2"/>
        <v>Healthcare Digital FP&amp;A Reporting &amp; Ops Manager</v>
      </c>
      <c r="M2609" s="5" t="str">
        <f t="shared" si="3"/>
        <v> </v>
      </c>
      <c r="N2609" s="5" t="str">
        <f t="shared" si="4"/>
        <v>GE</v>
      </c>
      <c r="O2609" s="5" t="str">
        <f t="shared" si="5"/>
        <v>3 years 2 months in role</v>
      </c>
      <c r="P2609" s="5" t="str">
        <f t="shared" si="6"/>
        <v>Chicago</v>
      </c>
      <c r="Q2609" s="5" t="str">
        <f t="shared" si="7"/>
        <v>Illinois</v>
      </c>
      <c r="R2609" s="5" t="str">
        <f t="shared" si="8"/>
        <v>United States</v>
      </c>
    </row>
    <row r="2610">
      <c r="A2610" s="7" t="s">
        <v>1306</v>
      </c>
      <c r="B2610" s="5" t="s">
        <v>1303</v>
      </c>
      <c r="C2610" s="5" t="s">
        <v>32</v>
      </c>
      <c r="D2610" s="6" t="s">
        <v>13</v>
      </c>
      <c r="E2610" s="5" t="s">
        <v>1233</v>
      </c>
      <c r="F2610" s="5" t="s">
        <v>26</v>
      </c>
      <c r="G2610" s="5" t="s">
        <v>1304</v>
      </c>
      <c r="H2610" s="5" t="s">
        <v>1305</v>
      </c>
      <c r="I2610" s="5" t="s">
        <v>18</v>
      </c>
      <c r="J2610" s="9" t="str">
        <f>IFERROR(__xludf.DUMMYFUNCTION("""COMPUTED_VALUE"""),"https://www.google.com/search?newwindow=1&amp;ei=2MT0XrvGGM-vytMP1OyDgAY&amp;q=site%3Alinkedin.com+Eva+(Reiter)+Jansen+Senior+Sourcing+Manager+-+NPI+Transition,+Electromechanical+Components+GE+Aviation")</f>
        <v>https://www.google.com/search?newwindow=1&amp;ei=2MT0XrvGGM-vytMP1OyDgAY&amp;q=site%3Alinkedin.com+Eva+(Reiter)+Jansen+Senior+Sourcing+Manager+-+NPI+Transition,+Electromechanical+Components+GE+Aviation</v>
      </c>
      <c r="K2610" s="5" t="str">
        <f t="shared" si="1"/>
        <v>Eva (Reiter) Jansen</v>
      </c>
      <c r="L2610" s="5" t="str">
        <f t="shared" si="2"/>
        <v>Senior Sourcing Manager - NPI Transition, Electromechanical Components</v>
      </c>
      <c r="M2610" s="5" t="str">
        <f t="shared" si="3"/>
        <v> </v>
      </c>
      <c r="N2610" s="5" t="str">
        <f t="shared" si="4"/>
        <v>GE</v>
      </c>
      <c r="O2610" s="5" t="str">
        <f t="shared" si="5"/>
        <v>1 year 9 months in role</v>
      </c>
      <c r="P2610" s="5" t="str">
        <f t="shared" si="6"/>
        <v>Grand Rapids</v>
      </c>
      <c r="Q2610" s="5" t="str">
        <f t="shared" si="7"/>
        <v>Michigan</v>
      </c>
      <c r="R2610" s="5" t="str">
        <f t="shared" si="8"/>
        <v>United States</v>
      </c>
    </row>
    <row r="2611">
      <c r="A2611" s="7" t="s">
        <v>1308</v>
      </c>
      <c r="B2611" s="5" t="s">
        <v>1307</v>
      </c>
      <c r="C2611" s="5" t="s">
        <v>25</v>
      </c>
      <c r="D2611" s="6" t="s">
        <v>13</v>
      </c>
      <c r="E2611" s="5" t="s">
        <v>1233</v>
      </c>
      <c r="F2611" s="5" t="s">
        <v>459</v>
      </c>
      <c r="G2611" s="5" t="s">
        <v>112</v>
      </c>
      <c r="H2611" s="5" t="s">
        <v>38</v>
      </c>
      <c r="I2611" s="5" t="s">
        <v>18</v>
      </c>
      <c r="J2611" s="9" t="str">
        <f>IFERROR(__xludf.DUMMYFUNCTION("""COMPUTED_VALUE"""),"https://www.google.com/search?newwindow=1&amp;ei=2MT0XrvGGM-vytMP1OyDgAY&amp;q=site%3Alinkedin.com+Kevin+Fritz+Region+Business+Manager,+Computed+Tomography+GE+Healthcare")</f>
        <v>https://www.google.com/search?newwindow=1&amp;ei=2MT0XrvGGM-vytMP1OyDgAY&amp;q=site%3Alinkedin.com+Kevin+Fritz+Region+Business+Manager,+Computed+Tomography+GE+Healthcare</v>
      </c>
      <c r="K2611" s="5" t="str">
        <f t="shared" si="1"/>
        <v>Kevin Fritz</v>
      </c>
      <c r="L2611" s="5" t="str">
        <f t="shared" si="2"/>
        <v>Region Business Manager, Computed Tomography</v>
      </c>
      <c r="M2611" s="5" t="str">
        <f t="shared" si="3"/>
        <v> </v>
      </c>
      <c r="N2611" s="5" t="str">
        <f t="shared" si="4"/>
        <v>GE</v>
      </c>
      <c r="O2611" s="5" t="str">
        <f t="shared" si="5"/>
        <v>2 years 7 months in role</v>
      </c>
      <c r="P2611" s="5" t="str">
        <f t="shared" si="6"/>
        <v>Boston</v>
      </c>
      <c r="Q2611" s="5" t="str">
        <f t="shared" si="7"/>
        <v>Massachusetts</v>
      </c>
      <c r="R2611" s="5" t="str">
        <f t="shared" si="8"/>
        <v>United States</v>
      </c>
    </row>
    <row r="2612">
      <c r="A2612" s="7" t="s">
        <v>1310</v>
      </c>
      <c r="B2612" s="5" t="s">
        <v>1309</v>
      </c>
      <c r="C2612" s="5" t="s">
        <v>32</v>
      </c>
      <c r="D2612" s="6" t="s">
        <v>13</v>
      </c>
      <c r="E2612" s="5" t="s">
        <v>1233</v>
      </c>
      <c r="F2612" s="5" t="s">
        <v>418</v>
      </c>
      <c r="G2612" s="5" t="s">
        <v>112</v>
      </c>
      <c r="H2612" s="5" t="s">
        <v>38</v>
      </c>
      <c r="I2612" s="5" t="s">
        <v>18</v>
      </c>
      <c r="J2612" s="9" t="str">
        <f>IFERROR(__xludf.DUMMYFUNCTION("""COMPUTED_VALUE"""),"https://www.google.com/search?newwindow=1&amp;ei=2MT0XrvGGM-vytMP1OyDgAY&amp;q=site%3Alinkedin.com+Greg+Herman+Global+Logistics+Finance+Manager+GE+Healthcare")</f>
        <v>https://www.google.com/search?newwindow=1&amp;ei=2MT0XrvGGM-vytMP1OyDgAY&amp;q=site%3Alinkedin.com+Greg+Herman+Global+Logistics+Finance+Manager+GE+Healthcare</v>
      </c>
      <c r="K2612" s="5" t="str">
        <f t="shared" si="1"/>
        <v>Greg Herman</v>
      </c>
      <c r="L2612" s="5" t="str">
        <f t="shared" si="2"/>
        <v>Global Logistics Finance Manager</v>
      </c>
      <c r="M2612" s="5" t="str">
        <f t="shared" si="3"/>
        <v> </v>
      </c>
      <c r="N2612" s="5" t="str">
        <f t="shared" si="4"/>
        <v>GE</v>
      </c>
      <c r="O2612" s="5" t="str">
        <f t="shared" si="5"/>
        <v>8 years 2 months in role and company</v>
      </c>
      <c r="P2612" s="5" t="str">
        <f t="shared" si="6"/>
        <v>Brookfield</v>
      </c>
      <c r="Q2612" s="5" t="str">
        <f t="shared" si="7"/>
        <v>Wisconsin</v>
      </c>
      <c r="R2612" s="5" t="str">
        <f t="shared" si="8"/>
        <v>United States</v>
      </c>
    </row>
    <row r="2613">
      <c r="A2613" s="7" t="s">
        <v>1313</v>
      </c>
      <c r="B2613" s="5" t="s">
        <v>1311</v>
      </c>
      <c r="C2613" s="5" t="s">
        <v>25</v>
      </c>
      <c r="D2613" s="6" t="s">
        <v>13</v>
      </c>
      <c r="E2613" s="5" t="s">
        <v>1233</v>
      </c>
      <c r="F2613" s="5" t="s">
        <v>376</v>
      </c>
      <c r="G2613" s="5" t="s">
        <v>1312</v>
      </c>
      <c r="H2613" s="5" t="s">
        <v>219</v>
      </c>
      <c r="I2613" s="5" t="s">
        <v>18</v>
      </c>
      <c r="J2613" s="9" t="str">
        <f>IFERROR(__xludf.DUMMYFUNCTION("""COMPUTED_VALUE"""),"https://www.google.com/search?newwindow=1&amp;ei=2MT0XrvGGM-vytMP1OyDgAY&amp;q=site%3Alinkedin.com+Argyle+Sects+Recruiter+GE+Oil+&amp;+Gas")</f>
        <v>https://www.google.com/search?newwindow=1&amp;ei=2MT0XrvGGM-vytMP1OyDgAY&amp;q=site%3Alinkedin.com+Argyle+Sects+Recruiter+GE+Oil+&amp;+Gas</v>
      </c>
      <c r="K2613" s="5" t="str">
        <f t="shared" si="1"/>
        <v>Argyle Sects</v>
      </c>
      <c r="L2613" s="5" t="str">
        <f t="shared" si="2"/>
        <v>Recruiter</v>
      </c>
      <c r="M2613" s="5" t="str">
        <f t="shared" si="3"/>
        <v> </v>
      </c>
      <c r="N2613" s="5" t="str">
        <f t="shared" si="4"/>
        <v>GE</v>
      </c>
      <c r="O2613" s="5" t="str">
        <f t="shared" si="5"/>
        <v>8 years 2 months in role and company</v>
      </c>
      <c r="P2613" s="5" t="str">
        <f t="shared" si="6"/>
        <v>Arlington</v>
      </c>
      <c r="Q2613" s="5" t="str">
        <f t="shared" si="7"/>
        <v>Virginia</v>
      </c>
      <c r="R2613" s="5" t="str">
        <f t="shared" si="8"/>
        <v>United States</v>
      </c>
    </row>
    <row r="2614">
      <c r="A2614" s="7" t="s">
        <v>1315</v>
      </c>
      <c r="B2614" s="5" t="s">
        <v>1314</v>
      </c>
      <c r="C2614" s="5" t="s">
        <v>371</v>
      </c>
      <c r="D2614" s="6" t="s">
        <v>13</v>
      </c>
      <c r="E2614" s="5" t="s">
        <v>1233</v>
      </c>
      <c r="G2614" s="5" t="s">
        <v>975</v>
      </c>
      <c r="H2614" s="5" t="s">
        <v>44</v>
      </c>
      <c r="I2614" s="5" t="s">
        <v>18</v>
      </c>
      <c r="J2614" s="9" t="str">
        <f>IFERROR(__xludf.DUMMYFUNCTION("""COMPUTED_VALUE"""),"https://www.google.com/search?newwindow=1&amp;ei=2MT0XrvGGM-vytMP1OyDgAY&amp;q=site%3Alinkedin.com+Susan+Moore+Senior+Product+Delivery+Manager,+Solution+Data+Architect+GE+Renewable+Energy")</f>
        <v>https://www.google.com/search?newwindow=1&amp;ei=2MT0XrvGGM-vytMP1OyDgAY&amp;q=site%3Alinkedin.com+Susan+Moore+Senior+Product+Delivery+Manager,+Solution+Data+Architect+GE+Renewable+Energy</v>
      </c>
      <c r="K2614" s="5" t="str">
        <f t="shared" si="1"/>
        <v>Susan Moore</v>
      </c>
      <c r="L2614" s="5" t="str">
        <f t="shared" si="2"/>
        <v>Senior Product Delivery Manager, Solution Data Architect</v>
      </c>
      <c r="M2614" s="5" t="str">
        <f t="shared" si="3"/>
        <v> </v>
      </c>
      <c r="N2614" s="5" t="str">
        <f t="shared" si="4"/>
        <v>GE</v>
      </c>
      <c r="O2614" s="5" t="str">
        <f t="shared" si="5"/>
        <v>2 years 8 months in role</v>
      </c>
      <c r="P2614" s="5" t="str">
        <f t="shared" si="6"/>
        <v>Ballston Spa</v>
      </c>
      <c r="Q2614" s="5" t="str">
        <f t="shared" si="7"/>
        <v>New York</v>
      </c>
      <c r="R2614" s="5" t="str">
        <f t="shared" si="8"/>
        <v>United States</v>
      </c>
    </row>
    <row r="2615">
      <c r="A2615" s="7" t="s">
        <v>1317</v>
      </c>
      <c r="B2615" s="5" t="s">
        <v>1316</v>
      </c>
      <c r="C2615" s="5" t="s">
        <v>371</v>
      </c>
      <c r="D2615" s="6" t="s">
        <v>13</v>
      </c>
      <c r="E2615" s="5" t="s">
        <v>1233</v>
      </c>
      <c r="F2615" s="5" t="s">
        <v>26</v>
      </c>
      <c r="G2615" s="5" t="s">
        <v>122</v>
      </c>
      <c r="H2615" s="5" t="s">
        <v>44</v>
      </c>
      <c r="I2615" s="5" t="s">
        <v>18</v>
      </c>
      <c r="J2615" s="9" t="str">
        <f>IFERROR(__xludf.DUMMYFUNCTION("""COMPUTED_VALUE"""),"https://www.google.com/search?newwindow=1&amp;ei=2MT0XrvGGM-vytMP1OyDgAY&amp;q=site%3Alinkedin.com+Justin+Norris+Transport+Intelligence+-+Senior+Engineering+Manager+-+Integration+Engineering+GE+Transportation")</f>
        <v>https://www.google.com/search?newwindow=1&amp;ei=2MT0XrvGGM-vytMP1OyDgAY&amp;q=site%3Alinkedin.com+Justin+Norris+Transport+Intelligence+-+Senior+Engineering+Manager+-+Integration+Engineering+GE+Transportation</v>
      </c>
      <c r="K2615" s="5" t="str">
        <f t="shared" si="1"/>
        <v>Justin Norris</v>
      </c>
      <c r="L2615" s="5" t="str">
        <f t="shared" si="2"/>
        <v>Transport Intelligence - Senior Engineering Manager - Integration Engineering</v>
      </c>
      <c r="M2615" s="5" t="str">
        <f t="shared" si="3"/>
        <v> </v>
      </c>
      <c r="N2615" s="5" t="str">
        <f t="shared" si="4"/>
        <v>GE</v>
      </c>
      <c r="O2615" s="5" t="str">
        <f t="shared" si="5"/>
        <v>1 year 6 months in role</v>
      </c>
      <c r="P2615" s="5" t="str">
        <f t="shared" si="6"/>
        <v>Erie</v>
      </c>
      <c r="Q2615" s="5" t="str">
        <f t="shared" si="7"/>
        <v>Pennsylvania</v>
      </c>
      <c r="R2615" s="5" t="str">
        <f t="shared" si="8"/>
        <v>United States</v>
      </c>
    </row>
    <row r="2616">
      <c r="A2616" s="7" t="s">
        <v>1319</v>
      </c>
      <c r="B2616" s="5" t="s">
        <v>1318</v>
      </c>
      <c r="C2616" s="5" t="s">
        <v>25</v>
      </c>
      <c r="D2616" s="6" t="s">
        <v>13</v>
      </c>
      <c r="E2616" s="5" t="s">
        <v>1233</v>
      </c>
      <c r="G2616" s="5" t="s">
        <v>122</v>
      </c>
      <c r="H2616" s="5" t="s">
        <v>44</v>
      </c>
      <c r="I2616" s="5" t="s">
        <v>18</v>
      </c>
      <c r="J2616" s="9" t="str">
        <f>IFERROR(__xludf.DUMMYFUNCTION("""COMPUTED_VALUE"""),"https://www.google.com/search?newwindow=1&amp;ei=2MT0XrvGGM-vytMP1OyDgAY&amp;q=site%3Alinkedin.com+Latrell+Tyson+College+Recruiter+GEICO")</f>
        <v>https://www.google.com/search?newwindow=1&amp;ei=2MT0XrvGGM-vytMP1OyDgAY&amp;q=site%3Alinkedin.com+Latrell+Tyson+College+Recruiter+GEICO</v>
      </c>
      <c r="K2616" s="5" t="str">
        <f t="shared" si="1"/>
        <v>Latrell Tyson</v>
      </c>
      <c r="L2616" s="5" t="str">
        <f t="shared" si="2"/>
        <v>College Recruiter</v>
      </c>
      <c r="M2616" s="5" t="str">
        <f t="shared" si="3"/>
        <v> </v>
      </c>
      <c r="N2616" s="5" t="str">
        <f t="shared" si="4"/>
        <v>GEICO</v>
      </c>
      <c r="O2616" s="5" t="str">
        <f t="shared" si="5"/>
        <v>1 year  in role</v>
      </c>
      <c r="P2616" s="5" t="str">
        <f t="shared" si="6"/>
        <v>Buffalo</v>
      </c>
      <c r="Q2616" s="5" t="str">
        <f t="shared" si="7"/>
        <v>New York</v>
      </c>
      <c r="R2616" s="5" t="str">
        <f t="shared" si="8"/>
        <v>United States</v>
      </c>
    </row>
    <row r="2617">
      <c r="A2617" s="8" t="s">
        <v>1322</v>
      </c>
      <c r="B2617" s="5" t="s">
        <v>1320</v>
      </c>
      <c r="C2617" s="5" t="s">
        <v>371</v>
      </c>
      <c r="D2617" s="6" t="s">
        <v>13</v>
      </c>
      <c r="E2617" s="5" t="s">
        <v>1233</v>
      </c>
      <c r="F2617" s="5" t="s">
        <v>1321</v>
      </c>
      <c r="G2617" s="5" t="s">
        <v>122</v>
      </c>
      <c r="H2617" s="5" t="s">
        <v>44</v>
      </c>
      <c r="I2617" s="5" t="s">
        <v>18</v>
      </c>
      <c r="J2617" s="9" t="str">
        <f>IFERROR(__xludf.DUMMYFUNCTION("""COMPUTED_VALUE"""),"https://www.google.com/search?newwindow=1&amp;ei=2MT0XrvGGM-vytMP1OyDgAY&amp;q=site%3Alinkedin.com+Justine+Ramsey,+MBA+Sr.+National+College+Recruiter+GEICO")</f>
        <v>https://www.google.com/search?newwindow=1&amp;ei=2MT0XrvGGM-vytMP1OyDgAY&amp;q=site%3Alinkedin.com+Justine+Ramsey,+MBA+Sr.+National+College+Recruiter+GEICO</v>
      </c>
      <c r="K2617" s="5" t="str">
        <f t="shared" si="1"/>
        <v>Justine Ramsey, MBA</v>
      </c>
      <c r="L2617" s="5" t="str">
        <f t="shared" si="2"/>
        <v>Sr. National College Recruiter</v>
      </c>
      <c r="M2617" s="5" t="str">
        <f t="shared" si="3"/>
        <v> </v>
      </c>
      <c r="N2617" s="5" t="str">
        <f t="shared" si="4"/>
        <v>GEICO</v>
      </c>
      <c r="O2617" s="5" t="str">
        <f t="shared" si="5"/>
        <v>7 years 2 months in role</v>
      </c>
      <c r="P2617" s="5" t="str">
        <f t="shared" si="6"/>
        <v>Buffalo</v>
      </c>
      <c r="Q2617" s="5" t="str">
        <f t="shared" si="7"/>
        <v>New York</v>
      </c>
      <c r="R2617" s="5" t="str">
        <f t="shared" si="8"/>
        <v>United States</v>
      </c>
    </row>
    <row r="2618">
      <c r="A2618" s="7" t="s">
        <v>1325</v>
      </c>
      <c r="B2618" s="5" t="s">
        <v>1323</v>
      </c>
      <c r="C2618" s="5" t="s">
        <v>1324</v>
      </c>
      <c r="D2618" s="6" t="s">
        <v>13</v>
      </c>
      <c r="E2618" s="5" t="s">
        <v>1233</v>
      </c>
      <c r="F2618" s="5" t="s">
        <v>570</v>
      </c>
      <c r="G2618" s="5" t="s">
        <v>793</v>
      </c>
      <c r="H2618" s="5" t="s">
        <v>184</v>
      </c>
      <c r="I2618" s="5" t="s">
        <v>18</v>
      </c>
      <c r="J2618" s="9" t="str">
        <f>IFERROR(__xludf.DUMMYFUNCTION("""COMPUTED_VALUE"""),"https://www.google.com/search?newwindow=1&amp;ei=2MT0XrvGGM-vytMP1OyDgAY&amp;q=site%3Alinkedin.com+Taylor+Beatty+Regional+Campus+Recruiter+GEICO")</f>
        <v>https://www.google.com/search?newwindow=1&amp;ei=2MT0XrvGGM-vytMP1OyDgAY&amp;q=site%3Alinkedin.com+Taylor+Beatty+Regional+Campus+Recruiter+GEICO</v>
      </c>
      <c r="K2618" s="5" t="str">
        <f t="shared" si="1"/>
        <v>Taylor Beatty</v>
      </c>
      <c r="L2618" s="5" t="str">
        <f t="shared" si="2"/>
        <v>Regional Campus Recruiter</v>
      </c>
      <c r="M2618" s="5" t="str">
        <f t="shared" si="3"/>
        <v> </v>
      </c>
      <c r="N2618" s="5" t="str">
        <f t="shared" si="4"/>
        <v>GEICO</v>
      </c>
      <c r="O2618" s="5" t="str">
        <f t="shared" si="5"/>
        <v>4 years  in role</v>
      </c>
      <c r="P2618" s="5" t="str">
        <f t="shared" si="6"/>
        <v>Buffalo</v>
      </c>
      <c r="Q2618" s="5" t="str">
        <f t="shared" si="7"/>
        <v>New York</v>
      </c>
      <c r="R2618" s="5" t="str">
        <f t="shared" si="8"/>
        <v>United States</v>
      </c>
    </row>
    <row r="2619">
      <c r="A2619" s="7" t="s">
        <v>1328</v>
      </c>
      <c r="B2619" s="5" t="s">
        <v>1326</v>
      </c>
      <c r="C2619" s="5" t="s">
        <v>1327</v>
      </c>
      <c r="D2619" s="6" t="s">
        <v>13</v>
      </c>
      <c r="E2619" s="5" t="s">
        <v>1233</v>
      </c>
      <c r="F2619" s="5" t="s">
        <v>26</v>
      </c>
      <c r="G2619" s="5" t="s">
        <v>218</v>
      </c>
      <c r="H2619" s="5" t="s">
        <v>219</v>
      </c>
      <c r="I2619" s="5" t="s">
        <v>18</v>
      </c>
      <c r="J2619" s="9" t="str">
        <f>IFERROR(__xludf.DUMMYFUNCTION("""COMPUTED_VALUE"""),"https://www.google.com/search?newwindow=1&amp;ei=2MT0XrvGGM-vytMP1OyDgAY&amp;q=site%3Alinkedin.com+Toni+Kontos+Campus+Recruiter+GEICO")</f>
        <v>https://www.google.com/search?newwindow=1&amp;ei=2MT0XrvGGM-vytMP1OyDgAY&amp;q=site%3Alinkedin.com+Toni+Kontos+Campus+Recruiter+GEICO</v>
      </c>
      <c r="K2619" s="5" t="str">
        <f t="shared" si="1"/>
        <v>Toni Kontos</v>
      </c>
      <c r="L2619" s="5" t="str">
        <f t="shared" si="2"/>
        <v>Campus Recruiter</v>
      </c>
      <c r="M2619" s="5" t="str">
        <f t="shared" si="3"/>
        <v> </v>
      </c>
      <c r="N2619" s="5" t="str">
        <f t="shared" si="4"/>
        <v>GEICO</v>
      </c>
      <c r="O2619" s="5" t="str">
        <f t="shared" si="5"/>
        <v>3 years 4 months in role</v>
      </c>
      <c r="P2619" s="5" t="str">
        <f t="shared" si="6"/>
        <v>Carmel</v>
      </c>
      <c r="Q2619" s="5" t="str">
        <f t="shared" si="7"/>
        <v>Indiana</v>
      </c>
      <c r="R2619" s="5" t="str">
        <f t="shared" si="8"/>
        <v>United States</v>
      </c>
    </row>
    <row r="2620">
      <c r="A2620" s="7" t="s">
        <v>1330</v>
      </c>
      <c r="B2620" s="5" t="s">
        <v>1329</v>
      </c>
      <c r="C2620" s="5" t="s">
        <v>766</v>
      </c>
      <c r="D2620" s="6" t="s">
        <v>13</v>
      </c>
      <c r="E2620" s="5" t="s">
        <v>1233</v>
      </c>
      <c r="F2620" s="5" t="s">
        <v>421</v>
      </c>
      <c r="G2620" s="5" t="s">
        <v>137</v>
      </c>
      <c r="H2620" s="5" t="s">
        <v>137</v>
      </c>
      <c r="I2620" s="5" t="s">
        <v>18</v>
      </c>
      <c r="J2620" s="9" t="str">
        <f>IFERROR(__xludf.DUMMYFUNCTION("""COMPUTED_VALUE"""),"https://www.google.com/search?newwindow=1&amp;ei=2MT0XrvGGM-vytMP1OyDgAY&amp;q=site%3Alinkedin.com+Melissa+Lynne,+CPCU+Recruiting+Systems+Analyst+GEICO")</f>
        <v>https://www.google.com/search?newwindow=1&amp;ei=2MT0XrvGGM-vytMP1OyDgAY&amp;q=site%3Alinkedin.com+Melissa+Lynne,+CPCU+Recruiting+Systems+Analyst+GEICO</v>
      </c>
      <c r="K2620" s="5" t="str">
        <f t="shared" si="1"/>
        <v>Melissa Lynne, CPCU</v>
      </c>
      <c r="L2620" s="5" t="str">
        <f t="shared" si="2"/>
        <v>Recruiting Systems Analyst</v>
      </c>
      <c r="M2620" s="5" t="str">
        <f t="shared" si="3"/>
        <v> </v>
      </c>
      <c r="N2620" s="5" t="str">
        <f t="shared" si="4"/>
        <v>GEICO</v>
      </c>
      <c r="O2620" s="5" t="str">
        <f t="shared" si="5"/>
        <v>2 years 3 months in role</v>
      </c>
      <c r="P2620" s="5" t="str">
        <f t="shared" si="6"/>
        <v>Coralville</v>
      </c>
      <c r="Q2620" s="5" t="str">
        <f t="shared" si="7"/>
        <v>Iowa</v>
      </c>
      <c r="R2620" s="5" t="str">
        <f t="shared" si="8"/>
        <v>United States</v>
      </c>
    </row>
    <row r="2621">
      <c r="A2621" s="8" t="s">
        <v>1333</v>
      </c>
      <c r="B2621" s="5" t="s">
        <v>1331</v>
      </c>
      <c r="C2621" s="5" t="s">
        <v>1332</v>
      </c>
      <c r="D2621" s="6" t="s">
        <v>13</v>
      </c>
      <c r="E2621" s="5" t="s">
        <v>1233</v>
      </c>
      <c r="F2621" s="5" t="s">
        <v>570</v>
      </c>
      <c r="G2621" s="5" t="s">
        <v>137</v>
      </c>
      <c r="H2621" s="5" t="s">
        <v>137</v>
      </c>
      <c r="I2621" s="5" t="s">
        <v>18</v>
      </c>
      <c r="J2621" s="9" t="str">
        <f>IFERROR(__xludf.DUMMYFUNCTION("""COMPUTED_VALUE"""),"https://www.google.com/search?newwindow=1&amp;ei=2MT0XrvGGM-vytMP1OyDgAY&amp;q=site%3Alinkedin.com+Kendra+Eakles+Regional+College+Recruiter+GEICO")</f>
        <v>https://www.google.com/search?newwindow=1&amp;ei=2MT0XrvGGM-vytMP1OyDgAY&amp;q=site%3Alinkedin.com+Kendra+Eakles+Regional+College+Recruiter+GEICO</v>
      </c>
      <c r="K2621" s="5" t="str">
        <f t="shared" si="1"/>
        <v>Kendra Eakles</v>
      </c>
      <c r="L2621" s="5" t="str">
        <f t="shared" si="2"/>
        <v>Regional College Recruiter</v>
      </c>
      <c r="M2621" s="5" t="str">
        <f t="shared" si="3"/>
        <v> </v>
      </c>
      <c r="N2621" s="5" t="str">
        <f t="shared" si="4"/>
        <v>GEICO</v>
      </c>
      <c r="O2621" s="5" t="str">
        <f t="shared" si="5"/>
        <v>1 year 7 months in role and company</v>
      </c>
      <c r="P2621" s="5" t="str">
        <f t="shared" si="6"/>
        <v>Dallas</v>
      </c>
      <c r="Q2621" s="5" t="str">
        <f t="shared" si="7"/>
        <v>Texas</v>
      </c>
      <c r="R2621" s="5" t="str">
        <f t="shared" si="8"/>
        <v>United States</v>
      </c>
    </row>
    <row r="2622">
      <c r="A2622" s="8" t="s">
        <v>1335</v>
      </c>
      <c r="B2622" s="5" t="s">
        <v>1334</v>
      </c>
      <c r="C2622" s="5" t="s">
        <v>371</v>
      </c>
      <c r="D2622" s="6" t="s">
        <v>13</v>
      </c>
      <c r="E2622" s="5" t="s">
        <v>1233</v>
      </c>
      <c r="F2622" s="5" t="s">
        <v>60</v>
      </c>
      <c r="G2622" s="5" t="s">
        <v>137</v>
      </c>
      <c r="H2622" s="5" t="s">
        <v>137</v>
      </c>
      <c r="I2622" s="5" t="s">
        <v>18</v>
      </c>
      <c r="J2622" s="9" t="str">
        <f>IFERROR(__xludf.DUMMYFUNCTION("""COMPUTED_VALUE"""),"https://www.google.com/search?newwindow=1&amp;ei=2MT0XrvGGM-vytMP1OyDgAY&amp;q=site%3Alinkedin.com+Tyra+H.+College+Recruiter+GEICO")</f>
        <v>https://www.google.com/search?newwindow=1&amp;ei=2MT0XrvGGM-vytMP1OyDgAY&amp;q=site%3Alinkedin.com+Tyra+H.+College+Recruiter+GEICO</v>
      </c>
      <c r="K2622" s="5" t="str">
        <f t="shared" si="1"/>
        <v>Tyra H.</v>
      </c>
      <c r="L2622" s="5" t="str">
        <f t="shared" si="2"/>
        <v>College Recruiter</v>
      </c>
      <c r="M2622" s="5" t="str">
        <f t="shared" si="3"/>
        <v> </v>
      </c>
      <c r="N2622" s="5" t="str">
        <f t="shared" si="4"/>
        <v>GEICO</v>
      </c>
      <c r="O2622" s="5" t="str">
        <f t="shared" si="5"/>
        <v>1 year 2 months in role</v>
      </c>
      <c r="P2622" s="5" t="str">
        <f t="shared" si="6"/>
        <v>Dallas</v>
      </c>
      <c r="Q2622" s="5" t="str">
        <f t="shared" si="7"/>
        <v>Texas</v>
      </c>
      <c r="R2622" s="5" t="str">
        <f t="shared" si="8"/>
        <v>United States</v>
      </c>
    </row>
    <row r="2623">
      <c r="A2623" s="8" t="s">
        <v>1338</v>
      </c>
      <c r="B2623" s="5" t="s">
        <v>1336</v>
      </c>
      <c r="C2623" s="5" t="s">
        <v>1337</v>
      </c>
      <c r="D2623" s="6" t="s">
        <v>13</v>
      </c>
      <c r="E2623" s="5" t="s">
        <v>1233</v>
      </c>
      <c r="F2623" s="5" t="s">
        <v>15</v>
      </c>
      <c r="G2623" s="5" t="s">
        <v>137</v>
      </c>
      <c r="H2623" s="5" t="s">
        <v>137</v>
      </c>
      <c r="I2623" s="5" t="s">
        <v>18</v>
      </c>
      <c r="J2623" s="9" t="str">
        <f>IFERROR(__xludf.DUMMYFUNCTION("""COMPUTED_VALUE"""),"https://www.google.com/search?newwindow=1&amp;ei=2MT0XrvGGM-vytMP1OyDgAY&amp;q=site%3Alinkedin.com+Sam+Teklé+Regional+College+Recruiter+GEICO")</f>
        <v>https://www.google.com/search?newwindow=1&amp;ei=2MT0XrvGGM-vytMP1OyDgAY&amp;q=site%3Alinkedin.com+Sam+Teklé+Regional+College+Recruiter+GEICO</v>
      </c>
      <c r="K2623" s="5" t="str">
        <f t="shared" si="1"/>
        <v>Sam Teklé</v>
      </c>
      <c r="L2623" s="5" t="str">
        <f t="shared" si="2"/>
        <v>Regional College Recruiter</v>
      </c>
      <c r="M2623" s="5" t="str">
        <f t="shared" si="3"/>
        <v> </v>
      </c>
      <c r="N2623" s="5" t="str">
        <f t="shared" si="4"/>
        <v>GEICO</v>
      </c>
      <c r="O2623" s="5" t="str">
        <f t="shared" si="5"/>
        <v>5 years 1 month in role and company</v>
      </c>
      <c r="P2623" s="5" t="str">
        <f t="shared" si="6"/>
        <v>Dallas</v>
      </c>
      <c r="Q2623" s="5" t="str">
        <f t="shared" si="7"/>
        <v>Texas</v>
      </c>
      <c r="R2623" s="5" t="str">
        <f t="shared" si="8"/>
        <v>United States</v>
      </c>
    </row>
    <row r="2624">
      <c r="A2624" s="7" t="s">
        <v>1340</v>
      </c>
      <c r="B2624" s="5" t="s">
        <v>1339</v>
      </c>
      <c r="C2624" s="5" t="s">
        <v>25</v>
      </c>
      <c r="D2624" s="6" t="s">
        <v>13</v>
      </c>
      <c r="E2624" s="5" t="s">
        <v>1233</v>
      </c>
      <c r="F2624" s="5" t="s">
        <v>207</v>
      </c>
      <c r="G2624" s="5" t="s">
        <v>137</v>
      </c>
      <c r="H2624" s="5" t="s">
        <v>137</v>
      </c>
      <c r="I2624" s="5" t="s">
        <v>18</v>
      </c>
      <c r="J2624" s="9" t="str">
        <f>IFERROR(__xludf.DUMMYFUNCTION("""COMPUTED_VALUE"""),"https://www.google.com/search?newwindow=1&amp;ei=2MT0XrvGGM-vytMP1OyDgAY&amp;q=site%3Alinkedin.com+William+Heartsill+College+Recruiter+GEICO")</f>
        <v>https://www.google.com/search?newwindow=1&amp;ei=2MT0XrvGGM-vytMP1OyDgAY&amp;q=site%3Alinkedin.com+William+Heartsill+College+Recruiter+GEICO</v>
      </c>
      <c r="K2624" s="5" t="str">
        <f t="shared" si="1"/>
        <v>William Heartsill</v>
      </c>
      <c r="L2624" s="5" t="str">
        <f t="shared" si="2"/>
        <v>College Recruiter</v>
      </c>
      <c r="M2624" s="5" t="str">
        <f t="shared" si="3"/>
        <v> </v>
      </c>
      <c r="N2624" s="5" t="str">
        <f t="shared" si="4"/>
        <v>GEICO</v>
      </c>
      <c r="O2624" s="5" t="str">
        <f t="shared" si="5"/>
        <v>14 years 8 months in role and company</v>
      </c>
      <c r="P2624" s="5" t="str">
        <f t="shared" si="6"/>
        <v>Dallas</v>
      </c>
      <c r="Q2624" s="5" t="str">
        <f t="shared" si="7"/>
        <v>Texas</v>
      </c>
      <c r="R2624" s="5" t="str">
        <f t="shared" si="8"/>
        <v>United States</v>
      </c>
    </row>
    <row r="2625">
      <c r="A2625" s="7" t="s">
        <v>1342</v>
      </c>
      <c r="B2625" s="5" t="s">
        <v>1341</v>
      </c>
      <c r="C2625" s="5" t="s">
        <v>25</v>
      </c>
      <c r="D2625" s="6" t="s">
        <v>13</v>
      </c>
      <c r="E2625" s="5" t="s">
        <v>1233</v>
      </c>
      <c r="F2625" s="5" t="s">
        <v>574</v>
      </c>
      <c r="G2625" s="5" t="s">
        <v>137</v>
      </c>
      <c r="H2625" s="5" t="s">
        <v>137</v>
      </c>
      <c r="I2625" s="5" t="s">
        <v>18</v>
      </c>
      <c r="J2625" s="9" t="str">
        <f>IFERROR(__xludf.DUMMYFUNCTION("""COMPUTED_VALUE"""),"https://www.google.com/search?newwindow=1&amp;ei=2MT0XrvGGM-vytMP1OyDgAY&amp;q=site%3Alinkedin.com+Chelsea+Rush+Regional+College+Recruiter+GEICO")</f>
        <v>https://www.google.com/search?newwindow=1&amp;ei=2MT0XrvGGM-vytMP1OyDgAY&amp;q=site%3Alinkedin.com+Chelsea+Rush+Regional+College+Recruiter+GEICO</v>
      </c>
      <c r="K2625" s="5" t="str">
        <f t="shared" si="1"/>
        <v>Chelsea Rush</v>
      </c>
      <c r="L2625" s="5" t="str">
        <f t="shared" si="2"/>
        <v>Regional College Recruiter</v>
      </c>
      <c r="M2625" s="5" t="str">
        <f t="shared" si="3"/>
        <v> </v>
      </c>
      <c r="N2625" s="5" t="str">
        <f t="shared" si="4"/>
        <v>GEICO</v>
      </c>
      <c r="O2625" s="5" t="str">
        <f t="shared" si="5"/>
        <v>1 year 2 months in role</v>
      </c>
      <c r="P2625" s="5" t="str">
        <f t="shared" si="6"/>
        <v>Fredericksburg</v>
      </c>
      <c r="Q2625" s="5" t="str">
        <f t="shared" si="7"/>
        <v>Virginia</v>
      </c>
      <c r="R2625" s="5" t="str">
        <f t="shared" si="8"/>
        <v>United States</v>
      </c>
    </row>
    <row r="2626">
      <c r="A2626" s="7" t="s">
        <v>1345</v>
      </c>
      <c r="B2626" s="5" t="s">
        <v>1343</v>
      </c>
      <c r="C2626" s="5" t="s">
        <v>1344</v>
      </c>
      <c r="D2626" s="6" t="s">
        <v>13</v>
      </c>
      <c r="E2626" s="5" t="s">
        <v>1233</v>
      </c>
      <c r="F2626" s="5" t="s">
        <v>192</v>
      </c>
      <c r="G2626" s="5" t="s">
        <v>137</v>
      </c>
      <c r="H2626" s="5" t="s">
        <v>137</v>
      </c>
      <c r="I2626" s="5" t="s">
        <v>18</v>
      </c>
      <c r="J2626" s="9" t="str">
        <f>IFERROR(__xludf.DUMMYFUNCTION("""COMPUTED_VALUE"""),"https://www.google.com/search?newwindow=1&amp;ei=2MT0XrvGGM-vytMP1OyDgAY&amp;q=site%3Alinkedin.com+Chelsey+Parsons+Regional+College+Recruiter+GEICO")</f>
        <v>https://www.google.com/search?newwindow=1&amp;ei=2MT0XrvGGM-vytMP1OyDgAY&amp;q=site%3Alinkedin.com+Chelsey+Parsons+Regional+College+Recruiter+GEICO</v>
      </c>
      <c r="K2626" s="5" t="str">
        <f t="shared" si="1"/>
        <v>Chelsey Parsons</v>
      </c>
      <c r="L2626" s="5" t="str">
        <f t="shared" si="2"/>
        <v>Regional College Recruiter</v>
      </c>
      <c r="M2626" s="5" t="str">
        <f t="shared" si="3"/>
        <v> </v>
      </c>
      <c r="N2626" s="5" t="str">
        <f t="shared" si="4"/>
        <v>GEICO</v>
      </c>
      <c r="O2626" s="5" t="str">
        <f t="shared" si="5"/>
        <v>4 years  in role</v>
      </c>
      <c r="P2626" s="5" t="str">
        <f t="shared" si="6"/>
        <v>Fredericksburg</v>
      </c>
      <c r="Q2626" s="5" t="str">
        <f t="shared" si="7"/>
        <v>Virginia</v>
      </c>
      <c r="R2626" s="5" t="str">
        <f t="shared" si="8"/>
        <v>United States</v>
      </c>
    </row>
    <row r="2627">
      <c r="A2627" s="8" t="s">
        <v>1348</v>
      </c>
      <c r="B2627" s="5" t="s">
        <v>1346</v>
      </c>
      <c r="C2627" s="5" t="s">
        <v>1347</v>
      </c>
      <c r="D2627" s="6" t="s">
        <v>13</v>
      </c>
      <c r="E2627" s="5" t="s">
        <v>1233</v>
      </c>
      <c r="F2627" s="5" t="s">
        <v>106</v>
      </c>
      <c r="G2627" s="5" t="s">
        <v>153</v>
      </c>
      <c r="H2627" s="5" t="s">
        <v>154</v>
      </c>
      <c r="I2627" s="5" t="s">
        <v>18</v>
      </c>
      <c r="J2627" s="9" t="str">
        <f>IFERROR(__xludf.DUMMYFUNCTION("""COMPUTED_VALUE"""),"https://www.google.com/search?newwindow=1&amp;ei=2MT0XrvGGM-vytMP1OyDgAY&amp;q=site%3Alinkedin.com+Megan+Eckart+College+Recruiter+GEICO")</f>
        <v>https://www.google.com/search?newwindow=1&amp;ei=2MT0XrvGGM-vytMP1OyDgAY&amp;q=site%3Alinkedin.com+Megan+Eckart+College+Recruiter+GEICO</v>
      </c>
      <c r="K2627" s="5" t="str">
        <f t="shared" si="1"/>
        <v>Megan Eckart</v>
      </c>
      <c r="L2627" s="5" t="str">
        <f t="shared" si="2"/>
        <v>College Recruiter</v>
      </c>
      <c r="M2627" s="5" t="str">
        <f t="shared" si="3"/>
        <v> </v>
      </c>
      <c r="N2627" s="5" t="str">
        <f t="shared" si="4"/>
        <v>GEICO</v>
      </c>
      <c r="O2627" s="5" t="str">
        <f t="shared" si="5"/>
        <v>3 years  in role</v>
      </c>
      <c r="P2627" s="5" t="str">
        <f t="shared" si="6"/>
        <v>Fredericksburg</v>
      </c>
      <c r="Q2627" s="5" t="str">
        <f t="shared" si="7"/>
        <v>Virginia</v>
      </c>
      <c r="R2627" s="5" t="str">
        <f t="shared" si="8"/>
        <v>United States</v>
      </c>
    </row>
    <row r="2628">
      <c r="A2628" s="8" t="s">
        <v>1350</v>
      </c>
      <c r="B2628" s="5" t="s">
        <v>1349</v>
      </c>
      <c r="C2628" s="5" t="s">
        <v>25</v>
      </c>
      <c r="D2628" s="6" t="s">
        <v>13</v>
      </c>
      <c r="E2628" s="5" t="s">
        <v>1233</v>
      </c>
      <c r="F2628" s="5" t="s">
        <v>15</v>
      </c>
      <c r="G2628" s="5" t="s">
        <v>223</v>
      </c>
      <c r="H2628" s="5" t="s">
        <v>224</v>
      </c>
      <c r="I2628" s="5" t="s">
        <v>18</v>
      </c>
      <c r="J2628" s="9" t="str">
        <f>IFERROR(__xludf.DUMMYFUNCTION("""COMPUTED_VALUE"""),"https://www.google.com/search?newwindow=1&amp;ei=2MT0XrvGGM-vytMP1OyDgAY&amp;q=site%3Alinkedin.com+James+++A.+Robinson+Regional+College+Recruiter+GEICO")</f>
        <v>https://www.google.com/search?newwindow=1&amp;ei=2MT0XrvGGM-vytMP1OyDgAY&amp;q=site%3Alinkedin.com+James+++A.+Robinson+Regional+College+Recruiter+GEICO</v>
      </c>
      <c r="K2628" s="5" t="str">
        <f t="shared" si="1"/>
        <v>James   A. Robinson</v>
      </c>
      <c r="L2628" s="5" t="str">
        <f t="shared" si="2"/>
        <v>Regional College Recruiter</v>
      </c>
      <c r="M2628" s="5" t="str">
        <f t="shared" si="3"/>
        <v> </v>
      </c>
      <c r="N2628" s="5" t="str">
        <f t="shared" si="4"/>
        <v>GEICO</v>
      </c>
      <c r="O2628" s="5" t="str">
        <f t="shared" si="5"/>
        <v>6 years 10 months in role</v>
      </c>
      <c r="P2628" s="5" t="str">
        <f t="shared" si="6"/>
        <v>Houston</v>
      </c>
      <c r="Q2628" s="5" t="str">
        <f t="shared" si="7"/>
        <v>Texas</v>
      </c>
      <c r="R2628" s="5" t="str">
        <f t="shared" si="8"/>
        <v>United States</v>
      </c>
    </row>
    <row r="2629">
      <c r="A2629" s="7" t="s">
        <v>1355</v>
      </c>
      <c r="B2629" s="5" t="s">
        <v>1351</v>
      </c>
      <c r="C2629" s="5" t="s">
        <v>25</v>
      </c>
      <c r="D2629" s="6" t="s">
        <v>13</v>
      </c>
      <c r="E2629" s="5" t="s">
        <v>1233</v>
      </c>
      <c r="F2629" s="5" t="s">
        <v>1352</v>
      </c>
      <c r="G2629" s="5" t="s">
        <v>1353</v>
      </c>
      <c r="H2629" s="5" t="s">
        <v>1354</v>
      </c>
      <c r="I2629" s="5" t="s">
        <v>18</v>
      </c>
      <c r="J2629" s="9" t="str">
        <f>IFERROR(__xludf.DUMMYFUNCTION("""COMPUTED_VALUE"""),"https://www.google.com/search?newwindow=1&amp;ei=2MT0XrvGGM-vytMP1OyDgAY&amp;q=site%3Alinkedin.com+Marlena+Banks+Regional+College+Recruiter+GEICO")</f>
        <v>https://www.google.com/search?newwindow=1&amp;ei=2MT0XrvGGM-vytMP1OyDgAY&amp;q=site%3Alinkedin.com+Marlena+Banks+Regional+College+Recruiter+GEICO</v>
      </c>
      <c r="K2629" s="5" t="str">
        <f t="shared" si="1"/>
        <v>Marlena Banks</v>
      </c>
      <c r="L2629" s="5" t="str">
        <f t="shared" si="2"/>
        <v>Regional College Recruiter</v>
      </c>
      <c r="M2629" s="5" t="str">
        <f t="shared" si="3"/>
        <v> </v>
      </c>
      <c r="N2629" s="5" t="str">
        <f t="shared" si="4"/>
        <v>GEICO</v>
      </c>
      <c r="O2629" s="5" t="str">
        <f t="shared" si="5"/>
        <v>2 years 4 months in role</v>
      </c>
      <c r="P2629" s="5" t="str">
        <f t="shared" si="6"/>
        <v>Indianapolis</v>
      </c>
      <c r="Q2629" s="5" t="str">
        <f t="shared" si="7"/>
        <v>Indiana</v>
      </c>
      <c r="R2629" s="5" t="str">
        <f t="shared" si="8"/>
        <v>United States</v>
      </c>
    </row>
    <row r="2630">
      <c r="A2630" s="7" t="s">
        <v>1358</v>
      </c>
      <c r="B2630" s="5" t="s">
        <v>1356</v>
      </c>
      <c r="C2630" s="5" t="s">
        <v>25</v>
      </c>
      <c r="D2630" s="6" t="s">
        <v>13</v>
      </c>
      <c r="E2630" s="5" t="s">
        <v>1233</v>
      </c>
      <c r="F2630" s="5" t="s">
        <v>1357</v>
      </c>
      <c r="G2630" s="5" t="s">
        <v>801</v>
      </c>
      <c r="H2630" s="5" t="s">
        <v>50</v>
      </c>
      <c r="I2630" s="5" t="s">
        <v>18</v>
      </c>
      <c r="J2630" s="9" t="str">
        <f>IFERROR(__xludf.DUMMYFUNCTION("""COMPUTED_VALUE"""),"https://www.google.com/search?newwindow=1&amp;ei=2MT0XrvGGM-vytMP1OyDgAY&amp;q=site%3Alinkedin.com+Michelle+Berg+College+Recruiter+GEICO")</f>
        <v>https://www.google.com/search?newwindow=1&amp;ei=2MT0XrvGGM-vytMP1OyDgAY&amp;q=site%3Alinkedin.com+Michelle+Berg+College+Recruiter+GEICO</v>
      </c>
      <c r="K2630" s="5" t="str">
        <f t="shared" si="1"/>
        <v>Michelle Berg</v>
      </c>
      <c r="L2630" s="5" t="str">
        <f t="shared" si="2"/>
        <v>College Recruiter</v>
      </c>
      <c r="M2630" s="5" t="str">
        <f t="shared" si="3"/>
        <v> </v>
      </c>
      <c r="N2630" s="5" t="str">
        <f t="shared" si="4"/>
        <v>GEICO</v>
      </c>
      <c r="O2630" s="5" t="str">
        <f t="shared" si="5"/>
        <v>2 years 3 months in role and company</v>
      </c>
      <c r="P2630" s="5" t="str">
        <f t="shared" si="6"/>
        <v>Kansas City</v>
      </c>
      <c r="Q2630" s="5" t="str">
        <f t="shared" si="7"/>
        <v>Missouri</v>
      </c>
      <c r="R2630" s="5" t="str">
        <f t="shared" si="8"/>
        <v>United States</v>
      </c>
    </row>
    <row r="2631">
      <c r="A2631" s="7" t="s">
        <v>1362</v>
      </c>
      <c r="B2631" s="5" t="s">
        <v>1359</v>
      </c>
      <c r="C2631" s="5" t="s">
        <v>371</v>
      </c>
      <c r="D2631" s="6" t="s">
        <v>13</v>
      </c>
      <c r="E2631" s="5" t="s">
        <v>1233</v>
      </c>
      <c r="F2631" s="5" t="s">
        <v>1360</v>
      </c>
      <c r="G2631" s="5" t="s">
        <v>1361</v>
      </c>
      <c r="H2631" s="5" t="s">
        <v>91</v>
      </c>
      <c r="I2631" s="5" t="s">
        <v>18</v>
      </c>
      <c r="J2631" s="9" t="str">
        <f>IFERROR(__xludf.DUMMYFUNCTION("""COMPUTED_VALUE"""),"https://www.google.com/search?newwindow=1&amp;ei=2MT0XrvGGM-vytMP1OyDgAY&amp;q=site%3Alinkedin.com+Tricia+Barrios+Regional+College+Recruiter+GEICO")</f>
        <v>https://www.google.com/search?newwindow=1&amp;ei=2MT0XrvGGM-vytMP1OyDgAY&amp;q=site%3Alinkedin.com+Tricia+Barrios+Regional+College+Recruiter+GEICO</v>
      </c>
      <c r="K2631" s="5" t="str">
        <f t="shared" si="1"/>
        <v>Tricia Barrios</v>
      </c>
      <c r="L2631" s="5" t="str">
        <f t="shared" si="2"/>
        <v>Regional College Recruiter</v>
      </c>
      <c r="M2631" s="5" t="str">
        <f t="shared" si="3"/>
        <v> </v>
      </c>
      <c r="N2631" s="5" t="str">
        <f t="shared" si="4"/>
        <v>GEICO</v>
      </c>
      <c r="O2631" s="5" t="str">
        <f t="shared" si="5"/>
        <v>5 years 3 months in role</v>
      </c>
      <c r="P2631" s="5" t="str">
        <f t="shared" si="6"/>
        <v>Katy</v>
      </c>
      <c r="Q2631" s="5" t="str">
        <f t="shared" si="7"/>
        <v>Texas</v>
      </c>
      <c r="R2631" s="5" t="str">
        <f t="shared" si="8"/>
        <v>United States</v>
      </c>
    </row>
    <row r="2632">
      <c r="A2632" s="7" t="s">
        <v>1365</v>
      </c>
      <c r="B2632" s="5" t="s">
        <v>1363</v>
      </c>
      <c r="C2632" s="5" t="s">
        <v>371</v>
      </c>
      <c r="D2632" s="6" t="s">
        <v>13</v>
      </c>
      <c r="E2632" s="5" t="s">
        <v>1233</v>
      </c>
      <c r="F2632" s="5" t="s">
        <v>1364</v>
      </c>
      <c r="G2632" s="5" t="s">
        <v>166</v>
      </c>
      <c r="H2632" s="5" t="s">
        <v>44</v>
      </c>
      <c r="I2632" s="5" t="s">
        <v>18</v>
      </c>
      <c r="J2632" s="9" t="str">
        <f>IFERROR(__xludf.DUMMYFUNCTION("""COMPUTED_VALUE"""),"https://www.google.com/search?newwindow=1&amp;ei=2MT0XrvGGM-vytMP1OyDgAY&amp;q=site%3Alinkedin.com+Sarah+A.+Bonney,+MBA+Professional+Regional+College+Recruiter+GEICO")</f>
        <v>https://www.google.com/search?newwindow=1&amp;ei=2MT0XrvGGM-vytMP1OyDgAY&amp;q=site%3Alinkedin.com+Sarah+A.+Bonney,+MBA+Professional+Regional+College+Recruiter+GEICO</v>
      </c>
      <c r="K2632" s="5" t="str">
        <f t="shared" si="1"/>
        <v>Sarah A. Bonney, MBA</v>
      </c>
      <c r="L2632" s="5" t="str">
        <f t="shared" si="2"/>
        <v>Professional Regional College Recruiter</v>
      </c>
      <c r="M2632" s="5" t="str">
        <f t="shared" si="3"/>
        <v> </v>
      </c>
      <c r="N2632" s="5" t="str">
        <f t="shared" si="4"/>
        <v>GEICO</v>
      </c>
      <c r="O2632" s="5" t="str">
        <f t="shared" si="5"/>
        <v>4 years 1 month in role</v>
      </c>
      <c r="P2632" s="5" t="str">
        <f t="shared" si="6"/>
        <v>Lakeland</v>
      </c>
      <c r="Q2632" s="5" t="str">
        <f t="shared" si="7"/>
        <v>Florida</v>
      </c>
      <c r="R2632" s="5" t="str">
        <f t="shared" si="8"/>
        <v>United States</v>
      </c>
    </row>
    <row r="2633">
      <c r="A2633" s="7" t="s">
        <v>1367</v>
      </c>
      <c r="B2633" s="5" t="s">
        <v>1366</v>
      </c>
      <c r="C2633" s="5" t="s">
        <v>371</v>
      </c>
      <c r="D2633" s="6" t="s">
        <v>13</v>
      </c>
      <c r="E2633" s="5" t="s">
        <v>1233</v>
      </c>
      <c r="G2633" s="5" t="s">
        <v>166</v>
      </c>
      <c r="H2633" s="5" t="s">
        <v>44</v>
      </c>
      <c r="I2633" s="5" t="s">
        <v>18</v>
      </c>
      <c r="J2633" s="9" t="str">
        <f>IFERROR(__xludf.DUMMYFUNCTION("""COMPUTED_VALUE"""),"https://www.google.com/search?newwindow=1&amp;ei=2MT0XrvGGM-vytMP1OyDgAY&amp;q=site%3Alinkedin.com+Darrius+Baker+GEICO+Diversity+and+Inclusion+Recruiter+GEICO")</f>
        <v>https://www.google.com/search?newwindow=1&amp;ei=2MT0XrvGGM-vytMP1OyDgAY&amp;q=site%3Alinkedin.com+Darrius+Baker+GEICO+Diversity+and+Inclusion+Recruiter+GEICO</v>
      </c>
      <c r="K2633" s="5" t="str">
        <f t="shared" si="1"/>
        <v>Darrius Baker</v>
      </c>
      <c r="L2633" s="5" t="str">
        <f t="shared" si="2"/>
        <v>GEICO Diversity and Inclusion Recruiter</v>
      </c>
      <c r="M2633" s="5" t="str">
        <f t="shared" si="3"/>
        <v> </v>
      </c>
      <c r="N2633" s="5" t="str">
        <f t="shared" si="4"/>
        <v>GEICO</v>
      </c>
      <c r="O2633" s="5" t="str">
        <f t="shared" si="5"/>
        <v>1 year 2 months in role</v>
      </c>
      <c r="P2633" s="5" t="str">
        <f t="shared" si="6"/>
        <v>Macon</v>
      </c>
      <c r="Q2633" s="5" t="str">
        <f t="shared" si="7"/>
        <v>Georgia</v>
      </c>
      <c r="R2633" s="5" t="str">
        <f t="shared" si="8"/>
        <v>United States</v>
      </c>
    </row>
    <row r="2634">
      <c r="A2634" s="7" t="s">
        <v>1369</v>
      </c>
      <c r="B2634" s="5" t="s">
        <v>1368</v>
      </c>
      <c r="C2634" s="5" t="s">
        <v>25</v>
      </c>
      <c r="D2634" s="6" t="s">
        <v>13</v>
      </c>
      <c r="E2634" s="5" t="s">
        <v>1233</v>
      </c>
      <c r="F2634" s="5" t="s">
        <v>36</v>
      </c>
      <c r="G2634" s="5" t="s">
        <v>166</v>
      </c>
      <c r="H2634" s="5" t="s">
        <v>44</v>
      </c>
      <c r="I2634" s="5" t="s">
        <v>18</v>
      </c>
      <c r="J2634" s="9" t="str">
        <f>IFERROR(__xludf.DUMMYFUNCTION("""COMPUTED_VALUE"""),"https://www.google.com/search?newwindow=1&amp;ei=2MT0XrvGGM-vytMP1OyDgAY&amp;q=site%3Alinkedin.com+Danielle+Gallagher+Regional+College+Recruiter+GEICO")</f>
        <v>https://www.google.com/search?newwindow=1&amp;ei=2MT0XrvGGM-vytMP1OyDgAY&amp;q=site%3Alinkedin.com+Danielle+Gallagher+Regional+College+Recruiter+GEICO</v>
      </c>
      <c r="K2634" s="5" t="str">
        <f t="shared" si="1"/>
        <v>Danielle Gallagher</v>
      </c>
      <c r="L2634" s="5" t="str">
        <f t="shared" si="2"/>
        <v>Regional College Recruiter</v>
      </c>
      <c r="M2634" s="5" t="str">
        <f t="shared" si="3"/>
        <v> </v>
      </c>
      <c r="N2634" s="5" t="str">
        <f t="shared" si="4"/>
        <v>GEICO</v>
      </c>
      <c r="O2634" s="5" t="str">
        <f t="shared" si="5"/>
        <v>5 years  in role</v>
      </c>
      <c r="P2634" s="5" t="str">
        <f t="shared" si="6"/>
        <v>New York</v>
      </c>
      <c r="Q2634" s="5" t="str">
        <f t="shared" si="7"/>
        <v>New York</v>
      </c>
      <c r="R2634" s="5" t="str">
        <f t="shared" si="8"/>
        <v>United States</v>
      </c>
    </row>
    <row r="2635">
      <c r="A2635" s="7" t="s">
        <v>1372</v>
      </c>
      <c r="B2635" s="5" t="s">
        <v>1370</v>
      </c>
      <c r="C2635" s="5" t="s">
        <v>25</v>
      </c>
      <c r="D2635" s="6" t="s">
        <v>13</v>
      </c>
      <c r="E2635" s="5" t="s">
        <v>1233</v>
      </c>
      <c r="F2635" s="5" t="s">
        <v>1371</v>
      </c>
      <c r="G2635" s="5" t="s">
        <v>166</v>
      </c>
      <c r="H2635" s="5" t="s">
        <v>44</v>
      </c>
      <c r="I2635" s="5" t="s">
        <v>18</v>
      </c>
      <c r="J2635" s="9" t="str">
        <f>IFERROR(__xludf.DUMMYFUNCTION("""COMPUTED_VALUE"""),"https://www.google.com/search?newwindow=1&amp;ei=2MT0XrvGGM-vytMP1OyDgAY&amp;q=site%3Alinkedin.com+Cory+Wood+Regional+College+Recruiter+GEICO")</f>
        <v>https://www.google.com/search?newwindow=1&amp;ei=2MT0XrvGGM-vytMP1OyDgAY&amp;q=site%3Alinkedin.com+Cory+Wood+Regional+College+Recruiter+GEICO</v>
      </c>
      <c r="K2635" s="5" t="str">
        <f t="shared" si="1"/>
        <v>Cory Wood</v>
      </c>
      <c r="L2635" s="5" t="str">
        <f t="shared" si="2"/>
        <v>Regional College Recruiter</v>
      </c>
      <c r="M2635" s="5" t="str">
        <f t="shared" si="3"/>
        <v> </v>
      </c>
      <c r="N2635" s="5" t="str">
        <f t="shared" si="4"/>
        <v>GEICO</v>
      </c>
      <c r="O2635" s="5" t="str">
        <f t="shared" si="5"/>
        <v>1 year 7 months in role and company</v>
      </c>
      <c r="P2635" s="5" t="str">
        <f t="shared" si="6"/>
        <v>Norfolk City County</v>
      </c>
      <c r="Q2635" s="5" t="str">
        <f t="shared" si="7"/>
        <v>Virginia</v>
      </c>
      <c r="R2635" s="5" t="str">
        <f t="shared" si="8"/>
        <v>United States</v>
      </c>
    </row>
    <row r="2636">
      <c r="A2636" s="7" t="s">
        <v>1374</v>
      </c>
      <c r="B2636" s="5" t="s">
        <v>1373</v>
      </c>
      <c r="C2636" s="5" t="s">
        <v>32</v>
      </c>
      <c r="D2636" s="6" t="s">
        <v>13</v>
      </c>
      <c r="E2636" s="5" t="s">
        <v>1233</v>
      </c>
      <c r="F2636" s="5" t="s">
        <v>666</v>
      </c>
      <c r="G2636" s="5" t="s">
        <v>166</v>
      </c>
      <c r="H2636" s="5" t="s">
        <v>44</v>
      </c>
      <c r="I2636" s="5" t="s">
        <v>18</v>
      </c>
      <c r="J2636" s="9" t="str">
        <f>IFERROR(__xludf.DUMMYFUNCTION("""COMPUTED_VALUE"""),"https://www.google.com/search?newwindow=1&amp;ei=2MT0XrvGGM-vytMP1OyDgAY&amp;q=site%3Alinkedin.com+Beth+Moellers,+AINS+API+AIS+College+Recruiter+GEICO")</f>
        <v>https://www.google.com/search?newwindow=1&amp;ei=2MT0XrvGGM-vytMP1OyDgAY&amp;q=site%3Alinkedin.com+Beth+Moellers,+AINS+API+AIS+College+Recruiter+GEICO</v>
      </c>
      <c r="K2636" s="5" t="str">
        <f t="shared" si="1"/>
        <v>Beth Moellers, AINS API AIS</v>
      </c>
      <c r="L2636" s="5" t="str">
        <f t="shared" si="2"/>
        <v>College Recruiter</v>
      </c>
      <c r="M2636" s="5" t="str">
        <f t="shared" si="3"/>
        <v> </v>
      </c>
      <c r="N2636" s="5" t="str">
        <f t="shared" si="4"/>
        <v>GEICO</v>
      </c>
      <c r="O2636" s="5" t="str">
        <f t="shared" si="5"/>
        <v>3 years 1 month in role</v>
      </c>
      <c r="P2636" s="5" t="str">
        <f t="shared" si="6"/>
        <v>North Liberty</v>
      </c>
      <c r="Q2636" s="5" t="str">
        <f t="shared" si="7"/>
        <v>Iowa</v>
      </c>
      <c r="R2636" s="5" t="str">
        <f t="shared" si="8"/>
        <v>United States</v>
      </c>
    </row>
    <row r="2637">
      <c r="A2637" s="7" t="s">
        <v>1376</v>
      </c>
      <c r="B2637" s="5" t="s">
        <v>1375</v>
      </c>
      <c r="C2637" s="5" t="s">
        <v>110</v>
      </c>
      <c r="D2637" s="6" t="s">
        <v>13</v>
      </c>
      <c r="E2637" s="5" t="s">
        <v>1233</v>
      </c>
      <c r="F2637" s="5" t="s">
        <v>909</v>
      </c>
      <c r="G2637" s="5" t="s">
        <v>169</v>
      </c>
      <c r="H2637" s="5" t="s">
        <v>44</v>
      </c>
      <c r="I2637" s="5" t="s">
        <v>18</v>
      </c>
      <c r="J2637" s="9" t="str">
        <f>IFERROR(__xludf.DUMMYFUNCTION("""COMPUTED_VALUE"""),"https://www.google.com/search?newwindow=1&amp;ei=2MT0XrvGGM-vytMP1OyDgAY&amp;q=site%3Alinkedin.com+Jill+Burner+Regional+College+Recruiter+GEICO")</f>
        <v>https://www.google.com/search?newwindow=1&amp;ei=2MT0XrvGGM-vytMP1OyDgAY&amp;q=site%3Alinkedin.com+Jill+Burner+Regional+College+Recruiter+GEICO</v>
      </c>
      <c r="K2637" s="5" t="str">
        <f t="shared" si="1"/>
        <v>Jill Burner</v>
      </c>
      <c r="L2637" s="5" t="str">
        <f t="shared" si="2"/>
        <v>Regional College Recruiter</v>
      </c>
      <c r="M2637" s="5" t="str">
        <f t="shared" si="3"/>
        <v> </v>
      </c>
      <c r="N2637" s="5" t="str">
        <f t="shared" si="4"/>
        <v>GEICO</v>
      </c>
      <c r="O2637" s="5" t="str">
        <f t="shared" si="5"/>
        <v>10 years 8 months in role and company</v>
      </c>
      <c r="P2637" s="5" t="str">
        <f t="shared" si="6"/>
        <v>Poway</v>
      </c>
      <c r="Q2637" s="5" t="str">
        <f t="shared" si="7"/>
        <v>California</v>
      </c>
      <c r="R2637" s="5" t="str">
        <f t="shared" si="8"/>
        <v>United States</v>
      </c>
    </row>
    <row r="2638">
      <c r="A2638" s="7" t="s">
        <v>1380</v>
      </c>
      <c r="B2638" s="5" t="s">
        <v>1377</v>
      </c>
      <c r="C2638" s="5" t="s">
        <v>1378</v>
      </c>
      <c r="D2638" s="6" t="s">
        <v>13</v>
      </c>
      <c r="E2638" s="5" t="s">
        <v>1233</v>
      </c>
      <c r="F2638" s="5" t="s">
        <v>651</v>
      </c>
      <c r="G2638" s="5" t="s">
        <v>1379</v>
      </c>
      <c r="H2638" s="5" t="s">
        <v>224</v>
      </c>
      <c r="I2638" s="5" t="s">
        <v>18</v>
      </c>
      <c r="J2638" s="9" t="str">
        <f>IFERROR(__xludf.DUMMYFUNCTION("""COMPUTED_VALUE"""),"https://www.google.com/search?newwindow=1&amp;ei=2MT0XrvGGM-vytMP1OyDgAY&amp;q=site%3Alinkedin.com+Kathleen+Cruz+College+Recruiter+GEICO")</f>
        <v>https://www.google.com/search?newwindow=1&amp;ei=2MT0XrvGGM-vytMP1OyDgAY&amp;q=site%3Alinkedin.com+Kathleen+Cruz+College+Recruiter+GEICO</v>
      </c>
      <c r="K2638" s="5" t="str">
        <f t="shared" si="1"/>
        <v>Kathleen Cruz</v>
      </c>
      <c r="L2638" s="5" t="str">
        <f t="shared" si="2"/>
        <v>College Recruiter</v>
      </c>
      <c r="M2638" s="5" t="str">
        <f t="shared" si="3"/>
        <v> </v>
      </c>
      <c r="N2638" s="5" t="str">
        <f t="shared" si="4"/>
        <v>GEICO</v>
      </c>
      <c r="O2638" s="5" t="str">
        <f t="shared" si="5"/>
        <v>2 years 8 months in role</v>
      </c>
      <c r="P2638" s="5" t="str">
        <f t="shared" si="6"/>
        <v>San Diego County</v>
      </c>
      <c r="Q2638" s="5" t="str">
        <f t="shared" si="7"/>
        <v>California</v>
      </c>
      <c r="R2638" s="5" t="str">
        <f t="shared" si="8"/>
        <v>United States</v>
      </c>
    </row>
    <row r="2639">
      <c r="A2639" s="7" t="s">
        <v>1382</v>
      </c>
      <c r="B2639" s="5" t="s">
        <v>1381</v>
      </c>
      <c r="C2639" s="5" t="s">
        <v>25</v>
      </c>
      <c r="D2639" s="6" t="s">
        <v>13</v>
      </c>
      <c r="E2639" s="5" t="s">
        <v>1233</v>
      </c>
      <c r="F2639" s="5" t="s">
        <v>421</v>
      </c>
      <c r="G2639" s="5" t="s">
        <v>311</v>
      </c>
      <c r="H2639" s="5" t="s">
        <v>102</v>
      </c>
      <c r="I2639" s="5" t="s">
        <v>18</v>
      </c>
      <c r="J2639" s="9" t="str">
        <f>IFERROR(__xludf.DUMMYFUNCTION("""COMPUTED_VALUE"""),"https://www.google.com/search?newwindow=1&amp;ei=2MT0XrvGGM-vytMP1OyDgAY&amp;q=site%3Alinkedin.com+Lesley+Evans+Seattle+Regional+College+Recruiter+GEICO")</f>
        <v>https://www.google.com/search?newwindow=1&amp;ei=2MT0XrvGGM-vytMP1OyDgAY&amp;q=site%3Alinkedin.com+Lesley+Evans+Seattle+Regional+College+Recruiter+GEICO</v>
      </c>
      <c r="K2639" s="5" t="str">
        <f t="shared" si="1"/>
        <v>Lesley Evans</v>
      </c>
      <c r="L2639" s="5" t="str">
        <f t="shared" si="2"/>
        <v>Seattle Regional College Recruiter</v>
      </c>
      <c r="M2639" s="5" t="str">
        <f t="shared" si="3"/>
        <v> </v>
      </c>
      <c r="N2639" s="5" t="str">
        <f t="shared" si="4"/>
        <v>GEICO</v>
      </c>
      <c r="O2639" s="5" t="str">
        <f t="shared" si="5"/>
        <v>7 years 9 months in role and company</v>
      </c>
      <c r="P2639" s="5" t="str">
        <f t="shared" si="6"/>
        <v>Seattle</v>
      </c>
      <c r="Q2639" s="5" t="str">
        <f t="shared" si="7"/>
        <v>Washington</v>
      </c>
      <c r="R2639" s="5" t="str">
        <f t="shared" si="8"/>
        <v>United States</v>
      </c>
    </row>
    <row r="2640">
      <c r="A2640" s="7" t="s">
        <v>1385</v>
      </c>
      <c r="B2640" s="5" t="s">
        <v>1383</v>
      </c>
      <c r="C2640" s="5" t="s">
        <v>1384</v>
      </c>
      <c r="D2640" s="6" t="s">
        <v>13</v>
      </c>
      <c r="E2640" s="5" t="s">
        <v>1233</v>
      </c>
      <c r="F2640" s="5" t="s">
        <v>365</v>
      </c>
      <c r="G2640" s="5" t="s">
        <v>311</v>
      </c>
      <c r="H2640" s="5" t="s">
        <v>102</v>
      </c>
      <c r="I2640" s="5" t="s">
        <v>18</v>
      </c>
      <c r="J2640" s="9" t="str">
        <f>IFERROR(__xludf.DUMMYFUNCTION("""COMPUTED_VALUE"""),"https://www.google.com/search?newwindow=1&amp;ei=2MT0XrvGGM-vytMP1OyDgAY&amp;q=site%3Alinkedin.com+Jared+McMillan+Northeast+College+Recruiter+GEICO")</f>
        <v>https://www.google.com/search?newwindow=1&amp;ei=2MT0XrvGGM-vytMP1OyDgAY&amp;q=site%3Alinkedin.com+Jared+McMillan+Northeast+College+Recruiter+GEICO</v>
      </c>
      <c r="K2640" s="5" t="str">
        <f t="shared" si="1"/>
        <v>Jared McMillan</v>
      </c>
      <c r="L2640" s="5" t="str">
        <f t="shared" si="2"/>
        <v>Northeast College Recruiter</v>
      </c>
      <c r="M2640" s="5" t="str">
        <f t="shared" si="3"/>
        <v> </v>
      </c>
      <c r="N2640" s="5" t="str">
        <f t="shared" si="4"/>
        <v>GEICO</v>
      </c>
      <c r="O2640" s="5" t="str">
        <f t="shared" si="5"/>
        <v>4 years 1 month in role and company</v>
      </c>
      <c r="P2640" s="5" t="str">
        <f t="shared" si="6"/>
        <v>Tampa</v>
      </c>
      <c r="Q2640" s="5" t="str">
        <f t="shared" si="7"/>
        <v>Florida</v>
      </c>
      <c r="R2640" s="5" t="str">
        <f t="shared" si="8"/>
        <v>United States</v>
      </c>
    </row>
    <row r="2641">
      <c r="A2641" s="7" t="s">
        <v>1388</v>
      </c>
      <c r="B2641" s="5" t="s">
        <v>1386</v>
      </c>
      <c r="C2641" s="5" t="s">
        <v>1387</v>
      </c>
      <c r="D2641" s="6" t="s">
        <v>13</v>
      </c>
      <c r="E2641" s="5" t="s">
        <v>1233</v>
      </c>
      <c r="F2641" s="5" t="s">
        <v>1364</v>
      </c>
      <c r="G2641" s="5" t="s">
        <v>669</v>
      </c>
      <c r="H2641" s="5" t="s">
        <v>17</v>
      </c>
      <c r="I2641" s="5" t="s">
        <v>18</v>
      </c>
      <c r="J2641" s="9" t="str">
        <f>IFERROR(__xludf.DUMMYFUNCTION("""COMPUTED_VALUE"""),"https://www.google.com/search?newwindow=1&amp;ei=2MT0XrvGGM-vytMP1OyDgAY&amp;q=site%3Alinkedin.com+Sarah+Bergeron+Regional+Campus+Recruiter+GEICO")</f>
        <v>https://www.google.com/search?newwindow=1&amp;ei=2MT0XrvGGM-vytMP1OyDgAY&amp;q=site%3Alinkedin.com+Sarah+Bergeron+Regional+Campus+Recruiter+GEICO</v>
      </c>
      <c r="K2641" s="5" t="str">
        <f t="shared" si="1"/>
        <v>Sarah Bergeron</v>
      </c>
      <c r="L2641" s="5" t="str">
        <f t="shared" si="2"/>
        <v>Regional Campus Recruiter</v>
      </c>
      <c r="M2641" s="5" t="str">
        <f t="shared" si="3"/>
        <v> </v>
      </c>
      <c r="N2641" s="5" t="str">
        <f t="shared" si="4"/>
        <v>GEICO</v>
      </c>
      <c r="O2641" s="5" t="str">
        <f t="shared" si="5"/>
        <v>1 year 8 months in role</v>
      </c>
      <c r="P2641" s="5" t="str">
        <f t="shared" si="6"/>
        <v>Tucson</v>
      </c>
      <c r="Q2641" s="5" t="str">
        <f t="shared" si="7"/>
        <v>Arizona</v>
      </c>
      <c r="R2641" s="5" t="str">
        <f t="shared" si="8"/>
        <v>United States</v>
      </c>
    </row>
    <row r="2642">
      <c r="A2642" s="7" t="s">
        <v>1392</v>
      </c>
      <c r="B2642" s="5" t="s">
        <v>1389</v>
      </c>
      <c r="C2642" s="5" t="s">
        <v>1390</v>
      </c>
      <c r="D2642" s="6" t="s">
        <v>13</v>
      </c>
      <c r="E2642" s="5" t="s">
        <v>1233</v>
      </c>
      <c r="F2642" s="5" t="s">
        <v>106</v>
      </c>
      <c r="G2642" s="5" t="s">
        <v>1391</v>
      </c>
      <c r="H2642" s="5" t="s">
        <v>954</v>
      </c>
      <c r="I2642" s="5" t="s">
        <v>18</v>
      </c>
      <c r="J2642" s="9" t="str">
        <f>IFERROR(__xludf.DUMMYFUNCTION("""COMPUTED_VALUE"""),"https://www.google.com/search?newwindow=1&amp;ei=2MT0XrvGGM-vytMP1OyDgAY&amp;q=site%3Alinkedin.com+Allison+Hansen+Corporate+Campus+Recruiter+GEICO")</f>
        <v>https://www.google.com/search?newwindow=1&amp;ei=2MT0XrvGGM-vytMP1OyDgAY&amp;q=site%3Alinkedin.com+Allison+Hansen+Corporate+Campus+Recruiter+GEICO</v>
      </c>
      <c r="K2642" s="5" t="str">
        <f t="shared" si="1"/>
        <v>Allison Hansen</v>
      </c>
      <c r="L2642" s="5" t="str">
        <f t="shared" si="2"/>
        <v>Corporate Campus Recruiter</v>
      </c>
      <c r="M2642" s="5" t="str">
        <f t="shared" si="3"/>
        <v> </v>
      </c>
      <c r="N2642" s="5" t="str">
        <f t="shared" si="4"/>
        <v>GEICO</v>
      </c>
      <c r="O2642" s="5" t="str">
        <f t="shared" si="5"/>
        <v>3 months in role</v>
      </c>
      <c r="P2642" s="5" t="str">
        <f t="shared" si="6"/>
        <v>Washington</v>
      </c>
      <c r="Q2642" s="5" t="str">
        <f t="shared" si="7"/>
        <v>District of Columbia</v>
      </c>
      <c r="R2642" s="5" t="str">
        <f t="shared" si="8"/>
        <v>United States</v>
      </c>
    </row>
    <row r="2643">
      <c r="A2643" s="7" t="s">
        <v>1395</v>
      </c>
      <c r="B2643" s="5" t="s">
        <v>1393</v>
      </c>
      <c r="C2643" s="5" t="s">
        <v>25</v>
      </c>
      <c r="D2643" s="6" t="s">
        <v>13</v>
      </c>
      <c r="E2643" s="5" t="s">
        <v>1233</v>
      </c>
      <c r="G2643" s="5" t="s">
        <v>1394</v>
      </c>
      <c r="H2643" s="5" t="s">
        <v>184</v>
      </c>
      <c r="I2643" s="5" t="s">
        <v>18</v>
      </c>
      <c r="J2643" s="9" t="str">
        <f>IFERROR(__xludf.DUMMYFUNCTION("""COMPUTED_VALUE"""),"https://www.google.com/search?newwindow=1&amp;ei=2MT0XrvGGM-vytMP1OyDgAY&amp;q=site%3Alinkedin.com+Tyrus+Sanders+Regional+College+Recruiter+GEICO")</f>
        <v>https://www.google.com/search?newwindow=1&amp;ei=2MT0XrvGGM-vytMP1OyDgAY&amp;q=site%3Alinkedin.com+Tyrus+Sanders+Regional+College+Recruiter+GEICO</v>
      </c>
      <c r="K2643" s="5" t="str">
        <f t="shared" si="1"/>
        <v>Tyrus Sanders</v>
      </c>
      <c r="L2643" s="5" t="str">
        <f t="shared" si="2"/>
        <v>Regional College Recruiter</v>
      </c>
      <c r="M2643" s="5" t="str">
        <f t="shared" si="3"/>
        <v> </v>
      </c>
      <c r="N2643" s="5" t="str">
        <f t="shared" si="4"/>
        <v>GEICO</v>
      </c>
      <c r="O2643" s="5" t="str">
        <f t="shared" si="5"/>
        <v>4 years 2 months in role</v>
      </c>
      <c r="P2643" s="5" t="str">
        <f t="shared" si="6"/>
        <v>Washington</v>
      </c>
      <c r="Q2643" s="5" t="str">
        <f t="shared" si="7"/>
        <v>District of Columbia</v>
      </c>
      <c r="R2643" s="5" t="str">
        <f t="shared" si="8"/>
        <v>United States</v>
      </c>
    </row>
    <row r="2644">
      <c r="A2644" s="8" t="s">
        <v>1400</v>
      </c>
      <c r="B2644" s="5" t="s">
        <v>1396</v>
      </c>
      <c r="C2644" s="5" t="s">
        <v>1397</v>
      </c>
      <c r="D2644" s="6" t="s">
        <v>13</v>
      </c>
      <c r="E2644" s="5" t="s">
        <v>1233</v>
      </c>
      <c r="F2644" s="5" t="s">
        <v>1398</v>
      </c>
      <c r="G2644" s="5" t="s">
        <v>1399</v>
      </c>
      <c r="H2644" s="5" t="s">
        <v>96</v>
      </c>
      <c r="I2644" s="5" t="s">
        <v>18</v>
      </c>
      <c r="J2644" s="9" t="str">
        <f>IFERROR(__xludf.DUMMYFUNCTION("""COMPUTED_VALUE"""),"https://www.google.com/search?newwindow=1&amp;ei=2MT0XrvGGM-vytMP1OyDgAY&amp;q=site%3Alinkedin.com+Mary+Alexander+College+Recruiter+GEICO")</f>
        <v>https://www.google.com/search?newwindow=1&amp;ei=2MT0XrvGGM-vytMP1OyDgAY&amp;q=site%3Alinkedin.com+Mary+Alexander+College+Recruiter+GEICO</v>
      </c>
      <c r="K2644" s="5" t="str">
        <f t="shared" si="1"/>
        <v>Mary Alexander</v>
      </c>
      <c r="L2644" s="5" t="str">
        <f t="shared" si="2"/>
        <v>College Recruiter</v>
      </c>
      <c r="M2644" s="5" t="str">
        <f t="shared" si="3"/>
        <v> </v>
      </c>
      <c r="N2644" s="5" t="str">
        <f t="shared" si="4"/>
        <v>GEICO</v>
      </c>
      <c r="O2644" s="5" t="str">
        <f t="shared" si="5"/>
        <v/>
      </c>
      <c r="P2644" s="5" t="str">
        <f t="shared" si="6"/>
        <v>Washington</v>
      </c>
      <c r="Q2644" s="5" t="str">
        <f t="shared" si="7"/>
        <v>District of Columbia</v>
      </c>
      <c r="R2644" s="5" t="str">
        <f t="shared" si="8"/>
        <v>United States</v>
      </c>
    </row>
    <row r="2645">
      <c r="A2645" s="7" t="s">
        <v>1402</v>
      </c>
      <c r="B2645" s="5" t="s">
        <v>1401</v>
      </c>
      <c r="C2645" s="5" t="s">
        <v>371</v>
      </c>
      <c r="D2645" s="6" t="s">
        <v>13</v>
      </c>
      <c r="E2645" s="5" t="s">
        <v>1233</v>
      </c>
      <c r="F2645" s="5" t="s">
        <v>1123</v>
      </c>
      <c r="G2645" s="5" t="s">
        <v>102</v>
      </c>
      <c r="H2645" s="5" t="s">
        <v>172</v>
      </c>
      <c r="I2645" s="5" t="s">
        <v>18</v>
      </c>
      <c r="J2645" s="9" t="str">
        <f>IFERROR(__xludf.DUMMYFUNCTION("""COMPUTED_VALUE"""),"https://www.google.com/search?newwindow=1&amp;ei=2MT0XrvGGM-vytMP1OyDgAY&amp;q=site%3Alinkedin.com+Jeannie+Toscano+Regional+College+Recruiter+GEICO")</f>
        <v>https://www.google.com/search?newwindow=1&amp;ei=2MT0XrvGGM-vytMP1OyDgAY&amp;q=site%3Alinkedin.com+Jeannie+Toscano+Regional+College+Recruiter+GEICO</v>
      </c>
      <c r="K2645" s="5" t="str">
        <f t="shared" si="1"/>
        <v>Jeannie Toscano</v>
      </c>
      <c r="L2645" s="5" t="str">
        <f t="shared" si="2"/>
        <v>Regional College Recruiter</v>
      </c>
      <c r="M2645" s="5" t="str">
        <f t="shared" si="3"/>
        <v> </v>
      </c>
      <c r="N2645" s="5" t="str">
        <f t="shared" si="4"/>
        <v>GEICO</v>
      </c>
      <c r="O2645" s="5" t="str">
        <f t="shared" si="5"/>
        <v>17 years 10 months in role and company</v>
      </c>
      <c r="P2645" s="5" t="str">
        <f t="shared" si="6"/>
        <v>Woodbury</v>
      </c>
      <c r="Q2645" s="5" t="str">
        <f t="shared" si="7"/>
        <v>New York</v>
      </c>
      <c r="R2645" s="5" t="str">
        <f t="shared" si="8"/>
        <v>United States</v>
      </c>
    </row>
    <row r="2646">
      <c r="A2646" s="8" t="s">
        <v>1404</v>
      </c>
      <c r="B2646" s="5" t="s">
        <v>1403</v>
      </c>
      <c r="C2646" s="5" t="s">
        <v>32</v>
      </c>
      <c r="D2646" s="6" t="s">
        <v>13</v>
      </c>
      <c r="E2646" s="5" t="s">
        <v>1233</v>
      </c>
      <c r="F2646" s="5" t="s">
        <v>192</v>
      </c>
      <c r="G2646" s="5" t="s">
        <v>102</v>
      </c>
      <c r="H2646" s="5" t="s">
        <v>172</v>
      </c>
      <c r="I2646" s="5" t="s">
        <v>18</v>
      </c>
      <c r="J2646" s="9" t="str">
        <f>IFERROR(__xludf.DUMMYFUNCTION("""COMPUTED_VALUE"""),"https://www.google.com/search?newwindow=1&amp;ei=2MT0XrvGGM-vytMP1OyDgAY&amp;q=site%3Alinkedin.com+Kara+Smith+Vice+President,+University+Relations+Recruiter+Goldman+Sachs")</f>
        <v>https://www.google.com/search?newwindow=1&amp;ei=2MT0XrvGGM-vytMP1OyDgAY&amp;q=site%3Alinkedin.com+Kara+Smith+Vice+President,+University+Relations+Recruiter+Goldman+Sachs</v>
      </c>
      <c r="K2646" s="5" t="str">
        <f t="shared" si="1"/>
        <v>Kara Smith</v>
      </c>
      <c r="L2646" s="5" t="str">
        <f t="shared" si="2"/>
        <v>Vice President, University Relations Recruiter</v>
      </c>
      <c r="M2646" s="5" t="str">
        <f t="shared" si="3"/>
        <v> </v>
      </c>
      <c r="N2646" s="5" t="str">
        <f t="shared" si="4"/>
        <v>Goldman Sachs</v>
      </c>
      <c r="O2646" s="5" t="str">
        <f t="shared" si="5"/>
        <v>2 years 10 months in role</v>
      </c>
      <c r="P2646" s="5" t="str">
        <f t="shared" si="6"/>
        <v>Austin</v>
      </c>
      <c r="Q2646" s="5" t="str">
        <f t="shared" si="7"/>
        <v>Texas</v>
      </c>
      <c r="R2646" s="5" t="str">
        <f t="shared" si="8"/>
        <v>United States</v>
      </c>
    </row>
    <row r="2647">
      <c r="A2647" s="7" t="s">
        <v>1408</v>
      </c>
      <c r="B2647" s="5" t="s">
        <v>1405</v>
      </c>
      <c r="C2647" s="5" t="s">
        <v>1406</v>
      </c>
      <c r="D2647" s="6" t="s">
        <v>13</v>
      </c>
      <c r="E2647" s="5" t="s">
        <v>1233</v>
      </c>
      <c r="F2647" s="5" t="s">
        <v>1407</v>
      </c>
      <c r="G2647" s="5" t="s">
        <v>49</v>
      </c>
      <c r="H2647" s="5" t="s">
        <v>50</v>
      </c>
      <c r="I2647" s="5" t="s">
        <v>18</v>
      </c>
      <c r="J2647" s="9" t="str">
        <f>IFERROR(__xludf.DUMMYFUNCTION("""COMPUTED_VALUE"""),"https://www.google.com/search?newwindow=1&amp;ei=2MT0XrvGGM-vytMP1OyDgAY&amp;q=site%3Alinkedin.com+Ashley+A.+Campus+Recruiter-+Global+Investment+Research+&amp;+Merchant+Banking+Divisions+Goldman+Sachs")</f>
        <v>https://www.google.com/search?newwindow=1&amp;ei=2MT0XrvGGM-vytMP1OyDgAY&amp;q=site%3Alinkedin.com+Ashley+A.+Campus+Recruiter-+Global+Investment+Research+&amp;+Merchant+Banking+Divisions+Goldman+Sachs</v>
      </c>
      <c r="K2647" s="5" t="str">
        <f t="shared" si="1"/>
        <v>Ashley A.</v>
      </c>
      <c r="L2647" s="5" t="str">
        <f t="shared" si="2"/>
        <v>Campus Recruiter- Global Investment Research &amp; Merchant Banking Divisions</v>
      </c>
      <c r="M2647" s="5" t="str">
        <f t="shared" si="3"/>
        <v> </v>
      </c>
      <c r="N2647" s="5" t="str">
        <f t="shared" si="4"/>
        <v>Goldman Sachs</v>
      </c>
      <c r="O2647" s="5" t="str">
        <f t="shared" si="5"/>
        <v>4 months in role and company</v>
      </c>
      <c r="P2647" s="5" t="str">
        <f t="shared" si="6"/>
        <v>Birmingham</v>
      </c>
      <c r="Q2647" s="5" t="str">
        <f t="shared" si="7"/>
        <v>Alabama</v>
      </c>
      <c r="R2647" s="5" t="str">
        <f t="shared" si="8"/>
        <v>United States</v>
      </c>
    </row>
    <row r="2648">
      <c r="A2648" s="7" t="s">
        <v>1408</v>
      </c>
      <c r="B2648" s="5" t="s">
        <v>1405</v>
      </c>
      <c r="C2648" s="5" t="s">
        <v>1406</v>
      </c>
      <c r="D2648" s="6" t="s">
        <v>13</v>
      </c>
      <c r="E2648" s="5" t="s">
        <v>1233</v>
      </c>
      <c r="F2648" s="5" t="s">
        <v>1407</v>
      </c>
      <c r="G2648" s="5" t="s">
        <v>49</v>
      </c>
      <c r="H2648" s="5" t="s">
        <v>50</v>
      </c>
      <c r="I2648" s="5" t="s">
        <v>18</v>
      </c>
      <c r="J2648" s="9" t="str">
        <f>IFERROR(__xludf.DUMMYFUNCTION("""COMPUTED_VALUE"""),"https://www.google.com/search?newwindow=1&amp;ei=2MT0XrvGGM-vytMP1OyDgAY&amp;q=site%3Alinkedin.com+Amy+Mercedes+Pineda+Engineering+University+Relations+Recruiter+Coordinator+Goldman+Sachs")</f>
        <v>https://www.google.com/search?newwindow=1&amp;ei=2MT0XrvGGM-vytMP1OyDgAY&amp;q=site%3Alinkedin.com+Amy+Mercedes+Pineda+Engineering+University+Relations+Recruiter+Coordinator+Goldman+Sachs</v>
      </c>
      <c r="K2648" s="5" t="str">
        <f t="shared" si="1"/>
        <v>Amy Mercedes Pineda</v>
      </c>
      <c r="L2648" s="5" t="str">
        <f t="shared" si="2"/>
        <v>Engineering University Relations Recruiter Coordinator</v>
      </c>
      <c r="M2648" s="5" t="str">
        <f t="shared" si="3"/>
        <v> </v>
      </c>
      <c r="N2648" s="5" t="str">
        <f t="shared" si="4"/>
        <v>Goldman Sachs</v>
      </c>
      <c r="O2648" s="5" t="str">
        <f t="shared" si="5"/>
        <v>10 months in role and company</v>
      </c>
      <c r="P2648" s="5" t="str">
        <f t="shared" si="6"/>
        <v>Dallas</v>
      </c>
      <c r="Q2648" s="5" t="str">
        <f t="shared" si="7"/>
        <v>Texas</v>
      </c>
      <c r="R2648" s="5" t="str">
        <f t="shared" si="8"/>
        <v>United States</v>
      </c>
    </row>
    <row r="2649">
      <c r="A2649" s="7" t="s">
        <v>1413</v>
      </c>
      <c r="B2649" s="5" t="s">
        <v>1409</v>
      </c>
      <c r="C2649" s="5" t="s">
        <v>1410</v>
      </c>
      <c r="D2649" s="6" t="s">
        <v>13</v>
      </c>
      <c r="E2649" s="5" t="s">
        <v>1233</v>
      </c>
      <c r="F2649" s="5" t="s">
        <v>1411</v>
      </c>
      <c r="G2649" s="5" t="s">
        <v>1412</v>
      </c>
      <c r="H2649" s="5" t="s">
        <v>96</v>
      </c>
      <c r="I2649" s="5" t="s">
        <v>18</v>
      </c>
      <c r="J2649" s="9" t="str">
        <f>IFERROR(__xludf.DUMMYFUNCTION("""COMPUTED_VALUE"""),"https://www.google.com/search?newwindow=1&amp;ei=2MT0XrvGGM-vytMP1OyDgAY&amp;q=site%3Alinkedin.com+Ashley+Mahone+Engineering+Campus+Recruiter+Goldman+Sachs")</f>
        <v>https://www.google.com/search?newwindow=1&amp;ei=2MT0XrvGGM-vytMP1OyDgAY&amp;q=site%3Alinkedin.com+Ashley+Mahone+Engineering+Campus+Recruiter+Goldman+Sachs</v>
      </c>
      <c r="K2649" s="5" t="str">
        <f t="shared" si="1"/>
        <v>Ashley Mahone</v>
      </c>
      <c r="L2649" s="5" t="str">
        <f t="shared" si="2"/>
        <v>Engineering Campus Recruiter</v>
      </c>
      <c r="M2649" s="5" t="str">
        <f t="shared" si="3"/>
        <v> </v>
      </c>
      <c r="N2649" s="5" t="str">
        <f t="shared" si="4"/>
        <v>Goldman Sachs</v>
      </c>
      <c r="O2649" s="5" t="str">
        <f t="shared" si="5"/>
        <v>4 months in role and company</v>
      </c>
      <c r="P2649" s="5" t="str">
        <f t="shared" si="6"/>
        <v>Dallas</v>
      </c>
      <c r="Q2649" s="5" t="str">
        <f t="shared" si="7"/>
        <v>Texas</v>
      </c>
      <c r="R2649" s="5" t="str">
        <f t="shared" si="8"/>
        <v>United States</v>
      </c>
    </row>
    <row r="2650">
      <c r="A2650" s="7" t="s">
        <v>1416</v>
      </c>
      <c r="B2650" s="5" t="s">
        <v>1414</v>
      </c>
      <c r="C2650" s="5" t="s">
        <v>371</v>
      </c>
      <c r="D2650" s="6" t="s">
        <v>13</v>
      </c>
      <c r="E2650" s="5" t="s">
        <v>1233</v>
      </c>
      <c r="G2650" s="5" t="s">
        <v>1415</v>
      </c>
      <c r="H2650" s="5" t="s">
        <v>65</v>
      </c>
      <c r="I2650" s="5" t="s">
        <v>18</v>
      </c>
      <c r="J2650" s="9" t="str">
        <f>IFERROR(__xludf.DUMMYFUNCTION("""COMPUTED_VALUE"""),"https://www.google.com/search?newwindow=1&amp;ei=2MT0XrvGGM-vytMP1OyDgAY&amp;q=site%3Alinkedin.com+Elizabeth+Washburn+Campus+Recruiter+|+Associate+Goldman+Sachs")</f>
        <v>https://www.google.com/search?newwindow=1&amp;ei=2MT0XrvGGM-vytMP1OyDgAY&amp;q=site%3Alinkedin.com+Elizabeth+Washburn+Campus+Recruiter+|+Associate+Goldman+Sachs</v>
      </c>
      <c r="K2650" s="5" t="str">
        <f t="shared" si="1"/>
        <v>Elizabeth Washburn</v>
      </c>
      <c r="L2650" s="5" t="str">
        <f t="shared" si="2"/>
        <v>Campus Recruiter | Associate</v>
      </c>
      <c r="M2650" s="5" t="str">
        <f t="shared" si="3"/>
        <v> </v>
      </c>
      <c r="N2650" s="5" t="str">
        <f t="shared" si="4"/>
        <v>Goldman Sachs</v>
      </c>
      <c r="O2650" s="5" t="str">
        <f t="shared" si="5"/>
        <v>10 months in role and company</v>
      </c>
      <c r="P2650" s="5" t="str">
        <f t="shared" si="6"/>
        <v>Dallas</v>
      </c>
      <c r="Q2650" s="5" t="str">
        <f t="shared" si="7"/>
        <v>Texas</v>
      </c>
      <c r="R2650" s="5" t="str">
        <f t="shared" si="8"/>
        <v>United States</v>
      </c>
    </row>
    <row r="2651">
      <c r="A2651" s="7" t="s">
        <v>1419</v>
      </c>
      <c r="B2651" s="5" t="s">
        <v>1417</v>
      </c>
      <c r="C2651" s="5" t="s">
        <v>25</v>
      </c>
      <c r="D2651" s="6" t="s">
        <v>13</v>
      </c>
      <c r="E2651" s="5" t="s">
        <v>1233</v>
      </c>
      <c r="G2651" s="5" t="s">
        <v>1418</v>
      </c>
      <c r="H2651" s="5" t="s">
        <v>96</v>
      </c>
      <c r="I2651" s="5" t="s">
        <v>18</v>
      </c>
      <c r="J2651" s="9" t="str">
        <f>IFERROR(__xludf.DUMMYFUNCTION("""COMPUTED_VALUE"""),"https://www.google.com/search?newwindow=1&amp;ei=2MT0XrvGGM-vytMP1OyDgAY&amp;q=site%3Alinkedin.com+Abigal+Winters+Engineering+Campus+Recruiter+Goldman+Sachs")</f>
        <v>https://www.google.com/search?newwindow=1&amp;ei=2MT0XrvGGM-vytMP1OyDgAY&amp;q=site%3Alinkedin.com+Abigal+Winters+Engineering+Campus+Recruiter+Goldman+Sachs</v>
      </c>
      <c r="K2651" s="5" t="str">
        <f t="shared" si="1"/>
        <v>Abigal Winters</v>
      </c>
      <c r="L2651" s="5" t="str">
        <f t="shared" si="2"/>
        <v>Engineering Campus Recruiter</v>
      </c>
      <c r="M2651" s="5" t="str">
        <f t="shared" si="3"/>
        <v> </v>
      </c>
      <c r="N2651" s="5" t="str">
        <f t="shared" si="4"/>
        <v>Goldman Sachs</v>
      </c>
      <c r="O2651" s="5" t="str">
        <f t="shared" si="5"/>
        <v>3 years 2 months in role</v>
      </c>
      <c r="P2651" s="5" t="str">
        <f t="shared" si="6"/>
        <v>Dallas</v>
      </c>
      <c r="Q2651" s="5" t="str">
        <f t="shared" si="7"/>
        <v>Texas</v>
      </c>
      <c r="R2651" s="5" t="str">
        <f t="shared" si="8"/>
        <v>United States</v>
      </c>
    </row>
    <row r="2652">
      <c r="A2652" s="7" t="s">
        <v>1422</v>
      </c>
      <c r="B2652" s="5" t="s">
        <v>1420</v>
      </c>
      <c r="C2652" s="5" t="s">
        <v>25</v>
      </c>
      <c r="D2652" s="6" t="s">
        <v>13</v>
      </c>
      <c r="E2652" s="5" t="s">
        <v>1233</v>
      </c>
      <c r="F2652" s="5" t="s">
        <v>1421</v>
      </c>
      <c r="G2652" s="5" t="s">
        <v>80</v>
      </c>
      <c r="H2652" s="5" t="s">
        <v>38</v>
      </c>
      <c r="I2652" s="5" t="s">
        <v>18</v>
      </c>
      <c r="J2652" s="9" t="str">
        <f>IFERROR(__xludf.DUMMYFUNCTION("""COMPUTED_VALUE"""),"https://www.google.com/search?newwindow=1&amp;ei=2MT0XrvGGM-vytMP1OyDgAY&amp;q=site%3Alinkedin.com+Rechelle+Lambert+University+Relations+Recruiter+Goldman+Sachs")</f>
        <v>https://www.google.com/search?newwindow=1&amp;ei=2MT0XrvGGM-vytMP1OyDgAY&amp;q=site%3Alinkedin.com+Rechelle+Lambert+University+Relations+Recruiter+Goldman+Sachs</v>
      </c>
      <c r="K2652" s="5" t="str">
        <f t="shared" si="1"/>
        <v>Rechelle Lambert</v>
      </c>
      <c r="L2652" s="5" t="str">
        <f t="shared" si="2"/>
        <v>University Relations Recruiter</v>
      </c>
      <c r="M2652" s="5" t="str">
        <f t="shared" si="3"/>
        <v> </v>
      </c>
      <c r="N2652" s="5" t="str">
        <f t="shared" si="4"/>
        <v>Goldman Sachs</v>
      </c>
      <c r="O2652" s="5" t="str">
        <f t="shared" si="5"/>
        <v>11 months in role and company</v>
      </c>
      <c r="P2652" s="5" t="str">
        <f t="shared" si="6"/>
        <v>Dallas</v>
      </c>
      <c r="Q2652" s="5" t="str">
        <f t="shared" si="7"/>
        <v>Texas</v>
      </c>
      <c r="R2652" s="5" t="str">
        <f t="shared" si="8"/>
        <v>United States</v>
      </c>
    </row>
    <row r="2653">
      <c r="A2653" s="7" t="s">
        <v>1426</v>
      </c>
      <c r="B2653" s="5" t="s">
        <v>1423</v>
      </c>
      <c r="C2653" s="5" t="s">
        <v>25</v>
      </c>
      <c r="D2653" s="6" t="s">
        <v>13</v>
      </c>
      <c r="E2653" s="5" t="s">
        <v>1424</v>
      </c>
      <c r="F2653" s="5" t="s">
        <v>1425</v>
      </c>
      <c r="G2653" s="5" t="s">
        <v>183</v>
      </c>
      <c r="H2653" s="5" t="s">
        <v>184</v>
      </c>
      <c r="I2653" s="5" t="s">
        <v>18</v>
      </c>
      <c r="J2653" s="9" t="str">
        <f>IFERROR(__xludf.DUMMYFUNCTION("""COMPUTED_VALUE"""),"https://www.google.com/search?newwindow=1&amp;ei=2MT0XrvGGM-vytMP1OyDgAY&amp;q=site%3Alinkedin.com+Andrea+Washington,+MPS+Campus+Recruiter+-+Operations+and+Global+Markets+Goldman+Sachs")</f>
        <v>https://www.google.com/search?newwindow=1&amp;ei=2MT0XrvGGM-vytMP1OyDgAY&amp;q=site%3Alinkedin.com+Andrea+Washington,+MPS+Campus+Recruiter+-+Operations+and+Global+Markets+Goldman+Sachs</v>
      </c>
      <c r="K2653" s="5" t="str">
        <f t="shared" si="1"/>
        <v>Andrea Washington, MPS</v>
      </c>
      <c r="L2653" s="5" t="str">
        <f t="shared" si="2"/>
        <v>Campus Recruiter - Operations and Global Markets</v>
      </c>
      <c r="M2653" s="5" t="str">
        <f t="shared" si="3"/>
        <v> </v>
      </c>
      <c r="N2653" s="5" t="str">
        <f t="shared" si="4"/>
        <v>Goldman Sachs</v>
      </c>
      <c r="O2653" s="5" t="str">
        <f t="shared" si="5"/>
        <v>8 months in role and company</v>
      </c>
      <c r="P2653" s="5" t="str">
        <f t="shared" si="6"/>
        <v>Dallas</v>
      </c>
      <c r="Q2653" s="5" t="str">
        <f t="shared" si="7"/>
        <v>Texas</v>
      </c>
      <c r="R2653" s="5" t="str">
        <f t="shared" si="8"/>
        <v>United States</v>
      </c>
    </row>
    <row r="2654">
      <c r="A2654" s="7" t="s">
        <v>1429</v>
      </c>
      <c r="B2654" s="5" t="s">
        <v>1427</v>
      </c>
      <c r="C2654" s="5" t="s">
        <v>1428</v>
      </c>
      <c r="D2654" s="6" t="s">
        <v>13</v>
      </c>
      <c r="E2654" s="5" t="s">
        <v>1424</v>
      </c>
      <c r="F2654" s="5" t="s">
        <v>500</v>
      </c>
      <c r="G2654" s="5" t="s">
        <v>80</v>
      </c>
      <c r="H2654" s="5" t="s">
        <v>38</v>
      </c>
      <c r="I2654" s="5" t="s">
        <v>18</v>
      </c>
      <c r="J2654" s="9" t="str">
        <f>IFERROR(__xludf.DUMMYFUNCTION("""COMPUTED_VALUE"""),"https://www.google.com/search?newwindow=1&amp;ei=2MT0XrvGGM-vytMP1OyDgAY&amp;q=site%3Alinkedin.com+Brielle+Johnson,+SHRM-CP+Senior+Analyst-+Campus+Recruiter+Goldman+Sachs")</f>
        <v>https://www.google.com/search?newwindow=1&amp;ei=2MT0XrvGGM-vytMP1OyDgAY&amp;q=site%3Alinkedin.com+Brielle+Johnson,+SHRM-CP+Senior+Analyst-+Campus+Recruiter+Goldman+Sachs</v>
      </c>
      <c r="K2654" s="5" t="str">
        <f t="shared" si="1"/>
        <v>Brielle Johnson, SHRM-CP</v>
      </c>
      <c r="L2654" s="5" t="str">
        <f t="shared" si="2"/>
        <v>Senior Analyst- Campus Recruiter</v>
      </c>
      <c r="M2654" s="5" t="str">
        <f t="shared" si="3"/>
        <v> </v>
      </c>
      <c r="N2654" s="5" t="str">
        <f t="shared" si="4"/>
        <v>Goldman Sachs</v>
      </c>
      <c r="O2654" s="5" t="str">
        <f t="shared" si="5"/>
        <v>8 months in role and company</v>
      </c>
      <c r="P2654" s="5" t="str">
        <f t="shared" si="6"/>
        <v>Dallas</v>
      </c>
      <c r="Q2654" s="5" t="str">
        <f t="shared" si="7"/>
        <v>Texas</v>
      </c>
      <c r="R2654" s="5" t="str">
        <f t="shared" si="8"/>
        <v>United States</v>
      </c>
    </row>
    <row r="2655">
      <c r="A2655" s="7" t="s">
        <v>1432</v>
      </c>
      <c r="B2655" s="5" t="s">
        <v>1430</v>
      </c>
      <c r="C2655" s="5" t="s">
        <v>25</v>
      </c>
      <c r="D2655" s="6" t="s">
        <v>13</v>
      </c>
      <c r="E2655" s="5" t="s">
        <v>1424</v>
      </c>
      <c r="F2655" s="5" t="s">
        <v>1431</v>
      </c>
      <c r="G2655" s="5" t="s">
        <v>80</v>
      </c>
      <c r="H2655" s="5" t="s">
        <v>38</v>
      </c>
      <c r="I2655" s="5" t="s">
        <v>18</v>
      </c>
      <c r="J2655" s="9" t="str">
        <f>IFERROR(__xludf.DUMMYFUNCTION("""COMPUTED_VALUE"""),"https://www.google.com/search?newwindow=1&amp;ei=2MT0XrvGGM-vytMP1OyDgAY&amp;q=site%3Alinkedin.com+Taylor+Mac+Kenzie+Campus+Recruiter+-+Vice+President+Goldman+Sachs")</f>
        <v>https://www.google.com/search?newwindow=1&amp;ei=2MT0XrvGGM-vytMP1OyDgAY&amp;q=site%3Alinkedin.com+Taylor+Mac+Kenzie+Campus+Recruiter+-+Vice+President+Goldman+Sachs</v>
      </c>
      <c r="K2655" s="5" t="str">
        <f t="shared" si="1"/>
        <v>Taylor Mac Kenzie</v>
      </c>
      <c r="L2655" s="5" t="str">
        <f t="shared" si="2"/>
        <v>Campus Recruiter - Vice President</v>
      </c>
      <c r="M2655" s="5" t="str">
        <f t="shared" si="3"/>
        <v> </v>
      </c>
      <c r="N2655" s="5" t="str">
        <f t="shared" si="4"/>
        <v>Goldman Sachs</v>
      </c>
      <c r="O2655" s="5" t="str">
        <f t="shared" si="5"/>
        <v>13 years 10 months in role and company</v>
      </c>
      <c r="P2655" s="5" t="str">
        <f t="shared" si="6"/>
        <v>Hoboken</v>
      </c>
      <c r="Q2655" s="5" t="str">
        <f t="shared" si="7"/>
        <v>New Jersey</v>
      </c>
      <c r="R2655" s="5" t="str">
        <f t="shared" si="8"/>
        <v>United States</v>
      </c>
    </row>
    <row r="2656">
      <c r="A2656" s="7" t="s">
        <v>1434</v>
      </c>
      <c r="B2656" s="5" t="s">
        <v>1433</v>
      </c>
      <c r="C2656" s="5" t="s">
        <v>1128</v>
      </c>
      <c r="D2656" s="6" t="s">
        <v>13</v>
      </c>
      <c r="E2656" s="5" t="s">
        <v>1424</v>
      </c>
      <c r="G2656" s="5" t="s">
        <v>793</v>
      </c>
      <c r="H2656" s="5" t="s">
        <v>184</v>
      </c>
      <c r="I2656" s="5" t="s">
        <v>18</v>
      </c>
      <c r="J2656" s="9" t="str">
        <f>IFERROR(__xludf.DUMMYFUNCTION("""COMPUTED_VALUE"""),"https://www.google.com/search?newwindow=1&amp;ei=2MT0XrvGGM-vytMP1OyDgAY&amp;q=site%3Alinkedin.com+Marisa+Lieberman+Associate,+Engineering+Campus+Recruiter+Goldman+Sachs")</f>
        <v>https://www.google.com/search?newwindow=1&amp;ei=2MT0XrvGGM-vytMP1OyDgAY&amp;q=site%3Alinkedin.com+Marisa+Lieberman+Associate,+Engineering+Campus+Recruiter+Goldman+Sachs</v>
      </c>
      <c r="K2656" s="5" t="str">
        <f t="shared" si="1"/>
        <v>Marisa Lieberman</v>
      </c>
      <c r="L2656" s="5" t="str">
        <f t="shared" si="2"/>
        <v>Associate, Engineering Campus Recruiter</v>
      </c>
      <c r="M2656" s="5" t="str">
        <f t="shared" si="3"/>
        <v> </v>
      </c>
      <c r="N2656" s="5" t="str">
        <f t="shared" si="4"/>
        <v>Goldman Sachs</v>
      </c>
      <c r="O2656" s="5" t="str">
        <f t="shared" si="5"/>
        <v>1 year 10 months in role</v>
      </c>
      <c r="P2656" s="5" t="str">
        <f t="shared" si="6"/>
        <v>New York</v>
      </c>
      <c r="Q2656" s="5" t="str">
        <f t="shared" si="7"/>
        <v>New York</v>
      </c>
      <c r="R2656" s="5" t="str">
        <f t="shared" si="8"/>
        <v>United States</v>
      </c>
    </row>
    <row r="2657">
      <c r="A2657" s="8" t="s">
        <v>1438</v>
      </c>
      <c r="B2657" s="5" t="s">
        <v>1435</v>
      </c>
      <c r="C2657" s="5" t="s">
        <v>1436</v>
      </c>
      <c r="D2657" s="6" t="s">
        <v>13</v>
      </c>
      <c r="E2657" s="5" t="s">
        <v>1424</v>
      </c>
      <c r="F2657" s="5" t="s">
        <v>207</v>
      </c>
      <c r="G2657" s="5" t="s">
        <v>1437</v>
      </c>
      <c r="H2657" s="5" t="s">
        <v>203</v>
      </c>
      <c r="I2657" s="5" t="s">
        <v>18</v>
      </c>
      <c r="J2657" s="9" t="str">
        <f>IFERROR(__xludf.DUMMYFUNCTION("""COMPUTED_VALUE"""),"https://www.google.com/search?newwindow=1&amp;ei=2MT0XrvGGM-vytMP1OyDgAY&amp;q=site%3Alinkedin.com+Nancy+Angelica+Campus+Recruiter+Goldman+Sachs")</f>
        <v>https://www.google.com/search?newwindow=1&amp;ei=2MT0XrvGGM-vytMP1OyDgAY&amp;q=site%3Alinkedin.com+Nancy+Angelica+Campus+Recruiter+Goldman+Sachs</v>
      </c>
      <c r="K2657" s="5" t="str">
        <f t="shared" si="1"/>
        <v>Nancy Angelica</v>
      </c>
      <c r="L2657" s="5" t="str">
        <f t="shared" si="2"/>
        <v>Campus Recruiter</v>
      </c>
      <c r="M2657" s="5" t="str">
        <f t="shared" si="3"/>
        <v> </v>
      </c>
      <c r="N2657" s="5" t="str">
        <f t="shared" si="4"/>
        <v>Goldman Sachs</v>
      </c>
      <c r="O2657" s="5" t="str">
        <f t="shared" si="5"/>
        <v>2 years 6 months in role and company</v>
      </c>
      <c r="P2657" s="5" t="str">
        <f t="shared" si="6"/>
        <v>New York</v>
      </c>
      <c r="Q2657" s="5" t="str">
        <f t="shared" si="7"/>
        <v>New York</v>
      </c>
      <c r="R2657" s="5" t="str">
        <f t="shared" si="8"/>
        <v>United States</v>
      </c>
    </row>
    <row r="2658">
      <c r="A2658" s="7" t="s">
        <v>1441</v>
      </c>
      <c r="B2658" s="5" t="s">
        <v>1439</v>
      </c>
      <c r="C2658" s="5" t="s">
        <v>1440</v>
      </c>
      <c r="D2658" s="6" t="s">
        <v>4</v>
      </c>
      <c r="E2658" s="5" t="s">
        <v>1424</v>
      </c>
      <c r="F2658" s="5" t="s">
        <v>26</v>
      </c>
      <c r="G2658" s="5" t="s">
        <v>153</v>
      </c>
      <c r="H2658" s="5" t="s">
        <v>154</v>
      </c>
      <c r="I2658" s="5" t="s">
        <v>18</v>
      </c>
      <c r="J2658" s="9" t="str">
        <f>IFERROR(__xludf.DUMMYFUNCTION("""COMPUTED_VALUE"""),"https://www.google.com/search?newwindow=1&amp;ei=2MT0XrvGGM-vytMP1OyDgAY&amp;q=site%3Alinkedin.com+Andrew+C.+Associate,+Engineering+Campus+Recruiter+Goldman+Sachs")</f>
        <v>https://www.google.com/search?newwindow=1&amp;ei=2MT0XrvGGM-vytMP1OyDgAY&amp;q=site%3Alinkedin.com+Andrew+C.+Associate,+Engineering+Campus+Recruiter+Goldman+Sachs</v>
      </c>
      <c r="K2658" s="5" t="str">
        <f t="shared" si="1"/>
        <v>Andrew C.</v>
      </c>
      <c r="L2658" s="5" t="str">
        <f t="shared" si="2"/>
        <v>Associate, Engineering Campus Recruiter</v>
      </c>
      <c r="M2658" s="5" t="str">
        <f t="shared" si="3"/>
        <v> </v>
      </c>
      <c r="N2658" s="5" t="str">
        <f t="shared" si="4"/>
        <v>Goldman Sachs</v>
      </c>
      <c r="O2658" s="5" t="str">
        <f t="shared" si="5"/>
        <v>3 years 5 months in role</v>
      </c>
      <c r="P2658" s="5" t="str">
        <f t="shared" si="6"/>
        <v>New York</v>
      </c>
      <c r="Q2658" s="5" t="str">
        <f t="shared" si="7"/>
        <v>New York</v>
      </c>
      <c r="R2658" s="5" t="str">
        <f t="shared" si="8"/>
        <v>United States</v>
      </c>
    </row>
    <row r="2659">
      <c r="A2659" s="7" t="s">
        <v>1443</v>
      </c>
      <c r="B2659" s="5" t="s">
        <v>1442</v>
      </c>
      <c r="C2659" s="5" t="s">
        <v>25</v>
      </c>
      <c r="D2659" s="6" t="s">
        <v>13</v>
      </c>
      <c r="E2659" s="5" t="s">
        <v>1424</v>
      </c>
      <c r="G2659" s="5" t="s">
        <v>669</v>
      </c>
      <c r="H2659" s="5" t="s">
        <v>17</v>
      </c>
      <c r="I2659" s="5" t="s">
        <v>18</v>
      </c>
      <c r="J2659" s="9" t="str">
        <f>IFERROR(__xludf.DUMMYFUNCTION("""COMPUTED_VALUE"""),"https://www.google.com/search?newwindow=1&amp;ei=2MT0XrvGGM-vytMP1OyDgAY&amp;q=site%3Alinkedin.com+Hannah+Meckler+Vice+President,+Investment+Banking+Campus+Recruiter+Goldman+Sachs")</f>
        <v>https://www.google.com/search?newwindow=1&amp;ei=2MT0XrvGGM-vytMP1OyDgAY&amp;q=site%3Alinkedin.com+Hannah+Meckler+Vice+President,+Investment+Banking+Campus+Recruiter+Goldman+Sachs</v>
      </c>
      <c r="K2659" s="5" t="str">
        <f t="shared" si="1"/>
        <v>Hannah Meckler</v>
      </c>
      <c r="L2659" s="5" t="str">
        <f t="shared" si="2"/>
        <v>Vice President, Investment Banking Campus Recruiter</v>
      </c>
      <c r="M2659" s="5" t="str">
        <f t="shared" si="3"/>
        <v> </v>
      </c>
      <c r="N2659" s="5" t="str">
        <f t="shared" si="4"/>
        <v>Goldman Sachs</v>
      </c>
      <c r="O2659" s="5" t="str">
        <f t="shared" si="5"/>
        <v>1 year 10 months in role and company</v>
      </c>
      <c r="P2659" s="5" t="str">
        <f t="shared" si="6"/>
        <v>New York</v>
      </c>
      <c r="Q2659" s="5" t="str">
        <f t="shared" si="7"/>
        <v>New York</v>
      </c>
      <c r="R2659" s="5" t="str">
        <f t="shared" si="8"/>
        <v>United States</v>
      </c>
    </row>
    <row r="2660">
      <c r="A2660" s="7" t="s">
        <v>1445</v>
      </c>
      <c r="B2660" s="5" t="s">
        <v>1444</v>
      </c>
      <c r="C2660" s="5" t="s">
        <v>47</v>
      </c>
      <c r="D2660" s="6" t="s">
        <v>13</v>
      </c>
      <c r="E2660" s="5" t="s">
        <v>1424</v>
      </c>
      <c r="F2660" s="5" t="s">
        <v>331</v>
      </c>
      <c r="G2660" s="5" t="s">
        <v>102</v>
      </c>
      <c r="H2660" s="5" t="s">
        <v>172</v>
      </c>
      <c r="I2660" s="5" t="s">
        <v>18</v>
      </c>
      <c r="J2660" s="9" t="str">
        <f>IFERROR(__xludf.DUMMYFUNCTION("""COMPUTED_VALUE"""),"https://www.google.com/search?newwindow=1&amp;ei=2MT0XrvGGM-vytMP1OyDgAY&amp;q=site%3Alinkedin.com+Erica+Ciolli+Head+of+Campus+Recruiting+for+Consumer+and+Investment+Management+(Private+Wealth+&amp;+Asset+Management)+Goldman+Sachs")</f>
        <v>https://www.google.com/search?newwindow=1&amp;ei=2MT0XrvGGM-vytMP1OyDgAY&amp;q=site%3Alinkedin.com+Erica+Ciolli+Head+of+Campus+Recruiting+for+Consumer+and+Investment+Management+(Private+Wealth+&amp;+Asset+Management)+Goldman+Sachs</v>
      </c>
      <c r="K2660" s="5" t="str">
        <f t="shared" si="1"/>
        <v>Erica Ciolli</v>
      </c>
      <c r="L2660" s="5" t="str">
        <f t="shared" si="2"/>
        <v>Head of Campus Recruiting for Consumer and Investment Management (Private Wealth &amp; Asset Management)</v>
      </c>
      <c r="M2660" s="5" t="str">
        <f t="shared" si="3"/>
        <v> </v>
      </c>
      <c r="N2660" s="5" t="str">
        <f t="shared" si="4"/>
        <v>Goldman Sachs</v>
      </c>
      <c r="O2660" s="5" t="str">
        <f t="shared" si="5"/>
        <v>1 year 8 months in role</v>
      </c>
      <c r="P2660" s="5" t="str">
        <f t="shared" si="6"/>
        <v>New York</v>
      </c>
      <c r="Q2660" s="5" t="str">
        <f t="shared" si="7"/>
        <v>New York</v>
      </c>
      <c r="R2660" s="5" t="str">
        <f t="shared" si="8"/>
        <v>United States</v>
      </c>
    </row>
    <row r="2661">
      <c r="A2661" s="7" t="s">
        <v>1450</v>
      </c>
      <c r="B2661" s="5" t="s">
        <v>1446</v>
      </c>
      <c r="C2661" s="5" t="s">
        <v>25</v>
      </c>
      <c r="D2661" s="6" t="s">
        <v>13</v>
      </c>
      <c r="E2661" s="5" t="s">
        <v>1447</v>
      </c>
      <c r="F2661" s="5" t="s">
        <v>1448</v>
      </c>
      <c r="G2661" s="5" t="s">
        <v>1449</v>
      </c>
      <c r="H2661" s="5" t="s">
        <v>203</v>
      </c>
      <c r="I2661" s="5" t="s">
        <v>18</v>
      </c>
      <c r="J2661" s="9" t="str">
        <f>IFERROR(__xludf.DUMMYFUNCTION("""COMPUTED_VALUE"""),"https://www.google.com/search?newwindow=1&amp;ei=2MT0XrvGGM-vytMP1OyDgAY&amp;q=site%3Alinkedin.com+Lydia+Coffey,+PHR+Analyst,+Campus+Recruiter+Goldman+Sachs")</f>
        <v>https://www.google.com/search?newwindow=1&amp;ei=2MT0XrvGGM-vytMP1OyDgAY&amp;q=site%3Alinkedin.com+Lydia+Coffey,+PHR+Analyst,+Campus+Recruiter+Goldman+Sachs</v>
      </c>
      <c r="K2661" s="5" t="str">
        <f t="shared" si="1"/>
        <v>Lydia Coffey, PHR</v>
      </c>
      <c r="L2661" s="5" t="str">
        <f t="shared" si="2"/>
        <v>Analyst, Campus Recruiter</v>
      </c>
      <c r="M2661" s="5" t="str">
        <f t="shared" si="3"/>
        <v> </v>
      </c>
      <c r="N2661" s="5" t="str">
        <f t="shared" si="4"/>
        <v>Goldman Sachs</v>
      </c>
      <c r="O2661" s="5" t="str">
        <f t="shared" si="5"/>
        <v>9 months in role</v>
      </c>
      <c r="P2661" s="5" t="str">
        <f t="shared" si="6"/>
        <v>Provo</v>
      </c>
      <c r="Q2661" s="5" t="str">
        <f t="shared" si="7"/>
        <v>Utah</v>
      </c>
      <c r="R2661" s="5" t="str">
        <f t="shared" si="8"/>
        <v>United States</v>
      </c>
    </row>
    <row r="2662">
      <c r="A2662" s="7" t="s">
        <v>1453</v>
      </c>
      <c r="B2662" s="5" t="s">
        <v>1451</v>
      </c>
      <c r="C2662" s="5" t="s">
        <v>1452</v>
      </c>
      <c r="D2662" s="6" t="s">
        <v>13</v>
      </c>
      <c r="E2662" s="5" t="s">
        <v>1447</v>
      </c>
      <c r="F2662" s="5" t="s">
        <v>354</v>
      </c>
      <c r="G2662" s="5" t="s">
        <v>1449</v>
      </c>
      <c r="H2662" s="5" t="s">
        <v>203</v>
      </c>
      <c r="I2662" s="5" t="s">
        <v>18</v>
      </c>
      <c r="J2662" s="9" t="str">
        <f>IFERROR(__xludf.DUMMYFUNCTION("""COMPUTED_VALUE"""),"https://www.google.com/search?newwindow=1&amp;ei=2MT0XrvGGM-vytMP1OyDgAY&amp;q=site%3Alinkedin.com+Maribel+Velazquez+Engineering+University+Relations+Recruiter+Goldman+Sachs")</f>
        <v>https://www.google.com/search?newwindow=1&amp;ei=2MT0XrvGGM-vytMP1OyDgAY&amp;q=site%3Alinkedin.com+Maribel+Velazquez+Engineering+University+Relations+Recruiter+Goldman+Sachs</v>
      </c>
      <c r="K2662" s="5" t="str">
        <f t="shared" si="1"/>
        <v>Maribel Velazquez</v>
      </c>
      <c r="L2662" s="5" t="str">
        <f t="shared" si="2"/>
        <v>Engineering University Relations Recruiter</v>
      </c>
      <c r="M2662" s="5" t="str">
        <f t="shared" si="3"/>
        <v> </v>
      </c>
      <c r="N2662" s="5" t="str">
        <f t="shared" si="4"/>
        <v>Goldman Sachs</v>
      </c>
      <c r="O2662" s="5" t="str">
        <f t="shared" si="5"/>
        <v>11 months in role</v>
      </c>
      <c r="P2662" s="5" t="str">
        <f t="shared" si="6"/>
        <v>Richardson</v>
      </c>
      <c r="Q2662" s="5" t="str">
        <f t="shared" si="7"/>
        <v>Texas</v>
      </c>
      <c r="R2662" s="5" t="str">
        <f t="shared" si="8"/>
        <v>United States</v>
      </c>
    </row>
    <row r="2663">
      <c r="A2663" s="8" t="s">
        <v>1456</v>
      </c>
      <c r="B2663" s="5" t="s">
        <v>1454</v>
      </c>
      <c r="C2663" s="5" t="s">
        <v>404</v>
      </c>
      <c r="D2663" s="6" t="s">
        <v>13</v>
      </c>
      <c r="E2663" s="5" t="s">
        <v>1455</v>
      </c>
      <c r="F2663" s="5" t="s">
        <v>651</v>
      </c>
      <c r="G2663" s="5" t="s">
        <v>85</v>
      </c>
      <c r="H2663" s="5" t="s">
        <v>86</v>
      </c>
      <c r="I2663" s="5" t="s">
        <v>18</v>
      </c>
      <c r="J2663" s="9" t="str">
        <f>IFERROR(__xludf.DUMMYFUNCTION("""COMPUTED_VALUE"""),"https://www.google.com/search?newwindow=1&amp;ei=2MT0XrvGGM-vytMP1OyDgAY&amp;q=site%3Alinkedin.com+Christine+Ganevsky+Campus+Recruiter+Goldman+Sachs")</f>
        <v>https://www.google.com/search?newwindow=1&amp;ei=2MT0XrvGGM-vytMP1OyDgAY&amp;q=site%3Alinkedin.com+Christine+Ganevsky+Campus+Recruiter+Goldman+Sachs</v>
      </c>
      <c r="K2663" s="5" t="str">
        <f t="shared" si="1"/>
        <v>Christine Ganevsky</v>
      </c>
      <c r="L2663" s="5" t="str">
        <f t="shared" si="2"/>
        <v>Campus Recruiter</v>
      </c>
      <c r="M2663" s="5" t="str">
        <f t="shared" si="3"/>
        <v> </v>
      </c>
      <c r="N2663" s="5" t="str">
        <f t="shared" si="4"/>
        <v>Goldman Sachs</v>
      </c>
      <c r="O2663" s="5" t="str">
        <f t="shared" si="5"/>
        <v>3 years 1 month in role</v>
      </c>
      <c r="P2663" s="5" t="str">
        <f t="shared" si="6"/>
        <v>Salt Lake City</v>
      </c>
      <c r="Q2663" s="5" t="str">
        <f t="shared" si="7"/>
        <v>Utah</v>
      </c>
      <c r="R2663" s="5" t="str">
        <f t="shared" si="8"/>
        <v>United States</v>
      </c>
    </row>
    <row r="2664">
      <c r="A2664" s="7" t="s">
        <v>1458</v>
      </c>
      <c r="B2664" s="5" t="s">
        <v>1457</v>
      </c>
      <c r="C2664" s="5" t="s">
        <v>404</v>
      </c>
      <c r="D2664" s="6" t="s">
        <v>13</v>
      </c>
      <c r="E2664" s="5" t="s">
        <v>1455</v>
      </c>
      <c r="F2664" s="5" t="s">
        <v>48</v>
      </c>
      <c r="G2664" s="5" t="s">
        <v>85</v>
      </c>
      <c r="H2664" s="5" t="s">
        <v>86</v>
      </c>
      <c r="I2664" s="5" t="s">
        <v>18</v>
      </c>
      <c r="J2664" s="9" t="str">
        <f>IFERROR(__xludf.DUMMYFUNCTION("""COMPUTED_VALUE"""),"https://www.google.com/search?newwindow=1&amp;ei=2MT0XrvGGM-vytMP1OyDgAY&amp;q=site%3Alinkedin.com+Rob+Georgiefski+University+Recruiter,+Tech+Google")</f>
        <v>https://www.google.com/search?newwindow=1&amp;ei=2MT0XrvGGM-vytMP1OyDgAY&amp;q=site%3Alinkedin.com+Rob+Georgiefski+University+Recruiter,+Tech+Google</v>
      </c>
      <c r="K2664" s="5" t="str">
        <f t="shared" si="1"/>
        <v>Rob Georgiefski</v>
      </c>
      <c r="L2664" s="5" t="str">
        <f t="shared" si="2"/>
        <v>University Recruiter, Tech</v>
      </c>
      <c r="M2664" s="5" t="str">
        <f t="shared" si="3"/>
        <v> </v>
      </c>
      <c r="N2664" s="5" t="str">
        <f t="shared" si="4"/>
        <v>Google</v>
      </c>
      <c r="O2664" s="5" t="str">
        <f t="shared" si="5"/>
        <v>2 years 10 months in role</v>
      </c>
      <c r="P2664" s="5" t="str">
        <f t="shared" si="6"/>
        <v>Austin</v>
      </c>
      <c r="Q2664" s="5" t="str">
        <f t="shared" si="7"/>
        <v>Texas</v>
      </c>
      <c r="R2664" s="5" t="str">
        <f t="shared" si="8"/>
        <v>United States</v>
      </c>
    </row>
    <row r="2665">
      <c r="A2665" s="7" t="s">
        <v>1462</v>
      </c>
      <c r="B2665" s="5" t="s">
        <v>1459</v>
      </c>
      <c r="C2665" s="5" t="s">
        <v>404</v>
      </c>
      <c r="D2665" s="6" t="s">
        <v>13</v>
      </c>
      <c r="E2665" s="5" t="s">
        <v>1455</v>
      </c>
      <c r="F2665" s="5" t="s">
        <v>1460</v>
      </c>
      <c r="G2665" s="5" t="s">
        <v>1461</v>
      </c>
      <c r="H2665" s="5" t="s">
        <v>86</v>
      </c>
      <c r="I2665" s="5" t="s">
        <v>18</v>
      </c>
      <c r="J2665" s="9" t="str">
        <f>IFERROR(__xludf.DUMMYFUNCTION("""COMPUTED_VALUE"""),"https://www.google.com/search?newwindow=1&amp;ei=2MT0XrvGGM-vytMP1OyDgAY&amp;q=site%3Alinkedin.com+Keanna+Carter+University+Tech+Recruiter+Google")</f>
        <v>https://www.google.com/search?newwindow=1&amp;ei=2MT0XrvGGM-vytMP1OyDgAY&amp;q=site%3Alinkedin.com+Keanna+Carter+University+Tech+Recruiter+Google</v>
      </c>
      <c r="K2665" s="5" t="str">
        <f t="shared" si="1"/>
        <v>Keanna Carter</v>
      </c>
      <c r="L2665" s="5" t="str">
        <f t="shared" si="2"/>
        <v>University Tech Recruiter</v>
      </c>
      <c r="M2665" s="5" t="str">
        <f t="shared" si="3"/>
        <v> </v>
      </c>
      <c r="N2665" s="5" t="str">
        <f t="shared" si="4"/>
        <v>Google</v>
      </c>
      <c r="O2665" s="5" t="str">
        <f t="shared" si="5"/>
        <v>1 year 4 months in role</v>
      </c>
      <c r="P2665" s="5" t="str">
        <f t="shared" si="6"/>
        <v>Austin</v>
      </c>
      <c r="Q2665" s="5" t="str">
        <f t="shared" si="7"/>
        <v>Texas</v>
      </c>
      <c r="R2665" s="5" t="str">
        <f t="shared" si="8"/>
        <v>United States</v>
      </c>
    </row>
    <row r="2666">
      <c r="A2666" s="8" t="s">
        <v>1465</v>
      </c>
      <c r="B2666" s="5" t="s">
        <v>1463</v>
      </c>
      <c r="C2666" s="5" t="s">
        <v>25</v>
      </c>
      <c r="D2666" s="6" t="s">
        <v>13</v>
      </c>
      <c r="E2666" s="5" t="s">
        <v>1464</v>
      </c>
      <c r="F2666" s="5" t="s">
        <v>980</v>
      </c>
      <c r="G2666" s="5" t="s">
        <v>16</v>
      </c>
      <c r="H2666" s="5" t="s">
        <v>17</v>
      </c>
      <c r="I2666" s="5" t="s">
        <v>18</v>
      </c>
      <c r="J2666" s="9" t="str">
        <f>IFERROR(__xludf.DUMMYFUNCTION("""COMPUTED_VALUE"""),"https://www.google.com/search?newwindow=1&amp;ei=2MT0XrvGGM-vytMP1OyDgAY&amp;q=site%3Alinkedin.com+Matt+Breidenbach+University+Programs+Recruiter+Google")</f>
        <v>https://www.google.com/search?newwindow=1&amp;ei=2MT0XrvGGM-vytMP1OyDgAY&amp;q=site%3Alinkedin.com+Matt+Breidenbach+University+Programs+Recruiter+Google</v>
      </c>
      <c r="K2666" s="5" t="str">
        <f t="shared" si="1"/>
        <v>Matt Breidenbach</v>
      </c>
      <c r="L2666" s="5" t="str">
        <f t="shared" si="2"/>
        <v>University Programs Recruiter</v>
      </c>
      <c r="M2666" s="5" t="str">
        <f t="shared" si="3"/>
        <v> </v>
      </c>
      <c r="N2666" s="5" t="str">
        <f t="shared" si="4"/>
        <v>Google</v>
      </c>
      <c r="O2666" s="5" t="str">
        <f t="shared" si="5"/>
        <v>2 years 10 months in role</v>
      </c>
      <c r="P2666" s="5" t="str">
        <f t="shared" si="6"/>
        <v>Austin</v>
      </c>
      <c r="Q2666" s="5" t="str">
        <f t="shared" si="7"/>
        <v>Texas</v>
      </c>
      <c r="R2666" s="5" t="str">
        <f t="shared" si="8"/>
        <v>United States</v>
      </c>
    </row>
    <row r="2667">
      <c r="A2667" s="8" t="s">
        <v>1468</v>
      </c>
      <c r="B2667" s="5" t="s">
        <v>1466</v>
      </c>
      <c r="C2667" s="5" t="s">
        <v>1467</v>
      </c>
      <c r="D2667" s="6" t="s">
        <v>13</v>
      </c>
      <c r="E2667" s="5" t="s">
        <v>1464</v>
      </c>
      <c r="F2667" s="5" t="s">
        <v>26</v>
      </c>
      <c r="G2667" s="5" t="s">
        <v>49</v>
      </c>
      <c r="H2667" s="5" t="s">
        <v>50</v>
      </c>
      <c r="I2667" s="5" t="s">
        <v>18</v>
      </c>
      <c r="J2667" s="9" t="str">
        <f>IFERROR(__xludf.DUMMYFUNCTION("""COMPUTED_VALUE"""),"https://www.google.com/search?newwindow=1&amp;ei=2MT0XrvGGM-vytMP1OyDgAY&amp;q=site%3Alinkedin.com+Carmen+Cornelius+Cloud+Sales+Recruiter+Google")</f>
        <v>https://www.google.com/search?newwindow=1&amp;ei=2MT0XrvGGM-vytMP1OyDgAY&amp;q=site%3Alinkedin.com+Carmen+Cornelius+Cloud+Sales+Recruiter+Google</v>
      </c>
      <c r="K2667" s="5" t="str">
        <f t="shared" si="1"/>
        <v>Carmen Cornelius</v>
      </c>
      <c r="L2667" s="5" t="str">
        <f t="shared" si="2"/>
        <v>Cloud Sales Recruiter</v>
      </c>
      <c r="M2667" s="5" t="str">
        <f t="shared" si="3"/>
        <v> </v>
      </c>
      <c r="N2667" s="5" t="str">
        <f t="shared" si="4"/>
        <v>Google</v>
      </c>
      <c r="O2667" s="5" t="str">
        <f t="shared" si="5"/>
        <v>1 year 6 months in role</v>
      </c>
      <c r="P2667" s="5" t="str">
        <f t="shared" si="6"/>
        <v>Austin</v>
      </c>
      <c r="Q2667" s="5" t="str">
        <f t="shared" si="7"/>
        <v>Texas</v>
      </c>
      <c r="R2667" s="5" t="str">
        <f t="shared" si="8"/>
        <v>United States</v>
      </c>
    </row>
    <row r="2668">
      <c r="A2668" s="8" t="s">
        <v>1471</v>
      </c>
      <c r="B2668" s="5" t="s">
        <v>1469</v>
      </c>
      <c r="C2668" s="5" t="s">
        <v>1470</v>
      </c>
      <c r="D2668" s="6" t="s">
        <v>13</v>
      </c>
      <c r="E2668" s="5" t="s">
        <v>1464</v>
      </c>
      <c r="F2668" s="5" t="s">
        <v>26</v>
      </c>
      <c r="G2668" s="5" t="s">
        <v>49</v>
      </c>
      <c r="H2668" s="5" t="s">
        <v>50</v>
      </c>
      <c r="I2668" s="5" t="s">
        <v>18</v>
      </c>
      <c r="J2668" s="9" t="str">
        <f>IFERROR(__xludf.DUMMYFUNCTION("""COMPUTED_VALUE"""),"https://www.google.com/search?newwindow=1&amp;ei=2MT0XrvGGM-vytMP1OyDgAY&amp;q=site%3Alinkedin.com+Lauren+Urbanski+University+Recruiter+Google")</f>
        <v>https://www.google.com/search?newwindow=1&amp;ei=2MT0XrvGGM-vytMP1OyDgAY&amp;q=site%3Alinkedin.com+Lauren+Urbanski+University+Recruiter+Google</v>
      </c>
      <c r="K2668" s="5" t="str">
        <f t="shared" si="1"/>
        <v>Lauren Urbanski</v>
      </c>
      <c r="L2668" s="5" t="str">
        <f t="shared" si="2"/>
        <v>University Recruiter</v>
      </c>
      <c r="M2668" s="5" t="str">
        <f t="shared" si="3"/>
        <v> </v>
      </c>
      <c r="N2668" s="5" t="str">
        <f t="shared" si="4"/>
        <v>Google</v>
      </c>
      <c r="O2668" s="5" t="str">
        <f t="shared" si="5"/>
        <v>1 year 7 months in role</v>
      </c>
      <c r="P2668" s="5" t="str">
        <f t="shared" si="6"/>
        <v>Austin</v>
      </c>
      <c r="Q2668" s="5" t="str">
        <f t="shared" si="7"/>
        <v>Texas</v>
      </c>
      <c r="R2668" s="5" t="str">
        <f t="shared" si="8"/>
        <v>United States</v>
      </c>
    </row>
    <row r="2669">
      <c r="A2669" s="7" t="s">
        <v>1474</v>
      </c>
      <c r="B2669" s="5" t="s">
        <v>1472</v>
      </c>
      <c r="C2669" s="5" t="s">
        <v>25</v>
      </c>
      <c r="D2669" s="6" t="s">
        <v>13</v>
      </c>
      <c r="E2669" s="5" t="s">
        <v>1464</v>
      </c>
      <c r="F2669" s="5" t="s">
        <v>121</v>
      </c>
      <c r="G2669" s="5" t="s">
        <v>1473</v>
      </c>
      <c r="H2669" s="5" t="s">
        <v>50</v>
      </c>
      <c r="I2669" s="5" t="s">
        <v>18</v>
      </c>
      <c r="J2669" s="9" t="str">
        <f>IFERROR(__xludf.DUMMYFUNCTION("""COMPUTED_VALUE"""),"https://www.google.com/search?newwindow=1&amp;ei=2MT0XrvGGM-vytMP1OyDgAY&amp;q=site%3Alinkedin.com+Hayley+Roe+University+Recruiter+Google")</f>
        <v>https://www.google.com/search?newwindow=1&amp;ei=2MT0XrvGGM-vytMP1OyDgAY&amp;q=site%3Alinkedin.com+Hayley+Roe+University+Recruiter+Google</v>
      </c>
      <c r="K2669" s="5" t="str">
        <f t="shared" si="1"/>
        <v>Hayley Roe</v>
      </c>
      <c r="L2669" s="5" t="str">
        <f t="shared" si="2"/>
        <v>University Recruiter</v>
      </c>
      <c r="M2669" s="5" t="str">
        <f t="shared" si="3"/>
        <v> </v>
      </c>
      <c r="N2669" s="5" t="str">
        <f t="shared" si="4"/>
        <v>Google</v>
      </c>
      <c r="O2669" s="5" t="str">
        <f t="shared" si="5"/>
        <v>4 years 7 months in role and company</v>
      </c>
      <c r="P2669" s="5" t="str">
        <f t="shared" si="6"/>
        <v>Austin</v>
      </c>
      <c r="Q2669" s="5" t="str">
        <f t="shared" si="7"/>
        <v>Texas</v>
      </c>
      <c r="R2669" s="5" t="str">
        <f t="shared" si="8"/>
        <v>United States</v>
      </c>
    </row>
    <row r="2670">
      <c r="A2670" s="7" t="s">
        <v>1476</v>
      </c>
      <c r="B2670" s="5" t="s">
        <v>1475</v>
      </c>
      <c r="C2670" s="5" t="s">
        <v>371</v>
      </c>
      <c r="D2670" s="6" t="s">
        <v>13</v>
      </c>
      <c r="E2670" s="5" t="s">
        <v>1464</v>
      </c>
      <c r="F2670" s="5" t="s">
        <v>26</v>
      </c>
      <c r="G2670" s="5" t="s">
        <v>862</v>
      </c>
      <c r="H2670" s="5" t="s">
        <v>184</v>
      </c>
      <c r="I2670" s="5" t="s">
        <v>18</v>
      </c>
      <c r="J2670" s="9" t="str">
        <f>IFERROR(__xludf.DUMMYFUNCTION("""COMPUTED_VALUE"""),"https://www.google.com/search?newwindow=1&amp;ei=2MT0XrvGGM-vytMP1OyDgAY&amp;q=site%3Alinkedin.com+Michelle+Figi+UX+Intern+Recruiter+Google")</f>
        <v>https://www.google.com/search?newwindow=1&amp;ei=2MT0XrvGGM-vytMP1OyDgAY&amp;q=site%3Alinkedin.com+Michelle+Figi+UX+Intern+Recruiter+Google</v>
      </c>
      <c r="K2670" s="5" t="str">
        <f t="shared" si="1"/>
        <v>Michelle Figi</v>
      </c>
      <c r="L2670" s="5" t="str">
        <f t="shared" si="2"/>
        <v>UX Intern Recruiter</v>
      </c>
      <c r="M2670" s="5" t="str">
        <f t="shared" si="3"/>
        <v> </v>
      </c>
      <c r="N2670" s="5" t="str">
        <f t="shared" si="4"/>
        <v>Google</v>
      </c>
      <c r="O2670" s="5" t="str">
        <f t="shared" si="5"/>
        <v>2 years 4 months in role</v>
      </c>
      <c r="P2670" s="5" t="str">
        <f t="shared" si="6"/>
        <v>Austin</v>
      </c>
      <c r="Q2670" s="5" t="str">
        <f t="shared" si="7"/>
        <v>Texas</v>
      </c>
      <c r="R2670" s="5" t="str">
        <f t="shared" si="8"/>
        <v>United States</v>
      </c>
    </row>
    <row r="2671">
      <c r="A2671" s="7" t="s">
        <v>1476</v>
      </c>
      <c r="B2671" s="5" t="s">
        <v>1475</v>
      </c>
      <c r="C2671" s="5" t="s">
        <v>371</v>
      </c>
      <c r="D2671" s="6" t="s">
        <v>13</v>
      </c>
      <c r="E2671" s="5" t="s">
        <v>1464</v>
      </c>
      <c r="F2671" s="5" t="s">
        <v>26</v>
      </c>
      <c r="G2671" s="5" t="s">
        <v>862</v>
      </c>
      <c r="H2671" s="5" t="s">
        <v>184</v>
      </c>
      <c r="I2671" s="5" t="s">
        <v>18</v>
      </c>
      <c r="J2671" s="9" t="str">
        <f>IFERROR(__xludf.DUMMYFUNCTION("""COMPUTED_VALUE"""),"https://www.google.com/search?newwindow=1&amp;ei=2MT0XrvGGM-vytMP1OyDgAY&amp;q=site%3Alinkedin.com+Crystal+Jenkins+University+Graduate+Recruiter+Google")</f>
        <v>https://www.google.com/search?newwindow=1&amp;ei=2MT0XrvGGM-vytMP1OyDgAY&amp;q=site%3Alinkedin.com+Crystal+Jenkins+University+Graduate+Recruiter+Google</v>
      </c>
      <c r="K2671" s="5" t="str">
        <f t="shared" si="1"/>
        <v>Crystal Jenkins</v>
      </c>
      <c r="L2671" s="5" t="str">
        <f t="shared" si="2"/>
        <v>University Graduate Recruiter</v>
      </c>
      <c r="M2671" s="5" t="str">
        <f t="shared" si="3"/>
        <v> </v>
      </c>
      <c r="N2671" s="5" t="str">
        <f t="shared" si="4"/>
        <v>Google</v>
      </c>
      <c r="O2671" s="5" t="str">
        <f t="shared" si="5"/>
        <v>3 years 6 months in role and company</v>
      </c>
      <c r="P2671" s="5" t="str">
        <f t="shared" si="6"/>
        <v>Austin</v>
      </c>
      <c r="Q2671" s="5" t="str">
        <f t="shared" si="7"/>
        <v>Texas</v>
      </c>
      <c r="R2671" s="5" t="str">
        <f t="shared" si="8"/>
        <v>United States</v>
      </c>
    </row>
    <row r="2672">
      <c r="A2672" s="7" t="s">
        <v>1479</v>
      </c>
      <c r="B2672" s="5" t="s">
        <v>1477</v>
      </c>
      <c r="C2672" s="5" t="s">
        <v>25</v>
      </c>
      <c r="D2672" s="6" t="s">
        <v>13</v>
      </c>
      <c r="E2672" s="5" t="s">
        <v>1464</v>
      </c>
      <c r="F2672" s="5" t="s">
        <v>651</v>
      </c>
      <c r="G2672" s="5" t="s">
        <v>1478</v>
      </c>
      <c r="H2672" s="5" t="s">
        <v>184</v>
      </c>
      <c r="I2672" s="5" t="s">
        <v>18</v>
      </c>
      <c r="J2672" s="9" t="str">
        <f>IFERROR(__xludf.DUMMYFUNCTION("""COMPUTED_VALUE"""),"https://www.google.com/search?newwindow=1&amp;ei=2MT0XrvGGM-vytMP1OyDgAY&amp;q=site%3Alinkedin.com+Daryan+Rahimzadeh+Campus+Technical+Recruiter+Google")</f>
        <v>https://www.google.com/search?newwindow=1&amp;ei=2MT0XrvGGM-vytMP1OyDgAY&amp;q=site%3Alinkedin.com+Daryan+Rahimzadeh+Campus+Technical+Recruiter+Google</v>
      </c>
      <c r="K2672" s="5" t="str">
        <f t="shared" si="1"/>
        <v>Daryan Rahimzadeh</v>
      </c>
      <c r="L2672" s="5" t="str">
        <f t="shared" si="2"/>
        <v>Campus Technical Recruiter</v>
      </c>
      <c r="M2672" s="5" t="str">
        <f t="shared" si="3"/>
        <v> </v>
      </c>
      <c r="N2672" s="5" t="str">
        <f t="shared" si="4"/>
        <v>Google</v>
      </c>
      <c r="O2672" s="5" t="str">
        <f t="shared" si="5"/>
        <v>3 years 1 month in role</v>
      </c>
      <c r="P2672" s="5" t="str">
        <f t="shared" si="6"/>
        <v>Austin</v>
      </c>
      <c r="Q2672" s="5" t="str">
        <f t="shared" si="7"/>
        <v>Texas</v>
      </c>
      <c r="R2672" s="5" t="str">
        <f t="shared" si="8"/>
        <v>United States</v>
      </c>
    </row>
    <row r="2673">
      <c r="A2673" s="8" t="s">
        <v>1481</v>
      </c>
      <c r="B2673" s="5" t="s">
        <v>1480</v>
      </c>
      <c r="C2673" s="5" t="s">
        <v>25</v>
      </c>
      <c r="D2673" s="6" t="s">
        <v>13</v>
      </c>
      <c r="E2673" s="5" t="s">
        <v>1464</v>
      </c>
      <c r="F2673" s="5" t="s">
        <v>207</v>
      </c>
      <c r="G2673" s="5" t="s">
        <v>102</v>
      </c>
      <c r="H2673" s="5" t="s">
        <v>172</v>
      </c>
      <c r="I2673" s="5" t="s">
        <v>18</v>
      </c>
      <c r="J2673" s="9" t="str">
        <f>IFERROR(__xludf.DUMMYFUNCTION("""COMPUTED_VALUE"""),"https://www.google.com/search?newwindow=1&amp;ei=2MT0XrvGGM-vytMP1OyDgAY&amp;q=site%3Alinkedin.com+Eleni+Martinez+Campus+Recruiter+Google")</f>
        <v>https://www.google.com/search?newwindow=1&amp;ei=2MT0XrvGGM-vytMP1OyDgAY&amp;q=site%3Alinkedin.com+Eleni+Martinez+Campus+Recruiter+Google</v>
      </c>
      <c r="K2673" s="5" t="str">
        <f t="shared" si="1"/>
        <v>Eleni Martinez</v>
      </c>
      <c r="L2673" s="5" t="str">
        <f t="shared" si="2"/>
        <v>Campus Recruiter</v>
      </c>
      <c r="M2673" s="5" t="str">
        <f t="shared" si="3"/>
        <v> </v>
      </c>
      <c r="N2673" s="5" t="str">
        <f t="shared" si="4"/>
        <v>Google</v>
      </c>
      <c r="O2673" s="5" t="str">
        <f t="shared" si="5"/>
        <v>2 years 3 months in role</v>
      </c>
      <c r="P2673" s="5" t="str">
        <f t="shared" si="6"/>
        <v>Austin</v>
      </c>
      <c r="Q2673" s="5" t="str">
        <f t="shared" si="7"/>
        <v>Texas</v>
      </c>
      <c r="R2673" s="5" t="str">
        <f t="shared" si="8"/>
        <v>United States</v>
      </c>
    </row>
    <row r="2674">
      <c r="A2674" s="8" t="s">
        <v>1486</v>
      </c>
      <c r="B2674" s="5" t="s">
        <v>1482</v>
      </c>
      <c r="C2674" s="5" t="s">
        <v>1483</v>
      </c>
      <c r="D2674" s="6" t="s">
        <v>13</v>
      </c>
      <c r="E2674" s="5" t="s">
        <v>1484</v>
      </c>
      <c r="F2674" s="5" t="s">
        <v>237</v>
      </c>
      <c r="G2674" s="5" t="s">
        <v>1485</v>
      </c>
      <c r="H2674" s="5" t="s">
        <v>44</v>
      </c>
      <c r="I2674" s="5" t="s">
        <v>18</v>
      </c>
      <c r="J2674" s="9" t="str">
        <f>IFERROR(__xludf.DUMMYFUNCTION("""COMPUTED_VALUE"""),"https://www.google.com/search?newwindow=1&amp;ei=2MT0XrvGGM-vytMP1OyDgAY&amp;q=site%3Alinkedin.com+Rachel+Dickson+Campus+Technical+Recruiter+(Tech+)+Google")</f>
        <v>https://www.google.com/search?newwindow=1&amp;ei=2MT0XrvGGM-vytMP1OyDgAY&amp;q=site%3Alinkedin.com+Rachel+Dickson+Campus+Technical+Recruiter+(Tech+)+Google</v>
      </c>
      <c r="K2674" s="5" t="str">
        <f t="shared" si="1"/>
        <v>Rachel Dickson</v>
      </c>
      <c r="L2674" s="5" t="str">
        <f t="shared" si="2"/>
        <v>Campus Technical Recruiter (Tech+)</v>
      </c>
      <c r="M2674" s="5" t="str">
        <f t="shared" si="3"/>
        <v> </v>
      </c>
      <c r="N2674" s="5" t="str">
        <f t="shared" si="4"/>
        <v>Google</v>
      </c>
      <c r="O2674" s="5" t="str">
        <f t="shared" si="5"/>
        <v>4 years  in role</v>
      </c>
      <c r="P2674" s="5" t="str">
        <f t="shared" si="6"/>
        <v>Austin</v>
      </c>
      <c r="Q2674" s="5" t="str">
        <f t="shared" si="7"/>
        <v>Texas</v>
      </c>
      <c r="R2674" s="5" t="str">
        <f t="shared" si="8"/>
        <v>United States</v>
      </c>
    </row>
    <row r="2675">
      <c r="A2675" s="7" t="s">
        <v>1488</v>
      </c>
      <c r="B2675" s="5" t="s">
        <v>1487</v>
      </c>
      <c r="C2675" s="5" t="s">
        <v>110</v>
      </c>
      <c r="D2675" s="6" t="s">
        <v>13</v>
      </c>
      <c r="E2675" s="5" t="s">
        <v>1484</v>
      </c>
      <c r="F2675" s="5" t="s">
        <v>1123</v>
      </c>
      <c r="G2675" s="5" t="s">
        <v>166</v>
      </c>
      <c r="H2675" s="5" t="s">
        <v>44</v>
      </c>
      <c r="I2675" s="5" t="s">
        <v>18</v>
      </c>
      <c r="J2675" s="9" t="str">
        <f>IFERROR(__xludf.DUMMYFUNCTION("""COMPUTED_VALUE"""),"https://www.google.com/search?newwindow=1&amp;ei=2MT0XrvGGM-vytMP1OyDgAY&amp;q=site%3Alinkedin.com+Monica+Lavin+Campus+Recruiter+Google")</f>
        <v>https://www.google.com/search?newwindow=1&amp;ei=2MT0XrvGGM-vytMP1OyDgAY&amp;q=site%3Alinkedin.com+Monica+Lavin+Campus+Recruiter+Google</v>
      </c>
      <c r="K2675" s="5" t="str">
        <f t="shared" si="1"/>
        <v>Monica Lavin</v>
      </c>
      <c r="L2675" s="5" t="str">
        <f t="shared" si="2"/>
        <v>Campus Recruiter</v>
      </c>
      <c r="M2675" s="5" t="str">
        <f t="shared" si="3"/>
        <v> </v>
      </c>
      <c r="N2675" s="5" t="str">
        <f t="shared" si="4"/>
        <v>Google</v>
      </c>
      <c r="O2675" s="5" t="str">
        <f t="shared" si="5"/>
        <v>2 years 4 months in role and company</v>
      </c>
      <c r="P2675" s="5" t="str">
        <f t="shared" si="6"/>
        <v>Boston</v>
      </c>
      <c r="Q2675" s="5" t="str">
        <f t="shared" si="7"/>
        <v>Massachusetts</v>
      </c>
      <c r="R2675" s="5" t="str">
        <f t="shared" si="8"/>
        <v>United States</v>
      </c>
    </row>
    <row r="2676">
      <c r="A2676" s="7" t="s">
        <v>1490</v>
      </c>
      <c r="B2676" s="5" t="s">
        <v>1489</v>
      </c>
      <c r="C2676" s="5" t="s">
        <v>110</v>
      </c>
      <c r="D2676" s="6" t="s">
        <v>13</v>
      </c>
      <c r="E2676" s="5" t="s">
        <v>1484</v>
      </c>
      <c r="F2676" s="5" t="s">
        <v>455</v>
      </c>
      <c r="G2676" s="5" t="s">
        <v>311</v>
      </c>
      <c r="H2676" s="5" t="s">
        <v>102</v>
      </c>
      <c r="I2676" s="5" t="s">
        <v>18</v>
      </c>
      <c r="J2676" s="9" t="str">
        <f>IFERROR(__xludf.DUMMYFUNCTION("""COMPUTED_VALUE"""),"https://www.google.com/search?newwindow=1&amp;ei=2MT0XrvGGM-vytMP1OyDgAY&amp;q=site%3Alinkedin.com+Shaina+Conrad+Tech+University+Recruiter+Google")</f>
        <v>https://www.google.com/search?newwindow=1&amp;ei=2MT0XrvGGM-vytMP1OyDgAY&amp;q=site%3Alinkedin.com+Shaina+Conrad+Tech+University+Recruiter+Google</v>
      </c>
      <c r="K2676" s="5" t="str">
        <f t="shared" si="1"/>
        <v>Shaina Conrad</v>
      </c>
      <c r="L2676" s="5" t="str">
        <f t="shared" si="2"/>
        <v>Tech University Recruiter</v>
      </c>
      <c r="M2676" s="5" t="str">
        <f t="shared" si="3"/>
        <v> </v>
      </c>
      <c r="N2676" s="5" t="str">
        <f t="shared" si="4"/>
        <v>Google</v>
      </c>
      <c r="O2676" s="5" t="str">
        <f t="shared" si="5"/>
        <v>5 years 2 months in role</v>
      </c>
      <c r="P2676" s="5" t="str">
        <f t="shared" si="6"/>
        <v>Boulder</v>
      </c>
      <c r="Q2676" s="5" t="str">
        <f t="shared" si="7"/>
        <v>Colorado</v>
      </c>
      <c r="R2676" s="5" t="str">
        <f t="shared" si="8"/>
        <v>United States</v>
      </c>
    </row>
    <row r="2677">
      <c r="A2677" s="8" t="s">
        <v>1494</v>
      </c>
      <c r="B2677" s="5" t="s">
        <v>1491</v>
      </c>
      <c r="C2677" s="5" t="s">
        <v>1492</v>
      </c>
      <c r="D2677" s="6" t="s">
        <v>13</v>
      </c>
      <c r="E2677" s="5" t="s">
        <v>1493</v>
      </c>
      <c r="F2677" s="5" t="s">
        <v>237</v>
      </c>
      <c r="G2677" s="5" t="s">
        <v>166</v>
      </c>
      <c r="H2677" s="5" t="s">
        <v>44</v>
      </c>
      <c r="I2677" s="5" t="s">
        <v>18</v>
      </c>
      <c r="J2677" s="9" t="str">
        <f>IFERROR(__xludf.DUMMYFUNCTION("""COMPUTED_VALUE"""),"https://www.google.com/search?newwindow=1&amp;ei=2MT0XrvGGM-vytMP1OyDgAY&amp;q=site%3Alinkedin.com+Amir+Muhammad+University+Recruiter+Google")</f>
        <v>https://www.google.com/search?newwindow=1&amp;ei=2MT0XrvGGM-vytMP1OyDgAY&amp;q=site%3Alinkedin.com+Amir+Muhammad+University+Recruiter+Google</v>
      </c>
      <c r="K2677" s="5" t="str">
        <f t="shared" si="1"/>
        <v>Amir Muhammad</v>
      </c>
      <c r="L2677" s="5" t="str">
        <f t="shared" si="2"/>
        <v>University Recruiter</v>
      </c>
      <c r="M2677" s="5" t="str">
        <f t="shared" si="3"/>
        <v> </v>
      </c>
      <c r="N2677" s="5" t="str">
        <f t="shared" si="4"/>
        <v>Google</v>
      </c>
      <c r="O2677" s="5" t="str">
        <f t="shared" si="5"/>
        <v>7 years 5 months in role and company</v>
      </c>
      <c r="P2677" s="5" t="str">
        <f t="shared" si="6"/>
        <v>Cupertino</v>
      </c>
      <c r="Q2677" s="5" t="str">
        <f t="shared" si="7"/>
        <v>California</v>
      </c>
      <c r="R2677" s="5" t="str">
        <f t="shared" si="8"/>
        <v>United States</v>
      </c>
    </row>
    <row r="2678">
      <c r="A2678" s="7" t="s">
        <v>1497</v>
      </c>
      <c r="B2678" s="5" t="s">
        <v>1495</v>
      </c>
      <c r="C2678" s="5" t="s">
        <v>110</v>
      </c>
      <c r="D2678" s="6" t="s">
        <v>13</v>
      </c>
      <c r="E2678" s="5" t="s">
        <v>1496</v>
      </c>
      <c r="F2678" s="5" t="s">
        <v>496</v>
      </c>
      <c r="G2678" s="5" t="s">
        <v>37</v>
      </c>
      <c r="H2678" s="5" t="s">
        <v>38</v>
      </c>
      <c r="I2678" s="5" t="s">
        <v>18</v>
      </c>
      <c r="J2678" s="9" t="str">
        <f>IFERROR(__xludf.DUMMYFUNCTION("""COMPUTED_VALUE"""),"https://www.google.com/search?newwindow=1&amp;ei=2MT0XrvGGM-vytMP1OyDgAY&amp;q=site%3Alinkedin.com+Shea+Bastedo+Tech+University+Recruiter+Google")</f>
        <v>https://www.google.com/search?newwindow=1&amp;ei=2MT0XrvGGM-vytMP1OyDgAY&amp;q=site%3Alinkedin.com+Shea+Bastedo+Tech+University+Recruiter+Google</v>
      </c>
      <c r="K2678" s="5" t="str">
        <f t="shared" si="1"/>
        <v>Shea Bastedo</v>
      </c>
      <c r="L2678" s="5" t="str">
        <f t="shared" si="2"/>
        <v>Tech University Recruiter</v>
      </c>
      <c r="M2678" s="5" t="str">
        <f t="shared" si="3"/>
        <v> </v>
      </c>
      <c r="N2678" s="5" t="str">
        <f t="shared" si="4"/>
        <v>Google</v>
      </c>
      <c r="O2678" s="5" t="str">
        <f t="shared" si="5"/>
        <v>6 years 1 month in role and company</v>
      </c>
      <c r="P2678" s="5" t="str">
        <f t="shared" si="6"/>
        <v>Jersey City</v>
      </c>
      <c r="Q2678" s="5" t="str">
        <f t="shared" si="7"/>
        <v>New Jersey</v>
      </c>
      <c r="R2678" s="5" t="str">
        <f t="shared" si="8"/>
        <v>United States</v>
      </c>
    </row>
    <row r="2679">
      <c r="A2679" s="7" t="s">
        <v>1499</v>
      </c>
      <c r="B2679" s="5" t="s">
        <v>1498</v>
      </c>
      <c r="C2679" s="5" t="s">
        <v>766</v>
      </c>
      <c r="D2679" s="6" t="s">
        <v>13</v>
      </c>
      <c r="E2679" s="5" t="s">
        <v>1496</v>
      </c>
      <c r="F2679" s="5" t="s">
        <v>100</v>
      </c>
      <c r="G2679" s="5" t="s">
        <v>166</v>
      </c>
      <c r="H2679" s="5" t="s">
        <v>44</v>
      </c>
      <c r="I2679" s="5" t="s">
        <v>18</v>
      </c>
      <c r="J2679" s="9" t="str">
        <f>IFERROR(__xludf.DUMMYFUNCTION("""COMPUTED_VALUE"""),"https://www.google.com/search?newwindow=1&amp;ei=2MT0XrvGGM-vytMP1OyDgAY&amp;q=site%3Alinkedin.com+Jessica+Wickers+Program+Manager+Google")</f>
        <v>https://www.google.com/search?newwindow=1&amp;ei=2MT0XrvGGM-vytMP1OyDgAY&amp;q=site%3Alinkedin.com+Jessica+Wickers+Program+Manager+Google</v>
      </c>
      <c r="K2679" s="5" t="str">
        <f t="shared" si="1"/>
        <v>Jessica Wickers</v>
      </c>
      <c r="L2679" s="5" t="str">
        <f t="shared" si="2"/>
        <v>Program Manager</v>
      </c>
      <c r="M2679" s="5" t="str">
        <f t="shared" si="3"/>
        <v> </v>
      </c>
      <c r="N2679" s="5" t="str">
        <f t="shared" si="4"/>
        <v>Google</v>
      </c>
      <c r="O2679" s="5" t="str">
        <f t="shared" si="5"/>
        <v>1 year 5 months in role</v>
      </c>
      <c r="P2679" s="5" t="str">
        <f t="shared" si="6"/>
        <v>Kirkland</v>
      </c>
      <c r="Q2679" s="5" t="str">
        <f t="shared" si="7"/>
        <v>Washington</v>
      </c>
      <c r="R2679" s="5" t="str">
        <f t="shared" si="8"/>
        <v>United States</v>
      </c>
    </row>
    <row r="2680">
      <c r="A2680" s="7" t="s">
        <v>1502</v>
      </c>
      <c r="B2680" s="5" t="s">
        <v>1500</v>
      </c>
      <c r="C2680" s="5" t="s">
        <v>25</v>
      </c>
      <c r="D2680" s="6" t="s">
        <v>13</v>
      </c>
      <c r="E2680" s="5" t="s">
        <v>1501</v>
      </c>
      <c r="F2680" s="5" t="s">
        <v>68</v>
      </c>
      <c r="G2680" s="6" t="s">
        <v>377</v>
      </c>
      <c r="H2680" s="6" t="s">
        <v>378</v>
      </c>
      <c r="I2680" s="5" t="s">
        <v>18</v>
      </c>
      <c r="J2680" s="9" t="str">
        <f>IFERROR(__xludf.DUMMYFUNCTION("""COMPUTED_VALUE"""),"https://www.google.com/search?newwindow=1&amp;ei=2MT0XrvGGM-vytMP1OyDgAY&amp;q=site%3Alinkedin.com+Andrew+Purtle+Cloud+Recruiter+Google")</f>
        <v>https://www.google.com/search?newwindow=1&amp;ei=2MT0XrvGGM-vytMP1OyDgAY&amp;q=site%3Alinkedin.com+Andrew+Purtle+Cloud+Recruiter+Google</v>
      </c>
      <c r="K2680" s="5" t="str">
        <f t="shared" si="1"/>
        <v>Andrew Purtle</v>
      </c>
      <c r="L2680" s="5" t="str">
        <f t="shared" si="2"/>
        <v>Cloud Recruiter</v>
      </c>
      <c r="M2680" s="5" t="str">
        <f t="shared" si="3"/>
        <v> </v>
      </c>
      <c r="N2680" s="5" t="str">
        <f t="shared" si="4"/>
        <v>Google</v>
      </c>
      <c r="O2680" s="5" t="str">
        <f t="shared" si="5"/>
        <v>4 months in role</v>
      </c>
      <c r="P2680" s="5" t="str">
        <f t="shared" si="6"/>
        <v>Mountain View</v>
      </c>
      <c r="Q2680" s="5" t="str">
        <f t="shared" si="7"/>
        <v>California</v>
      </c>
      <c r="R2680" s="5" t="str">
        <f t="shared" si="8"/>
        <v>United States</v>
      </c>
    </row>
    <row r="2681">
      <c r="A2681" s="8" t="s">
        <v>1504</v>
      </c>
      <c r="B2681" s="5" t="s">
        <v>1503</v>
      </c>
      <c r="C2681" s="5" t="s">
        <v>404</v>
      </c>
      <c r="D2681" s="6" t="s">
        <v>13</v>
      </c>
      <c r="E2681" s="5" t="s">
        <v>1501</v>
      </c>
      <c r="F2681" s="5" t="s">
        <v>36</v>
      </c>
      <c r="G2681" s="5" t="s">
        <v>153</v>
      </c>
      <c r="H2681" s="5" t="s">
        <v>154</v>
      </c>
      <c r="I2681" s="5" t="s">
        <v>18</v>
      </c>
      <c r="J2681" s="9" t="str">
        <f>IFERROR(__xludf.DUMMYFUNCTION("""COMPUTED_VALUE"""),"https://www.google.com/search?newwindow=1&amp;ei=2MT0XrvGGM-vytMP1OyDgAY&amp;q=site%3Alinkedin.com+Padraic+Smith+Technical+University+Recruiter+Google")</f>
        <v>https://www.google.com/search?newwindow=1&amp;ei=2MT0XrvGGM-vytMP1OyDgAY&amp;q=site%3Alinkedin.com+Padraic+Smith+Technical+University+Recruiter+Google</v>
      </c>
      <c r="K2681" s="5" t="str">
        <f t="shared" si="1"/>
        <v>Padraic Smith</v>
      </c>
      <c r="L2681" s="5" t="str">
        <f t="shared" si="2"/>
        <v>Technical University Recruiter</v>
      </c>
      <c r="M2681" s="5" t="str">
        <f t="shared" si="3"/>
        <v> </v>
      </c>
      <c r="N2681" s="5" t="str">
        <f t="shared" si="4"/>
        <v>Google</v>
      </c>
      <c r="O2681" s="5" t="str">
        <f t="shared" si="5"/>
        <v>3 years 3 months in role and company</v>
      </c>
      <c r="P2681" s="5" t="str">
        <f t="shared" si="6"/>
        <v>Mountain View</v>
      </c>
      <c r="Q2681" s="5" t="str">
        <f t="shared" si="7"/>
        <v>California</v>
      </c>
      <c r="R2681" s="5" t="str">
        <f t="shared" si="8"/>
        <v>United States</v>
      </c>
    </row>
    <row r="2682">
      <c r="A2682" s="7" t="s">
        <v>1506</v>
      </c>
      <c r="B2682" s="5" t="s">
        <v>1505</v>
      </c>
      <c r="C2682" s="5" t="s">
        <v>404</v>
      </c>
      <c r="D2682" s="6" t="s">
        <v>13</v>
      </c>
      <c r="E2682" s="5" t="s">
        <v>1501</v>
      </c>
      <c r="F2682" s="5" t="s">
        <v>446</v>
      </c>
      <c r="G2682" s="5" t="s">
        <v>608</v>
      </c>
      <c r="H2682" s="5" t="s">
        <v>609</v>
      </c>
      <c r="I2682" s="5" t="s">
        <v>18</v>
      </c>
      <c r="J2682" s="9" t="str">
        <f>IFERROR(__xludf.DUMMYFUNCTION("""COMPUTED_VALUE"""),"https://www.google.com/search?newwindow=1&amp;ei=2MT0XrvGGM-vytMP1OyDgAY&amp;q=site%3Alinkedin.com+Jillian+Palmer+College+Recruiter+Google")</f>
        <v>https://www.google.com/search?newwindow=1&amp;ei=2MT0XrvGGM-vytMP1OyDgAY&amp;q=site%3Alinkedin.com+Jillian+Palmer+College+Recruiter+Google</v>
      </c>
      <c r="K2682" s="5" t="str">
        <f t="shared" si="1"/>
        <v>Jillian Palmer</v>
      </c>
      <c r="L2682" s="5" t="str">
        <f t="shared" si="2"/>
        <v>College Recruiter</v>
      </c>
      <c r="M2682" s="5" t="str">
        <f t="shared" si="3"/>
        <v> </v>
      </c>
      <c r="N2682" s="5" t="str">
        <f t="shared" si="4"/>
        <v>Google</v>
      </c>
      <c r="O2682" s="5" t="str">
        <f t="shared" si="5"/>
        <v>7 years 1 month in role and company</v>
      </c>
      <c r="P2682" s="5" t="str">
        <f t="shared" si="6"/>
        <v>Mountain View</v>
      </c>
      <c r="Q2682" s="5" t="str">
        <f t="shared" si="7"/>
        <v>California</v>
      </c>
      <c r="R2682" s="5" t="str">
        <f t="shared" si="8"/>
        <v>United States</v>
      </c>
    </row>
    <row r="2683">
      <c r="A2683" s="7" t="s">
        <v>1508</v>
      </c>
      <c r="B2683" s="5" t="s">
        <v>1507</v>
      </c>
      <c r="C2683" s="5" t="s">
        <v>25</v>
      </c>
      <c r="D2683" s="6" t="s">
        <v>13</v>
      </c>
      <c r="E2683" s="5" t="s">
        <v>1501</v>
      </c>
      <c r="G2683" s="5" t="s">
        <v>608</v>
      </c>
      <c r="H2683" s="5" t="s">
        <v>609</v>
      </c>
      <c r="I2683" s="5" t="s">
        <v>18</v>
      </c>
      <c r="J2683" s="9" t="str">
        <f>IFERROR(__xludf.DUMMYFUNCTION("""COMPUTED_VALUE"""),"https://www.google.com/search?newwindow=1&amp;ei=2MT0XrvGGM-vytMP1OyDgAY&amp;q=site%3Alinkedin.com+Karan+Bhargava+University+Program+Recruiting+Manager+Google")</f>
        <v>https://www.google.com/search?newwindow=1&amp;ei=2MT0XrvGGM-vytMP1OyDgAY&amp;q=site%3Alinkedin.com+Karan+Bhargava+University+Program+Recruiting+Manager+Google</v>
      </c>
      <c r="K2683" s="5" t="str">
        <f t="shared" si="1"/>
        <v>Karan Bhargava</v>
      </c>
      <c r="L2683" s="5" t="str">
        <f t="shared" si="2"/>
        <v>University Program Recruiting Manager</v>
      </c>
      <c r="M2683" s="5" t="str">
        <f t="shared" si="3"/>
        <v> </v>
      </c>
      <c r="N2683" s="5" t="str">
        <f t="shared" si="4"/>
        <v>Google</v>
      </c>
      <c r="O2683" s="5" t="str">
        <f t="shared" si="5"/>
        <v>2 years 9 months in role</v>
      </c>
      <c r="P2683" s="5" t="str">
        <f t="shared" si="6"/>
        <v>Mountain View</v>
      </c>
      <c r="Q2683" s="5" t="str">
        <f t="shared" si="7"/>
        <v>California</v>
      </c>
      <c r="R2683" s="5" t="str">
        <f t="shared" si="8"/>
        <v>United States</v>
      </c>
    </row>
    <row r="2684">
      <c r="A2684" s="7" t="s">
        <v>1512</v>
      </c>
      <c r="B2684" s="5" t="s">
        <v>1509</v>
      </c>
      <c r="C2684" s="5" t="s">
        <v>1510</v>
      </c>
      <c r="D2684" s="6" t="s">
        <v>13</v>
      </c>
      <c r="E2684" s="5" t="s">
        <v>1511</v>
      </c>
      <c r="F2684" s="5" t="s">
        <v>1089</v>
      </c>
      <c r="G2684" s="5" t="s">
        <v>166</v>
      </c>
      <c r="H2684" s="5" t="s">
        <v>44</v>
      </c>
      <c r="I2684" s="5" t="s">
        <v>18</v>
      </c>
      <c r="J2684" s="9" t="str">
        <f>IFERROR(__xludf.DUMMYFUNCTION("""COMPUTED_VALUE"""),"https://www.google.com/search?newwindow=1&amp;ei=2MT0XrvGGM-vytMP1OyDgAY&amp;q=site%3Alinkedin.com+Sidnie+Davis+Program+Manager+Google")</f>
        <v>https://www.google.com/search?newwindow=1&amp;ei=2MT0XrvGGM-vytMP1OyDgAY&amp;q=site%3Alinkedin.com+Sidnie+Davis+Program+Manager+Google</v>
      </c>
      <c r="K2684" s="5" t="str">
        <f t="shared" si="1"/>
        <v>Sidnie Davis</v>
      </c>
      <c r="L2684" s="5" t="str">
        <f t="shared" si="2"/>
        <v>Program Manager</v>
      </c>
      <c r="M2684" s="5" t="str">
        <f t="shared" si="3"/>
        <v> </v>
      </c>
      <c r="N2684" s="5" t="str">
        <f t="shared" si="4"/>
        <v>Google</v>
      </c>
      <c r="O2684" s="5" t="str">
        <f t="shared" si="5"/>
        <v>2 years 4 months in role</v>
      </c>
      <c r="P2684" s="5" t="str">
        <f t="shared" si="6"/>
        <v>Mountain View</v>
      </c>
      <c r="Q2684" s="5" t="str">
        <f t="shared" si="7"/>
        <v>California</v>
      </c>
      <c r="R2684" s="5" t="str">
        <f t="shared" si="8"/>
        <v>United States</v>
      </c>
    </row>
    <row r="2685">
      <c r="A2685" s="7" t="s">
        <v>1514</v>
      </c>
      <c r="B2685" s="5" t="s">
        <v>1513</v>
      </c>
      <c r="C2685" s="5" t="s">
        <v>110</v>
      </c>
      <c r="D2685" s="6" t="s">
        <v>13</v>
      </c>
      <c r="E2685" s="5" t="s">
        <v>1511</v>
      </c>
      <c r="F2685" s="5" t="s">
        <v>222</v>
      </c>
      <c r="G2685" s="5" t="s">
        <v>311</v>
      </c>
      <c r="H2685" s="5" t="s">
        <v>102</v>
      </c>
      <c r="I2685" s="5" t="s">
        <v>18</v>
      </c>
      <c r="J2685" s="9" t="str">
        <f>IFERROR(__xludf.DUMMYFUNCTION("""COMPUTED_VALUE"""),"https://www.google.com/search?newwindow=1&amp;ei=2MT0XrvGGM-vytMP1OyDgAY&amp;q=site%3Alinkedin.com+Amanda+Nowak+Technical+Recruiter+(University)+&amp;+Program+Manager+Google")</f>
        <v>https://www.google.com/search?newwindow=1&amp;ei=2MT0XrvGGM-vytMP1OyDgAY&amp;q=site%3Alinkedin.com+Amanda+Nowak+Technical+Recruiter+(University)+&amp;+Program+Manager+Google</v>
      </c>
      <c r="K2685" s="5" t="str">
        <f t="shared" si="1"/>
        <v>Amanda Nowak</v>
      </c>
      <c r="L2685" s="5" t="str">
        <f t="shared" si="2"/>
        <v>Technical Recruiter (University) &amp; Program Manager</v>
      </c>
      <c r="M2685" s="5" t="str">
        <f t="shared" si="3"/>
        <v> </v>
      </c>
      <c r="N2685" s="5" t="str">
        <f t="shared" si="4"/>
        <v>Google</v>
      </c>
      <c r="O2685" s="5" t="str">
        <f t="shared" si="5"/>
        <v>4 years 3 months in role and company</v>
      </c>
      <c r="P2685" s="5" t="str">
        <f t="shared" si="6"/>
        <v>Natick</v>
      </c>
      <c r="Q2685" s="5" t="str">
        <f t="shared" si="7"/>
        <v>Massachusetts</v>
      </c>
      <c r="R2685" s="5" t="str">
        <f t="shared" si="8"/>
        <v>United States</v>
      </c>
    </row>
    <row r="2686">
      <c r="A2686" s="7" t="s">
        <v>1518</v>
      </c>
      <c r="B2686" s="5" t="s">
        <v>1515</v>
      </c>
      <c r="C2686" s="5" t="s">
        <v>1516</v>
      </c>
      <c r="D2686" s="6" t="s">
        <v>13</v>
      </c>
      <c r="E2686" s="5" t="s">
        <v>1517</v>
      </c>
      <c r="F2686" s="5" t="s">
        <v>399</v>
      </c>
      <c r="G2686" s="5" t="s">
        <v>37</v>
      </c>
      <c r="H2686" s="5" t="s">
        <v>38</v>
      </c>
      <c r="I2686" s="5" t="s">
        <v>18</v>
      </c>
      <c r="J2686" s="9" t="str">
        <f>IFERROR(__xludf.DUMMYFUNCTION("""COMPUTED_VALUE"""),"https://www.google.com/search?newwindow=1&amp;ei=2MT0XrvGGM-vytMP1OyDgAY&amp;q=site%3Alinkedin.com+Isaac+Winkler+College+Recruiter+Google")</f>
        <v>https://www.google.com/search?newwindow=1&amp;ei=2MT0XrvGGM-vytMP1OyDgAY&amp;q=site%3Alinkedin.com+Isaac+Winkler+College+Recruiter+Google</v>
      </c>
      <c r="K2686" s="5" t="str">
        <f t="shared" si="1"/>
        <v>Isaac Winkler</v>
      </c>
      <c r="L2686" s="5" t="str">
        <f t="shared" si="2"/>
        <v>College Recruiter</v>
      </c>
      <c r="M2686" s="5" t="str">
        <f t="shared" si="3"/>
        <v> </v>
      </c>
      <c r="N2686" s="5" t="str">
        <f t="shared" si="4"/>
        <v>Google</v>
      </c>
      <c r="O2686" s="5" t="str">
        <f t="shared" si="5"/>
        <v>8 years 2 months in role and company</v>
      </c>
      <c r="P2686" s="5" t="str">
        <f t="shared" si="6"/>
        <v>New York</v>
      </c>
      <c r="Q2686" s="5" t="str">
        <f t="shared" si="7"/>
        <v>New York</v>
      </c>
      <c r="R2686" s="5" t="str">
        <f t="shared" si="8"/>
        <v>United States</v>
      </c>
    </row>
    <row r="2687">
      <c r="A2687" s="7" t="s">
        <v>1520</v>
      </c>
      <c r="B2687" s="5" t="s">
        <v>1519</v>
      </c>
      <c r="C2687" s="5" t="s">
        <v>1516</v>
      </c>
      <c r="D2687" s="6" t="s">
        <v>13</v>
      </c>
      <c r="E2687" s="5" t="s">
        <v>1517</v>
      </c>
      <c r="F2687" s="5" t="s">
        <v>63</v>
      </c>
      <c r="G2687" s="5" t="s">
        <v>37</v>
      </c>
      <c r="H2687" s="5" t="s">
        <v>38</v>
      </c>
      <c r="I2687" s="5" t="s">
        <v>18</v>
      </c>
      <c r="J2687" s="9" t="str">
        <f>IFERROR(__xludf.DUMMYFUNCTION("""COMPUTED_VALUE"""),"https://www.google.com/search?newwindow=1&amp;ei=2MT0XrvGGM-vytMP1OyDgAY&amp;q=site%3Alinkedin.com+Alexandra+Sarosy+University+Recruiter+Google")</f>
        <v>https://www.google.com/search?newwindow=1&amp;ei=2MT0XrvGGM-vytMP1OyDgAY&amp;q=site%3Alinkedin.com+Alexandra+Sarosy+University+Recruiter+Google</v>
      </c>
      <c r="K2687" s="5" t="str">
        <f t="shared" si="1"/>
        <v>Alexandra Sarosy</v>
      </c>
      <c r="L2687" s="5" t="str">
        <f t="shared" si="2"/>
        <v>University Recruiter</v>
      </c>
      <c r="M2687" s="5" t="str">
        <f t="shared" si="3"/>
        <v> </v>
      </c>
      <c r="N2687" s="5" t="str">
        <f t="shared" si="4"/>
        <v>Google</v>
      </c>
      <c r="O2687" s="5" t="str">
        <f t="shared" si="5"/>
        <v>2 years 11 months in role and company</v>
      </c>
      <c r="P2687" s="5" t="str">
        <f t="shared" si="6"/>
        <v>New York</v>
      </c>
      <c r="Q2687" s="5" t="str">
        <f t="shared" si="7"/>
        <v>New York</v>
      </c>
      <c r="R2687" s="5" t="str">
        <f t="shared" si="8"/>
        <v>United States</v>
      </c>
    </row>
    <row r="2688">
      <c r="A2688" s="8" t="s">
        <v>1523</v>
      </c>
      <c r="B2688" s="5" t="s">
        <v>1521</v>
      </c>
      <c r="C2688" s="5" t="s">
        <v>1522</v>
      </c>
      <c r="D2688" s="6" t="s">
        <v>13</v>
      </c>
      <c r="E2688" s="5" t="s">
        <v>1517</v>
      </c>
      <c r="F2688" s="5" t="s">
        <v>1089</v>
      </c>
      <c r="G2688" s="5" t="s">
        <v>311</v>
      </c>
      <c r="H2688" s="5" t="s">
        <v>102</v>
      </c>
      <c r="I2688" s="5" t="s">
        <v>18</v>
      </c>
      <c r="J2688" s="9" t="str">
        <f>IFERROR(__xludf.DUMMYFUNCTION("""COMPUTED_VALUE"""),"https://www.google.com/search?newwindow=1&amp;ei=2MT0XrvGGM-vytMP1OyDgAY&amp;q=site%3Alinkedin.com+Jenn+R.+Talent+Acquisition+Manager+(College+recruiter)+Google")</f>
        <v>https://www.google.com/search?newwindow=1&amp;ei=2MT0XrvGGM-vytMP1OyDgAY&amp;q=site%3Alinkedin.com+Jenn+R.+Talent+Acquisition+Manager+(College+recruiter)+Google</v>
      </c>
      <c r="K2688" s="5" t="str">
        <f t="shared" si="1"/>
        <v>Jenn R.</v>
      </c>
      <c r="L2688" s="5" t="str">
        <f t="shared" si="2"/>
        <v>Talent Acquisition Manager (College recruiter)</v>
      </c>
      <c r="M2688" s="5" t="str">
        <f t="shared" si="3"/>
        <v> </v>
      </c>
      <c r="N2688" s="5" t="str">
        <f t="shared" si="4"/>
        <v>Google</v>
      </c>
      <c r="O2688" s="5" t="str">
        <f t="shared" si="5"/>
        <v/>
      </c>
      <c r="P2688" s="5" t="str">
        <f t="shared" si="6"/>
        <v>New York</v>
      </c>
      <c r="Q2688" s="5" t="str">
        <f t="shared" si="7"/>
        <v>New York</v>
      </c>
      <c r="R2688" s="5" t="str">
        <f t="shared" si="8"/>
        <v>United States</v>
      </c>
    </row>
    <row r="2689">
      <c r="A2689" s="8" t="s">
        <v>1528</v>
      </c>
      <c r="B2689" s="5" t="s">
        <v>1524</v>
      </c>
      <c r="C2689" s="5" t="s">
        <v>1525</v>
      </c>
      <c r="D2689" s="6" t="s">
        <v>13</v>
      </c>
      <c r="E2689" s="5" t="s">
        <v>1526</v>
      </c>
      <c r="F2689" s="5" t="s">
        <v>1148</v>
      </c>
      <c r="G2689" s="5" t="s">
        <v>1527</v>
      </c>
      <c r="H2689" s="5" t="s">
        <v>945</v>
      </c>
      <c r="I2689" s="5" t="s">
        <v>18</v>
      </c>
      <c r="J2689" s="9" t="str">
        <f>IFERROR(__xludf.DUMMYFUNCTION("""COMPUTED_VALUE"""),"https://www.google.com/search?newwindow=1&amp;ei=2MT0XrvGGM-vytMP1OyDgAY&amp;q=site%3Alinkedin.com+Brittany+Perry+College+Recruiter+Google")</f>
        <v>https://www.google.com/search?newwindow=1&amp;ei=2MT0XrvGGM-vytMP1OyDgAY&amp;q=site%3Alinkedin.com+Brittany+Perry+College+Recruiter+Google</v>
      </c>
      <c r="K2689" s="5" t="str">
        <f t="shared" si="1"/>
        <v>Brittany Perry</v>
      </c>
      <c r="L2689" s="5" t="str">
        <f t="shared" si="2"/>
        <v>College Recruiter</v>
      </c>
      <c r="M2689" s="5" t="str">
        <f t="shared" si="3"/>
        <v> </v>
      </c>
      <c r="N2689" s="5" t="str">
        <f t="shared" si="4"/>
        <v>Google</v>
      </c>
      <c r="O2689" s="5" t="str">
        <f t="shared" si="5"/>
        <v>10 years 10 months in role and company</v>
      </c>
      <c r="P2689" s="5" t="str">
        <f t="shared" si="6"/>
        <v>Pittsburgh</v>
      </c>
      <c r="Q2689" s="5" t="str">
        <f t="shared" si="7"/>
        <v>Pennsylvania</v>
      </c>
      <c r="R2689" s="5" t="str">
        <f t="shared" si="8"/>
        <v>United States</v>
      </c>
    </row>
    <row r="2690">
      <c r="A2690" s="8" t="s">
        <v>1533</v>
      </c>
      <c r="B2690" s="5" t="s">
        <v>1529</v>
      </c>
      <c r="C2690" s="5" t="s">
        <v>1530</v>
      </c>
      <c r="D2690" s="6" t="s">
        <v>13</v>
      </c>
      <c r="E2690" s="5" t="s">
        <v>1526</v>
      </c>
      <c r="F2690" s="5" t="s">
        <v>1531</v>
      </c>
      <c r="G2690" s="5" t="s">
        <v>1532</v>
      </c>
      <c r="H2690" s="5" t="s">
        <v>945</v>
      </c>
      <c r="I2690" s="5" t="s">
        <v>18</v>
      </c>
      <c r="J2690" s="9" t="str">
        <f>IFERROR(__xludf.DUMMYFUNCTION("""COMPUTED_VALUE"""),"https://www.google.com/search?newwindow=1&amp;ei=2MT0XrvGGM-vytMP1OyDgAY&amp;q=site%3Alinkedin.com+Chantal+Penton+University+Technical+Recruiter+Google")</f>
        <v>https://www.google.com/search?newwindow=1&amp;ei=2MT0XrvGGM-vytMP1OyDgAY&amp;q=site%3Alinkedin.com+Chantal+Penton+University+Technical+Recruiter+Google</v>
      </c>
      <c r="K2690" s="5" t="str">
        <f t="shared" si="1"/>
        <v>Chantal Penton</v>
      </c>
      <c r="L2690" s="5" t="str">
        <f t="shared" si="2"/>
        <v>University Technical Recruiter</v>
      </c>
      <c r="M2690" s="5" t="str">
        <f t="shared" si="3"/>
        <v> </v>
      </c>
      <c r="N2690" s="5" t="str">
        <f t="shared" si="4"/>
        <v>Google</v>
      </c>
      <c r="O2690" s="5" t="str">
        <f t="shared" si="5"/>
        <v>1 year 4 months in role</v>
      </c>
      <c r="P2690" s="5" t="str">
        <f t="shared" si="6"/>
        <v>Redmond</v>
      </c>
      <c r="Q2690" s="5" t="str">
        <f t="shared" si="7"/>
        <v>Washington</v>
      </c>
      <c r="R2690" s="5" t="str">
        <f t="shared" si="8"/>
        <v>United States</v>
      </c>
    </row>
    <row r="2691">
      <c r="A2691" s="7" t="s">
        <v>1535</v>
      </c>
      <c r="B2691" s="5" t="s">
        <v>1534</v>
      </c>
      <c r="C2691" s="5" t="s">
        <v>25</v>
      </c>
      <c r="D2691" s="6" t="s">
        <v>13</v>
      </c>
      <c r="E2691" s="5" t="s">
        <v>1526</v>
      </c>
      <c r="F2691" s="5" t="s">
        <v>268</v>
      </c>
      <c r="G2691" s="5" t="s">
        <v>1527</v>
      </c>
      <c r="H2691" s="5" t="s">
        <v>945</v>
      </c>
      <c r="I2691" s="5" t="s">
        <v>18</v>
      </c>
      <c r="J2691" s="9" t="str">
        <f>IFERROR(__xludf.DUMMYFUNCTION("""COMPUTED_VALUE"""),"https://www.google.com/search?newwindow=1&amp;ei=2MT0XrvGGM-vytMP1OyDgAY&amp;q=site%3Alinkedin.com+Sarah+Peck+University+Recruiter,+Tech+Google")</f>
        <v>https://www.google.com/search?newwindow=1&amp;ei=2MT0XrvGGM-vytMP1OyDgAY&amp;q=site%3Alinkedin.com+Sarah+Peck+University+Recruiter,+Tech+Google</v>
      </c>
      <c r="K2691" s="5" t="str">
        <f t="shared" si="1"/>
        <v>Sarah Peck</v>
      </c>
      <c r="L2691" s="5" t="str">
        <f t="shared" si="2"/>
        <v>University Recruiter, Tech</v>
      </c>
      <c r="M2691" s="5" t="str">
        <f t="shared" si="3"/>
        <v> </v>
      </c>
      <c r="N2691" s="5" t="str">
        <f t="shared" si="4"/>
        <v>Google</v>
      </c>
      <c r="O2691" s="5" t="str">
        <f t="shared" si="5"/>
        <v>2 years 2 months in role and company</v>
      </c>
      <c r="P2691" s="5" t="str">
        <f t="shared" si="6"/>
        <v>San Francisco</v>
      </c>
      <c r="Q2691" s="5" t="str">
        <f t="shared" si="7"/>
        <v>California</v>
      </c>
      <c r="R2691" s="5" t="str">
        <f t="shared" si="8"/>
        <v>United States</v>
      </c>
    </row>
    <row r="2692">
      <c r="A2692" s="7" t="s">
        <v>1539</v>
      </c>
      <c r="B2692" s="5" t="s">
        <v>1536</v>
      </c>
      <c r="C2692" s="5" t="s">
        <v>1537</v>
      </c>
      <c r="D2692" s="6" t="s">
        <v>13</v>
      </c>
      <c r="E2692" s="5" t="s">
        <v>1526</v>
      </c>
      <c r="F2692" s="5" t="s">
        <v>1538</v>
      </c>
      <c r="G2692" s="5" t="s">
        <v>1527</v>
      </c>
      <c r="H2692" s="5" t="s">
        <v>945</v>
      </c>
      <c r="I2692" s="5" t="s">
        <v>18</v>
      </c>
      <c r="J2692" s="9" t="str">
        <f>IFERROR(__xludf.DUMMYFUNCTION("""COMPUTED_VALUE"""),"https://www.google.com/search?newwindow=1&amp;ei=2MT0XrvGGM-vytMP1OyDgAY&amp;q=site%3Alinkedin.com+Gabe+Espinosa+Technical+University+Recruiter+&amp;+Project+Manager+-+NA+Google")</f>
        <v>https://www.google.com/search?newwindow=1&amp;ei=2MT0XrvGGM-vytMP1OyDgAY&amp;q=site%3Alinkedin.com+Gabe+Espinosa+Technical+University+Recruiter+&amp;+Project+Manager+-+NA+Google</v>
      </c>
      <c r="K2692" s="5" t="str">
        <f t="shared" si="1"/>
        <v>Gabe Espinosa</v>
      </c>
      <c r="L2692" s="5" t="str">
        <f t="shared" si="2"/>
        <v>Technical University Recruiter &amp; Project Manager - NA</v>
      </c>
      <c r="M2692" s="5" t="str">
        <f t="shared" si="3"/>
        <v> </v>
      </c>
      <c r="N2692" s="5" t="str">
        <f t="shared" si="4"/>
        <v>Google</v>
      </c>
      <c r="O2692" s="5" t="str">
        <f t="shared" si="5"/>
        <v>2 years 2 months in role and company</v>
      </c>
      <c r="P2692" s="5" t="str">
        <f t="shared" si="6"/>
        <v>San Francisco</v>
      </c>
      <c r="Q2692" s="5" t="str">
        <f t="shared" si="7"/>
        <v>California</v>
      </c>
      <c r="R2692" s="5" t="str">
        <f t="shared" si="8"/>
        <v>United States</v>
      </c>
    </row>
    <row r="2693">
      <c r="A2693" s="7" t="s">
        <v>1542</v>
      </c>
      <c r="B2693" s="5" t="s">
        <v>1540</v>
      </c>
      <c r="C2693" s="5" t="s">
        <v>1541</v>
      </c>
      <c r="D2693" s="6" t="s">
        <v>13</v>
      </c>
      <c r="E2693" s="5" t="s">
        <v>1526</v>
      </c>
      <c r="F2693" s="5" t="s">
        <v>1300</v>
      </c>
      <c r="G2693" s="5" t="s">
        <v>1527</v>
      </c>
      <c r="H2693" s="5" t="s">
        <v>945</v>
      </c>
      <c r="I2693" s="5" t="s">
        <v>18</v>
      </c>
      <c r="J2693" s="9" t="str">
        <f>IFERROR(__xludf.DUMMYFUNCTION("""COMPUTED_VALUE"""),"https://www.google.com/search?newwindow=1&amp;ei=2MT0XrvGGM-vytMP1OyDgAY&amp;q=site%3Alinkedin.com+Lindsey+Stewart+Americas+Recruiting+Manager+(Campus+and+Entry-level)+Google")</f>
        <v>https://www.google.com/search?newwindow=1&amp;ei=2MT0XrvGGM-vytMP1OyDgAY&amp;q=site%3Alinkedin.com+Lindsey+Stewart+Americas+Recruiting+Manager+(Campus+and+Entry-level)+Google</v>
      </c>
      <c r="K2693" s="5" t="str">
        <f t="shared" si="1"/>
        <v>Lindsey Stewart</v>
      </c>
      <c r="L2693" s="5" t="str">
        <f t="shared" si="2"/>
        <v>Americas Recruiting Manager (Campus and Entry-level)</v>
      </c>
      <c r="M2693" s="5" t="str">
        <f t="shared" si="3"/>
        <v> </v>
      </c>
      <c r="N2693" s="5" t="str">
        <f t="shared" si="4"/>
        <v>Google</v>
      </c>
      <c r="O2693" s="5" t="str">
        <f t="shared" si="5"/>
        <v>10 years 5 months in role and company</v>
      </c>
      <c r="P2693" s="5" t="str">
        <f t="shared" si="6"/>
        <v>San Francisco</v>
      </c>
      <c r="Q2693" s="5" t="str">
        <f t="shared" si="7"/>
        <v>California</v>
      </c>
      <c r="R2693" s="5" t="str">
        <f t="shared" si="8"/>
        <v>United States</v>
      </c>
    </row>
    <row r="2694">
      <c r="A2694" s="8" t="s">
        <v>1545</v>
      </c>
      <c r="B2694" s="5" t="s">
        <v>1543</v>
      </c>
      <c r="C2694" s="5" t="s">
        <v>1544</v>
      </c>
      <c r="D2694" s="6" t="s">
        <v>13</v>
      </c>
      <c r="E2694" s="5" t="s">
        <v>1526</v>
      </c>
      <c r="F2694" s="5" t="s">
        <v>63</v>
      </c>
      <c r="G2694" s="5" t="s">
        <v>1527</v>
      </c>
      <c r="H2694" s="5" t="s">
        <v>945</v>
      </c>
      <c r="I2694" s="5" t="s">
        <v>18</v>
      </c>
      <c r="J2694" s="9" t="str">
        <f>IFERROR(__xludf.DUMMYFUNCTION("""COMPUTED_VALUE"""),"https://www.google.com/search?newwindow=1&amp;ei=2MT0XrvGGM-vytMP1OyDgAY&amp;q=site%3Alinkedin.com+Alison+Johnston+College+Intern+Recruiter+Google")</f>
        <v>https://www.google.com/search?newwindow=1&amp;ei=2MT0XrvGGM-vytMP1OyDgAY&amp;q=site%3Alinkedin.com+Alison+Johnston+College+Intern+Recruiter+Google</v>
      </c>
      <c r="K2694" s="5" t="str">
        <f t="shared" si="1"/>
        <v>Alison Johnston</v>
      </c>
      <c r="L2694" s="5" t="str">
        <f t="shared" si="2"/>
        <v>College Intern Recruiter</v>
      </c>
      <c r="M2694" s="5" t="str">
        <f t="shared" si="3"/>
        <v> </v>
      </c>
      <c r="N2694" s="5" t="str">
        <f t="shared" si="4"/>
        <v>Google</v>
      </c>
      <c r="O2694" s="5" t="str">
        <f t="shared" si="5"/>
        <v>5 years 3 months in role and company</v>
      </c>
      <c r="P2694" s="5" t="str">
        <f t="shared" si="6"/>
        <v>San Francisco</v>
      </c>
      <c r="Q2694" s="5" t="str">
        <f t="shared" si="7"/>
        <v>California</v>
      </c>
      <c r="R2694" s="5" t="str">
        <f t="shared" si="8"/>
        <v>United States</v>
      </c>
    </row>
    <row r="2695">
      <c r="A2695" s="8" t="s">
        <v>1548</v>
      </c>
      <c r="B2695" s="5" t="s">
        <v>1546</v>
      </c>
      <c r="C2695" s="5" t="s">
        <v>1547</v>
      </c>
      <c r="D2695" s="6" t="s">
        <v>13</v>
      </c>
      <c r="E2695" s="5" t="s">
        <v>1526</v>
      </c>
      <c r="F2695" s="5" t="s">
        <v>418</v>
      </c>
      <c r="G2695" s="5" t="s">
        <v>1527</v>
      </c>
      <c r="H2695" s="5" t="s">
        <v>945</v>
      </c>
      <c r="I2695" s="5" t="s">
        <v>18</v>
      </c>
      <c r="J2695" s="9" t="str">
        <f>IFERROR(__xludf.DUMMYFUNCTION("""COMPUTED_VALUE"""),"https://www.google.com/search?newwindow=1&amp;ei=2MT0XrvGGM-vytMP1OyDgAY&amp;q=site%3Alinkedin.com+Amber+Howe-McCarty+Campus+Recruiter+Google")</f>
        <v>https://www.google.com/search?newwindow=1&amp;ei=2MT0XrvGGM-vytMP1OyDgAY&amp;q=site%3Alinkedin.com+Amber+Howe-McCarty+Campus+Recruiter+Google</v>
      </c>
      <c r="K2695" s="5" t="str">
        <f t="shared" si="1"/>
        <v>Amber Howe-McCarty</v>
      </c>
      <c r="L2695" s="5" t="str">
        <f t="shared" si="2"/>
        <v>Campus Recruiter</v>
      </c>
      <c r="M2695" s="5" t="str">
        <f t="shared" si="3"/>
        <v> </v>
      </c>
      <c r="N2695" s="5" t="str">
        <f t="shared" si="4"/>
        <v>Google</v>
      </c>
      <c r="O2695" s="5" t="str">
        <f t="shared" si="5"/>
        <v/>
      </c>
      <c r="P2695" s="5" t="str">
        <f t="shared" si="6"/>
        <v>San Francisco</v>
      </c>
      <c r="Q2695" s="5" t="str">
        <f t="shared" si="7"/>
        <v>California</v>
      </c>
      <c r="R2695" s="5" t="str">
        <f t="shared" si="8"/>
        <v>United States</v>
      </c>
    </row>
    <row r="2696">
      <c r="A2696" s="7" t="s">
        <v>1551</v>
      </c>
      <c r="B2696" s="5" t="s">
        <v>1549</v>
      </c>
      <c r="C2696" s="5" t="s">
        <v>1550</v>
      </c>
      <c r="D2696" s="6" t="s">
        <v>13</v>
      </c>
      <c r="E2696" s="5" t="s">
        <v>1526</v>
      </c>
      <c r="F2696" s="5" t="s">
        <v>26</v>
      </c>
      <c r="G2696" s="5" t="s">
        <v>1527</v>
      </c>
      <c r="H2696" s="5" t="s">
        <v>945</v>
      </c>
      <c r="I2696" s="5" t="s">
        <v>18</v>
      </c>
      <c r="J2696" s="9" t="str">
        <f>IFERROR(__xludf.DUMMYFUNCTION("""COMPUTED_VALUE"""),"https://www.google.com/search?newwindow=1&amp;ei=2MT0XrvGGM-vytMP1OyDgAY&amp;q=site%3Alinkedin.com+Ashley+Leonard+University+Tech+Recruiter+Google")</f>
        <v>https://www.google.com/search?newwindow=1&amp;ei=2MT0XrvGGM-vytMP1OyDgAY&amp;q=site%3Alinkedin.com+Ashley+Leonard+University+Tech+Recruiter+Google</v>
      </c>
      <c r="K2696" s="5" t="str">
        <f t="shared" si="1"/>
        <v>Ashley Leonard</v>
      </c>
      <c r="L2696" s="5" t="str">
        <f t="shared" si="2"/>
        <v>University Tech Recruiter</v>
      </c>
      <c r="M2696" s="5" t="str">
        <f t="shared" si="3"/>
        <v> </v>
      </c>
      <c r="N2696" s="5" t="str">
        <f t="shared" si="4"/>
        <v>Google</v>
      </c>
      <c r="O2696" s="5" t="str">
        <f t="shared" si="5"/>
        <v>1 year 4 months in role and company</v>
      </c>
      <c r="P2696" s="5" t="str">
        <f t="shared" si="6"/>
        <v>San Francisco</v>
      </c>
      <c r="Q2696" s="5" t="str">
        <f t="shared" si="7"/>
        <v>California</v>
      </c>
      <c r="R2696" s="5" t="str">
        <f t="shared" si="8"/>
        <v>United States</v>
      </c>
    </row>
    <row r="2697">
      <c r="A2697" s="8" t="s">
        <v>1554</v>
      </c>
      <c r="B2697" s="5" t="s">
        <v>1552</v>
      </c>
      <c r="C2697" s="5" t="s">
        <v>1553</v>
      </c>
      <c r="D2697" s="6" t="s">
        <v>13</v>
      </c>
      <c r="E2697" s="5" t="s">
        <v>1526</v>
      </c>
      <c r="F2697" s="5" t="s">
        <v>144</v>
      </c>
      <c r="G2697" s="5" t="s">
        <v>388</v>
      </c>
      <c r="H2697" s="5" t="s">
        <v>203</v>
      </c>
      <c r="I2697" s="5" t="s">
        <v>18</v>
      </c>
      <c r="J2697" s="9" t="str">
        <f>IFERROR(__xludf.DUMMYFUNCTION("""COMPUTED_VALUE"""),"https://www.google.com/search?newwindow=1&amp;ei=2MT0XrvGGM-vytMP1OyDgAY&amp;q=site%3Alinkedin.com+Noël+Elgamal+University+Recruiter+Google")</f>
        <v>https://www.google.com/search?newwindow=1&amp;ei=2MT0XrvGGM-vytMP1OyDgAY&amp;q=site%3Alinkedin.com+Noël+Elgamal+University+Recruiter+Google</v>
      </c>
      <c r="K2697" s="5" t="str">
        <f t="shared" si="1"/>
        <v>Noël Elgamal</v>
      </c>
      <c r="L2697" s="5" t="str">
        <f t="shared" si="2"/>
        <v>University Recruiter</v>
      </c>
      <c r="M2697" s="5" t="str">
        <f t="shared" si="3"/>
        <v> </v>
      </c>
      <c r="N2697" s="5" t="str">
        <f t="shared" si="4"/>
        <v>Google</v>
      </c>
      <c r="O2697" s="5" t="str">
        <f t="shared" si="5"/>
        <v>2 years 9 months in role and company</v>
      </c>
      <c r="P2697" s="5" t="str">
        <f t="shared" si="6"/>
        <v>San Francisco</v>
      </c>
      <c r="Q2697" s="5" t="str">
        <f t="shared" si="7"/>
        <v>California</v>
      </c>
      <c r="R2697" s="5" t="str">
        <f t="shared" si="8"/>
        <v>United States</v>
      </c>
    </row>
    <row r="2698">
      <c r="A2698" s="7" t="s">
        <v>1557</v>
      </c>
      <c r="B2698" s="5" t="s">
        <v>1555</v>
      </c>
      <c r="C2698" s="5" t="s">
        <v>25</v>
      </c>
      <c r="D2698" s="6" t="s">
        <v>13</v>
      </c>
      <c r="E2698" s="5" t="s">
        <v>1526</v>
      </c>
      <c r="F2698" s="5" t="s">
        <v>496</v>
      </c>
      <c r="G2698" s="5" t="s">
        <v>1556</v>
      </c>
      <c r="H2698" s="5" t="s">
        <v>76</v>
      </c>
      <c r="I2698" s="5" t="s">
        <v>18</v>
      </c>
      <c r="J2698" s="9" t="str">
        <f>IFERROR(__xludf.DUMMYFUNCTION("""COMPUTED_VALUE"""),"https://www.google.com/search?newwindow=1&amp;ei=2MT0XrvGGM-vytMP1OyDgAY&amp;q=site%3Alinkedin.com+Carol+Tsuchiya+College+Recruiter+-+Engineering/Product+Area+Liaison+Google")</f>
        <v>https://www.google.com/search?newwindow=1&amp;ei=2MT0XrvGGM-vytMP1OyDgAY&amp;q=site%3Alinkedin.com+Carol+Tsuchiya+College+Recruiter+-+Engineering/Product+Area+Liaison+Google</v>
      </c>
      <c r="K2698" s="5" t="str">
        <f t="shared" si="1"/>
        <v>Carol Tsuchiya</v>
      </c>
      <c r="L2698" s="5" t="str">
        <f t="shared" si="2"/>
        <v>College Recruiter - Engineering/Product Area Liaison</v>
      </c>
      <c r="M2698" s="5" t="str">
        <f t="shared" si="3"/>
        <v> </v>
      </c>
      <c r="N2698" s="5" t="str">
        <f t="shared" si="4"/>
        <v>Google</v>
      </c>
      <c r="O2698" s="5" t="str">
        <f t="shared" si="5"/>
        <v>5 years  in role</v>
      </c>
      <c r="P2698" s="5" t="str">
        <f t="shared" si="6"/>
        <v>San Jose</v>
      </c>
      <c r="Q2698" s="5" t="str">
        <f t="shared" si="7"/>
        <v>California</v>
      </c>
      <c r="R2698" s="5" t="str">
        <f t="shared" si="8"/>
        <v>United States</v>
      </c>
    </row>
    <row r="2699">
      <c r="A2699" s="7" t="s">
        <v>1562</v>
      </c>
      <c r="B2699" s="5" t="s">
        <v>1558</v>
      </c>
      <c r="C2699" s="5" t="s">
        <v>1559</v>
      </c>
      <c r="D2699" s="6" t="s">
        <v>13</v>
      </c>
      <c r="E2699" s="5" t="s">
        <v>1560</v>
      </c>
      <c r="F2699" s="5" t="s">
        <v>1561</v>
      </c>
      <c r="G2699" s="5" t="s">
        <v>16</v>
      </c>
      <c r="H2699" s="5" t="s">
        <v>17</v>
      </c>
      <c r="I2699" s="5" t="s">
        <v>18</v>
      </c>
      <c r="J2699" s="9" t="str">
        <f>IFERROR(__xludf.DUMMYFUNCTION("""COMPUTED_VALUE"""),"https://www.google.com/search?newwindow=1&amp;ei=2MT0XrvGGM-vytMP1OyDgAY&amp;q=site%3Alinkedin.com+Selma+Handzar+Recruiter,+University+Programs+Google")</f>
        <v>https://www.google.com/search?newwindow=1&amp;ei=2MT0XrvGGM-vytMP1OyDgAY&amp;q=site%3Alinkedin.com+Selma+Handzar+Recruiter,+University+Programs+Google</v>
      </c>
      <c r="K2699" s="5" t="str">
        <f t="shared" si="1"/>
        <v>Selma Handzar</v>
      </c>
      <c r="L2699" s="5" t="str">
        <f t="shared" si="2"/>
        <v>Recruiter, University Programs</v>
      </c>
      <c r="M2699" s="5" t="str">
        <f t="shared" si="3"/>
        <v> </v>
      </c>
      <c r="N2699" s="5" t="str">
        <f t="shared" si="4"/>
        <v>Google</v>
      </c>
      <c r="O2699" s="5" t="str">
        <f t="shared" si="5"/>
        <v>10 years 5 months in role and company</v>
      </c>
      <c r="P2699" s="5" t="str">
        <f t="shared" si="6"/>
        <v>San Jose</v>
      </c>
      <c r="Q2699" s="5" t="str">
        <f t="shared" si="7"/>
        <v>California</v>
      </c>
      <c r="R2699" s="5" t="str">
        <f t="shared" si="8"/>
        <v>United States</v>
      </c>
    </row>
    <row r="2700">
      <c r="A2700" s="7" t="s">
        <v>1565</v>
      </c>
      <c r="B2700" s="5" t="s">
        <v>1563</v>
      </c>
      <c r="C2700" s="5" t="s">
        <v>25</v>
      </c>
      <c r="D2700" s="6" t="s">
        <v>13</v>
      </c>
      <c r="E2700" s="5" t="s">
        <v>1560</v>
      </c>
      <c r="F2700" s="5" t="s">
        <v>1564</v>
      </c>
      <c r="G2700" s="5" t="s">
        <v>377</v>
      </c>
      <c r="H2700" s="5" t="s">
        <v>378</v>
      </c>
      <c r="I2700" s="5" t="s">
        <v>18</v>
      </c>
      <c r="J2700" s="9" t="str">
        <f>IFERROR(__xludf.DUMMYFUNCTION("""COMPUTED_VALUE"""),"https://www.google.com/search?newwindow=1&amp;ei=2MT0XrvGGM-vytMP1OyDgAY&amp;q=site%3Alinkedin.com+Haylee+Gani+Recruiter,+Engineering+Leadership+Google")</f>
        <v>https://www.google.com/search?newwindow=1&amp;ei=2MT0XrvGGM-vytMP1OyDgAY&amp;q=site%3Alinkedin.com+Haylee+Gani+Recruiter,+Engineering+Leadership+Google</v>
      </c>
      <c r="K2700" s="5" t="str">
        <f t="shared" si="1"/>
        <v>Haylee Gani</v>
      </c>
      <c r="L2700" s="5" t="str">
        <f t="shared" si="2"/>
        <v>Recruiter, Engineering Leadership</v>
      </c>
      <c r="M2700" s="5" t="str">
        <f t="shared" si="3"/>
        <v> </v>
      </c>
      <c r="N2700" s="5" t="str">
        <f t="shared" si="4"/>
        <v>Google</v>
      </c>
      <c r="O2700" s="5" t="str">
        <f t="shared" si="5"/>
        <v>1 year 9 months in role</v>
      </c>
      <c r="P2700" s="5" t="str">
        <f t="shared" si="6"/>
        <v>Seattle</v>
      </c>
      <c r="Q2700" s="5" t="str">
        <f t="shared" si="7"/>
        <v>Washington</v>
      </c>
      <c r="R2700" s="5" t="str">
        <f t="shared" si="8"/>
        <v>United States</v>
      </c>
    </row>
    <row r="2701">
      <c r="A2701" s="7" t="s">
        <v>1568</v>
      </c>
      <c r="B2701" s="5" t="s">
        <v>1566</v>
      </c>
      <c r="C2701" s="5" t="s">
        <v>1567</v>
      </c>
      <c r="D2701" s="6" t="s">
        <v>13</v>
      </c>
      <c r="E2701" s="5" t="s">
        <v>1560</v>
      </c>
      <c r="F2701" s="5" t="s">
        <v>100</v>
      </c>
      <c r="G2701" s="6" t="s">
        <v>377</v>
      </c>
      <c r="H2701" s="6" t="s">
        <v>378</v>
      </c>
      <c r="I2701" s="5" t="s">
        <v>18</v>
      </c>
      <c r="J2701" s="9" t="str">
        <f>IFERROR(__xludf.DUMMYFUNCTION("""COMPUTED_VALUE"""),"https://www.google.com/search?newwindow=1&amp;ei=2MT0XrvGGM-vytMP1OyDgAY&amp;q=site%3Alinkedin.com+Lauran+Woodward+University+Recruiter+Google")</f>
        <v>https://www.google.com/search?newwindow=1&amp;ei=2MT0XrvGGM-vytMP1OyDgAY&amp;q=site%3Alinkedin.com+Lauran+Woodward+University+Recruiter+Google</v>
      </c>
      <c r="K2701" s="5" t="str">
        <f t="shared" si="1"/>
        <v>Lauran Woodward</v>
      </c>
      <c r="L2701" s="5" t="str">
        <f t="shared" si="2"/>
        <v>University Recruiter</v>
      </c>
      <c r="M2701" s="5" t="str">
        <f t="shared" si="3"/>
        <v> </v>
      </c>
      <c r="N2701" s="5" t="str">
        <f t="shared" si="4"/>
        <v>Google</v>
      </c>
      <c r="O2701" s="5" t="str">
        <f t="shared" si="5"/>
        <v>6 years  in role and company</v>
      </c>
      <c r="P2701" s="5" t="str">
        <f t="shared" si="6"/>
        <v>Seattle</v>
      </c>
      <c r="Q2701" s="5" t="str">
        <f t="shared" si="7"/>
        <v>Washington</v>
      </c>
      <c r="R2701" s="5" t="str">
        <f t="shared" si="8"/>
        <v>United States</v>
      </c>
    </row>
    <row r="2702">
      <c r="A2702" s="7" t="s">
        <v>1571</v>
      </c>
      <c r="B2702" s="5" t="s">
        <v>1569</v>
      </c>
      <c r="C2702" s="5" t="s">
        <v>1128</v>
      </c>
      <c r="D2702" s="6" t="s">
        <v>13</v>
      </c>
      <c r="E2702" s="5" t="s">
        <v>1560</v>
      </c>
      <c r="F2702" s="5" t="s">
        <v>1570</v>
      </c>
      <c r="G2702" s="5" t="s">
        <v>703</v>
      </c>
      <c r="H2702" s="5" t="s">
        <v>137</v>
      </c>
      <c r="I2702" s="5" t="s">
        <v>18</v>
      </c>
      <c r="J2702" s="9" t="str">
        <f>IFERROR(__xludf.DUMMYFUNCTION("""COMPUTED_VALUE"""),"https://www.google.com/search?newwindow=1&amp;ei=2MT0XrvGGM-vytMP1OyDgAY&amp;q=site%3Alinkedin.com+Aiminh+Phan+University+Recruiter+Google")</f>
        <v>https://www.google.com/search?newwindow=1&amp;ei=2MT0XrvGGM-vytMP1OyDgAY&amp;q=site%3Alinkedin.com+Aiminh+Phan+University+Recruiter+Google</v>
      </c>
      <c r="K2702" s="5" t="str">
        <f t="shared" si="1"/>
        <v>Aiminh Phan</v>
      </c>
      <c r="L2702" s="5" t="str">
        <f t="shared" si="2"/>
        <v>University Recruiter</v>
      </c>
      <c r="M2702" s="5" t="str">
        <f t="shared" si="3"/>
        <v> </v>
      </c>
      <c r="N2702" s="5" t="str">
        <f t="shared" si="4"/>
        <v>Google</v>
      </c>
      <c r="O2702" s="5" t="str">
        <f t="shared" si="5"/>
        <v>2 years 7 months in role and company</v>
      </c>
      <c r="P2702" s="5" t="str">
        <f t="shared" si="6"/>
        <v>Sunnyvale</v>
      </c>
      <c r="Q2702" s="5" t="str">
        <f t="shared" si="7"/>
        <v>California</v>
      </c>
      <c r="R2702" s="5" t="str">
        <f t="shared" si="8"/>
        <v>United States</v>
      </c>
    </row>
    <row r="2703">
      <c r="A2703" s="7" t="s">
        <v>1574</v>
      </c>
      <c r="B2703" s="5" t="s">
        <v>1572</v>
      </c>
      <c r="C2703" s="5" t="s">
        <v>1573</v>
      </c>
      <c r="D2703" s="6" t="s">
        <v>13</v>
      </c>
      <c r="E2703" s="5" t="s">
        <v>1560</v>
      </c>
      <c r="G2703" s="5" t="s">
        <v>703</v>
      </c>
      <c r="H2703" s="5" t="s">
        <v>137</v>
      </c>
      <c r="I2703" s="5" t="s">
        <v>18</v>
      </c>
      <c r="J2703" s="9" t="str">
        <f>IFERROR(__xludf.DUMMYFUNCTION("""COMPUTED_VALUE"""),"https://www.google.com/search?newwindow=1&amp;ei=2MT0XrvGGM-vytMP1OyDgAY&amp;q=site%3Alinkedin.com+Brittany+Matta+University+Recruiter+-+Research+(AI+Residency+Program+and+PhD)+-+Via+Nelson+Staffing+Google")</f>
        <v>https://www.google.com/search?newwindow=1&amp;ei=2MT0XrvGGM-vytMP1OyDgAY&amp;q=site%3Alinkedin.com+Brittany+Matta+University+Recruiter+-+Research+(AI+Residency+Program+and+PhD)+-+Via+Nelson+Staffing+Google</v>
      </c>
      <c r="K2703" s="5" t="str">
        <f t="shared" si="1"/>
        <v>Brittany Matta</v>
      </c>
      <c r="L2703" s="5" t="str">
        <f t="shared" si="2"/>
        <v>University Recruiter - Research (AI Residency Program and PhD) - Via Nelson Staffing</v>
      </c>
      <c r="M2703" s="5" t="str">
        <f t="shared" si="3"/>
        <v> </v>
      </c>
      <c r="N2703" s="5" t="str">
        <f t="shared" si="4"/>
        <v>Google</v>
      </c>
      <c r="O2703" s="5" t="str">
        <f t="shared" si="5"/>
        <v>1 year 2 months in role and company</v>
      </c>
      <c r="P2703" s="5" t="str">
        <f t="shared" si="6"/>
        <v>Sunnyvale</v>
      </c>
      <c r="Q2703" s="5" t="str">
        <f t="shared" si="7"/>
        <v>California</v>
      </c>
      <c r="R2703" s="5" t="str">
        <f t="shared" si="8"/>
        <v>United States</v>
      </c>
    </row>
    <row r="2704">
      <c r="A2704" s="7" t="s">
        <v>1576</v>
      </c>
      <c r="B2704" s="5" t="s">
        <v>1575</v>
      </c>
      <c r="C2704" s="5" t="s">
        <v>25</v>
      </c>
      <c r="D2704" s="6" t="s">
        <v>13</v>
      </c>
      <c r="E2704" s="5" t="s">
        <v>1560</v>
      </c>
      <c r="G2704" s="6" t="s">
        <v>64</v>
      </c>
      <c r="H2704" s="6" t="s">
        <v>65</v>
      </c>
      <c r="I2704" s="5" t="s">
        <v>18</v>
      </c>
      <c r="J2704" s="9" t="str">
        <f>IFERROR(__xludf.DUMMYFUNCTION("""COMPUTED_VALUE"""),"https://www.google.com/search?newwindow=1&amp;ei=2MT0XrvGGM-vytMP1OyDgAY&amp;q=site%3Alinkedin.com+Ashley+Carmichael+University+Recruiter+Google+via+Artech+Information+Systems")</f>
        <v>https://www.google.com/search?newwindow=1&amp;ei=2MT0XrvGGM-vytMP1OyDgAY&amp;q=site%3Alinkedin.com+Ashley+Carmichael+University+Recruiter+Google+via+Artech+Information+Systems</v>
      </c>
      <c r="K2704" s="5" t="str">
        <f t="shared" si="1"/>
        <v>Ashley Carmichael</v>
      </c>
      <c r="L2704" s="5" t="str">
        <f t="shared" si="2"/>
        <v>University Recruiter</v>
      </c>
      <c r="M2704" s="5" t="str">
        <f t="shared" si="3"/>
        <v> </v>
      </c>
      <c r="N2704" s="5" t="str">
        <f t="shared" si="4"/>
        <v>Google</v>
      </c>
      <c r="O2704" s="5" t="str">
        <f t="shared" si="5"/>
        <v>1 year 2 months in role and company</v>
      </c>
      <c r="P2704" s="5" t="str">
        <f t="shared" si="6"/>
        <v>Austin</v>
      </c>
      <c r="Q2704" s="5" t="str">
        <f t="shared" si="7"/>
        <v>Texas</v>
      </c>
      <c r="R2704" s="5" t="str">
        <f t="shared" si="8"/>
        <v>United States</v>
      </c>
    </row>
    <row r="2705">
      <c r="A2705" s="7" t="s">
        <v>1579</v>
      </c>
      <c r="B2705" s="5" t="s">
        <v>1577</v>
      </c>
      <c r="C2705" s="5" t="s">
        <v>25</v>
      </c>
      <c r="D2705" s="6" t="s">
        <v>13</v>
      </c>
      <c r="E2705" s="5" t="s">
        <v>1560</v>
      </c>
      <c r="F2705" s="5" t="s">
        <v>1578</v>
      </c>
      <c r="G2705" s="6" t="s">
        <v>64</v>
      </c>
      <c r="H2705" s="6" t="s">
        <v>65</v>
      </c>
      <c r="I2705" s="5" t="s">
        <v>18</v>
      </c>
      <c r="J2705" s="9" t="str">
        <f>IFERROR(__xludf.DUMMYFUNCTION("""COMPUTED_VALUE"""),"https://www.google.com/search?newwindow=1&amp;ei=2MT0XrvGGM-vytMP1OyDgAY&amp;q=site%3Alinkedin.com+Erin+Lamport+Campus+Recruiter+Grant+Thornton")</f>
        <v>https://www.google.com/search?newwindow=1&amp;ei=2MT0XrvGGM-vytMP1OyDgAY&amp;q=site%3Alinkedin.com+Erin+Lamport+Campus+Recruiter+Grant+Thornton</v>
      </c>
      <c r="K2705" s="5" t="str">
        <f t="shared" si="1"/>
        <v>Erin Lamport</v>
      </c>
      <c r="L2705" s="5" t="str">
        <f t="shared" si="2"/>
        <v>Campus Recruiter</v>
      </c>
      <c r="M2705" s="5" t="str">
        <f t="shared" si="3"/>
        <v> </v>
      </c>
      <c r="N2705" s="5" t="str">
        <f t="shared" si="4"/>
        <v>Grant Thornton</v>
      </c>
      <c r="O2705" s="5" t="str">
        <f t="shared" si="5"/>
        <v/>
      </c>
      <c r="P2705" s="5" t="str">
        <f t="shared" si="6"/>
        <v>Kansas City</v>
      </c>
      <c r="Q2705" s="5" t="str">
        <f t="shared" si="7"/>
        <v>Missouri</v>
      </c>
      <c r="R2705" s="5" t="str">
        <f t="shared" si="8"/>
        <v>United States</v>
      </c>
    </row>
    <row r="2706">
      <c r="A2706" s="7" t="s">
        <v>1582</v>
      </c>
      <c r="B2706" s="5" t="s">
        <v>1580</v>
      </c>
      <c r="C2706" s="5" t="s">
        <v>25</v>
      </c>
      <c r="D2706" s="6" t="s">
        <v>13</v>
      </c>
      <c r="E2706" s="5" t="s">
        <v>1560</v>
      </c>
      <c r="F2706" s="5" t="s">
        <v>1249</v>
      </c>
      <c r="G2706" s="5" t="s">
        <v>1581</v>
      </c>
      <c r="H2706" s="5" t="s">
        <v>96</v>
      </c>
      <c r="I2706" s="5" t="s">
        <v>18</v>
      </c>
      <c r="J2706" s="9" t="str">
        <f>IFERROR(__xludf.DUMMYFUNCTION("""COMPUTED_VALUE"""),"https://www.google.com/search?newwindow=1&amp;ei=2MT0XrvGGM-vytMP1OyDgAY&amp;q=site%3Alinkedin.com+Olivia+W.+University+Recruiter+Grant+Thornton+LLP")</f>
        <v>https://www.google.com/search?newwindow=1&amp;ei=2MT0XrvGGM-vytMP1OyDgAY&amp;q=site%3Alinkedin.com+Olivia+W.+University+Recruiter+Grant+Thornton+LLP</v>
      </c>
      <c r="K2706" s="5" t="str">
        <f t="shared" si="1"/>
        <v>Olivia W.</v>
      </c>
      <c r="L2706" s="5" t="str">
        <f t="shared" si="2"/>
        <v>University Recruiter</v>
      </c>
      <c r="M2706" s="5" t="str">
        <f t="shared" si="3"/>
        <v> </v>
      </c>
      <c r="N2706" s="5" t="str">
        <f t="shared" si="4"/>
        <v>Grant Thornton</v>
      </c>
      <c r="O2706" s="5" t="str">
        <f t="shared" si="5"/>
        <v>2 years 2 months in role and company</v>
      </c>
      <c r="P2706" s="5" t="str">
        <f t="shared" si="6"/>
        <v>Atlanta</v>
      </c>
      <c r="Q2706" s="5" t="str">
        <f t="shared" si="7"/>
        <v>Georgia</v>
      </c>
      <c r="R2706" s="5" t="str">
        <f t="shared" si="8"/>
        <v>United States</v>
      </c>
    </row>
    <row r="2707">
      <c r="A2707" s="7" t="s">
        <v>1585</v>
      </c>
      <c r="B2707" s="5" t="s">
        <v>1583</v>
      </c>
      <c r="C2707" s="5" t="s">
        <v>25</v>
      </c>
      <c r="D2707" s="6" t="s">
        <v>13</v>
      </c>
      <c r="E2707" s="5" t="s">
        <v>1560</v>
      </c>
      <c r="F2707" s="5" t="s">
        <v>1584</v>
      </c>
      <c r="G2707" s="5" t="s">
        <v>80</v>
      </c>
      <c r="H2707" s="5" t="s">
        <v>38</v>
      </c>
      <c r="I2707" s="5" t="s">
        <v>18</v>
      </c>
      <c r="J2707" s="9" t="str">
        <f>IFERROR(__xludf.DUMMYFUNCTION("""COMPUTED_VALUE"""),"https://www.google.com/search?newwindow=1&amp;ei=2MT0XrvGGM-vytMP1OyDgAY&amp;q=site%3Alinkedin.com+Katie+Collins+Senior+University+Recruiter+Grant+Thornton+LLP")</f>
        <v>https://www.google.com/search?newwindow=1&amp;ei=2MT0XrvGGM-vytMP1OyDgAY&amp;q=site%3Alinkedin.com+Katie+Collins+Senior+University+Recruiter+Grant+Thornton+LLP</v>
      </c>
      <c r="K2707" s="5" t="str">
        <f t="shared" si="1"/>
        <v>Katie Collins</v>
      </c>
      <c r="L2707" s="5" t="str">
        <f t="shared" si="2"/>
        <v>Senior University Recruiter</v>
      </c>
      <c r="M2707" s="5" t="str">
        <f t="shared" si="3"/>
        <v> </v>
      </c>
      <c r="N2707" s="5" t="str">
        <f t="shared" si="4"/>
        <v>Grant Thornton</v>
      </c>
      <c r="O2707" s="5" t="str">
        <f t="shared" si="5"/>
        <v>1 year 3 months in role</v>
      </c>
      <c r="P2707" s="5" t="str">
        <f t="shared" si="6"/>
        <v>Charlotte</v>
      </c>
      <c r="Q2707" s="5" t="str">
        <f t="shared" si="7"/>
        <v>North Carolina</v>
      </c>
      <c r="R2707" s="5" t="str">
        <f t="shared" si="8"/>
        <v>United States</v>
      </c>
    </row>
    <row r="2708">
      <c r="A2708" s="7" t="s">
        <v>1588</v>
      </c>
      <c r="B2708" s="5" t="s">
        <v>1586</v>
      </c>
      <c r="C2708" s="5" t="s">
        <v>25</v>
      </c>
      <c r="D2708" s="6" t="s">
        <v>13</v>
      </c>
      <c r="E2708" s="5" t="s">
        <v>1560</v>
      </c>
      <c r="F2708" s="5" t="s">
        <v>1587</v>
      </c>
      <c r="G2708" s="5" t="s">
        <v>85</v>
      </c>
      <c r="H2708" s="5" t="s">
        <v>86</v>
      </c>
      <c r="I2708" s="5" t="s">
        <v>18</v>
      </c>
      <c r="J2708" s="9" t="str">
        <f>IFERROR(__xludf.DUMMYFUNCTION("""COMPUTED_VALUE"""),"https://www.google.com/search?newwindow=1&amp;ei=2MT0XrvGGM-vytMP1OyDgAY&amp;q=site%3Alinkedin.com+Molly+Curran+University+Recruiter+Grant+Thornton+LLP")</f>
        <v>https://www.google.com/search?newwindow=1&amp;ei=2MT0XrvGGM-vytMP1OyDgAY&amp;q=site%3Alinkedin.com+Molly+Curran+University+Recruiter+Grant+Thornton+LLP</v>
      </c>
      <c r="K2708" s="5" t="str">
        <f t="shared" si="1"/>
        <v>Molly Curran</v>
      </c>
      <c r="L2708" s="5" t="str">
        <f t="shared" si="2"/>
        <v>University Recruiter</v>
      </c>
      <c r="M2708" s="5" t="str">
        <f t="shared" si="3"/>
        <v> </v>
      </c>
      <c r="N2708" s="5" t="str">
        <f t="shared" si="4"/>
        <v>Grant Thornton</v>
      </c>
      <c r="O2708" s="5" t="str">
        <f t="shared" si="5"/>
        <v>3 years 3 months in role and company</v>
      </c>
      <c r="P2708" s="5" t="str">
        <f t="shared" si="6"/>
        <v>Chicago</v>
      </c>
      <c r="Q2708" s="5" t="str">
        <f t="shared" si="7"/>
        <v>Illinois</v>
      </c>
      <c r="R2708" s="5" t="str">
        <f t="shared" si="8"/>
        <v>United States</v>
      </c>
    </row>
    <row r="2709">
      <c r="A2709" s="7" t="s">
        <v>1591</v>
      </c>
      <c r="B2709" s="5" t="s">
        <v>1589</v>
      </c>
      <c r="C2709" s="5" t="s">
        <v>371</v>
      </c>
      <c r="D2709" s="6" t="s">
        <v>13</v>
      </c>
      <c r="E2709" s="5" t="s">
        <v>1560</v>
      </c>
      <c r="G2709" s="5" t="s">
        <v>1590</v>
      </c>
      <c r="H2709" s="5" t="s">
        <v>76</v>
      </c>
      <c r="I2709" s="5" t="s">
        <v>18</v>
      </c>
      <c r="J2709" s="9" t="str">
        <f>IFERROR(__xludf.DUMMYFUNCTION("""COMPUTED_VALUE"""),"https://www.google.com/search?newwindow=1&amp;ei=2MT0XrvGGM-vytMP1OyDgAY&amp;q=site%3Alinkedin.com+Grace+King+University+Recruiter+Grant+Thornton+LLP")</f>
        <v>https://www.google.com/search?newwindow=1&amp;ei=2MT0XrvGGM-vytMP1OyDgAY&amp;q=site%3Alinkedin.com+Grace+King+University+Recruiter+Grant+Thornton+LLP</v>
      </c>
      <c r="K2709" s="5" t="str">
        <f t="shared" si="1"/>
        <v>Grace King</v>
      </c>
      <c r="L2709" s="5" t="str">
        <f t="shared" si="2"/>
        <v>University Recruiter</v>
      </c>
      <c r="M2709" s="5" t="str">
        <f t="shared" si="3"/>
        <v> </v>
      </c>
      <c r="N2709" s="5" t="str">
        <f t="shared" si="4"/>
        <v>Grant Thornton</v>
      </c>
      <c r="O2709" s="5" t="str">
        <f t="shared" si="5"/>
        <v>1 year 2 months in role and company</v>
      </c>
      <c r="P2709" s="5" t="str">
        <f t="shared" si="6"/>
        <v>Chicago</v>
      </c>
      <c r="Q2709" s="5" t="str">
        <f t="shared" si="7"/>
        <v>Illinois</v>
      </c>
      <c r="R2709" s="5" t="str">
        <f t="shared" si="8"/>
        <v>United States</v>
      </c>
    </row>
    <row r="2710">
      <c r="A2710" s="7" t="s">
        <v>1594</v>
      </c>
      <c r="B2710" s="5" t="s">
        <v>1592</v>
      </c>
      <c r="C2710" s="5" t="s">
        <v>1593</v>
      </c>
      <c r="D2710" s="6" t="s">
        <v>13</v>
      </c>
      <c r="E2710" s="5" t="s">
        <v>1560</v>
      </c>
      <c r="G2710" s="5" t="s">
        <v>833</v>
      </c>
      <c r="H2710" s="5" t="s">
        <v>203</v>
      </c>
      <c r="I2710" s="5" t="s">
        <v>18</v>
      </c>
      <c r="J2710" s="9" t="str">
        <f>IFERROR(__xludf.DUMMYFUNCTION("""COMPUTED_VALUE"""),"https://www.google.com/search?newwindow=1&amp;ei=2MT0XrvGGM-vytMP1OyDgAY&amp;q=site%3Alinkedin.com+Megan+Williamson+University+Recruiter+Grant+Thornton+LLP")</f>
        <v>https://www.google.com/search?newwindow=1&amp;ei=2MT0XrvGGM-vytMP1OyDgAY&amp;q=site%3Alinkedin.com+Megan+Williamson+University+Recruiter+Grant+Thornton+LLP</v>
      </c>
      <c r="K2710" s="5" t="str">
        <f t="shared" si="1"/>
        <v>Megan Williamson</v>
      </c>
      <c r="L2710" s="5" t="str">
        <f t="shared" si="2"/>
        <v>University Recruiter</v>
      </c>
      <c r="M2710" s="5" t="str">
        <f t="shared" si="3"/>
        <v> </v>
      </c>
      <c r="N2710" s="5" t="str">
        <f t="shared" si="4"/>
        <v>Grant Thornton</v>
      </c>
      <c r="O2710" s="5" t="str">
        <f t="shared" si="5"/>
        <v>1 year 8 months in role and company</v>
      </c>
      <c r="P2710" s="5" t="str">
        <f t="shared" si="6"/>
        <v>Cincinnati</v>
      </c>
      <c r="Q2710" s="5" t="str">
        <f t="shared" si="7"/>
        <v>Ohio</v>
      </c>
      <c r="R2710" s="5" t="str">
        <f t="shared" si="8"/>
        <v>United States</v>
      </c>
    </row>
    <row r="2711">
      <c r="A2711" s="7" t="s">
        <v>1598</v>
      </c>
      <c r="B2711" s="5" t="s">
        <v>1595</v>
      </c>
      <c r="C2711" s="5" t="s">
        <v>25</v>
      </c>
      <c r="D2711" s="6" t="s">
        <v>13</v>
      </c>
      <c r="E2711" s="5" t="s">
        <v>1560</v>
      </c>
      <c r="F2711" s="5" t="s">
        <v>1596</v>
      </c>
      <c r="G2711" s="5" t="s">
        <v>1597</v>
      </c>
      <c r="H2711" s="5" t="s">
        <v>96</v>
      </c>
      <c r="I2711" s="5" t="s">
        <v>18</v>
      </c>
      <c r="J2711" s="9" t="str">
        <f>IFERROR(__xludf.DUMMYFUNCTION("""COMPUTED_VALUE"""),"https://www.google.com/search?newwindow=1&amp;ei=2MT0XrvGGM-vytMP1OyDgAY&amp;q=site%3Alinkedin.com+Nichole+R.+Justus+University+Recruiter+Grant+Thornton+LLP")</f>
        <v>https://www.google.com/search?newwindow=1&amp;ei=2MT0XrvGGM-vytMP1OyDgAY&amp;q=site%3Alinkedin.com+Nichole+R.+Justus+University+Recruiter+Grant+Thornton+LLP</v>
      </c>
      <c r="K2711" s="5" t="str">
        <f t="shared" si="1"/>
        <v>Nichole R. Justus</v>
      </c>
      <c r="L2711" s="5" t="str">
        <f t="shared" si="2"/>
        <v>University Recruiter</v>
      </c>
      <c r="M2711" s="5" t="str">
        <f t="shared" si="3"/>
        <v> </v>
      </c>
      <c r="N2711" s="5" t="str">
        <f t="shared" si="4"/>
        <v>Grant Thornton</v>
      </c>
      <c r="O2711" s="5" t="str">
        <f t="shared" si="5"/>
        <v>2 years 3 months in role and company</v>
      </c>
      <c r="P2711" s="5" t="str">
        <f t="shared" si="6"/>
        <v>Cleveland</v>
      </c>
      <c r="Q2711" s="5" t="str">
        <f t="shared" si="7"/>
        <v>Ohio</v>
      </c>
      <c r="R2711" s="5" t="str">
        <f t="shared" si="8"/>
        <v>United States</v>
      </c>
    </row>
    <row r="2712">
      <c r="A2712" s="7" t="s">
        <v>1601</v>
      </c>
      <c r="B2712" s="5" t="s">
        <v>1599</v>
      </c>
      <c r="C2712" s="5" t="s">
        <v>25</v>
      </c>
      <c r="D2712" s="6" t="s">
        <v>13</v>
      </c>
      <c r="E2712" s="5" t="s">
        <v>1560</v>
      </c>
      <c r="G2712" s="5" t="s">
        <v>1600</v>
      </c>
      <c r="H2712" s="5" t="s">
        <v>44</v>
      </c>
      <c r="I2712" s="5" t="s">
        <v>18</v>
      </c>
      <c r="J2712" s="9" t="str">
        <f>IFERROR(__xludf.DUMMYFUNCTION("""COMPUTED_VALUE"""),"https://www.google.com/search?newwindow=1&amp;ei=2MT0XrvGGM-vytMP1OyDgAY&amp;q=site%3Alinkedin.com+Julie+Hansen+Texoma+Market+Lead,+University+Recruiting+Grant+Thornton+LLP")</f>
        <v>https://www.google.com/search?newwindow=1&amp;ei=2MT0XrvGGM-vytMP1OyDgAY&amp;q=site%3Alinkedin.com+Julie+Hansen+Texoma+Market+Lead,+University+Recruiting+Grant+Thornton+LLP</v>
      </c>
      <c r="K2712" s="5" t="str">
        <f t="shared" si="1"/>
        <v>Julie Hansen</v>
      </c>
      <c r="L2712" s="5" t="str">
        <f t="shared" si="2"/>
        <v>Texoma Market Lead, University Recruiting</v>
      </c>
      <c r="M2712" s="5" t="str">
        <f t="shared" si="3"/>
        <v> </v>
      </c>
      <c r="N2712" s="5" t="str">
        <f t="shared" si="4"/>
        <v>Grant Thornton</v>
      </c>
      <c r="O2712" s="5" t="str">
        <f t="shared" si="5"/>
        <v>5 years 4 months in role</v>
      </c>
      <c r="P2712" s="5" t="str">
        <f t="shared" si="6"/>
        <v>Dallas</v>
      </c>
      <c r="Q2712" s="5" t="str">
        <f t="shared" si="7"/>
        <v>Texas</v>
      </c>
      <c r="R2712" s="5" t="str">
        <f t="shared" si="8"/>
        <v>United States</v>
      </c>
    </row>
    <row r="2713">
      <c r="A2713" s="7" t="s">
        <v>1605</v>
      </c>
      <c r="B2713" s="5" t="s">
        <v>1602</v>
      </c>
      <c r="C2713" s="5" t="s">
        <v>25</v>
      </c>
      <c r="D2713" s="6" t="s">
        <v>13</v>
      </c>
      <c r="E2713" s="5" t="s">
        <v>1560</v>
      </c>
      <c r="F2713" s="5" t="s">
        <v>1603</v>
      </c>
      <c r="G2713" s="5" t="s">
        <v>1604</v>
      </c>
      <c r="H2713" s="5" t="s">
        <v>96</v>
      </c>
      <c r="I2713" s="5" t="s">
        <v>18</v>
      </c>
      <c r="J2713" s="9" t="str">
        <f>IFERROR(__xludf.DUMMYFUNCTION("""COMPUTED_VALUE"""),"https://www.google.com/search?newwindow=1&amp;ei=2MT0XrvGGM-vytMP1OyDgAY&amp;q=site%3Alinkedin.com+Mary+Latino+Recruiting+Associate,+University+Recruiting+Grant+Thornton+LLP")</f>
        <v>https://www.google.com/search?newwindow=1&amp;ei=2MT0XrvGGM-vytMP1OyDgAY&amp;q=site%3Alinkedin.com+Mary+Latino+Recruiting+Associate,+University+Recruiting+Grant+Thornton+LLP</v>
      </c>
      <c r="K2713" s="5" t="str">
        <f t="shared" si="1"/>
        <v>Mary Latino</v>
      </c>
      <c r="L2713" s="5" t="str">
        <f t="shared" si="2"/>
        <v>Recruiting Associate, University Recruiting</v>
      </c>
      <c r="M2713" s="5" t="str">
        <f t="shared" si="3"/>
        <v> </v>
      </c>
      <c r="N2713" s="5" t="str">
        <f t="shared" si="4"/>
        <v>Grant Thornton</v>
      </c>
      <c r="O2713" s="5" t="str">
        <f t="shared" si="5"/>
        <v>1 year 1 month in role and company</v>
      </c>
      <c r="P2713" s="5" t="str">
        <f t="shared" si="6"/>
        <v>Dallas</v>
      </c>
      <c r="Q2713" s="5" t="str">
        <f t="shared" si="7"/>
        <v>Texas</v>
      </c>
      <c r="R2713" s="5" t="str">
        <f t="shared" si="8"/>
        <v>United States</v>
      </c>
    </row>
    <row r="2714">
      <c r="A2714" s="7" t="s">
        <v>1608</v>
      </c>
      <c r="B2714" s="5" t="s">
        <v>1606</v>
      </c>
      <c r="C2714" s="5" t="s">
        <v>25</v>
      </c>
      <c r="D2714" s="6" t="s">
        <v>13</v>
      </c>
      <c r="E2714" s="5" t="s">
        <v>1560</v>
      </c>
      <c r="F2714" s="5" t="s">
        <v>1607</v>
      </c>
      <c r="G2714" s="5" t="s">
        <v>122</v>
      </c>
      <c r="H2714" s="5" t="s">
        <v>44</v>
      </c>
      <c r="I2714" s="5" t="s">
        <v>18</v>
      </c>
      <c r="J2714" s="9" t="str">
        <f>IFERROR(__xludf.DUMMYFUNCTION("""COMPUTED_VALUE"""),"https://www.google.com/search?newwindow=1&amp;ei=2MT0XrvGGM-vytMP1OyDgAY&amp;q=site%3Alinkedin.com+Raven+Fournier+Janssen+Senior+University+Recruiter+Grant+Thornton+LLP")</f>
        <v>https://www.google.com/search?newwindow=1&amp;ei=2MT0XrvGGM-vytMP1OyDgAY&amp;q=site%3Alinkedin.com+Raven+Fournier+Janssen+Senior+University+Recruiter+Grant+Thornton+LLP</v>
      </c>
      <c r="K2714" s="5" t="str">
        <f t="shared" si="1"/>
        <v>Raven Fournier Janssen</v>
      </c>
      <c r="L2714" s="5" t="str">
        <f t="shared" si="2"/>
        <v>Senior University Recruiter</v>
      </c>
      <c r="M2714" s="5" t="str">
        <f t="shared" si="3"/>
        <v> </v>
      </c>
      <c r="N2714" s="5" t="str">
        <f t="shared" si="4"/>
        <v>Grant Thornton</v>
      </c>
      <c r="O2714" s="5" t="str">
        <f t="shared" si="5"/>
        <v>1 year 2 months in role and company</v>
      </c>
      <c r="P2714" s="5" t="str">
        <f t="shared" si="6"/>
        <v>Houston</v>
      </c>
      <c r="Q2714" s="5" t="str">
        <f t="shared" si="7"/>
        <v>Texas</v>
      </c>
      <c r="R2714" s="5" t="str">
        <f t="shared" si="8"/>
        <v>United States</v>
      </c>
    </row>
    <row r="2715">
      <c r="A2715" s="7" t="s">
        <v>1610</v>
      </c>
      <c r="B2715" s="5" t="s">
        <v>1609</v>
      </c>
      <c r="C2715" s="5" t="s">
        <v>25</v>
      </c>
      <c r="D2715" s="6" t="s">
        <v>13</v>
      </c>
      <c r="E2715" s="5" t="s">
        <v>1560</v>
      </c>
      <c r="F2715" s="5" t="s">
        <v>622</v>
      </c>
      <c r="G2715" s="5" t="s">
        <v>218</v>
      </c>
      <c r="H2715" s="5" t="s">
        <v>219</v>
      </c>
      <c r="I2715" s="5" t="s">
        <v>18</v>
      </c>
      <c r="J2715" s="9" t="str">
        <f>IFERROR(__xludf.DUMMYFUNCTION("""COMPUTED_VALUE"""),"https://www.google.com/search?newwindow=1&amp;ei=2MT0XrvGGM-vytMP1OyDgAY&amp;q=site%3Alinkedin.com+Katerina+Theodore+O'Connell+University+Recruiter+Grant+Thornton+LLP")</f>
        <v>https://www.google.com/search?newwindow=1&amp;ei=2MT0XrvGGM-vytMP1OyDgAY&amp;q=site%3Alinkedin.com+Katerina+Theodore+O'Connell+University+Recruiter+Grant+Thornton+LLP</v>
      </c>
      <c r="K2715" s="5" t="str">
        <f t="shared" si="1"/>
        <v>Katerina Theodore O'Connell</v>
      </c>
      <c r="L2715" s="5" t="str">
        <f t="shared" si="2"/>
        <v>University Recruiter</v>
      </c>
      <c r="M2715" s="5" t="str">
        <f t="shared" si="3"/>
        <v> </v>
      </c>
      <c r="N2715" s="5" t="str">
        <f t="shared" si="4"/>
        <v>Grant Thornton</v>
      </c>
      <c r="O2715" s="5" t="str">
        <f t="shared" si="5"/>
        <v>1 year 4 months in role and company</v>
      </c>
      <c r="P2715" s="5" t="str">
        <f t="shared" si="6"/>
        <v>San Francisco</v>
      </c>
      <c r="Q2715" s="5" t="str">
        <f t="shared" si="7"/>
        <v>California</v>
      </c>
      <c r="R2715" s="5" t="str">
        <f t="shared" si="8"/>
        <v>United States</v>
      </c>
    </row>
    <row r="2716">
      <c r="A2716" s="7" t="s">
        <v>1612</v>
      </c>
      <c r="B2716" s="5" t="s">
        <v>1611</v>
      </c>
      <c r="C2716" s="5" t="s">
        <v>25</v>
      </c>
      <c r="D2716" s="6" t="s">
        <v>13</v>
      </c>
      <c r="E2716" s="5" t="s">
        <v>1560</v>
      </c>
      <c r="F2716" s="5" t="s">
        <v>144</v>
      </c>
      <c r="G2716" s="5" t="s">
        <v>137</v>
      </c>
      <c r="H2716" s="5" t="s">
        <v>137</v>
      </c>
      <c r="I2716" s="5" t="s">
        <v>18</v>
      </c>
      <c r="J2716" s="9" t="str">
        <f>IFERROR(__xludf.DUMMYFUNCTION("""COMPUTED_VALUE"""),"https://www.google.com/search?newwindow=1&amp;ei=2MT0XrvGGM-vytMP1OyDgAY&amp;q=site%3Alinkedin.com+Kelley+I.+Senior+University+Recruiter+Grant+Thornton+LLP")</f>
        <v>https://www.google.com/search?newwindow=1&amp;ei=2MT0XrvGGM-vytMP1OyDgAY&amp;q=site%3Alinkedin.com+Kelley+I.+Senior+University+Recruiter+Grant+Thornton+LLP</v>
      </c>
      <c r="K2716" s="5" t="str">
        <f t="shared" si="1"/>
        <v>Kelley I.</v>
      </c>
      <c r="L2716" s="5" t="str">
        <f t="shared" si="2"/>
        <v>Senior University Recruiter</v>
      </c>
      <c r="M2716" s="5" t="str">
        <f t="shared" si="3"/>
        <v> </v>
      </c>
      <c r="N2716" s="5" t="str">
        <f t="shared" si="4"/>
        <v>Grant Thornton</v>
      </c>
      <c r="O2716" s="5" t="str">
        <f t="shared" si="5"/>
        <v>1 year 3 months in role</v>
      </c>
      <c r="P2716" s="5" t="str">
        <f t="shared" si="6"/>
        <v>Tampa</v>
      </c>
      <c r="Q2716" s="5" t="str">
        <f t="shared" si="7"/>
        <v>Florida</v>
      </c>
      <c r="R2716" s="5" t="str">
        <f t="shared" si="8"/>
        <v>United States</v>
      </c>
    </row>
    <row r="2717">
      <c r="A2717" s="7" t="s">
        <v>1614</v>
      </c>
      <c r="B2717" s="5" t="s">
        <v>1613</v>
      </c>
      <c r="C2717" s="5" t="s">
        <v>25</v>
      </c>
      <c r="D2717" s="6" t="s">
        <v>13</v>
      </c>
      <c r="E2717" s="5" t="s">
        <v>1560</v>
      </c>
      <c r="G2717" s="5" t="s">
        <v>1022</v>
      </c>
      <c r="H2717" s="5" t="s">
        <v>264</v>
      </c>
      <c r="I2717" s="5" t="s">
        <v>18</v>
      </c>
      <c r="J2717" s="9" t="str">
        <f>IFERROR(__xludf.DUMMYFUNCTION("""COMPUTED_VALUE"""),"https://www.google.com/search?newwindow=1&amp;ei=2MT0XrvGGM-vytMP1OyDgAY&amp;q=site%3Alinkedin.com+Victoria+Mack+University+Recruiter+Grant+Thornton+LLP")</f>
        <v>https://www.google.com/search?newwindow=1&amp;ei=2MT0XrvGGM-vytMP1OyDgAY&amp;q=site%3Alinkedin.com+Victoria+Mack+University+Recruiter+Grant+Thornton+LLP</v>
      </c>
      <c r="K2717" s="5" t="str">
        <f t="shared" si="1"/>
        <v>Victoria Mack</v>
      </c>
      <c r="L2717" s="5" t="str">
        <f t="shared" si="2"/>
        <v>University Recruiter</v>
      </c>
      <c r="M2717" s="5" t="str">
        <f t="shared" si="3"/>
        <v> </v>
      </c>
      <c r="N2717" s="5" t="str">
        <f t="shared" si="4"/>
        <v>Grant Thornton</v>
      </c>
      <c r="O2717" s="5" t="str">
        <f t="shared" si="5"/>
        <v>2 years  in role and company</v>
      </c>
      <c r="P2717" s="5" t="str">
        <f t="shared" si="6"/>
        <v>Washington</v>
      </c>
      <c r="Q2717" s="5" t="str">
        <f t="shared" si="7"/>
        <v>District of Columbia</v>
      </c>
      <c r="R2717" s="5" t="str">
        <f t="shared" si="8"/>
        <v>United States</v>
      </c>
    </row>
    <row r="2718">
      <c r="A2718" s="7" t="s">
        <v>1619</v>
      </c>
      <c r="B2718" s="5" t="s">
        <v>1615</v>
      </c>
      <c r="C2718" s="5" t="s">
        <v>1616</v>
      </c>
      <c r="D2718" s="6" t="s">
        <v>13</v>
      </c>
      <c r="E2718" s="5" t="s">
        <v>1560</v>
      </c>
      <c r="F2718" s="5" t="s">
        <v>1617</v>
      </c>
      <c r="G2718" s="5" t="s">
        <v>1618</v>
      </c>
      <c r="H2718" s="5" t="s">
        <v>44</v>
      </c>
      <c r="I2718" s="5" t="s">
        <v>18</v>
      </c>
      <c r="J2718" s="9" t="str">
        <f>IFERROR(__xludf.DUMMYFUNCTION("""COMPUTED_VALUE"""),"https://www.google.com/search?newwindow=1&amp;ei=2MT0XrvGGM-vytMP1OyDgAY&amp;q=site%3Alinkedin.com+Sarah+Reynolds+University+Relations+Manager+Honeywell")</f>
        <v>https://www.google.com/search?newwindow=1&amp;ei=2MT0XrvGGM-vytMP1OyDgAY&amp;q=site%3Alinkedin.com+Sarah+Reynolds+University+Relations+Manager+Honeywell</v>
      </c>
      <c r="K2718" s="5" t="str">
        <f t="shared" si="1"/>
        <v>Sarah Reynolds</v>
      </c>
      <c r="L2718" s="5" t="str">
        <f t="shared" si="2"/>
        <v>University Relations Manager</v>
      </c>
      <c r="M2718" s="5" t="str">
        <f t="shared" si="3"/>
        <v> </v>
      </c>
      <c r="N2718" s="5" t="str">
        <f t="shared" si="4"/>
        <v>Honeywell</v>
      </c>
      <c r="O2718" s="5" t="str">
        <f t="shared" si="5"/>
        <v>2 years  in role and company</v>
      </c>
      <c r="P2718" s="5" t="str">
        <f t="shared" si="6"/>
        <v>Cincinnati</v>
      </c>
      <c r="Q2718" s="5" t="str">
        <f t="shared" si="7"/>
        <v>Ohio</v>
      </c>
      <c r="R2718" s="5" t="str">
        <f t="shared" si="8"/>
        <v>United States</v>
      </c>
    </row>
    <row r="2719">
      <c r="A2719" s="7" t="s">
        <v>1621</v>
      </c>
      <c r="B2719" s="5" t="s">
        <v>1620</v>
      </c>
      <c r="C2719" s="5" t="s">
        <v>25</v>
      </c>
      <c r="D2719" s="6" t="s">
        <v>13</v>
      </c>
      <c r="E2719" s="5" t="s">
        <v>1560</v>
      </c>
      <c r="F2719" s="5" t="s">
        <v>268</v>
      </c>
      <c r="G2719" s="5" t="s">
        <v>16</v>
      </c>
      <c r="H2719" s="5" t="s">
        <v>17</v>
      </c>
      <c r="I2719" s="5" t="s">
        <v>18</v>
      </c>
      <c r="J2719" s="9" t="str">
        <f>IFERROR(__xludf.DUMMYFUNCTION("""COMPUTED_VALUE"""),"https://www.google.com/search?newwindow=1&amp;ei=2MT0XrvGGM-vytMP1OyDgAY&amp;q=site%3Alinkedin.com+Brian+L.+Thai+University+Recruiter+Honeywell")</f>
        <v>https://www.google.com/search?newwindow=1&amp;ei=2MT0XrvGGM-vytMP1OyDgAY&amp;q=site%3Alinkedin.com+Brian+L.+Thai+University+Recruiter+Honeywell</v>
      </c>
      <c r="K2719" s="5" t="str">
        <f t="shared" si="1"/>
        <v>Brian L. Thai</v>
      </c>
      <c r="L2719" s="5" t="str">
        <f t="shared" si="2"/>
        <v>University Recruiter</v>
      </c>
      <c r="M2719" s="5" t="str">
        <f t="shared" si="3"/>
        <v> </v>
      </c>
      <c r="N2719" s="5" t="str">
        <f t="shared" si="4"/>
        <v>Honeywell</v>
      </c>
      <c r="O2719" s="5" t="str">
        <f t="shared" si="5"/>
        <v>2 months in role and company</v>
      </c>
      <c r="P2719" s="5" t="str">
        <f t="shared" si="6"/>
        <v>Orange County</v>
      </c>
      <c r="Q2719" s="5" t="str">
        <f t="shared" si="7"/>
        <v>California</v>
      </c>
      <c r="R2719" s="5" t="str">
        <f t="shared" si="8"/>
        <v>United States</v>
      </c>
    </row>
    <row r="2720">
      <c r="A2720" s="7" t="s">
        <v>1624</v>
      </c>
      <c r="B2720" s="5" t="s">
        <v>1622</v>
      </c>
      <c r="C2720" s="5" t="s">
        <v>25</v>
      </c>
      <c r="D2720" s="6" t="s">
        <v>13</v>
      </c>
      <c r="E2720" s="5" t="s">
        <v>1560</v>
      </c>
      <c r="F2720" s="5" t="s">
        <v>1623</v>
      </c>
      <c r="G2720" s="5" t="s">
        <v>16</v>
      </c>
      <c r="H2720" s="5" t="s">
        <v>17</v>
      </c>
      <c r="I2720" s="5" t="s">
        <v>18</v>
      </c>
      <c r="J2720" s="9" t="str">
        <f>IFERROR(__xludf.DUMMYFUNCTION("""COMPUTED_VALUE"""),"https://www.google.com/search?newwindow=1&amp;ei=2MT0XrvGGM-vytMP1OyDgAY&amp;q=site%3Alinkedin.com+Chelsea+Jensen+Damm+Virginia+Tech+Recruiting+Campus+Manager+Honeywell")</f>
        <v>https://www.google.com/search?newwindow=1&amp;ei=2MT0XrvGGM-vytMP1OyDgAY&amp;q=site%3Alinkedin.com+Chelsea+Jensen+Damm+Virginia+Tech+Recruiting+Campus+Manager+Honeywell</v>
      </c>
      <c r="K2720" s="5" t="str">
        <f t="shared" si="1"/>
        <v>Chelsea Jensen Damm</v>
      </c>
      <c r="L2720" s="5" t="str">
        <f t="shared" si="2"/>
        <v>Virginia Tech Recruiting Campus Manager</v>
      </c>
      <c r="M2720" s="5" t="str">
        <f t="shared" si="3"/>
        <v> </v>
      </c>
      <c r="N2720" s="5" t="str">
        <f t="shared" si="4"/>
        <v>Honeywell</v>
      </c>
      <c r="O2720" s="5" t="str">
        <f t="shared" si="5"/>
        <v>8 years 2 months in role</v>
      </c>
      <c r="P2720" s="5" t="str">
        <f t="shared" si="6"/>
        <v>Phoenix</v>
      </c>
      <c r="Q2720" s="5" t="str">
        <f t="shared" si="7"/>
        <v>Arizona</v>
      </c>
      <c r="R2720" s="5" t="str">
        <f t="shared" si="8"/>
        <v>United States</v>
      </c>
    </row>
    <row r="2721">
      <c r="A2721" s="7" t="s">
        <v>1626</v>
      </c>
      <c r="B2721" s="5" t="s">
        <v>1625</v>
      </c>
      <c r="C2721" s="5" t="s">
        <v>25</v>
      </c>
      <c r="D2721" s="6" t="s">
        <v>13</v>
      </c>
      <c r="E2721" s="5" t="s">
        <v>1560</v>
      </c>
      <c r="F2721" s="5" t="s">
        <v>716</v>
      </c>
      <c r="G2721" s="5" t="s">
        <v>16</v>
      </c>
      <c r="H2721" s="5" t="s">
        <v>17</v>
      </c>
      <c r="I2721" s="5" t="s">
        <v>18</v>
      </c>
      <c r="J2721" s="9" t="str">
        <f>IFERROR(__xludf.DUMMYFUNCTION("""COMPUTED_VALUE"""),"https://www.google.com/search?newwindow=1&amp;ei=2MT0XrvGGM-vytMP1OyDgAY&amp;q=site%3Alinkedin.com+Tiffany+Kirby+University+Relations+Recruiter+Honeywell")</f>
        <v>https://www.google.com/search?newwindow=1&amp;ei=2MT0XrvGGM-vytMP1OyDgAY&amp;q=site%3Alinkedin.com+Tiffany+Kirby+University+Relations+Recruiter+Honeywell</v>
      </c>
      <c r="K2721" s="5" t="str">
        <f t="shared" si="1"/>
        <v>Tiffany Kirby</v>
      </c>
      <c r="L2721" s="5" t="str">
        <f t="shared" si="2"/>
        <v>University Relations Recruiter</v>
      </c>
      <c r="M2721" s="5" t="str">
        <f t="shared" si="3"/>
        <v> </v>
      </c>
      <c r="N2721" s="5" t="str">
        <f t="shared" si="4"/>
        <v>Honeywell</v>
      </c>
      <c r="O2721" s="5" t="str">
        <f t="shared" si="5"/>
        <v>1 year 4 months in role</v>
      </c>
      <c r="P2721" s="5" t="str">
        <f t="shared" si="6"/>
        <v>Raleigh</v>
      </c>
      <c r="Q2721" s="5" t="str">
        <f t="shared" si="7"/>
        <v>North Carolina</v>
      </c>
      <c r="R2721" s="5" t="str">
        <f t="shared" si="8"/>
        <v>United States</v>
      </c>
    </row>
    <row r="2722">
      <c r="A2722" s="7" t="s">
        <v>1630</v>
      </c>
      <c r="B2722" s="5" t="s">
        <v>1627</v>
      </c>
      <c r="C2722" s="5" t="s">
        <v>1628</v>
      </c>
      <c r="D2722" s="6" t="s">
        <v>13</v>
      </c>
      <c r="E2722" s="5" t="s">
        <v>1560</v>
      </c>
      <c r="F2722" s="5" t="s">
        <v>1629</v>
      </c>
      <c r="G2722" s="5" t="s">
        <v>16</v>
      </c>
      <c r="H2722" s="5" t="s">
        <v>17</v>
      </c>
      <c r="I2722" s="5" t="s">
        <v>18</v>
      </c>
      <c r="J2722" s="9" t="str">
        <f>IFERROR(__xludf.DUMMYFUNCTION("""COMPUTED_VALUE"""),"https://www.google.com/search?newwindow=1&amp;ei=2MT0XrvGGM-vytMP1OyDgAY&amp;q=site%3Alinkedin.com+Gillian+McLarty+Associate+Campus+Recruiter+HubSpot")</f>
        <v>https://www.google.com/search?newwindow=1&amp;ei=2MT0XrvGGM-vytMP1OyDgAY&amp;q=site%3Alinkedin.com+Gillian+McLarty+Associate+Campus+Recruiter+HubSpot</v>
      </c>
      <c r="K2722" s="5" t="str">
        <f t="shared" si="1"/>
        <v>Gillian McLarty</v>
      </c>
      <c r="L2722" s="5" t="str">
        <f t="shared" si="2"/>
        <v>Associate Campus Recruiter</v>
      </c>
      <c r="M2722" s="5" t="str">
        <f t="shared" si="3"/>
        <v> </v>
      </c>
      <c r="N2722" s="5" t="str">
        <f t="shared" si="4"/>
        <v>HubSpot</v>
      </c>
      <c r="O2722" s="5" t="str">
        <f t="shared" si="5"/>
        <v>5 months in role and company</v>
      </c>
      <c r="P2722" s="5" t="str">
        <f t="shared" si="6"/>
        <v>Boston</v>
      </c>
      <c r="Q2722" s="5" t="str">
        <f t="shared" si="7"/>
        <v>Massachusetts</v>
      </c>
      <c r="R2722" s="5" t="str">
        <f t="shared" si="8"/>
        <v>United States</v>
      </c>
    </row>
    <row r="2723">
      <c r="A2723" s="8" t="s">
        <v>1633</v>
      </c>
      <c r="B2723" s="5" t="s">
        <v>1631</v>
      </c>
      <c r="C2723" s="5" t="s">
        <v>1632</v>
      </c>
      <c r="D2723" s="6" t="s">
        <v>13</v>
      </c>
      <c r="E2723" s="5" t="s">
        <v>1560</v>
      </c>
      <c r="F2723" s="5" t="s">
        <v>125</v>
      </c>
      <c r="G2723" s="5" t="s">
        <v>37</v>
      </c>
      <c r="H2723" s="5" t="s">
        <v>38</v>
      </c>
      <c r="I2723" s="5" t="s">
        <v>18</v>
      </c>
      <c r="J2723" s="9" t="str">
        <f>IFERROR(__xludf.DUMMYFUNCTION("""COMPUTED_VALUE"""),"https://www.google.com/search?newwindow=1&amp;ei=2MT0XrvGGM-vytMP1OyDgAY&amp;q=site%3Alinkedin.com+Glory+Montes+Associate+Campus+Tech+Recruiter+HubSpot")</f>
        <v>https://www.google.com/search?newwindow=1&amp;ei=2MT0XrvGGM-vytMP1OyDgAY&amp;q=site%3Alinkedin.com+Glory+Montes+Associate+Campus+Tech+Recruiter+HubSpot</v>
      </c>
      <c r="K2723" s="5" t="str">
        <f t="shared" si="1"/>
        <v>Glory Montes</v>
      </c>
      <c r="L2723" s="5" t="str">
        <f t="shared" si="2"/>
        <v>Associate Campus Tech Recruiter</v>
      </c>
      <c r="M2723" s="5" t="str">
        <f t="shared" si="3"/>
        <v> </v>
      </c>
      <c r="N2723" s="5" t="str">
        <f t="shared" si="4"/>
        <v>HubSpot</v>
      </c>
      <c r="O2723" s="5" t="str">
        <f t="shared" si="5"/>
        <v>2 years 2 months in role and company</v>
      </c>
      <c r="P2723" s="5" t="str">
        <f t="shared" si="6"/>
        <v>Boston</v>
      </c>
      <c r="Q2723" s="5" t="str">
        <f t="shared" si="7"/>
        <v>Massachusetts</v>
      </c>
      <c r="R2723" s="5" t="str">
        <f t="shared" si="8"/>
        <v>United States</v>
      </c>
    </row>
    <row r="2724">
      <c r="A2724" s="7" t="s">
        <v>1635</v>
      </c>
      <c r="B2724" s="5" t="s">
        <v>1216</v>
      </c>
      <c r="C2724" s="5" t="s">
        <v>25</v>
      </c>
      <c r="D2724" s="6" t="s">
        <v>13</v>
      </c>
      <c r="E2724" s="5" t="s">
        <v>1560</v>
      </c>
      <c r="F2724" s="5" t="s">
        <v>1634</v>
      </c>
      <c r="G2724" s="5" t="s">
        <v>37</v>
      </c>
      <c r="H2724" s="5" t="s">
        <v>38</v>
      </c>
      <c r="I2724" s="5" t="s">
        <v>18</v>
      </c>
      <c r="J2724" s="9" t="str">
        <f>IFERROR(__xludf.DUMMYFUNCTION("""COMPUTED_VALUE"""),"https://www.google.com/search?newwindow=1&amp;ei=2MT0XrvGGM-vytMP1OyDgAY&amp;q=site%3Alinkedin.com+Colleen+Grant+Manager,+Global+Campus+Recruiting+HubSpot")</f>
        <v>https://www.google.com/search?newwindow=1&amp;ei=2MT0XrvGGM-vytMP1OyDgAY&amp;q=site%3Alinkedin.com+Colleen+Grant+Manager,+Global+Campus+Recruiting+HubSpot</v>
      </c>
      <c r="K2724" s="5" t="str">
        <f t="shared" si="1"/>
        <v>Colleen Grant</v>
      </c>
      <c r="L2724" s="5" t="str">
        <f t="shared" si="2"/>
        <v>Manager, Global Campus Recruiting</v>
      </c>
      <c r="M2724" s="5" t="str">
        <f t="shared" si="3"/>
        <v> </v>
      </c>
      <c r="N2724" s="5" t="str">
        <f t="shared" si="4"/>
        <v>HubSpot</v>
      </c>
      <c r="O2724" s="5" t="str">
        <f t="shared" si="5"/>
        <v>3 years 3 months in role</v>
      </c>
      <c r="P2724" s="5" t="str">
        <f t="shared" si="6"/>
        <v>Boston</v>
      </c>
      <c r="Q2724" s="5" t="str">
        <f t="shared" si="7"/>
        <v>Massachusetts</v>
      </c>
      <c r="R2724" s="5" t="str">
        <f t="shared" si="8"/>
        <v>United States</v>
      </c>
    </row>
    <row r="2725">
      <c r="A2725" s="7" t="s">
        <v>1640</v>
      </c>
      <c r="B2725" s="5" t="s">
        <v>1636</v>
      </c>
      <c r="C2725" s="5" t="s">
        <v>25</v>
      </c>
      <c r="D2725" s="6" t="s">
        <v>13</v>
      </c>
      <c r="E2725" s="5" t="s">
        <v>1560</v>
      </c>
      <c r="F2725" s="5" t="s">
        <v>1637</v>
      </c>
      <c r="G2725" s="5" t="s">
        <v>1638</v>
      </c>
      <c r="H2725" s="5" t="s">
        <v>1639</v>
      </c>
      <c r="I2725" s="5" t="s">
        <v>18</v>
      </c>
      <c r="J2725" s="9" t="str">
        <f>IFERROR(__xludf.DUMMYFUNCTION("""COMPUTED_VALUE"""),"https://www.google.com/search?newwindow=1&amp;ei=2MT0XrvGGM-vytMP1OyDgAY&amp;q=site%3Alinkedin.com+Katelyn+Kearns+Campus+Recruiter+HubSpot")</f>
        <v>https://www.google.com/search?newwindow=1&amp;ei=2MT0XrvGGM-vytMP1OyDgAY&amp;q=site%3Alinkedin.com+Katelyn+Kearns+Campus+Recruiter+HubSpot</v>
      </c>
      <c r="K2725" s="5" t="str">
        <f t="shared" si="1"/>
        <v>Katelyn Kearns</v>
      </c>
      <c r="L2725" s="5" t="str">
        <f t="shared" si="2"/>
        <v>Campus Recruiter</v>
      </c>
      <c r="M2725" s="5" t="str">
        <f t="shared" si="3"/>
        <v> </v>
      </c>
      <c r="N2725" s="5" t="str">
        <f t="shared" si="4"/>
        <v>HubSpot</v>
      </c>
      <c r="O2725" s="5" t="str">
        <f t="shared" si="5"/>
        <v>1 year 2 months in role</v>
      </c>
      <c r="P2725" s="5" t="str">
        <f t="shared" si="6"/>
        <v>Boston</v>
      </c>
      <c r="Q2725" s="5" t="str">
        <f t="shared" si="7"/>
        <v>Massachusetts</v>
      </c>
      <c r="R2725" s="5" t="str">
        <f t="shared" si="8"/>
        <v>United States</v>
      </c>
    </row>
    <row r="2726">
      <c r="A2726" s="7" t="s">
        <v>1644</v>
      </c>
      <c r="B2726" s="5" t="s">
        <v>1641</v>
      </c>
      <c r="C2726" s="5" t="s">
        <v>25</v>
      </c>
      <c r="D2726" s="6" t="s">
        <v>13</v>
      </c>
      <c r="E2726" s="5" t="s">
        <v>1560</v>
      </c>
      <c r="F2726" s="5" t="s">
        <v>1642</v>
      </c>
      <c r="G2726" s="5" t="s">
        <v>1643</v>
      </c>
      <c r="H2726" s="5" t="s">
        <v>91</v>
      </c>
      <c r="I2726" s="5" t="s">
        <v>18</v>
      </c>
      <c r="J2726" s="9" t="str">
        <f>IFERROR(__xludf.DUMMYFUNCTION("""COMPUTED_VALUE"""),"https://www.google.com/search?newwindow=1&amp;ei=2MT0XrvGGM-vytMP1OyDgAY&amp;q=site%3Alinkedin.com+Viennie+Chanthachack+(he/him)+Associate+Campus+Recruiter+-+North+America+&amp;+EMEA+Sales+HubSpot")</f>
        <v>https://www.google.com/search?newwindow=1&amp;ei=2MT0XrvGGM-vytMP1OyDgAY&amp;q=site%3Alinkedin.com+Viennie+Chanthachack+(he/him)+Associate+Campus+Recruiter+-+North+America+&amp;+EMEA+Sales+HubSpot</v>
      </c>
      <c r="K2726" s="5" t="str">
        <f t="shared" si="1"/>
        <v>Viennie Chanthachack (he/him)</v>
      </c>
      <c r="L2726" s="5" t="str">
        <f t="shared" si="2"/>
        <v>Associate Campus Recruiter - North America &amp; EMEA Sales</v>
      </c>
      <c r="M2726" s="5" t="str">
        <f t="shared" si="3"/>
        <v> </v>
      </c>
      <c r="N2726" s="5" t="str">
        <f t="shared" si="4"/>
        <v>HubSpot</v>
      </c>
      <c r="O2726" s="5" t="str">
        <f t="shared" si="5"/>
        <v>1 year 3 months in role</v>
      </c>
      <c r="P2726" s="5" t="str">
        <f t="shared" si="6"/>
        <v>Boston</v>
      </c>
      <c r="Q2726" s="5" t="str">
        <f t="shared" si="7"/>
        <v>Massachusetts</v>
      </c>
      <c r="R2726" s="5" t="str">
        <f t="shared" si="8"/>
        <v>United States</v>
      </c>
    </row>
    <row r="2727">
      <c r="A2727" s="7" t="s">
        <v>1646</v>
      </c>
      <c r="B2727" s="5" t="s">
        <v>1645</v>
      </c>
      <c r="C2727" s="5" t="s">
        <v>25</v>
      </c>
      <c r="D2727" s="6" t="s">
        <v>13</v>
      </c>
      <c r="E2727" s="5" t="s">
        <v>1560</v>
      </c>
      <c r="F2727" s="5" t="s">
        <v>26</v>
      </c>
      <c r="G2727" s="5" t="s">
        <v>377</v>
      </c>
      <c r="H2727" s="5" t="s">
        <v>378</v>
      </c>
      <c r="I2727" s="5" t="s">
        <v>18</v>
      </c>
      <c r="J2727" s="9" t="str">
        <f>IFERROR(__xludf.DUMMYFUNCTION("""COMPUTED_VALUE"""),"https://www.google.com/search?newwindow=1&amp;ei=2MT0XrvGGM-vytMP1OyDgAY&amp;q=site%3Alinkedin.com+Jessica+Rivera+University+Recruiter+Hulu")</f>
        <v>https://www.google.com/search?newwindow=1&amp;ei=2MT0XrvGGM-vytMP1OyDgAY&amp;q=site%3Alinkedin.com+Jessica+Rivera+University+Recruiter+Hulu</v>
      </c>
      <c r="K2727" s="5" t="str">
        <f t="shared" si="1"/>
        <v>Jessica Rivera</v>
      </c>
      <c r="L2727" s="5" t="str">
        <f t="shared" si="2"/>
        <v>University Recruiter</v>
      </c>
      <c r="M2727" s="5" t="str">
        <f t="shared" si="3"/>
        <v> </v>
      </c>
      <c r="N2727" s="5" t="str">
        <f t="shared" si="4"/>
        <v>Hulu</v>
      </c>
      <c r="O2727" s="5" t="str">
        <f t="shared" si="5"/>
        <v>2 months in role and company</v>
      </c>
      <c r="P2727" s="5" t="str">
        <f t="shared" si="6"/>
        <v>Los Angeles</v>
      </c>
      <c r="Q2727" s="5" t="str">
        <f t="shared" si="7"/>
        <v>California</v>
      </c>
      <c r="R2727" s="5" t="str">
        <f t="shared" si="8"/>
        <v>United States</v>
      </c>
    </row>
    <row r="2728">
      <c r="A2728" s="8" t="s">
        <v>1649</v>
      </c>
      <c r="B2728" s="5" t="s">
        <v>1647</v>
      </c>
      <c r="C2728" s="5" t="s">
        <v>1648</v>
      </c>
      <c r="D2728" s="6" t="s">
        <v>13</v>
      </c>
      <c r="E2728" s="5" t="s">
        <v>1560</v>
      </c>
      <c r="F2728" s="5" t="s">
        <v>277</v>
      </c>
      <c r="G2728" s="5" t="s">
        <v>377</v>
      </c>
      <c r="H2728" s="5" t="s">
        <v>378</v>
      </c>
      <c r="I2728" s="5" t="s">
        <v>18</v>
      </c>
      <c r="J2728" s="9" t="str">
        <f>IFERROR(__xludf.DUMMYFUNCTION("""COMPUTED_VALUE"""),"https://www.google.com/search?newwindow=1&amp;ei=2MT0XrvGGM-vytMP1OyDgAY&amp;q=site%3Alinkedin.com+Jennifer+Weiser+University+Recruiter+Hulu")</f>
        <v>https://www.google.com/search?newwindow=1&amp;ei=2MT0XrvGGM-vytMP1OyDgAY&amp;q=site%3Alinkedin.com+Jennifer+Weiser+University+Recruiter+Hulu</v>
      </c>
      <c r="K2728" s="5" t="str">
        <f t="shared" si="1"/>
        <v>Jennifer Weiser</v>
      </c>
      <c r="L2728" s="5" t="str">
        <f t="shared" si="2"/>
        <v>University Recruiter</v>
      </c>
      <c r="M2728" s="5" t="str">
        <f t="shared" si="3"/>
        <v> </v>
      </c>
      <c r="N2728" s="5" t="str">
        <f t="shared" si="4"/>
        <v>Hulu</v>
      </c>
      <c r="O2728" s="5" t="str">
        <f t="shared" si="5"/>
        <v>2 months in role and company</v>
      </c>
      <c r="P2728" s="5" t="str">
        <f t="shared" si="6"/>
        <v>Los Angeles</v>
      </c>
      <c r="Q2728" s="5" t="str">
        <f t="shared" si="7"/>
        <v>California</v>
      </c>
      <c r="R2728" s="5" t="str">
        <f t="shared" si="8"/>
        <v>United States</v>
      </c>
    </row>
    <row r="2729">
      <c r="A2729" s="7" t="s">
        <v>1651</v>
      </c>
      <c r="B2729" s="5" t="s">
        <v>1650</v>
      </c>
      <c r="C2729" s="5" t="s">
        <v>25</v>
      </c>
      <c r="D2729" s="6" t="s">
        <v>13</v>
      </c>
      <c r="E2729" s="5" t="s">
        <v>1560</v>
      </c>
      <c r="F2729" s="5" t="s">
        <v>144</v>
      </c>
      <c r="G2729" s="6" t="s">
        <v>377</v>
      </c>
      <c r="H2729" s="6" t="s">
        <v>378</v>
      </c>
      <c r="I2729" s="5" t="s">
        <v>18</v>
      </c>
      <c r="J2729" s="9" t="str">
        <f>IFERROR(__xludf.DUMMYFUNCTION("""COMPUTED_VALUE"""),"https://www.google.com/search?newwindow=1&amp;ei=2MT0XrvGGM-vytMP1OyDgAY&amp;q=site%3Alinkedin.com+Ashley+Fritts+North+America+Early+Professional+Talent+Acquisition+Manager+-+Systems+IBM")</f>
        <v>https://www.google.com/search?newwindow=1&amp;ei=2MT0XrvGGM-vytMP1OyDgAY&amp;q=site%3Alinkedin.com+Ashley+Fritts+North+America+Early+Professional+Talent+Acquisition+Manager+-+Systems+IBM</v>
      </c>
      <c r="K2729" s="5" t="str">
        <f t="shared" si="1"/>
        <v>Ashley Fritts</v>
      </c>
      <c r="L2729" s="5" t="str">
        <f t="shared" si="2"/>
        <v>North America Early Professional Talent Acquisition Manager - Systems</v>
      </c>
      <c r="M2729" s="5" t="str">
        <f t="shared" si="3"/>
        <v> </v>
      </c>
      <c r="N2729" s="5" t="str">
        <f t="shared" si="4"/>
        <v>IBM</v>
      </c>
      <c r="O2729" s="5" t="str">
        <f t="shared" si="5"/>
        <v>1 year 7 months in role and company</v>
      </c>
      <c r="P2729" s="5" t="str">
        <f t="shared" si="6"/>
        <v>Armonk</v>
      </c>
      <c r="Q2729" s="5" t="str">
        <f t="shared" si="7"/>
        <v>New York</v>
      </c>
      <c r="R2729" s="5" t="str">
        <f t="shared" si="8"/>
        <v>United States</v>
      </c>
    </row>
    <row r="2730">
      <c r="A2730" s="8" t="s">
        <v>1654</v>
      </c>
      <c r="B2730" s="5" t="s">
        <v>1652</v>
      </c>
      <c r="C2730" s="5" t="s">
        <v>1653</v>
      </c>
      <c r="D2730" s="6" t="s">
        <v>13</v>
      </c>
      <c r="E2730" s="5" t="s">
        <v>1560</v>
      </c>
      <c r="F2730" s="5" t="s">
        <v>268</v>
      </c>
      <c r="G2730" s="6" t="s">
        <v>377</v>
      </c>
      <c r="H2730" s="6" t="s">
        <v>378</v>
      </c>
      <c r="I2730" s="5" t="s">
        <v>18</v>
      </c>
      <c r="J2730" s="9" t="str">
        <f>IFERROR(__xludf.DUMMYFUNCTION("""COMPUTED_VALUE"""),"https://www.google.com/search?newwindow=1&amp;ei=2MT0XrvGGM-vytMP1OyDgAY&amp;q=site%3Alinkedin.com+Leslie+Ott+University+Recruiting+Program+Manager+-+Diversity+Lead+(MBA+&amp;+University)+IBM")</f>
        <v>https://www.google.com/search?newwindow=1&amp;ei=2MT0XrvGGM-vytMP1OyDgAY&amp;q=site%3Alinkedin.com+Leslie+Ott+University+Recruiting+Program+Manager+-+Diversity+Lead+(MBA+&amp;+University)+IBM</v>
      </c>
      <c r="K2730" s="5" t="str">
        <f t="shared" si="1"/>
        <v>Leslie Ott</v>
      </c>
      <c r="L2730" s="5" t="str">
        <f t="shared" si="2"/>
        <v>University Recruiting Program Manager - Diversity Lead (MBA &amp; University)</v>
      </c>
      <c r="M2730" s="5" t="str">
        <f t="shared" si="3"/>
        <v>MBA</v>
      </c>
      <c r="N2730" s="5" t="str">
        <f t="shared" si="4"/>
        <v>IBM</v>
      </c>
      <c r="O2730" s="5" t="str">
        <f t="shared" si="5"/>
        <v>8 years  in role</v>
      </c>
      <c r="P2730" s="5" t="str">
        <f t="shared" si="6"/>
        <v>Wrightsville Beach</v>
      </c>
      <c r="Q2730" s="5" t="str">
        <f t="shared" si="7"/>
        <v>North Carolina</v>
      </c>
      <c r="R2730" s="5" t="str">
        <f t="shared" si="8"/>
        <v>United States</v>
      </c>
    </row>
    <row r="2731">
      <c r="A2731" s="8" t="s">
        <v>1657</v>
      </c>
      <c r="B2731" s="5" t="s">
        <v>1655</v>
      </c>
      <c r="C2731" s="5" t="s">
        <v>1656</v>
      </c>
      <c r="D2731" s="6" t="s">
        <v>13</v>
      </c>
      <c r="E2731" s="5" t="s">
        <v>1560</v>
      </c>
      <c r="F2731" s="5" t="s">
        <v>277</v>
      </c>
      <c r="G2731" s="6" t="s">
        <v>377</v>
      </c>
      <c r="H2731" s="6" t="s">
        <v>378</v>
      </c>
      <c r="I2731" s="5" t="s">
        <v>18</v>
      </c>
      <c r="J2731" s="9" t="str">
        <f>IFERROR(__xludf.DUMMYFUNCTION("""COMPUTED_VALUE"""),"https://www.google.com/search?newwindow=1&amp;ei=2MT0XrvGGM-vytMP1OyDgAY&amp;q=site%3Alinkedin.com+Amy+Bergman+University+Recruiter+Coordinator+Indeed.com")</f>
        <v>https://www.google.com/search?newwindow=1&amp;ei=2MT0XrvGGM-vytMP1OyDgAY&amp;q=site%3Alinkedin.com+Amy+Bergman+University+Recruiter+Coordinator+Indeed.com</v>
      </c>
      <c r="K2731" s="5" t="str">
        <f t="shared" si="1"/>
        <v>Amy Bergman</v>
      </c>
      <c r="L2731" s="5" t="str">
        <f t="shared" si="2"/>
        <v>University Recruiter Coordinator</v>
      </c>
      <c r="M2731" s="5" t="str">
        <f t="shared" si="3"/>
        <v> </v>
      </c>
      <c r="N2731" s="9" t="str">
        <f t="shared" si="4"/>
        <v>Indeed.com</v>
      </c>
      <c r="O2731" s="5" t="str">
        <f t="shared" si="5"/>
        <v>2 years  in role and company</v>
      </c>
      <c r="P2731" s="5" t="str">
        <f t="shared" si="6"/>
        <v>Austin</v>
      </c>
      <c r="Q2731" s="5" t="str">
        <f t="shared" si="7"/>
        <v>Texas</v>
      </c>
      <c r="R2731" s="5" t="str">
        <f t="shared" si="8"/>
        <v>United States</v>
      </c>
    </row>
    <row r="2732">
      <c r="A2732" s="8" t="s">
        <v>1660</v>
      </c>
      <c r="B2732" s="5" t="s">
        <v>1658</v>
      </c>
      <c r="C2732" s="5" t="s">
        <v>1659</v>
      </c>
      <c r="D2732" s="6" t="s">
        <v>13</v>
      </c>
      <c r="E2732" s="5" t="s">
        <v>1560</v>
      </c>
      <c r="F2732" s="5" t="s">
        <v>277</v>
      </c>
      <c r="G2732" s="6" t="s">
        <v>377</v>
      </c>
      <c r="H2732" s="6" t="s">
        <v>378</v>
      </c>
      <c r="I2732" s="5" t="s">
        <v>18</v>
      </c>
      <c r="J2732" s="9" t="str">
        <f>IFERROR(__xludf.DUMMYFUNCTION("""COMPUTED_VALUE"""),"https://www.google.com/search?newwindow=1&amp;ei=2MT0XrvGGM-vytMP1OyDgAY&amp;q=site%3Alinkedin.com+Jill+Sears+University+Recruiter+-+Talent+Attraction+Indeed.com")</f>
        <v>https://www.google.com/search?newwindow=1&amp;ei=2MT0XrvGGM-vytMP1OyDgAY&amp;q=site%3Alinkedin.com+Jill+Sears+University+Recruiter+-+Talent+Attraction+Indeed.com</v>
      </c>
      <c r="K2732" s="5" t="str">
        <f t="shared" si="1"/>
        <v>Jill Sears</v>
      </c>
      <c r="L2732" s="5" t="str">
        <f t="shared" si="2"/>
        <v>University Recruiter - Talent Attraction</v>
      </c>
      <c r="M2732" s="5" t="str">
        <f t="shared" si="3"/>
        <v> </v>
      </c>
      <c r="N2732" s="9" t="str">
        <f t="shared" si="4"/>
        <v>Indeed.com</v>
      </c>
      <c r="O2732" s="5" t="str">
        <f t="shared" si="5"/>
        <v>1 year 9 months in role and company</v>
      </c>
      <c r="P2732" s="5" t="str">
        <f t="shared" si="6"/>
        <v>Chicago</v>
      </c>
      <c r="Q2732" s="5" t="str">
        <f t="shared" si="7"/>
        <v>Illinois</v>
      </c>
      <c r="R2732" s="5" t="str">
        <f t="shared" si="8"/>
        <v>United States</v>
      </c>
    </row>
    <row r="2733">
      <c r="A2733" s="7" t="s">
        <v>1662</v>
      </c>
      <c r="B2733" s="5" t="s">
        <v>1661</v>
      </c>
      <c r="C2733" s="5" t="s">
        <v>25</v>
      </c>
      <c r="D2733" s="6" t="s">
        <v>13</v>
      </c>
      <c r="E2733" s="5" t="s">
        <v>1560</v>
      </c>
      <c r="F2733" s="5" t="s">
        <v>774</v>
      </c>
      <c r="G2733" s="6" t="s">
        <v>377</v>
      </c>
      <c r="H2733" s="6" t="s">
        <v>378</v>
      </c>
      <c r="I2733" s="5" t="s">
        <v>18</v>
      </c>
      <c r="J2733" s="9" t="str">
        <f>IFERROR(__xludf.DUMMYFUNCTION("""COMPUTED_VALUE"""),"https://www.google.com/search?newwindow=1&amp;ei=2MT0XrvGGM-vytMP1OyDgAY&amp;q=site%3Alinkedin.com+Emma+Brady+University+Recruiter+Indeed.com")</f>
        <v>https://www.google.com/search?newwindow=1&amp;ei=2MT0XrvGGM-vytMP1OyDgAY&amp;q=site%3Alinkedin.com+Emma+Brady+University+Recruiter+Indeed.com</v>
      </c>
      <c r="K2733" s="5" t="str">
        <f t="shared" si="1"/>
        <v>Emma Brady</v>
      </c>
      <c r="L2733" s="5" t="str">
        <f t="shared" si="2"/>
        <v>University Recruiter</v>
      </c>
      <c r="M2733" s="5" t="str">
        <f t="shared" si="3"/>
        <v> </v>
      </c>
      <c r="N2733" s="9" t="str">
        <f t="shared" si="4"/>
        <v>Indeed.com</v>
      </c>
      <c r="O2733" s="5" t="str">
        <f t="shared" si="5"/>
        <v>2 years 6 months in role</v>
      </c>
      <c r="P2733" s="5" t="str">
        <f t="shared" si="6"/>
        <v>Fort Collins</v>
      </c>
      <c r="Q2733" s="5" t="str">
        <f t="shared" si="7"/>
        <v>Colorado</v>
      </c>
      <c r="R2733" s="5" t="str">
        <f t="shared" si="8"/>
        <v>United States</v>
      </c>
    </row>
    <row r="2734">
      <c r="A2734" s="7" t="s">
        <v>1665</v>
      </c>
      <c r="B2734" s="5" t="s">
        <v>1663</v>
      </c>
      <c r="C2734" s="5" t="s">
        <v>25</v>
      </c>
      <c r="D2734" s="6" t="s">
        <v>13</v>
      </c>
      <c r="E2734" s="5" t="s">
        <v>1560</v>
      </c>
      <c r="F2734" s="5" t="s">
        <v>136</v>
      </c>
      <c r="G2734" s="5" t="s">
        <v>1664</v>
      </c>
      <c r="H2734" s="5" t="s">
        <v>1305</v>
      </c>
      <c r="I2734" s="5" t="s">
        <v>18</v>
      </c>
      <c r="J2734" s="9" t="str">
        <f>IFERROR(__xludf.DUMMYFUNCTION("""COMPUTED_VALUE"""),"https://www.google.com/search?newwindow=1&amp;ei=2MT0XrvGGM-vytMP1OyDgAY&amp;q=site%3Alinkedin.com+Christina+Rippo+University+Recruiter+I+Talent+Attraction+Indeed.com+Indeed.com")</f>
        <v>https://www.google.com/search?newwindow=1&amp;ei=2MT0XrvGGM-vytMP1OyDgAY&amp;q=site%3Alinkedin.com+Christina+Rippo+University+Recruiter+I+Talent+Attraction+Indeed.com+Indeed.com</v>
      </c>
      <c r="K2734" s="5" t="str">
        <f t="shared" si="1"/>
        <v>Christina Rippo</v>
      </c>
      <c r="L2734" s="5" t="str">
        <f t="shared" si="2"/>
        <v>University Recruiter I Talent Attraction Indeed.com</v>
      </c>
      <c r="M2734" s="5" t="str">
        <f t="shared" si="3"/>
        <v> </v>
      </c>
      <c r="N2734" s="9" t="str">
        <f t="shared" si="4"/>
        <v>Indeed.com</v>
      </c>
      <c r="O2734" s="5" t="str">
        <f t="shared" si="5"/>
        <v>2 years 7 months in role</v>
      </c>
      <c r="P2734" s="5" t="str">
        <f t="shared" si="6"/>
        <v>New Fairfield</v>
      </c>
      <c r="Q2734" s="5" t="str">
        <f t="shared" si="7"/>
        <v>Connecticut</v>
      </c>
      <c r="R2734" s="5" t="str">
        <f t="shared" si="8"/>
        <v>United States</v>
      </c>
    </row>
    <row r="2735">
      <c r="A2735" s="7" t="s">
        <v>1668</v>
      </c>
      <c r="B2735" s="5" t="s">
        <v>1666</v>
      </c>
      <c r="C2735" s="5" t="s">
        <v>371</v>
      </c>
      <c r="D2735" s="6" t="s">
        <v>13</v>
      </c>
      <c r="E2735" s="5" t="s">
        <v>1560</v>
      </c>
      <c r="F2735" s="5" t="s">
        <v>1667</v>
      </c>
      <c r="G2735" s="5" t="s">
        <v>49</v>
      </c>
      <c r="H2735" s="5" t="s">
        <v>50</v>
      </c>
      <c r="I2735" s="5" t="s">
        <v>18</v>
      </c>
      <c r="J2735" s="9" t="str">
        <f>IFERROR(__xludf.DUMMYFUNCTION("""COMPUTED_VALUE"""),"https://www.google.com/search?newwindow=1&amp;ei=2MT0XrvGGM-vytMP1OyDgAY&amp;q=site%3Alinkedin.com+Dominic+Romávila+Sr.+University+Recruiter,+Technical+Indeed.com")</f>
        <v>https://www.google.com/search?newwindow=1&amp;ei=2MT0XrvGGM-vytMP1OyDgAY&amp;q=site%3Alinkedin.com+Dominic+Romávila+Sr.+University+Recruiter,+Technical+Indeed.com</v>
      </c>
      <c r="K2735" s="5" t="str">
        <f t="shared" si="1"/>
        <v>Dominic Romávila</v>
      </c>
      <c r="L2735" s="5" t="str">
        <f t="shared" si="2"/>
        <v>Sr. University Recruiter, Technical</v>
      </c>
      <c r="M2735" s="5" t="str">
        <f t="shared" si="3"/>
        <v> </v>
      </c>
      <c r="N2735" s="9" t="str">
        <f t="shared" si="4"/>
        <v>Indeed.com</v>
      </c>
      <c r="O2735" s="5" t="str">
        <f t="shared" si="5"/>
        <v>3 years 9 months in role</v>
      </c>
      <c r="P2735" s="5" t="str">
        <f t="shared" si="6"/>
        <v>Round Rock</v>
      </c>
      <c r="Q2735" s="5" t="str">
        <f t="shared" si="7"/>
        <v>Texas</v>
      </c>
      <c r="R2735" s="5" t="str">
        <f t="shared" si="8"/>
        <v>United States</v>
      </c>
    </row>
    <row r="2736">
      <c r="A2736" s="7" t="s">
        <v>1670</v>
      </c>
      <c r="B2736" s="5" t="s">
        <v>1669</v>
      </c>
      <c r="C2736" s="5" t="s">
        <v>25</v>
      </c>
      <c r="D2736" s="6" t="s">
        <v>13</v>
      </c>
      <c r="E2736" s="5" t="s">
        <v>1560</v>
      </c>
      <c r="F2736" s="5" t="s">
        <v>26</v>
      </c>
      <c r="G2736" s="5" t="s">
        <v>49</v>
      </c>
      <c r="H2736" s="5" t="s">
        <v>50</v>
      </c>
      <c r="I2736" s="5" t="s">
        <v>18</v>
      </c>
      <c r="J2736" s="9" t="str">
        <f>IFERROR(__xludf.DUMMYFUNCTION("""COMPUTED_VALUE"""),"https://www.google.com/search?newwindow=1&amp;ei=2MT0XrvGGM-vytMP1OyDgAY&amp;q=site%3Alinkedin.com+Steve+Marks+University+Recruiter+Indeed.com")</f>
        <v>https://www.google.com/search?newwindow=1&amp;ei=2MT0XrvGGM-vytMP1OyDgAY&amp;q=site%3Alinkedin.com+Steve+Marks+University+Recruiter+Indeed.com</v>
      </c>
      <c r="K2736" s="5" t="str">
        <f t="shared" si="1"/>
        <v>Steve Marks</v>
      </c>
      <c r="L2736" s="5" t="str">
        <f t="shared" si="2"/>
        <v>University Recruiter</v>
      </c>
      <c r="M2736" s="5" t="str">
        <f t="shared" si="3"/>
        <v> </v>
      </c>
      <c r="N2736" s="9" t="str">
        <f t="shared" si="4"/>
        <v>Indeed.com</v>
      </c>
      <c r="O2736" s="5" t="str">
        <f t="shared" si="5"/>
        <v>1 year 8 months in role and company</v>
      </c>
      <c r="P2736" s="5" t="str">
        <f t="shared" si="6"/>
        <v>Seattle</v>
      </c>
      <c r="Q2736" s="5" t="str">
        <f t="shared" si="7"/>
        <v>Washington</v>
      </c>
      <c r="R2736" s="5" t="str">
        <f t="shared" si="8"/>
        <v>United States</v>
      </c>
    </row>
    <row r="2737">
      <c r="A2737" s="7" t="s">
        <v>1672</v>
      </c>
      <c r="B2737" s="5" t="s">
        <v>1671</v>
      </c>
      <c r="C2737" s="5" t="s">
        <v>25</v>
      </c>
      <c r="D2737" s="6" t="s">
        <v>13</v>
      </c>
      <c r="E2737" s="5" t="s">
        <v>1560</v>
      </c>
      <c r="F2737" s="5" t="s">
        <v>691</v>
      </c>
      <c r="G2737" s="5" t="s">
        <v>49</v>
      </c>
      <c r="H2737" s="5" t="s">
        <v>50</v>
      </c>
      <c r="I2737" s="5" t="s">
        <v>18</v>
      </c>
      <c r="J2737" s="9" t="str">
        <f>IFERROR(__xludf.DUMMYFUNCTION("""COMPUTED_VALUE"""),"https://www.google.com/search?newwindow=1&amp;ei=2MT0XrvGGM-vytMP1OyDgAY&amp;q=site%3Alinkedin.com+Rachel+Kucharik+Technical+Recruiter+-+Campus+Infosys")</f>
        <v>https://www.google.com/search?newwindow=1&amp;ei=2MT0XrvGGM-vytMP1OyDgAY&amp;q=site%3Alinkedin.com+Rachel+Kucharik+Technical+Recruiter+-+Campus+Infosys</v>
      </c>
      <c r="K2737" s="5" t="str">
        <f t="shared" si="1"/>
        <v>Rachel Kucharik</v>
      </c>
      <c r="L2737" s="5" t="str">
        <f t="shared" si="2"/>
        <v>Technical Recruiter - Campus</v>
      </c>
      <c r="M2737" s="5" t="str">
        <f t="shared" si="3"/>
        <v> </v>
      </c>
      <c r="N2737" s="5" t="str">
        <f t="shared" si="4"/>
        <v>Infosys</v>
      </c>
      <c r="O2737" s="5" t="str">
        <f t="shared" si="5"/>
        <v>3 years 8 months in role and company</v>
      </c>
      <c r="P2737" s="5" t="str">
        <f t="shared" si="6"/>
        <v>Basking Ridge</v>
      </c>
      <c r="Q2737" s="5" t="str">
        <f t="shared" si="7"/>
        <v>New Jersey</v>
      </c>
      <c r="R2737" s="5" t="str">
        <f t="shared" si="8"/>
        <v>United States</v>
      </c>
    </row>
    <row r="2738">
      <c r="A2738" s="7" t="s">
        <v>1674</v>
      </c>
      <c r="B2738" s="5" t="s">
        <v>1673</v>
      </c>
      <c r="C2738" s="5" t="s">
        <v>25</v>
      </c>
      <c r="D2738" s="6" t="s">
        <v>13</v>
      </c>
      <c r="E2738" s="5" t="s">
        <v>1560</v>
      </c>
      <c r="F2738" s="5" t="s">
        <v>1282</v>
      </c>
      <c r="G2738" s="5" t="s">
        <v>49</v>
      </c>
      <c r="H2738" s="5" t="s">
        <v>50</v>
      </c>
      <c r="I2738" s="5" t="s">
        <v>18</v>
      </c>
      <c r="J2738" s="9" t="str">
        <f>IFERROR(__xludf.DUMMYFUNCTION("""COMPUTED_VALUE"""),"https://www.google.com/search?newwindow=1&amp;ei=2MT0XrvGGM-vytMP1OyDgAY&amp;q=site%3Alinkedin.com+Rebecca+Hou+Campus+Recruiter+Infosys")</f>
        <v>https://www.google.com/search?newwindow=1&amp;ei=2MT0XrvGGM-vytMP1OyDgAY&amp;q=site%3Alinkedin.com+Rebecca+Hou+Campus+Recruiter+Infosys</v>
      </c>
      <c r="K2738" s="5" t="str">
        <f t="shared" si="1"/>
        <v>Rebecca Hou</v>
      </c>
      <c r="L2738" s="5" t="str">
        <f t="shared" si="2"/>
        <v>Campus Recruiter</v>
      </c>
      <c r="M2738" s="5" t="str">
        <f t="shared" si="3"/>
        <v> </v>
      </c>
      <c r="N2738" s="5" t="str">
        <f t="shared" si="4"/>
        <v>Infosys</v>
      </c>
      <c r="O2738" s="5" t="str">
        <f t="shared" si="5"/>
        <v>3 years 7 months in role and company</v>
      </c>
      <c r="P2738" s="5" t="str">
        <f t="shared" si="6"/>
        <v>Boonton</v>
      </c>
      <c r="Q2738" s="5" t="str">
        <f t="shared" si="7"/>
        <v>New Jersey</v>
      </c>
      <c r="R2738" s="5" t="str">
        <f t="shared" si="8"/>
        <v>United States</v>
      </c>
    </row>
    <row r="2739">
      <c r="A2739" s="7" t="s">
        <v>1677</v>
      </c>
      <c r="B2739" s="5" t="s">
        <v>1675</v>
      </c>
      <c r="C2739" s="5" t="s">
        <v>25</v>
      </c>
      <c r="D2739" s="6" t="s">
        <v>13</v>
      </c>
      <c r="E2739" s="5" t="s">
        <v>1560</v>
      </c>
      <c r="F2739" s="5" t="s">
        <v>1676</v>
      </c>
      <c r="G2739" s="5" t="s">
        <v>64</v>
      </c>
      <c r="H2739" s="5" t="s">
        <v>65</v>
      </c>
      <c r="I2739" s="5" t="s">
        <v>18</v>
      </c>
      <c r="J2739" s="9" t="str">
        <f>IFERROR(__xludf.DUMMYFUNCTION("""COMPUTED_VALUE"""),"https://www.google.com/search?newwindow=1&amp;ei=2MT0XrvGGM-vytMP1OyDgAY&amp;q=site%3Alinkedin.com+Alexandria+Perry+IT+Campus+Recruiter+Infosys")</f>
        <v>https://www.google.com/search?newwindow=1&amp;ei=2MT0XrvGGM-vytMP1OyDgAY&amp;q=site%3Alinkedin.com+Alexandria+Perry+IT+Campus+Recruiter+Infosys</v>
      </c>
      <c r="K2739" s="5" t="str">
        <f t="shared" si="1"/>
        <v>Alexandria Perry</v>
      </c>
      <c r="L2739" s="5" t="str">
        <f t="shared" si="2"/>
        <v>IT Campus Recruiter</v>
      </c>
      <c r="M2739" s="5" t="str">
        <f t="shared" si="3"/>
        <v> </v>
      </c>
      <c r="N2739" s="5" t="str">
        <f t="shared" si="4"/>
        <v>Infosys</v>
      </c>
      <c r="O2739" s="5" t="str">
        <f t="shared" si="5"/>
        <v>1 year 1 month in role and company</v>
      </c>
      <c r="P2739" s="5" t="str">
        <f t="shared" si="6"/>
        <v>Indianapolis</v>
      </c>
      <c r="Q2739" s="5" t="str">
        <f t="shared" si="7"/>
        <v>Indiana</v>
      </c>
      <c r="R2739" s="5" t="str">
        <f t="shared" si="8"/>
        <v>United States</v>
      </c>
    </row>
    <row r="2740">
      <c r="A2740" s="7" t="s">
        <v>1679</v>
      </c>
      <c r="B2740" s="5" t="s">
        <v>1678</v>
      </c>
      <c r="C2740" s="5" t="s">
        <v>25</v>
      </c>
      <c r="D2740" s="6" t="s">
        <v>13</v>
      </c>
      <c r="E2740" s="5" t="s">
        <v>1560</v>
      </c>
      <c r="F2740" s="5" t="s">
        <v>1634</v>
      </c>
      <c r="G2740" s="6" t="s">
        <v>64</v>
      </c>
      <c r="H2740" s="6" t="s">
        <v>65</v>
      </c>
      <c r="I2740" s="5" t="s">
        <v>18</v>
      </c>
      <c r="J2740" s="9" t="str">
        <f>IFERROR(__xludf.DUMMYFUNCTION("""COMPUTED_VALUE"""),"https://www.google.com/search?newwindow=1&amp;ei=2MT0XrvGGM-vytMP1OyDgAY&amp;q=site%3Alinkedin.com+Christopher+Ha+Campus+Recruiter+Infosys")</f>
        <v>https://www.google.com/search?newwindow=1&amp;ei=2MT0XrvGGM-vytMP1OyDgAY&amp;q=site%3Alinkedin.com+Christopher+Ha+Campus+Recruiter+Infosys</v>
      </c>
      <c r="K2740" s="5" t="str">
        <f t="shared" si="1"/>
        <v>Christopher Ha</v>
      </c>
      <c r="L2740" s="5" t="str">
        <f t="shared" si="2"/>
        <v>Campus Recruiter</v>
      </c>
      <c r="M2740" s="5" t="str">
        <f t="shared" si="3"/>
        <v> </v>
      </c>
      <c r="N2740" s="5" t="str">
        <f t="shared" si="4"/>
        <v>Infosys</v>
      </c>
      <c r="O2740" s="5" t="str">
        <f t="shared" si="5"/>
        <v>1 year 1 month in role and company</v>
      </c>
      <c r="P2740" s="5" t="str">
        <f t="shared" si="6"/>
        <v>Indianapolis</v>
      </c>
      <c r="Q2740" s="5" t="str">
        <f t="shared" si="7"/>
        <v>Indiana</v>
      </c>
      <c r="R2740" s="5" t="str">
        <f t="shared" si="8"/>
        <v>United States</v>
      </c>
    </row>
    <row r="2741">
      <c r="A2741" s="7" t="s">
        <v>1681</v>
      </c>
      <c r="B2741" s="5" t="s">
        <v>1680</v>
      </c>
      <c r="C2741" s="5" t="s">
        <v>25</v>
      </c>
      <c r="D2741" s="6" t="s">
        <v>13</v>
      </c>
      <c r="E2741" s="5" t="s">
        <v>1560</v>
      </c>
      <c r="F2741" s="5" t="s">
        <v>29</v>
      </c>
      <c r="G2741" s="6" t="s">
        <v>64</v>
      </c>
      <c r="H2741" s="6" t="s">
        <v>65</v>
      </c>
      <c r="I2741" s="5" t="s">
        <v>18</v>
      </c>
      <c r="J2741" s="9" t="str">
        <f>IFERROR(__xludf.DUMMYFUNCTION("""COMPUTED_VALUE"""),"https://www.google.com/search?newwindow=1&amp;ei=2MT0XrvGGM-vytMP1OyDgAY&amp;q=site%3Alinkedin.com+Nanci+Ferrari+Practice+Lead+-+Campus+Recruiting+/+Diversity+Recruting+Infosys")</f>
        <v>https://www.google.com/search?newwindow=1&amp;ei=2MT0XrvGGM-vytMP1OyDgAY&amp;q=site%3Alinkedin.com+Nanci+Ferrari+Practice+Lead+-+Campus+Recruiting+/+Diversity+Recruting+Infosys</v>
      </c>
      <c r="K2741" s="5" t="str">
        <f t="shared" si="1"/>
        <v>Nanci Ferrari</v>
      </c>
      <c r="L2741" s="5" t="str">
        <f t="shared" si="2"/>
        <v>Practice Lead - Campus Recruiting / Diversity Recruting</v>
      </c>
      <c r="M2741" s="5" t="str">
        <f t="shared" si="3"/>
        <v> </v>
      </c>
      <c r="N2741" s="5" t="str">
        <f t="shared" si="4"/>
        <v>Infosys</v>
      </c>
      <c r="O2741" s="5" t="str">
        <f t="shared" si="5"/>
        <v>2 years 11 months in role</v>
      </c>
      <c r="P2741" s="5" t="str">
        <f t="shared" si="6"/>
        <v>New York</v>
      </c>
      <c r="Q2741" s="5" t="str">
        <f t="shared" si="7"/>
        <v>New York</v>
      </c>
      <c r="R2741" s="5" t="str">
        <f t="shared" si="8"/>
        <v>United States</v>
      </c>
    </row>
    <row r="2742">
      <c r="A2742" s="8" t="s">
        <v>1685</v>
      </c>
      <c r="B2742" s="5" t="s">
        <v>1682</v>
      </c>
      <c r="C2742" s="5" t="s">
        <v>1683</v>
      </c>
      <c r="D2742" s="6" t="s">
        <v>13</v>
      </c>
      <c r="E2742" s="5" t="s">
        <v>1560</v>
      </c>
      <c r="F2742" s="5" t="s">
        <v>1684</v>
      </c>
      <c r="G2742" s="6" t="s">
        <v>64</v>
      </c>
      <c r="H2742" s="6" t="s">
        <v>65</v>
      </c>
      <c r="I2742" s="5" t="s">
        <v>18</v>
      </c>
      <c r="J2742" s="9" t="str">
        <f>IFERROR(__xludf.DUMMYFUNCTION("""COMPUTED_VALUE"""),"https://www.google.com/search?newwindow=1&amp;ei=2MT0XrvGGM-vytMP1OyDgAY&amp;q=site%3Alinkedin.com+Darren+Khong+Campus+Recruiter+Infosys")</f>
        <v>https://www.google.com/search?newwindow=1&amp;ei=2MT0XrvGGM-vytMP1OyDgAY&amp;q=site%3Alinkedin.com+Darren+Khong+Campus+Recruiter+Infosys</v>
      </c>
      <c r="K2742" s="5" t="str">
        <f t="shared" si="1"/>
        <v>Darren Khong</v>
      </c>
      <c r="L2742" s="5" t="str">
        <f t="shared" si="2"/>
        <v>Campus Recruiter</v>
      </c>
      <c r="M2742" s="5" t="str">
        <f t="shared" si="3"/>
        <v> </v>
      </c>
      <c r="N2742" s="5" t="str">
        <f t="shared" si="4"/>
        <v>Infosys</v>
      </c>
      <c r="O2742" s="5" t="str">
        <f t="shared" si="5"/>
        <v>1 year 5 months in role</v>
      </c>
      <c r="P2742" s="5" t="str">
        <f t="shared" si="6"/>
        <v>New York</v>
      </c>
      <c r="Q2742" s="5" t="str">
        <f t="shared" si="7"/>
        <v>New York</v>
      </c>
      <c r="R2742" s="5" t="str">
        <f t="shared" si="8"/>
        <v>United States</v>
      </c>
    </row>
    <row r="2743">
      <c r="A2743" s="7" t="s">
        <v>1687</v>
      </c>
      <c r="B2743" s="5" t="s">
        <v>1686</v>
      </c>
      <c r="C2743" s="5" t="s">
        <v>25</v>
      </c>
      <c r="D2743" s="6" t="s">
        <v>13</v>
      </c>
      <c r="E2743" s="5" t="s">
        <v>1560</v>
      </c>
      <c r="F2743" s="5" t="s">
        <v>354</v>
      </c>
      <c r="G2743" s="6" t="s">
        <v>64</v>
      </c>
      <c r="H2743" s="6" t="s">
        <v>65</v>
      </c>
      <c r="I2743" s="5" t="s">
        <v>18</v>
      </c>
      <c r="J2743" s="9" t="str">
        <f>IFERROR(__xludf.DUMMYFUNCTION("""COMPUTED_VALUE"""),"https://www.google.com/search?newwindow=1&amp;ei=2MT0XrvGGM-vytMP1OyDgAY&amp;q=site%3Alinkedin.com+Amber+G.+Campus+Recruiter+/+Talent+Acquisition+Infosys")</f>
        <v>https://www.google.com/search?newwindow=1&amp;ei=2MT0XrvGGM-vytMP1OyDgAY&amp;q=site%3Alinkedin.com+Amber+G.+Campus+Recruiter+/+Talent+Acquisition+Infosys</v>
      </c>
      <c r="K2743" s="5" t="str">
        <f t="shared" si="1"/>
        <v>Amber G.</v>
      </c>
      <c r="L2743" s="5" t="str">
        <f t="shared" si="2"/>
        <v>Campus Recruiter / Talent Acquisition</v>
      </c>
      <c r="M2743" s="5" t="str">
        <f t="shared" si="3"/>
        <v> </v>
      </c>
      <c r="N2743" s="5" t="str">
        <f t="shared" si="4"/>
        <v>Infosys</v>
      </c>
      <c r="O2743" s="5" t="str">
        <f t="shared" si="5"/>
        <v>5 years 4 months in role and company</v>
      </c>
      <c r="P2743" s="5" t="str">
        <f t="shared" si="6"/>
        <v>New York</v>
      </c>
      <c r="Q2743" s="5" t="str">
        <f t="shared" si="7"/>
        <v>New York</v>
      </c>
      <c r="R2743" s="5" t="str">
        <f t="shared" si="8"/>
        <v>United States</v>
      </c>
    </row>
    <row r="2744">
      <c r="A2744" s="7" t="s">
        <v>1689</v>
      </c>
      <c r="B2744" s="5" t="s">
        <v>1688</v>
      </c>
      <c r="C2744" s="5" t="s">
        <v>25</v>
      </c>
      <c r="D2744" s="6" t="s">
        <v>13</v>
      </c>
      <c r="E2744" s="5" t="s">
        <v>1560</v>
      </c>
      <c r="F2744" s="5" t="s">
        <v>409</v>
      </c>
      <c r="G2744" s="6" t="s">
        <v>64</v>
      </c>
      <c r="H2744" s="6" t="s">
        <v>65</v>
      </c>
      <c r="I2744" s="5" t="s">
        <v>18</v>
      </c>
      <c r="J2744" s="9" t="str">
        <f>IFERROR(__xludf.DUMMYFUNCTION("""COMPUTED_VALUE"""),"https://www.google.com/search?newwindow=1&amp;ei=2MT0XrvGGM-vytMP1OyDgAY&amp;q=site%3Alinkedin.com+Deanna+Ingram+College+Recruiter+/+Talent+Advisor+Intel+Corporation")</f>
        <v>https://www.google.com/search?newwindow=1&amp;ei=2MT0XrvGGM-vytMP1OyDgAY&amp;q=site%3Alinkedin.com+Deanna+Ingram+College+Recruiter+/+Talent+Advisor+Intel+Corporation</v>
      </c>
      <c r="K2744" s="5" t="str">
        <f t="shared" si="1"/>
        <v>Deanna Ingram</v>
      </c>
      <c r="L2744" s="5" t="str">
        <f t="shared" si="2"/>
        <v>College Recruiter / Talent Advisor</v>
      </c>
      <c r="M2744" s="5" t="str">
        <f t="shared" si="3"/>
        <v> </v>
      </c>
      <c r="N2744" s="5" t="str">
        <f t="shared" si="4"/>
        <v>Intel Corporation</v>
      </c>
      <c r="O2744" s="5" t="str">
        <f t="shared" si="5"/>
        <v>30 years 10 months in role and company</v>
      </c>
      <c r="P2744" s="5" t="str">
        <f t="shared" si="6"/>
        <v>Albuquerque</v>
      </c>
      <c r="Q2744" s="5" t="str">
        <f t="shared" si="7"/>
        <v>New Mexico</v>
      </c>
      <c r="R2744" s="5" t="str">
        <f t="shared" si="8"/>
        <v>United States</v>
      </c>
    </row>
    <row r="2745">
      <c r="A2745" s="8" t="s">
        <v>1693</v>
      </c>
      <c r="B2745" s="5" t="s">
        <v>1690</v>
      </c>
      <c r="C2745" s="5" t="s">
        <v>1691</v>
      </c>
      <c r="D2745" s="6" t="s">
        <v>13</v>
      </c>
      <c r="E2745" s="5" t="s">
        <v>1560</v>
      </c>
      <c r="F2745" s="5" t="s">
        <v>1692</v>
      </c>
      <c r="G2745" s="6" t="s">
        <v>64</v>
      </c>
      <c r="H2745" s="6" t="s">
        <v>65</v>
      </c>
      <c r="I2745" s="5" t="s">
        <v>18</v>
      </c>
      <c r="J2745" s="9" t="str">
        <f>IFERROR(__xludf.DUMMYFUNCTION("""COMPUTED_VALUE"""),"https://www.google.com/search?newwindow=1&amp;ei=2MT0XrvGGM-vytMP1OyDgAY&amp;q=site%3Alinkedin.com+Lagacia+Sims+Customer+Graphics+Software+Program+Manager+Intel+Corporation")</f>
        <v>https://www.google.com/search?newwindow=1&amp;ei=2MT0XrvGGM-vytMP1OyDgAY&amp;q=site%3Alinkedin.com+Lagacia+Sims+Customer+Graphics+Software+Program+Manager+Intel+Corporation</v>
      </c>
      <c r="K2745" s="5" t="str">
        <f t="shared" si="1"/>
        <v>Lagacia Sims</v>
      </c>
      <c r="L2745" s="5" t="str">
        <f t="shared" si="2"/>
        <v>Customer Graphics Software Program Manager</v>
      </c>
      <c r="M2745" s="5" t="str">
        <f t="shared" si="3"/>
        <v> </v>
      </c>
      <c r="N2745" s="5" t="str">
        <f t="shared" si="4"/>
        <v>Intel Corporation</v>
      </c>
      <c r="O2745" s="5" t="str">
        <f t="shared" si="5"/>
        <v>1 year 2 months in role</v>
      </c>
      <c r="P2745" s="5" t="str">
        <f t="shared" si="6"/>
        <v>Folsom</v>
      </c>
      <c r="Q2745" s="5" t="str">
        <f t="shared" si="7"/>
        <v>California</v>
      </c>
      <c r="R2745" s="5" t="str">
        <f t="shared" si="8"/>
        <v>United States</v>
      </c>
    </row>
    <row r="2746">
      <c r="A2746" s="8" t="s">
        <v>1695</v>
      </c>
      <c r="B2746" s="5" t="s">
        <v>1694</v>
      </c>
      <c r="C2746" s="5" t="s">
        <v>1656</v>
      </c>
      <c r="D2746" s="6" t="s">
        <v>13</v>
      </c>
      <c r="E2746" s="5" t="s">
        <v>1560</v>
      </c>
      <c r="F2746" s="5" t="s">
        <v>22</v>
      </c>
      <c r="G2746" s="6" t="s">
        <v>64</v>
      </c>
      <c r="H2746" s="6" t="s">
        <v>65</v>
      </c>
      <c r="I2746" s="5" t="s">
        <v>18</v>
      </c>
      <c r="J2746" s="9" t="str">
        <f>IFERROR(__xludf.DUMMYFUNCTION("""COMPUTED_VALUE"""),"https://www.google.com/search?newwindow=1&amp;ei=2MT0XrvGGM-vytMP1OyDgAY&amp;q=site%3Alinkedin.com+Jason+Clark+TD/OEM+Materials+Manager+and+College+Campus+Recruiter+for+Penn+State+and+Rutgers+Intel+Corporation")</f>
        <v>https://www.google.com/search?newwindow=1&amp;ei=2MT0XrvGGM-vytMP1OyDgAY&amp;q=site%3Alinkedin.com+Jason+Clark+TD/OEM+Materials+Manager+and+College+Campus+Recruiter+for+Penn+State+and+Rutgers+Intel+Corporation</v>
      </c>
      <c r="K2746" s="5" t="str">
        <f t="shared" si="1"/>
        <v>Jason Clark</v>
      </c>
      <c r="L2746" s="5" t="str">
        <f t="shared" si="2"/>
        <v>TD/OEM Materials Manager and College Campus Recruiter for Penn State and Rutgers</v>
      </c>
      <c r="M2746" s="5" t="str">
        <f t="shared" si="3"/>
        <v> </v>
      </c>
      <c r="N2746" s="5" t="str">
        <f t="shared" si="4"/>
        <v>Intel Corporation</v>
      </c>
      <c r="O2746" s="5" t="str">
        <f t="shared" si="5"/>
        <v>3 years 9 months in role</v>
      </c>
      <c r="P2746" s="5" t="str">
        <f t="shared" si="6"/>
        <v>Lake Oswego</v>
      </c>
      <c r="Q2746" s="5" t="str">
        <f t="shared" si="7"/>
        <v>Oregon</v>
      </c>
      <c r="R2746" s="5" t="str">
        <f t="shared" si="8"/>
        <v>United States</v>
      </c>
    </row>
    <row r="2747">
      <c r="A2747" s="7" t="s">
        <v>1697</v>
      </c>
      <c r="B2747" s="5" t="s">
        <v>1696</v>
      </c>
      <c r="C2747" s="5" t="s">
        <v>25</v>
      </c>
      <c r="D2747" s="6" t="s">
        <v>13</v>
      </c>
      <c r="E2747" s="5" t="s">
        <v>1560</v>
      </c>
      <c r="F2747" s="5" t="s">
        <v>345</v>
      </c>
      <c r="G2747" s="5" t="s">
        <v>1274</v>
      </c>
      <c r="H2747" s="5" t="s">
        <v>76</v>
      </c>
      <c r="I2747" s="5" t="s">
        <v>18</v>
      </c>
      <c r="J2747" s="9" t="str">
        <f>IFERROR(__xludf.DUMMYFUNCTION("""COMPUTED_VALUE"""),"https://www.google.com/search?newwindow=1&amp;ei=2MT0XrvGGM-vytMP1OyDgAY&amp;q=site%3Alinkedin.com+Michael+Cvelbar+Campus+Recruiting+Manager+Intel+Corporation")</f>
        <v>https://www.google.com/search?newwindow=1&amp;ei=2MT0XrvGGM-vytMP1OyDgAY&amp;q=site%3Alinkedin.com+Michael+Cvelbar+Campus+Recruiting+Manager+Intel+Corporation</v>
      </c>
      <c r="K2747" s="5" t="str">
        <f t="shared" si="1"/>
        <v>Michael Cvelbar</v>
      </c>
      <c r="L2747" s="5" t="str">
        <f t="shared" si="2"/>
        <v>Campus Recruiting Manager</v>
      </c>
      <c r="M2747" s="5" t="str">
        <f t="shared" si="3"/>
        <v> </v>
      </c>
      <c r="N2747" s="5" t="str">
        <f t="shared" si="4"/>
        <v>Intel Corporation</v>
      </c>
      <c r="O2747" s="5" t="str">
        <f t="shared" si="5"/>
        <v>5 years 7 months in role and company</v>
      </c>
      <c r="P2747" s="5" t="str">
        <f t="shared" si="6"/>
        <v>Tempe</v>
      </c>
      <c r="Q2747" s="5" t="str">
        <f t="shared" si="7"/>
        <v>Arizona</v>
      </c>
      <c r="R2747" s="5" t="str">
        <f t="shared" si="8"/>
        <v>United States</v>
      </c>
    </row>
    <row r="2748">
      <c r="A2748" s="7" t="s">
        <v>1701</v>
      </c>
      <c r="B2748" s="5" t="s">
        <v>1698</v>
      </c>
      <c r="C2748" s="5" t="s">
        <v>1699</v>
      </c>
      <c r="D2748" s="6" t="s">
        <v>13</v>
      </c>
      <c r="E2748" s="5" t="s">
        <v>1560</v>
      </c>
      <c r="F2748" s="5" t="s">
        <v>1148</v>
      </c>
      <c r="G2748" s="5" t="s">
        <v>1700</v>
      </c>
      <c r="H2748" s="5" t="s">
        <v>44</v>
      </c>
      <c r="I2748" s="5" t="s">
        <v>18</v>
      </c>
      <c r="J2748" s="9" t="str">
        <f>IFERROR(__xludf.DUMMYFUNCTION("""COMPUTED_VALUE"""),"https://www.google.com/search?newwindow=1&amp;ei=2MT0XrvGGM-vytMP1OyDgAY&amp;q=site%3Alinkedin.com+Mac+Carpenter+University+Recruiter+Intuit")</f>
        <v>https://www.google.com/search?newwindow=1&amp;ei=2MT0XrvGGM-vytMP1OyDgAY&amp;q=site%3Alinkedin.com+Mac+Carpenter+University+Recruiter+Intuit</v>
      </c>
      <c r="K2748" s="5" t="str">
        <f t="shared" si="1"/>
        <v>Mac Carpenter</v>
      </c>
      <c r="L2748" s="5" t="str">
        <f t="shared" si="2"/>
        <v>University Recruiter</v>
      </c>
      <c r="M2748" s="5" t="str">
        <f t="shared" si="3"/>
        <v> </v>
      </c>
      <c r="N2748" s="5" t="str">
        <f t="shared" si="4"/>
        <v>Intuit</v>
      </c>
      <c r="O2748" s="5" t="str">
        <f t="shared" si="5"/>
        <v>3 years 5 months in role and company</v>
      </c>
      <c r="P2748" s="5" t="str">
        <f t="shared" si="6"/>
        <v>Milwaukee</v>
      </c>
      <c r="Q2748" s="5" t="str">
        <f t="shared" si="7"/>
        <v>Wisconsin</v>
      </c>
      <c r="R2748" s="5" t="str">
        <f t="shared" si="8"/>
        <v>United States</v>
      </c>
    </row>
    <row r="2749">
      <c r="A2749" s="7" t="s">
        <v>1704</v>
      </c>
      <c r="B2749" s="5" t="s">
        <v>1702</v>
      </c>
      <c r="C2749" s="5" t="s">
        <v>1703</v>
      </c>
      <c r="D2749" s="6" t="s">
        <v>13</v>
      </c>
      <c r="E2749" s="5" t="s">
        <v>1560</v>
      </c>
      <c r="F2749" s="5" t="s">
        <v>1098</v>
      </c>
      <c r="G2749" s="5" t="s">
        <v>635</v>
      </c>
      <c r="H2749" s="5" t="s">
        <v>76</v>
      </c>
      <c r="I2749" s="5" t="s">
        <v>18</v>
      </c>
      <c r="J2749" s="9" t="str">
        <f>IFERROR(__xludf.DUMMYFUNCTION("""COMPUTED_VALUE"""),"https://www.google.com/search?newwindow=1&amp;ei=2MT0XrvGGM-vytMP1OyDgAY&amp;q=site%3Alinkedin.com+Eric+Pfeiffer+University+Recruiter+Intuit")</f>
        <v>https://www.google.com/search?newwindow=1&amp;ei=2MT0XrvGGM-vytMP1OyDgAY&amp;q=site%3Alinkedin.com+Eric+Pfeiffer+University+Recruiter+Intuit</v>
      </c>
      <c r="K2749" s="5" t="str">
        <f t="shared" si="1"/>
        <v>Eric Pfeiffer</v>
      </c>
      <c r="L2749" s="5" t="str">
        <f t="shared" si="2"/>
        <v>University Recruiter</v>
      </c>
      <c r="M2749" s="5" t="str">
        <f t="shared" si="3"/>
        <v> </v>
      </c>
      <c r="N2749" s="5" t="str">
        <f t="shared" si="4"/>
        <v>Intuit</v>
      </c>
      <c r="O2749" s="5" t="str">
        <f t="shared" si="5"/>
        <v>2 years 1 month in role</v>
      </c>
      <c r="P2749" s="5" t="str">
        <f t="shared" si="6"/>
        <v>Milwaukee</v>
      </c>
      <c r="Q2749" s="5" t="str">
        <f t="shared" si="7"/>
        <v>Wisconsin</v>
      </c>
      <c r="R2749" s="5" t="str">
        <f t="shared" si="8"/>
        <v>United States</v>
      </c>
    </row>
    <row r="2750">
      <c r="A2750" s="7" t="s">
        <v>1707</v>
      </c>
      <c r="B2750" s="5" t="s">
        <v>1705</v>
      </c>
      <c r="C2750" s="5" t="s">
        <v>1706</v>
      </c>
      <c r="D2750" s="6" t="s">
        <v>13</v>
      </c>
      <c r="E2750" s="5" t="s">
        <v>1560</v>
      </c>
      <c r="F2750" s="5" t="s">
        <v>268</v>
      </c>
      <c r="G2750" s="5" t="s">
        <v>75</v>
      </c>
      <c r="H2750" s="5" t="s">
        <v>76</v>
      </c>
      <c r="I2750" s="5" t="s">
        <v>18</v>
      </c>
      <c r="J2750" s="9" t="str">
        <f>IFERROR(__xludf.DUMMYFUNCTION("""COMPUTED_VALUE"""),"https://www.google.com/search?newwindow=1&amp;ei=2MT0XrvGGM-vytMP1OyDgAY&amp;q=site%3Alinkedin.com+Elizabeth+Klak+University+Recruiter+Intuit")</f>
        <v>https://www.google.com/search?newwindow=1&amp;ei=2MT0XrvGGM-vytMP1OyDgAY&amp;q=site%3Alinkedin.com+Elizabeth+Klak+University+Recruiter+Intuit</v>
      </c>
      <c r="K2750" s="5" t="str">
        <f t="shared" si="1"/>
        <v>Elizabeth Klak</v>
      </c>
      <c r="L2750" s="5" t="str">
        <f t="shared" si="2"/>
        <v>University Recruiter</v>
      </c>
      <c r="M2750" s="5" t="str">
        <f t="shared" si="3"/>
        <v> </v>
      </c>
      <c r="N2750" s="5" t="str">
        <f t="shared" si="4"/>
        <v>Intuit</v>
      </c>
      <c r="O2750" s="5" t="str">
        <f t="shared" si="5"/>
        <v>3 years 8 months in role</v>
      </c>
      <c r="P2750" s="5" t="str">
        <f t="shared" si="6"/>
        <v>Milwaukee</v>
      </c>
      <c r="Q2750" s="5" t="str">
        <f t="shared" si="7"/>
        <v>Wisconsin</v>
      </c>
      <c r="R2750" s="5" t="str">
        <f t="shared" si="8"/>
        <v>United States</v>
      </c>
    </row>
    <row r="2751">
      <c r="A2751" s="7" t="s">
        <v>1709</v>
      </c>
      <c r="B2751" s="5" t="s">
        <v>1708</v>
      </c>
      <c r="C2751" s="5" t="s">
        <v>25</v>
      </c>
      <c r="D2751" s="6" t="s">
        <v>13</v>
      </c>
      <c r="E2751" s="5" t="s">
        <v>1560</v>
      </c>
      <c r="F2751" s="5" t="s">
        <v>268</v>
      </c>
      <c r="G2751" s="5" t="s">
        <v>75</v>
      </c>
      <c r="H2751" s="5" t="s">
        <v>945</v>
      </c>
      <c r="I2751" s="5" t="s">
        <v>18</v>
      </c>
      <c r="J2751" s="9" t="str">
        <f>IFERROR(__xludf.DUMMYFUNCTION("""COMPUTED_VALUE"""),"https://www.google.com/search?newwindow=1&amp;ei=2MT0XrvGGM-vytMP1OyDgAY&amp;q=site%3Alinkedin.com+Cindy+Ng+University+Recruiter+Intuit")</f>
        <v>https://www.google.com/search?newwindow=1&amp;ei=2MT0XrvGGM-vytMP1OyDgAY&amp;q=site%3Alinkedin.com+Cindy+Ng+University+Recruiter+Intuit</v>
      </c>
      <c r="K2751" s="5" t="str">
        <f t="shared" si="1"/>
        <v>Cindy Ng</v>
      </c>
      <c r="L2751" s="5" t="str">
        <f t="shared" si="2"/>
        <v>University Recruiter</v>
      </c>
      <c r="M2751" s="5" t="str">
        <f t="shared" si="3"/>
        <v> </v>
      </c>
      <c r="N2751" s="5" t="str">
        <f t="shared" si="4"/>
        <v>Intuit</v>
      </c>
      <c r="O2751" s="5" t="str">
        <f t="shared" si="5"/>
        <v>3 years 6 months in role</v>
      </c>
      <c r="P2751" s="5" t="str">
        <f t="shared" si="6"/>
        <v>San Diego</v>
      </c>
      <c r="Q2751" s="5" t="str">
        <f t="shared" si="7"/>
        <v>California</v>
      </c>
      <c r="R2751" s="5" t="str">
        <f t="shared" si="8"/>
        <v>United States</v>
      </c>
    </row>
    <row r="2752">
      <c r="A2752" s="7" t="s">
        <v>1711</v>
      </c>
      <c r="B2752" s="5" t="s">
        <v>1710</v>
      </c>
      <c r="C2752" s="5" t="s">
        <v>25</v>
      </c>
      <c r="D2752" s="6" t="s">
        <v>13</v>
      </c>
      <c r="E2752" s="5" t="s">
        <v>1560</v>
      </c>
      <c r="F2752" s="5" t="s">
        <v>188</v>
      </c>
      <c r="G2752" s="5" t="s">
        <v>80</v>
      </c>
      <c r="H2752" s="5" t="s">
        <v>38</v>
      </c>
      <c r="I2752" s="5" t="s">
        <v>18</v>
      </c>
      <c r="J2752" s="9" t="str">
        <f>IFERROR(__xludf.DUMMYFUNCTION("""COMPUTED_VALUE"""),"https://www.google.com/search?newwindow=1&amp;ei=2MT0XrvGGM-vytMP1OyDgAY&amp;q=site%3Alinkedin.com+Ailina+Heim+Senior+University+Recruiter+Intuit")</f>
        <v>https://www.google.com/search?newwindow=1&amp;ei=2MT0XrvGGM-vytMP1OyDgAY&amp;q=site%3Alinkedin.com+Ailina+Heim+Senior+University+Recruiter+Intuit</v>
      </c>
      <c r="K2752" s="5" t="str">
        <f t="shared" si="1"/>
        <v>Ailina Heim</v>
      </c>
      <c r="L2752" s="5" t="str">
        <f t="shared" si="2"/>
        <v>Senior University Recruiter</v>
      </c>
      <c r="M2752" s="5" t="str">
        <f t="shared" si="3"/>
        <v> </v>
      </c>
      <c r="N2752" s="5" t="str">
        <f t="shared" si="4"/>
        <v>Intuit</v>
      </c>
      <c r="O2752" s="5" t="str">
        <f t="shared" si="5"/>
        <v>2 years 3 months in role</v>
      </c>
      <c r="P2752" s="5" t="str">
        <f t="shared" si="6"/>
        <v>San Diego</v>
      </c>
      <c r="Q2752" s="5" t="str">
        <f t="shared" si="7"/>
        <v>California</v>
      </c>
      <c r="R2752" s="5" t="str">
        <f t="shared" si="8"/>
        <v>United States</v>
      </c>
    </row>
    <row r="2753">
      <c r="A2753" s="8" t="s">
        <v>1714</v>
      </c>
      <c r="B2753" s="5" t="s">
        <v>1712</v>
      </c>
      <c r="C2753" s="5" t="s">
        <v>1713</v>
      </c>
      <c r="D2753" s="6" t="s">
        <v>13</v>
      </c>
      <c r="E2753" s="5" t="s">
        <v>1560</v>
      </c>
      <c r="F2753" s="5" t="s">
        <v>421</v>
      </c>
      <c r="G2753" s="5" t="s">
        <v>80</v>
      </c>
      <c r="H2753" s="5" t="s">
        <v>38</v>
      </c>
      <c r="I2753" s="5" t="s">
        <v>18</v>
      </c>
      <c r="J2753" s="9" t="str">
        <f>IFERROR(__xludf.DUMMYFUNCTION("""COMPUTED_VALUE"""),"https://www.google.com/search?newwindow=1&amp;ei=2MT0XrvGGM-vytMP1OyDgAY&amp;q=site%3Alinkedin.com+Lindsay+Birtcil+University+Recruiter+Intuit")</f>
        <v>https://www.google.com/search?newwindow=1&amp;ei=2MT0XrvGGM-vytMP1OyDgAY&amp;q=site%3Alinkedin.com+Lindsay+Birtcil+University+Recruiter+Intuit</v>
      </c>
      <c r="K2753" s="5" t="str">
        <f t="shared" si="1"/>
        <v>Lindsay Birtcil</v>
      </c>
      <c r="L2753" s="5" t="str">
        <f t="shared" si="2"/>
        <v>University Recruiter</v>
      </c>
      <c r="M2753" s="5" t="str">
        <f t="shared" si="3"/>
        <v> </v>
      </c>
      <c r="N2753" s="5" t="str">
        <f t="shared" si="4"/>
        <v>Intuit</v>
      </c>
      <c r="O2753" s="5" t="str">
        <f t="shared" si="5"/>
        <v/>
      </c>
      <c r="P2753" s="5" t="str">
        <f t="shared" si="6"/>
        <v>San Diego</v>
      </c>
      <c r="Q2753" s="5" t="str">
        <f t="shared" si="7"/>
        <v>California</v>
      </c>
      <c r="R2753" s="5" t="str">
        <f t="shared" si="8"/>
        <v>United States</v>
      </c>
    </row>
    <row r="2754">
      <c r="A2754" s="7" t="s">
        <v>1716</v>
      </c>
      <c r="B2754" s="5" t="s">
        <v>1715</v>
      </c>
      <c r="C2754" s="5" t="s">
        <v>25</v>
      </c>
      <c r="D2754" s="6" t="s">
        <v>13</v>
      </c>
      <c r="E2754" s="5" t="s">
        <v>1560</v>
      </c>
      <c r="F2754" s="5" t="s">
        <v>42</v>
      </c>
      <c r="G2754" s="5" t="s">
        <v>80</v>
      </c>
      <c r="H2754" s="5" t="s">
        <v>38</v>
      </c>
      <c r="I2754" s="5" t="s">
        <v>18</v>
      </c>
      <c r="J2754" s="9" t="str">
        <f>IFERROR(__xludf.DUMMYFUNCTION("""COMPUTED_VALUE"""),"https://www.google.com/search?newwindow=1&amp;ei=2MT0XrvGGM-vytMP1OyDgAY&amp;q=site%3Alinkedin.com+Margo+Garcia+Senior+University+Recruiter,+MBA+&amp;+Early+Career+Intuit")</f>
        <v>https://www.google.com/search?newwindow=1&amp;ei=2MT0XrvGGM-vytMP1OyDgAY&amp;q=site%3Alinkedin.com+Margo+Garcia+Senior+University+Recruiter,+MBA+&amp;+Early+Career+Intuit</v>
      </c>
      <c r="K2754" s="5" t="str">
        <f t="shared" si="1"/>
        <v>Margo Garcia</v>
      </c>
      <c r="L2754" s="5" t="str">
        <f t="shared" si="2"/>
        <v>Senior University Recruiter, MBA &amp; Early Career</v>
      </c>
      <c r="M2754" s="5" t="str">
        <f t="shared" si="3"/>
        <v>MBA</v>
      </c>
      <c r="N2754" s="5" t="str">
        <f t="shared" si="4"/>
        <v>Intuit</v>
      </c>
      <c r="O2754" s="5" t="str">
        <f t="shared" si="5"/>
        <v>3 years 3 months in role and company</v>
      </c>
      <c r="P2754" s="5" t="str">
        <f t="shared" si="6"/>
        <v>San Francisco</v>
      </c>
      <c r="Q2754" s="5" t="str">
        <f t="shared" si="7"/>
        <v>California</v>
      </c>
      <c r="R2754" s="5" t="str">
        <f t="shared" si="8"/>
        <v>United States</v>
      </c>
    </row>
    <row r="2755">
      <c r="A2755" s="7" t="s">
        <v>1719</v>
      </c>
      <c r="B2755" s="5" t="s">
        <v>1717</v>
      </c>
      <c r="C2755" s="5" t="s">
        <v>25</v>
      </c>
      <c r="D2755" s="6" t="s">
        <v>13</v>
      </c>
      <c r="E2755" s="5" t="s">
        <v>1560</v>
      </c>
      <c r="F2755" s="5" t="s">
        <v>1718</v>
      </c>
      <c r="G2755" s="5" t="s">
        <v>80</v>
      </c>
      <c r="H2755" s="5" t="s">
        <v>38</v>
      </c>
      <c r="I2755" s="5" t="s">
        <v>18</v>
      </c>
      <c r="J2755" s="9" t="str">
        <f>IFERROR(__xludf.DUMMYFUNCTION("""COMPUTED_VALUE"""),"https://www.google.com/search?newwindow=1&amp;ei=2MT0XrvGGM-vytMP1OyDgAY&amp;q=site%3Alinkedin.com+Kacie+Kaneyuki+University+Recruiter:+Technology+Intuit")</f>
        <v>https://www.google.com/search?newwindow=1&amp;ei=2MT0XrvGGM-vytMP1OyDgAY&amp;q=site%3Alinkedin.com+Kacie+Kaneyuki+University+Recruiter:+Technology+Intuit</v>
      </c>
      <c r="K2755" s="5" t="str">
        <f t="shared" si="1"/>
        <v>Kacie Kaneyuki</v>
      </c>
      <c r="L2755" s="5" t="str">
        <f t="shared" si="2"/>
        <v>University Recruiter: Technology</v>
      </c>
      <c r="M2755" s="5" t="str">
        <f t="shared" si="3"/>
        <v> </v>
      </c>
      <c r="N2755" s="5" t="str">
        <f t="shared" si="4"/>
        <v>Intuit</v>
      </c>
      <c r="O2755" s="5" t="str">
        <f t="shared" si="5"/>
        <v>2 years 3 months in role</v>
      </c>
      <c r="P2755" s="5" t="str">
        <f t="shared" si="6"/>
        <v>San Francisco</v>
      </c>
      <c r="Q2755" s="5" t="str">
        <f t="shared" si="7"/>
        <v>California</v>
      </c>
      <c r="R2755" s="5" t="str">
        <f t="shared" si="8"/>
        <v>United States</v>
      </c>
    </row>
    <row r="2756">
      <c r="A2756" s="8" t="s">
        <v>1722</v>
      </c>
      <c r="B2756" s="5" t="s">
        <v>1720</v>
      </c>
      <c r="C2756" s="5" t="s">
        <v>1721</v>
      </c>
      <c r="D2756" s="6" t="s">
        <v>13</v>
      </c>
      <c r="E2756" s="5" t="s">
        <v>1560</v>
      </c>
      <c r="F2756" s="5" t="s">
        <v>121</v>
      </c>
      <c r="G2756" s="5" t="s">
        <v>80</v>
      </c>
      <c r="H2756" s="5" t="s">
        <v>38</v>
      </c>
      <c r="I2756" s="5" t="s">
        <v>18</v>
      </c>
      <c r="J2756" s="9" t="str">
        <f>IFERROR(__xludf.DUMMYFUNCTION("""COMPUTED_VALUE"""),"https://www.google.com/search?newwindow=1&amp;ei=2MT0XrvGGM-vytMP1OyDgAY&amp;q=site%3Alinkedin.com+Krista+Corsentino+Talent+Solutions+-+Intuit+University+Talent+Acquisition+Manager+Intuit")</f>
        <v>https://www.google.com/search?newwindow=1&amp;ei=2MT0XrvGGM-vytMP1OyDgAY&amp;q=site%3Alinkedin.com+Krista+Corsentino+Talent+Solutions+-+Intuit+University+Talent+Acquisition+Manager+Intuit</v>
      </c>
      <c r="K2756" s="5" t="str">
        <f t="shared" si="1"/>
        <v>Krista Corsentino</v>
      </c>
      <c r="L2756" s="5" t="str">
        <f t="shared" si="2"/>
        <v>Talent Solutions - Intuit University Talent Acquisition Manager</v>
      </c>
      <c r="M2756" s="5" t="str">
        <f t="shared" si="3"/>
        <v> </v>
      </c>
      <c r="N2756" s="5" t="str">
        <f t="shared" si="4"/>
        <v>Intuit</v>
      </c>
      <c r="O2756" s="5" t="str">
        <f t="shared" si="5"/>
        <v>1 year 3 months in role</v>
      </c>
      <c r="P2756" s="5" t="str">
        <f t="shared" si="6"/>
        <v>Tucson</v>
      </c>
      <c r="Q2756" s="5" t="str">
        <f t="shared" si="7"/>
        <v>Arizona</v>
      </c>
      <c r="R2756" s="5" t="str">
        <f t="shared" si="8"/>
        <v>United States</v>
      </c>
    </row>
    <row r="2757">
      <c r="A2757" s="8" t="s">
        <v>1725</v>
      </c>
      <c r="B2757" s="5" t="s">
        <v>1723</v>
      </c>
      <c r="C2757" s="5" t="s">
        <v>1724</v>
      </c>
      <c r="D2757" s="6" t="s">
        <v>13</v>
      </c>
      <c r="E2757" s="5" t="s">
        <v>1560</v>
      </c>
      <c r="F2757" s="5" t="s">
        <v>1105</v>
      </c>
      <c r="G2757" s="5" t="s">
        <v>80</v>
      </c>
      <c r="H2757" s="5" t="s">
        <v>38</v>
      </c>
      <c r="I2757" s="5" t="s">
        <v>18</v>
      </c>
      <c r="J2757" s="9" t="str">
        <f>IFERROR(__xludf.DUMMYFUNCTION("""COMPUTED_VALUE"""),"https://www.google.com/search?newwindow=1&amp;ei=2MT0XrvGGM-vytMP1OyDgAY&amp;q=site%3Alinkedin.com+Erin+Kennedy+Allen,+PHR+College+Recruiter+John+Deere")</f>
        <v>https://www.google.com/search?newwindow=1&amp;ei=2MT0XrvGGM-vytMP1OyDgAY&amp;q=site%3Alinkedin.com+Erin+Kennedy+Allen,+PHR+College+Recruiter+John+Deere</v>
      </c>
      <c r="K2757" s="5" t="str">
        <f t="shared" si="1"/>
        <v>Erin Kennedy Allen, PHR</v>
      </c>
      <c r="L2757" s="5" t="str">
        <f t="shared" si="2"/>
        <v>College Recruiter</v>
      </c>
      <c r="M2757" s="5" t="str">
        <f t="shared" si="3"/>
        <v> </v>
      </c>
      <c r="N2757" s="5" t="str">
        <f t="shared" si="4"/>
        <v>John Deere</v>
      </c>
      <c r="O2757" s="5" t="str">
        <f t="shared" si="5"/>
        <v>12 years 9 months in role</v>
      </c>
      <c r="P2757" s="5" t="str">
        <f t="shared" si="6"/>
        <v>Davenport</v>
      </c>
      <c r="Q2757" s="5" t="str">
        <f t="shared" si="7"/>
        <v>Iowa</v>
      </c>
      <c r="R2757" s="5" t="str">
        <f t="shared" si="8"/>
        <v>United States</v>
      </c>
    </row>
    <row r="2758">
      <c r="A2758" s="7" t="s">
        <v>1727</v>
      </c>
      <c r="B2758" s="5" t="s">
        <v>1726</v>
      </c>
      <c r="C2758" s="5" t="s">
        <v>25</v>
      </c>
      <c r="D2758" s="6" t="s">
        <v>13</v>
      </c>
      <c r="E2758" s="5" t="s">
        <v>1560</v>
      </c>
      <c r="F2758" s="5" t="s">
        <v>626</v>
      </c>
      <c r="G2758" s="5" t="s">
        <v>85</v>
      </c>
      <c r="H2758" s="5" t="s">
        <v>86</v>
      </c>
      <c r="I2758" s="5" t="s">
        <v>18</v>
      </c>
      <c r="J2758" s="9" t="str">
        <f>IFERROR(__xludf.DUMMYFUNCTION("""COMPUTED_VALUE"""),"https://www.google.com/search?newwindow=1&amp;ei=2MT0XrvGGM-vytMP1OyDgAY&amp;q=site%3Alinkedin.com+Liz+Kutzman+University+Relations+Recruiter+John+Deere")</f>
        <v>https://www.google.com/search?newwindow=1&amp;ei=2MT0XrvGGM-vytMP1OyDgAY&amp;q=site%3Alinkedin.com+Liz+Kutzman+University+Relations+Recruiter+John+Deere</v>
      </c>
      <c r="K2758" s="5" t="str">
        <f t="shared" si="1"/>
        <v>Liz Kutzman</v>
      </c>
      <c r="L2758" s="5" t="str">
        <f t="shared" si="2"/>
        <v>University Relations Recruiter</v>
      </c>
      <c r="M2758" s="5" t="str">
        <f t="shared" si="3"/>
        <v> </v>
      </c>
      <c r="N2758" s="5" t="str">
        <f t="shared" si="4"/>
        <v>John Deere</v>
      </c>
      <c r="O2758" s="5" t="str">
        <f t="shared" si="5"/>
        <v>3 years 2 months in role</v>
      </c>
      <c r="P2758" s="5" t="str">
        <f t="shared" si="6"/>
        <v>Moline</v>
      </c>
      <c r="Q2758" s="5" t="str">
        <f t="shared" si="7"/>
        <v>Illinois</v>
      </c>
      <c r="R2758" s="5" t="str">
        <f t="shared" si="8"/>
        <v>United States</v>
      </c>
    </row>
    <row r="2759">
      <c r="A2759" s="7" t="s">
        <v>1730</v>
      </c>
      <c r="B2759" s="5" t="s">
        <v>1728</v>
      </c>
      <c r="C2759" s="5" t="s">
        <v>25</v>
      </c>
      <c r="D2759" s="6" t="s">
        <v>13</v>
      </c>
      <c r="E2759" s="5" t="s">
        <v>1560</v>
      </c>
      <c r="F2759" s="5" t="s">
        <v>1729</v>
      </c>
      <c r="G2759" s="5" t="s">
        <v>85</v>
      </c>
      <c r="H2759" s="5" t="s">
        <v>86</v>
      </c>
      <c r="I2759" s="5" t="s">
        <v>18</v>
      </c>
      <c r="J2759" s="9" t="str">
        <f>IFERROR(__xludf.DUMMYFUNCTION("""COMPUTED_VALUE"""),"https://www.google.com/search?newwindow=1&amp;ei=2MT0XrvGGM-vytMP1OyDgAY&amp;q=site%3Alinkedin.com+Mary+Ann+Lindsay+Retired+University+Relations+Recruiter+John+Deere")</f>
        <v>https://www.google.com/search?newwindow=1&amp;ei=2MT0XrvGGM-vytMP1OyDgAY&amp;q=site%3Alinkedin.com+Mary+Ann+Lindsay+Retired+University+Relations+Recruiter+John+Deere</v>
      </c>
      <c r="K2759" s="5" t="str">
        <f t="shared" si="1"/>
        <v>Mary Ann Lindsay</v>
      </c>
      <c r="L2759" s="5" t="str">
        <f t="shared" si="2"/>
        <v>Retired University Relations Recruiter</v>
      </c>
      <c r="M2759" s="5" t="str">
        <f t="shared" si="3"/>
        <v> </v>
      </c>
      <c r="N2759" s="5" t="str">
        <f t="shared" si="4"/>
        <v>John Deere</v>
      </c>
      <c r="O2759" s="5" t="str">
        <f t="shared" si="5"/>
        <v>1 year 1 month in role</v>
      </c>
      <c r="P2759" s="5" t="str">
        <f t="shared" si="6"/>
        <v>Moline</v>
      </c>
      <c r="Q2759" s="5" t="str">
        <f t="shared" si="7"/>
        <v>Illinois</v>
      </c>
      <c r="R2759" s="5" t="str">
        <f t="shared" si="8"/>
        <v>United States</v>
      </c>
    </row>
    <row r="2760">
      <c r="A2760" s="7" t="s">
        <v>1732</v>
      </c>
      <c r="B2760" s="5" t="s">
        <v>1731</v>
      </c>
      <c r="C2760" s="5" t="s">
        <v>25</v>
      </c>
      <c r="D2760" s="6" t="s">
        <v>13</v>
      </c>
      <c r="E2760" s="5" t="s">
        <v>1560</v>
      </c>
      <c r="F2760" s="5" t="s">
        <v>339</v>
      </c>
      <c r="G2760" s="5" t="s">
        <v>90</v>
      </c>
      <c r="H2760" s="5" t="s">
        <v>91</v>
      </c>
      <c r="I2760" s="5" t="s">
        <v>18</v>
      </c>
      <c r="J2760" s="9" t="str">
        <f>IFERROR(__xludf.DUMMYFUNCTION("""COMPUTED_VALUE"""),"https://www.google.com/search?newwindow=1&amp;ei=2MT0XrvGGM-vytMP1OyDgAY&amp;q=site%3Alinkedin.com+Megan+Osterberg+University+Relations+Recruiter+John+Deere")</f>
        <v>https://www.google.com/search?newwindow=1&amp;ei=2MT0XrvGGM-vytMP1OyDgAY&amp;q=site%3Alinkedin.com+Megan+Osterberg+University+Relations+Recruiter+John+Deere</v>
      </c>
      <c r="K2760" s="5" t="str">
        <f t="shared" si="1"/>
        <v>Megan Osterberg</v>
      </c>
      <c r="L2760" s="5" t="str">
        <f t="shared" si="2"/>
        <v>University Relations Recruiter</v>
      </c>
      <c r="M2760" s="5" t="str">
        <f t="shared" si="3"/>
        <v> </v>
      </c>
      <c r="N2760" s="5" t="str">
        <f t="shared" si="4"/>
        <v>John Deere</v>
      </c>
      <c r="O2760" s="5" t="str">
        <f t="shared" si="5"/>
        <v>4 years  in role</v>
      </c>
      <c r="P2760" s="5" t="str">
        <f t="shared" si="6"/>
        <v>Moline</v>
      </c>
      <c r="Q2760" s="5" t="str">
        <f t="shared" si="7"/>
        <v>Illinois</v>
      </c>
      <c r="R2760" s="5" t="str">
        <f t="shared" si="8"/>
        <v>United States</v>
      </c>
    </row>
    <row r="2761">
      <c r="A2761" s="8" t="s">
        <v>1735</v>
      </c>
      <c r="B2761" s="5" t="s">
        <v>1733</v>
      </c>
      <c r="C2761" s="5" t="s">
        <v>1734</v>
      </c>
      <c r="D2761" s="6" t="s">
        <v>13</v>
      </c>
      <c r="E2761" s="5" t="s">
        <v>1560</v>
      </c>
      <c r="F2761" s="5" t="s">
        <v>175</v>
      </c>
      <c r="G2761" s="5" t="s">
        <v>90</v>
      </c>
      <c r="H2761" s="5" t="s">
        <v>91</v>
      </c>
      <c r="I2761" s="5" t="s">
        <v>18</v>
      </c>
      <c r="J2761" s="9" t="str">
        <f>IFERROR(__xludf.DUMMYFUNCTION("""COMPUTED_VALUE"""),"https://www.google.com/search?newwindow=1&amp;ei=2MT0XrvGGM-vytMP1OyDgAY&amp;q=site%3Alinkedin.com+Krystal+Brindley+HR+Leader,+University+Recruiting+Johnson+&amp;+Johnson")</f>
        <v>https://www.google.com/search?newwindow=1&amp;ei=2MT0XrvGGM-vytMP1OyDgAY&amp;q=site%3Alinkedin.com+Krystal+Brindley+HR+Leader,+University+Recruiting+Johnson+&amp;+Johnson</v>
      </c>
      <c r="K2761" s="5" t="str">
        <f t="shared" si="1"/>
        <v>Krystal Brindley</v>
      </c>
      <c r="L2761" s="5" t="str">
        <f t="shared" si="2"/>
        <v>HR Leader, University Recruiting</v>
      </c>
      <c r="M2761" s="5" t="str">
        <f t="shared" si="3"/>
        <v> </v>
      </c>
      <c r="N2761" s="5" t="str">
        <f t="shared" si="4"/>
        <v>Johnson &amp; Johnson</v>
      </c>
      <c r="O2761" s="5" t="str">
        <f t="shared" si="5"/>
        <v>1 year 6 months in role</v>
      </c>
      <c r="P2761" s="5" t="str">
        <f t="shared" si="6"/>
        <v>Mulberry</v>
      </c>
      <c r="Q2761" s="5" t="str">
        <f t="shared" si="7"/>
        <v>Florida</v>
      </c>
      <c r="R2761" s="5" t="str">
        <f t="shared" si="8"/>
        <v>United States</v>
      </c>
    </row>
    <row r="2762">
      <c r="A2762" s="7" t="s">
        <v>1737</v>
      </c>
      <c r="B2762" s="5" t="s">
        <v>1736</v>
      </c>
      <c r="C2762" s="5" t="s">
        <v>25</v>
      </c>
      <c r="D2762" s="6" t="s">
        <v>13</v>
      </c>
      <c r="E2762" s="5" t="s">
        <v>1560</v>
      </c>
      <c r="F2762" s="5" t="s">
        <v>686</v>
      </c>
      <c r="G2762" s="5" t="s">
        <v>90</v>
      </c>
      <c r="H2762" s="5" t="s">
        <v>91</v>
      </c>
      <c r="I2762" s="5" t="s">
        <v>18</v>
      </c>
      <c r="J2762" s="9" t="str">
        <f>IFERROR(__xludf.DUMMYFUNCTION("""COMPUTED_VALUE"""),"https://www.google.com/search?newwindow=1&amp;ei=2MT0XrvGGM-vytMP1OyDgAY&amp;q=site%3Alinkedin.com+Theresa+Edwards+University+Recruiter+Johnson+&amp;+Johnson")</f>
        <v>https://www.google.com/search?newwindow=1&amp;ei=2MT0XrvGGM-vytMP1OyDgAY&amp;q=site%3Alinkedin.com+Theresa+Edwards+University+Recruiter+Johnson+&amp;+Johnson</v>
      </c>
      <c r="K2762" s="5" t="str">
        <f t="shared" si="1"/>
        <v>Theresa Edwards</v>
      </c>
      <c r="L2762" s="5" t="str">
        <f t="shared" si="2"/>
        <v>University Recruiter</v>
      </c>
      <c r="M2762" s="5" t="str">
        <f t="shared" si="3"/>
        <v> </v>
      </c>
      <c r="N2762" s="5" t="str">
        <f t="shared" si="4"/>
        <v>Johnson &amp; Johnson</v>
      </c>
      <c r="O2762" s="5" t="str">
        <f t="shared" si="5"/>
        <v/>
      </c>
      <c r="P2762" s="5" t="str">
        <f t="shared" si="6"/>
        <v>Skillman</v>
      </c>
      <c r="Q2762" s="5" t="str">
        <f t="shared" si="7"/>
        <v>New Jersey</v>
      </c>
      <c r="R2762" s="5" t="str">
        <f t="shared" si="8"/>
        <v>United States</v>
      </c>
    </row>
    <row r="2763">
      <c r="A2763" s="7" t="s">
        <v>1740</v>
      </c>
      <c r="B2763" s="5" t="s">
        <v>1738</v>
      </c>
      <c r="C2763" s="5" t="s">
        <v>1739</v>
      </c>
      <c r="D2763" s="6" t="s">
        <v>13</v>
      </c>
      <c r="E2763" s="5" t="s">
        <v>1560</v>
      </c>
      <c r="F2763" s="5" t="s">
        <v>712</v>
      </c>
      <c r="G2763" s="5" t="s">
        <v>1187</v>
      </c>
      <c r="H2763" s="5" t="s">
        <v>96</v>
      </c>
      <c r="I2763" s="5" t="s">
        <v>18</v>
      </c>
      <c r="J2763" s="9" t="str">
        <f>IFERROR(__xludf.DUMMYFUNCTION("""COMPUTED_VALUE"""),"https://www.google.com/search?newwindow=1&amp;ei=2MT0XrvGGM-vytMP1OyDgAY&amp;q=site%3Alinkedin.com+Caitlin+O'Shea+Sr.+University+Pipeline+Recruiter+Johnson+&amp;+Johnson")</f>
        <v>https://www.google.com/search?newwindow=1&amp;ei=2MT0XrvGGM-vytMP1OyDgAY&amp;q=site%3Alinkedin.com+Caitlin+O'Shea+Sr.+University+Pipeline+Recruiter+Johnson+&amp;+Johnson</v>
      </c>
      <c r="K2763" s="5" t="str">
        <f t="shared" si="1"/>
        <v>Caitlin O'Shea</v>
      </c>
      <c r="L2763" s="5" t="str">
        <f t="shared" si="2"/>
        <v>Sr. University Pipeline Recruiter</v>
      </c>
      <c r="M2763" s="5" t="str">
        <f t="shared" si="3"/>
        <v> </v>
      </c>
      <c r="N2763" s="5" t="str">
        <f t="shared" si="4"/>
        <v>Johnson &amp; Johnson</v>
      </c>
      <c r="O2763" s="5" t="str">
        <f t="shared" si="5"/>
        <v>2 years 10 months in role</v>
      </c>
      <c r="P2763" s="5" t="str">
        <f t="shared" si="6"/>
        <v>St Petersburg</v>
      </c>
      <c r="Q2763" s="5" t="str">
        <f t="shared" si="7"/>
        <v>Florida</v>
      </c>
      <c r="R2763" s="5" t="str">
        <f t="shared" si="8"/>
        <v>United States</v>
      </c>
    </row>
    <row r="2764">
      <c r="A2764" s="7" t="s">
        <v>1742</v>
      </c>
      <c r="B2764" s="5" t="s">
        <v>1741</v>
      </c>
      <c r="C2764" s="5" t="s">
        <v>25</v>
      </c>
      <c r="D2764" s="6" t="s">
        <v>13</v>
      </c>
      <c r="E2764" s="5" t="s">
        <v>1560</v>
      </c>
      <c r="F2764" s="5" t="s">
        <v>94</v>
      </c>
      <c r="G2764" s="5" t="s">
        <v>112</v>
      </c>
      <c r="H2764" s="5" t="s">
        <v>38</v>
      </c>
      <c r="I2764" s="5" t="s">
        <v>18</v>
      </c>
      <c r="J2764" s="9" t="str">
        <f>IFERROR(__xludf.DUMMYFUNCTION("""COMPUTED_VALUE"""),"https://www.google.com/search?newwindow=1&amp;ei=2MT0XrvGGM-vytMP1OyDgAY&amp;q=site%3Alinkedin.com+Danielle+Sims+University+Recruiter+via+Kelly+OCG+Johnson+&amp;+Johnson")</f>
        <v>https://www.google.com/search?newwindow=1&amp;ei=2MT0XrvGGM-vytMP1OyDgAY&amp;q=site%3Alinkedin.com+Danielle+Sims+University+Recruiter+via+Kelly+OCG+Johnson+&amp;+Johnson</v>
      </c>
      <c r="K2764" s="5" t="str">
        <f t="shared" si="1"/>
        <v>Danielle Sims</v>
      </c>
      <c r="L2764" s="5" t="str">
        <f t="shared" si="2"/>
        <v>University Recruiter via Kelly OCG</v>
      </c>
      <c r="M2764" s="5" t="str">
        <f t="shared" si="3"/>
        <v> </v>
      </c>
      <c r="N2764" s="5" t="str">
        <f t="shared" si="4"/>
        <v>Johnson &amp; Johnson</v>
      </c>
      <c r="O2764" s="5" t="str">
        <f t="shared" si="5"/>
        <v>1 year 1 month in role and company</v>
      </c>
      <c r="P2764" s="5" t="str">
        <f t="shared" si="6"/>
        <v>Tampa</v>
      </c>
      <c r="Q2764" s="5" t="str">
        <f t="shared" si="7"/>
        <v>Florida</v>
      </c>
      <c r="R2764" s="5" t="str">
        <f t="shared" si="8"/>
        <v>United States</v>
      </c>
    </row>
    <row r="2765">
      <c r="A2765" s="7" t="s">
        <v>1745</v>
      </c>
      <c r="B2765" s="5" t="s">
        <v>1743</v>
      </c>
      <c r="C2765" s="5" t="s">
        <v>1744</v>
      </c>
      <c r="D2765" s="6" t="s">
        <v>13</v>
      </c>
      <c r="E2765" s="5" t="s">
        <v>1560</v>
      </c>
      <c r="F2765" s="5" t="s">
        <v>421</v>
      </c>
      <c r="G2765" s="5" t="s">
        <v>112</v>
      </c>
      <c r="H2765" s="5" t="s">
        <v>38</v>
      </c>
      <c r="I2765" s="5" t="s">
        <v>18</v>
      </c>
      <c r="J2765" s="9" t="str">
        <f>IFERROR(__xludf.DUMMYFUNCTION("""COMPUTED_VALUE"""),"https://www.google.com/search?newwindow=1&amp;ei=2MT0XrvGGM-vytMP1OyDgAY&amp;q=site%3Alinkedin.com+Gabriela+Ferra,+TSC,+CSP+Talent+Acquisition+Specialist,+University+Workforce+Recruiter+Johnson+&amp;+Johnson")</f>
        <v>https://www.google.com/search?newwindow=1&amp;ei=2MT0XrvGGM-vytMP1OyDgAY&amp;q=site%3Alinkedin.com+Gabriela+Ferra,+TSC,+CSP+Talent+Acquisition+Specialist,+University+Workforce+Recruiter+Johnson+&amp;+Johnson</v>
      </c>
      <c r="K2765" s="5" t="str">
        <f t="shared" si="1"/>
        <v>Gabriela Ferra, TSC, CSP</v>
      </c>
      <c r="L2765" s="5" t="str">
        <f t="shared" si="2"/>
        <v>Talent Acquisition Specialist, University Workforce Recruiter</v>
      </c>
      <c r="M2765" s="5" t="str">
        <f t="shared" si="3"/>
        <v> </v>
      </c>
      <c r="N2765" s="5" t="str">
        <f t="shared" si="4"/>
        <v>Johnson &amp; Johnson</v>
      </c>
      <c r="O2765" s="5" t="str">
        <f t="shared" si="5"/>
        <v>1 year 6 months in role</v>
      </c>
      <c r="P2765" s="5" t="str">
        <f t="shared" si="6"/>
        <v>Tampa</v>
      </c>
      <c r="Q2765" s="5" t="str">
        <f t="shared" si="7"/>
        <v>Florida</v>
      </c>
      <c r="R2765" s="5" t="str">
        <f t="shared" si="8"/>
        <v>United States</v>
      </c>
    </row>
    <row r="2766">
      <c r="A2766" s="7" t="s">
        <v>1747</v>
      </c>
      <c r="B2766" s="5" t="s">
        <v>1746</v>
      </c>
      <c r="C2766" s="5" t="s">
        <v>25</v>
      </c>
      <c r="D2766" s="6" t="s">
        <v>13</v>
      </c>
      <c r="E2766" s="5" t="s">
        <v>1560</v>
      </c>
      <c r="F2766" s="5" t="s">
        <v>48</v>
      </c>
      <c r="G2766" s="5" t="s">
        <v>112</v>
      </c>
      <c r="H2766" s="5" t="s">
        <v>38</v>
      </c>
      <c r="I2766" s="5" t="s">
        <v>18</v>
      </c>
      <c r="J2766" s="9" t="str">
        <f>IFERROR(__xludf.DUMMYFUNCTION("""COMPUTED_VALUE"""),"https://www.google.com/search?newwindow=1&amp;ei=2MT0XrvGGM-vytMP1OyDgAY&amp;q=site%3Alinkedin.com+Logan+McBride,+PHR,+MBA+University+Recruiter+JPL+(NASA's+Jet+Propulsion+Laboratory)")</f>
        <v>https://www.google.com/search?newwindow=1&amp;ei=2MT0XrvGGM-vytMP1OyDgAY&amp;q=site%3Alinkedin.com+Logan+McBride,+PHR,+MBA+University+Recruiter+JPL+(NASA's+Jet+Propulsion+Laboratory)</v>
      </c>
      <c r="K2766" s="5" t="str">
        <f t="shared" si="1"/>
        <v>Logan McBride, PHR, MBA</v>
      </c>
      <c r="L2766" s="5" t="str">
        <f t="shared" si="2"/>
        <v>University Recruiter</v>
      </c>
      <c r="M2766" s="5" t="str">
        <f t="shared" si="3"/>
        <v> </v>
      </c>
      <c r="N2766" s="5" t="str">
        <f t="shared" si="4"/>
        <v>JPL (NASA's Jet Propulsion Laboratory)</v>
      </c>
      <c r="O2766" s="5" t="str">
        <f t="shared" si="5"/>
        <v>5 years 5 months in role and company</v>
      </c>
      <c r="P2766" s="5" t="str">
        <f t="shared" si="6"/>
        <v>Pasadena</v>
      </c>
      <c r="Q2766" s="5" t="str">
        <f t="shared" si="7"/>
        <v>California</v>
      </c>
      <c r="R2766" s="5" t="str">
        <f t="shared" si="8"/>
        <v>United States</v>
      </c>
    </row>
    <row r="2767">
      <c r="A2767" s="8" t="s">
        <v>1749</v>
      </c>
      <c r="B2767" s="5" t="s">
        <v>1748</v>
      </c>
      <c r="C2767" s="5" t="s">
        <v>1656</v>
      </c>
      <c r="D2767" s="6" t="s">
        <v>13</v>
      </c>
      <c r="E2767" s="5" t="s">
        <v>1560</v>
      </c>
      <c r="F2767" s="5" t="s">
        <v>277</v>
      </c>
      <c r="G2767" s="5" t="s">
        <v>112</v>
      </c>
      <c r="H2767" s="5" t="s">
        <v>38</v>
      </c>
      <c r="I2767" s="5" t="s">
        <v>18</v>
      </c>
      <c r="J2767" s="9" t="str">
        <f>IFERROR(__xludf.DUMMYFUNCTION("""COMPUTED_VALUE"""),"https://www.google.com/search?newwindow=1&amp;ei=2MT0XrvGGM-vytMP1OyDgAY&amp;q=site%3Alinkedin.com+Chelsea+Manowczak+Campus+Recruiter+J.P.+Morgan")</f>
        <v>https://www.google.com/search?newwindow=1&amp;ei=2MT0XrvGGM-vytMP1OyDgAY&amp;q=site%3Alinkedin.com+Chelsea+Manowczak+Campus+Recruiter+J.P.+Morgan</v>
      </c>
      <c r="K2767" s="5" t="str">
        <f t="shared" si="1"/>
        <v>Chelsea Manowczak</v>
      </c>
      <c r="L2767" s="5" t="str">
        <f t="shared" si="2"/>
        <v>Campus Recruiter</v>
      </c>
      <c r="M2767" s="5" t="str">
        <f t="shared" si="3"/>
        <v> </v>
      </c>
      <c r="N2767" s="5" t="str">
        <f t="shared" si="4"/>
        <v>JPMorgan Chase</v>
      </c>
      <c r="O2767" s="5" t="str">
        <f t="shared" si="5"/>
        <v>6 years 2 months in role and company</v>
      </c>
      <c r="P2767" s="5" t="str">
        <f t="shared" si="6"/>
        <v>Hoboken</v>
      </c>
      <c r="Q2767" s="5" t="str">
        <f t="shared" si="7"/>
        <v>New Jersey</v>
      </c>
      <c r="R2767" s="5" t="str">
        <f t="shared" si="8"/>
        <v>United States</v>
      </c>
    </row>
    <row r="2768">
      <c r="A2768" s="7" t="s">
        <v>1752</v>
      </c>
      <c r="B2768" s="5" t="s">
        <v>1750</v>
      </c>
      <c r="C2768" s="5" t="s">
        <v>25</v>
      </c>
      <c r="D2768" s="6" t="s">
        <v>13</v>
      </c>
      <c r="E2768" s="5" t="s">
        <v>1560</v>
      </c>
      <c r="F2768" s="5" t="s">
        <v>1751</v>
      </c>
      <c r="G2768" s="5" t="s">
        <v>112</v>
      </c>
      <c r="H2768" s="5" t="s">
        <v>38</v>
      </c>
      <c r="I2768" s="5" t="s">
        <v>18</v>
      </c>
      <c r="J2768" s="9" t="str">
        <f>IFERROR(__xludf.DUMMYFUNCTION("""COMPUTED_VALUE"""),"https://www.google.com/search?newwindow=1&amp;ei=2MT0XrvGGM-vytMP1OyDgAY&amp;q=site%3Alinkedin.com+Elizabeth+Naylor+Campus+Recruiting+&amp;+Analyst+Program+Manager+J.P.+Morgan")</f>
        <v>https://www.google.com/search?newwindow=1&amp;ei=2MT0XrvGGM-vytMP1OyDgAY&amp;q=site%3Alinkedin.com+Elizabeth+Naylor+Campus+Recruiting+&amp;+Analyst+Program+Manager+J.P.+Morgan</v>
      </c>
      <c r="K2768" s="5" t="str">
        <f t="shared" si="1"/>
        <v>Elizabeth Naylor</v>
      </c>
      <c r="L2768" s="5" t="str">
        <f t="shared" si="2"/>
        <v>Campus Recruiting &amp; Analyst Program Manager</v>
      </c>
      <c r="M2768" s="5" t="str">
        <f t="shared" si="3"/>
        <v> </v>
      </c>
      <c r="N2768" s="5" t="str">
        <f t="shared" si="4"/>
        <v>JPMorgan Chase</v>
      </c>
      <c r="O2768" s="5" t="str">
        <f t="shared" si="5"/>
        <v>7 years 3 months in role</v>
      </c>
      <c r="P2768" s="5" t="str">
        <f t="shared" si="6"/>
        <v>New York</v>
      </c>
      <c r="Q2768" s="5" t="str">
        <f t="shared" si="7"/>
        <v>New York</v>
      </c>
      <c r="R2768" s="5" t="str">
        <f t="shared" si="8"/>
        <v>United States</v>
      </c>
    </row>
    <row r="2769">
      <c r="A2769" s="7" t="s">
        <v>1754</v>
      </c>
      <c r="B2769" s="5" t="s">
        <v>1753</v>
      </c>
      <c r="C2769" s="5" t="s">
        <v>25</v>
      </c>
      <c r="D2769" s="6" t="s">
        <v>13</v>
      </c>
      <c r="E2769" s="5" t="s">
        <v>1560</v>
      </c>
      <c r="F2769" s="5" t="s">
        <v>268</v>
      </c>
      <c r="G2769" s="5" t="s">
        <v>112</v>
      </c>
      <c r="H2769" s="5" t="s">
        <v>38</v>
      </c>
      <c r="I2769" s="5" t="s">
        <v>18</v>
      </c>
      <c r="J2769" s="9" t="str">
        <f>IFERROR(__xludf.DUMMYFUNCTION("""COMPUTED_VALUE"""),"https://www.google.com/search?newwindow=1&amp;ei=2MT0XrvGGM-vytMP1OyDgAY&amp;q=site%3Alinkedin.com+Wanda+Mendez+Campus+Recruiter+J.P.+Morgan")</f>
        <v>https://www.google.com/search?newwindow=1&amp;ei=2MT0XrvGGM-vytMP1OyDgAY&amp;q=site%3Alinkedin.com+Wanda+Mendez+Campus+Recruiter+J.P.+Morgan</v>
      </c>
      <c r="K2769" s="5" t="str">
        <f t="shared" si="1"/>
        <v>Wanda Mendez</v>
      </c>
      <c r="L2769" s="5" t="str">
        <f t="shared" si="2"/>
        <v>Campus Recruiter</v>
      </c>
      <c r="M2769" s="5" t="str">
        <f t="shared" si="3"/>
        <v> </v>
      </c>
      <c r="N2769" s="5" t="str">
        <f t="shared" si="4"/>
        <v>JPMorgan Chase</v>
      </c>
      <c r="O2769" s="5" t="str">
        <f t="shared" si="5"/>
        <v/>
      </c>
      <c r="P2769" s="5" t="str">
        <f t="shared" si="6"/>
        <v>New York</v>
      </c>
      <c r="Q2769" s="5" t="str">
        <f t="shared" si="7"/>
        <v>New York</v>
      </c>
      <c r="R2769" s="5" t="str">
        <f t="shared" si="8"/>
        <v>United States</v>
      </c>
    </row>
    <row r="2770">
      <c r="A2770" s="7" t="s">
        <v>1757</v>
      </c>
      <c r="B2770" s="5" t="s">
        <v>1755</v>
      </c>
      <c r="C2770" s="5" t="s">
        <v>1756</v>
      </c>
      <c r="D2770" s="6" t="s">
        <v>13</v>
      </c>
      <c r="E2770" s="5" t="s">
        <v>1560</v>
      </c>
      <c r="F2770" s="5" t="s">
        <v>421</v>
      </c>
      <c r="G2770" s="5" t="s">
        <v>112</v>
      </c>
      <c r="H2770" s="5" t="s">
        <v>38</v>
      </c>
      <c r="I2770" s="5" t="s">
        <v>18</v>
      </c>
      <c r="J2770" s="9" t="str">
        <f>IFERROR(__xludf.DUMMYFUNCTION("""COMPUTED_VALUE"""),"https://www.google.com/search?newwindow=1&amp;ei=2MT0XrvGGM-vytMP1OyDgAY&amp;q=site%3Alinkedin.com+Mitchel+Pardes+Campus+Recruiter,+AI+&amp;+Machine+Learning+/+Quantitative+Research+J.P.+Morgan")</f>
        <v>https://www.google.com/search?newwindow=1&amp;ei=2MT0XrvGGM-vytMP1OyDgAY&amp;q=site%3Alinkedin.com+Mitchel+Pardes+Campus+Recruiter,+AI+&amp;+Machine+Learning+/+Quantitative+Research+J.P.+Morgan</v>
      </c>
      <c r="K2770" s="5" t="str">
        <f t="shared" si="1"/>
        <v>Mitchel Pardes</v>
      </c>
      <c r="L2770" s="5" t="str">
        <f t="shared" si="2"/>
        <v>Campus Recruiter, AI &amp; Machine Learning / Quantitative Research</v>
      </c>
      <c r="M2770" s="5" t="str">
        <f t="shared" si="3"/>
        <v> </v>
      </c>
      <c r="N2770" s="5" t="str">
        <f t="shared" si="4"/>
        <v>JPMorgan Chase</v>
      </c>
      <c r="O2770" s="5" t="str">
        <f t="shared" si="5"/>
        <v>1 year 7 months in role</v>
      </c>
      <c r="P2770" s="5" t="str">
        <f t="shared" si="6"/>
        <v>New York</v>
      </c>
      <c r="Q2770" s="5" t="str">
        <f t="shared" si="7"/>
        <v>New York</v>
      </c>
      <c r="R2770" s="5" t="str">
        <f t="shared" si="8"/>
        <v>United States</v>
      </c>
    </row>
    <row r="2771">
      <c r="A2771" s="7" t="s">
        <v>1760</v>
      </c>
      <c r="B2771" s="5" t="s">
        <v>1758</v>
      </c>
      <c r="C2771" s="5" t="s">
        <v>25</v>
      </c>
      <c r="D2771" s="6" t="s">
        <v>13</v>
      </c>
      <c r="E2771" s="5" t="s">
        <v>1560</v>
      </c>
      <c r="F2771" s="5" t="s">
        <v>1759</v>
      </c>
      <c r="G2771" s="5" t="s">
        <v>1527</v>
      </c>
      <c r="H2771" s="5" t="s">
        <v>945</v>
      </c>
      <c r="I2771" s="5" t="s">
        <v>18</v>
      </c>
      <c r="J2771" s="9" t="str">
        <f>IFERROR(__xludf.DUMMYFUNCTION("""COMPUTED_VALUE"""),"https://www.google.com/search?newwindow=1&amp;ei=2MT0XrvGGM-vytMP1OyDgAY&amp;q=site%3Alinkedin.com+Ana+Sofia+Silva+Asset+&amp;+Wealth+Management+Campus+Recruiter+J.P.+Morgan")</f>
        <v>https://www.google.com/search?newwindow=1&amp;ei=2MT0XrvGGM-vytMP1OyDgAY&amp;q=site%3Alinkedin.com+Ana+Sofia+Silva+Asset+&amp;+Wealth+Management+Campus+Recruiter+J.P.+Morgan</v>
      </c>
      <c r="K2771" s="5" t="str">
        <f t="shared" si="1"/>
        <v>Ana Sofia Silva</v>
      </c>
      <c r="L2771" s="5" t="str">
        <f t="shared" si="2"/>
        <v>Asset &amp; Wealth Management Campus Recruiter</v>
      </c>
      <c r="M2771" s="5" t="str">
        <f t="shared" si="3"/>
        <v> </v>
      </c>
      <c r="N2771" s="5" t="str">
        <f t="shared" si="4"/>
        <v>JPMorgan Chase</v>
      </c>
      <c r="O2771" s="5" t="str">
        <f t="shared" si="5"/>
        <v>7 months in role</v>
      </c>
      <c r="P2771" s="5" t="str">
        <f t="shared" si="6"/>
        <v>New York</v>
      </c>
      <c r="Q2771" s="5" t="str">
        <f t="shared" si="7"/>
        <v>New York</v>
      </c>
      <c r="R2771" s="5" t="str">
        <f t="shared" si="8"/>
        <v>United States</v>
      </c>
    </row>
    <row r="2772">
      <c r="A2772" s="7" t="s">
        <v>1762</v>
      </c>
      <c r="B2772" s="5" t="s">
        <v>1761</v>
      </c>
      <c r="C2772" s="5" t="s">
        <v>25</v>
      </c>
      <c r="D2772" s="6" t="s">
        <v>13</v>
      </c>
      <c r="E2772" s="5" t="s">
        <v>1560</v>
      </c>
      <c r="F2772" s="5" t="s">
        <v>331</v>
      </c>
      <c r="G2772" s="5" t="s">
        <v>1449</v>
      </c>
      <c r="H2772" s="5" t="s">
        <v>203</v>
      </c>
      <c r="I2772" s="5" t="s">
        <v>18</v>
      </c>
      <c r="J2772" s="9" t="str">
        <f>IFERROR(__xludf.DUMMYFUNCTION("""COMPUTED_VALUE"""),"https://www.google.com/search?newwindow=1&amp;ei=2MT0XrvGGM-vytMP1OyDgAY&amp;q=site%3Alinkedin.com+Michelle+Hall+Senior+Wealth+Management+Campus+Recruiter+J.P.+Morgan")</f>
        <v>https://www.google.com/search?newwindow=1&amp;ei=2MT0XrvGGM-vytMP1OyDgAY&amp;q=site%3Alinkedin.com+Michelle+Hall+Senior+Wealth+Management+Campus+Recruiter+J.P.+Morgan</v>
      </c>
      <c r="K2772" s="5" t="str">
        <f t="shared" si="1"/>
        <v>Michelle Hall</v>
      </c>
      <c r="L2772" s="5" t="str">
        <f t="shared" si="2"/>
        <v>Senior Wealth Management Campus Recruiter</v>
      </c>
      <c r="M2772" s="5" t="str">
        <f t="shared" si="3"/>
        <v> </v>
      </c>
      <c r="N2772" s="5" t="str">
        <f t="shared" si="4"/>
        <v>JPMorgan Chase</v>
      </c>
      <c r="O2772" s="5" t="str">
        <f t="shared" si="5"/>
        <v>1 year 2 months in role</v>
      </c>
      <c r="P2772" s="5" t="str">
        <f t="shared" si="6"/>
        <v>Ponte Vedra Beach</v>
      </c>
      <c r="Q2772" s="5" t="str">
        <f t="shared" si="7"/>
        <v>Florida</v>
      </c>
      <c r="R2772" s="5" t="str">
        <f t="shared" si="8"/>
        <v>United States</v>
      </c>
    </row>
    <row r="2773">
      <c r="A2773" s="7" t="s">
        <v>1764</v>
      </c>
      <c r="B2773" s="5" t="s">
        <v>1763</v>
      </c>
      <c r="C2773" s="5" t="s">
        <v>25</v>
      </c>
      <c r="D2773" s="6" t="s">
        <v>13</v>
      </c>
      <c r="E2773" s="5" t="s">
        <v>1560</v>
      </c>
      <c r="F2773" s="5" t="s">
        <v>192</v>
      </c>
      <c r="G2773" s="5" t="s">
        <v>1449</v>
      </c>
      <c r="H2773" s="5" t="s">
        <v>203</v>
      </c>
      <c r="I2773" s="5" t="s">
        <v>18</v>
      </c>
      <c r="J2773" s="9" t="str">
        <f>IFERROR(__xludf.DUMMYFUNCTION("""COMPUTED_VALUE"""),"https://www.google.com/search?newwindow=1&amp;ei=2MT0XrvGGM-vytMP1OyDgAY&amp;q=site%3Alinkedin.com+Amy+Benton+Human+Resources,+Firmwide+Campus+Recruiting+Operations+Manager+JPMorgan+Chase")</f>
        <v>https://www.google.com/search?newwindow=1&amp;ei=2MT0XrvGGM-vytMP1OyDgAY&amp;q=site%3Alinkedin.com+Amy+Benton+Human+Resources,+Firmwide+Campus+Recruiting+Operations+Manager+JPMorgan+Chase</v>
      </c>
      <c r="K2773" s="5" t="str">
        <f t="shared" si="1"/>
        <v>Amy Benton</v>
      </c>
      <c r="L2773" s="5" t="str">
        <f t="shared" si="2"/>
        <v>Human Resources, Firmwide Campus Recruiting Operations Manager</v>
      </c>
      <c r="M2773" s="5" t="str">
        <f t="shared" si="3"/>
        <v> </v>
      </c>
      <c r="N2773" s="5" t="str">
        <f t="shared" si="4"/>
        <v>JPMorgan Chase</v>
      </c>
      <c r="O2773" s="5" t="str">
        <f t="shared" si="5"/>
        <v>4 years 2 months in role</v>
      </c>
      <c r="P2773" s="5" t="str">
        <f t="shared" si="6"/>
        <v>Bear</v>
      </c>
      <c r="Q2773" s="5" t="str">
        <f t="shared" si="7"/>
        <v>Delaware</v>
      </c>
      <c r="R2773" s="5" t="str">
        <f t="shared" si="8"/>
        <v>United States</v>
      </c>
    </row>
    <row r="2774">
      <c r="A2774" s="7" t="s">
        <v>1767</v>
      </c>
      <c r="B2774" s="5" t="s">
        <v>1765</v>
      </c>
      <c r="C2774" s="5" t="s">
        <v>1766</v>
      </c>
      <c r="D2774" s="6" t="s">
        <v>13</v>
      </c>
      <c r="E2774" s="5" t="s">
        <v>1560</v>
      </c>
      <c r="F2774" s="5" t="s">
        <v>268</v>
      </c>
      <c r="G2774" s="5" t="s">
        <v>122</v>
      </c>
      <c r="H2774" s="5" t="s">
        <v>44</v>
      </c>
      <c r="I2774" s="5" t="s">
        <v>18</v>
      </c>
      <c r="J2774" s="9" t="str">
        <f>IFERROR(__xludf.DUMMYFUNCTION("""COMPUTED_VALUE"""),"https://www.google.com/search?newwindow=1&amp;ei=2MT0XrvGGM-vytMP1OyDgAY&amp;q=site%3Alinkedin.com+Kate+Cooper+University+Relations+-+Recruiter+JPMorgan+Chase")</f>
        <v>https://www.google.com/search?newwindow=1&amp;ei=2MT0XrvGGM-vytMP1OyDgAY&amp;q=site%3Alinkedin.com+Kate+Cooper+University+Relations+-+Recruiter+JPMorgan+Chase</v>
      </c>
      <c r="K2774" s="5" t="str">
        <f t="shared" si="1"/>
        <v>Kate Cooper</v>
      </c>
      <c r="L2774" s="5" t="str">
        <f t="shared" si="2"/>
        <v>University Relations - Recruiter</v>
      </c>
      <c r="M2774" s="5" t="str">
        <f t="shared" si="3"/>
        <v> </v>
      </c>
      <c r="N2774" s="5" t="str">
        <f t="shared" si="4"/>
        <v>JPMorgan Chase</v>
      </c>
      <c r="O2774" s="5" t="str">
        <f t="shared" si="5"/>
        <v>9 years 9 months in role</v>
      </c>
      <c r="P2774" s="5" t="str">
        <f t="shared" si="6"/>
        <v>Columbus</v>
      </c>
      <c r="Q2774" s="5" t="str">
        <f t="shared" si="7"/>
        <v>Ohio</v>
      </c>
      <c r="R2774" s="5" t="str">
        <f t="shared" si="8"/>
        <v>United States</v>
      </c>
    </row>
    <row r="2775">
      <c r="A2775" s="8" t="s">
        <v>1770</v>
      </c>
      <c r="B2775" s="5" t="s">
        <v>1768</v>
      </c>
      <c r="C2775" s="5" t="s">
        <v>1769</v>
      </c>
      <c r="D2775" s="6" t="s">
        <v>13</v>
      </c>
      <c r="E2775" s="5" t="s">
        <v>1560</v>
      </c>
      <c r="F2775" s="5" t="s">
        <v>488</v>
      </c>
      <c r="G2775" s="5" t="s">
        <v>122</v>
      </c>
      <c r="H2775" s="5" t="s">
        <v>44</v>
      </c>
      <c r="I2775" s="5" t="s">
        <v>18</v>
      </c>
      <c r="J2775" s="9" t="str">
        <f>IFERROR(__xludf.DUMMYFUNCTION("""COMPUTED_VALUE"""),"https://www.google.com/search?newwindow=1&amp;ei=2MT0XrvGGM-vytMP1OyDgAY&amp;q=site%3Alinkedin.com+Giselle+Abreu+Associate+Campus+Recruiter+JPMorgan+Chase+&amp;+Co.")</f>
        <v>https://www.google.com/search?newwindow=1&amp;ei=2MT0XrvGGM-vytMP1OyDgAY&amp;q=site%3Alinkedin.com+Giselle+Abreu+Associate+Campus+Recruiter+JPMorgan+Chase+&amp;+Co.</v>
      </c>
      <c r="K2775" s="5" t="str">
        <f t="shared" si="1"/>
        <v>Giselle Abreu</v>
      </c>
      <c r="L2775" s="5" t="str">
        <f t="shared" si="2"/>
        <v>Associate Campus Recruiter</v>
      </c>
      <c r="M2775" s="5" t="str">
        <f t="shared" si="3"/>
        <v> </v>
      </c>
      <c r="N2775" s="5" t="str">
        <f t="shared" si="4"/>
        <v>JPMorgan Chase</v>
      </c>
      <c r="O2775" s="5" t="str">
        <f t="shared" si="5"/>
        <v>10 months in role</v>
      </c>
      <c r="P2775" s="5" t="str">
        <f t="shared" si="6"/>
        <v>Brooklyn</v>
      </c>
      <c r="Q2775" s="5" t="str">
        <f t="shared" si="7"/>
        <v>New York</v>
      </c>
      <c r="R2775" s="5" t="str">
        <f t="shared" si="8"/>
        <v>United States</v>
      </c>
    </row>
    <row r="2776">
      <c r="A2776" s="8" t="s">
        <v>1773</v>
      </c>
      <c r="B2776" s="5" t="s">
        <v>1771</v>
      </c>
      <c r="C2776" s="5" t="s">
        <v>1772</v>
      </c>
      <c r="D2776" s="6" t="s">
        <v>13</v>
      </c>
      <c r="E2776" s="5" t="s">
        <v>1560</v>
      </c>
      <c r="F2776" s="5" t="s">
        <v>277</v>
      </c>
      <c r="G2776" s="5" t="s">
        <v>122</v>
      </c>
      <c r="H2776" s="5" t="s">
        <v>44</v>
      </c>
      <c r="I2776" s="5" t="s">
        <v>18</v>
      </c>
      <c r="J2776" s="9" t="str">
        <f>IFERROR(__xludf.DUMMYFUNCTION("""COMPUTED_VALUE"""),"https://www.google.com/search?newwindow=1&amp;ei=2MT0XrvGGM-vytMP1OyDgAY&amp;q=site%3Alinkedin.com+Blake+Johnson+Firmwide+Diversity+Campus+Recruiting+JPMorgan+Chase+&amp;+Co.")</f>
        <v>https://www.google.com/search?newwindow=1&amp;ei=2MT0XrvGGM-vytMP1OyDgAY&amp;q=site%3Alinkedin.com+Blake+Johnson+Firmwide+Diversity+Campus+Recruiting+JPMorgan+Chase+&amp;+Co.</v>
      </c>
      <c r="K2776" s="5" t="str">
        <f t="shared" si="1"/>
        <v>Blake Johnson</v>
      </c>
      <c r="L2776" s="5" t="str">
        <f t="shared" si="2"/>
        <v>Firmwide Diversity Campus Recruiting</v>
      </c>
      <c r="M2776" s="5" t="str">
        <f t="shared" si="3"/>
        <v> </v>
      </c>
      <c r="N2776" s="5" t="str">
        <f t="shared" si="4"/>
        <v>JPMorgan Chase</v>
      </c>
      <c r="O2776" s="5" t="str">
        <f t="shared" si="5"/>
        <v>7 months in role</v>
      </c>
      <c r="P2776" s="5" t="str">
        <f t="shared" si="6"/>
        <v>Chicago</v>
      </c>
      <c r="Q2776" s="5" t="str">
        <f t="shared" si="7"/>
        <v>Illinois</v>
      </c>
      <c r="R2776" s="5" t="str">
        <f t="shared" si="8"/>
        <v>United States</v>
      </c>
    </row>
    <row r="2777">
      <c r="A2777" s="7" t="s">
        <v>1776</v>
      </c>
      <c r="B2777" s="5" t="s">
        <v>1774</v>
      </c>
      <c r="C2777" s="5" t="s">
        <v>1775</v>
      </c>
      <c r="D2777" s="6" t="s">
        <v>13</v>
      </c>
      <c r="E2777" s="5" t="s">
        <v>1560</v>
      </c>
      <c r="F2777" s="5" t="s">
        <v>79</v>
      </c>
      <c r="G2777" s="5" t="s">
        <v>122</v>
      </c>
      <c r="H2777" s="5" t="s">
        <v>44</v>
      </c>
      <c r="I2777" s="5" t="s">
        <v>18</v>
      </c>
      <c r="J2777" s="9" t="str">
        <f>IFERROR(__xludf.DUMMYFUNCTION("""COMPUTED_VALUE"""),"https://www.google.com/search?newwindow=1&amp;ei=2MT0XrvGGM-vytMP1OyDgAY&amp;q=site%3Alinkedin.com+Samantha+Mastellone+Associate+Campus+Recruiter+JPMorgan+Chase+&amp;+Co.")</f>
        <v>https://www.google.com/search?newwindow=1&amp;ei=2MT0XrvGGM-vytMP1OyDgAY&amp;q=site%3Alinkedin.com+Samantha+Mastellone+Associate+Campus+Recruiter+JPMorgan+Chase+&amp;+Co.</v>
      </c>
      <c r="K2777" s="5" t="str">
        <f t="shared" si="1"/>
        <v>Samantha Mastellone</v>
      </c>
      <c r="L2777" s="5" t="str">
        <f t="shared" si="2"/>
        <v>Associate Campus Recruiter</v>
      </c>
      <c r="M2777" s="5" t="str">
        <f t="shared" si="3"/>
        <v> </v>
      </c>
      <c r="N2777" s="5" t="str">
        <f t="shared" si="4"/>
        <v>JPMorgan Chase</v>
      </c>
      <c r="O2777" s="5" t="str">
        <f t="shared" si="5"/>
        <v>9 months in role</v>
      </c>
      <c r="P2777" s="5" t="str">
        <f t="shared" si="6"/>
        <v>Chicago</v>
      </c>
      <c r="Q2777" s="5" t="str">
        <f t="shared" si="7"/>
        <v>Illinois</v>
      </c>
      <c r="R2777" s="5" t="str">
        <f t="shared" si="8"/>
        <v>United States</v>
      </c>
    </row>
    <row r="2778">
      <c r="A2778" s="7" t="s">
        <v>1778</v>
      </c>
      <c r="B2778" s="5" t="s">
        <v>1777</v>
      </c>
      <c r="C2778" s="5" t="s">
        <v>25</v>
      </c>
      <c r="D2778" s="6" t="s">
        <v>13</v>
      </c>
      <c r="E2778" s="5" t="s">
        <v>1560</v>
      </c>
      <c r="F2778" s="5" t="s">
        <v>207</v>
      </c>
      <c r="G2778" s="5" t="s">
        <v>122</v>
      </c>
      <c r="H2778" s="5" t="s">
        <v>44</v>
      </c>
      <c r="I2778" s="5" t="s">
        <v>18</v>
      </c>
      <c r="J2778" s="9" t="str">
        <f>IFERROR(__xludf.DUMMYFUNCTION("""COMPUTED_VALUE"""),"https://www.google.com/search?newwindow=1&amp;ei=2MT0XrvGGM-vytMP1OyDgAY&amp;q=site%3Alinkedin.com+Julie+Cochran+Campus+Recruiter,+Corporate+and+Investment+Bank+JPMorgan+Chase+&amp;+Co.")</f>
        <v>https://www.google.com/search?newwindow=1&amp;ei=2MT0XrvGGM-vytMP1OyDgAY&amp;q=site%3Alinkedin.com+Julie+Cochran+Campus+Recruiter,+Corporate+and+Investment+Bank+JPMorgan+Chase+&amp;+Co.</v>
      </c>
      <c r="K2778" s="5" t="str">
        <f t="shared" si="1"/>
        <v>Julie Cochran</v>
      </c>
      <c r="L2778" s="5" t="str">
        <f t="shared" si="2"/>
        <v>Campus Recruiter, Corporate and Investment Bank</v>
      </c>
      <c r="M2778" s="5" t="str">
        <f t="shared" si="3"/>
        <v> </v>
      </c>
      <c r="N2778" s="5" t="str">
        <f t="shared" si="4"/>
        <v>JPMorgan Chase</v>
      </c>
      <c r="O2778" s="5" t="str">
        <f t="shared" si="5"/>
        <v>1 year 4 months in role</v>
      </c>
      <c r="P2778" s="5" t="str">
        <f t="shared" si="6"/>
        <v>Chicago</v>
      </c>
      <c r="Q2778" s="5" t="str">
        <f t="shared" si="7"/>
        <v>Illinois</v>
      </c>
      <c r="R2778" s="5" t="str">
        <f t="shared" si="8"/>
        <v>United States</v>
      </c>
    </row>
    <row r="2779">
      <c r="A2779" s="8" t="s">
        <v>1781</v>
      </c>
      <c r="B2779" s="5" t="s">
        <v>1779</v>
      </c>
      <c r="C2779" s="5" t="s">
        <v>1780</v>
      </c>
      <c r="D2779" s="6" t="s">
        <v>13</v>
      </c>
      <c r="E2779" s="5" t="s">
        <v>1560</v>
      </c>
      <c r="F2779" s="5" t="s">
        <v>1123</v>
      </c>
      <c r="G2779" s="5" t="s">
        <v>122</v>
      </c>
      <c r="H2779" s="5" t="s">
        <v>44</v>
      </c>
      <c r="I2779" s="5" t="s">
        <v>18</v>
      </c>
      <c r="J2779" s="9" t="str">
        <f>IFERROR(__xludf.DUMMYFUNCTION("""COMPUTED_VALUE"""),"https://www.google.com/search?newwindow=1&amp;ei=2MT0XrvGGM-vytMP1OyDgAY&amp;q=site%3Alinkedin.com+Alexia+Sharell+Winfield+Culture+Solutions+Program+Manager+JPMorgan+Chase+&amp;+Co.")</f>
        <v>https://www.google.com/search?newwindow=1&amp;ei=2MT0XrvGGM-vytMP1OyDgAY&amp;q=site%3Alinkedin.com+Alexia+Sharell+Winfield+Culture+Solutions+Program+Manager+JPMorgan+Chase+&amp;+Co.</v>
      </c>
      <c r="K2779" s="5" t="str">
        <f t="shared" si="1"/>
        <v>Alexia Sharell Winfield</v>
      </c>
      <c r="L2779" s="5" t="str">
        <f t="shared" si="2"/>
        <v>Culture Solutions Program Manager</v>
      </c>
      <c r="M2779" s="5" t="str">
        <f t="shared" si="3"/>
        <v> </v>
      </c>
      <c r="N2779" s="5" t="str">
        <f t="shared" si="4"/>
        <v>JPMorgan Chase</v>
      </c>
      <c r="O2779" s="5" t="str">
        <f t="shared" si="5"/>
        <v>4 years 1 month in role</v>
      </c>
      <c r="P2779" s="5" t="str">
        <f t="shared" si="6"/>
        <v>Columbus</v>
      </c>
      <c r="Q2779" s="5" t="str">
        <f t="shared" si="7"/>
        <v>Ohio</v>
      </c>
      <c r="R2779" s="5" t="str">
        <f t="shared" si="8"/>
        <v>United States</v>
      </c>
    </row>
    <row r="2780">
      <c r="A2780" s="7" t="s">
        <v>1783</v>
      </c>
      <c r="B2780" s="5" t="s">
        <v>1782</v>
      </c>
      <c r="C2780" s="5" t="s">
        <v>25</v>
      </c>
      <c r="D2780" s="6" t="s">
        <v>13</v>
      </c>
      <c r="E2780" s="5" t="s">
        <v>1560</v>
      </c>
      <c r="F2780" s="5" t="s">
        <v>53</v>
      </c>
      <c r="G2780" s="5" t="s">
        <v>122</v>
      </c>
      <c r="H2780" s="5" t="s">
        <v>44</v>
      </c>
      <c r="I2780" s="5" t="s">
        <v>18</v>
      </c>
      <c r="J2780" s="9" t="str">
        <f>IFERROR(__xludf.DUMMYFUNCTION("""COMPUTED_VALUE"""),"https://www.google.com/search?newwindow=1&amp;ei=2MT0XrvGGM-vytMP1OyDgAY&amp;q=site%3Alinkedin.com+Khevna+M.+Associate,+Campus+Recruiter+JPMorgan+Chase+&amp;+Co.")</f>
        <v>https://www.google.com/search?newwindow=1&amp;ei=2MT0XrvGGM-vytMP1OyDgAY&amp;q=site%3Alinkedin.com+Khevna+M.+Associate,+Campus+Recruiter+JPMorgan+Chase+&amp;+Co.</v>
      </c>
      <c r="K2780" s="5" t="str">
        <f t="shared" si="1"/>
        <v>Khevna M.</v>
      </c>
      <c r="L2780" s="5" t="str">
        <f t="shared" si="2"/>
        <v>Associate, Campus Recruiter</v>
      </c>
      <c r="M2780" s="5" t="str">
        <f t="shared" si="3"/>
        <v> </v>
      </c>
      <c r="N2780" s="5" t="str">
        <f t="shared" si="4"/>
        <v>JPMorgan Chase</v>
      </c>
      <c r="O2780" s="5" t="str">
        <f t="shared" si="5"/>
        <v>5 months in role</v>
      </c>
      <c r="P2780" s="5" t="str">
        <f t="shared" si="6"/>
        <v>Columbus</v>
      </c>
      <c r="Q2780" s="5" t="str">
        <f t="shared" si="7"/>
        <v>Ohio</v>
      </c>
      <c r="R2780" s="5" t="str">
        <f t="shared" si="8"/>
        <v>United States</v>
      </c>
    </row>
    <row r="2781">
      <c r="A2781" s="7" t="s">
        <v>1786</v>
      </c>
      <c r="B2781" s="5" t="s">
        <v>1784</v>
      </c>
      <c r="C2781" s="5" t="s">
        <v>1785</v>
      </c>
      <c r="D2781" s="6" t="s">
        <v>13</v>
      </c>
      <c r="E2781" s="5" t="s">
        <v>1560</v>
      </c>
      <c r="F2781" s="5" t="s">
        <v>79</v>
      </c>
      <c r="G2781" s="5" t="s">
        <v>793</v>
      </c>
      <c r="H2781" s="5" t="s">
        <v>184</v>
      </c>
      <c r="I2781" s="5" t="s">
        <v>18</v>
      </c>
      <c r="J2781" s="9" t="str">
        <f>IFERROR(__xludf.DUMMYFUNCTION("""COMPUTED_VALUE"""),"https://www.google.com/search?newwindow=1&amp;ei=2MT0XrvGGM-vytMP1OyDgAY&amp;q=site%3Alinkedin.com+Emily+R.+Bishop+Campus+Recruiter+JPMorgan+Chase+&amp;+Co.")</f>
        <v>https://www.google.com/search?newwindow=1&amp;ei=2MT0XrvGGM-vytMP1OyDgAY&amp;q=site%3Alinkedin.com+Emily+R.+Bishop+Campus+Recruiter+JPMorgan+Chase+&amp;+Co.</v>
      </c>
      <c r="K2781" s="5" t="str">
        <f t="shared" si="1"/>
        <v>Emily R. Bishop</v>
      </c>
      <c r="L2781" s="5" t="str">
        <f t="shared" si="2"/>
        <v>Campus Recruiter</v>
      </c>
      <c r="M2781" s="5" t="str">
        <f t="shared" si="3"/>
        <v> </v>
      </c>
      <c r="N2781" s="5" t="str">
        <f t="shared" si="4"/>
        <v>JPMorgan Chase</v>
      </c>
      <c r="O2781" s="5" t="str">
        <f t="shared" si="5"/>
        <v>1 year  in role</v>
      </c>
      <c r="P2781" s="5" t="str">
        <f t="shared" si="6"/>
        <v>Columbus</v>
      </c>
      <c r="Q2781" s="5" t="str">
        <f t="shared" si="7"/>
        <v>Ohio</v>
      </c>
      <c r="R2781" s="5" t="str">
        <f t="shared" si="8"/>
        <v>United States</v>
      </c>
    </row>
    <row r="2782">
      <c r="A2782" s="7" t="s">
        <v>1788</v>
      </c>
      <c r="B2782" s="5" t="s">
        <v>1787</v>
      </c>
      <c r="C2782" s="5" t="s">
        <v>25</v>
      </c>
      <c r="D2782" s="6" t="s">
        <v>13</v>
      </c>
      <c r="E2782" s="5" t="s">
        <v>1560</v>
      </c>
      <c r="F2782" s="5" t="s">
        <v>1098</v>
      </c>
      <c r="G2782" s="5" t="s">
        <v>953</v>
      </c>
      <c r="H2782" s="5" t="s">
        <v>954</v>
      </c>
      <c r="I2782" s="5" t="s">
        <v>18</v>
      </c>
      <c r="J2782" s="9" t="str">
        <f>IFERROR(__xludf.DUMMYFUNCTION("""COMPUTED_VALUE"""),"https://www.google.com/search?newwindow=1&amp;ei=2MT0XrvGGM-vytMP1OyDgAY&amp;q=site%3Alinkedin.com+Samantha+J.+Associate+Campus+Recruiter+JPMorgan+Chase+&amp;+Co.")</f>
        <v>https://www.google.com/search?newwindow=1&amp;ei=2MT0XrvGGM-vytMP1OyDgAY&amp;q=site%3Alinkedin.com+Samantha+J.+Associate+Campus+Recruiter+JPMorgan+Chase+&amp;+Co.</v>
      </c>
      <c r="K2782" s="5" t="str">
        <f t="shared" si="1"/>
        <v>Samantha J.</v>
      </c>
      <c r="L2782" s="5" t="str">
        <f t="shared" si="2"/>
        <v>Associate Campus Recruiter</v>
      </c>
      <c r="M2782" s="5" t="str">
        <f t="shared" si="3"/>
        <v> </v>
      </c>
      <c r="N2782" s="5" t="str">
        <f t="shared" si="4"/>
        <v>JPMorgan Chase</v>
      </c>
      <c r="O2782" s="5" t="str">
        <f t="shared" si="5"/>
        <v>1 year  in role and company</v>
      </c>
      <c r="P2782" s="5" t="str">
        <f t="shared" si="6"/>
        <v>Dallas</v>
      </c>
      <c r="Q2782" s="5" t="str">
        <f t="shared" si="7"/>
        <v>Texas</v>
      </c>
      <c r="R2782" s="5" t="str">
        <f t="shared" si="8"/>
        <v>United States</v>
      </c>
    </row>
    <row r="2783">
      <c r="A2783" s="8" t="s">
        <v>1790</v>
      </c>
      <c r="B2783" s="5" t="s">
        <v>1789</v>
      </c>
      <c r="C2783" s="5" t="s">
        <v>25</v>
      </c>
      <c r="D2783" s="6" t="s">
        <v>13</v>
      </c>
      <c r="E2783" s="5" t="s">
        <v>1560</v>
      </c>
      <c r="F2783" s="5" t="s">
        <v>512</v>
      </c>
      <c r="G2783" s="5" t="s">
        <v>575</v>
      </c>
      <c r="H2783" s="5" t="s">
        <v>137</v>
      </c>
      <c r="I2783" s="5" t="s">
        <v>18</v>
      </c>
      <c r="J2783" s="9" t="str">
        <f>IFERROR(__xludf.DUMMYFUNCTION("""COMPUTED_VALUE"""),"https://www.google.com/search?newwindow=1&amp;ei=2MT0XrvGGM-vytMP1OyDgAY&amp;q=site%3Alinkedin.com+Allie+McMahon+Commercial+Bank+Campus+Recruiter+JPMorgan+Chase+&amp;+Co.")</f>
        <v>https://www.google.com/search?newwindow=1&amp;ei=2MT0XrvGGM-vytMP1OyDgAY&amp;q=site%3Alinkedin.com+Allie+McMahon+Commercial+Bank+Campus+Recruiter+JPMorgan+Chase+&amp;+Co.</v>
      </c>
      <c r="K2783" s="5" t="str">
        <f t="shared" si="1"/>
        <v>Allie McMahon</v>
      </c>
      <c r="L2783" s="5" t="str">
        <f t="shared" si="2"/>
        <v>Commercial Bank Campus Recruiter</v>
      </c>
      <c r="M2783" s="5" t="str">
        <f t="shared" si="3"/>
        <v> </v>
      </c>
      <c r="N2783" s="5" t="str">
        <f t="shared" si="4"/>
        <v>JPMorgan Chase</v>
      </c>
      <c r="O2783" s="5" t="str">
        <f t="shared" si="5"/>
        <v>7 months in role and company</v>
      </c>
      <c r="P2783" s="5" t="str">
        <f t="shared" si="6"/>
        <v>Dallas</v>
      </c>
      <c r="Q2783" s="5" t="str">
        <f t="shared" si="7"/>
        <v>Texas</v>
      </c>
      <c r="R2783" s="5" t="str">
        <f t="shared" si="8"/>
        <v>United States</v>
      </c>
    </row>
    <row r="2784">
      <c r="A2784" s="7" t="s">
        <v>1792</v>
      </c>
      <c r="B2784" s="5" t="s">
        <v>1791</v>
      </c>
      <c r="C2784" s="5" t="s">
        <v>25</v>
      </c>
      <c r="D2784" s="6" t="s">
        <v>13</v>
      </c>
      <c r="E2784" s="5" t="s">
        <v>1560</v>
      </c>
      <c r="F2784" s="5" t="s">
        <v>63</v>
      </c>
      <c r="G2784" s="5" t="s">
        <v>132</v>
      </c>
      <c r="H2784" s="5" t="s">
        <v>133</v>
      </c>
      <c r="I2784" s="5" t="s">
        <v>18</v>
      </c>
      <c r="J2784" s="9" t="str">
        <f>IFERROR(__xludf.DUMMYFUNCTION("""COMPUTED_VALUE"""),"https://www.google.com/search?newwindow=1&amp;ei=2MT0XrvGGM-vytMP1OyDgAY&amp;q=site%3Alinkedin.com+Lindsey+Sepich+Campus+Recruiter+JPMorgan+Chase+&amp;+Co.")</f>
        <v>https://www.google.com/search?newwindow=1&amp;ei=2MT0XrvGGM-vytMP1OyDgAY&amp;q=site%3Alinkedin.com+Lindsey+Sepich+Campus+Recruiter+JPMorgan+Chase+&amp;+Co.</v>
      </c>
      <c r="K2784" s="5" t="str">
        <f t="shared" si="1"/>
        <v>Lindsey Sepich</v>
      </c>
      <c r="L2784" s="5" t="str">
        <f t="shared" si="2"/>
        <v>Campus Recruiter</v>
      </c>
      <c r="M2784" s="5" t="str">
        <f t="shared" si="3"/>
        <v> </v>
      </c>
      <c r="N2784" s="5" t="str">
        <f t="shared" si="4"/>
        <v>JPMorgan Chase</v>
      </c>
      <c r="O2784" s="5" t="str">
        <f t="shared" si="5"/>
        <v>1 year  in role and company</v>
      </c>
      <c r="P2784" s="5" t="str">
        <f t="shared" si="6"/>
        <v>Dallas</v>
      </c>
      <c r="Q2784" s="5" t="str">
        <f t="shared" si="7"/>
        <v>Texas</v>
      </c>
      <c r="R2784" s="5" t="str">
        <f t="shared" si="8"/>
        <v>United States</v>
      </c>
    </row>
    <row r="2785">
      <c r="A2785" s="8" t="s">
        <v>1795</v>
      </c>
      <c r="B2785" s="5" t="s">
        <v>1793</v>
      </c>
      <c r="C2785" s="5" t="s">
        <v>1794</v>
      </c>
      <c r="D2785" s="6" t="s">
        <v>13</v>
      </c>
      <c r="E2785" s="5" t="s">
        <v>1560</v>
      </c>
      <c r="F2785" s="5" t="s">
        <v>84</v>
      </c>
      <c r="G2785" s="5" t="s">
        <v>132</v>
      </c>
      <c r="H2785" s="5" t="s">
        <v>133</v>
      </c>
      <c r="I2785" s="5" t="s">
        <v>18</v>
      </c>
      <c r="J2785" s="9" t="str">
        <f>IFERROR(__xludf.DUMMYFUNCTION("""COMPUTED_VALUE"""),"https://www.google.com/search?newwindow=1&amp;ei=2MT0XrvGGM-vytMP1OyDgAY&amp;q=site%3Alinkedin.com+Emily+D'Aoust+Corporate+&amp;+Investment+Bank+Campus+Recruiter+JPMorgan+Chase+&amp;+Co.")</f>
        <v>https://www.google.com/search?newwindow=1&amp;ei=2MT0XrvGGM-vytMP1OyDgAY&amp;q=site%3Alinkedin.com+Emily+D'Aoust+Corporate+&amp;+Investment+Bank+Campus+Recruiter+JPMorgan+Chase+&amp;+Co.</v>
      </c>
      <c r="K2785" s="5" t="str">
        <f t="shared" si="1"/>
        <v>Emily D'Aoust</v>
      </c>
      <c r="L2785" s="5" t="str">
        <f t="shared" si="2"/>
        <v>Corporate &amp; Investment Bank Campus Recruiter</v>
      </c>
      <c r="M2785" s="5" t="str">
        <f t="shared" si="3"/>
        <v> </v>
      </c>
      <c r="N2785" s="5" t="str">
        <f t="shared" si="4"/>
        <v>JPMorgan Chase</v>
      </c>
      <c r="O2785" s="5" t="str">
        <f t="shared" si="5"/>
        <v>1 month in role</v>
      </c>
      <c r="P2785" s="5" t="str">
        <f t="shared" si="6"/>
        <v>Fort Worth</v>
      </c>
      <c r="Q2785" s="5" t="str">
        <f t="shared" si="7"/>
        <v>Texas</v>
      </c>
      <c r="R2785" s="5" t="str">
        <f t="shared" si="8"/>
        <v>United States</v>
      </c>
    </row>
    <row r="2786">
      <c r="A2786" s="7" t="s">
        <v>1797</v>
      </c>
      <c r="B2786" s="5" t="s">
        <v>1796</v>
      </c>
      <c r="C2786" s="5" t="s">
        <v>25</v>
      </c>
      <c r="D2786" s="6" t="s">
        <v>13</v>
      </c>
      <c r="E2786" s="5" t="s">
        <v>1560</v>
      </c>
      <c r="F2786" s="5" t="s">
        <v>1025</v>
      </c>
      <c r="G2786" s="5" t="s">
        <v>137</v>
      </c>
      <c r="H2786" s="5" t="s">
        <v>137</v>
      </c>
      <c r="I2786" s="5" t="s">
        <v>18</v>
      </c>
      <c r="J2786" s="9" t="str">
        <f>IFERROR(__xludf.DUMMYFUNCTION("""COMPUTED_VALUE"""),"https://www.google.com/search?newwindow=1&amp;ei=2MT0XrvGGM-vytMP1OyDgAY&amp;q=site%3Alinkedin.com+Jessica+Westlund+Senior+Associate-+Campus+Recruiter-+Software+Engineer+Program+JPMorgan+Chase+&amp;+Co.")</f>
        <v>https://www.google.com/search?newwindow=1&amp;ei=2MT0XrvGGM-vytMP1OyDgAY&amp;q=site%3Alinkedin.com+Jessica+Westlund+Senior+Associate-+Campus+Recruiter-+Software+Engineer+Program+JPMorgan+Chase+&amp;+Co.</v>
      </c>
      <c r="K2786" s="5" t="str">
        <f t="shared" si="1"/>
        <v>Jessica Westlund</v>
      </c>
      <c r="L2786" s="5" t="str">
        <f t="shared" si="2"/>
        <v>Senior Associate- Campus Recruiter- Software Engineer Program</v>
      </c>
      <c r="M2786" s="5" t="str">
        <f t="shared" si="3"/>
        <v> </v>
      </c>
      <c r="N2786" s="5" t="str">
        <f t="shared" si="4"/>
        <v>JPMorgan Chase</v>
      </c>
      <c r="O2786" s="5" t="str">
        <f t="shared" si="5"/>
        <v>1 year 4 months in role and company</v>
      </c>
      <c r="P2786" s="5" t="str">
        <f t="shared" si="6"/>
        <v>Frisco</v>
      </c>
      <c r="Q2786" s="5" t="str">
        <f t="shared" si="7"/>
        <v>Texas</v>
      </c>
      <c r="R2786" s="5" t="str">
        <f t="shared" si="8"/>
        <v>United States</v>
      </c>
    </row>
    <row r="2787">
      <c r="A2787" s="8" t="s">
        <v>1799</v>
      </c>
      <c r="B2787" s="5" t="s">
        <v>1798</v>
      </c>
      <c r="C2787" s="5" t="s">
        <v>1470</v>
      </c>
      <c r="D2787" s="6" t="s">
        <v>13</v>
      </c>
      <c r="E2787" s="5" t="s">
        <v>1560</v>
      </c>
      <c r="F2787" s="5" t="s">
        <v>106</v>
      </c>
      <c r="G2787" s="5" t="s">
        <v>137</v>
      </c>
      <c r="H2787" s="5" t="s">
        <v>137</v>
      </c>
      <c r="I2787" s="5" t="s">
        <v>18</v>
      </c>
      <c r="J2787" s="9" t="str">
        <f>IFERROR(__xludf.DUMMYFUNCTION("""COMPUTED_VALUE"""),"https://www.google.com/search?newwindow=1&amp;ei=2MT0XrvGGM-vytMP1OyDgAY&amp;q=site%3Alinkedin.com+Sarah+Ocasio+Vice+President,+Campus+Recruiting+JPMorgan+Chase+&amp;+Co.")</f>
        <v>https://www.google.com/search?newwindow=1&amp;ei=2MT0XrvGGM-vytMP1OyDgAY&amp;q=site%3Alinkedin.com+Sarah+Ocasio+Vice+President,+Campus+Recruiting+JPMorgan+Chase+&amp;+Co.</v>
      </c>
      <c r="K2787" s="5" t="str">
        <f t="shared" si="1"/>
        <v>Sarah Ocasio</v>
      </c>
      <c r="L2787" s="5" t="str">
        <f t="shared" si="2"/>
        <v>Vice President, Campus Recruiting</v>
      </c>
      <c r="M2787" s="5" t="str">
        <f t="shared" si="3"/>
        <v> </v>
      </c>
      <c r="N2787" s="5" t="str">
        <f t="shared" si="4"/>
        <v>JPMorgan Chase</v>
      </c>
      <c r="O2787" s="5" t="str">
        <f t="shared" si="5"/>
        <v>2 years 10 months in role</v>
      </c>
      <c r="P2787" s="5" t="str">
        <f t="shared" si="6"/>
        <v>Harrington Park</v>
      </c>
      <c r="Q2787" s="5" t="str">
        <f t="shared" si="7"/>
        <v>New Jersey</v>
      </c>
      <c r="R2787" s="5" t="str">
        <f t="shared" si="8"/>
        <v>United States</v>
      </c>
    </row>
    <row r="2788">
      <c r="A2788" s="7" t="s">
        <v>1801</v>
      </c>
      <c r="B2788" s="5" t="s">
        <v>1800</v>
      </c>
      <c r="C2788" s="5" t="s">
        <v>25</v>
      </c>
      <c r="D2788" s="6" t="s">
        <v>13</v>
      </c>
      <c r="E2788" s="5" t="s">
        <v>1560</v>
      </c>
      <c r="F2788" s="5" t="s">
        <v>1629</v>
      </c>
      <c r="G2788" s="5" t="s">
        <v>137</v>
      </c>
      <c r="H2788" s="5" t="s">
        <v>137</v>
      </c>
      <c r="I2788" s="5" t="s">
        <v>18</v>
      </c>
      <c r="J2788" s="9" t="str">
        <f>IFERROR(__xludf.DUMMYFUNCTION("""COMPUTED_VALUE"""),"https://www.google.com/search?newwindow=1&amp;ei=2MT0XrvGGM-vytMP1OyDgAY&amp;q=site%3Alinkedin.com+Dana+Deats+Campus+Recruiter+JPMorgan+Chase+&amp;+Co.")</f>
        <v>https://www.google.com/search?newwindow=1&amp;ei=2MT0XrvGGM-vytMP1OyDgAY&amp;q=site%3Alinkedin.com+Dana+Deats+Campus+Recruiter+JPMorgan+Chase+&amp;+Co.</v>
      </c>
      <c r="K2788" s="5" t="str">
        <f t="shared" si="1"/>
        <v>Dana Deats</v>
      </c>
      <c r="L2788" s="5" t="str">
        <f t="shared" si="2"/>
        <v>Campus Recruiter</v>
      </c>
      <c r="M2788" s="5" t="str">
        <f t="shared" si="3"/>
        <v> </v>
      </c>
      <c r="N2788" s="5" t="str">
        <f t="shared" si="4"/>
        <v>JPMorgan Chase</v>
      </c>
      <c r="O2788" s="5" t="str">
        <f t="shared" si="5"/>
        <v>2 years 7 months in role and company</v>
      </c>
      <c r="P2788" s="5" t="str">
        <f t="shared" si="6"/>
        <v>Houston</v>
      </c>
      <c r="Q2788" s="5" t="str">
        <f t="shared" si="7"/>
        <v>Texas</v>
      </c>
      <c r="R2788" s="5" t="str">
        <f t="shared" si="8"/>
        <v>United States</v>
      </c>
    </row>
    <row r="2789">
      <c r="A2789" s="7" t="s">
        <v>1803</v>
      </c>
      <c r="B2789" s="5" t="s">
        <v>1802</v>
      </c>
      <c r="C2789" s="5" t="s">
        <v>25</v>
      </c>
      <c r="D2789" s="6" t="s">
        <v>13</v>
      </c>
      <c r="E2789" s="5" t="s">
        <v>1560</v>
      </c>
      <c r="F2789" s="5" t="s">
        <v>1629</v>
      </c>
      <c r="G2789" s="5" t="s">
        <v>137</v>
      </c>
      <c r="H2789" s="5" t="s">
        <v>137</v>
      </c>
      <c r="I2789" s="5" t="s">
        <v>18</v>
      </c>
      <c r="J2789" s="9" t="str">
        <f>IFERROR(__xludf.DUMMYFUNCTION("""COMPUTED_VALUE"""),"https://www.google.com/search?newwindow=1&amp;ei=2MT0XrvGGM-vytMP1OyDgAY&amp;q=site%3Alinkedin.com+Sarah+Abt+Campus+Recruiting+Manager+JPMorgan+Chase+&amp;+Co.")</f>
        <v>https://www.google.com/search?newwindow=1&amp;ei=2MT0XrvGGM-vytMP1OyDgAY&amp;q=site%3Alinkedin.com+Sarah+Abt+Campus+Recruiting+Manager+JPMorgan+Chase+&amp;+Co.</v>
      </c>
      <c r="K2789" s="5" t="str">
        <f t="shared" si="1"/>
        <v>Sarah Abt</v>
      </c>
      <c r="L2789" s="5" t="str">
        <f t="shared" si="2"/>
        <v>Campus Recruiting Manager</v>
      </c>
      <c r="M2789" s="5" t="str">
        <f t="shared" si="3"/>
        <v> </v>
      </c>
      <c r="N2789" s="5" t="str">
        <f t="shared" si="4"/>
        <v>JPMorgan Chase</v>
      </c>
      <c r="O2789" s="5" t="str">
        <f t="shared" si="5"/>
        <v>8 months in role</v>
      </c>
      <c r="P2789" s="5" t="str">
        <f t="shared" si="6"/>
        <v>New York</v>
      </c>
      <c r="Q2789" s="5" t="str">
        <f t="shared" si="7"/>
        <v>New York</v>
      </c>
      <c r="R2789" s="5" t="str">
        <f t="shared" si="8"/>
        <v>United States</v>
      </c>
    </row>
    <row r="2790">
      <c r="A2790" s="8" t="s">
        <v>1807</v>
      </c>
      <c r="B2790" s="5" t="s">
        <v>1804</v>
      </c>
      <c r="C2790" s="5" t="s">
        <v>1805</v>
      </c>
      <c r="D2790" s="6" t="s">
        <v>13</v>
      </c>
      <c r="E2790" s="5" t="s">
        <v>1560</v>
      </c>
      <c r="F2790" s="5" t="s">
        <v>1806</v>
      </c>
      <c r="G2790" s="5" t="s">
        <v>137</v>
      </c>
      <c r="H2790" s="5" t="s">
        <v>137</v>
      </c>
      <c r="I2790" s="5" t="s">
        <v>18</v>
      </c>
      <c r="J2790" s="9" t="str">
        <f>IFERROR(__xludf.DUMMYFUNCTION("""COMPUTED_VALUE"""),"https://www.google.com/search?newwindow=1&amp;ei=2MT0XrvGGM-vytMP1OyDgAY&amp;q=site%3Alinkedin.com+Megan+Armellini+Campus+Recruiting+Manager+JPMorgan+Chase+&amp;+Co.")</f>
        <v>https://www.google.com/search?newwindow=1&amp;ei=2MT0XrvGGM-vytMP1OyDgAY&amp;q=site%3Alinkedin.com+Megan+Armellini+Campus+Recruiting+Manager+JPMorgan+Chase+&amp;+Co.</v>
      </c>
      <c r="K2790" s="5" t="str">
        <f t="shared" si="1"/>
        <v>Megan Armellini</v>
      </c>
      <c r="L2790" s="5" t="str">
        <f t="shared" si="2"/>
        <v>Campus Recruiting Manager</v>
      </c>
      <c r="M2790" s="5" t="str">
        <f t="shared" si="3"/>
        <v> </v>
      </c>
      <c r="N2790" s="5" t="str">
        <f t="shared" si="4"/>
        <v>JPMorgan Chase</v>
      </c>
      <c r="O2790" s="5" t="str">
        <f t="shared" si="5"/>
        <v>1 year 11 months in role</v>
      </c>
      <c r="P2790" s="5" t="str">
        <f t="shared" si="6"/>
        <v>New York</v>
      </c>
      <c r="Q2790" s="5" t="str">
        <f t="shared" si="7"/>
        <v>New York</v>
      </c>
      <c r="R2790" s="5" t="str">
        <f t="shared" si="8"/>
        <v>United States</v>
      </c>
    </row>
    <row r="2791">
      <c r="A2791" s="7" t="s">
        <v>1810</v>
      </c>
      <c r="B2791" s="5" t="s">
        <v>1808</v>
      </c>
      <c r="C2791" s="5" t="s">
        <v>25</v>
      </c>
      <c r="D2791" s="6" t="s">
        <v>13</v>
      </c>
      <c r="E2791" s="5" t="s">
        <v>1560</v>
      </c>
      <c r="F2791" s="5" t="s">
        <v>1809</v>
      </c>
      <c r="G2791" s="5" t="s">
        <v>137</v>
      </c>
      <c r="H2791" s="5" t="s">
        <v>137</v>
      </c>
      <c r="I2791" s="5" t="s">
        <v>18</v>
      </c>
      <c r="J2791" s="9" t="str">
        <f>IFERROR(__xludf.DUMMYFUNCTION("""COMPUTED_VALUE"""),"https://www.google.com/search?newwindow=1&amp;ei=2MT0XrvGGM-vytMP1OyDgAY&amp;q=site%3Alinkedin.com+Vincent+Plantamura+Senior+Campus+Recruiter,+Software+Engineer+Program+JPMorgan+Chase+&amp;+Co.")</f>
        <v>https://www.google.com/search?newwindow=1&amp;ei=2MT0XrvGGM-vytMP1OyDgAY&amp;q=site%3Alinkedin.com+Vincent+Plantamura+Senior+Campus+Recruiter,+Software+Engineer+Program+JPMorgan+Chase+&amp;+Co.</v>
      </c>
      <c r="K2791" s="5" t="str">
        <f t="shared" si="1"/>
        <v>Vincent Plantamura</v>
      </c>
      <c r="L2791" s="5" t="str">
        <f t="shared" si="2"/>
        <v>Senior Campus Recruiter, Software Engineer Program</v>
      </c>
      <c r="M2791" s="5" t="str">
        <f t="shared" si="3"/>
        <v> </v>
      </c>
      <c r="N2791" s="5" t="str">
        <f t="shared" si="4"/>
        <v>JPMorgan Chase</v>
      </c>
      <c r="O2791" s="5" t="str">
        <f t="shared" si="5"/>
        <v>2 years 10 months in role and company</v>
      </c>
      <c r="P2791" s="5" t="str">
        <f t="shared" si="6"/>
        <v>New York</v>
      </c>
      <c r="Q2791" s="5" t="str">
        <f t="shared" si="7"/>
        <v>New York</v>
      </c>
      <c r="R2791" s="5" t="str">
        <f t="shared" si="8"/>
        <v>United States</v>
      </c>
    </row>
    <row r="2792">
      <c r="A2792" s="7" t="s">
        <v>1813</v>
      </c>
      <c r="B2792" s="5" t="s">
        <v>1811</v>
      </c>
      <c r="C2792" s="5" t="s">
        <v>1812</v>
      </c>
      <c r="D2792" s="6" t="s">
        <v>13</v>
      </c>
      <c r="E2792" s="5" t="s">
        <v>1560</v>
      </c>
      <c r="F2792" s="5" t="s">
        <v>496</v>
      </c>
      <c r="G2792" s="5" t="s">
        <v>137</v>
      </c>
      <c r="H2792" s="5" t="s">
        <v>137</v>
      </c>
      <c r="I2792" s="5" t="s">
        <v>18</v>
      </c>
      <c r="J2792" s="9" t="str">
        <f>IFERROR(__xludf.DUMMYFUNCTION("""COMPUTED_VALUE"""),"https://www.google.com/search?newwindow=1&amp;ei=2MT0XrvGGM-vytMP1OyDgAY&amp;q=site%3Alinkedin.com+Tori+Bezoza+Lead+Tech+Campus+Recruiter+&amp;+Campus+Process+Management+Advisor,++Software+Engineer+Program+JPMorgan+Chase+&amp;+Co.")</f>
        <v>https://www.google.com/search?newwindow=1&amp;ei=2MT0XrvGGM-vytMP1OyDgAY&amp;q=site%3Alinkedin.com+Tori+Bezoza+Lead+Tech+Campus+Recruiter+&amp;+Campus+Process+Management+Advisor,++Software+Engineer+Program+JPMorgan+Chase+&amp;+Co.</v>
      </c>
      <c r="K2792" s="5" t="str">
        <f t="shared" si="1"/>
        <v>Tori Bezoza</v>
      </c>
      <c r="L2792" s="5" t="str">
        <f t="shared" si="2"/>
        <v>Lead Tech Campus Recruiter &amp; Campus Process Management Advisor,  Software Engineer Program</v>
      </c>
      <c r="M2792" s="5" t="str">
        <f t="shared" si="3"/>
        <v> </v>
      </c>
      <c r="N2792" s="5" t="str">
        <f t="shared" si="4"/>
        <v>JPMorgan Chase</v>
      </c>
      <c r="O2792" s="5" t="str">
        <f t="shared" si="5"/>
        <v>2 years 10 months in role and company</v>
      </c>
      <c r="P2792" s="5" t="str">
        <f t="shared" si="6"/>
        <v>New York</v>
      </c>
      <c r="Q2792" s="5" t="str">
        <f t="shared" si="7"/>
        <v>New York</v>
      </c>
      <c r="R2792" s="5" t="str">
        <f t="shared" si="8"/>
        <v>United States</v>
      </c>
    </row>
    <row r="2793">
      <c r="A2793" s="8" t="s">
        <v>1816</v>
      </c>
      <c r="B2793" s="5" t="s">
        <v>1814</v>
      </c>
      <c r="C2793" s="5" t="s">
        <v>1815</v>
      </c>
      <c r="D2793" s="6" t="s">
        <v>13</v>
      </c>
      <c r="E2793" s="5" t="s">
        <v>1560</v>
      </c>
      <c r="F2793" s="5" t="s">
        <v>144</v>
      </c>
      <c r="G2793" s="5" t="s">
        <v>137</v>
      </c>
      <c r="H2793" s="5" t="s">
        <v>137</v>
      </c>
      <c r="I2793" s="5" t="s">
        <v>18</v>
      </c>
      <c r="J2793" s="9" t="str">
        <f>IFERROR(__xludf.DUMMYFUNCTION("""COMPUTED_VALUE"""),"https://www.google.com/search?newwindow=1&amp;ei=2MT0XrvGGM-vytMP1OyDgAY&amp;q=site%3Alinkedin.com+Alexis+Polanco,+MS+Global+Markets+Lead+Recruiter,+Vice+President+JPMorgan+Chase+&amp;+Co.")</f>
        <v>https://www.google.com/search?newwindow=1&amp;ei=2MT0XrvGGM-vytMP1OyDgAY&amp;q=site%3Alinkedin.com+Alexis+Polanco,+MS+Global+Markets+Lead+Recruiter,+Vice+President+JPMorgan+Chase+&amp;+Co.</v>
      </c>
      <c r="K2793" s="5" t="str">
        <f t="shared" si="1"/>
        <v>Alexis Polanco, MS</v>
      </c>
      <c r="L2793" s="5" t="str">
        <f t="shared" si="2"/>
        <v>Global Markets Lead Recruiter, Vice President</v>
      </c>
      <c r="M2793" s="5" t="str">
        <f t="shared" si="3"/>
        <v> </v>
      </c>
      <c r="N2793" s="5" t="str">
        <f t="shared" si="4"/>
        <v>JPMorgan Chase</v>
      </c>
      <c r="O2793" s="5" t="str">
        <f t="shared" si="5"/>
        <v>9 months in role</v>
      </c>
      <c r="P2793" s="5" t="str">
        <f t="shared" si="6"/>
        <v>New York</v>
      </c>
      <c r="Q2793" s="5" t="str">
        <f t="shared" si="7"/>
        <v>New York</v>
      </c>
      <c r="R2793" s="5" t="str">
        <f t="shared" si="8"/>
        <v>United States</v>
      </c>
    </row>
    <row r="2794">
      <c r="A2794" s="8" t="s">
        <v>1819</v>
      </c>
      <c r="B2794" s="5" t="s">
        <v>1817</v>
      </c>
      <c r="C2794" s="5" t="s">
        <v>1818</v>
      </c>
      <c r="D2794" s="6" t="s">
        <v>13</v>
      </c>
      <c r="E2794" s="5" t="s">
        <v>1560</v>
      </c>
      <c r="F2794" s="5" t="s">
        <v>1460</v>
      </c>
      <c r="G2794" s="5" t="s">
        <v>137</v>
      </c>
      <c r="H2794" s="5" t="s">
        <v>137</v>
      </c>
      <c r="I2794" s="5" t="s">
        <v>18</v>
      </c>
      <c r="J2794" s="9" t="str">
        <f>IFERROR(__xludf.DUMMYFUNCTION("""COMPUTED_VALUE"""),"https://www.google.com/search?newwindow=1&amp;ei=2MT0XrvGGM-vytMP1OyDgAY&amp;q=site%3Alinkedin.com+Talehia+Traverso+Campus+Recruiter+for+Global+Finance+&amp;+Business+Management+Internship+Program+JPMorgan+Chase+&amp;+Co.")</f>
        <v>https://www.google.com/search?newwindow=1&amp;ei=2MT0XrvGGM-vytMP1OyDgAY&amp;q=site%3Alinkedin.com+Talehia+Traverso+Campus+Recruiter+for+Global+Finance+&amp;+Business+Management+Internship+Program+JPMorgan+Chase+&amp;+Co.</v>
      </c>
      <c r="K2794" s="5" t="str">
        <f t="shared" si="1"/>
        <v>Talehia Traverso</v>
      </c>
      <c r="L2794" s="5" t="str">
        <f t="shared" si="2"/>
        <v>Campus Recruiter for Global Finance &amp; Business Management Internship Program</v>
      </c>
      <c r="M2794" s="5" t="str">
        <f t="shared" si="3"/>
        <v> </v>
      </c>
      <c r="N2794" s="5" t="str">
        <f t="shared" si="4"/>
        <v>JPMorgan Chase</v>
      </c>
      <c r="O2794" s="5" t="str">
        <f t="shared" si="5"/>
        <v>1 year 1 month in role and company</v>
      </c>
      <c r="P2794" s="5" t="str">
        <f t="shared" si="6"/>
        <v>Newark</v>
      </c>
      <c r="Q2794" s="5" t="str">
        <f t="shared" si="7"/>
        <v>Delaware</v>
      </c>
      <c r="R2794" s="5" t="str">
        <f t="shared" si="8"/>
        <v>United States</v>
      </c>
    </row>
    <row r="2795">
      <c r="A2795" s="7" t="s">
        <v>1822</v>
      </c>
      <c r="B2795" s="5" t="s">
        <v>1820</v>
      </c>
      <c r="C2795" s="5" t="s">
        <v>1821</v>
      </c>
      <c r="D2795" s="5" t="s">
        <v>4</v>
      </c>
      <c r="E2795" s="5" t="s">
        <v>1560</v>
      </c>
      <c r="F2795" s="5" t="s">
        <v>651</v>
      </c>
      <c r="G2795" s="5" t="s">
        <v>137</v>
      </c>
      <c r="H2795" s="5" t="s">
        <v>137</v>
      </c>
      <c r="I2795" s="5" t="s">
        <v>18</v>
      </c>
      <c r="J2795" s="9" t="str">
        <f>IFERROR(__xludf.DUMMYFUNCTION("""COMPUTED_VALUE"""),"https://www.google.com/search?newwindow=1&amp;ei=2MT0XrvGGM-vytMP1OyDgAY&amp;q=site%3Alinkedin.com+Charlie+Matthews+Campus+Recruiter+JPMorgan+Chase+&amp;+Co.")</f>
        <v>https://www.google.com/search?newwindow=1&amp;ei=2MT0XrvGGM-vytMP1OyDgAY&amp;q=site%3Alinkedin.com+Charlie+Matthews+Campus+Recruiter+JPMorgan+Chase+&amp;+Co.</v>
      </c>
      <c r="K2795" s="5" t="str">
        <f t="shared" si="1"/>
        <v>Charlie Matthews</v>
      </c>
      <c r="L2795" s="5" t="str">
        <f t="shared" si="2"/>
        <v>Campus Recruiter</v>
      </c>
      <c r="M2795" s="5" t="str">
        <f t="shared" si="3"/>
        <v> </v>
      </c>
      <c r="N2795" s="5" t="str">
        <f t="shared" si="4"/>
        <v>JPMorgan Chase</v>
      </c>
      <c r="O2795" s="5" t="str">
        <f t="shared" si="5"/>
        <v/>
      </c>
      <c r="P2795" s="5" t="str">
        <f t="shared" si="6"/>
        <v>Newark</v>
      </c>
      <c r="Q2795" s="5" t="str">
        <f t="shared" si="7"/>
        <v>Delaware</v>
      </c>
      <c r="R2795" s="5" t="str">
        <f t="shared" si="8"/>
        <v>United States</v>
      </c>
    </row>
    <row r="2796">
      <c r="A2796" s="8" t="s">
        <v>1824</v>
      </c>
      <c r="B2796" s="5" t="s">
        <v>1823</v>
      </c>
      <c r="C2796" s="5" t="s">
        <v>1780</v>
      </c>
      <c r="D2796" s="6" t="s">
        <v>13</v>
      </c>
      <c r="E2796" s="5" t="s">
        <v>1560</v>
      </c>
      <c r="F2796" s="5" t="s">
        <v>1065</v>
      </c>
      <c r="G2796" s="5" t="s">
        <v>137</v>
      </c>
      <c r="H2796" s="5" t="s">
        <v>137</v>
      </c>
      <c r="I2796" s="5" t="s">
        <v>18</v>
      </c>
      <c r="J2796" s="9" t="str">
        <f>IFERROR(__xludf.DUMMYFUNCTION("""COMPUTED_VALUE"""),"https://www.google.com/search?newwindow=1&amp;ei=2MT0XrvGGM-vytMP1OyDgAY&amp;q=site%3Alinkedin.com+Luisa+Alona+Campus+Recruiter+JPMorgan+Chase+&amp;+Co.")</f>
        <v>https://www.google.com/search?newwindow=1&amp;ei=2MT0XrvGGM-vytMP1OyDgAY&amp;q=site%3Alinkedin.com+Luisa+Alona+Campus+Recruiter+JPMorgan+Chase+&amp;+Co.</v>
      </c>
      <c r="K2796" s="5" t="str">
        <f t="shared" si="1"/>
        <v>Luisa Alona</v>
      </c>
      <c r="L2796" s="5" t="str">
        <f t="shared" si="2"/>
        <v>Campus Recruiter</v>
      </c>
      <c r="M2796" s="5" t="str">
        <f t="shared" si="3"/>
        <v> </v>
      </c>
      <c r="N2796" s="5" t="str">
        <f t="shared" si="4"/>
        <v>JPMorgan Chase</v>
      </c>
      <c r="O2796" s="5" t="str">
        <f t="shared" si="5"/>
        <v>4 years 10 months in role and company</v>
      </c>
      <c r="P2796" s="5" t="str">
        <f t="shared" si="6"/>
        <v>Oklahoma City</v>
      </c>
      <c r="Q2796" s="5" t="str">
        <f t="shared" si="7"/>
        <v>Oklahoma</v>
      </c>
      <c r="R2796" s="5" t="str">
        <f t="shared" si="8"/>
        <v>United States</v>
      </c>
    </row>
    <row r="2797">
      <c r="A2797" s="7" t="s">
        <v>1826</v>
      </c>
      <c r="B2797" s="5" t="s">
        <v>1825</v>
      </c>
      <c r="C2797" s="5" t="s">
        <v>25</v>
      </c>
      <c r="D2797" s="6" t="s">
        <v>13</v>
      </c>
      <c r="E2797" s="5" t="s">
        <v>1560</v>
      </c>
      <c r="F2797" s="5" t="s">
        <v>840</v>
      </c>
      <c r="G2797" s="5" t="s">
        <v>137</v>
      </c>
      <c r="H2797" s="5" t="s">
        <v>137</v>
      </c>
      <c r="I2797" s="5" t="s">
        <v>18</v>
      </c>
      <c r="J2797" s="9" t="str">
        <f>IFERROR(__xludf.DUMMYFUNCTION("""COMPUTED_VALUE"""),"https://www.google.com/search?newwindow=1&amp;ei=2MT0XrvGGM-vytMP1OyDgAY&amp;q=site%3Alinkedin.com+Chris+D.+Vice+President,+NAMR+Campus+Recruiting+Ops+Manager+JPMorgan+Chase+&amp;+Co.")</f>
        <v>https://www.google.com/search?newwindow=1&amp;ei=2MT0XrvGGM-vytMP1OyDgAY&amp;q=site%3Alinkedin.com+Chris+D.+Vice+President,+NAMR+Campus+Recruiting+Ops+Manager+JPMorgan+Chase+&amp;+Co.</v>
      </c>
      <c r="K2797" s="5" t="str">
        <f t="shared" si="1"/>
        <v>Chris D.</v>
      </c>
      <c r="L2797" s="5" t="str">
        <f t="shared" si="2"/>
        <v>Vice President, NAMR Campus Recruiting Ops Manager</v>
      </c>
      <c r="M2797" s="5" t="str">
        <f t="shared" si="3"/>
        <v> </v>
      </c>
      <c r="N2797" s="5" t="str">
        <f t="shared" si="4"/>
        <v>JPMorgan Chase</v>
      </c>
      <c r="O2797" s="5" t="str">
        <f t="shared" si="5"/>
        <v>6 months in role</v>
      </c>
      <c r="P2797" s="5" t="str">
        <f t="shared" si="6"/>
        <v>Philadelphia</v>
      </c>
      <c r="Q2797" s="5" t="str">
        <f t="shared" si="7"/>
        <v>Pennsylvania</v>
      </c>
      <c r="R2797" s="5" t="str">
        <f t="shared" si="8"/>
        <v>United States</v>
      </c>
    </row>
    <row r="2798">
      <c r="A2798" s="8" t="s">
        <v>1828</v>
      </c>
      <c r="B2798" s="5" t="s">
        <v>1827</v>
      </c>
      <c r="C2798" s="5" t="s">
        <v>1470</v>
      </c>
      <c r="D2798" s="6" t="s">
        <v>13</v>
      </c>
      <c r="E2798" s="5" t="s">
        <v>1560</v>
      </c>
      <c r="F2798" s="5" t="s">
        <v>165</v>
      </c>
      <c r="G2798" s="5" t="s">
        <v>137</v>
      </c>
      <c r="H2798" s="5" t="s">
        <v>137</v>
      </c>
      <c r="I2798" s="5" t="s">
        <v>18</v>
      </c>
      <c r="J2798" s="9" t="str">
        <f>IFERROR(__xludf.DUMMYFUNCTION("""COMPUTED_VALUE"""),"https://www.google.com/search?newwindow=1&amp;ei=2MT0XrvGGM-vytMP1OyDgAY&amp;q=site%3Alinkedin.com+Sara+Jellinek+Associate,+MBA+Campus+Recruiter+JPMorgan+Chase+&amp;+Co.")</f>
        <v>https://www.google.com/search?newwindow=1&amp;ei=2MT0XrvGGM-vytMP1OyDgAY&amp;q=site%3Alinkedin.com+Sara+Jellinek+Associate,+MBA+Campus+Recruiter+JPMorgan+Chase+&amp;+Co.</v>
      </c>
      <c r="K2798" s="5" t="str">
        <f t="shared" si="1"/>
        <v>Sara Jellinek</v>
      </c>
      <c r="L2798" s="5" t="str">
        <f t="shared" si="2"/>
        <v>Associate, MBA Campus Recruiter</v>
      </c>
      <c r="M2798" s="5" t="str">
        <f t="shared" si="3"/>
        <v>MBA</v>
      </c>
      <c r="N2798" s="5" t="str">
        <f t="shared" si="4"/>
        <v>JPMorgan Chase</v>
      </c>
      <c r="O2798" s="5" t="str">
        <f t="shared" si="5"/>
        <v>2 months in role</v>
      </c>
      <c r="P2798" s="5" t="str">
        <f t="shared" si="6"/>
        <v>Philadelphia</v>
      </c>
      <c r="Q2798" s="5" t="str">
        <f t="shared" si="7"/>
        <v>Pennsylvania</v>
      </c>
      <c r="R2798" s="5" t="str">
        <f t="shared" si="8"/>
        <v>United States</v>
      </c>
    </row>
    <row r="2799">
      <c r="A2799" s="7" t="s">
        <v>1831</v>
      </c>
      <c r="B2799" s="5" t="s">
        <v>1829</v>
      </c>
      <c r="C2799" s="5" t="s">
        <v>1706</v>
      </c>
      <c r="D2799" s="6" t="s">
        <v>13</v>
      </c>
      <c r="E2799" s="5" t="s">
        <v>1560</v>
      </c>
      <c r="F2799" s="5" t="s">
        <v>1830</v>
      </c>
      <c r="G2799" s="5" t="s">
        <v>137</v>
      </c>
      <c r="H2799" s="5" t="s">
        <v>137</v>
      </c>
      <c r="I2799" s="5" t="s">
        <v>18</v>
      </c>
      <c r="J2799" s="9" t="str">
        <f>IFERROR(__xludf.DUMMYFUNCTION("""COMPUTED_VALUE"""),"https://www.google.com/search?newwindow=1&amp;ei=2MT0XrvGGM-vytMP1OyDgAY&amp;q=site%3Alinkedin.com+Haley+Blackman+Campus+Recruiter,+Consumer+and+Community+Banking+JPMorgan+Chase+&amp;+Co.")</f>
        <v>https://www.google.com/search?newwindow=1&amp;ei=2MT0XrvGGM-vytMP1OyDgAY&amp;q=site%3Alinkedin.com+Haley+Blackman+Campus+Recruiter,+Consumer+and+Community+Banking+JPMorgan+Chase+&amp;+Co.</v>
      </c>
      <c r="K2799" s="5" t="str">
        <f t="shared" si="1"/>
        <v>Haley Blackman</v>
      </c>
      <c r="L2799" s="5" t="str">
        <f t="shared" si="2"/>
        <v>Campus Recruiter, Consumer and Community Banking</v>
      </c>
      <c r="M2799" s="5" t="str">
        <f t="shared" si="3"/>
        <v> </v>
      </c>
      <c r="N2799" s="5" t="str">
        <f t="shared" si="4"/>
        <v>JPMorgan Chase</v>
      </c>
      <c r="O2799" s="5" t="str">
        <f t="shared" si="5"/>
        <v>1 year  in role and company</v>
      </c>
      <c r="P2799" s="5" t="str">
        <f t="shared" si="6"/>
        <v>Philadelphia</v>
      </c>
      <c r="Q2799" s="5" t="str">
        <f t="shared" si="7"/>
        <v>Pennsylvania</v>
      </c>
      <c r="R2799" s="5" t="str">
        <f t="shared" si="8"/>
        <v>United States</v>
      </c>
    </row>
    <row r="2800">
      <c r="A2800" s="7" t="s">
        <v>1833</v>
      </c>
      <c r="B2800" s="5" t="s">
        <v>1832</v>
      </c>
      <c r="C2800" s="5" t="s">
        <v>25</v>
      </c>
      <c r="D2800" s="6" t="s">
        <v>13</v>
      </c>
      <c r="E2800" s="5" t="s">
        <v>1560</v>
      </c>
      <c r="F2800" s="5" t="s">
        <v>1300</v>
      </c>
      <c r="G2800" s="5" t="s">
        <v>153</v>
      </c>
      <c r="H2800" s="5" t="s">
        <v>154</v>
      </c>
      <c r="I2800" s="5" t="s">
        <v>18</v>
      </c>
      <c r="J2800" s="9" t="str">
        <f>IFERROR(__xludf.DUMMYFUNCTION("""COMPUTED_VALUE"""),"https://www.google.com/search?newwindow=1&amp;ei=2MT0XrvGGM-vytMP1OyDgAY&amp;q=site%3Alinkedin.com+Kathryn+Finley+Campus+Recruiter,+Asset+&amp;+Wealth+Management+JPMorgan+Chase+&amp;+Co.")</f>
        <v>https://www.google.com/search?newwindow=1&amp;ei=2MT0XrvGGM-vytMP1OyDgAY&amp;q=site%3Alinkedin.com+Kathryn+Finley+Campus+Recruiter,+Asset+&amp;+Wealth+Management+JPMorgan+Chase+&amp;+Co.</v>
      </c>
      <c r="K2800" s="5" t="str">
        <f t="shared" si="1"/>
        <v>Kathryn Finley</v>
      </c>
      <c r="L2800" s="5" t="str">
        <f t="shared" si="2"/>
        <v>Campus Recruiter, Asset &amp; Wealth Management</v>
      </c>
      <c r="M2800" s="5" t="str">
        <f t="shared" si="3"/>
        <v> </v>
      </c>
      <c r="N2800" s="5" t="str">
        <f t="shared" si="4"/>
        <v>JPMorgan Chase</v>
      </c>
      <c r="O2800" s="5" t="str">
        <f t="shared" si="5"/>
        <v>1 year 3 months in role and company</v>
      </c>
      <c r="P2800" s="5" t="str">
        <f t="shared" si="6"/>
        <v>Philadelphia</v>
      </c>
      <c r="Q2800" s="5" t="str">
        <f t="shared" si="7"/>
        <v>Pennsylvania</v>
      </c>
      <c r="R2800" s="5" t="str">
        <f t="shared" si="8"/>
        <v>United States</v>
      </c>
    </row>
    <row r="2801">
      <c r="A2801" s="7" t="s">
        <v>1835</v>
      </c>
      <c r="B2801" s="5" t="s">
        <v>1834</v>
      </c>
      <c r="C2801" s="5" t="s">
        <v>25</v>
      </c>
      <c r="D2801" s="6" t="s">
        <v>13</v>
      </c>
      <c r="E2801" s="5" t="s">
        <v>1560</v>
      </c>
      <c r="F2801" s="5" t="s">
        <v>376</v>
      </c>
      <c r="G2801" s="5" t="s">
        <v>153</v>
      </c>
      <c r="H2801" s="5" t="s">
        <v>154</v>
      </c>
      <c r="I2801" s="5" t="s">
        <v>18</v>
      </c>
      <c r="J2801" s="9" t="str">
        <f>IFERROR(__xludf.DUMMYFUNCTION("""COMPUTED_VALUE"""),"https://www.google.com/search?newwindow=1&amp;ei=2MT0XrvGGM-vytMP1OyDgAY&amp;q=site%3Alinkedin.com+Tiffany+N.+Sheffield+Campus+Recruiter,+Consumer+and+Community+Bank+JPMorgan+Chase+&amp;+Co.")</f>
        <v>https://www.google.com/search?newwindow=1&amp;ei=2MT0XrvGGM-vytMP1OyDgAY&amp;q=site%3Alinkedin.com+Tiffany+N.+Sheffield+Campus+Recruiter,+Consumer+and+Community+Bank+JPMorgan+Chase+&amp;+Co.</v>
      </c>
      <c r="K2801" s="5" t="str">
        <f t="shared" si="1"/>
        <v>Tiffany N. Sheffield</v>
      </c>
      <c r="L2801" s="5" t="str">
        <f t="shared" si="2"/>
        <v>Campus Recruiter, Consumer and Community Bank</v>
      </c>
      <c r="M2801" s="5" t="str">
        <f t="shared" si="3"/>
        <v> </v>
      </c>
      <c r="N2801" s="5" t="str">
        <f t="shared" si="4"/>
        <v>JPMorgan Chase</v>
      </c>
      <c r="O2801" s="5" t="str">
        <f t="shared" si="5"/>
        <v>1 year 5 months in role and company</v>
      </c>
      <c r="P2801" s="5" t="str">
        <f t="shared" si="6"/>
        <v>Philadelphia</v>
      </c>
      <c r="Q2801" s="5" t="str">
        <f t="shared" si="7"/>
        <v>Pennsylvania</v>
      </c>
      <c r="R2801" s="5" t="str">
        <f t="shared" si="8"/>
        <v>United States</v>
      </c>
    </row>
    <row r="2802">
      <c r="A2802" s="7" t="s">
        <v>1837</v>
      </c>
      <c r="B2802" s="5" t="s">
        <v>1836</v>
      </c>
      <c r="C2802" s="5" t="s">
        <v>25</v>
      </c>
      <c r="D2802" s="6" t="s">
        <v>13</v>
      </c>
      <c r="E2802" s="5" t="s">
        <v>1560</v>
      </c>
      <c r="F2802" s="5" t="s">
        <v>901</v>
      </c>
      <c r="G2802" s="5" t="s">
        <v>153</v>
      </c>
      <c r="H2802" s="5" t="s">
        <v>154</v>
      </c>
      <c r="I2802" s="5" t="s">
        <v>18</v>
      </c>
      <c r="J2802" s="9" t="str">
        <f>IFERROR(__xludf.DUMMYFUNCTION("""COMPUTED_VALUE"""),"https://www.google.com/search?newwindow=1&amp;ei=2MT0XrvGGM-vytMP1OyDgAY&amp;q=site%3Alinkedin.com+Sema'j+Reed+Global+Finance+&amp;+Business+Management+Campus+Recruiter+JPMorgan+Chase+&amp;+Co.")</f>
        <v>https://www.google.com/search?newwindow=1&amp;ei=2MT0XrvGGM-vytMP1OyDgAY&amp;q=site%3Alinkedin.com+Sema'j+Reed+Global+Finance+&amp;+Business+Management+Campus+Recruiter+JPMorgan+Chase+&amp;+Co.</v>
      </c>
      <c r="K2802" s="5" t="str">
        <f t="shared" si="1"/>
        <v>Sema'j Reed</v>
      </c>
      <c r="L2802" s="5" t="str">
        <f t="shared" si="2"/>
        <v>Global Finance &amp; Business Management Campus Recruiter</v>
      </c>
      <c r="M2802" s="5" t="str">
        <f t="shared" si="3"/>
        <v> </v>
      </c>
      <c r="N2802" s="5" t="str">
        <f t="shared" si="4"/>
        <v>JPMorgan Chase</v>
      </c>
      <c r="O2802" s="5" t="str">
        <f t="shared" si="5"/>
        <v>9 months in role and company</v>
      </c>
      <c r="P2802" s="5" t="str">
        <f t="shared" si="6"/>
        <v>Philadelphia</v>
      </c>
      <c r="Q2802" s="5" t="str">
        <f t="shared" si="7"/>
        <v>Pennsylvania</v>
      </c>
      <c r="R2802" s="5" t="str">
        <f t="shared" si="8"/>
        <v>United States</v>
      </c>
    </row>
    <row r="2803">
      <c r="A2803" s="8" t="s">
        <v>1840</v>
      </c>
      <c r="B2803" s="5" t="s">
        <v>1838</v>
      </c>
      <c r="C2803" s="5" t="s">
        <v>1839</v>
      </c>
      <c r="D2803" s="6" t="s">
        <v>13</v>
      </c>
      <c r="E2803" s="5" t="s">
        <v>1560</v>
      </c>
      <c r="F2803" s="5" t="s">
        <v>1098</v>
      </c>
      <c r="G2803" s="5" t="s">
        <v>153</v>
      </c>
      <c r="H2803" s="5" t="s">
        <v>154</v>
      </c>
      <c r="I2803" s="5" t="s">
        <v>18</v>
      </c>
      <c r="J2803" s="9" t="str">
        <f>IFERROR(__xludf.DUMMYFUNCTION("""COMPUTED_VALUE"""),"https://www.google.com/search?newwindow=1&amp;ei=2MT0XrvGGM-vytMP1OyDgAY&amp;q=site%3Alinkedin.com+Michael+Pedroza+Senior+Associate+-+Campus+Recruiter+-+HR+and+Internal+Audit+JPMorgan+Chase+&amp;+Co.")</f>
        <v>https://www.google.com/search?newwindow=1&amp;ei=2MT0XrvGGM-vytMP1OyDgAY&amp;q=site%3Alinkedin.com+Michael+Pedroza+Senior+Associate+-+Campus+Recruiter+-+HR+and+Internal+Audit+JPMorgan+Chase+&amp;+Co.</v>
      </c>
      <c r="K2803" s="5" t="str">
        <f t="shared" si="1"/>
        <v>Michael Pedroza</v>
      </c>
      <c r="L2803" s="5" t="str">
        <f t="shared" si="2"/>
        <v>Senior Associate - Campus Recruiter - HR and Internal Audit</v>
      </c>
      <c r="M2803" s="5" t="str">
        <f t="shared" si="3"/>
        <v> </v>
      </c>
      <c r="N2803" s="5" t="str">
        <f t="shared" si="4"/>
        <v>JPMorgan Chase</v>
      </c>
      <c r="O2803" s="5" t="str">
        <f t="shared" si="5"/>
        <v>1 year 3 months in role and company</v>
      </c>
      <c r="P2803" s="5" t="str">
        <f t="shared" si="6"/>
        <v>Plano</v>
      </c>
      <c r="Q2803" s="5" t="str">
        <f t="shared" si="7"/>
        <v>Texas</v>
      </c>
      <c r="R2803" s="5" t="str">
        <f t="shared" si="8"/>
        <v>United States</v>
      </c>
    </row>
    <row r="2804">
      <c r="A2804" s="8" t="s">
        <v>1843</v>
      </c>
      <c r="B2804" s="5" t="s">
        <v>1841</v>
      </c>
      <c r="C2804" s="5" t="s">
        <v>1842</v>
      </c>
      <c r="D2804" s="6" t="s">
        <v>13</v>
      </c>
      <c r="E2804" s="5" t="s">
        <v>1560</v>
      </c>
      <c r="F2804" s="5" t="s">
        <v>345</v>
      </c>
      <c r="G2804" s="5" t="s">
        <v>153</v>
      </c>
      <c r="H2804" s="5" t="s">
        <v>154</v>
      </c>
      <c r="I2804" s="5" t="s">
        <v>18</v>
      </c>
      <c r="J2804" s="9" t="str">
        <f>IFERROR(__xludf.DUMMYFUNCTION("""COMPUTED_VALUE"""),"https://www.google.com/search?newwindow=1&amp;ei=2MT0XrvGGM-vytMP1OyDgAY&amp;q=site%3Alinkedin.com+Megan+Lallo+Campus+&amp;+Diversity+Recruiting+Manager+KeyBank")</f>
        <v>https://www.google.com/search?newwindow=1&amp;ei=2MT0XrvGGM-vytMP1OyDgAY&amp;q=site%3Alinkedin.com+Megan+Lallo+Campus+&amp;+Diversity+Recruiting+Manager+KeyBank</v>
      </c>
      <c r="K2804" s="5" t="str">
        <f t="shared" si="1"/>
        <v>Megan Lallo</v>
      </c>
      <c r="L2804" s="5" t="str">
        <f t="shared" si="2"/>
        <v>Campus &amp; Diversity Recruiting Manager</v>
      </c>
      <c r="M2804" s="5" t="str">
        <f t="shared" si="3"/>
        <v> </v>
      </c>
      <c r="N2804" s="5" t="str">
        <f t="shared" si="4"/>
        <v>KeyBank</v>
      </c>
      <c r="O2804" s="5" t="str">
        <f t="shared" si="5"/>
        <v>11 years 2 months in role and company</v>
      </c>
      <c r="P2804" s="5" t="str">
        <f t="shared" si="6"/>
        <v>Cleveland</v>
      </c>
      <c r="Q2804" s="5" t="str">
        <f t="shared" si="7"/>
        <v>Ohio</v>
      </c>
      <c r="R2804" s="5" t="str">
        <f t="shared" si="8"/>
        <v>United States</v>
      </c>
    </row>
    <row r="2805">
      <c r="A2805" s="8" t="s">
        <v>1847</v>
      </c>
      <c r="B2805" s="5" t="s">
        <v>1844</v>
      </c>
      <c r="C2805" s="5" t="s">
        <v>1845</v>
      </c>
      <c r="D2805" s="6" t="s">
        <v>13</v>
      </c>
      <c r="E2805" s="5" t="s">
        <v>1560</v>
      </c>
      <c r="F2805" s="5" t="s">
        <v>1846</v>
      </c>
      <c r="G2805" s="5" t="s">
        <v>223</v>
      </c>
      <c r="H2805" s="5" t="s">
        <v>224</v>
      </c>
      <c r="I2805" s="5" t="s">
        <v>18</v>
      </c>
      <c r="J2805" s="9" t="str">
        <f>IFERROR(__xludf.DUMMYFUNCTION("""COMPUTED_VALUE"""),"https://www.google.com/search?newwindow=1&amp;ei=2MT0XrvGGM-vytMP1OyDgAY&amp;q=site%3Alinkedin.com+Jordan+Green,+MBA+Campus+Recruiter+KeyBank")</f>
        <v>https://www.google.com/search?newwindow=1&amp;ei=2MT0XrvGGM-vytMP1OyDgAY&amp;q=site%3Alinkedin.com+Jordan+Green,+MBA+Campus+Recruiter+KeyBank</v>
      </c>
      <c r="K2805" s="5" t="str">
        <f t="shared" si="1"/>
        <v>Jordan Green, MBA</v>
      </c>
      <c r="L2805" s="5" t="str">
        <f t="shared" si="2"/>
        <v>Campus Recruiter</v>
      </c>
      <c r="M2805" s="5" t="str">
        <f t="shared" si="3"/>
        <v> </v>
      </c>
      <c r="N2805" s="5" t="str">
        <f t="shared" si="4"/>
        <v>KeyBank</v>
      </c>
      <c r="O2805" s="5" t="str">
        <f t="shared" si="5"/>
        <v>2 months in role</v>
      </c>
      <c r="P2805" s="5" t="str">
        <f t="shared" si="6"/>
        <v>Cleveland</v>
      </c>
      <c r="Q2805" s="5" t="str">
        <f t="shared" si="7"/>
        <v>Ohio</v>
      </c>
      <c r="R2805" s="5" t="str">
        <f t="shared" si="8"/>
        <v>United States</v>
      </c>
    </row>
    <row r="2806">
      <c r="A2806" s="7" t="s">
        <v>1850</v>
      </c>
      <c r="B2806" s="5" t="s">
        <v>1848</v>
      </c>
      <c r="C2806" s="5" t="s">
        <v>25</v>
      </c>
      <c r="D2806" s="6" t="s">
        <v>13</v>
      </c>
      <c r="E2806" s="5" t="s">
        <v>1560</v>
      </c>
      <c r="F2806" s="5" t="s">
        <v>1849</v>
      </c>
      <c r="G2806" s="5" t="s">
        <v>295</v>
      </c>
      <c r="H2806" s="5" t="s">
        <v>154</v>
      </c>
      <c r="I2806" s="5" t="s">
        <v>18</v>
      </c>
      <c r="J2806" s="9" t="str">
        <f>IFERROR(__xludf.DUMMYFUNCTION("""COMPUTED_VALUE"""),"https://www.google.com/search?newwindow=1&amp;ei=2MT0XrvGGM-vytMP1OyDgAY&amp;q=site%3Alinkedin.com+Andrea+Cole+Campus+Recruiter+KeyBank")</f>
        <v>https://www.google.com/search?newwindow=1&amp;ei=2MT0XrvGGM-vytMP1OyDgAY&amp;q=site%3Alinkedin.com+Andrea+Cole+Campus+Recruiter+KeyBank</v>
      </c>
      <c r="K2806" s="5" t="str">
        <f t="shared" si="1"/>
        <v>Andrea Cole</v>
      </c>
      <c r="L2806" s="5" t="str">
        <f t="shared" si="2"/>
        <v>Campus Recruiter</v>
      </c>
      <c r="M2806" s="5" t="str">
        <f t="shared" si="3"/>
        <v> </v>
      </c>
      <c r="N2806" s="5" t="str">
        <f t="shared" si="4"/>
        <v>KeyBank</v>
      </c>
      <c r="O2806" s="5" t="str">
        <f t="shared" si="5"/>
        <v>2 years 10 months in role</v>
      </c>
      <c r="P2806" s="5" t="str">
        <f t="shared" si="6"/>
        <v>Cleveland</v>
      </c>
      <c r="Q2806" s="5" t="str">
        <f t="shared" si="7"/>
        <v>Ohio</v>
      </c>
      <c r="R2806" s="5" t="str">
        <f t="shared" si="8"/>
        <v>United States</v>
      </c>
    </row>
    <row r="2807">
      <c r="A2807" s="7" t="s">
        <v>1853</v>
      </c>
      <c r="B2807" s="5" t="s">
        <v>1851</v>
      </c>
      <c r="C2807" s="5" t="s">
        <v>1785</v>
      </c>
      <c r="D2807" s="6" t="s">
        <v>13</v>
      </c>
      <c r="E2807" s="5" t="s">
        <v>1560</v>
      </c>
      <c r="F2807" s="5" t="s">
        <v>79</v>
      </c>
      <c r="G2807" s="5" t="s">
        <v>1852</v>
      </c>
      <c r="H2807" s="5" t="s">
        <v>38</v>
      </c>
      <c r="I2807" s="5" t="s">
        <v>18</v>
      </c>
      <c r="J2807" s="9" t="str">
        <f>IFERROR(__xludf.DUMMYFUNCTION("""COMPUTED_VALUE"""),"https://www.google.com/search?newwindow=1&amp;ei=2MT0XrvGGM-vytMP1OyDgAY&amp;q=site%3Alinkedin.com+Kelsey+Knutty,+MBA+Campus+Recruiter+KeyBank")</f>
        <v>https://www.google.com/search?newwindow=1&amp;ei=2MT0XrvGGM-vytMP1OyDgAY&amp;q=site%3Alinkedin.com+Kelsey+Knutty,+MBA+Campus+Recruiter+KeyBank</v>
      </c>
      <c r="K2807" s="5" t="str">
        <f t="shared" si="1"/>
        <v>Kelsey Knutty, MBA</v>
      </c>
      <c r="L2807" s="5" t="str">
        <f t="shared" si="2"/>
        <v>Campus Recruiter</v>
      </c>
      <c r="M2807" s="5" t="str">
        <f t="shared" si="3"/>
        <v> </v>
      </c>
      <c r="N2807" s="5" t="str">
        <f t="shared" si="4"/>
        <v>KeyBank</v>
      </c>
      <c r="O2807" s="5" t="str">
        <f t="shared" si="5"/>
        <v>5 months in role</v>
      </c>
      <c r="P2807" s="5" t="str">
        <f t="shared" si="6"/>
        <v>Cleveland</v>
      </c>
      <c r="Q2807" s="5" t="str">
        <f t="shared" si="7"/>
        <v>Ohio</v>
      </c>
      <c r="R2807" s="5" t="str">
        <f t="shared" si="8"/>
        <v>United States</v>
      </c>
    </row>
    <row r="2808">
      <c r="A2808" s="7" t="s">
        <v>1856</v>
      </c>
      <c r="B2808" s="5" t="s">
        <v>1854</v>
      </c>
      <c r="C2808" s="5" t="s">
        <v>25</v>
      </c>
      <c r="D2808" s="6" t="s">
        <v>13</v>
      </c>
      <c r="E2808" s="5" t="s">
        <v>1560</v>
      </c>
      <c r="F2808" s="5" t="s">
        <v>1300</v>
      </c>
      <c r="G2808" s="5" t="s">
        <v>1855</v>
      </c>
      <c r="H2808" s="5" t="s">
        <v>96</v>
      </c>
      <c r="I2808" s="5" t="s">
        <v>18</v>
      </c>
      <c r="J2808" s="9" t="str">
        <f>IFERROR(__xludf.DUMMYFUNCTION("""COMPUTED_VALUE"""),"https://www.google.com/search?newwindow=1&amp;ei=2MT0XrvGGM-vytMP1OyDgAY&amp;q=site%3Alinkedin.com+Sheila+Byrne+Campus+Recruiter+KeyBank")</f>
        <v>https://www.google.com/search?newwindow=1&amp;ei=2MT0XrvGGM-vytMP1OyDgAY&amp;q=site%3Alinkedin.com+Sheila+Byrne+Campus+Recruiter+KeyBank</v>
      </c>
      <c r="K2808" s="5" t="str">
        <f t="shared" si="1"/>
        <v>Sheila Byrne</v>
      </c>
      <c r="L2808" s="5" t="str">
        <f t="shared" si="2"/>
        <v>Campus Recruiter</v>
      </c>
      <c r="M2808" s="5" t="str">
        <f t="shared" si="3"/>
        <v> </v>
      </c>
      <c r="N2808" s="5" t="str">
        <f t="shared" si="4"/>
        <v>KeyBank</v>
      </c>
      <c r="O2808" s="5" t="str">
        <f t="shared" si="5"/>
        <v>4 years 5 months in role</v>
      </c>
      <c r="P2808" s="5" t="str">
        <f t="shared" si="6"/>
        <v>Cleveland</v>
      </c>
      <c r="Q2808" s="5" t="str">
        <f t="shared" si="7"/>
        <v>Ohio</v>
      </c>
      <c r="R2808" s="5" t="str">
        <f t="shared" si="8"/>
        <v>United States</v>
      </c>
    </row>
    <row r="2809">
      <c r="A2809" s="7" t="s">
        <v>1860</v>
      </c>
      <c r="B2809" s="5" t="s">
        <v>1857</v>
      </c>
      <c r="C2809" s="5" t="s">
        <v>1858</v>
      </c>
      <c r="D2809" s="6" t="s">
        <v>13</v>
      </c>
      <c r="E2809" s="5" t="s">
        <v>1560</v>
      </c>
      <c r="F2809" s="5" t="s">
        <v>1460</v>
      </c>
      <c r="G2809" s="5" t="s">
        <v>1859</v>
      </c>
      <c r="H2809" s="5" t="s">
        <v>44</v>
      </c>
      <c r="I2809" s="5" t="s">
        <v>18</v>
      </c>
      <c r="J2809" s="9" t="str">
        <f>IFERROR(__xludf.DUMMYFUNCTION("""COMPUTED_VALUE"""),"https://www.google.com/search?newwindow=1&amp;ei=2MT0XrvGGM-vytMP1OyDgAY&amp;q=site%3Alinkedin.com+Brooke+Weber+Campus+Recruiter+KeyBank")</f>
        <v>https://www.google.com/search?newwindow=1&amp;ei=2MT0XrvGGM-vytMP1OyDgAY&amp;q=site%3Alinkedin.com+Brooke+Weber+Campus+Recruiter+KeyBank</v>
      </c>
      <c r="K2809" s="5" t="str">
        <f t="shared" si="1"/>
        <v>Brooke Weber</v>
      </c>
      <c r="L2809" s="5" t="str">
        <f t="shared" si="2"/>
        <v>Campus Recruiter</v>
      </c>
      <c r="M2809" s="5" t="str">
        <f t="shared" si="3"/>
        <v> </v>
      </c>
      <c r="N2809" s="5" t="str">
        <f t="shared" si="4"/>
        <v>KeyBank</v>
      </c>
      <c r="O2809" s="5" t="str">
        <f t="shared" si="5"/>
        <v>2 months in role</v>
      </c>
      <c r="P2809" s="5" t="str">
        <f t="shared" si="6"/>
        <v>Cleveland</v>
      </c>
      <c r="Q2809" s="5" t="str">
        <f t="shared" si="7"/>
        <v>Ohio</v>
      </c>
      <c r="R2809" s="5" t="str">
        <f t="shared" si="8"/>
        <v>United States</v>
      </c>
    </row>
    <row r="2810">
      <c r="A2810" s="7" t="s">
        <v>1862</v>
      </c>
      <c r="B2810" s="5" t="s">
        <v>1861</v>
      </c>
      <c r="C2810" s="5" t="s">
        <v>25</v>
      </c>
      <c r="D2810" s="6" t="s">
        <v>13</v>
      </c>
      <c r="E2810" s="5" t="s">
        <v>1560</v>
      </c>
      <c r="F2810" s="5" t="s">
        <v>1148</v>
      </c>
      <c r="G2810" s="5" t="s">
        <v>780</v>
      </c>
      <c r="H2810" s="5" t="s">
        <v>781</v>
      </c>
      <c r="I2810" s="5" t="s">
        <v>18</v>
      </c>
      <c r="J2810" s="9" t="str">
        <f>IFERROR(__xludf.DUMMYFUNCTION("""COMPUTED_VALUE"""),"https://www.google.com/search?newwindow=1&amp;ei=2MT0XrvGGM-vytMP1OyDgAY&amp;q=site%3Alinkedin.com+Hannah+Post+College+Recruiter+-+Finance,+IT+&amp;+Marketing+Kimberly-Clark")</f>
        <v>https://www.google.com/search?newwindow=1&amp;ei=2MT0XrvGGM-vytMP1OyDgAY&amp;q=site%3Alinkedin.com+Hannah+Post+College+Recruiter+-+Finance,+IT+&amp;+Marketing+Kimberly-Clark</v>
      </c>
      <c r="K2810" s="5" t="str">
        <f t="shared" si="1"/>
        <v>Hannah Post</v>
      </c>
      <c r="L2810" s="5" t="str">
        <f t="shared" si="2"/>
        <v>College Recruiter - Finance, IT &amp; Marketing</v>
      </c>
      <c r="M2810" s="5" t="str">
        <f t="shared" si="3"/>
        <v> </v>
      </c>
      <c r="N2810" s="5" t="str">
        <f t="shared" si="4"/>
        <v>Kimberly-Clark</v>
      </c>
      <c r="O2810" s="5" t="str">
        <f t="shared" si="5"/>
        <v>10 months in role</v>
      </c>
      <c r="P2810" s="5" t="str">
        <f t="shared" si="6"/>
        <v>Appleton</v>
      </c>
      <c r="Q2810" s="5" t="str">
        <f t="shared" si="7"/>
        <v>Wisconsin</v>
      </c>
      <c r="R2810" s="5" t="str">
        <f t="shared" si="8"/>
        <v>United States</v>
      </c>
    </row>
    <row r="2811">
      <c r="A2811" s="7" t="s">
        <v>1864</v>
      </c>
      <c r="B2811" s="5" t="s">
        <v>1863</v>
      </c>
      <c r="C2811" s="5" t="s">
        <v>25</v>
      </c>
      <c r="D2811" s="6" t="s">
        <v>13</v>
      </c>
      <c r="E2811" s="5" t="s">
        <v>1560</v>
      </c>
      <c r="F2811" s="5" t="s">
        <v>125</v>
      </c>
      <c r="G2811" s="5" t="s">
        <v>1035</v>
      </c>
      <c r="H2811" s="5" t="s">
        <v>38</v>
      </c>
      <c r="I2811" s="5" t="s">
        <v>18</v>
      </c>
      <c r="J2811" s="9" t="str">
        <f>IFERROR(__xludf.DUMMYFUNCTION("""COMPUTED_VALUE"""),"https://www.google.com/search?newwindow=1&amp;ei=2MT0XrvGGM-vytMP1OyDgAY&amp;q=site%3Alinkedin.com+Lauren+Sell+College+Recruiter+Kimberly-Clark")</f>
        <v>https://www.google.com/search?newwindow=1&amp;ei=2MT0XrvGGM-vytMP1OyDgAY&amp;q=site%3Alinkedin.com+Lauren+Sell+College+Recruiter+Kimberly-Clark</v>
      </c>
      <c r="K2811" s="5" t="str">
        <f t="shared" si="1"/>
        <v>Lauren Sell</v>
      </c>
      <c r="L2811" s="5" t="str">
        <f t="shared" si="2"/>
        <v>College Recruiter</v>
      </c>
      <c r="M2811" s="5" t="str">
        <f t="shared" si="3"/>
        <v> </v>
      </c>
      <c r="N2811" s="5" t="str">
        <f t="shared" si="4"/>
        <v>Kimberly-Clark</v>
      </c>
      <c r="O2811" s="5" t="str">
        <f t="shared" si="5"/>
        <v>5 years 2 months in role</v>
      </c>
      <c r="P2811" s="5" t="str">
        <f t="shared" si="6"/>
        <v>Appleton</v>
      </c>
      <c r="Q2811" s="5" t="str">
        <f t="shared" si="7"/>
        <v>Wisconsin</v>
      </c>
      <c r="R2811" s="5" t="str">
        <f t="shared" si="8"/>
        <v>United States</v>
      </c>
    </row>
    <row r="2812">
      <c r="A2812" s="8" t="s">
        <v>1868</v>
      </c>
      <c r="B2812" s="5" t="s">
        <v>1865</v>
      </c>
      <c r="C2812" s="5" t="s">
        <v>1866</v>
      </c>
      <c r="D2812" s="6" t="s">
        <v>13</v>
      </c>
      <c r="E2812" s="5" t="s">
        <v>1560</v>
      </c>
      <c r="F2812" s="5" t="s">
        <v>1642</v>
      </c>
      <c r="G2812" s="5" t="s">
        <v>1867</v>
      </c>
      <c r="H2812" s="5" t="s">
        <v>44</v>
      </c>
      <c r="I2812" s="5" t="s">
        <v>18</v>
      </c>
      <c r="J2812" s="9" t="str">
        <f>IFERROR(__xludf.DUMMYFUNCTION("""COMPUTED_VALUE"""),"https://www.google.com/search?newwindow=1&amp;ei=2MT0XrvGGM-vytMP1OyDgAY&amp;q=site%3Alinkedin.com+Kayla+Masterson,+SHRM-+CP+College+Recruiter-+Research+&amp;+Engineering+Kimberly-Clark")</f>
        <v>https://www.google.com/search?newwindow=1&amp;ei=2MT0XrvGGM-vytMP1OyDgAY&amp;q=site%3Alinkedin.com+Kayla+Masterson,+SHRM-+CP+College+Recruiter-+Research+&amp;+Engineering+Kimberly-Clark</v>
      </c>
      <c r="K2812" s="5" t="str">
        <f t="shared" si="1"/>
        <v>Kayla Masterson, SHRM- CP</v>
      </c>
      <c r="L2812" s="5" t="str">
        <f t="shared" si="2"/>
        <v>College Recruiter- Research &amp; Engineering</v>
      </c>
      <c r="M2812" s="5" t="str">
        <f t="shared" si="3"/>
        <v> </v>
      </c>
      <c r="N2812" s="5" t="str">
        <f t="shared" si="4"/>
        <v>Kimberly-Clark</v>
      </c>
      <c r="O2812" s="5" t="str">
        <f t="shared" si="5"/>
        <v>8 months in role and company</v>
      </c>
      <c r="P2812" s="5" t="str">
        <f t="shared" si="6"/>
        <v>Green Bay</v>
      </c>
      <c r="Q2812" s="5" t="str">
        <f t="shared" si="7"/>
        <v>Wisconsin</v>
      </c>
      <c r="R2812" s="5" t="str">
        <f t="shared" si="8"/>
        <v>United States</v>
      </c>
    </row>
    <row r="2813">
      <c r="A2813" s="7" t="s">
        <v>1870</v>
      </c>
      <c r="B2813" s="5" t="s">
        <v>1869</v>
      </c>
      <c r="C2813" s="5" t="s">
        <v>371</v>
      </c>
      <c r="D2813" s="6" t="s">
        <v>13</v>
      </c>
      <c r="E2813" s="5" t="s">
        <v>1560</v>
      </c>
      <c r="F2813" s="5" t="s">
        <v>217</v>
      </c>
      <c r="G2813" s="5" t="s">
        <v>166</v>
      </c>
      <c r="H2813" s="5" t="s">
        <v>44</v>
      </c>
      <c r="I2813" s="5" t="s">
        <v>18</v>
      </c>
      <c r="J2813" s="9" t="str">
        <f>IFERROR(__xludf.DUMMYFUNCTION("""COMPUTED_VALUE"""),"https://www.google.com/search?newwindow=1&amp;ei=2MT0XrvGGM-vytMP1OyDgAY&amp;q=site%3Alinkedin.com+Joann+Milhaupt+College+Recruiter+-+Co-ops+and+Interns+Kimberly-Clark")</f>
        <v>https://www.google.com/search?newwindow=1&amp;ei=2MT0XrvGGM-vytMP1OyDgAY&amp;q=site%3Alinkedin.com+Joann+Milhaupt+College+Recruiter+-+Co-ops+and+Interns+Kimberly-Clark</v>
      </c>
      <c r="K2813" s="5" t="str">
        <f t="shared" si="1"/>
        <v>Joann Milhaupt</v>
      </c>
      <c r="L2813" s="5" t="str">
        <f t="shared" si="2"/>
        <v>College Recruiter - Co-ops and Interns</v>
      </c>
      <c r="M2813" s="5" t="str">
        <f t="shared" si="3"/>
        <v> </v>
      </c>
      <c r="N2813" s="5" t="str">
        <f t="shared" si="4"/>
        <v>Kimberly-Clark</v>
      </c>
      <c r="O2813" s="5" t="str">
        <f t="shared" si="5"/>
        <v/>
      </c>
      <c r="P2813" s="5" t="str">
        <f t="shared" si="6"/>
        <v>Neenah</v>
      </c>
      <c r="Q2813" s="5" t="str">
        <f t="shared" si="7"/>
        <v>Wisconsin</v>
      </c>
      <c r="R2813" s="5" t="str">
        <f t="shared" si="8"/>
        <v>United States</v>
      </c>
    </row>
    <row r="2814">
      <c r="A2814" s="7" t="s">
        <v>1872</v>
      </c>
      <c r="B2814" s="5" t="s">
        <v>1871</v>
      </c>
      <c r="C2814" s="5" t="s">
        <v>25</v>
      </c>
      <c r="D2814" s="6" t="s">
        <v>13</v>
      </c>
      <c r="E2814" s="5" t="s">
        <v>1560</v>
      </c>
      <c r="F2814" s="5" t="s">
        <v>1460</v>
      </c>
      <c r="G2814" s="5" t="s">
        <v>166</v>
      </c>
      <c r="H2814" s="5" t="s">
        <v>44</v>
      </c>
      <c r="I2814" s="5" t="s">
        <v>18</v>
      </c>
      <c r="J2814" s="9" t="str">
        <f>IFERROR(__xludf.DUMMYFUNCTION("""COMPUTED_VALUE"""),"https://www.google.com/search?newwindow=1&amp;ei=2MT0XrvGGM-vytMP1OyDgAY&amp;q=site%3Alinkedin.com+Andy+Salzwedel+College+Recruiter+Kimberly-Clark")</f>
        <v>https://www.google.com/search?newwindow=1&amp;ei=2MT0XrvGGM-vytMP1OyDgAY&amp;q=site%3Alinkedin.com+Andy+Salzwedel+College+Recruiter+Kimberly-Clark</v>
      </c>
      <c r="K2814" s="5" t="str">
        <f t="shared" si="1"/>
        <v>Andy Salzwedel</v>
      </c>
      <c r="L2814" s="5" t="str">
        <f t="shared" si="2"/>
        <v>College Recruiter</v>
      </c>
      <c r="M2814" s="5" t="str">
        <f t="shared" si="3"/>
        <v> </v>
      </c>
      <c r="N2814" s="5" t="str">
        <f t="shared" si="4"/>
        <v>Kimberly-Clark</v>
      </c>
      <c r="O2814" s="5" t="str">
        <f t="shared" si="5"/>
        <v>7 years 7 months in role and company</v>
      </c>
      <c r="P2814" s="5" t="str">
        <f t="shared" si="6"/>
        <v>Stevens Point</v>
      </c>
      <c r="Q2814" s="5" t="str">
        <f t="shared" si="7"/>
        <v>Wisconsin</v>
      </c>
      <c r="R2814" s="5" t="str">
        <f t="shared" si="8"/>
        <v>United States</v>
      </c>
    </row>
    <row r="2815">
      <c r="A2815" s="8" t="s">
        <v>1875</v>
      </c>
      <c r="B2815" s="5" t="s">
        <v>1873</v>
      </c>
      <c r="C2815" s="5" t="s">
        <v>1874</v>
      </c>
      <c r="D2815" s="6" t="s">
        <v>13</v>
      </c>
      <c r="E2815" s="5" t="s">
        <v>1560</v>
      </c>
      <c r="F2815" s="5" t="s">
        <v>277</v>
      </c>
      <c r="G2815" s="5" t="s">
        <v>169</v>
      </c>
      <c r="H2815" s="5" t="s">
        <v>44</v>
      </c>
      <c r="I2815" s="5" t="s">
        <v>18</v>
      </c>
      <c r="J2815" s="9" t="str">
        <f>IFERROR(__xludf.DUMMYFUNCTION("""COMPUTED_VALUE"""),"https://www.google.com/search?newwindow=1&amp;ei=2MT0XrvGGM-vytMP1OyDgAY&amp;q=site%3Alinkedin.com+Samantha+Pierre-Alexander+Campus+Recruiter+Kohl's")</f>
        <v>https://www.google.com/search?newwindow=1&amp;ei=2MT0XrvGGM-vytMP1OyDgAY&amp;q=site%3Alinkedin.com+Samantha+Pierre-Alexander+Campus+Recruiter+Kohl's</v>
      </c>
      <c r="K2815" s="5" t="str">
        <f t="shared" si="1"/>
        <v>Samantha Pierre-Alexander</v>
      </c>
      <c r="L2815" s="5" t="str">
        <f t="shared" si="2"/>
        <v>Campus Recruiter</v>
      </c>
      <c r="M2815" s="5" t="str">
        <f t="shared" si="3"/>
        <v> </v>
      </c>
      <c r="N2815" s="5" t="str">
        <f t="shared" si="4"/>
        <v>Kohl's</v>
      </c>
      <c r="O2815" s="5" t="str">
        <f t="shared" si="5"/>
        <v>8 years 2 months in role and company</v>
      </c>
      <c r="P2815" s="5" t="str">
        <f t="shared" si="6"/>
        <v>Birmingham</v>
      </c>
      <c r="Q2815" s="5" t="str">
        <f t="shared" si="7"/>
        <v>Alabama</v>
      </c>
      <c r="R2815" s="5" t="str">
        <f t="shared" si="8"/>
        <v>United States</v>
      </c>
    </row>
    <row r="2816">
      <c r="A2816" s="7" t="s">
        <v>1878</v>
      </c>
      <c r="B2816" s="5" t="s">
        <v>1876</v>
      </c>
      <c r="C2816" s="5" t="s">
        <v>1877</v>
      </c>
      <c r="D2816" s="6" t="s">
        <v>13</v>
      </c>
      <c r="E2816" s="5" t="s">
        <v>1560</v>
      </c>
      <c r="G2816" s="5" t="s">
        <v>169</v>
      </c>
      <c r="H2816" s="5" t="s">
        <v>44</v>
      </c>
      <c r="I2816" s="5" t="s">
        <v>18</v>
      </c>
      <c r="J2816" s="9" t="str">
        <f>IFERROR(__xludf.DUMMYFUNCTION("""COMPUTED_VALUE"""),"https://www.google.com/search?newwindow=1&amp;ei=2MT0XrvGGM-vytMP1OyDgAY&amp;q=site%3Alinkedin.com+Angela+Bangert+Senior+Recruiter+University+Relations+Kohl's")</f>
        <v>https://www.google.com/search?newwindow=1&amp;ei=2MT0XrvGGM-vytMP1OyDgAY&amp;q=site%3Alinkedin.com+Angela+Bangert+Senior+Recruiter+University+Relations+Kohl's</v>
      </c>
      <c r="K2816" s="5" t="str">
        <f t="shared" si="1"/>
        <v>Angela Bangert</v>
      </c>
      <c r="L2816" s="5" t="str">
        <f t="shared" si="2"/>
        <v>Senior Recruiter University Relations</v>
      </c>
      <c r="M2816" s="5" t="str">
        <f t="shared" si="3"/>
        <v> </v>
      </c>
      <c r="N2816" s="5" t="str">
        <f t="shared" si="4"/>
        <v>Kohl's</v>
      </c>
      <c r="O2816" s="5" t="str">
        <f t="shared" si="5"/>
        <v>5 years 2 months in role</v>
      </c>
      <c r="P2816" s="5" t="str">
        <f t="shared" si="6"/>
        <v>Cedar Park</v>
      </c>
      <c r="Q2816" s="5" t="str">
        <f t="shared" si="7"/>
        <v>Texas</v>
      </c>
      <c r="R2816" s="5" t="str">
        <f t="shared" si="8"/>
        <v>United States</v>
      </c>
    </row>
    <row r="2817">
      <c r="A2817" s="7" t="s">
        <v>1881</v>
      </c>
      <c r="B2817" s="5" t="s">
        <v>1879</v>
      </c>
      <c r="C2817" s="5" t="s">
        <v>25</v>
      </c>
      <c r="D2817" s="6" t="s">
        <v>13</v>
      </c>
      <c r="E2817" s="5" t="s">
        <v>1560</v>
      </c>
      <c r="F2817" s="5" t="s">
        <v>1880</v>
      </c>
      <c r="G2817" s="5" t="s">
        <v>311</v>
      </c>
      <c r="H2817" s="5" t="s">
        <v>102</v>
      </c>
      <c r="I2817" s="5" t="s">
        <v>18</v>
      </c>
      <c r="J2817" s="9" t="str">
        <f>IFERROR(__xludf.DUMMYFUNCTION("""COMPUTED_VALUE"""),"https://www.google.com/search?newwindow=1&amp;ei=2MT0XrvGGM-vytMP1OyDgAY&amp;q=site%3Alinkedin.com+Eudulia+Velez+Campus+Recruiter+Kohl's")</f>
        <v>https://www.google.com/search?newwindow=1&amp;ei=2MT0XrvGGM-vytMP1OyDgAY&amp;q=site%3Alinkedin.com+Eudulia+Velez+Campus+Recruiter+Kohl's</v>
      </c>
      <c r="K2817" s="5" t="str">
        <f t="shared" si="1"/>
        <v>Eudulia Velez</v>
      </c>
      <c r="L2817" s="5" t="str">
        <f t="shared" si="2"/>
        <v>Campus Recruiter</v>
      </c>
      <c r="M2817" s="5" t="str">
        <f t="shared" si="3"/>
        <v> </v>
      </c>
      <c r="N2817" s="5" t="str">
        <f t="shared" si="4"/>
        <v>Kohl's</v>
      </c>
      <c r="O2817" s="5" t="str">
        <f t="shared" si="5"/>
        <v>2 years 10 months in role</v>
      </c>
      <c r="P2817" s="5" t="str">
        <f t="shared" si="6"/>
        <v>Houston</v>
      </c>
      <c r="Q2817" s="5" t="str">
        <f t="shared" si="7"/>
        <v>Texas</v>
      </c>
      <c r="R2817" s="5" t="str">
        <f t="shared" si="8"/>
        <v>United States</v>
      </c>
    </row>
    <row r="2818">
      <c r="A2818" s="7" t="s">
        <v>1884</v>
      </c>
      <c r="B2818" s="5" t="s">
        <v>1882</v>
      </c>
      <c r="C2818" s="5" t="s">
        <v>1883</v>
      </c>
      <c r="D2818" s="6" t="s">
        <v>13</v>
      </c>
      <c r="E2818" s="5" t="s">
        <v>1560</v>
      </c>
      <c r="F2818" s="5" t="s">
        <v>111</v>
      </c>
      <c r="G2818" s="5" t="s">
        <v>311</v>
      </c>
      <c r="H2818" s="5" t="s">
        <v>102</v>
      </c>
      <c r="I2818" s="5" t="s">
        <v>18</v>
      </c>
      <c r="J2818" s="9" t="str">
        <f>IFERROR(__xludf.DUMMYFUNCTION("""COMPUTED_VALUE"""),"https://www.google.com/search?newwindow=1&amp;ei=2MT0XrvGGM-vytMP1OyDgAY&amp;q=site%3Alinkedin.com+Ashlee+Harry+Fall+NE+Campus+Team+Recruiter+Kohl's")</f>
        <v>https://www.google.com/search?newwindow=1&amp;ei=2MT0XrvGGM-vytMP1OyDgAY&amp;q=site%3Alinkedin.com+Ashlee+Harry+Fall+NE+Campus+Team+Recruiter+Kohl's</v>
      </c>
      <c r="K2818" s="5" t="str">
        <f t="shared" si="1"/>
        <v>Ashlee Harry</v>
      </c>
      <c r="L2818" s="5" t="str">
        <f t="shared" si="2"/>
        <v>Fall NE Campus Team Recruiter</v>
      </c>
      <c r="M2818" s="5" t="str">
        <f t="shared" si="3"/>
        <v> </v>
      </c>
      <c r="N2818" s="5" t="str">
        <f t="shared" si="4"/>
        <v>Kohl's</v>
      </c>
      <c r="O2818" s="5" t="str">
        <f t="shared" si="5"/>
        <v>3 months in role and company</v>
      </c>
      <c r="P2818" s="5" t="str">
        <f t="shared" si="6"/>
        <v>Kingston</v>
      </c>
      <c r="Q2818" s="5" t="str">
        <f t="shared" si="7"/>
        <v>Pennsylvania</v>
      </c>
      <c r="R2818" s="5" t="str">
        <f t="shared" si="8"/>
        <v>United States</v>
      </c>
    </row>
    <row r="2819">
      <c r="A2819" s="7" t="s">
        <v>1887</v>
      </c>
      <c r="B2819" s="5" t="s">
        <v>1885</v>
      </c>
      <c r="C2819" s="5" t="s">
        <v>25</v>
      </c>
      <c r="D2819" s="6" t="s">
        <v>13</v>
      </c>
      <c r="E2819" s="5" t="s">
        <v>1560</v>
      </c>
      <c r="F2819" s="5" t="s">
        <v>182</v>
      </c>
      <c r="G2819" s="5" t="s">
        <v>1886</v>
      </c>
      <c r="H2819" s="5" t="s">
        <v>184</v>
      </c>
      <c r="I2819" s="5" t="s">
        <v>18</v>
      </c>
      <c r="J2819" s="9" t="str">
        <f>IFERROR(__xludf.DUMMYFUNCTION("""COMPUTED_VALUE"""),"https://www.google.com/search?newwindow=1&amp;ei=2MT0XrvGGM-vytMP1OyDgAY&amp;q=site%3Alinkedin.com+Steven+Bothwell+Early+Talent+Campus+Recruiter+Kohl's")</f>
        <v>https://www.google.com/search?newwindow=1&amp;ei=2MT0XrvGGM-vytMP1OyDgAY&amp;q=site%3Alinkedin.com+Steven+Bothwell+Early+Talent+Campus+Recruiter+Kohl's</v>
      </c>
      <c r="K2819" s="5" t="str">
        <f t="shared" si="1"/>
        <v>Steven Bothwell</v>
      </c>
      <c r="L2819" s="5" t="str">
        <f t="shared" si="2"/>
        <v>Early Talent Campus Recruiter</v>
      </c>
      <c r="M2819" s="5" t="str">
        <f t="shared" si="3"/>
        <v> </v>
      </c>
      <c r="N2819" s="5" t="str">
        <f t="shared" si="4"/>
        <v>Kohl's</v>
      </c>
      <c r="O2819" s="5" t="str">
        <f t="shared" si="5"/>
        <v>4 years 3 months in role</v>
      </c>
      <c r="P2819" s="5" t="str">
        <f t="shared" si="6"/>
        <v>Mount Pleasant</v>
      </c>
      <c r="Q2819" s="5" t="str">
        <f t="shared" si="7"/>
        <v>Michigan</v>
      </c>
      <c r="R2819" s="5" t="str">
        <f t="shared" si="8"/>
        <v>United States</v>
      </c>
    </row>
    <row r="2820">
      <c r="A2820" s="7" t="s">
        <v>1890</v>
      </c>
      <c r="B2820" s="5" t="s">
        <v>1888</v>
      </c>
      <c r="C2820" s="5" t="s">
        <v>1889</v>
      </c>
      <c r="D2820" s="6" t="s">
        <v>13</v>
      </c>
      <c r="E2820" s="5" t="s">
        <v>1560</v>
      </c>
      <c r="F2820" s="5" t="s">
        <v>277</v>
      </c>
      <c r="G2820" s="5" t="s">
        <v>1131</v>
      </c>
      <c r="H2820" s="5" t="s">
        <v>203</v>
      </c>
      <c r="I2820" s="5" t="s">
        <v>18</v>
      </c>
      <c r="J2820" s="9" t="str">
        <f>IFERROR(__xludf.DUMMYFUNCTION("""COMPUTED_VALUE"""),"https://www.google.com/search?newwindow=1&amp;ei=2MT0XrvGGM-vytMP1OyDgAY&amp;q=site%3Alinkedin.com+Carina+Hernandez+Campus+Recruiter+Kohl's")</f>
        <v>https://www.google.com/search?newwindow=1&amp;ei=2MT0XrvGGM-vytMP1OyDgAY&amp;q=site%3Alinkedin.com+Carina+Hernandez+Campus+Recruiter+Kohl's</v>
      </c>
      <c r="K2820" s="5" t="str">
        <f t="shared" si="1"/>
        <v>Carina Hernandez</v>
      </c>
      <c r="L2820" s="5" t="str">
        <f t="shared" si="2"/>
        <v>Campus Recruiter</v>
      </c>
      <c r="M2820" s="5" t="str">
        <f t="shared" si="3"/>
        <v> </v>
      </c>
      <c r="N2820" s="5" t="str">
        <f t="shared" si="4"/>
        <v>Kohl's</v>
      </c>
      <c r="O2820" s="5" t="str">
        <f t="shared" si="5"/>
        <v>3 months in role</v>
      </c>
      <c r="P2820" s="5" t="str">
        <f t="shared" si="6"/>
        <v>Yuba City</v>
      </c>
      <c r="Q2820" s="5" t="str">
        <f t="shared" si="7"/>
        <v>California</v>
      </c>
      <c r="R2820" s="5" t="str">
        <f t="shared" si="8"/>
        <v>United States</v>
      </c>
    </row>
    <row r="2821">
      <c r="A2821" s="8" t="s">
        <v>1894</v>
      </c>
      <c r="B2821" s="5" t="s">
        <v>1891</v>
      </c>
      <c r="C2821" s="5" t="s">
        <v>1656</v>
      </c>
      <c r="D2821" s="6" t="s">
        <v>13</v>
      </c>
      <c r="E2821" s="5" t="s">
        <v>1560</v>
      </c>
      <c r="F2821" s="5" t="s">
        <v>1892</v>
      </c>
      <c r="G2821" s="5" t="s">
        <v>1893</v>
      </c>
      <c r="H2821" s="5" t="s">
        <v>96</v>
      </c>
      <c r="I2821" s="5" t="s">
        <v>18</v>
      </c>
      <c r="J2821" s="9" t="str">
        <f>IFERROR(__xludf.DUMMYFUNCTION("""COMPUTED_VALUE"""),"https://www.google.com/search?newwindow=1&amp;ei=2MT0XrvGGM-vytMP1OyDgAY&amp;q=site%3Alinkedin.com+Omni+Dean+Campus+Recruiting+Manager+kohl's+Department+Stores")</f>
        <v>https://www.google.com/search?newwindow=1&amp;ei=2MT0XrvGGM-vytMP1OyDgAY&amp;q=site%3Alinkedin.com+Omni+Dean+Campus+Recruiting+Manager+kohl's+Department+Stores</v>
      </c>
      <c r="K2821" s="5" t="str">
        <f t="shared" si="1"/>
        <v>Omni Dean</v>
      </c>
      <c r="L2821" s="5" t="str">
        <f t="shared" si="2"/>
        <v>Campus Recruiting Manager</v>
      </c>
      <c r="M2821" s="5" t="str">
        <f t="shared" si="3"/>
        <v> </v>
      </c>
      <c r="N2821" s="5" t="str">
        <f t="shared" si="4"/>
        <v>Kohl's</v>
      </c>
      <c r="O2821" s="5" t="str">
        <f t="shared" si="5"/>
        <v>3 years 9 months in role and company</v>
      </c>
      <c r="P2821" s="5" t="str">
        <f t="shared" si="6"/>
        <v>Chicago</v>
      </c>
      <c r="Q2821" s="5" t="str">
        <f t="shared" si="7"/>
        <v>Illinois</v>
      </c>
      <c r="R2821" s="5" t="str">
        <f t="shared" si="8"/>
        <v>United States</v>
      </c>
    </row>
    <row r="2822">
      <c r="A2822" s="7" t="s">
        <v>1897</v>
      </c>
      <c r="B2822" s="5" t="s">
        <v>1895</v>
      </c>
      <c r="C2822" s="5" t="s">
        <v>1896</v>
      </c>
      <c r="D2822" s="6" t="s">
        <v>13</v>
      </c>
      <c r="E2822" s="5" t="s">
        <v>1560</v>
      </c>
      <c r="F2822" s="5" t="s">
        <v>686</v>
      </c>
      <c r="G2822" s="5" t="s">
        <v>102</v>
      </c>
      <c r="H2822" s="5" t="s">
        <v>172</v>
      </c>
      <c r="I2822" s="5" t="s">
        <v>18</v>
      </c>
      <c r="J2822" s="9" t="str">
        <f>IFERROR(__xludf.DUMMYFUNCTION("""COMPUTED_VALUE"""),"https://www.google.com/search?newwindow=1&amp;ei=2MT0XrvGGM-vytMP1OyDgAY&amp;q=site%3Alinkedin.com+Gary+Wegrzyn+Digital+Campus+Recruiter+Kohl's+Department+Stores")</f>
        <v>https://www.google.com/search?newwindow=1&amp;ei=2MT0XrvGGM-vytMP1OyDgAY&amp;q=site%3Alinkedin.com+Gary+Wegrzyn+Digital+Campus+Recruiter+Kohl's+Department+Stores</v>
      </c>
      <c r="K2822" s="5" t="str">
        <f t="shared" si="1"/>
        <v>Gary Wegrzyn</v>
      </c>
      <c r="L2822" s="5" t="str">
        <f t="shared" si="2"/>
        <v>Digital Campus Recruiter</v>
      </c>
      <c r="M2822" s="5" t="str">
        <f t="shared" si="3"/>
        <v> </v>
      </c>
      <c r="N2822" s="5" t="str">
        <f t="shared" si="4"/>
        <v>Kohl's</v>
      </c>
      <c r="O2822" s="5" t="str">
        <f t="shared" si="5"/>
        <v>3 years 3 months in role and company</v>
      </c>
      <c r="P2822" s="5" t="str">
        <f t="shared" si="6"/>
        <v>Chicago</v>
      </c>
      <c r="Q2822" s="5" t="str">
        <f t="shared" si="7"/>
        <v>Illinois</v>
      </c>
      <c r="R2822" s="5" t="str">
        <f t="shared" si="8"/>
        <v>United States</v>
      </c>
    </row>
    <row r="2823">
      <c r="A2823" s="8" t="s">
        <v>1900</v>
      </c>
      <c r="B2823" s="5" t="s">
        <v>1898</v>
      </c>
      <c r="C2823" s="5" t="s">
        <v>1899</v>
      </c>
      <c r="D2823" s="6" t="s">
        <v>13</v>
      </c>
      <c r="E2823" s="5" t="s">
        <v>1560</v>
      </c>
      <c r="F2823" s="5" t="s">
        <v>277</v>
      </c>
      <c r="G2823" s="5" t="s">
        <v>102</v>
      </c>
      <c r="H2823" s="5" t="s">
        <v>172</v>
      </c>
      <c r="I2823" s="5" t="s">
        <v>18</v>
      </c>
      <c r="J2823" s="9" t="str">
        <f>IFERROR(__xludf.DUMMYFUNCTION("""COMPUTED_VALUE"""),"https://www.google.com/search?newwindow=1&amp;ei=2MT0XrvGGM-vytMP1OyDgAY&amp;q=site%3Alinkedin.com+Tori+Hoffman+Early+Talent+Recruiter+Kohl's+Department+Stores")</f>
        <v>https://www.google.com/search?newwindow=1&amp;ei=2MT0XrvGGM-vytMP1OyDgAY&amp;q=site%3Alinkedin.com+Tori+Hoffman+Early+Talent+Recruiter+Kohl's+Department+Stores</v>
      </c>
      <c r="K2823" s="5" t="str">
        <f t="shared" si="1"/>
        <v>Tori Hoffman</v>
      </c>
      <c r="L2823" s="5" t="str">
        <f t="shared" si="2"/>
        <v>Early Talent Recruiter</v>
      </c>
      <c r="M2823" s="5" t="str">
        <f t="shared" si="3"/>
        <v> </v>
      </c>
      <c r="N2823" s="5" t="str">
        <f t="shared" si="4"/>
        <v>Kohl's</v>
      </c>
      <c r="O2823" s="5" t="str">
        <f t="shared" si="5"/>
        <v>5 years 5 months in role and company</v>
      </c>
      <c r="P2823" s="5" t="str">
        <f t="shared" si="6"/>
        <v>Exton</v>
      </c>
      <c r="Q2823" s="5" t="str">
        <f t="shared" si="7"/>
        <v>Pennsylvania</v>
      </c>
      <c r="R2823" s="5" t="str">
        <f t="shared" si="8"/>
        <v>United States</v>
      </c>
    </row>
    <row r="2824">
      <c r="A2824" s="8" t="s">
        <v>1903</v>
      </c>
      <c r="B2824" s="5" t="s">
        <v>1901</v>
      </c>
      <c r="C2824" s="5" t="s">
        <v>1902</v>
      </c>
      <c r="D2824" s="6" t="s">
        <v>13</v>
      </c>
      <c r="E2824" s="5" t="s">
        <v>1560</v>
      </c>
      <c r="F2824" s="5" t="s">
        <v>182</v>
      </c>
      <c r="G2824" s="5" t="s">
        <v>102</v>
      </c>
      <c r="H2824" s="5" t="s">
        <v>172</v>
      </c>
      <c r="I2824" s="5" t="s">
        <v>18</v>
      </c>
      <c r="J2824" s="9" t="str">
        <f>IFERROR(__xludf.DUMMYFUNCTION("""COMPUTED_VALUE"""),"https://www.google.com/search?newwindow=1&amp;ei=2MT0XrvGGM-vytMP1OyDgAY&amp;q=site%3Alinkedin.com+Melissa+Payne+Campus+Manager/Recruiter+Kohl's+Department+Stores")</f>
        <v>https://www.google.com/search?newwindow=1&amp;ei=2MT0XrvGGM-vytMP1OyDgAY&amp;q=site%3Alinkedin.com+Melissa+Payne+Campus+Manager/Recruiter+Kohl's+Department+Stores</v>
      </c>
      <c r="K2824" s="5" t="str">
        <f t="shared" si="1"/>
        <v>Melissa Payne</v>
      </c>
      <c r="L2824" s="5" t="str">
        <f t="shared" si="2"/>
        <v>Campus Manager/Recruiter</v>
      </c>
      <c r="M2824" s="5" t="str">
        <f t="shared" si="3"/>
        <v> </v>
      </c>
      <c r="N2824" s="5" t="str">
        <f t="shared" si="4"/>
        <v>Kohl's</v>
      </c>
      <c r="O2824" s="5" t="str">
        <f t="shared" si="5"/>
        <v>9 years 2 months in role and company</v>
      </c>
      <c r="P2824" s="5" t="str">
        <f t="shared" si="6"/>
        <v>Fayetteville</v>
      </c>
      <c r="Q2824" s="5" t="str">
        <f t="shared" si="7"/>
        <v>Arkansas</v>
      </c>
      <c r="R2824" s="5" t="str">
        <f t="shared" si="8"/>
        <v>United States</v>
      </c>
    </row>
    <row r="2825">
      <c r="A2825" s="8" t="s">
        <v>1906</v>
      </c>
      <c r="B2825" s="5" t="s">
        <v>1904</v>
      </c>
      <c r="C2825" s="5" t="s">
        <v>1905</v>
      </c>
      <c r="D2825" s="6" t="s">
        <v>13</v>
      </c>
      <c r="E2825" s="5" t="s">
        <v>1560</v>
      </c>
      <c r="F2825" s="5" t="s">
        <v>84</v>
      </c>
      <c r="G2825" s="5" t="s">
        <v>608</v>
      </c>
      <c r="H2825" s="5" t="s">
        <v>50</v>
      </c>
      <c r="I2825" s="5" t="s">
        <v>18</v>
      </c>
      <c r="J2825" s="9" t="str">
        <f>IFERROR(__xludf.DUMMYFUNCTION("""COMPUTED_VALUE"""),"https://www.google.com/search?newwindow=1&amp;ei=2MT0XrvGGM-vytMP1OyDgAY&amp;q=site%3Alinkedin.com+Erica+Trotta+Senior+Executive+Recruiter+Kohl's+Department+Stores")</f>
        <v>https://www.google.com/search?newwindow=1&amp;ei=2MT0XrvGGM-vytMP1OyDgAY&amp;q=site%3Alinkedin.com+Erica+Trotta+Senior+Executive+Recruiter+Kohl's+Department+Stores</v>
      </c>
      <c r="K2825" s="5" t="str">
        <f t="shared" si="1"/>
        <v>Erica Trotta</v>
      </c>
      <c r="L2825" s="5" t="str">
        <f t="shared" si="2"/>
        <v>Senior Executive Recruiter</v>
      </c>
      <c r="M2825" s="5" t="str">
        <f t="shared" si="3"/>
        <v> </v>
      </c>
      <c r="N2825" s="5" t="str">
        <f t="shared" si="4"/>
        <v>Kohl's</v>
      </c>
      <c r="O2825" s="5" t="str">
        <f t="shared" si="5"/>
        <v>6 years  in role</v>
      </c>
      <c r="P2825" s="5" t="str">
        <f t="shared" si="6"/>
        <v>New York</v>
      </c>
      <c r="Q2825" s="5" t="str">
        <f t="shared" si="7"/>
        <v>New York</v>
      </c>
      <c r="R2825" s="5" t="str">
        <f t="shared" si="8"/>
        <v>United States</v>
      </c>
    </row>
    <row r="2826">
      <c r="A2826" s="7" t="s">
        <v>1909</v>
      </c>
      <c r="B2826" s="5" t="s">
        <v>1907</v>
      </c>
      <c r="C2826" s="5" t="s">
        <v>110</v>
      </c>
      <c r="D2826" s="6" t="s">
        <v>13</v>
      </c>
      <c r="E2826" s="5" t="s">
        <v>1908</v>
      </c>
      <c r="F2826" s="5" t="s">
        <v>165</v>
      </c>
      <c r="G2826" s="5" t="s">
        <v>37</v>
      </c>
      <c r="H2826" s="5" t="s">
        <v>38</v>
      </c>
      <c r="I2826" s="5" t="s">
        <v>18</v>
      </c>
      <c r="J2826" s="9" t="str">
        <f>IFERROR(__xludf.DUMMYFUNCTION("""COMPUTED_VALUE"""),"https://www.google.com/search?newwindow=1&amp;ei=2MT0XrvGGM-vytMP1OyDgAY&amp;q=site%3Alinkedin.com+Michael+Tran+Campus+Recruiter+Kohl's+Department+Stores")</f>
        <v>https://www.google.com/search?newwindow=1&amp;ei=2MT0XrvGGM-vytMP1OyDgAY&amp;q=site%3Alinkedin.com+Michael+Tran+Campus+Recruiter+Kohl's+Department+Stores</v>
      </c>
      <c r="K2826" s="5" t="str">
        <f t="shared" si="1"/>
        <v>Michael Tran</v>
      </c>
      <c r="L2826" s="5" t="str">
        <f t="shared" si="2"/>
        <v>Campus Recruiter</v>
      </c>
      <c r="M2826" s="5" t="str">
        <f t="shared" si="3"/>
        <v> </v>
      </c>
      <c r="N2826" s="5" t="str">
        <f t="shared" si="4"/>
        <v>Kohl's</v>
      </c>
      <c r="O2826" s="5" t="str">
        <f t="shared" si="5"/>
        <v>10 years 2 months in role</v>
      </c>
      <c r="P2826" s="5" t="str">
        <f t="shared" si="6"/>
        <v>New York</v>
      </c>
      <c r="Q2826" s="5" t="str">
        <f t="shared" si="7"/>
        <v>New York</v>
      </c>
      <c r="R2826" s="5" t="str">
        <f t="shared" si="8"/>
        <v>United States</v>
      </c>
    </row>
    <row r="2827">
      <c r="A2827" s="7" t="s">
        <v>1911</v>
      </c>
      <c r="B2827" s="5" t="s">
        <v>1910</v>
      </c>
      <c r="C2827" s="5" t="s">
        <v>110</v>
      </c>
      <c r="D2827" s="6" t="s">
        <v>13</v>
      </c>
      <c r="E2827" s="5" t="s">
        <v>1908</v>
      </c>
      <c r="F2827" s="5" t="s">
        <v>136</v>
      </c>
      <c r="G2827" s="5" t="s">
        <v>377</v>
      </c>
      <c r="H2827" s="5" t="s">
        <v>378</v>
      </c>
      <c r="I2827" s="5" t="s">
        <v>18</v>
      </c>
      <c r="J2827" s="9" t="str">
        <f>IFERROR(__xludf.DUMMYFUNCTION("""COMPUTED_VALUE"""),"https://www.google.com/search?newwindow=1&amp;ei=2MT0XrvGGM-vytMP1OyDgAY&amp;q=site%3Alinkedin.com+Annelisa+Melendez+On-+Campus+Recruiter+Kohl's+Department+Stores")</f>
        <v>https://www.google.com/search?newwindow=1&amp;ei=2MT0XrvGGM-vytMP1OyDgAY&amp;q=site%3Alinkedin.com+Annelisa+Melendez+On-+Campus+Recruiter+Kohl's+Department+Stores</v>
      </c>
      <c r="K2827" s="5" t="str">
        <f t="shared" si="1"/>
        <v>Annelisa Melendez</v>
      </c>
      <c r="L2827" s="5" t="str">
        <f t="shared" si="2"/>
        <v>On- Campus Recruiter</v>
      </c>
      <c r="M2827" s="5" t="str">
        <f t="shared" si="3"/>
        <v> </v>
      </c>
      <c r="N2827" s="5" t="str">
        <f t="shared" si="4"/>
        <v>Kohl's</v>
      </c>
      <c r="O2827" s="5" t="str">
        <f t="shared" si="5"/>
        <v>4 years 5 months in role and company</v>
      </c>
      <c r="P2827" s="5" t="str">
        <f t="shared" si="6"/>
        <v>Walworth County</v>
      </c>
      <c r="Q2827" s="5" t="str">
        <f t="shared" si="7"/>
        <v>Wisconsin</v>
      </c>
      <c r="R2827" s="5" t="str">
        <f t="shared" si="8"/>
        <v>United States</v>
      </c>
    </row>
    <row r="2828">
      <c r="A2828" s="7" t="s">
        <v>1915</v>
      </c>
      <c r="B2828" s="5" t="s">
        <v>1912</v>
      </c>
      <c r="C2828" s="5" t="s">
        <v>1913</v>
      </c>
      <c r="D2828" s="6" t="s">
        <v>13</v>
      </c>
      <c r="E2828" s="5" t="s">
        <v>1908</v>
      </c>
      <c r="F2828" s="5" t="s">
        <v>131</v>
      </c>
      <c r="G2828" s="5" t="s">
        <v>1914</v>
      </c>
      <c r="H2828" s="5" t="s">
        <v>378</v>
      </c>
      <c r="I2828" s="5" t="s">
        <v>18</v>
      </c>
      <c r="J2828" s="9" t="str">
        <f>IFERROR(__xludf.DUMMYFUNCTION("""COMPUTED_VALUE"""),"https://www.google.com/search?newwindow=1&amp;ei=2MT0XrvGGM-vytMP1OyDgAY&amp;q=site%3Alinkedin.com+Natalie+Twilley+Assistant+Store+Manager-Operations/Childrens,+Footwear,+and+Home+Kohl's+Department+Stores")</f>
        <v>https://www.google.com/search?newwindow=1&amp;ei=2MT0XrvGGM-vytMP1OyDgAY&amp;q=site%3Alinkedin.com+Natalie+Twilley+Assistant+Store+Manager-Operations/Childrens,+Footwear,+and+Home+Kohl's+Department+Stores</v>
      </c>
      <c r="K2828" s="5" t="str">
        <f t="shared" si="1"/>
        <v>Natalie Twilley</v>
      </c>
      <c r="L2828" s="5" t="str">
        <f t="shared" si="2"/>
        <v>Assistant Store Manager-Operations/Childrens, Footwear, and Home</v>
      </c>
      <c r="M2828" s="5" t="str">
        <f t="shared" si="3"/>
        <v> </v>
      </c>
      <c r="N2828" s="5" t="str">
        <f t="shared" si="4"/>
        <v>Kohl's</v>
      </c>
      <c r="O2828" s="5" t="str">
        <f t="shared" si="5"/>
        <v>3 years 6 months in role</v>
      </c>
      <c r="P2828" s="5" t="str">
        <f t="shared" si="6"/>
        <v>Wilmington</v>
      </c>
      <c r="Q2828" s="5" t="str">
        <f t="shared" si="7"/>
        <v>Delaware</v>
      </c>
      <c r="R2828" s="5" t="str">
        <f t="shared" si="8"/>
        <v>United States</v>
      </c>
    </row>
    <row r="2829">
      <c r="A2829" s="7" t="s">
        <v>1918</v>
      </c>
      <c r="B2829" s="5" t="s">
        <v>1916</v>
      </c>
      <c r="C2829" s="5" t="s">
        <v>110</v>
      </c>
      <c r="D2829" s="6" t="s">
        <v>13</v>
      </c>
      <c r="E2829" s="5" t="s">
        <v>1908</v>
      </c>
      <c r="F2829" s="5" t="s">
        <v>179</v>
      </c>
      <c r="G2829" s="5" t="s">
        <v>1917</v>
      </c>
      <c r="H2829" s="5" t="s">
        <v>44</v>
      </c>
      <c r="I2829" s="5" t="s">
        <v>18</v>
      </c>
      <c r="J2829" s="9" t="str">
        <f>IFERROR(__xludf.DUMMYFUNCTION("""COMPUTED_VALUE"""),"https://www.google.com/search?newwindow=1&amp;ei=2MT0XrvGGM-vytMP1OyDgAY&amp;q=site%3Alinkedin.com+Jeannie+LaDriere,+MBA,+CIR+Senior+University+Recruiter+Korn+Ferry+on+HPE+Account")</f>
        <v>https://www.google.com/search?newwindow=1&amp;ei=2MT0XrvGGM-vytMP1OyDgAY&amp;q=site%3Alinkedin.com+Jeannie+LaDriere,+MBA,+CIR+Senior+University+Recruiter+Korn+Ferry+on+HPE+Account</v>
      </c>
      <c r="K2829" s="5" t="str">
        <f t="shared" si="1"/>
        <v>Jeannie LaDriere, MBA, CIR</v>
      </c>
      <c r="L2829" s="5" t="str">
        <f t="shared" si="2"/>
        <v>Senior University Recruiter</v>
      </c>
      <c r="M2829" s="5" t="str">
        <f t="shared" si="3"/>
        <v> </v>
      </c>
      <c r="N2829" s="5" t="str">
        <f t="shared" si="4"/>
        <v>Kohl's</v>
      </c>
      <c r="O2829" s="5" t="str">
        <f t="shared" si="5"/>
        <v>1 year 2 months in role and company</v>
      </c>
      <c r="P2829" s="5" t="str">
        <f t="shared" si="6"/>
        <v>Pensacola</v>
      </c>
      <c r="Q2829" s="5" t="str">
        <f t="shared" si="7"/>
        <v>Florida</v>
      </c>
      <c r="R2829" s="5" t="str">
        <f t="shared" si="8"/>
        <v>United States</v>
      </c>
    </row>
    <row r="2830">
      <c r="A2830" s="7" t="s">
        <v>1923</v>
      </c>
      <c r="B2830" s="5" t="s">
        <v>1919</v>
      </c>
      <c r="C2830" s="5" t="s">
        <v>1920</v>
      </c>
      <c r="D2830" s="6" t="s">
        <v>13</v>
      </c>
      <c r="E2830" s="5" t="s">
        <v>1908</v>
      </c>
      <c r="F2830" s="5" t="s">
        <v>1921</v>
      </c>
      <c r="G2830" s="5" t="s">
        <v>1922</v>
      </c>
      <c r="H2830" s="5" t="s">
        <v>44</v>
      </c>
      <c r="I2830" s="5" t="s">
        <v>18</v>
      </c>
      <c r="J2830" s="9" t="str">
        <f>IFERROR(__xludf.DUMMYFUNCTION("""COMPUTED_VALUE"""),"https://www.google.com/search?newwindow=1&amp;ei=2MT0XrvGGM-vytMP1OyDgAY&amp;q=site%3Alinkedin.com+Sarah+Harari+Manager,+Campus+Recruiting+KPMG")</f>
        <v>https://www.google.com/search?newwindow=1&amp;ei=2MT0XrvGGM-vytMP1OyDgAY&amp;q=site%3Alinkedin.com+Sarah+Harari+Manager,+Campus+Recruiting+KPMG</v>
      </c>
      <c r="K2830" s="5" t="str">
        <f t="shared" si="1"/>
        <v>Sarah Harari</v>
      </c>
      <c r="L2830" s="5" t="str">
        <f t="shared" si="2"/>
        <v>Manager, Campus Recruiting</v>
      </c>
      <c r="M2830" s="5" t="str">
        <f t="shared" si="3"/>
        <v> </v>
      </c>
      <c r="N2830" s="5" t="str">
        <f t="shared" si="4"/>
        <v>KPMG</v>
      </c>
      <c r="O2830" s="5" t="str">
        <f t="shared" si="5"/>
        <v>7 years  in role and company</v>
      </c>
      <c r="P2830" s="5" t="str">
        <f t="shared" si="6"/>
        <v>Baltimore</v>
      </c>
      <c r="Q2830" s="5" t="str">
        <f t="shared" si="7"/>
        <v>Maryland</v>
      </c>
      <c r="R2830" s="5" t="str">
        <f t="shared" si="8"/>
        <v>United States</v>
      </c>
    </row>
    <row r="2831">
      <c r="A2831" s="8" t="s">
        <v>1926</v>
      </c>
      <c r="B2831" s="5" t="s">
        <v>1924</v>
      </c>
      <c r="C2831" s="5" t="s">
        <v>1925</v>
      </c>
      <c r="D2831" s="6" t="s">
        <v>13</v>
      </c>
      <c r="E2831" s="5" t="s">
        <v>1908</v>
      </c>
      <c r="F2831" s="5" t="s">
        <v>585</v>
      </c>
      <c r="G2831" s="5" t="s">
        <v>122</v>
      </c>
      <c r="H2831" s="5" t="s">
        <v>44</v>
      </c>
      <c r="I2831" s="5" t="s">
        <v>18</v>
      </c>
      <c r="J2831" s="9" t="str">
        <f>IFERROR(__xludf.DUMMYFUNCTION("""COMPUTED_VALUE"""),"https://www.google.com/search?newwindow=1&amp;ei=2MT0XrvGGM-vytMP1OyDgAY&amp;q=site%3Alinkedin.com+Li+Steinberg+Campus+Recruiting+Manager+KPMG")</f>
        <v>https://www.google.com/search?newwindow=1&amp;ei=2MT0XrvGGM-vytMP1OyDgAY&amp;q=site%3Alinkedin.com+Li+Steinberg+Campus+Recruiting+Manager+KPMG</v>
      </c>
      <c r="K2831" s="5" t="str">
        <f t="shared" si="1"/>
        <v>Li Steinberg</v>
      </c>
      <c r="L2831" s="5" t="str">
        <f t="shared" si="2"/>
        <v>Campus Recruiting Manager</v>
      </c>
      <c r="M2831" s="5" t="str">
        <f t="shared" si="3"/>
        <v> </v>
      </c>
      <c r="N2831" s="5" t="str">
        <f t="shared" si="4"/>
        <v>KPMG</v>
      </c>
      <c r="O2831" s="5" t="str">
        <f t="shared" si="5"/>
        <v>1 year 4 months in role and company</v>
      </c>
      <c r="P2831" s="5" t="str">
        <f t="shared" si="6"/>
        <v>Boston</v>
      </c>
      <c r="Q2831" s="5" t="str">
        <f t="shared" si="7"/>
        <v>Massachusetts</v>
      </c>
      <c r="R2831" s="5" t="str">
        <f t="shared" si="8"/>
        <v>United States</v>
      </c>
    </row>
    <row r="2832">
      <c r="A2832" s="7" t="s">
        <v>1928</v>
      </c>
      <c r="B2832" s="5" t="s">
        <v>1927</v>
      </c>
      <c r="C2832" s="5" t="s">
        <v>110</v>
      </c>
      <c r="D2832" s="6" t="s">
        <v>13</v>
      </c>
      <c r="E2832" s="5" t="s">
        <v>1908</v>
      </c>
      <c r="F2832" s="5" t="s">
        <v>697</v>
      </c>
      <c r="G2832" s="5" t="s">
        <v>122</v>
      </c>
      <c r="H2832" s="5" t="s">
        <v>44</v>
      </c>
      <c r="I2832" s="5" t="s">
        <v>18</v>
      </c>
      <c r="J2832" s="9" t="str">
        <f>IFERROR(__xludf.DUMMYFUNCTION("""COMPUTED_VALUE"""),"https://www.google.com/search?newwindow=1&amp;ei=2MT0XrvGGM-vytMP1OyDgAY&amp;q=site%3Alinkedin.com+Carly+Merrell+Campus+Recruiter+KPMG")</f>
        <v>https://www.google.com/search?newwindow=1&amp;ei=2MT0XrvGGM-vytMP1OyDgAY&amp;q=site%3Alinkedin.com+Carly+Merrell+Campus+Recruiter+KPMG</v>
      </c>
      <c r="K2832" s="5" t="str">
        <f t="shared" si="1"/>
        <v>Carly Merrell</v>
      </c>
      <c r="L2832" s="5" t="str">
        <f t="shared" si="2"/>
        <v>Campus Recruiter</v>
      </c>
      <c r="M2832" s="5" t="str">
        <f t="shared" si="3"/>
        <v> </v>
      </c>
      <c r="N2832" s="5" t="str">
        <f t="shared" si="4"/>
        <v>KPMG</v>
      </c>
      <c r="O2832" s="5" t="str">
        <f t="shared" si="5"/>
        <v>20 years  in role and company</v>
      </c>
      <c r="P2832" s="5" t="str">
        <f t="shared" si="6"/>
        <v>Charlotte</v>
      </c>
      <c r="Q2832" s="5" t="str">
        <f t="shared" si="7"/>
        <v>North Carolina</v>
      </c>
      <c r="R2832" s="5" t="str">
        <f t="shared" si="8"/>
        <v>United States</v>
      </c>
    </row>
    <row r="2833">
      <c r="A2833" s="7" t="s">
        <v>1932</v>
      </c>
      <c r="B2833" s="5" t="s">
        <v>1929</v>
      </c>
      <c r="C2833" s="5" t="s">
        <v>1930</v>
      </c>
      <c r="D2833" s="6" t="s">
        <v>13</v>
      </c>
      <c r="E2833" s="5" t="s">
        <v>1908</v>
      </c>
      <c r="F2833" s="5" t="s">
        <v>409</v>
      </c>
      <c r="G2833" s="5" t="s">
        <v>1931</v>
      </c>
      <c r="H2833" s="5" t="s">
        <v>44</v>
      </c>
      <c r="I2833" s="5" t="s">
        <v>18</v>
      </c>
      <c r="J2833" s="9" t="str">
        <f>IFERROR(__xludf.DUMMYFUNCTION("""COMPUTED_VALUE"""),"https://www.google.com/search?newwindow=1&amp;ei=2MT0XrvGGM-vytMP1OyDgAY&amp;q=site%3Alinkedin.com+Danielle+Watson+Associate+Director+of+Campus+Recruiting,+Advisory+Services+KPMG")</f>
        <v>https://www.google.com/search?newwindow=1&amp;ei=2MT0XrvGGM-vytMP1OyDgAY&amp;q=site%3Alinkedin.com+Danielle+Watson+Associate+Director+of+Campus+Recruiting,+Advisory+Services+KPMG</v>
      </c>
      <c r="K2833" s="5" t="str">
        <f t="shared" si="1"/>
        <v>Danielle Watson</v>
      </c>
      <c r="L2833" s="5" t="str">
        <f t="shared" si="2"/>
        <v>Associate Director of Campus Recruiting, Advisory Services</v>
      </c>
      <c r="M2833" s="5" t="str">
        <f t="shared" si="3"/>
        <v> </v>
      </c>
      <c r="N2833" s="5" t="str">
        <f t="shared" si="4"/>
        <v>KPMG</v>
      </c>
      <c r="O2833" s="5" t="str">
        <f t="shared" si="5"/>
        <v>3 years 1 month in role and company</v>
      </c>
      <c r="P2833" s="5" t="str">
        <f t="shared" si="6"/>
        <v>Chicago</v>
      </c>
      <c r="Q2833" s="5" t="str">
        <f t="shared" si="7"/>
        <v>Illinois</v>
      </c>
      <c r="R2833" s="5" t="str">
        <f t="shared" si="8"/>
        <v>United States</v>
      </c>
    </row>
    <row r="2834">
      <c r="A2834" s="7" t="s">
        <v>1935</v>
      </c>
      <c r="B2834" s="5" t="s">
        <v>1933</v>
      </c>
      <c r="C2834" s="5" t="s">
        <v>1934</v>
      </c>
      <c r="D2834" s="6" t="s">
        <v>13</v>
      </c>
      <c r="E2834" s="5" t="s">
        <v>1908</v>
      </c>
      <c r="F2834" s="5" t="s">
        <v>691</v>
      </c>
      <c r="G2834" s="5" t="s">
        <v>1931</v>
      </c>
      <c r="H2834" s="5" t="s">
        <v>44</v>
      </c>
      <c r="I2834" s="5" t="s">
        <v>18</v>
      </c>
      <c r="J2834" s="9" t="str">
        <f>IFERROR(__xludf.DUMMYFUNCTION("""COMPUTED_VALUE"""),"https://www.google.com/search?newwindow=1&amp;ei=2MT0XrvGGM-vytMP1OyDgAY&amp;q=site%3Alinkedin.com+Sholon+Rucker+Manager,+Campus+Recruiting+KPMG")</f>
        <v>https://www.google.com/search?newwindow=1&amp;ei=2MT0XrvGGM-vytMP1OyDgAY&amp;q=site%3Alinkedin.com+Sholon+Rucker+Manager,+Campus+Recruiting+KPMG</v>
      </c>
      <c r="K2834" s="5" t="str">
        <f t="shared" si="1"/>
        <v>Sholon Rucker</v>
      </c>
      <c r="L2834" s="5" t="str">
        <f t="shared" si="2"/>
        <v>Manager, Campus Recruiting</v>
      </c>
      <c r="M2834" s="5" t="str">
        <f t="shared" si="3"/>
        <v> </v>
      </c>
      <c r="N2834" s="5" t="str">
        <f t="shared" si="4"/>
        <v>KPMG</v>
      </c>
      <c r="O2834" s="5" t="str">
        <f t="shared" si="5"/>
        <v>14 years  in role and company</v>
      </c>
      <c r="P2834" s="5" t="str">
        <f t="shared" si="6"/>
        <v>Conyers</v>
      </c>
      <c r="Q2834" s="5" t="str">
        <f t="shared" si="7"/>
        <v>Georgia</v>
      </c>
      <c r="R2834" s="5" t="str">
        <f t="shared" si="8"/>
        <v>United States</v>
      </c>
    </row>
    <row r="2835">
      <c r="A2835" s="8" t="s">
        <v>1937</v>
      </c>
      <c r="B2835" s="5" t="s">
        <v>1936</v>
      </c>
      <c r="C2835" s="5" t="s">
        <v>110</v>
      </c>
      <c r="D2835" s="6" t="s">
        <v>13</v>
      </c>
      <c r="E2835" s="5" t="s">
        <v>1908</v>
      </c>
      <c r="F2835" s="5" t="s">
        <v>727</v>
      </c>
      <c r="G2835" s="5" t="s">
        <v>218</v>
      </c>
      <c r="H2835" s="5" t="s">
        <v>219</v>
      </c>
      <c r="I2835" s="5" t="s">
        <v>18</v>
      </c>
      <c r="J2835" s="9" t="str">
        <f>IFERROR(__xludf.DUMMYFUNCTION("""COMPUTED_VALUE"""),"https://www.google.com/search?newwindow=1&amp;ei=2MT0XrvGGM-vytMP1OyDgAY&amp;q=site%3Alinkedin.com+Kelsey+Meza+Campus+Recruiter+KPMG")</f>
        <v>https://www.google.com/search?newwindow=1&amp;ei=2MT0XrvGGM-vytMP1OyDgAY&amp;q=site%3Alinkedin.com+Kelsey+Meza+Campus+Recruiter+KPMG</v>
      </c>
      <c r="K2835" s="5" t="str">
        <f t="shared" si="1"/>
        <v>Kelsey Meza</v>
      </c>
      <c r="L2835" s="5" t="str">
        <f t="shared" si="2"/>
        <v>Campus Recruiter</v>
      </c>
      <c r="M2835" s="5" t="str">
        <f t="shared" si="3"/>
        <v> </v>
      </c>
      <c r="N2835" s="5" t="str">
        <f t="shared" si="4"/>
        <v>KPMG</v>
      </c>
      <c r="O2835" s="5" t="str">
        <f t="shared" si="5"/>
        <v>2 years  in role and company</v>
      </c>
      <c r="P2835" s="5" t="str">
        <f t="shared" si="6"/>
        <v>Dallas</v>
      </c>
      <c r="Q2835" s="5" t="str">
        <f t="shared" si="7"/>
        <v>Texas</v>
      </c>
      <c r="R2835" s="5" t="str">
        <f t="shared" si="8"/>
        <v>United States</v>
      </c>
    </row>
    <row r="2836">
      <c r="A2836" s="8" t="s">
        <v>1940</v>
      </c>
      <c r="B2836" s="5" t="s">
        <v>1938</v>
      </c>
      <c r="C2836" s="5" t="s">
        <v>1939</v>
      </c>
      <c r="D2836" s="6" t="s">
        <v>13</v>
      </c>
      <c r="E2836" s="5" t="s">
        <v>1908</v>
      </c>
      <c r="F2836" s="5" t="s">
        <v>399</v>
      </c>
      <c r="G2836" s="5" t="s">
        <v>433</v>
      </c>
      <c r="H2836" s="5" t="s">
        <v>44</v>
      </c>
      <c r="I2836" s="5" t="s">
        <v>18</v>
      </c>
      <c r="J2836" s="9" t="str">
        <f>IFERROR(__xludf.DUMMYFUNCTION("""COMPUTED_VALUE"""),"https://www.google.com/search?newwindow=1&amp;ei=2MT0XrvGGM-vytMP1OyDgAY&amp;q=site%3Alinkedin.com+María+De+Jesús+Hurtado+(she-her-hers)+Senior+Associate,+Inclusion+and+Diversity+Campus+Recruiter+KPMG")</f>
        <v>https://www.google.com/search?newwindow=1&amp;ei=2MT0XrvGGM-vytMP1OyDgAY&amp;q=site%3Alinkedin.com+María+De+Jesús+Hurtado+(she-her-hers)+Senior+Associate,+Inclusion+and+Diversity+Campus+Recruiter+KPMG</v>
      </c>
      <c r="K2836" s="5" t="str">
        <f t="shared" si="1"/>
        <v>María De Jesús Hurtado (she-her-hers)</v>
      </c>
      <c r="L2836" s="5" t="str">
        <f t="shared" si="2"/>
        <v>Senior Associate, Inclusion and Diversity Campus Recruiter</v>
      </c>
      <c r="M2836" s="5" t="str">
        <f t="shared" si="3"/>
        <v> </v>
      </c>
      <c r="N2836" s="5" t="str">
        <f t="shared" si="4"/>
        <v>KPMG</v>
      </c>
      <c r="O2836" s="5" t="str">
        <f t="shared" si="5"/>
        <v>1 year 2 months in role and company</v>
      </c>
      <c r="P2836" s="5" t="str">
        <f t="shared" si="6"/>
        <v>Denver</v>
      </c>
      <c r="Q2836" s="5" t="str">
        <f t="shared" si="7"/>
        <v>Colorado</v>
      </c>
      <c r="R2836" s="5" t="str">
        <f t="shared" si="8"/>
        <v>United States</v>
      </c>
    </row>
    <row r="2837">
      <c r="A2837" s="8" t="s">
        <v>1943</v>
      </c>
      <c r="B2837" s="5" t="s">
        <v>1941</v>
      </c>
      <c r="C2837" s="5" t="s">
        <v>1942</v>
      </c>
      <c r="D2837" s="6" t="s">
        <v>13</v>
      </c>
      <c r="E2837" s="5" t="s">
        <v>1908</v>
      </c>
      <c r="F2837" s="5" t="s">
        <v>446</v>
      </c>
      <c r="G2837" s="5" t="s">
        <v>433</v>
      </c>
      <c r="H2837" s="5" t="s">
        <v>44</v>
      </c>
      <c r="I2837" s="5" t="s">
        <v>18</v>
      </c>
      <c r="J2837" s="9" t="str">
        <f>IFERROR(__xludf.DUMMYFUNCTION("""COMPUTED_VALUE"""),"https://www.google.com/search?newwindow=1&amp;ei=2MT0XrvGGM-vytMP1OyDgAY&amp;q=site%3Alinkedin.com+Sara+Condino+Campus+Recruiting+Manager+KPMG")</f>
        <v>https://www.google.com/search?newwindow=1&amp;ei=2MT0XrvGGM-vytMP1OyDgAY&amp;q=site%3Alinkedin.com+Sara+Condino+Campus+Recruiting+Manager+KPMG</v>
      </c>
      <c r="K2837" s="5" t="str">
        <f t="shared" si="1"/>
        <v>Sara Condino</v>
      </c>
      <c r="L2837" s="5" t="str">
        <f t="shared" si="2"/>
        <v>Campus Recruiting Manager</v>
      </c>
      <c r="M2837" s="5" t="str">
        <f t="shared" si="3"/>
        <v> </v>
      </c>
      <c r="N2837" s="5" t="str">
        <f t="shared" si="4"/>
        <v>KPMG</v>
      </c>
      <c r="O2837" s="5" t="str">
        <f t="shared" si="5"/>
        <v>6 years 9 months in role and company</v>
      </c>
      <c r="P2837" s="5" t="str">
        <f t="shared" si="6"/>
        <v>Detroit</v>
      </c>
      <c r="Q2837" s="5" t="str">
        <f t="shared" si="7"/>
        <v>Michigan</v>
      </c>
      <c r="R2837" s="5" t="str">
        <f t="shared" si="8"/>
        <v>United States</v>
      </c>
    </row>
    <row r="2838">
      <c r="A2838" s="8" t="s">
        <v>1946</v>
      </c>
      <c r="B2838" s="5" t="s">
        <v>1944</v>
      </c>
      <c r="C2838" s="5" t="s">
        <v>1945</v>
      </c>
      <c r="D2838" s="6" t="s">
        <v>13</v>
      </c>
      <c r="E2838" s="5" t="s">
        <v>1908</v>
      </c>
      <c r="F2838" s="5" t="s">
        <v>496</v>
      </c>
      <c r="G2838" s="5" t="s">
        <v>137</v>
      </c>
      <c r="H2838" s="5" t="s">
        <v>137</v>
      </c>
      <c r="I2838" s="5" t="s">
        <v>18</v>
      </c>
      <c r="J2838" s="9" t="str">
        <f>IFERROR(__xludf.DUMMYFUNCTION("""COMPUTED_VALUE"""),"https://www.google.com/search?newwindow=1&amp;ei=2MT0XrvGGM-vytMP1OyDgAY&amp;q=site%3Alinkedin.com+Nicole+Yogi+Audit+Primary+Recruiter,+Campus+Recruiting+KPMG")</f>
        <v>https://www.google.com/search?newwindow=1&amp;ei=2MT0XrvGGM-vytMP1OyDgAY&amp;q=site%3Alinkedin.com+Nicole+Yogi+Audit+Primary+Recruiter,+Campus+Recruiting+KPMG</v>
      </c>
      <c r="K2838" s="5" t="str">
        <f t="shared" si="1"/>
        <v>Nicole Yogi</v>
      </c>
      <c r="L2838" s="5" t="str">
        <f t="shared" si="2"/>
        <v>Audit Primary Recruiter, Campus Recruiting</v>
      </c>
      <c r="M2838" s="5" t="str">
        <f t="shared" si="3"/>
        <v> </v>
      </c>
      <c r="N2838" s="5" t="str">
        <f t="shared" si="4"/>
        <v>KPMG</v>
      </c>
      <c r="O2838" s="5" t="str">
        <f t="shared" si="5"/>
        <v>6 years 3 months in role and company</v>
      </c>
      <c r="P2838" s="5" t="str">
        <f t="shared" si="6"/>
        <v>Houston</v>
      </c>
      <c r="Q2838" s="5" t="str">
        <f t="shared" si="7"/>
        <v>Texas</v>
      </c>
      <c r="R2838" s="5" t="str">
        <f t="shared" si="8"/>
        <v>United States</v>
      </c>
    </row>
    <row r="2839">
      <c r="A2839" s="7" t="s">
        <v>1948</v>
      </c>
      <c r="B2839" s="5" t="s">
        <v>1947</v>
      </c>
      <c r="C2839" s="5" t="s">
        <v>110</v>
      </c>
      <c r="D2839" s="6" t="s">
        <v>13</v>
      </c>
      <c r="E2839" s="5" t="s">
        <v>1908</v>
      </c>
      <c r="F2839" s="5" t="s">
        <v>1634</v>
      </c>
      <c r="G2839" s="5" t="s">
        <v>137</v>
      </c>
      <c r="H2839" s="5" t="s">
        <v>137</v>
      </c>
      <c r="I2839" s="5" t="s">
        <v>18</v>
      </c>
      <c r="J2839" s="9" t="str">
        <f>IFERROR(__xludf.DUMMYFUNCTION("""COMPUTED_VALUE"""),"https://www.google.com/search?newwindow=1&amp;ei=2MT0XrvGGM-vytMP1OyDgAY&amp;q=site%3Alinkedin.com+Natalie+Holland,+CPA+Primary+Tax+Recruiter+-+Campus+Recruiting+KPMG")</f>
        <v>https://www.google.com/search?newwindow=1&amp;ei=2MT0XrvGGM-vytMP1OyDgAY&amp;q=site%3Alinkedin.com+Natalie+Holland,+CPA+Primary+Tax+Recruiter+-+Campus+Recruiting+KPMG</v>
      </c>
      <c r="K2839" s="5" t="str">
        <f t="shared" si="1"/>
        <v>Natalie Holland, CPA</v>
      </c>
      <c r="L2839" s="5" t="str">
        <f t="shared" si="2"/>
        <v>Primary Tax Recruiter - Campus Recruiting</v>
      </c>
      <c r="M2839" s="5" t="str">
        <f t="shared" si="3"/>
        <v> </v>
      </c>
      <c r="N2839" s="5" t="str">
        <f t="shared" si="4"/>
        <v>KPMG</v>
      </c>
      <c r="O2839" s="5" t="str">
        <f t="shared" si="5"/>
        <v>4 years 1 month in role and company</v>
      </c>
      <c r="P2839" s="5" t="str">
        <f t="shared" si="6"/>
        <v>Houston</v>
      </c>
      <c r="Q2839" s="5" t="str">
        <f t="shared" si="7"/>
        <v>Texas</v>
      </c>
      <c r="R2839" s="5" t="str">
        <f t="shared" si="8"/>
        <v>United States</v>
      </c>
    </row>
    <row r="2840">
      <c r="A2840" s="7" t="s">
        <v>1951</v>
      </c>
      <c r="B2840" s="5" t="s">
        <v>1949</v>
      </c>
      <c r="C2840" s="5" t="s">
        <v>110</v>
      </c>
      <c r="D2840" s="6" t="s">
        <v>13</v>
      </c>
      <c r="E2840" s="5" t="s">
        <v>1908</v>
      </c>
      <c r="F2840" s="5" t="s">
        <v>1950</v>
      </c>
      <c r="G2840" s="5" t="s">
        <v>137</v>
      </c>
      <c r="H2840" s="5" t="s">
        <v>137</v>
      </c>
      <c r="I2840" s="5" t="s">
        <v>18</v>
      </c>
      <c r="J2840" s="9" t="str">
        <f>IFERROR(__xludf.DUMMYFUNCTION("""COMPUTED_VALUE"""),"https://www.google.com/search?newwindow=1&amp;ei=2MT0XrvGGM-vytMP1OyDgAY&amp;q=site%3Alinkedin.com+Shannon+Kaiser+Campus+Recruiting+Manager+KPMG")</f>
        <v>https://www.google.com/search?newwindow=1&amp;ei=2MT0XrvGGM-vytMP1OyDgAY&amp;q=site%3Alinkedin.com+Shannon+Kaiser+Campus+Recruiting+Manager+KPMG</v>
      </c>
      <c r="K2840" s="5" t="str">
        <f t="shared" si="1"/>
        <v>Shannon Kaiser</v>
      </c>
      <c r="L2840" s="5" t="str">
        <f t="shared" si="2"/>
        <v>Campus Recruiting Manager</v>
      </c>
      <c r="M2840" s="5" t="str">
        <f t="shared" si="3"/>
        <v> </v>
      </c>
      <c r="N2840" s="5" t="str">
        <f t="shared" si="4"/>
        <v>KPMG</v>
      </c>
      <c r="O2840" s="5" t="str">
        <f t="shared" si="5"/>
        <v>22 years 3 months in role and company</v>
      </c>
      <c r="P2840" s="5" t="str">
        <f t="shared" si="6"/>
        <v>Los Angeles</v>
      </c>
      <c r="Q2840" s="5" t="str">
        <f t="shared" si="7"/>
        <v>California</v>
      </c>
      <c r="R2840" s="5" t="str">
        <f t="shared" si="8"/>
        <v>United States</v>
      </c>
    </row>
    <row r="2841">
      <c r="A2841" s="7" t="s">
        <v>1953</v>
      </c>
      <c r="B2841" s="5" t="s">
        <v>1952</v>
      </c>
      <c r="C2841" s="5" t="s">
        <v>110</v>
      </c>
      <c r="D2841" s="6" t="s">
        <v>13</v>
      </c>
      <c r="E2841" s="5" t="s">
        <v>1908</v>
      </c>
      <c r="F2841" s="5" t="s">
        <v>68</v>
      </c>
      <c r="G2841" s="5" t="s">
        <v>137</v>
      </c>
      <c r="H2841" s="5" t="s">
        <v>137</v>
      </c>
      <c r="I2841" s="5" t="s">
        <v>18</v>
      </c>
      <c r="J2841" s="9" t="str">
        <f>IFERROR(__xludf.DUMMYFUNCTION("""COMPUTED_VALUE"""),"https://www.google.com/search?newwindow=1&amp;ei=2MT0XrvGGM-vytMP1OyDgAY&amp;q=site%3Alinkedin.com+Laney+Williams+Senior+Associate,+Campus+Recruiting+KPMG")</f>
        <v>https://www.google.com/search?newwindow=1&amp;ei=2MT0XrvGGM-vytMP1OyDgAY&amp;q=site%3Alinkedin.com+Laney+Williams+Senior+Associate,+Campus+Recruiting+KPMG</v>
      </c>
      <c r="K2841" s="5" t="str">
        <f t="shared" si="1"/>
        <v>Laney Williams</v>
      </c>
      <c r="L2841" s="5" t="str">
        <f t="shared" si="2"/>
        <v>Senior Associate, Campus Recruiting</v>
      </c>
      <c r="M2841" s="5" t="str">
        <f t="shared" si="3"/>
        <v> </v>
      </c>
      <c r="N2841" s="5" t="str">
        <f t="shared" si="4"/>
        <v>KPMG</v>
      </c>
      <c r="O2841" s="5" t="str">
        <f t="shared" si="5"/>
        <v>2 years 6 months in role and company</v>
      </c>
      <c r="P2841" s="5" t="str">
        <f t="shared" si="6"/>
        <v>Memphis</v>
      </c>
      <c r="Q2841" s="5" t="str">
        <f t="shared" si="7"/>
        <v>Tennessee</v>
      </c>
      <c r="R2841" s="5" t="str">
        <f t="shared" si="8"/>
        <v>United States</v>
      </c>
    </row>
    <row r="2842">
      <c r="A2842" s="7" t="s">
        <v>1956</v>
      </c>
      <c r="B2842" s="5" t="s">
        <v>1954</v>
      </c>
      <c r="C2842" s="5" t="s">
        <v>1955</v>
      </c>
      <c r="D2842" s="6" t="s">
        <v>13</v>
      </c>
      <c r="E2842" s="5" t="s">
        <v>1908</v>
      </c>
      <c r="F2842" s="5" t="s">
        <v>182</v>
      </c>
      <c r="G2842" s="5" t="s">
        <v>137</v>
      </c>
      <c r="H2842" s="5" t="s">
        <v>137</v>
      </c>
      <c r="I2842" s="5" t="s">
        <v>18</v>
      </c>
      <c r="J2842" s="9" t="str">
        <f>IFERROR(__xludf.DUMMYFUNCTION("""COMPUTED_VALUE"""),"https://www.google.com/search?newwindow=1&amp;ei=2MT0XrvGGM-vytMP1OyDgAY&amp;q=site%3Alinkedin.com+Doreen+Nakigudde+Campus+Recruiter+KPMG")</f>
        <v>https://www.google.com/search?newwindow=1&amp;ei=2MT0XrvGGM-vytMP1OyDgAY&amp;q=site%3Alinkedin.com+Doreen+Nakigudde+Campus+Recruiter+KPMG</v>
      </c>
      <c r="K2842" s="5" t="str">
        <f t="shared" si="1"/>
        <v>Doreen Nakigudde</v>
      </c>
      <c r="L2842" s="5" t="str">
        <f t="shared" si="2"/>
        <v>Campus Recruiter</v>
      </c>
      <c r="M2842" s="5" t="str">
        <f t="shared" si="3"/>
        <v> </v>
      </c>
      <c r="N2842" s="5" t="str">
        <f t="shared" si="4"/>
        <v>KPMG</v>
      </c>
      <c r="O2842" s="5" t="str">
        <f t="shared" si="5"/>
        <v>2 years 10 months in role and company</v>
      </c>
      <c r="P2842" s="5" t="str">
        <f t="shared" si="6"/>
        <v>Minneapolis</v>
      </c>
      <c r="Q2842" s="5" t="str">
        <f t="shared" si="7"/>
        <v>Minnesota</v>
      </c>
      <c r="R2842" s="5" t="str">
        <f t="shared" si="8"/>
        <v>United States</v>
      </c>
    </row>
    <row r="2843">
      <c r="A2843" s="7" t="s">
        <v>1958</v>
      </c>
      <c r="B2843" s="5" t="s">
        <v>1957</v>
      </c>
      <c r="C2843" s="5" t="s">
        <v>110</v>
      </c>
      <c r="D2843" s="6" t="s">
        <v>13</v>
      </c>
      <c r="E2843" s="5" t="s">
        <v>1908</v>
      </c>
      <c r="F2843" s="5" t="s">
        <v>100</v>
      </c>
      <c r="G2843" s="5" t="s">
        <v>137</v>
      </c>
      <c r="H2843" s="5" t="s">
        <v>137</v>
      </c>
      <c r="I2843" s="5" t="s">
        <v>18</v>
      </c>
      <c r="J2843" s="9" t="str">
        <f>IFERROR(__xludf.DUMMYFUNCTION("""COMPUTED_VALUE"""),"https://www.google.com/search?newwindow=1&amp;ei=2MT0XrvGGM-vytMP1OyDgAY&amp;q=site%3Alinkedin.com+Misty+Abston+Campus+Recruiter+KPMG")</f>
        <v>https://www.google.com/search?newwindow=1&amp;ei=2MT0XrvGGM-vytMP1OyDgAY&amp;q=site%3Alinkedin.com+Misty+Abston+Campus+Recruiter+KPMG</v>
      </c>
      <c r="K2843" s="5" t="str">
        <f t="shared" si="1"/>
        <v>Misty Abston</v>
      </c>
      <c r="L2843" s="5" t="str">
        <f t="shared" si="2"/>
        <v>Campus Recruiter</v>
      </c>
      <c r="M2843" s="5" t="str">
        <f t="shared" si="3"/>
        <v> </v>
      </c>
      <c r="N2843" s="5" t="str">
        <f t="shared" si="4"/>
        <v>KPMG</v>
      </c>
      <c r="O2843" s="5" t="str">
        <f t="shared" si="5"/>
        <v>8 years 6 months in role and company</v>
      </c>
      <c r="P2843" s="5" t="str">
        <f t="shared" si="6"/>
        <v>Nashville</v>
      </c>
      <c r="Q2843" s="5" t="str">
        <f t="shared" si="7"/>
        <v>Tennessee</v>
      </c>
      <c r="R2843" s="5" t="str">
        <f t="shared" si="8"/>
        <v>United States</v>
      </c>
    </row>
    <row r="2844">
      <c r="A2844" s="7" t="s">
        <v>1962</v>
      </c>
      <c r="B2844" s="5" t="s">
        <v>1959</v>
      </c>
      <c r="C2844" s="5" t="s">
        <v>25</v>
      </c>
      <c r="D2844" s="6" t="s">
        <v>13</v>
      </c>
      <c r="E2844" s="5" t="s">
        <v>1908</v>
      </c>
      <c r="F2844" s="5" t="s">
        <v>901</v>
      </c>
      <c r="G2844" s="5" t="s">
        <v>1960</v>
      </c>
      <c r="H2844" s="5" t="s">
        <v>1961</v>
      </c>
      <c r="I2844" s="5" t="s">
        <v>18</v>
      </c>
      <c r="J2844" s="9" t="str">
        <f>IFERROR(__xludf.DUMMYFUNCTION("""COMPUTED_VALUE"""),"https://www.google.com/search?newwindow=1&amp;ei=2MT0XrvGGM-vytMP1OyDgAY&amp;q=site%3Alinkedin.com+Sandeep+Draviam+Inclusion+and+Diversity+Manager,+Campus+Recruiting+KPMG")</f>
        <v>https://www.google.com/search?newwindow=1&amp;ei=2MT0XrvGGM-vytMP1OyDgAY&amp;q=site%3Alinkedin.com+Sandeep+Draviam+Inclusion+and+Diversity+Manager,+Campus+Recruiting+KPMG</v>
      </c>
      <c r="K2844" s="5" t="str">
        <f t="shared" si="1"/>
        <v>Sandeep Draviam</v>
      </c>
      <c r="L2844" s="5" t="str">
        <f t="shared" si="2"/>
        <v>Inclusion and Diversity Manager, Campus Recruiting</v>
      </c>
      <c r="M2844" s="5" t="str">
        <f t="shared" si="3"/>
        <v> </v>
      </c>
      <c r="N2844" s="5" t="str">
        <f t="shared" si="4"/>
        <v>KPMG</v>
      </c>
      <c r="O2844" s="5" t="str">
        <f t="shared" si="5"/>
        <v>4 years 2 months in role</v>
      </c>
      <c r="P2844" s="5" t="str">
        <f t="shared" si="6"/>
        <v>New York</v>
      </c>
      <c r="Q2844" s="5" t="str">
        <f t="shared" si="7"/>
        <v>New York</v>
      </c>
      <c r="R2844" s="5" t="str">
        <f t="shared" si="8"/>
        <v>United States</v>
      </c>
    </row>
    <row r="2845">
      <c r="A2845" s="7" t="s">
        <v>1966</v>
      </c>
      <c r="B2845" s="5" t="s">
        <v>1963</v>
      </c>
      <c r="C2845" s="5" t="s">
        <v>1964</v>
      </c>
      <c r="D2845" s="6" t="s">
        <v>13</v>
      </c>
      <c r="E2845" s="5" t="s">
        <v>1908</v>
      </c>
      <c r="F2845" s="5" t="s">
        <v>1123</v>
      </c>
      <c r="G2845" s="5" t="s">
        <v>1965</v>
      </c>
      <c r="H2845" s="5" t="s">
        <v>44</v>
      </c>
      <c r="I2845" s="5" t="s">
        <v>18</v>
      </c>
      <c r="J2845" s="9" t="str">
        <f>IFERROR(__xludf.DUMMYFUNCTION("""COMPUTED_VALUE"""),"https://www.google.com/search?newwindow=1&amp;ei=2MT0XrvGGM-vytMP1OyDgAY&amp;q=site%3Alinkedin.com+Janelle+Huang+Primary+Recruiter,+Campus+Recruiting+KPMG")</f>
        <v>https://www.google.com/search?newwindow=1&amp;ei=2MT0XrvGGM-vytMP1OyDgAY&amp;q=site%3Alinkedin.com+Janelle+Huang+Primary+Recruiter,+Campus+Recruiting+KPMG</v>
      </c>
      <c r="K2845" s="5" t="str">
        <f t="shared" si="1"/>
        <v>Janelle Huang</v>
      </c>
      <c r="L2845" s="5" t="str">
        <f t="shared" si="2"/>
        <v>Primary Recruiter, Campus Recruiting</v>
      </c>
      <c r="M2845" s="5" t="str">
        <f t="shared" si="3"/>
        <v> </v>
      </c>
      <c r="N2845" s="5" t="str">
        <f t="shared" si="4"/>
        <v>KPMG</v>
      </c>
      <c r="O2845" s="5" t="str">
        <f t="shared" si="5"/>
        <v>5 years 10 months in role and company</v>
      </c>
      <c r="P2845" s="5" t="str">
        <f t="shared" si="6"/>
        <v>Orange County</v>
      </c>
      <c r="Q2845" s="5" t="str">
        <f t="shared" si="7"/>
        <v>California</v>
      </c>
      <c r="R2845" s="5" t="str">
        <f t="shared" si="8"/>
        <v>United States</v>
      </c>
    </row>
    <row r="2846">
      <c r="A2846" s="7" t="s">
        <v>1970</v>
      </c>
      <c r="B2846" s="5" t="s">
        <v>1967</v>
      </c>
      <c r="C2846" s="5" t="s">
        <v>1968</v>
      </c>
      <c r="D2846" s="6" t="s">
        <v>13</v>
      </c>
      <c r="E2846" s="5" t="s">
        <v>1908</v>
      </c>
      <c r="F2846" s="5" t="s">
        <v>691</v>
      </c>
      <c r="G2846" s="5" t="s">
        <v>1969</v>
      </c>
      <c r="H2846" s="5" t="s">
        <v>44</v>
      </c>
      <c r="I2846" s="5" t="s">
        <v>18</v>
      </c>
      <c r="J2846" s="9" t="str">
        <f>IFERROR(__xludf.DUMMYFUNCTION("""COMPUTED_VALUE"""),"https://www.google.com/search?newwindow=1&amp;ei=2MT0XrvGGM-vytMP1OyDgAY&amp;q=site%3Alinkedin.com+Samantha+Daly+Associate+Campus+Recruiter+KPMG")</f>
        <v>https://www.google.com/search?newwindow=1&amp;ei=2MT0XrvGGM-vytMP1OyDgAY&amp;q=site%3Alinkedin.com+Samantha+Daly+Associate+Campus+Recruiter+KPMG</v>
      </c>
      <c r="K2846" s="5" t="str">
        <f t="shared" si="1"/>
        <v>Samantha Daly</v>
      </c>
      <c r="L2846" s="5" t="str">
        <f t="shared" si="2"/>
        <v>Associate Campus Recruiter</v>
      </c>
      <c r="M2846" s="5" t="str">
        <f t="shared" si="3"/>
        <v> </v>
      </c>
      <c r="N2846" s="5" t="str">
        <f t="shared" si="4"/>
        <v>KPMG</v>
      </c>
      <c r="O2846" s="5" t="str">
        <f t="shared" si="5"/>
        <v>1 year 4 months in role and company</v>
      </c>
      <c r="P2846" s="5" t="str">
        <f t="shared" si="6"/>
        <v>Provo</v>
      </c>
      <c r="Q2846" s="5" t="str">
        <f t="shared" si="7"/>
        <v>Utah</v>
      </c>
      <c r="R2846" s="5" t="str">
        <f t="shared" si="8"/>
        <v>United States</v>
      </c>
    </row>
    <row r="2847">
      <c r="A2847" s="8" t="s">
        <v>1973</v>
      </c>
      <c r="B2847" s="5" t="s">
        <v>1971</v>
      </c>
      <c r="C2847" s="5" t="s">
        <v>1972</v>
      </c>
      <c r="D2847" s="6" t="s">
        <v>13</v>
      </c>
      <c r="E2847" s="5" t="s">
        <v>1908</v>
      </c>
      <c r="F2847" s="5" t="s">
        <v>68</v>
      </c>
      <c r="G2847" s="5" t="s">
        <v>166</v>
      </c>
      <c r="H2847" s="5" t="s">
        <v>44</v>
      </c>
      <c r="I2847" s="5" t="s">
        <v>18</v>
      </c>
      <c r="J2847" s="9" t="str">
        <f>IFERROR(__xludf.DUMMYFUNCTION("""COMPUTED_VALUE"""),"https://www.google.com/search?newwindow=1&amp;ei=2MT0XrvGGM-vytMP1OyDgAY&amp;q=site%3Alinkedin.com+Katie+Howland+Training+Manager+KPMG")</f>
        <v>https://www.google.com/search?newwindow=1&amp;ei=2MT0XrvGGM-vytMP1OyDgAY&amp;q=site%3Alinkedin.com+Katie+Howland+Training+Manager+KPMG</v>
      </c>
      <c r="K2847" s="5" t="str">
        <f t="shared" si="1"/>
        <v>Katie Howland</v>
      </c>
      <c r="L2847" s="5" t="str">
        <f t="shared" si="2"/>
        <v>Training Manager</v>
      </c>
      <c r="M2847" s="5" t="str">
        <f t="shared" si="3"/>
        <v> </v>
      </c>
      <c r="N2847" s="5" t="str">
        <f t="shared" si="4"/>
        <v>KPMG</v>
      </c>
      <c r="O2847" s="5" t="str">
        <f t="shared" si="5"/>
        <v>13 years 10 months in role and company</v>
      </c>
      <c r="P2847" s="5" t="str">
        <f t="shared" si="6"/>
        <v>Raleigh</v>
      </c>
      <c r="Q2847" s="5" t="str">
        <f t="shared" si="7"/>
        <v>North Carolina</v>
      </c>
      <c r="R2847" s="5" t="str">
        <f t="shared" si="8"/>
        <v>United States</v>
      </c>
    </row>
    <row r="2848">
      <c r="A2848" s="8" t="s">
        <v>1975</v>
      </c>
      <c r="B2848" s="5" t="s">
        <v>1974</v>
      </c>
      <c r="C2848" s="5" t="s">
        <v>1939</v>
      </c>
      <c r="D2848" s="6" t="s">
        <v>13</v>
      </c>
      <c r="E2848" s="5" t="s">
        <v>1908</v>
      </c>
      <c r="F2848" s="5" t="s">
        <v>512</v>
      </c>
      <c r="G2848" s="5" t="s">
        <v>166</v>
      </c>
      <c r="H2848" s="5" t="s">
        <v>44</v>
      </c>
      <c r="I2848" s="5" t="s">
        <v>18</v>
      </c>
      <c r="J2848" s="9" t="str">
        <f>IFERROR(__xludf.DUMMYFUNCTION("""COMPUTED_VALUE"""),"https://www.google.com/search?newwindow=1&amp;ei=2MT0XrvGGM-vytMP1OyDgAY&amp;q=site%3Alinkedin.com+Regina+Manansala+Campus+Recruiting+Manager+KPMG")</f>
        <v>https://www.google.com/search?newwindow=1&amp;ei=2MT0XrvGGM-vytMP1OyDgAY&amp;q=site%3Alinkedin.com+Regina+Manansala+Campus+Recruiting+Manager+KPMG</v>
      </c>
      <c r="K2848" s="5" t="str">
        <f t="shared" si="1"/>
        <v>Regina Manansala</v>
      </c>
      <c r="L2848" s="5" t="str">
        <f t="shared" si="2"/>
        <v>Campus Recruiting Manager</v>
      </c>
      <c r="M2848" s="5" t="str">
        <f t="shared" si="3"/>
        <v> </v>
      </c>
      <c r="N2848" s="5" t="str">
        <f t="shared" si="4"/>
        <v>KPMG</v>
      </c>
      <c r="O2848" s="5" t="str">
        <f t="shared" si="5"/>
        <v>6 years 1 month in role</v>
      </c>
      <c r="P2848" s="5" t="str">
        <f t="shared" si="6"/>
        <v>San Francisco</v>
      </c>
      <c r="Q2848" s="5" t="str">
        <f t="shared" si="7"/>
        <v>California</v>
      </c>
      <c r="R2848" s="5" t="str">
        <f t="shared" si="8"/>
        <v>United States</v>
      </c>
    </row>
    <row r="2849">
      <c r="A2849" s="7" t="s">
        <v>1977</v>
      </c>
      <c r="B2849" s="5" t="s">
        <v>1976</v>
      </c>
      <c r="C2849" s="5" t="s">
        <v>110</v>
      </c>
      <c r="D2849" s="6" t="s">
        <v>13</v>
      </c>
      <c r="E2849" s="5" t="s">
        <v>1908</v>
      </c>
      <c r="F2849" s="5" t="s">
        <v>585</v>
      </c>
      <c r="G2849" s="5" t="s">
        <v>166</v>
      </c>
      <c r="H2849" s="5" t="s">
        <v>44</v>
      </c>
      <c r="I2849" s="5" t="s">
        <v>18</v>
      </c>
      <c r="J2849" s="9" t="str">
        <f>IFERROR(__xludf.DUMMYFUNCTION("""COMPUTED_VALUE"""),"https://www.google.com/search?newwindow=1&amp;ei=2MT0XrvGGM-vytMP1OyDgAY&amp;q=site%3Alinkedin.com+Laura+Vitale+Manager,+Campus+Recruiting+KPMG")</f>
        <v>https://www.google.com/search?newwindow=1&amp;ei=2MT0XrvGGM-vytMP1OyDgAY&amp;q=site%3Alinkedin.com+Laura+Vitale+Manager,+Campus+Recruiting+KPMG</v>
      </c>
      <c r="K2849" s="5" t="str">
        <f t="shared" si="1"/>
        <v>Laura Vitale</v>
      </c>
      <c r="L2849" s="5" t="str">
        <f t="shared" si="2"/>
        <v>Manager, Campus Recruiting</v>
      </c>
      <c r="M2849" s="5" t="str">
        <f t="shared" si="3"/>
        <v> </v>
      </c>
      <c r="N2849" s="5" t="str">
        <f t="shared" si="4"/>
        <v>KPMG</v>
      </c>
      <c r="O2849" s="5" t="str">
        <f t="shared" si="5"/>
        <v>3 years 10 months in role</v>
      </c>
      <c r="P2849" s="5" t="str">
        <f t="shared" si="6"/>
        <v>Washington</v>
      </c>
      <c r="Q2849" s="5" t="str">
        <f t="shared" si="7"/>
        <v>District of Columbia</v>
      </c>
      <c r="R2849" s="5" t="str">
        <f t="shared" si="8"/>
        <v>United States</v>
      </c>
    </row>
    <row r="2850">
      <c r="A2850" s="7" t="s">
        <v>1980</v>
      </c>
      <c r="B2850" s="5" t="s">
        <v>1978</v>
      </c>
      <c r="C2850" s="5" t="s">
        <v>1979</v>
      </c>
      <c r="D2850" s="6" t="s">
        <v>13</v>
      </c>
      <c r="E2850" s="5" t="s">
        <v>1908</v>
      </c>
      <c r="F2850" s="5" t="s">
        <v>1729</v>
      </c>
      <c r="G2850" s="5" t="s">
        <v>166</v>
      </c>
      <c r="H2850" s="5" t="s">
        <v>44</v>
      </c>
      <c r="I2850" s="5" t="s">
        <v>18</v>
      </c>
      <c r="J2850" s="9" t="str">
        <f>IFERROR(__xludf.DUMMYFUNCTION("""COMPUTED_VALUE"""),"https://www.google.com/search?newwindow=1&amp;ei=2MT0XrvGGM-vytMP1OyDgAY&amp;q=site%3Alinkedin.com+Caitlin+Pershe+Manager+KPMG")</f>
        <v>https://www.google.com/search?newwindow=1&amp;ei=2MT0XrvGGM-vytMP1OyDgAY&amp;q=site%3Alinkedin.com+Caitlin+Pershe+Manager+KPMG</v>
      </c>
      <c r="K2850" s="5" t="str">
        <f t="shared" si="1"/>
        <v>Caitlin Pershe</v>
      </c>
      <c r="L2850" s="5" t="str">
        <f t="shared" si="2"/>
        <v>Manager</v>
      </c>
      <c r="M2850" s="5" t="str">
        <f t="shared" si="3"/>
        <v> </v>
      </c>
      <c r="N2850" s="5" t="str">
        <f t="shared" si="4"/>
        <v>KPMG</v>
      </c>
      <c r="O2850" s="5" t="str">
        <f t="shared" si="5"/>
        <v>1 year 1 month in role and company</v>
      </c>
      <c r="P2850" s="5" t="str">
        <f t="shared" si="6"/>
        <v>Washington</v>
      </c>
      <c r="Q2850" s="5" t="str">
        <f t="shared" si="7"/>
        <v>District of Columbia</v>
      </c>
      <c r="R2850" s="5" t="str">
        <f t="shared" si="8"/>
        <v>United States</v>
      </c>
    </row>
    <row r="2851">
      <c r="A2851" s="7" t="s">
        <v>1983</v>
      </c>
      <c r="B2851" s="5" t="s">
        <v>1981</v>
      </c>
      <c r="C2851" s="5" t="s">
        <v>1982</v>
      </c>
      <c r="D2851" s="6" t="s">
        <v>13</v>
      </c>
      <c r="E2851" s="5" t="s">
        <v>1908</v>
      </c>
      <c r="F2851" s="5" t="s">
        <v>697</v>
      </c>
      <c r="G2851" s="5" t="s">
        <v>166</v>
      </c>
      <c r="H2851" s="5" t="s">
        <v>44</v>
      </c>
      <c r="I2851" s="5" t="s">
        <v>18</v>
      </c>
      <c r="J2851" s="9" t="str">
        <f>IFERROR(__xludf.DUMMYFUNCTION("""COMPUTED_VALUE"""),"https://www.google.com/search?newwindow=1&amp;ei=2MT0XrvGGM-vytMP1OyDgAY&amp;q=site%3Alinkedin.com+Renee+Blonde+Campus+Recruiting+Manager+KPMG+global")</f>
        <v>https://www.google.com/search?newwindow=1&amp;ei=2MT0XrvGGM-vytMP1OyDgAY&amp;q=site%3Alinkedin.com+Renee+Blonde+Campus+Recruiting+Manager+KPMG+global</v>
      </c>
      <c r="K2851" s="5" t="str">
        <f t="shared" si="1"/>
        <v>Renee Blonde</v>
      </c>
      <c r="L2851" s="5" t="str">
        <f t="shared" si="2"/>
        <v>Campus Recruiting Manager</v>
      </c>
      <c r="M2851" s="5" t="str">
        <f t="shared" si="3"/>
        <v> </v>
      </c>
      <c r="N2851" s="5" t="str">
        <f t="shared" si="4"/>
        <v>KPMG</v>
      </c>
      <c r="O2851" s="5" t="str">
        <f t="shared" si="5"/>
        <v>20 years 10 months in role and company</v>
      </c>
      <c r="P2851" s="5" t="str">
        <f t="shared" si="6"/>
        <v>Roseville</v>
      </c>
      <c r="Q2851" s="5" t="str">
        <f t="shared" si="7"/>
        <v>Michigan</v>
      </c>
      <c r="R2851" s="5" t="str">
        <f t="shared" si="8"/>
        <v>United States</v>
      </c>
    </row>
    <row r="2852">
      <c r="A2852" s="8" t="s">
        <v>1986</v>
      </c>
      <c r="B2852" s="5" t="s">
        <v>1984</v>
      </c>
      <c r="C2852" s="5" t="s">
        <v>1985</v>
      </c>
      <c r="D2852" s="6" t="s">
        <v>13</v>
      </c>
      <c r="E2852" s="5" t="s">
        <v>1908</v>
      </c>
      <c r="F2852" s="5" t="s">
        <v>727</v>
      </c>
      <c r="G2852" s="5" t="s">
        <v>166</v>
      </c>
      <c r="H2852" s="5" t="s">
        <v>44</v>
      </c>
      <c r="I2852" s="5" t="s">
        <v>18</v>
      </c>
      <c r="J2852" s="9" t="str">
        <f>IFERROR(__xludf.DUMMYFUNCTION("""COMPUTED_VALUE"""),"https://www.google.com/search?newwindow=1&amp;ei=2MT0XrvGGM-vytMP1OyDgAY&amp;q=site%3Alinkedin.com+Kyri+Gorges+Manager,+Campus+Recruiting+KPMG+LLP")</f>
        <v>https://www.google.com/search?newwindow=1&amp;ei=2MT0XrvGGM-vytMP1OyDgAY&amp;q=site%3Alinkedin.com+Kyri+Gorges+Manager,+Campus+Recruiting+KPMG+LLP</v>
      </c>
      <c r="K2852" s="5" t="str">
        <f t="shared" si="1"/>
        <v>Kyri Gorges</v>
      </c>
      <c r="L2852" s="5" t="str">
        <f t="shared" si="2"/>
        <v>Manager, Campus Recruiting</v>
      </c>
      <c r="M2852" s="5" t="str">
        <f t="shared" si="3"/>
        <v> </v>
      </c>
      <c r="N2852" s="5" t="str">
        <f t="shared" si="4"/>
        <v>KPMG</v>
      </c>
      <c r="O2852" s="5" t="str">
        <f t="shared" si="5"/>
        <v>12 years 7 months in role</v>
      </c>
      <c r="P2852" s="5" t="str">
        <f t="shared" si="6"/>
        <v>Kansas City</v>
      </c>
      <c r="Q2852" s="5" t="str">
        <f t="shared" si="7"/>
        <v>Missouri</v>
      </c>
      <c r="R2852" s="5" t="str">
        <f t="shared" si="8"/>
        <v>United States</v>
      </c>
    </row>
    <row r="2853">
      <c r="A2853" s="7" t="s">
        <v>1988</v>
      </c>
      <c r="B2853" s="5" t="s">
        <v>1987</v>
      </c>
      <c r="C2853" s="5" t="s">
        <v>110</v>
      </c>
      <c r="D2853" s="6" t="s">
        <v>13</v>
      </c>
      <c r="E2853" s="5" t="s">
        <v>1908</v>
      </c>
      <c r="F2853" s="5" t="s">
        <v>1282</v>
      </c>
      <c r="G2853" s="5" t="s">
        <v>166</v>
      </c>
      <c r="H2853" s="5" t="s">
        <v>44</v>
      </c>
      <c r="I2853" s="5" t="s">
        <v>18</v>
      </c>
      <c r="J2853" s="9" t="str">
        <f>IFERROR(__xludf.DUMMYFUNCTION("""COMPUTED_VALUE"""),"https://www.google.com/search?newwindow=1&amp;ei=2MT0XrvGGM-vytMP1OyDgAY&amp;q=site%3Alinkedin.com+Peter+Bartok+Campus+Recruiting+Manager+KPMG+LLP")</f>
        <v>https://www.google.com/search?newwindow=1&amp;ei=2MT0XrvGGM-vytMP1OyDgAY&amp;q=site%3Alinkedin.com+Peter+Bartok+Campus+Recruiting+Manager+KPMG+LLP</v>
      </c>
      <c r="K2853" s="5" t="str">
        <f t="shared" si="1"/>
        <v>Peter Bartok</v>
      </c>
      <c r="L2853" s="5" t="str">
        <f t="shared" si="2"/>
        <v>Campus Recruiting Manager</v>
      </c>
      <c r="M2853" s="5" t="str">
        <f t="shared" si="3"/>
        <v> </v>
      </c>
      <c r="N2853" s="5" t="str">
        <f t="shared" si="4"/>
        <v>KPMG</v>
      </c>
      <c r="O2853" s="5" t="str">
        <f t="shared" si="5"/>
        <v>12 years 7 months in role</v>
      </c>
      <c r="P2853" s="5" t="str">
        <f t="shared" si="6"/>
        <v>Richmond</v>
      </c>
      <c r="Q2853" s="5" t="str">
        <f t="shared" si="7"/>
        <v>Virginia</v>
      </c>
      <c r="R2853" s="5" t="str">
        <f t="shared" si="8"/>
        <v>United States</v>
      </c>
    </row>
    <row r="2854">
      <c r="A2854" s="8" t="s">
        <v>1991</v>
      </c>
      <c r="B2854" s="5" t="s">
        <v>1989</v>
      </c>
      <c r="C2854" s="5" t="s">
        <v>1990</v>
      </c>
      <c r="D2854" s="6" t="s">
        <v>13</v>
      </c>
      <c r="E2854" s="5" t="s">
        <v>1908</v>
      </c>
      <c r="F2854" s="5" t="s">
        <v>585</v>
      </c>
      <c r="G2854" s="5" t="s">
        <v>166</v>
      </c>
      <c r="H2854" s="5" t="s">
        <v>44</v>
      </c>
      <c r="I2854" s="5" t="s">
        <v>18</v>
      </c>
      <c r="J2854" s="9" t="str">
        <f>IFERROR(__xludf.DUMMYFUNCTION("""COMPUTED_VALUE"""),"https://www.google.com/search?newwindow=1&amp;ei=2MT0XrvGGM-vytMP1OyDgAY&amp;q=site%3Alinkedin.com+Delucious+Patterson+Senior+Associate,+Inclusion+and+Diversity+Campus+Recruiter+KPMG+US")</f>
        <v>https://www.google.com/search?newwindow=1&amp;ei=2MT0XrvGGM-vytMP1OyDgAY&amp;q=site%3Alinkedin.com+Delucious+Patterson+Senior+Associate,+Inclusion+and+Diversity+Campus+Recruiter+KPMG+US</v>
      </c>
      <c r="K2854" s="5" t="str">
        <f t="shared" si="1"/>
        <v>Delucious Patterson</v>
      </c>
      <c r="L2854" s="5" t="str">
        <f t="shared" si="2"/>
        <v>Senior Associate, Inclusion and Diversity Campus Recruiter</v>
      </c>
      <c r="M2854" s="5" t="str">
        <f t="shared" si="3"/>
        <v> </v>
      </c>
      <c r="N2854" s="5" t="str">
        <f t="shared" si="4"/>
        <v>KPMG</v>
      </c>
      <c r="O2854" s="5" t="str">
        <f t="shared" si="5"/>
        <v>1 year 6 months in role</v>
      </c>
      <c r="P2854" s="5" t="str">
        <f t="shared" si="6"/>
        <v>Alpharetta</v>
      </c>
      <c r="Q2854" s="5" t="str">
        <f t="shared" si="7"/>
        <v>Georgia</v>
      </c>
      <c r="R2854" s="5" t="str">
        <f t="shared" si="8"/>
        <v>United States</v>
      </c>
    </row>
    <row r="2855">
      <c r="A2855" s="8" t="s">
        <v>1994</v>
      </c>
      <c r="B2855" s="5" t="s">
        <v>1992</v>
      </c>
      <c r="C2855" s="5" t="s">
        <v>1939</v>
      </c>
      <c r="D2855" s="6" t="s">
        <v>13</v>
      </c>
      <c r="E2855" s="5" t="s">
        <v>1908</v>
      </c>
      <c r="F2855" s="5" t="s">
        <v>1993</v>
      </c>
      <c r="G2855" s="5" t="s">
        <v>166</v>
      </c>
      <c r="H2855" s="5" t="s">
        <v>44</v>
      </c>
      <c r="I2855" s="5" t="s">
        <v>18</v>
      </c>
      <c r="J2855" s="9" t="str">
        <f>IFERROR(__xludf.DUMMYFUNCTION("""COMPUTED_VALUE"""),"https://www.google.com/search?newwindow=1&amp;ei=2MT0XrvGGM-vytMP1OyDgAY&amp;q=site%3Alinkedin.com+Jennifer+Rice+Manager,+Campus+Recruiting+KPMG+US")</f>
        <v>https://www.google.com/search?newwindow=1&amp;ei=2MT0XrvGGM-vytMP1OyDgAY&amp;q=site%3Alinkedin.com+Jennifer+Rice+Manager,+Campus+Recruiting+KPMG+US</v>
      </c>
      <c r="K2855" s="5" t="str">
        <f t="shared" si="1"/>
        <v>Jennifer Rice</v>
      </c>
      <c r="L2855" s="5" t="str">
        <f t="shared" si="2"/>
        <v>Manager, Campus Recruiting</v>
      </c>
      <c r="M2855" s="5" t="str">
        <f t="shared" si="3"/>
        <v> </v>
      </c>
      <c r="N2855" s="5" t="str">
        <f t="shared" si="4"/>
        <v>KPMG</v>
      </c>
      <c r="O2855" s="5" t="str">
        <f t="shared" si="5"/>
        <v>10 months in role</v>
      </c>
      <c r="P2855" s="5" t="str">
        <f t="shared" si="6"/>
        <v>Atlanta</v>
      </c>
      <c r="Q2855" s="5" t="str">
        <f t="shared" si="7"/>
        <v>Georgia</v>
      </c>
      <c r="R2855" s="5" t="str">
        <f t="shared" si="8"/>
        <v>United States</v>
      </c>
    </row>
    <row r="2856">
      <c r="A2856" s="8" t="s">
        <v>1997</v>
      </c>
      <c r="B2856" s="5" t="s">
        <v>1995</v>
      </c>
      <c r="C2856" s="5" t="s">
        <v>1996</v>
      </c>
      <c r="D2856" s="6" t="s">
        <v>13</v>
      </c>
      <c r="E2856" s="5" t="s">
        <v>1908</v>
      </c>
      <c r="F2856" s="5" t="s">
        <v>579</v>
      </c>
      <c r="G2856" s="5" t="s">
        <v>166</v>
      </c>
      <c r="H2856" s="5" t="s">
        <v>44</v>
      </c>
      <c r="I2856" s="5" t="s">
        <v>18</v>
      </c>
      <c r="J2856" s="9" t="str">
        <f>IFERROR(__xludf.DUMMYFUNCTION("""COMPUTED_VALUE"""),"https://www.google.com/search?newwindow=1&amp;ei=2MT0XrvGGM-vytMP1OyDgAY&amp;q=site%3Alinkedin.com+Kristin+Spivey+Associate+Director,+Campus+Recruiting+KPMG+US")</f>
        <v>https://www.google.com/search?newwindow=1&amp;ei=2MT0XrvGGM-vytMP1OyDgAY&amp;q=site%3Alinkedin.com+Kristin+Spivey+Associate+Director,+Campus+Recruiting+KPMG+US</v>
      </c>
      <c r="K2856" s="5" t="str">
        <f t="shared" si="1"/>
        <v>Kristin Spivey</v>
      </c>
      <c r="L2856" s="5" t="str">
        <f t="shared" si="2"/>
        <v>Associate Director, Campus Recruiting</v>
      </c>
      <c r="M2856" s="5" t="str">
        <f t="shared" si="3"/>
        <v> </v>
      </c>
      <c r="N2856" s="5" t="str">
        <f t="shared" si="4"/>
        <v>KPMG</v>
      </c>
      <c r="O2856" s="5" t="str">
        <f t="shared" si="5"/>
        <v>1 year 1 month in role</v>
      </c>
      <c r="P2856" s="5" t="str">
        <f t="shared" si="6"/>
        <v>Atlanta</v>
      </c>
      <c r="Q2856" s="5" t="str">
        <f t="shared" si="7"/>
        <v>Georgia</v>
      </c>
      <c r="R2856" s="5" t="str">
        <f t="shared" si="8"/>
        <v>United States</v>
      </c>
    </row>
    <row r="2857">
      <c r="A2857" s="7" t="s">
        <v>1999</v>
      </c>
      <c r="B2857" s="5" t="s">
        <v>1998</v>
      </c>
      <c r="C2857" s="5" t="s">
        <v>110</v>
      </c>
      <c r="D2857" s="6" t="s">
        <v>13</v>
      </c>
      <c r="E2857" s="5" t="s">
        <v>1908</v>
      </c>
      <c r="F2857" s="5" t="s">
        <v>165</v>
      </c>
      <c r="G2857" s="5" t="s">
        <v>166</v>
      </c>
      <c r="H2857" s="5" t="s">
        <v>44</v>
      </c>
      <c r="I2857" s="5" t="s">
        <v>18</v>
      </c>
      <c r="J2857" s="9" t="str">
        <f>IFERROR(__xludf.DUMMYFUNCTION("""COMPUTED_VALUE"""),"https://www.google.com/search?newwindow=1&amp;ei=2MT0XrvGGM-vytMP1OyDgAY&amp;q=site%3Alinkedin.com+Melissa+Miller+Campus+Recruiter+KPMG+US")</f>
        <v>https://www.google.com/search?newwindow=1&amp;ei=2MT0XrvGGM-vytMP1OyDgAY&amp;q=site%3Alinkedin.com+Melissa+Miller+Campus+Recruiter+KPMG+US</v>
      </c>
      <c r="K2857" s="5" t="str">
        <f t="shared" si="1"/>
        <v>Melissa Miller</v>
      </c>
      <c r="L2857" s="5" t="str">
        <f t="shared" si="2"/>
        <v>Campus Recruiter</v>
      </c>
      <c r="M2857" s="5" t="str">
        <f t="shared" si="3"/>
        <v> </v>
      </c>
      <c r="N2857" s="5" t="str">
        <f t="shared" si="4"/>
        <v>KPMG</v>
      </c>
      <c r="O2857" s="5" t="str">
        <f t="shared" si="5"/>
        <v>6 years  in role</v>
      </c>
      <c r="P2857" s="5" t="str">
        <f t="shared" si="6"/>
        <v>Charlotte</v>
      </c>
      <c r="Q2857" s="5" t="str">
        <f t="shared" si="7"/>
        <v>North Carolina</v>
      </c>
      <c r="R2857" s="5" t="str">
        <f t="shared" si="8"/>
        <v>United States</v>
      </c>
    </row>
    <row r="2858">
      <c r="A2858" s="8" t="s">
        <v>2001</v>
      </c>
      <c r="B2858" s="5" t="s">
        <v>2000</v>
      </c>
      <c r="C2858" s="5" t="s">
        <v>1996</v>
      </c>
      <c r="D2858" s="6" t="s">
        <v>13</v>
      </c>
      <c r="E2858" s="5" t="s">
        <v>1908</v>
      </c>
      <c r="F2858" s="5" t="s">
        <v>84</v>
      </c>
      <c r="G2858" s="5" t="s">
        <v>166</v>
      </c>
      <c r="H2858" s="5" t="s">
        <v>44</v>
      </c>
      <c r="I2858" s="5" t="s">
        <v>18</v>
      </c>
      <c r="J2858" s="9" t="str">
        <f>IFERROR(__xludf.DUMMYFUNCTION("""COMPUTED_VALUE"""),"https://www.google.com/search?newwindow=1&amp;ei=2MT0XrvGGM-vytMP1OyDgAY&amp;q=site%3Alinkedin.com+Mary+Nolan+Campus+Recruiting+Manager+KPMG+US")</f>
        <v>https://www.google.com/search?newwindow=1&amp;ei=2MT0XrvGGM-vytMP1OyDgAY&amp;q=site%3Alinkedin.com+Mary+Nolan+Campus+Recruiting+Manager+KPMG+US</v>
      </c>
      <c r="K2858" s="5" t="str">
        <f t="shared" si="1"/>
        <v>Mary Nolan</v>
      </c>
      <c r="L2858" s="5" t="str">
        <f t="shared" si="2"/>
        <v>Campus Recruiting Manager</v>
      </c>
      <c r="M2858" s="5" t="str">
        <f t="shared" si="3"/>
        <v> </v>
      </c>
      <c r="N2858" s="5" t="str">
        <f t="shared" si="4"/>
        <v>KPMG</v>
      </c>
      <c r="O2858" s="5" t="str">
        <f t="shared" si="5"/>
        <v>2 years 10 months in role</v>
      </c>
      <c r="P2858" s="5" t="str">
        <f t="shared" si="6"/>
        <v>Chicago</v>
      </c>
      <c r="Q2858" s="5" t="str">
        <f t="shared" si="7"/>
        <v>Illinois</v>
      </c>
      <c r="R2858" s="5" t="str">
        <f t="shared" si="8"/>
        <v>United States</v>
      </c>
    </row>
    <row r="2859">
      <c r="A2859" s="7" t="s">
        <v>2003</v>
      </c>
      <c r="B2859" s="5" t="s">
        <v>2002</v>
      </c>
      <c r="C2859" s="5" t="s">
        <v>110</v>
      </c>
      <c r="D2859" s="6" t="s">
        <v>13</v>
      </c>
      <c r="E2859" s="5" t="s">
        <v>1908</v>
      </c>
      <c r="F2859" s="5" t="s">
        <v>179</v>
      </c>
      <c r="G2859" s="5" t="s">
        <v>166</v>
      </c>
      <c r="H2859" s="5" t="s">
        <v>44</v>
      </c>
      <c r="I2859" s="5" t="s">
        <v>18</v>
      </c>
      <c r="J2859" s="9" t="str">
        <f>IFERROR(__xludf.DUMMYFUNCTION("""COMPUTED_VALUE"""),"https://www.google.com/search?newwindow=1&amp;ei=2MT0XrvGGM-vytMP1OyDgAY&amp;q=site%3Alinkedin.com+Kati+Hood+Associate+Director,+University+Talent+Acquisition+KPMG+US")</f>
        <v>https://www.google.com/search?newwindow=1&amp;ei=2MT0XrvGGM-vytMP1OyDgAY&amp;q=site%3Alinkedin.com+Kati+Hood+Associate+Director,+University+Talent+Acquisition+KPMG+US</v>
      </c>
      <c r="K2859" s="5" t="str">
        <f t="shared" si="1"/>
        <v>Kati Hood</v>
      </c>
      <c r="L2859" s="5" t="str">
        <f t="shared" si="2"/>
        <v>Associate Director, University Talent Acquisition</v>
      </c>
      <c r="M2859" s="5" t="str">
        <f t="shared" si="3"/>
        <v> </v>
      </c>
      <c r="N2859" s="5" t="str">
        <f t="shared" si="4"/>
        <v>KPMG</v>
      </c>
      <c r="O2859" s="5" t="str">
        <f t="shared" si="5"/>
        <v>2 years 1 month in role</v>
      </c>
      <c r="P2859" s="5" t="str">
        <f t="shared" si="6"/>
        <v>Columbus</v>
      </c>
      <c r="Q2859" s="5" t="str">
        <f t="shared" si="7"/>
        <v>Ohio</v>
      </c>
      <c r="R2859" s="5" t="str">
        <f t="shared" si="8"/>
        <v>United States</v>
      </c>
    </row>
    <row r="2860">
      <c r="A2860" s="7" t="s">
        <v>2005</v>
      </c>
      <c r="B2860" s="5" t="s">
        <v>2004</v>
      </c>
      <c r="C2860" s="5" t="s">
        <v>110</v>
      </c>
      <c r="D2860" s="6" t="s">
        <v>13</v>
      </c>
      <c r="E2860" s="5" t="s">
        <v>1908</v>
      </c>
      <c r="F2860" s="5" t="s">
        <v>125</v>
      </c>
      <c r="G2860" s="5" t="s">
        <v>166</v>
      </c>
      <c r="H2860" s="5" t="s">
        <v>44</v>
      </c>
      <c r="I2860" s="5" t="s">
        <v>18</v>
      </c>
      <c r="J2860" s="9" t="str">
        <f>IFERROR(__xludf.DUMMYFUNCTION("""COMPUTED_VALUE"""),"https://www.google.com/search?newwindow=1&amp;ei=2MT0XrvGGM-vytMP1OyDgAY&amp;q=site%3Alinkedin.com+Taylor+McKamy+Campus+Recruiting+Manager+KPMG+US")</f>
        <v>https://www.google.com/search?newwindow=1&amp;ei=2MT0XrvGGM-vytMP1OyDgAY&amp;q=site%3Alinkedin.com+Taylor+McKamy+Campus+Recruiting+Manager+KPMG+US</v>
      </c>
      <c r="K2860" s="5" t="str">
        <f t="shared" si="1"/>
        <v>Taylor McKamy</v>
      </c>
      <c r="L2860" s="5" t="str">
        <f t="shared" si="2"/>
        <v>Campus Recruiting Manager</v>
      </c>
      <c r="M2860" s="5" t="str">
        <f t="shared" si="3"/>
        <v> </v>
      </c>
      <c r="N2860" s="5" t="str">
        <f t="shared" si="4"/>
        <v>KPMG</v>
      </c>
      <c r="O2860" s="5" t="str">
        <f t="shared" si="5"/>
        <v>5 years 8 months in role</v>
      </c>
      <c r="P2860" s="5" t="str">
        <f t="shared" si="6"/>
        <v>Dallas</v>
      </c>
      <c r="Q2860" s="5" t="str">
        <f t="shared" si="7"/>
        <v>Texas</v>
      </c>
      <c r="R2860" s="5" t="str">
        <f t="shared" si="8"/>
        <v>United States</v>
      </c>
    </row>
    <row r="2861">
      <c r="A2861" s="7" t="s">
        <v>2007</v>
      </c>
      <c r="B2861" s="5" t="s">
        <v>2006</v>
      </c>
      <c r="C2861" s="5" t="s">
        <v>110</v>
      </c>
      <c r="D2861" s="6" t="s">
        <v>13</v>
      </c>
      <c r="E2861" s="5" t="s">
        <v>1908</v>
      </c>
      <c r="F2861" s="5" t="s">
        <v>179</v>
      </c>
      <c r="G2861" s="5" t="s">
        <v>166</v>
      </c>
      <c r="H2861" s="5" t="s">
        <v>44</v>
      </c>
      <c r="I2861" s="5" t="s">
        <v>18</v>
      </c>
      <c r="J2861" s="9" t="str">
        <f>IFERROR(__xludf.DUMMYFUNCTION("""COMPUTED_VALUE"""),"https://www.google.com/search?newwindow=1&amp;ei=2MT0XrvGGM-vytMP1OyDgAY&amp;q=site%3Alinkedin.com+Hannah+Auer,+CPA+Senior+Associate+Campus+Recruiter+KPMG+US")</f>
        <v>https://www.google.com/search?newwindow=1&amp;ei=2MT0XrvGGM-vytMP1OyDgAY&amp;q=site%3Alinkedin.com+Hannah+Auer,+CPA+Senior+Associate+Campus+Recruiter+KPMG+US</v>
      </c>
      <c r="K2861" s="5" t="str">
        <f t="shared" si="1"/>
        <v>Hannah Auer, CPA</v>
      </c>
      <c r="L2861" s="5" t="str">
        <f t="shared" si="2"/>
        <v>Senior Associate Campus Recruiter</v>
      </c>
      <c r="M2861" s="5" t="str">
        <f t="shared" si="3"/>
        <v> </v>
      </c>
      <c r="N2861" s="5" t="str">
        <f t="shared" si="4"/>
        <v>KPMG</v>
      </c>
      <c r="O2861" s="5" t="str">
        <f t="shared" si="5"/>
        <v>1 year 1 month in role</v>
      </c>
      <c r="P2861" s="5" t="str">
        <f t="shared" si="6"/>
        <v>Dallas</v>
      </c>
      <c r="Q2861" s="5" t="str">
        <f t="shared" si="7"/>
        <v>Texas</v>
      </c>
      <c r="R2861" s="5" t="str">
        <f t="shared" si="8"/>
        <v>United States</v>
      </c>
    </row>
    <row r="2862">
      <c r="A2862" s="7" t="s">
        <v>2010</v>
      </c>
      <c r="B2862" s="5" t="s">
        <v>2008</v>
      </c>
      <c r="C2862" s="5" t="s">
        <v>2009</v>
      </c>
      <c r="D2862" s="6" t="s">
        <v>13</v>
      </c>
      <c r="E2862" s="5" t="s">
        <v>1908</v>
      </c>
      <c r="F2862" s="5" t="s">
        <v>697</v>
      </c>
      <c r="G2862" s="5" t="s">
        <v>166</v>
      </c>
      <c r="H2862" s="5" t="s">
        <v>44</v>
      </c>
      <c r="I2862" s="5" t="s">
        <v>18</v>
      </c>
      <c r="J2862" s="9" t="str">
        <f>IFERROR(__xludf.DUMMYFUNCTION("""COMPUTED_VALUE"""),"https://www.google.com/search?newwindow=1&amp;ei=2MT0XrvGGM-vytMP1OyDgAY&amp;q=site%3Alinkedin.com+Lindsay+Herring+Campus+Recruiter+KPMG+US")</f>
        <v>https://www.google.com/search?newwindow=1&amp;ei=2MT0XrvGGM-vytMP1OyDgAY&amp;q=site%3Alinkedin.com+Lindsay+Herring+Campus+Recruiter+KPMG+US</v>
      </c>
      <c r="K2862" s="5" t="str">
        <f t="shared" si="1"/>
        <v>Lindsay Herring</v>
      </c>
      <c r="L2862" s="5" t="str">
        <f t="shared" si="2"/>
        <v>Campus Recruiter</v>
      </c>
      <c r="M2862" s="5" t="str">
        <f t="shared" si="3"/>
        <v> </v>
      </c>
      <c r="N2862" s="5" t="str">
        <f t="shared" si="4"/>
        <v>KPMG</v>
      </c>
      <c r="O2862" s="5" t="str">
        <f t="shared" si="5"/>
        <v>6 years 2 months in role and company</v>
      </c>
      <c r="P2862" s="5" t="str">
        <f t="shared" si="6"/>
        <v>Dallas</v>
      </c>
      <c r="Q2862" s="5" t="str">
        <f t="shared" si="7"/>
        <v>Texas</v>
      </c>
      <c r="R2862" s="5" t="str">
        <f t="shared" si="8"/>
        <v>United States</v>
      </c>
    </row>
    <row r="2863">
      <c r="A2863" s="8" t="s">
        <v>2012</v>
      </c>
      <c r="B2863" s="5" t="s">
        <v>2011</v>
      </c>
      <c r="C2863" s="5" t="s">
        <v>1939</v>
      </c>
      <c r="D2863" s="6" t="s">
        <v>13</v>
      </c>
      <c r="E2863" s="5" t="s">
        <v>1908</v>
      </c>
      <c r="F2863" s="5" t="s">
        <v>1880</v>
      </c>
      <c r="G2863" s="5" t="s">
        <v>166</v>
      </c>
      <c r="H2863" s="5" t="s">
        <v>44</v>
      </c>
      <c r="I2863" s="5" t="s">
        <v>18</v>
      </c>
      <c r="J2863" s="9" t="str">
        <f>IFERROR(__xludf.DUMMYFUNCTION("""COMPUTED_VALUE"""),"https://www.google.com/search?newwindow=1&amp;ei=2MT0XrvGGM-vytMP1OyDgAY&amp;q=site%3Alinkedin.com+Laurel+Miller+Stone+Associate+Director,+Campus+Recruiting+KPMG+US")</f>
        <v>https://www.google.com/search?newwindow=1&amp;ei=2MT0XrvGGM-vytMP1OyDgAY&amp;q=site%3Alinkedin.com+Laurel+Miller+Stone+Associate+Director,+Campus+Recruiting+KPMG+US</v>
      </c>
      <c r="K2863" s="5" t="str">
        <f t="shared" si="1"/>
        <v>Laurel Miller Stone</v>
      </c>
      <c r="L2863" s="5" t="str">
        <f t="shared" si="2"/>
        <v>Associate Director, Campus Recruiting</v>
      </c>
      <c r="M2863" s="5" t="str">
        <f t="shared" si="3"/>
        <v> </v>
      </c>
      <c r="N2863" s="5" t="str">
        <f t="shared" si="4"/>
        <v>KPMG</v>
      </c>
      <c r="O2863" s="5" t="str">
        <f t="shared" si="5"/>
        <v>1 year 1 month in role</v>
      </c>
      <c r="P2863" s="5" t="str">
        <f t="shared" si="6"/>
        <v>Denver</v>
      </c>
      <c r="Q2863" s="5" t="str">
        <f t="shared" si="7"/>
        <v>Colorado</v>
      </c>
      <c r="R2863" s="5" t="str">
        <f t="shared" si="8"/>
        <v>United States</v>
      </c>
    </row>
    <row r="2864">
      <c r="A2864" s="8" t="s">
        <v>2015</v>
      </c>
      <c r="B2864" s="5" t="s">
        <v>2013</v>
      </c>
      <c r="C2864" s="5" t="s">
        <v>2014</v>
      </c>
      <c r="D2864" s="6" t="s">
        <v>13</v>
      </c>
      <c r="E2864" s="5" t="s">
        <v>1908</v>
      </c>
      <c r="F2864" s="5" t="s">
        <v>84</v>
      </c>
      <c r="G2864" s="5" t="s">
        <v>166</v>
      </c>
      <c r="H2864" s="5" t="s">
        <v>44</v>
      </c>
      <c r="I2864" s="5" t="s">
        <v>18</v>
      </c>
      <c r="J2864" s="9" t="str">
        <f>IFERROR(__xludf.DUMMYFUNCTION("""COMPUTED_VALUE"""),"https://www.google.com/search?newwindow=1&amp;ei=2MT0XrvGGM-vytMP1OyDgAY&amp;q=site%3Alinkedin.com+Lisa+Francisco+National+Manager,+Campus+Recruiting+&amp;+University+Relations+KPMG+US")</f>
        <v>https://www.google.com/search?newwindow=1&amp;ei=2MT0XrvGGM-vytMP1OyDgAY&amp;q=site%3Alinkedin.com+Lisa+Francisco+National+Manager,+Campus+Recruiting+&amp;+University+Relations+KPMG+US</v>
      </c>
      <c r="K2864" s="5" t="str">
        <f t="shared" si="1"/>
        <v>Lisa Francisco</v>
      </c>
      <c r="L2864" s="5" t="str">
        <f t="shared" si="2"/>
        <v>National Manager, Campus Recruiting &amp; University Relations</v>
      </c>
      <c r="M2864" s="5" t="str">
        <f t="shared" si="3"/>
        <v> </v>
      </c>
      <c r="N2864" s="5" t="str">
        <f t="shared" si="4"/>
        <v>KPMG</v>
      </c>
      <c r="O2864" s="5" t="str">
        <f t="shared" si="5"/>
        <v>2 years 8 months in role</v>
      </c>
      <c r="P2864" s="5" t="str">
        <f t="shared" si="6"/>
        <v>Detroit</v>
      </c>
      <c r="Q2864" s="5" t="str">
        <f t="shared" si="7"/>
        <v>Michigan</v>
      </c>
      <c r="R2864" s="5" t="str">
        <f t="shared" si="8"/>
        <v>United States</v>
      </c>
    </row>
    <row r="2865">
      <c r="A2865" s="8" t="s">
        <v>2018</v>
      </c>
      <c r="B2865" s="5" t="s">
        <v>2016</v>
      </c>
      <c r="C2865" s="5" t="s">
        <v>2017</v>
      </c>
      <c r="D2865" s="6" t="s">
        <v>13</v>
      </c>
      <c r="E2865" s="5" t="s">
        <v>1908</v>
      </c>
      <c r="F2865" s="5" t="s">
        <v>694</v>
      </c>
      <c r="G2865" s="5" t="s">
        <v>166</v>
      </c>
      <c r="H2865" s="5" t="s">
        <v>44</v>
      </c>
      <c r="I2865" s="5" t="s">
        <v>18</v>
      </c>
      <c r="J2865" s="9" t="str">
        <f>IFERROR(__xludf.DUMMYFUNCTION("""COMPUTED_VALUE"""),"https://www.google.com/search?newwindow=1&amp;ei=2MT0XrvGGM-vytMP1OyDgAY&amp;q=site%3Alinkedin.com+Haley+Barton+Associate+Campus+Recruiter+KPMG+US")</f>
        <v>https://www.google.com/search?newwindow=1&amp;ei=2MT0XrvGGM-vytMP1OyDgAY&amp;q=site%3Alinkedin.com+Haley+Barton+Associate+Campus+Recruiter+KPMG+US</v>
      </c>
      <c r="K2865" s="5" t="str">
        <f t="shared" si="1"/>
        <v>Haley Barton</v>
      </c>
      <c r="L2865" s="5" t="str">
        <f t="shared" si="2"/>
        <v>Associate Campus Recruiter</v>
      </c>
      <c r="M2865" s="5" t="str">
        <f t="shared" si="3"/>
        <v> </v>
      </c>
      <c r="N2865" s="5" t="str">
        <f t="shared" si="4"/>
        <v>KPMG</v>
      </c>
      <c r="O2865" s="5" t="str">
        <f t="shared" si="5"/>
        <v>6 months in role</v>
      </c>
      <c r="P2865" s="5" t="str">
        <f t="shared" si="6"/>
        <v>Houston</v>
      </c>
      <c r="Q2865" s="5" t="str">
        <f t="shared" si="7"/>
        <v>Texas</v>
      </c>
      <c r="R2865" s="5" t="str">
        <f t="shared" si="8"/>
        <v>United States</v>
      </c>
    </row>
    <row r="2866">
      <c r="A2866" s="7" t="s">
        <v>2021</v>
      </c>
      <c r="B2866" s="5" t="s">
        <v>2019</v>
      </c>
      <c r="C2866" s="5" t="s">
        <v>2020</v>
      </c>
      <c r="D2866" s="6" t="s">
        <v>13</v>
      </c>
      <c r="E2866" s="5" t="s">
        <v>1908</v>
      </c>
      <c r="F2866" s="5" t="s">
        <v>331</v>
      </c>
      <c r="G2866" s="5" t="s">
        <v>166</v>
      </c>
      <c r="H2866" s="5" t="s">
        <v>44</v>
      </c>
      <c r="I2866" s="5" t="s">
        <v>18</v>
      </c>
      <c r="J2866" s="9" t="str">
        <f>IFERROR(__xludf.DUMMYFUNCTION("""COMPUTED_VALUE"""),"https://www.google.com/search?newwindow=1&amp;ei=2MT0XrvGGM-vytMP1OyDgAY&amp;q=site%3Alinkedin.com+Jessica+Vittas+(she,+her,+hers)+Campus+Development+Manager:+Campus+Recruiting+KPMG+US")</f>
        <v>https://www.google.com/search?newwindow=1&amp;ei=2MT0XrvGGM-vytMP1OyDgAY&amp;q=site%3Alinkedin.com+Jessica+Vittas+(she,+her,+hers)+Campus+Development+Manager:+Campus+Recruiting+KPMG+US</v>
      </c>
      <c r="K2866" s="5" t="str">
        <f t="shared" si="1"/>
        <v>Jessica Vittas (she, her, hers)</v>
      </c>
      <c r="L2866" s="5" t="str">
        <f t="shared" si="2"/>
        <v>Campus Development Manager: Campus Recruiting</v>
      </c>
      <c r="M2866" s="5" t="str">
        <f t="shared" si="3"/>
        <v> </v>
      </c>
      <c r="N2866" s="5" t="str">
        <f t="shared" si="4"/>
        <v>KPMG</v>
      </c>
      <c r="O2866" s="5" t="str">
        <f t="shared" si="5"/>
        <v>1 year 3 months in role and company</v>
      </c>
      <c r="P2866" s="5" t="str">
        <f t="shared" si="6"/>
        <v>Los Angeles</v>
      </c>
      <c r="Q2866" s="5" t="str">
        <f t="shared" si="7"/>
        <v>California</v>
      </c>
      <c r="R2866" s="5" t="str">
        <f t="shared" si="8"/>
        <v>United States</v>
      </c>
    </row>
    <row r="2867">
      <c r="A2867" s="7" t="s">
        <v>2023</v>
      </c>
      <c r="B2867" s="5" t="s">
        <v>2022</v>
      </c>
      <c r="C2867" s="5" t="s">
        <v>110</v>
      </c>
      <c r="D2867" s="6" t="s">
        <v>13</v>
      </c>
      <c r="E2867" s="5" t="s">
        <v>1908</v>
      </c>
      <c r="F2867" s="5" t="s">
        <v>716</v>
      </c>
      <c r="G2867" s="5" t="s">
        <v>166</v>
      </c>
      <c r="H2867" s="5" t="s">
        <v>44</v>
      </c>
      <c r="I2867" s="5" t="s">
        <v>18</v>
      </c>
      <c r="J2867" s="9" t="str">
        <f>IFERROR(__xludf.DUMMYFUNCTION("""COMPUTED_VALUE"""),"https://www.google.com/search?newwindow=1&amp;ei=2MT0XrvGGM-vytMP1OyDgAY&amp;q=site%3Alinkedin.com+Liz+Trevor+Primary+Recruiting+Manager+for+LA/OC+Advisory:+Campus+Recruiting+KPMG+US")</f>
        <v>https://www.google.com/search?newwindow=1&amp;ei=2MT0XrvGGM-vytMP1OyDgAY&amp;q=site%3Alinkedin.com+Liz+Trevor+Primary+Recruiting+Manager+for+LA/OC+Advisory:+Campus+Recruiting+KPMG+US</v>
      </c>
      <c r="K2867" s="5" t="str">
        <f t="shared" si="1"/>
        <v>Liz Trevor</v>
      </c>
      <c r="L2867" s="5" t="str">
        <f t="shared" si="2"/>
        <v>Primary Recruiting Manager for LA/OC Advisory: Campus Recruiting</v>
      </c>
      <c r="M2867" s="5" t="str">
        <f t="shared" si="3"/>
        <v> </v>
      </c>
      <c r="N2867" s="5" t="str">
        <f t="shared" si="4"/>
        <v>KPMG</v>
      </c>
      <c r="O2867" s="5" t="str">
        <f t="shared" si="5"/>
        <v>1 year 6 months in role</v>
      </c>
      <c r="P2867" s="5" t="str">
        <f t="shared" si="6"/>
        <v>Los Angeles</v>
      </c>
      <c r="Q2867" s="5" t="str">
        <f t="shared" si="7"/>
        <v>California</v>
      </c>
      <c r="R2867" s="5" t="str">
        <f t="shared" si="8"/>
        <v>United States</v>
      </c>
    </row>
    <row r="2868">
      <c r="A2868" s="7" t="s">
        <v>2025</v>
      </c>
      <c r="B2868" s="5" t="s">
        <v>2024</v>
      </c>
      <c r="C2868" s="5" t="s">
        <v>110</v>
      </c>
      <c r="D2868" s="6" t="s">
        <v>13</v>
      </c>
      <c r="E2868" s="5" t="s">
        <v>1908</v>
      </c>
      <c r="F2868" s="5" t="s">
        <v>1538</v>
      </c>
      <c r="G2868" s="5" t="s">
        <v>166</v>
      </c>
      <c r="H2868" s="5" t="s">
        <v>44</v>
      </c>
      <c r="I2868" s="5" t="s">
        <v>18</v>
      </c>
      <c r="J2868" s="9" t="str">
        <f>IFERROR(__xludf.DUMMYFUNCTION("""COMPUTED_VALUE"""),"https://www.google.com/search?newwindow=1&amp;ei=2MT0XrvGGM-vytMP1OyDgAY&amp;q=site%3Alinkedin.com+Jennifer+McCanty,+MBA+National+Manager,+Campus+Recruiting+KPMG+US")</f>
        <v>https://www.google.com/search?newwindow=1&amp;ei=2MT0XrvGGM-vytMP1OyDgAY&amp;q=site%3Alinkedin.com+Jennifer+McCanty,+MBA+National+Manager,+Campus+Recruiting+KPMG+US</v>
      </c>
      <c r="K2868" s="5" t="str">
        <f t="shared" si="1"/>
        <v>Jennifer McCanty, MBA</v>
      </c>
      <c r="L2868" s="5" t="str">
        <f t="shared" si="2"/>
        <v>National Manager, Campus Recruiting</v>
      </c>
      <c r="M2868" s="5" t="str">
        <f t="shared" si="3"/>
        <v> </v>
      </c>
      <c r="N2868" s="5" t="str">
        <f t="shared" si="4"/>
        <v>KPMG</v>
      </c>
      <c r="O2868" s="5" t="str">
        <f t="shared" si="5"/>
        <v>5 years 5 months in role and company</v>
      </c>
      <c r="P2868" s="5" t="str">
        <f t="shared" si="6"/>
        <v>Mount Bethel</v>
      </c>
      <c r="Q2868" s="5" t="str">
        <f t="shared" si="7"/>
        <v>Pennsylvania</v>
      </c>
      <c r="R2868" s="5" t="str">
        <f t="shared" si="8"/>
        <v>United States</v>
      </c>
    </row>
    <row r="2869">
      <c r="A2869" s="7" t="s">
        <v>2027</v>
      </c>
      <c r="B2869" s="5" t="s">
        <v>2026</v>
      </c>
      <c r="C2869" s="5" t="s">
        <v>110</v>
      </c>
      <c r="D2869" s="6" t="s">
        <v>13</v>
      </c>
      <c r="E2869" s="5" t="s">
        <v>1908</v>
      </c>
      <c r="F2869" s="5" t="s">
        <v>526</v>
      </c>
      <c r="G2869" s="5" t="s">
        <v>166</v>
      </c>
      <c r="H2869" s="5" t="s">
        <v>44</v>
      </c>
      <c r="I2869" s="5" t="s">
        <v>18</v>
      </c>
      <c r="J2869" s="9" t="str">
        <f>IFERROR(__xludf.DUMMYFUNCTION("""COMPUTED_VALUE"""),"https://www.google.com/search?newwindow=1&amp;ei=2MT0XrvGGM-vytMP1OyDgAY&amp;q=site%3Alinkedin.com+Jemima+Sloggett+Manager,+Campus+Recruiting+KPMG+US")</f>
        <v>https://www.google.com/search?newwindow=1&amp;ei=2MT0XrvGGM-vytMP1OyDgAY&amp;q=site%3Alinkedin.com+Jemima+Sloggett+Manager,+Campus+Recruiting+KPMG+US</v>
      </c>
      <c r="K2869" s="5" t="str">
        <f t="shared" si="1"/>
        <v>Jemima Sloggett</v>
      </c>
      <c r="L2869" s="5" t="str">
        <f t="shared" si="2"/>
        <v>Manager, Campus Recruiting</v>
      </c>
      <c r="M2869" s="5" t="str">
        <f t="shared" si="3"/>
        <v> </v>
      </c>
      <c r="N2869" s="5" t="str">
        <f t="shared" si="4"/>
        <v>KPMG</v>
      </c>
      <c r="O2869" s="5" t="str">
        <f t="shared" si="5"/>
        <v>11 months in role</v>
      </c>
      <c r="P2869" s="5" t="str">
        <f t="shared" si="6"/>
        <v>New York</v>
      </c>
      <c r="Q2869" s="5" t="str">
        <f t="shared" si="7"/>
        <v>New York</v>
      </c>
      <c r="R2869" s="5" t="str">
        <f t="shared" si="8"/>
        <v>United States</v>
      </c>
    </row>
    <row r="2870">
      <c r="A2870" s="7" t="s">
        <v>2030</v>
      </c>
      <c r="B2870" s="5" t="s">
        <v>2028</v>
      </c>
      <c r="C2870" s="5" t="s">
        <v>2029</v>
      </c>
      <c r="D2870" s="6" t="s">
        <v>13</v>
      </c>
      <c r="E2870" s="5" t="s">
        <v>1908</v>
      </c>
      <c r="F2870" s="5" t="s">
        <v>15</v>
      </c>
      <c r="G2870" s="5" t="s">
        <v>169</v>
      </c>
      <c r="H2870" s="5" t="s">
        <v>44</v>
      </c>
      <c r="I2870" s="5" t="s">
        <v>18</v>
      </c>
      <c r="J2870" s="9" t="str">
        <f>IFERROR(__xludf.DUMMYFUNCTION("""COMPUTED_VALUE"""),"https://www.google.com/search?newwindow=1&amp;ei=2MT0XrvGGM-vytMP1OyDgAY&amp;q=site%3Alinkedin.com+Jenna+R.+Campus+Recruiting+Manager+KPMG+US")</f>
        <v>https://www.google.com/search?newwindow=1&amp;ei=2MT0XrvGGM-vytMP1OyDgAY&amp;q=site%3Alinkedin.com+Jenna+R.+Campus+Recruiting+Manager+KPMG+US</v>
      </c>
      <c r="K2870" s="5" t="str">
        <f t="shared" si="1"/>
        <v>Jenna R.</v>
      </c>
      <c r="L2870" s="5" t="str">
        <f t="shared" si="2"/>
        <v>Campus Recruiting Manager</v>
      </c>
      <c r="M2870" s="5" t="str">
        <f t="shared" si="3"/>
        <v> </v>
      </c>
      <c r="N2870" s="5" t="str">
        <f t="shared" si="4"/>
        <v>KPMG</v>
      </c>
      <c r="O2870" s="5" t="str">
        <f t="shared" si="5"/>
        <v>5 years 8 months in role</v>
      </c>
      <c r="P2870" s="5" t="str">
        <f t="shared" si="6"/>
        <v>New York</v>
      </c>
      <c r="Q2870" s="5" t="str">
        <f t="shared" si="7"/>
        <v>New York</v>
      </c>
      <c r="R2870" s="5" t="str">
        <f t="shared" si="8"/>
        <v>United States</v>
      </c>
    </row>
    <row r="2871">
      <c r="A2871" s="7" t="s">
        <v>2033</v>
      </c>
      <c r="B2871" s="5" t="s">
        <v>2031</v>
      </c>
      <c r="C2871" s="5" t="s">
        <v>110</v>
      </c>
      <c r="D2871" s="6" t="s">
        <v>13</v>
      </c>
      <c r="E2871" s="5" t="s">
        <v>1908</v>
      </c>
      <c r="F2871" s="5" t="s">
        <v>2032</v>
      </c>
      <c r="G2871" s="5" t="s">
        <v>169</v>
      </c>
      <c r="H2871" s="5" t="s">
        <v>44</v>
      </c>
      <c r="I2871" s="5" t="s">
        <v>18</v>
      </c>
      <c r="J2871" s="9" t="str">
        <f>IFERROR(__xludf.DUMMYFUNCTION("""COMPUTED_VALUE"""),"https://www.google.com/search?newwindow=1&amp;ei=2MT0XrvGGM-vytMP1OyDgAY&amp;q=site%3Alinkedin.com+Derrick+Beggs,+PHR+CDR+KMPG+Campus+Recruiting+Manager+KPMG+US")</f>
        <v>https://www.google.com/search?newwindow=1&amp;ei=2MT0XrvGGM-vytMP1OyDgAY&amp;q=site%3Alinkedin.com+Derrick+Beggs,+PHR+CDR+KMPG+Campus+Recruiting+Manager+KPMG+US</v>
      </c>
      <c r="K2871" s="5" t="str">
        <f t="shared" si="1"/>
        <v>Derrick Beggs, PHR CDR</v>
      </c>
      <c r="L2871" s="5" t="str">
        <f t="shared" si="2"/>
        <v>KMPG Campus Recruiting Manager</v>
      </c>
      <c r="M2871" s="5" t="str">
        <f t="shared" si="3"/>
        <v> </v>
      </c>
      <c r="N2871" s="5" t="str">
        <f t="shared" si="4"/>
        <v>KPMG</v>
      </c>
      <c r="O2871" s="5" t="str">
        <f t="shared" si="5"/>
        <v>3 months in role and company</v>
      </c>
      <c r="P2871" s="5" t="str">
        <f t="shared" si="6"/>
        <v>Norcross</v>
      </c>
      <c r="Q2871" s="5" t="str">
        <f t="shared" si="7"/>
        <v>Georgia</v>
      </c>
      <c r="R2871" s="5" t="str">
        <f t="shared" si="8"/>
        <v>United States</v>
      </c>
    </row>
    <row r="2872">
      <c r="A2872" s="7" t="s">
        <v>2036</v>
      </c>
      <c r="B2872" s="5" t="s">
        <v>2034</v>
      </c>
      <c r="C2872" s="5" t="s">
        <v>110</v>
      </c>
      <c r="D2872" s="6" t="s">
        <v>13</v>
      </c>
      <c r="E2872" s="5" t="s">
        <v>1908</v>
      </c>
      <c r="F2872" s="5" t="s">
        <v>2035</v>
      </c>
      <c r="G2872" s="5" t="s">
        <v>169</v>
      </c>
      <c r="H2872" s="5" t="s">
        <v>44</v>
      </c>
      <c r="I2872" s="5" t="s">
        <v>18</v>
      </c>
      <c r="J2872" s="9" t="str">
        <f>IFERROR(__xludf.DUMMYFUNCTION("""COMPUTED_VALUE"""),"https://www.google.com/search?newwindow=1&amp;ei=2MT0XrvGGM-vytMP1OyDgAY&amp;q=site%3Alinkedin.com+Becky+Paseka,+CPA+Campus+Recruiting+Manager+KPMG+US")</f>
        <v>https://www.google.com/search?newwindow=1&amp;ei=2MT0XrvGGM-vytMP1OyDgAY&amp;q=site%3Alinkedin.com+Becky+Paseka,+CPA+Campus+Recruiting+Manager+KPMG+US</v>
      </c>
      <c r="K2872" s="5" t="str">
        <f t="shared" si="1"/>
        <v>Becky Paseka, CPA</v>
      </c>
      <c r="L2872" s="5" t="str">
        <f t="shared" si="2"/>
        <v>Campus Recruiting Manager</v>
      </c>
      <c r="M2872" s="5" t="str">
        <f t="shared" si="3"/>
        <v> </v>
      </c>
      <c r="N2872" s="5" t="str">
        <f t="shared" si="4"/>
        <v>KPMG</v>
      </c>
      <c r="O2872" s="5" t="str">
        <f t="shared" si="5"/>
        <v>3 years 9 months in role</v>
      </c>
      <c r="P2872" s="5" t="str">
        <f t="shared" si="6"/>
        <v>Omaha</v>
      </c>
      <c r="Q2872" s="5" t="str">
        <f t="shared" si="7"/>
        <v>Nebraska</v>
      </c>
      <c r="R2872" s="5" t="str">
        <f t="shared" si="8"/>
        <v>United States</v>
      </c>
    </row>
    <row r="2873">
      <c r="A2873" s="7" t="s">
        <v>2038</v>
      </c>
      <c r="B2873" s="5" t="s">
        <v>2037</v>
      </c>
      <c r="C2873" s="5" t="s">
        <v>110</v>
      </c>
      <c r="D2873" s="6" t="s">
        <v>13</v>
      </c>
      <c r="E2873" s="5" t="s">
        <v>1908</v>
      </c>
      <c r="F2873" s="5" t="s">
        <v>2035</v>
      </c>
      <c r="G2873" s="5" t="s">
        <v>169</v>
      </c>
      <c r="H2873" s="5" t="s">
        <v>44</v>
      </c>
      <c r="I2873" s="5" t="s">
        <v>18</v>
      </c>
      <c r="J2873" s="9" t="str">
        <f>IFERROR(__xludf.DUMMYFUNCTION("""COMPUTED_VALUE"""),"https://www.google.com/search?newwindow=1&amp;ei=2MT0XrvGGM-vytMP1OyDgAY&amp;q=site%3Alinkedin.com+Alicia+Mucci+(she/her/hers)+Manager,+Campus+Recruiting+KPMG+US")</f>
        <v>https://www.google.com/search?newwindow=1&amp;ei=2MT0XrvGGM-vytMP1OyDgAY&amp;q=site%3Alinkedin.com+Alicia+Mucci+(she/her/hers)+Manager,+Campus+Recruiting+KPMG+US</v>
      </c>
      <c r="K2873" s="5" t="str">
        <f t="shared" si="1"/>
        <v>Alicia Mucci (she/her/hers)</v>
      </c>
      <c r="L2873" s="5" t="str">
        <f t="shared" si="2"/>
        <v>Manager, Campus Recruiting</v>
      </c>
      <c r="M2873" s="5" t="str">
        <f t="shared" si="3"/>
        <v> </v>
      </c>
      <c r="N2873" s="5" t="str">
        <f t="shared" si="4"/>
        <v>KPMG</v>
      </c>
      <c r="O2873" s="5" t="str">
        <f t="shared" si="5"/>
        <v>1 year 4 months in role</v>
      </c>
      <c r="P2873" s="5" t="str">
        <f t="shared" si="6"/>
        <v>Philadelphia</v>
      </c>
      <c r="Q2873" s="5" t="str">
        <f t="shared" si="7"/>
        <v>Pennsylvania</v>
      </c>
      <c r="R2873" s="5" t="str">
        <f t="shared" si="8"/>
        <v>United States</v>
      </c>
    </row>
    <row r="2874">
      <c r="A2874" s="7" t="s">
        <v>2040</v>
      </c>
      <c r="B2874" s="5" t="s">
        <v>2039</v>
      </c>
      <c r="C2874" s="5" t="s">
        <v>110</v>
      </c>
      <c r="D2874" s="6" t="s">
        <v>13</v>
      </c>
      <c r="E2874" s="5" t="s">
        <v>1908</v>
      </c>
      <c r="F2874" s="5" t="s">
        <v>331</v>
      </c>
      <c r="G2874" s="5" t="s">
        <v>169</v>
      </c>
      <c r="H2874" s="5" t="s">
        <v>44</v>
      </c>
      <c r="I2874" s="5" t="s">
        <v>18</v>
      </c>
      <c r="J2874" s="9" t="str">
        <f>IFERROR(__xludf.DUMMYFUNCTION("""COMPUTED_VALUE"""),"https://www.google.com/search?newwindow=1&amp;ei=2MT0XrvGGM-vytMP1OyDgAY&amp;q=site%3Alinkedin.com+Kate+McClain+Campus+Recruiting+Manager+KPMG+US")</f>
        <v>https://www.google.com/search?newwindow=1&amp;ei=2MT0XrvGGM-vytMP1OyDgAY&amp;q=site%3Alinkedin.com+Kate+McClain+Campus+Recruiting+Manager+KPMG+US</v>
      </c>
      <c r="K2874" s="5" t="str">
        <f t="shared" si="1"/>
        <v>Kate McClain</v>
      </c>
      <c r="L2874" s="5" t="str">
        <f t="shared" si="2"/>
        <v>Campus Recruiting Manager</v>
      </c>
      <c r="M2874" s="5" t="str">
        <f t="shared" si="3"/>
        <v> </v>
      </c>
      <c r="N2874" s="5" t="str">
        <f t="shared" si="4"/>
        <v>KPMG</v>
      </c>
      <c r="O2874" s="5" t="str">
        <f t="shared" si="5"/>
        <v>10 months in role and company</v>
      </c>
      <c r="P2874" s="5" t="str">
        <f t="shared" si="6"/>
        <v>Phoenix</v>
      </c>
      <c r="Q2874" s="5" t="str">
        <f t="shared" si="7"/>
        <v>Arizona</v>
      </c>
      <c r="R2874" s="5" t="str">
        <f t="shared" si="8"/>
        <v>United States</v>
      </c>
    </row>
    <row r="2875">
      <c r="A2875" s="7" t="s">
        <v>2043</v>
      </c>
      <c r="B2875" s="5" t="s">
        <v>2041</v>
      </c>
      <c r="C2875" s="5" t="s">
        <v>110</v>
      </c>
      <c r="D2875" s="6" t="s">
        <v>13</v>
      </c>
      <c r="E2875" s="5" t="s">
        <v>1908</v>
      </c>
      <c r="F2875" s="5" t="s">
        <v>42</v>
      </c>
      <c r="G2875" s="5" t="s">
        <v>2042</v>
      </c>
      <c r="H2875" s="5" t="s">
        <v>44</v>
      </c>
      <c r="I2875" s="5" t="s">
        <v>18</v>
      </c>
      <c r="J2875" s="9" t="str">
        <f>IFERROR(__xludf.DUMMYFUNCTION("""COMPUTED_VALUE"""),"https://www.google.com/search?newwindow=1&amp;ei=2MT0XrvGGM-vytMP1OyDgAY&amp;q=site%3Alinkedin.com+Allison+Reams+Newman+Primary+Recruiter,+Campus+Recruiting+KPMG+US")</f>
        <v>https://www.google.com/search?newwindow=1&amp;ei=2MT0XrvGGM-vytMP1OyDgAY&amp;q=site%3Alinkedin.com+Allison+Reams+Newman+Primary+Recruiter,+Campus+Recruiting+KPMG+US</v>
      </c>
      <c r="K2875" s="5" t="str">
        <f t="shared" si="1"/>
        <v>Allison Reams Newman</v>
      </c>
      <c r="L2875" s="5" t="str">
        <f t="shared" si="2"/>
        <v>Primary Recruiter, Campus Recruiting</v>
      </c>
      <c r="M2875" s="5" t="str">
        <f t="shared" si="3"/>
        <v> </v>
      </c>
      <c r="N2875" s="5" t="str">
        <f t="shared" si="4"/>
        <v>KPMG</v>
      </c>
      <c r="O2875" s="5" t="str">
        <f t="shared" si="5"/>
        <v>7 years 10 months in role</v>
      </c>
      <c r="P2875" s="5" t="str">
        <f t="shared" si="6"/>
        <v>San Diego</v>
      </c>
      <c r="Q2875" s="5" t="str">
        <f t="shared" si="7"/>
        <v>California</v>
      </c>
      <c r="R2875" s="5" t="str">
        <f t="shared" si="8"/>
        <v>United States</v>
      </c>
    </row>
    <row r="2876">
      <c r="A2876" s="8" t="s">
        <v>2045</v>
      </c>
      <c r="B2876" s="5" t="s">
        <v>2044</v>
      </c>
      <c r="C2876" s="5" t="s">
        <v>1985</v>
      </c>
      <c r="D2876" s="6" t="s">
        <v>13</v>
      </c>
      <c r="E2876" s="5" t="s">
        <v>1908</v>
      </c>
      <c r="F2876" s="5" t="s">
        <v>213</v>
      </c>
      <c r="G2876" s="5" t="s">
        <v>485</v>
      </c>
      <c r="H2876" s="5" t="s">
        <v>44</v>
      </c>
      <c r="I2876" s="5" t="s">
        <v>18</v>
      </c>
      <c r="J2876" s="9" t="str">
        <f>IFERROR(__xludf.DUMMYFUNCTION("""COMPUTED_VALUE"""),"https://www.google.com/search?newwindow=1&amp;ei=2MT0XrvGGM-vytMP1OyDgAY&amp;q=site%3Alinkedin.com+Alsa+Le+Bailly+Campus+Recruiter+KPMG+US")</f>
        <v>https://www.google.com/search?newwindow=1&amp;ei=2MT0XrvGGM-vytMP1OyDgAY&amp;q=site%3Alinkedin.com+Alsa+Le+Bailly+Campus+Recruiter+KPMG+US</v>
      </c>
      <c r="K2876" s="5" t="str">
        <f t="shared" si="1"/>
        <v>Alsa Le Bailly</v>
      </c>
      <c r="L2876" s="5" t="str">
        <f t="shared" si="2"/>
        <v>Campus Recruiter</v>
      </c>
      <c r="M2876" s="5" t="str">
        <f t="shared" si="3"/>
        <v> </v>
      </c>
      <c r="N2876" s="5" t="str">
        <f t="shared" si="4"/>
        <v>KPMG</v>
      </c>
      <c r="O2876" s="5" t="str">
        <f t="shared" si="5"/>
        <v>4 years 9 months in role and company</v>
      </c>
      <c r="P2876" s="5" t="str">
        <f t="shared" si="6"/>
        <v>San Francisco</v>
      </c>
      <c r="Q2876" s="5" t="str">
        <f t="shared" si="7"/>
        <v>California</v>
      </c>
      <c r="R2876" s="5" t="str">
        <f t="shared" si="8"/>
        <v>United States</v>
      </c>
    </row>
    <row r="2877">
      <c r="A2877" s="8" t="s">
        <v>2048</v>
      </c>
      <c r="B2877" s="5" t="s">
        <v>2046</v>
      </c>
      <c r="C2877" s="5" t="s">
        <v>1945</v>
      </c>
      <c r="D2877" s="6" t="s">
        <v>13</v>
      </c>
      <c r="E2877" s="5" t="s">
        <v>1908</v>
      </c>
      <c r="F2877" s="5" t="s">
        <v>512</v>
      </c>
      <c r="G2877" s="5" t="s">
        <v>2047</v>
      </c>
      <c r="H2877" s="5" t="s">
        <v>44</v>
      </c>
      <c r="I2877" s="5" t="s">
        <v>18</v>
      </c>
      <c r="J2877" s="9" t="str">
        <f>IFERROR(__xludf.DUMMYFUNCTION("""COMPUTED_VALUE"""),"https://www.google.com/search?newwindow=1&amp;ei=2MT0XrvGGM-vytMP1OyDgAY&amp;q=site%3Alinkedin.com+Jennifer+Stoch+Associate+Campus+Recruiter+KPMG+US")</f>
        <v>https://www.google.com/search?newwindow=1&amp;ei=2MT0XrvGGM-vytMP1OyDgAY&amp;q=site%3Alinkedin.com+Jennifer+Stoch+Associate+Campus+Recruiter+KPMG+US</v>
      </c>
      <c r="K2877" s="5" t="str">
        <f t="shared" si="1"/>
        <v>Jennifer Stoch</v>
      </c>
      <c r="L2877" s="5" t="str">
        <f t="shared" si="2"/>
        <v>Associate Campus Recruiter</v>
      </c>
      <c r="M2877" s="5" t="str">
        <f t="shared" si="3"/>
        <v> </v>
      </c>
      <c r="N2877" s="5" t="str">
        <f t="shared" si="4"/>
        <v>KPMG</v>
      </c>
      <c r="O2877" s="5" t="str">
        <f t="shared" si="5"/>
        <v>1 year 5 months in role and company</v>
      </c>
      <c r="P2877" s="5" t="str">
        <f t="shared" si="6"/>
        <v>San Francisco</v>
      </c>
      <c r="Q2877" s="5" t="str">
        <f t="shared" si="7"/>
        <v>California</v>
      </c>
      <c r="R2877" s="5" t="str">
        <f t="shared" si="8"/>
        <v>United States</v>
      </c>
    </row>
    <row r="2878">
      <c r="A2878" s="7" t="s">
        <v>2050</v>
      </c>
      <c r="B2878" s="5" t="s">
        <v>2049</v>
      </c>
      <c r="C2878" s="5" t="s">
        <v>110</v>
      </c>
      <c r="D2878" s="6" t="s">
        <v>13</v>
      </c>
      <c r="E2878" s="5" t="s">
        <v>1908</v>
      </c>
      <c r="F2878" s="5" t="s">
        <v>712</v>
      </c>
      <c r="G2878" s="5" t="s">
        <v>2047</v>
      </c>
      <c r="H2878" s="5" t="s">
        <v>44</v>
      </c>
      <c r="I2878" s="5" t="s">
        <v>18</v>
      </c>
      <c r="J2878" s="9" t="str">
        <f>IFERROR(__xludf.DUMMYFUNCTION("""COMPUTED_VALUE"""),"https://www.google.com/search?newwindow=1&amp;ei=2MT0XrvGGM-vytMP1OyDgAY&amp;q=site%3Alinkedin.com+Avery+Ching+Senior+Associate+-+Campus+Recruiter+KPMG+US")</f>
        <v>https://www.google.com/search?newwindow=1&amp;ei=2MT0XrvGGM-vytMP1OyDgAY&amp;q=site%3Alinkedin.com+Avery+Ching+Senior+Associate+-+Campus+Recruiter+KPMG+US</v>
      </c>
      <c r="K2878" s="5" t="str">
        <f t="shared" si="1"/>
        <v>Avery Ching</v>
      </c>
      <c r="L2878" s="5" t="str">
        <f t="shared" si="2"/>
        <v>Senior Associate - Campus Recruiter</v>
      </c>
      <c r="M2878" s="5" t="str">
        <f t="shared" si="3"/>
        <v> </v>
      </c>
      <c r="N2878" s="5" t="str">
        <f t="shared" si="4"/>
        <v>KPMG</v>
      </c>
      <c r="O2878" s="5" t="str">
        <f t="shared" si="5"/>
        <v>2 years 3 months in role</v>
      </c>
      <c r="P2878" s="5" t="str">
        <f t="shared" si="6"/>
        <v>Santa Clara</v>
      </c>
      <c r="Q2878" s="5" t="str">
        <f t="shared" si="7"/>
        <v>California</v>
      </c>
      <c r="R2878" s="5" t="str">
        <f t="shared" si="8"/>
        <v>United States</v>
      </c>
    </row>
    <row r="2879">
      <c r="A2879" s="7" t="s">
        <v>2053</v>
      </c>
      <c r="B2879" s="5" t="s">
        <v>2051</v>
      </c>
      <c r="C2879" s="5" t="s">
        <v>2052</v>
      </c>
      <c r="D2879" s="6" t="s">
        <v>13</v>
      </c>
      <c r="E2879" s="5" t="s">
        <v>1908</v>
      </c>
      <c r="F2879" s="5" t="s">
        <v>512</v>
      </c>
      <c r="G2879" s="5" t="s">
        <v>311</v>
      </c>
      <c r="H2879" s="5" t="s">
        <v>102</v>
      </c>
      <c r="I2879" s="5" t="s">
        <v>18</v>
      </c>
      <c r="J2879" s="9" t="str">
        <f>IFERROR(__xludf.DUMMYFUNCTION("""COMPUTED_VALUE"""),"https://www.google.com/search?newwindow=1&amp;ei=2MT0XrvGGM-vytMP1OyDgAY&amp;q=site%3Alinkedin.com+Naomi+Kim+Campus+Recruiting+Manager+KPMG+US")</f>
        <v>https://www.google.com/search?newwindow=1&amp;ei=2MT0XrvGGM-vytMP1OyDgAY&amp;q=site%3Alinkedin.com+Naomi+Kim+Campus+Recruiting+Manager+KPMG+US</v>
      </c>
      <c r="K2879" s="5" t="str">
        <f t="shared" si="1"/>
        <v>Naomi Kim</v>
      </c>
      <c r="L2879" s="5" t="str">
        <f t="shared" si="2"/>
        <v>Campus Recruiting Manager</v>
      </c>
      <c r="M2879" s="5" t="str">
        <f t="shared" si="3"/>
        <v> </v>
      </c>
      <c r="N2879" s="5" t="str">
        <f t="shared" si="4"/>
        <v>KPMG</v>
      </c>
      <c r="O2879" s="5" t="str">
        <f t="shared" si="5"/>
        <v>1 year 10 months in role</v>
      </c>
      <c r="P2879" s="5" t="str">
        <f t="shared" si="6"/>
        <v>Seattle</v>
      </c>
      <c r="Q2879" s="5" t="str">
        <f t="shared" si="7"/>
        <v>Washington</v>
      </c>
      <c r="R2879" s="5" t="str">
        <f t="shared" si="8"/>
        <v>United States</v>
      </c>
    </row>
    <row r="2880">
      <c r="A2880" s="7" t="s">
        <v>2055</v>
      </c>
      <c r="B2880" s="5" t="s">
        <v>2054</v>
      </c>
      <c r="C2880" s="5" t="s">
        <v>110</v>
      </c>
      <c r="D2880" s="6" t="s">
        <v>13</v>
      </c>
      <c r="E2880" s="5" t="s">
        <v>1908</v>
      </c>
      <c r="F2880" s="5" t="s">
        <v>15</v>
      </c>
      <c r="G2880" s="5" t="s">
        <v>311</v>
      </c>
      <c r="H2880" s="5" t="s">
        <v>102</v>
      </c>
      <c r="I2880" s="5" t="s">
        <v>18</v>
      </c>
      <c r="J2880" s="9" t="str">
        <f>IFERROR(__xludf.DUMMYFUNCTION("""COMPUTED_VALUE"""),"https://www.google.com/search?newwindow=1&amp;ei=2MT0XrvGGM-vytMP1OyDgAY&amp;q=site%3Alinkedin.com+Solveig+Haugen+Campus+Recruiter+KPMG+US")</f>
        <v>https://www.google.com/search?newwindow=1&amp;ei=2MT0XrvGGM-vytMP1OyDgAY&amp;q=site%3Alinkedin.com+Solveig+Haugen+Campus+Recruiter+KPMG+US</v>
      </c>
      <c r="K2880" s="5" t="str">
        <f t="shared" si="1"/>
        <v>Solveig Haugen</v>
      </c>
      <c r="L2880" s="5" t="str">
        <f t="shared" si="2"/>
        <v>Campus Recruiter</v>
      </c>
      <c r="M2880" s="5" t="str">
        <f t="shared" si="3"/>
        <v> </v>
      </c>
      <c r="N2880" s="5" t="str">
        <f t="shared" si="4"/>
        <v>KPMG</v>
      </c>
      <c r="O2880" s="5" t="str">
        <f t="shared" si="5"/>
        <v>1 year 9 months in role and company</v>
      </c>
      <c r="P2880" s="5" t="str">
        <f t="shared" si="6"/>
        <v>Seattle</v>
      </c>
      <c r="Q2880" s="5" t="str">
        <f t="shared" si="7"/>
        <v>Washington</v>
      </c>
      <c r="R2880" s="5" t="str">
        <f t="shared" si="8"/>
        <v>United States</v>
      </c>
    </row>
    <row r="2881">
      <c r="A2881" s="8" t="s">
        <v>2058</v>
      </c>
      <c r="B2881" s="5" t="s">
        <v>2056</v>
      </c>
      <c r="C2881" s="5" t="s">
        <v>2057</v>
      </c>
      <c r="D2881" s="6" t="s">
        <v>13</v>
      </c>
      <c r="E2881" s="5" t="s">
        <v>1908</v>
      </c>
      <c r="F2881" s="5" t="s">
        <v>136</v>
      </c>
      <c r="G2881" s="5" t="s">
        <v>311</v>
      </c>
      <c r="H2881" s="5" t="s">
        <v>102</v>
      </c>
      <c r="I2881" s="5" t="s">
        <v>18</v>
      </c>
      <c r="J2881" s="9" t="str">
        <f>IFERROR(__xludf.DUMMYFUNCTION("""COMPUTED_VALUE"""),"https://www.google.com/search?newwindow=1&amp;ei=2MT0XrvGGM-vytMP1OyDgAY&amp;q=site%3Alinkedin.com+Sydney+Leischner+Manager,+Campus+Recruiting+KPMG+US")</f>
        <v>https://www.google.com/search?newwindow=1&amp;ei=2MT0XrvGGM-vytMP1OyDgAY&amp;q=site%3Alinkedin.com+Sydney+Leischner+Manager,+Campus+Recruiting+KPMG+US</v>
      </c>
      <c r="K2881" s="5" t="str">
        <f t="shared" si="1"/>
        <v>Sydney Leischner</v>
      </c>
      <c r="L2881" s="5" t="str">
        <f t="shared" si="2"/>
        <v>Manager, Campus Recruiting</v>
      </c>
      <c r="M2881" s="5" t="str">
        <f t="shared" si="3"/>
        <v> </v>
      </c>
      <c r="N2881" s="5" t="str">
        <f t="shared" si="4"/>
        <v>KPMG</v>
      </c>
      <c r="O2881" s="5" t="str">
        <f t="shared" si="5"/>
        <v>9 months in role</v>
      </c>
      <c r="P2881" s="5" t="str">
        <f t="shared" si="6"/>
        <v>Short Hills</v>
      </c>
      <c r="Q2881" s="5" t="str">
        <f t="shared" si="7"/>
        <v>New Jersey</v>
      </c>
      <c r="R2881" s="5" t="str">
        <f t="shared" si="8"/>
        <v>United States</v>
      </c>
    </row>
    <row r="2882">
      <c r="A2882" s="7" t="s">
        <v>2061</v>
      </c>
      <c r="B2882" s="5" t="s">
        <v>2059</v>
      </c>
      <c r="C2882" s="5" t="s">
        <v>2060</v>
      </c>
      <c r="D2882" s="6" t="s">
        <v>13</v>
      </c>
      <c r="E2882" s="5" t="s">
        <v>1908</v>
      </c>
      <c r="F2882" s="5" t="s">
        <v>182</v>
      </c>
      <c r="G2882" s="5" t="s">
        <v>311</v>
      </c>
      <c r="H2882" s="5" t="s">
        <v>102</v>
      </c>
      <c r="I2882" s="5" t="s">
        <v>18</v>
      </c>
      <c r="J2882" s="9" t="str">
        <f>IFERROR(__xludf.DUMMYFUNCTION("""COMPUTED_VALUE"""),"https://www.google.com/search?newwindow=1&amp;ei=2MT0XrvGGM-vytMP1OyDgAY&amp;q=site%3Alinkedin.com+Torie+Prothro+Campus+Recruiter+KPMG+US")</f>
        <v>https://www.google.com/search?newwindow=1&amp;ei=2MT0XrvGGM-vytMP1OyDgAY&amp;q=site%3Alinkedin.com+Torie+Prothro+Campus+Recruiter+KPMG+US</v>
      </c>
      <c r="K2882" s="5" t="str">
        <f t="shared" si="1"/>
        <v>Torie Prothro</v>
      </c>
      <c r="L2882" s="5" t="str">
        <f t="shared" si="2"/>
        <v>Campus Recruiter</v>
      </c>
      <c r="M2882" s="5" t="str">
        <f t="shared" si="3"/>
        <v> </v>
      </c>
      <c r="N2882" s="5" t="str">
        <f t="shared" si="4"/>
        <v>KPMG</v>
      </c>
      <c r="O2882" s="5" t="str">
        <f t="shared" si="5"/>
        <v>5 years 11 months in role</v>
      </c>
      <c r="P2882" s="5" t="str">
        <f t="shared" si="6"/>
        <v>Shreveport</v>
      </c>
      <c r="Q2882" s="5" t="str">
        <f t="shared" si="7"/>
        <v>Louisiana</v>
      </c>
      <c r="R2882" s="5" t="str">
        <f t="shared" si="8"/>
        <v>United States</v>
      </c>
    </row>
    <row r="2883">
      <c r="A2883" s="7" t="s">
        <v>2063</v>
      </c>
      <c r="B2883" s="5" t="s">
        <v>2062</v>
      </c>
      <c r="C2883" s="5" t="s">
        <v>110</v>
      </c>
      <c r="D2883" s="6" t="s">
        <v>13</v>
      </c>
      <c r="E2883" s="5" t="s">
        <v>1908</v>
      </c>
      <c r="F2883" s="5" t="s">
        <v>418</v>
      </c>
      <c r="G2883" s="5" t="s">
        <v>311</v>
      </c>
      <c r="H2883" s="5" t="s">
        <v>102</v>
      </c>
      <c r="I2883" s="5" t="s">
        <v>18</v>
      </c>
      <c r="J2883" s="9" t="str">
        <f>IFERROR(__xludf.DUMMYFUNCTION("""COMPUTED_VALUE"""),"https://www.google.com/search?newwindow=1&amp;ei=2MT0XrvGGM-vytMP1OyDgAY&amp;q=site%3Alinkedin.com+Marisa+DiRocco+Manager,+Campus+Recruiting+KPMG+US")</f>
        <v>https://www.google.com/search?newwindow=1&amp;ei=2MT0XrvGGM-vytMP1OyDgAY&amp;q=site%3Alinkedin.com+Marisa+DiRocco+Manager,+Campus+Recruiting+KPMG+US</v>
      </c>
      <c r="K2883" s="5" t="str">
        <f t="shared" si="1"/>
        <v>Marisa DiRocco</v>
      </c>
      <c r="L2883" s="5" t="str">
        <f t="shared" si="2"/>
        <v>Manager, Campus Recruiting</v>
      </c>
      <c r="M2883" s="5" t="str">
        <f t="shared" si="3"/>
        <v> </v>
      </c>
      <c r="N2883" s="5" t="str">
        <f t="shared" si="4"/>
        <v>KPMG</v>
      </c>
      <c r="O2883" s="5" t="str">
        <f t="shared" si="5"/>
        <v>3 years 6 months in role</v>
      </c>
      <c r="P2883" s="5" t="str">
        <f t="shared" si="6"/>
        <v>Smithtown</v>
      </c>
      <c r="Q2883" s="5" t="str">
        <f t="shared" si="7"/>
        <v>New York</v>
      </c>
      <c r="R2883" s="5" t="str">
        <f t="shared" si="8"/>
        <v>United States</v>
      </c>
    </row>
    <row r="2884">
      <c r="A2884" s="8" t="s">
        <v>2066</v>
      </c>
      <c r="B2884" s="5" t="s">
        <v>2064</v>
      </c>
      <c r="C2884" s="5" t="s">
        <v>2065</v>
      </c>
      <c r="D2884" s="6" t="s">
        <v>13</v>
      </c>
      <c r="E2884" s="5" t="s">
        <v>1908</v>
      </c>
      <c r="F2884" s="5" t="s">
        <v>207</v>
      </c>
      <c r="G2884" s="5" t="s">
        <v>311</v>
      </c>
      <c r="H2884" s="5" t="s">
        <v>102</v>
      </c>
      <c r="I2884" s="5" t="s">
        <v>18</v>
      </c>
      <c r="J2884" s="9" t="str">
        <f>IFERROR(__xludf.DUMMYFUNCTION("""COMPUTED_VALUE"""),"https://www.google.com/search?newwindow=1&amp;ei=2MT0XrvGGM-vytMP1OyDgAY&amp;q=site%3Alinkedin.com+Brianna+Peipert+Associate+Campus+Recruiter+KPMG+US")</f>
        <v>https://www.google.com/search?newwindow=1&amp;ei=2MT0XrvGGM-vytMP1OyDgAY&amp;q=site%3Alinkedin.com+Brianna+Peipert+Associate+Campus+Recruiter+KPMG+US</v>
      </c>
      <c r="K2884" s="5" t="str">
        <f t="shared" si="1"/>
        <v>Brianna Peipert</v>
      </c>
      <c r="L2884" s="5" t="str">
        <f t="shared" si="2"/>
        <v>Associate Campus Recruiter</v>
      </c>
      <c r="M2884" s="5" t="str">
        <f t="shared" si="3"/>
        <v> </v>
      </c>
      <c r="N2884" s="5" t="str">
        <f t="shared" si="4"/>
        <v>KPMG</v>
      </c>
      <c r="O2884" s="5" t="str">
        <f t="shared" si="5"/>
        <v>10 months in role and company</v>
      </c>
      <c r="P2884" s="5" t="str">
        <f t="shared" si="6"/>
        <v>Tampa</v>
      </c>
      <c r="Q2884" s="5" t="str">
        <f t="shared" si="7"/>
        <v>Florida</v>
      </c>
      <c r="R2884" s="5" t="str">
        <f t="shared" si="8"/>
        <v>United States</v>
      </c>
    </row>
    <row r="2885">
      <c r="A2885" s="7" t="s">
        <v>2069</v>
      </c>
      <c r="B2885" s="5" t="s">
        <v>2067</v>
      </c>
      <c r="C2885" s="5" t="s">
        <v>2068</v>
      </c>
      <c r="D2885" s="6" t="s">
        <v>13</v>
      </c>
      <c r="E2885" s="5" t="s">
        <v>1908</v>
      </c>
      <c r="F2885" s="5" t="s">
        <v>399</v>
      </c>
      <c r="G2885" s="5" t="s">
        <v>311</v>
      </c>
      <c r="H2885" s="5" t="s">
        <v>102</v>
      </c>
      <c r="I2885" s="5" t="s">
        <v>18</v>
      </c>
      <c r="J2885" s="9" t="str">
        <f>IFERROR(__xludf.DUMMYFUNCTION("""COMPUTED_VALUE"""),"https://www.google.com/search?newwindow=1&amp;ei=2MT0XrvGGM-vytMP1OyDgAY&amp;q=site%3Alinkedin.com+Renee+T.+Campus+Recruiting+Manager+-+Advisory+&amp;+Tax+Primary+Recruiter+KPMG+US")</f>
        <v>https://www.google.com/search?newwindow=1&amp;ei=2MT0XrvGGM-vytMP1OyDgAY&amp;q=site%3Alinkedin.com+Renee+T.+Campus+Recruiting+Manager+-+Advisory+&amp;+Tax+Primary+Recruiter+KPMG+US</v>
      </c>
      <c r="K2885" s="5" t="str">
        <f t="shared" si="1"/>
        <v>Renee T.</v>
      </c>
      <c r="L2885" s="5" t="str">
        <f t="shared" si="2"/>
        <v>Campus Recruiting Manager - Advisory &amp; Tax Primary Recruiter</v>
      </c>
      <c r="M2885" s="5" t="str">
        <f t="shared" si="3"/>
        <v> </v>
      </c>
      <c r="N2885" s="5" t="str">
        <f t="shared" si="4"/>
        <v>KPMG</v>
      </c>
      <c r="O2885" s="5" t="str">
        <f t="shared" si="5"/>
        <v>4 years 1 month in role</v>
      </c>
      <c r="P2885" s="5" t="str">
        <f t="shared" si="6"/>
        <v>Washington</v>
      </c>
      <c r="Q2885" s="5" t="str">
        <f t="shared" si="7"/>
        <v>District of Columbia</v>
      </c>
      <c r="R2885" s="5" t="str">
        <f t="shared" si="8"/>
        <v>United States</v>
      </c>
    </row>
    <row r="2886">
      <c r="A2886" s="8" t="s">
        <v>2071</v>
      </c>
      <c r="B2886" s="5" t="s">
        <v>2070</v>
      </c>
      <c r="C2886" s="5" t="s">
        <v>2057</v>
      </c>
      <c r="D2886" s="6" t="s">
        <v>13</v>
      </c>
      <c r="E2886" s="5" t="s">
        <v>1908</v>
      </c>
      <c r="F2886" s="5" t="s">
        <v>651</v>
      </c>
      <c r="G2886" s="5" t="s">
        <v>311</v>
      </c>
      <c r="H2886" s="5" t="s">
        <v>102</v>
      </c>
      <c r="I2886" s="5" t="s">
        <v>18</v>
      </c>
      <c r="J2886" s="9" t="str">
        <f>IFERROR(__xludf.DUMMYFUNCTION("""COMPUTED_VALUE"""),"https://www.google.com/search?newwindow=1&amp;ei=2MT0XrvGGM-vytMP1OyDgAY&amp;q=site%3Alinkedin.com+Erin+Riley+Campus+Recruiting+Manager+KPMG,+LLP")</f>
        <v>https://www.google.com/search?newwindow=1&amp;ei=2MT0XrvGGM-vytMP1OyDgAY&amp;q=site%3Alinkedin.com+Erin+Riley+Campus+Recruiting+Manager+KPMG,+LLP</v>
      </c>
      <c r="K2886" s="5" t="str">
        <f t="shared" si="1"/>
        <v>Erin Riley</v>
      </c>
      <c r="L2886" s="5" t="str">
        <f t="shared" si="2"/>
        <v>Campus Recruiting Manager</v>
      </c>
      <c r="M2886" s="5" t="str">
        <f t="shared" si="3"/>
        <v> </v>
      </c>
      <c r="N2886" s="5" t="str">
        <f t="shared" si="4"/>
        <v>KPMG</v>
      </c>
      <c r="O2886" s="5" t="str">
        <f t="shared" si="5"/>
        <v>9 years 6 months in role and company</v>
      </c>
      <c r="P2886" s="5" t="str">
        <f t="shared" si="6"/>
        <v>San Francisco</v>
      </c>
      <c r="Q2886" s="5" t="str">
        <f t="shared" si="7"/>
        <v>California</v>
      </c>
      <c r="R2886" s="5" t="str">
        <f t="shared" si="8"/>
        <v>United States</v>
      </c>
    </row>
    <row r="2887">
      <c r="A2887" s="7" t="s">
        <v>2073</v>
      </c>
      <c r="B2887" s="5" t="s">
        <v>2072</v>
      </c>
      <c r="C2887" s="5" t="s">
        <v>110</v>
      </c>
      <c r="D2887" s="6" t="s">
        <v>13</v>
      </c>
      <c r="E2887" s="5" t="s">
        <v>1908</v>
      </c>
      <c r="F2887" s="5" t="s">
        <v>331</v>
      </c>
      <c r="G2887" s="5" t="s">
        <v>311</v>
      </c>
      <c r="H2887" s="5" t="s">
        <v>102</v>
      </c>
      <c r="I2887" s="5" t="s">
        <v>18</v>
      </c>
      <c r="J2887" s="9" t="str">
        <f>IFERROR(__xludf.DUMMYFUNCTION("""COMPUTED_VALUE"""),"https://www.google.com/search?newwindow=1&amp;ei=2MT0XrvGGM-vytMP1OyDgAY&amp;q=site%3Alinkedin.com+Meghan+Hughes+Ostrowski+Manager,+Campus+Recruiting,+Structured+Development+Programs+Liberty+Mutual+Insurance")</f>
        <v>https://www.google.com/search?newwindow=1&amp;ei=2MT0XrvGGM-vytMP1OyDgAY&amp;q=site%3Alinkedin.com+Meghan+Hughes+Ostrowski+Manager,+Campus+Recruiting,+Structured+Development+Programs+Liberty+Mutual+Insurance</v>
      </c>
      <c r="K2887" s="5" t="str">
        <f t="shared" si="1"/>
        <v>Meghan Hughes Ostrowski</v>
      </c>
      <c r="L2887" s="5" t="str">
        <f t="shared" si="2"/>
        <v>Manager, Campus Recruiting, Structured Development Programs</v>
      </c>
      <c r="M2887" s="5" t="str">
        <f t="shared" si="3"/>
        <v> </v>
      </c>
      <c r="N2887" s="5" t="str">
        <f t="shared" si="4"/>
        <v>Liberty Mutual Insurance</v>
      </c>
      <c r="O2887" s="5" t="str">
        <f t="shared" si="5"/>
        <v>1 year 4 months in role</v>
      </c>
      <c r="P2887" s="5" t="str">
        <f t="shared" si="6"/>
        <v>Boston</v>
      </c>
      <c r="Q2887" s="5" t="str">
        <f t="shared" si="7"/>
        <v>Massachusetts</v>
      </c>
      <c r="R2887" s="5" t="str">
        <f t="shared" si="8"/>
        <v>United States</v>
      </c>
    </row>
    <row r="2888">
      <c r="A2888" s="8" t="s">
        <v>2076</v>
      </c>
      <c r="B2888" s="5" t="s">
        <v>2074</v>
      </c>
      <c r="C2888" s="5" t="s">
        <v>2075</v>
      </c>
      <c r="D2888" s="6" t="s">
        <v>13</v>
      </c>
      <c r="E2888" s="5" t="s">
        <v>1908</v>
      </c>
      <c r="F2888" s="5" t="s">
        <v>446</v>
      </c>
      <c r="G2888" s="5" t="s">
        <v>311</v>
      </c>
      <c r="H2888" s="5" t="s">
        <v>102</v>
      </c>
      <c r="I2888" s="5" t="s">
        <v>18</v>
      </c>
      <c r="J2888" s="9" t="str">
        <f>IFERROR(__xludf.DUMMYFUNCTION("""COMPUTED_VALUE"""),"https://www.google.com/search?newwindow=1&amp;ei=2MT0XrvGGM-vytMP1OyDgAY&amp;q=site%3Alinkedin.com+Kelly+Scott+Diversity+and+Inclusion+Program+Manager,+Campus+Recruiting+Liberty+Mutual+Insurance")</f>
        <v>https://www.google.com/search?newwindow=1&amp;ei=2MT0XrvGGM-vytMP1OyDgAY&amp;q=site%3Alinkedin.com+Kelly+Scott+Diversity+and+Inclusion+Program+Manager,+Campus+Recruiting+Liberty+Mutual+Insurance</v>
      </c>
      <c r="K2888" s="5" t="str">
        <f t="shared" si="1"/>
        <v>Kelly Scott</v>
      </c>
      <c r="L2888" s="5" t="str">
        <f t="shared" si="2"/>
        <v>Diversity and Inclusion Program Manager, Campus Recruiting</v>
      </c>
      <c r="M2888" s="5" t="str">
        <f t="shared" si="3"/>
        <v> </v>
      </c>
      <c r="N2888" s="5" t="str">
        <f t="shared" si="4"/>
        <v>Liberty Mutual Insurance</v>
      </c>
      <c r="O2888" s="5" t="str">
        <f t="shared" si="5"/>
        <v>1 year 4 months in role</v>
      </c>
      <c r="P2888" s="5" t="str">
        <f t="shared" si="6"/>
        <v>Boston</v>
      </c>
      <c r="Q2888" s="5" t="str">
        <f t="shared" si="7"/>
        <v>Massachusetts</v>
      </c>
      <c r="R2888" s="5" t="str">
        <f t="shared" si="8"/>
        <v>United States</v>
      </c>
    </row>
    <row r="2889">
      <c r="A2889" s="7" t="s">
        <v>2078</v>
      </c>
      <c r="B2889" s="5" t="s">
        <v>2077</v>
      </c>
      <c r="C2889" s="5" t="s">
        <v>110</v>
      </c>
      <c r="D2889" s="6" t="s">
        <v>13</v>
      </c>
      <c r="E2889" s="5" t="s">
        <v>1908</v>
      </c>
      <c r="F2889" s="5" t="s">
        <v>179</v>
      </c>
      <c r="G2889" s="5" t="s">
        <v>468</v>
      </c>
      <c r="H2889" s="5" t="s">
        <v>44</v>
      </c>
      <c r="I2889" s="5" t="s">
        <v>18</v>
      </c>
      <c r="J2889" s="9" t="str">
        <f>IFERROR(__xludf.DUMMYFUNCTION("""COMPUTED_VALUE"""),"https://www.google.com/search?newwindow=1&amp;ei=2MT0XrvGGM-vytMP1OyDgAY&amp;q=site%3Alinkedin.com+Kimberly+Myers+Campus+Recruiter+Liberty+Mutual+Insurance")</f>
        <v>https://www.google.com/search?newwindow=1&amp;ei=2MT0XrvGGM-vytMP1OyDgAY&amp;q=site%3Alinkedin.com+Kimberly+Myers+Campus+Recruiter+Liberty+Mutual+Insurance</v>
      </c>
      <c r="K2889" s="5" t="str">
        <f t="shared" si="1"/>
        <v>Kimberly Myers</v>
      </c>
      <c r="L2889" s="5" t="str">
        <f t="shared" si="2"/>
        <v>Campus Recruiter</v>
      </c>
      <c r="M2889" s="5" t="str">
        <f t="shared" si="3"/>
        <v> </v>
      </c>
      <c r="N2889" s="5" t="str">
        <f t="shared" si="4"/>
        <v>Liberty Mutual Insurance</v>
      </c>
      <c r="O2889" s="5" t="str">
        <f t="shared" si="5"/>
        <v>10 months in role and company</v>
      </c>
      <c r="P2889" s="5" t="str">
        <f t="shared" si="6"/>
        <v>Boston</v>
      </c>
      <c r="Q2889" s="5" t="str">
        <f t="shared" si="7"/>
        <v>Massachusetts</v>
      </c>
      <c r="R2889" s="5" t="str">
        <f t="shared" si="8"/>
        <v>United States</v>
      </c>
    </row>
    <row r="2890">
      <c r="A2890" s="7" t="s">
        <v>2080</v>
      </c>
      <c r="B2890" s="5" t="s">
        <v>2079</v>
      </c>
      <c r="C2890" s="5" t="s">
        <v>110</v>
      </c>
      <c r="D2890" s="6" t="s">
        <v>13</v>
      </c>
      <c r="E2890" s="5" t="s">
        <v>1908</v>
      </c>
      <c r="F2890" s="5" t="s">
        <v>661</v>
      </c>
      <c r="G2890" s="5" t="s">
        <v>468</v>
      </c>
      <c r="H2890" s="5" t="s">
        <v>44</v>
      </c>
      <c r="I2890" s="5" t="s">
        <v>18</v>
      </c>
      <c r="J2890" s="9" t="str">
        <f>IFERROR(__xludf.DUMMYFUNCTION("""COMPUTED_VALUE"""),"https://www.google.com/search?newwindow=1&amp;ei=2MT0XrvGGM-vytMP1OyDgAY&amp;q=site%3Alinkedin.com+Paige+Andrews+(she/her)+Senior+Campus+Recruiter,+Finance,+Accounting+&amp;+Investments+Liberty+Mutual+Insurance")</f>
        <v>https://www.google.com/search?newwindow=1&amp;ei=2MT0XrvGGM-vytMP1OyDgAY&amp;q=site%3Alinkedin.com+Paige+Andrews+(she/her)+Senior+Campus+Recruiter,+Finance,+Accounting+&amp;+Investments+Liberty+Mutual+Insurance</v>
      </c>
      <c r="K2890" s="5" t="str">
        <f t="shared" si="1"/>
        <v>Paige Andrews (she/her)</v>
      </c>
      <c r="L2890" s="5" t="str">
        <f t="shared" si="2"/>
        <v>Senior Campus Recruiter, Finance, Accounting &amp; Investments</v>
      </c>
      <c r="M2890" s="5" t="str">
        <f t="shared" si="3"/>
        <v> </v>
      </c>
      <c r="N2890" s="5" t="str">
        <f t="shared" si="4"/>
        <v>Liberty Mutual Insurance</v>
      </c>
      <c r="O2890" s="5" t="str">
        <f t="shared" si="5"/>
        <v>2 years 5 months in role</v>
      </c>
      <c r="P2890" s="5" t="str">
        <f t="shared" si="6"/>
        <v>Boston</v>
      </c>
      <c r="Q2890" s="5" t="str">
        <f t="shared" si="7"/>
        <v>Massachusetts</v>
      </c>
      <c r="R2890" s="5" t="str">
        <f t="shared" si="8"/>
        <v>United States</v>
      </c>
    </row>
    <row r="2891">
      <c r="A2891" s="7" t="s">
        <v>2082</v>
      </c>
      <c r="B2891" s="5" t="s">
        <v>2081</v>
      </c>
      <c r="C2891" s="5" t="s">
        <v>110</v>
      </c>
      <c r="D2891" s="6" t="s">
        <v>13</v>
      </c>
      <c r="E2891" s="5" t="s">
        <v>1908</v>
      </c>
      <c r="F2891" s="5" t="s">
        <v>1321</v>
      </c>
      <c r="G2891" s="5" t="s">
        <v>1135</v>
      </c>
      <c r="H2891" s="5" t="s">
        <v>44</v>
      </c>
      <c r="I2891" s="5" t="s">
        <v>18</v>
      </c>
      <c r="J2891" s="9" t="str">
        <f>IFERROR(__xludf.DUMMYFUNCTION("""COMPUTED_VALUE"""),"https://www.google.com/search?newwindow=1&amp;ei=2MT0XrvGGM-vytMP1OyDgAY&amp;q=site%3Alinkedin.com+Lauren+Fitzgibbon+Senior+Campus+Recruiter+Liberty+Mutual+Insurance")</f>
        <v>https://www.google.com/search?newwindow=1&amp;ei=2MT0XrvGGM-vytMP1OyDgAY&amp;q=site%3Alinkedin.com+Lauren+Fitzgibbon+Senior+Campus+Recruiter+Liberty+Mutual+Insurance</v>
      </c>
      <c r="K2891" s="5" t="str">
        <f t="shared" si="1"/>
        <v>Lauren Fitzgibbon</v>
      </c>
      <c r="L2891" s="5" t="str">
        <f t="shared" si="2"/>
        <v>Senior Campus Recruiter</v>
      </c>
      <c r="M2891" s="5" t="str">
        <f t="shared" si="3"/>
        <v> </v>
      </c>
      <c r="N2891" s="5" t="str">
        <f t="shared" si="4"/>
        <v>Liberty Mutual Insurance</v>
      </c>
      <c r="O2891" s="5" t="str">
        <f t="shared" si="5"/>
        <v>4 years 9 months in role</v>
      </c>
      <c r="P2891" s="5" t="str">
        <f t="shared" si="6"/>
        <v>Boston</v>
      </c>
      <c r="Q2891" s="5" t="str">
        <f t="shared" si="7"/>
        <v>Massachusetts</v>
      </c>
      <c r="R2891" s="5" t="str">
        <f t="shared" si="8"/>
        <v>United States</v>
      </c>
    </row>
    <row r="2892">
      <c r="A2892" s="7" t="s">
        <v>2087</v>
      </c>
      <c r="B2892" s="5" t="s">
        <v>2083</v>
      </c>
      <c r="C2892" s="5" t="s">
        <v>2084</v>
      </c>
      <c r="D2892" s="6" t="s">
        <v>13</v>
      </c>
      <c r="E2892" s="5" t="s">
        <v>2085</v>
      </c>
      <c r="F2892" s="5" t="s">
        <v>579</v>
      </c>
      <c r="G2892" s="5" t="s">
        <v>2086</v>
      </c>
      <c r="H2892" s="5" t="s">
        <v>91</v>
      </c>
      <c r="I2892" s="5" t="s">
        <v>18</v>
      </c>
      <c r="J2892" s="9" t="str">
        <f>IFERROR(__xludf.DUMMYFUNCTION("""COMPUTED_VALUE"""),"https://www.google.com/search?newwindow=1&amp;ei=2MT0XrvGGM-vytMP1OyDgAY&amp;q=site%3Alinkedin.com+Jessica+Burke+Senior+Campus+Recruiter+Liberty+Mutual+Insurance")</f>
        <v>https://www.google.com/search?newwindow=1&amp;ei=2MT0XrvGGM-vytMP1OyDgAY&amp;q=site%3Alinkedin.com+Jessica+Burke+Senior+Campus+Recruiter+Liberty+Mutual+Insurance</v>
      </c>
      <c r="K2892" s="5" t="str">
        <f t="shared" si="1"/>
        <v>Jessica Burke</v>
      </c>
      <c r="L2892" s="5" t="str">
        <f t="shared" si="2"/>
        <v>Senior Campus Recruiter</v>
      </c>
      <c r="M2892" s="5" t="str">
        <f t="shared" si="3"/>
        <v> </v>
      </c>
      <c r="N2892" s="5" t="str">
        <f t="shared" si="4"/>
        <v>Liberty Mutual Insurance</v>
      </c>
      <c r="O2892" s="5" t="str">
        <f t="shared" si="5"/>
        <v>2 years 4 months in role</v>
      </c>
      <c r="P2892" s="5" t="str">
        <f t="shared" si="6"/>
        <v>Boston</v>
      </c>
      <c r="Q2892" s="5" t="str">
        <f t="shared" si="7"/>
        <v>Massachusetts</v>
      </c>
      <c r="R2892" s="5" t="str">
        <f t="shared" si="8"/>
        <v>United States</v>
      </c>
    </row>
    <row r="2893">
      <c r="A2893" s="7" t="s">
        <v>2090</v>
      </c>
      <c r="B2893" s="5" t="s">
        <v>2088</v>
      </c>
      <c r="C2893" s="5" t="s">
        <v>25</v>
      </c>
      <c r="D2893" s="6" t="s">
        <v>13</v>
      </c>
      <c r="E2893" s="5" t="s">
        <v>2085</v>
      </c>
      <c r="F2893" s="5" t="s">
        <v>2089</v>
      </c>
      <c r="G2893" s="5" t="s">
        <v>2086</v>
      </c>
      <c r="H2893" s="5" t="s">
        <v>91</v>
      </c>
      <c r="I2893" s="5" t="s">
        <v>18</v>
      </c>
      <c r="J2893" s="9" t="str">
        <f>IFERROR(__xludf.DUMMYFUNCTION("""COMPUTED_VALUE"""),"https://www.google.com/search?newwindow=1&amp;ei=2MT0XrvGGM-vytMP1OyDgAY&amp;q=site%3Alinkedin.com+Daniel+McCarthy+Campus+Recruiter+Liberty+Mutual+Insurance")</f>
        <v>https://www.google.com/search?newwindow=1&amp;ei=2MT0XrvGGM-vytMP1OyDgAY&amp;q=site%3Alinkedin.com+Daniel+McCarthy+Campus+Recruiter+Liberty+Mutual+Insurance</v>
      </c>
      <c r="K2893" s="5" t="str">
        <f t="shared" si="1"/>
        <v>Daniel McCarthy</v>
      </c>
      <c r="L2893" s="5" t="str">
        <f t="shared" si="2"/>
        <v>Campus Recruiter</v>
      </c>
      <c r="M2893" s="5" t="str">
        <f t="shared" si="3"/>
        <v> </v>
      </c>
      <c r="N2893" s="5" t="str">
        <f t="shared" si="4"/>
        <v>Liberty Mutual Insurance</v>
      </c>
      <c r="O2893" s="5" t="str">
        <f t="shared" si="5"/>
        <v>1 year 9 months in role and company</v>
      </c>
      <c r="P2893" s="5" t="str">
        <f t="shared" si="6"/>
        <v>Boston</v>
      </c>
      <c r="Q2893" s="5" t="str">
        <f t="shared" si="7"/>
        <v>Massachusetts</v>
      </c>
      <c r="R2893" s="5" t="str">
        <f t="shared" si="8"/>
        <v>United States</v>
      </c>
    </row>
    <row r="2894">
      <c r="A2894" s="7" t="s">
        <v>2093</v>
      </c>
      <c r="B2894" s="5" t="s">
        <v>2091</v>
      </c>
      <c r="C2894" s="5" t="s">
        <v>2092</v>
      </c>
      <c r="D2894" s="6" t="s">
        <v>13</v>
      </c>
      <c r="E2894" s="5" t="s">
        <v>2085</v>
      </c>
      <c r="F2894" s="5" t="s">
        <v>345</v>
      </c>
      <c r="G2894" s="5" t="s">
        <v>90</v>
      </c>
      <c r="H2894" s="5" t="s">
        <v>91</v>
      </c>
      <c r="I2894" s="5" t="s">
        <v>18</v>
      </c>
      <c r="J2894" s="9" t="str">
        <f>IFERROR(__xludf.DUMMYFUNCTION("""COMPUTED_VALUE"""),"https://www.google.com/search?newwindow=1&amp;ei=2MT0XrvGGM-vytMP1OyDgAY&amp;q=site%3Alinkedin.com+MacKenzie+Bachry+(she,+her)+Senior+Campus+Recruiter+Liberty+Mutual+Insurance")</f>
        <v>https://www.google.com/search?newwindow=1&amp;ei=2MT0XrvGGM-vytMP1OyDgAY&amp;q=site%3Alinkedin.com+MacKenzie+Bachry+(she,+her)+Senior+Campus+Recruiter+Liberty+Mutual+Insurance</v>
      </c>
      <c r="K2894" s="5" t="str">
        <f t="shared" si="1"/>
        <v>MacKenzie Bachry (she, her)</v>
      </c>
      <c r="L2894" s="5" t="str">
        <f t="shared" si="2"/>
        <v>Senior Campus Recruiter</v>
      </c>
      <c r="M2894" s="5" t="str">
        <f t="shared" si="3"/>
        <v> </v>
      </c>
      <c r="N2894" s="5" t="str">
        <f t="shared" si="4"/>
        <v>Liberty Mutual Insurance</v>
      </c>
      <c r="O2894" s="5" t="str">
        <f t="shared" si="5"/>
        <v>1 year 3 months in role</v>
      </c>
      <c r="P2894" s="5" t="str">
        <f t="shared" si="6"/>
        <v>Boston</v>
      </c>
      <c r="Q2894" s="5" t="str">
        <f t="shared" si="7"/>
        <v>Massachusetts</v>
      </c>
      <c r="R2894" s="5" t="str">
        <f t="shared" si="8"/>
        <v>United States</v>
      </c>
    </row>
    <row r="2895">
      <c r="A2895" s="7" t="s">
        <v>2097</v>
      </c>
      <c r="B2895" s="5" t="s">
        <v>2094</v>
      </c>
      <c r="C2895" s="5" t="s">
        <v>2095</v>
      </c>
      <c r="D2895" s="6" t="s">
        <v>13</v>
      </c>
      <c r="E2895" s="5" t="s">
        <v>2085</v>
      </c>
      <c r="F2895" s="5" t="s">
        <v>22</v>
      </c>
      <c r="G2895" s="5" t="s">
        <v>2096</v>
      </c>
      <c r="H2895" s="5" t="s">
        <v>91</v>
      </c>
      <c r="I2895" s="5" t="s">
        <v>18</v>
      </c>
      <c r="J2895" s="9" t="str">
        <f>IFERROR(__xludf.DUMMYFUNCTION("""COMPUTED_VALUE"""),"https://www.google.com/search?newwindow=1&amp;ei=2MT0XrvGGM-vytMP1OyDgAY&amp;q=site%3Alinkedin.com+Allison+Campbell+Campus+Recruiter+Intern+Liberty+Mutual+Insurance")</f>
        <v>https://www.google.com/search?newwindow=1&amp;ei=2MT0XrvGGM-vytMP1OyDgAY&amp;q=site%3Alinkedin.com+Allison+Campbell+Campus+Recruiter+Intern+Liberty+Mutual+Insurance</v>
      </c>
      <c r="K2895" s="5" t="str">
        <f t="shared" si="1"/>
        <v>Allison Campbell</v>
      </c>
      <c r="L2895" s="5" t="str">
        <f t="shared" si="2"/>
        <v>Campus Recruiter Intern</v>
      </c>
      <c r="M2895" s="5" t="str">
        <f t="shared" si="3"/>
        <v> </v>
      </c>
      <c r="N2895" s="5" t="str">
        <f t="shared" si="4"/>
        <v>Liberty Mutual Insurance</v>
      </c>
      <c r="O2895" s="5" t="str">
        <f t="shared" si="5"/>
        <v>4 months in role and company</v>
      </c>
      <c r="P2895" s="5" t="str">
        <f t="shared" si="6"/>
        <v>Boston</v>
      </c>
      <c r="Q2895" s="5" t="str">
        <f t="shared" si="7"/>
        <v>Massachusetts</v>
      </c>
      <c r="R2895" s="5" t="str">
        <f t="shared" si="8"/>
        <v>United States</v>
      </c>
    </row>
    <row r="2896">
      <c r="A2896" s="8" t="s">
        <v>2101</v>
      </c>
      <c r="B2896" s="5" t="s">
        <v>2098</v>
      </c>
      <c r="C2896" s="5" t="s">
        <v>110</v>
      </c>
      <c r="D2896" s="6" t="s">
        <v>13</v>
      </c>
      <c r="E2896" s="5" t="s">
        <v>2099</v>
      </c>
      <c r="F2896" s="5" t="s">
        <v>496</v>
      </c>
      <c r="G2896" s="5" t="s">
        <v>2100</v>
      </c>
      <c r="H2896" s="5" t="s">
        <v>264</v>
      </c>
      <c r="I2896" s="5" t="s">
        <v>18</v>
      </c>
      <c r="J2896" s="9" t="str">
        <f>IFERROR(__xludf.DUMMYFUNCTION("""COMPUTED_VALUE"""),"https://www.google.com/search?newwindow=1&amp;ei=2MT0XrvGGM-vytMP1OyDgAY&amp;q=site%3Alinkedin.com+Jacquitta+Pool+Diversity+and+Inclusion+Associate+Program+Manager,+Campus+Recruiting+Liberty+Mutual+Insurance")</f>
        <v>https://www.google.com/search?newwindow=1&amp;ei=2MT0XrvGGM-vytMP1OyDgAY&amp;q=site%3Alinkedin.com+Jacquitta+Pool+Diversity+and+Inclusion+Associate+Program+Manager,+Campus+Recruiting+Liberty+Mutual+Insurance</v>
      </c>
      <c r="K2896" s="5" t="str">
        <f t="shared" si="1"/>
        <v>Jacquitta Pool</v>
      </c>
      <c r="L2896" s="5" t="str">
        <f t="shared" si="2"/>
        <v>Diversity and Inclusion Associate Program Manager, Campus Recruiting</v>
      </c>
      <c r="M2896" s="5" t="str">
        <f t="shared" si="3"/>
        <v> </v>
      </c>
      <c r="N2896" s="5" t="str">
        <f t="shared" si="4"/>
        <v>Liberty Mutual Insurance</v>
      </c>
      <c r="O2896" s="5" t="str">
        <f t="shared" si="5"/>
        <v>2 months in role</v>
      </c>
      <c r="P2896" s="5" t="str">
        <f t="shared" si="6"/>
        <v>Chicago</v>
      </c>
      <c r="Q2896" s="5" t="str">
        <f t="shared" si="7"/>
        <v>Illinois</v>
      </c>
      <c r="R2896" s="5" t="str">
        <f t="shared" si="8"/>
        <v>United States</v>
      </c>
    </row>
    <row r="2897">
      <c r="A2897" s="7" t="s">
        <v>2104</v>
      </c>
      <c r="B2897" s="5" t="s">
        <v>2102</v>
      </c>
      <c r="C2897" s="5" t="s">
        <v>404</v>
      </c>
      <c r="D2897" s="6" t="s">
        <v>13</v>
      </c>
      <c r="E2897" s="5" t="s">
        <v>2099</v>
      </c>
      <c r="F2897" s="5" t="s">
        <v>354</v>
      </c>
      <c r="G2897" s="5" t="s">
        <v>2103</v>
      </c>
      <c r="H2897" s="5" t="s">
        <v>962</v>
      </c>
      <c r="I2897" s="5" t="s">
        <v>18</v>
      </c>
      <c r="J2897" s="9" t="str">
        <f>IFERROR(__xludf.DUMMYFUNCTION("""COMPUTED_VALUE"""),"https://www.google.com/search?newwindow=1&amp;ei=2MT0XrvGGM-vytMP1OyDgAY&amp;q=site%3Alinkedin.com+Monica+Vesprani+Sr.+Campus+Recruiter,+Information+Technology+Liberty+Mutual+Insurance")</f>
        <v>https://www.google.com/search?newwindow=1&amp;ei=2MT0XrvGGM-vytMP1OyDgAY&amp;q=site%3Alinkedin.com+Monica+Vesprani+Sr.+Campus+Recruiter,+Information+Technology+Liberty+Mutual+Insurance</v>
      </c>
      <c r="K2897" s="5" t="str">
        <f t="shared" si="1"/>
        <v>Monica Vesprani</v>
      </c>
      <c r="L2897" s="5" t="str">
        <f t="shared" si="2"/>
        <v>Sr. Campus Recruiter, Information Technology</v>
      </c>
      <c r="M2897" s="5" t="str">
        <f t="shared" si="3"/>
        <v> </v>
      </c>
      <c r="N2897" s="5" t="str">
        <f t="shared" si="4"/>
        <v>Liberty Mutual Insurance</v>
      </c>
      <c r="O2897" s="5" t="str">
        <f t="shared" si="5"/>
        <v>3 years 7 months in role</v>
      </c>
      <c r="P2897" s="5" t="str">
        <f t="shared" si="6"/>
        <v>Cincinnati</v>
      </c>
      <c r="Q2897" s="5" t="str">
        <f t="shared" si="7"/>
        <v>Ohio</v>
      </c>
      <c r="R2897" s="5" t="str">
        <f t="shared" si="8"/>
        <v>United States</v>
      </c>
    </row>
    <row r="2898">
      <c r="A2898" s="7" t="s">
        <v>2106</v>
      </c>
      <c r="B2898" s="5" t="s">
        <v>2105</v>
      </c>
      <c r="C2898" s="5" t="s">
        <v>404</v>
      </c>
      <c r="D2898" s="6" t="s">
        <v>13</v>
      </c>
      <c r="E2898" s="5" t="s">
        <v>2099</v>
      </c>
      <c r="F2898" s="5" t="s">
        <v>136</v>
      </c>
      <c r="G2898" s="5" t="s">
        <v>2100</v>
      </c>
      <c r="H2898" s="5" t="s">
        <v>264</v>
      </c>
      <c r="I2898" s="5" t="s">
        <v>18</v>
      </c>
      <c r="J2898" s="9" t="str">
        <f>IFERROR(__xludf.DUMMYFUNCTION("""COMPUTED_VALUE"""),"https://www.google.com/search?newwindow=1&amp;ei=2MT0XrvGGM-vytMP1OyDgAY&amp;q=site%3Alinkedin.com+Mindy+Holt+Senior+Campus+Recruiter+I+Tech+Liberty+Mutual+Insurance")</f>
        <v>https://www.google.com/search?newwindow=1&amp;ei=2MT0XrvGGM-vytMP1OyDgAY&amp;q=site%3Alinkedin.com+Mindy+Holt+Senior+Campus+Recruiter+I+Tech+Liberty+Mutual+Insurance</v>
      </c>
      <c r="K2898" s="5" t="str">
        <f t="shared" si="1"/>
        <v>Mindy Holt</v>
      </c>
      <c r="L2898" s="5" t="str">
        <f t="shared" si="2"/>
        <v>Senior Campus Recruiter I Tech</v>
      </c>
      <c r="M2898" s="5" t="str">
        <f t="shared" si="3"/>
        <v> </v>
      </c>
      <c r="N2898" s="5" t="str">
        <f t="shared" si="4"/>
        <v>Liberty Mutual Insurance</v>
      </c>
      <c r="O2898" s="5" t="str">
        <f t="shared" si="5"/>
        <v>2 months in role</v>
      </c>
      <c r="P2898" s="5" t="str">
        <f t="shared" si="6"/>
        <v>Dallas</v>
      </c>
      <c r="Q2898" s="5" t="str">
        <f t="shared" si="7"/>
        <v>Texas</v>
      </c>
      <c r="R2898" s="5" t="str">
        <f t="shared" si="8"/>
        <v>United States</v>
      </c>
    </row>
    <row r="2899">
      <c r="A2899" s="7" t="s">
        <v>2108</v>
      </c>
      <c r="B2899" s="5" t="s">
        <v>2107</v>
      </c>
      <c r="C2899" s="5" t="s">
        <v>404</v>
      </c>
      <c r="D2899" s="6" t="s">
        <v>13</v>
      </c>
      <c r="E2899" s="5" t="s">
        <v>2099</v>
      </c>
      <c r="F2899" s="5" t="s">
        <v>100</v>
      </c>
      <c r="G2899" s="5" t="s">
        <v>2100</v>
      </c>
      <c r="H2899" s="5" t="s">
        <v>264</v>
      </c>
      <c r="I2899" s="5" t="s">
        <v>18</v>
      </c>
      <c r="J2899" s="9" t="str">
        <f>IFERROR(__xludf.DUMMYFUNCTION("""COMPUTED_VALUE"""),"https://www.google.com/search?newwindow=1&amp;ei=2MT0XrvGGM-vytMP1OyDgAY&amp;q=site%3Alinkedin.com+Tiffany+Taylor+Campus+Recruiter+Liberty+Mutual+Insurance")</f>
        <v>https://www.google.com/search?newwindow=1&amp;ei=2MT0XrvGGM-vytMP1OyDgAY&amp;q=site%3Alinkedin.com+Tiffany+Taylor+Campus+Recruiter+Liberty+Mutual+Insurance</v>
      </c>
      <c r="K2899" s="5" t="str">
        <f t="shared" si="1"/>
        <v>Tiffany Taylor</v>
      </c>
      <c r="L2899" s="5" t="str">
        <f t="shared" si="2"/>
        <v>Campus Recruiter</v>
      </c>
      <c r="M2899" s="5" t="str">
        <f t="shared" si="3"/>
        <v> </v>
      </c>
      <c r="N2899" s="5" t="str">
        <f t="shared" si="4"/>
        <v>Liberty Mutual Insurance</v>
      </c>
      <c r="O2899" s="5" t="str">
        <f t="shared" si="5"/>
        <v>8 years 4 months in role and company</v>
      </c>
      <c r="P2899" s="5" t="str">
        <f t="shared" si="6"/>
        <v>Houston</v>
      </c>
      <c r="Q2899" s="5" t="str">
        <f t="shared" si="7"/>
        <v>Texas</v>
      </c>
      <c r="R2899" s="5" t="str">
        <f t="shared" si="8"/>
        <v>United States</v>
      </c>
    </row>
    <row r="2900">
      <c r="A2900" s="8" t="s">
        <v>2111</v>
      </c>
      <c r="B2900" s="5" t="s">
        <v>2109</v>
      </c>
      <c r="C2900" s="5" t="s">
        <v>404</v>
      </c>
      <c r="D2900" s="6" t="s">
        <v>13</v>
      </c>
      <c r="E2900" s="5" t="s">
        <v>2099</v>
      </c>
      <c r="F2900" s="5" t="s">
        <v>217</v>
      </c>
      <c r="G2900" s="5" t="s">
        <v>2110</v>
      </c>
      <c r="H2900" s="5" t="s">
        <v>962</v>
      </c>
      <c r="I2900" s="5" t="s">
        <v>18</v>
      </c>
      <c r="J2900" s="9" t="str">
        <f>IFERROR(__xludf.DUMMYFUNCTION("""COMPUTED_VALUE"""),"https://www.google.com/search?newwindow=1&amp;ei=2MT0XrvGGM-vytMP1OyDgAY&amp;q=site%3Alinkedin.com+Ray'+Vion+Collins+Campus+Recruiter+Liberty+Mutual+Insurance")</f>
        <v>https://www.google.com/search?newwindow=1&amp;ei=2MT0XrvGGM-vytMP1OyDgAY&amp;q=site%3Alinkedin.com+Ray'+Vion+Collins+Campus+Recruiter+Liberty+Mutual+Insurance</v>
      </c>
      <c r="K2900" s="5" t="str">
        <f t="shared" si="1"/>
        <v>Ray' Vion Collins</v>
      </c>
      <c r="L2900" s="5" t="str">
        <f t="shared" si="2"/>
        <v>Campus Recruiter</v>
      </c>
      <c r="M2900" s="5" t="str">
        <f t="shared" si="3"/>
        <v> </v>
      </c>
      <c r="N2900" s="5" t="str">
        <f t="shared" si="4"/>
        <v>Liberty Mutual Insurance</v>
      </c>
      <c r="O2900" s="5" t="str">
        <f t="shared" si="5"/>
        <v>1 year 5 months in role and company</v>
      </c>
      <c r="P2900" s="5" t="str">
        <f t="shared" si="6"/>
        <v>Houston</v>
      </c>
      <c r="Q2900" s="5" t="str">
        <f t="shared" si="7"/>
        <v>Texas</v>
      </c>
      <c r="R2900" s="5" t="str">
        <f t="shared" si="8"/>
        <v>United States</v>
      </c>
    </row>
    <row r="2901">
      <c r="A2901" s="7" t="s">
        <v>2114</v>
      </c>
      <c r="B2901" s="5" t="s">
        <v>2112</v>
      </c>
      <c r="C2901" s="5" t="s">
        <v>404</v>
      </c>
      <c r="D2901" s="6" t="s">
        <v>13</v>
      </c>
      <c r="E2901" s="5" t="s">
        <v>2099</v>
      </c>
      <c r="F2901" s="5" t="s">
        <v>2035</v>
      </c>
      <c r="G2901" s="5" t="s">
        <v>2113</v>
      </c>
      <c r="H2901" s="5" t="s">
        <v>102</v>
      </c>
      <c r="I2901" s="5" t="s">
        <v>18</v>
      </c>
      <c r="J2901" s="9" t="str">
        <f>IFERROR(__xludf.DUMMYFUNCTION("""COMPUTED_VALUE"""),"https://www.google.com/search?newwindow=1&amp;ei=2MT0XrvGGM-vytMP1OyDgAY&amp;q=site%3Alinkedin.com+Auri+Morris+Manager,+Campus+Recruiting+Liberty+Mutual+Insurance")</f>
        <v>https://www.google.com/search?newwindow=1&amp;ei=2MT0XrvGGM-vytMP1OyDgAY&amp;q=site%3Alinkedin.com+Auri+Morris+Manager,+Campus+Recruiting+Liberty+Mutual+Insurance</v>
      </c>
      <c r="K2901" s="5" t="str">
        <f t="shared" si="1"/>
        <v>Auri Morris</v>
      </c>
      <c r="L2901" s="5" t="str">
        <f t="shared" si="2"/>
        <v>Manager, Campus Recruiting</v>
      </c>
      <c r="M2901" s="5" t="str">
        <f t="shared" si="3"/>
        <v> </v>
      </c>
      <c r="N2901" s="5" t="str">
        <f t="shared" si="4"/>
        <v>Liberty Mutual Insurance</v>
      </c>
      <c r="O2901" s="5" t="str">
        <f t="shared" si="5"/>
        <v>6 years 5 months in role</v>
      </c>
      <c r="P2901" s="5" t="str">
        <f t="shared" si="6"/>
        <v>Los Angeles</v>
      </c>
      <c r="Q2901" s="5" t="str">
        <f t="shared" si="7"/>
        <v>California</v>
      </c>
      <c r="R2901" s="5" t="str">
        <f t="shared" si="8"/>
        <v>United States</v>
      </c>
    </row>
    <row r="2902">
      <c r="A2902" s="7" t="s">
        <v>2118</v>
      </c>
      <c r="B2902" s="5" t="s">
        <v>2115</v>
      </c>
      <c r="C2902" s="5" t="s">
        <v>2116</v>
      </c>
      <c r="D2902" s="6" t="s">
        <v>13</v>
      </c>
      <c r="E2902" s="5" t="s">
        <v>2117</v>
      </c>
      <c r="F2902" s="5" t="s">
        <v>192</v>
      </c>
      <c r="G2902" s="5" t="s">
        <v>16</v>
      </c>
      <c r="H2902" s="5" t="s">
        <v>17</v>
      </c>
      <c r="I2902" s="5" t="s">
        <v>18</v>
      </c>
      <c r="J2902" s="9" t="str">
        <f>IFERROR(__xludf.DUMMYFUNCTION("""COMPUTED_VALUE"""),"https://www.google.com/search?newwindow=1&amp;ei=2MT0XrvGGM-vytMP1OyDgAY&amp;q=site%3Alinkedin.com+PJ+Macom+Senior+Campus+Recruiter+Liberty+Mutual+Insurance")</f>
        <v>https://www.google.com/search?newwindow=1&amp;ei=2MT0XrvGGM-vytMP1OyDgAY&amp;q=site%3Alinkedin.com+PJ+Macom+Senior+Campus+Recruiter+Liberty+Mutual+Insurance</v>
      </c>
      <c r="K2902" s="5" t="str">
        <f t="shared" si="1"/>
        <v>PJ Macom</v>
      </c>
      <c r="L2902" s="5" t="str">
        <f t="shared" si="2"/>
        <v>Senior Campus Recruiter</v>
      </c>
      <c r="M2902" s="5" t="str">
        <f t="shared" si="3"/>
        <v> </v>
      </c>
      <c r="N2902" s="5" t="str">
        <f t="shared" si="4"/>
        <v>Liberty Mutual Insurance</v>
      </c>
      <c r="O2902" s="5" t="str">
        <f t="shared" si="5"/>
        <v>5 years 3 months in role</v>
      </c>
      <c r="P2902" s="5" t="str">
        <f t="shared" si="6"/>
        <v>Los Angeles</v>
      </c>
      <c r="Q2902" s="5" t="str">
        <f t="shared" si="7"/>
        <v>California</v>
      </c>
      <c r="R2902" s="5" t="str">
        <f t="shared" si="8"/>
        <v>United States</v>
      </c>
    </row>
    <row r="2903">
      <c r="A2903" s="7" t="s">
        <v>2121</v>
      </c>
      <c r="B2903" s="5" t="s">
        <v>2119</v>
      </c>
      <c r="C2903" s="5" t="s">
        <v>25</v>
      </c>
      <c r="D2903" s="6" t="s">
        <v>13</v>
      </c>
      <c r="E2903" s="5" t="s">
        <v>2117</v>
      </c>
      <c r="F2903" s="5" t="s">
        <v>2120</v>
      </c>
      <c r="G2903" s="5" t="s">
        <v>16</v>
      </c>
      <c r="H2903" s="5" t="s">
        <v>17</v>
      </c>
      <c r="I2903" s="5" t="s">
        <v>18</v>
      </c>
      <c r="J2903" s="9" t="str">
        <f>IFERROR(__xludf.DUMMYFUNCTION("""COMPUTED_VALUE"""),"https://www.google.com/search?newwindow=1&amp;ei=2MT0XrvGGM-vytMP1OyDgAY&amp;q=site%3Alinkedin.com+Courtney+Capano+Campus+Recruiter,+Talent+&amp;+Enterprise+Services+Liberty+Mutual+Insurance")</f>
        <v>https://www.google.com/search?newwindow=1&amp;ei=2MT0XrvGGM-vytMP1OyDgAY&amp;q=site%3Alinkedin.com+Courtney+Capano+Campus+Recruiter,+Talent+&amp;+Enterprise+Services+Liberty+Mutual+Insurance</v>
      </c>
      <c r="K2903" s="5" t="str">
        <f t="shared" si="1"/>
        <v>Courtney Capano</v>
      </c>
      <c r="L2903" s="5" t="str">
        <f t="shared" si="2"/>
        <v>Campus Recruiter, Talent &amp; Enterprise Services</v>
      </c>
      <c r="M2903" s="5" t="str">
        <f t="shared" si="3"/>
        <v> </v>
      </c>
      <c r="N2903" s="5" t="str">
        <f t="shared" si="4"/>
        <v>Liberty Mutual Insurance</v>
      </c>
      <c r="O2903" s="5" t="str">
        <f t="shared" si="5"/>
        <v>2 years 9 months in role and company</v>
      </c>
      <c r="P2903" s="5" t="str">
        <f t="shared" si="6"/>
        <v>Lynn</v>
      </c>
      <c r="Q2903" s="5" t="str">
        <f t="shared" si="7"/>
        <v>Massachusetts</v>
      </c>
      <c r="R2903" s="5" t="str">
        <f t="shared" si="8"/>
        <v>United States</v>
      </c>
    </row>
    <row r="2904">
      <c r="A2904" s="7" t="s">
        <v>2123</v>
      </c>
      <c r="B2904" s="5" t="s">
        <v>2122</v>
      </c>
      <c r="C2904" s="5" t="s">
        <v>766</v>
      </c>
      <c r="D2904" s="6" t="s">
        <v>13</v>
      </c>
      <c r="E2904" s="5" t="s">
        <v>2117</v>
      </c>
      <c r="F2904" s="5" t="s">
        <v>496</v>
      </c>
      <c r="G2904" s="5" t="s">
        <v>37</v>
      </c>
      <c r="H2904" s="5" t="s">
        <v>38</v>
      </c>
      <c r="I2904" s="5" t="s">
        <v>18</v>
      </c>
      <c r="J2904" s="9" t="str">
        <f>IFERROR(__xludf.DUMMYFUNCTION("""COMPUTED_VALUE"""),"https://www.google.com/search?newwindow=1&amp;ei=2MT0XrvGGM-vytMP1OyDgAY&amp;q=site%3Alinkedin.com+Alina+Vela+Campus+Recruiter+Liberty+Mutual+Insurance")</f>
        <v>https://www.google.com/search?newwindow=1&amp;ei=2MT0XrvGGM-vytMP1OyDgAY&amp;q=site%3Alinkedin.com+Alina+Vela+Campus+Recruiter+Liberty+Mutual+Insurance</v>
      </c>
      <c r="K2904" s="5" t="str">
        <f t="shared" si="1"/>
        <v>Alina Vela</v>
      </c>
      <c r="L2904" s="5" t="str">
        <f t="shared" si="2"/>
        <v>Campus Recruiter</v>
      </c>
      <c r="M2904" s="5" t="str">
        <f t="shared" si="3"/>
        <v> </v>
      </c>
      <c r="N2904" s="5" t="str">
        <f t="shared" si="4"/>
        <v>Liberty Mutual Insurance</v>
      </c>
      <c r="O2904" s="5" t="str">
        <f t="shared" si="5"/>
        <v>1 year 6 months in role</v>
      </c>
      <c r="P2904" s="5" t="str">
        <f t="shared" si="6"/>
        <v>Plano</v>
      </c>
      <c r="Q2904" s="5" t="str">
        <f t="shared" si="7"/>
        <v>Texas</v>
      </c>
      <c r="R2904" s="5" t="str">
        <f t="shared" si="8"/>
        <v>United States</v>
      </c>
    </row>
    <row r="2905">
      <c r="A2905" s="8" t="s">
        <v>2127</v>
      </c>
      <c r="B2905" s="5" t="s">
        <v>2124</v>
      </c>
      <c r="C2905" s="5" t="s">
        <v>2125</v>
      </c>
      <c r="D2905" s="6" t="s">
        <v>13</v>
      </c>
      <c r="E2905" s="5" t="s">
        <v>2117</v>
      </c>
      <c r="F2905" s="5" t="s">
        <v>26</v>
      </c>
      <c r="G2905" s="5" t="s">
        <v>2126</v>
      </c>
      <c r="H2905" s="5" t="s">
        <v>203</v>
      </c>
      <c r="I2905" s="5" t="s">
        <v>18</v>
      </c>
      <c r="J2905" s="9" t="str">
        <f>IFERROR(__xludf.DUMMYFUNCTION("""COMPUTED_VALUE"""),"https://www.google.com/search?newwindow=1&amp;ei=2MT0XrvGGM-vytMP1OyDgAY&amp;q=site%3Alinkedin.com+Amy+Ferreira+Campus+Recruiting+Manager+Liberty+Mutual+Insurance")</f>
        <v>https://www.google.com/search?newwindow=1&amp;ei=2MT0XrvGGM-vytMP1OyDgAY&amp;q=site%3Alinkedin.com+Amy+Ferreira+Campus+Recruiting+Manager+Liberty+Mutual+Insurance</v>
      </c>
      <c r="K2905" s="5" t="str">
        <f t="shared" si="1"/>
        <v>Amy Ferreira</v>
      </c>
      <c r="L2905" s="5" t="str">
        <f t="shared" si="2"/>
        <v>Campus Recruiting Manager</v>
      </c>
      <c r="M2905" s="5" t="str">
        <f t="shared" si="3"/>
        <v> </v>
      </c>
      <c r="N2905" s="5" t="str">
        <f t="shared" si="4"/>
        <v>Liberty Mutual Insurance</v>
      </c>
      <c r="O2905" s="5" t="str">
        <f t="shared" si="5"/>
        <v>3 years 2 months in role</v>
      </c>
      <c r="P2905" s="5" t="str">
        <f t="shared" si="6"/>
        <v>Portsmouth</v>
      </c>
      <c r="Q2905" s="5" t="str">
        <f t="shared" si="7"/>
        <v>New Hampshire</v>
      </c>
      <c r="R2905" s="5" t="str">
        <f t="shared" si="8"/>
        <v>United States</v>
      </c>
    </row>
    <row r="2906">
      <c r="A2906" s="7" t="s">
        <v>2129</v>
      </c>
      <c r="B2906" s="5" t="s">
        <v>2128</v>
      </c>
      <c r="C2906" s="5" t="s">
        <v>110</v>
      </c>
      <c r="D2906" s="6" t="s">
        <v>13</v>
      </c>
      <c r="E2906" s="5" t="s">
        <v>2117</v>
      </c>
      <c r="F2906" s="5" t="s">
        <v>15</v>
      </c>
      <c r="G2906" s="5" t="s">
        <v>49</v>
      </c>
      <c r="H2906" s="5" t="s">
        <v>50</v>
      </c>
      <c r="I2906" s="5" t="s">
        <v>18</v>
      </c>
      <c r="J2906" s="9" t="str">
        <f>IFERROR(__xludf.DUMMYFUNCTION("""COMPUTED_VALUE"""),"https://www.google.com/search?newwindow=1&amp;ei=2MT0XrvGGM-vytMP1OyDgAY&amp;q=site%3Alinkedin.com+Kayla+Wheaton+Tech+Campus+Recruiter+Liberty+Mutual+Insurance")</f>
        <v>https://www.google.com/search?newwindow=1&amp;ei=2MT0XrvGGM-vytMP1OyDgAY&amp;q=site%3Alinkedin.com+Kayla+Wheaton+Tech+Campus+Recruiter+Liberty+Mutual+Insurance</v>
      </c>
      <c r="K2906" s="5" t="str">
        <f t="shared" si="1"/>
        <v>Kayla Wheaton</v>
      </c>
      <c r="L2906" s="5" t="str">
        <f t="shared" si="2"/>
        <v>Tech Campus Recruiter</v>
      </c>
      <c r="M2906" s="5" t="str">
        <f t="shared" si="3"/>
        <v> </v>
      </c>
      <c r="N2906" s="5" t="str">
        <f t="shared" si="4"/>
        <v>Liberty Mutual Insurance</v>
      </c>
      <c r="O2906" s="5" t="str">
        <f t="shared" si="5"/>
        <v>3 years 8 months in role</v>
      </c>
      <c r="P2906" s="5" t="str">
        <f t="shared" si="6"/>
        <v>Portsmouth</v>
      </c>
      <c r="Q2906" s="5" t="str">
        <f t="shared" si="7"/>
        <v>New Hampshire</v>
      </c>
      <c r="R2906" s="5" t="str">
        <f t="shared" si="8"/>
        <v>United States</v>
      </c>
    </row>
    <row r="2907">
      <c r="A2907" s="7" t="s">
        <v>2131</v>
      </c>
      <c r="B2907" s="5" t="s">
        <v>2130</v>
      </c>
      <c r="C2907" s="5" t="s">
        <v>952</v>
      </c>
      <c r="D2907" s="6" t="s">
        <v>13</v>
      </c>
      <c r="E2907" s="5" t="s">
        <v>2117</v>
      </c>
      <c r="F2907" s="5" t="s">
        <v>268</v>
      </c>
      <c r="G2907" s="5" t="s">
        <v>49</v>
      </c>
      <c r="H2907" s="5" t="s">
        <v>50</v>
      </c>
      <c r="I2907" s="5" t="s">
        <v>18</v>
      </c>
      <c r="J2907" s="9" t="str">
        <f>IFERROR(__xludf.DUMMYFUNCTION("""COMPUTED_VALUE"""),"https://www.google.com/search?newwindow=1&amp;ei=2MT0XrvGGM-vytMP1OyDgAY&amp;q=site%3Alinkedin.com+Natalie+Landry+Senior+Campus+Recruiter+Liberty+Mutual+Insurance")</f>
        <v>https://www.google.com/search?newwindow=1&amp;ei=2MT0XrvGGM-vytMP1OyDgAY&amp;q=site%3Alinkedin.com+Natalie+Landry+Senior+Campus+Recruiter+Liberty+Mutual+Insurance</v>
      </c>
      <c r="K2907" s="5" t="str">
        <f t="shared" si="1"/>
        <v>Natalie Landry</v>
      </c>
      <c r="L2907" s="5" t="str">
        <f t="shared" si="2"/>
        <v>Senior Campus Recruiter</v>
      </c>
      <c r="M2907" s="5" t="str">
        <f t="shared" si="3"/>
        <v> </v>
      </c>
      <c r="N2907" s="5" t="str">
        <f t="shared" si="4"/>
        <v>Liberty Mutual Insurance</v>
      </c>
      <c r="O2907" s="5" t="str">
        <f t="shared" si="5"/>
        <v>3 years 2 months in role</v>
      </c>
      <c r="P2907" s="5" t="str">
        <f t="shared" si="6"/>
        <v>Portsmouth</v>
      </c>
      <c r="Q2907" s="5" t="str">
        <f t="shared" si="7"/>
        <v>New Hampshire</v>
      </c>
      <c r="R2907" s="5" t="str">
        <f t="shared" si="8"/>
        <v>United States</v>
      </c>
    </row>
    <row r="2908">
      <c r="A2908" s="7" t="s">
        <v>2134</v>
      </c>
      <c r="B2908" s="5" t="s">
        <v>2132</v>
      </c>
      <c r="C2908" s="5" t="s">
        <v>2133</v>
      </c>
      <c r="D2908" s="6" t="s">
        <v>4</v>
      </c>
      <c r="E2908" s="5" t="s">
        <v>2117</v>
      </c>
      <c r="F2908" s="5" t="s">
        <v>48</v>
      </c>
      <c r="G2908" s="5" t="s">
        <v>64</v>
      </c>
      <c r="H2908" s="5" t="s">
        <v>65</v>
      </c>
      <c r="I2908" s="5" t="s">
        <v>18</v>
      </c>
      <c r="J2908" s="9" t="str">
        <f>IFERROR(__xludf.DUMMYFUNCTION("""COMPUTED_VALUE"""),"https://www.google.com/search?newwindow=1&amp;ei=2MT0XrvGGM-vytMP1OyDgAY&amp;q=site%3Alinkedin.com+Steven+Carnevale+Campus+Recruiter+Liberty+Mutual+Insurance")</f>
        <v>https://www.google.com/search?newwindow=1&amp;ei=2MT0XrvGGM-vytMP1OyDgAY&amp;q=site%3Alinkedin.com+Steven+Carnevale+Campus+Recruiter+Liberty+Mutual+Insurance</v>
      </c>
      <c r="K2908" s="5" t="str">
        <f t="shared" si="1"/>
        <v>Steven Carnevale</v>
      </c>
      <c r="L2908" s="5" t="str">
        <f t="shared" si="2"/>
        <v>Campus Recruiter</v>
      </c>
      <c r="M2908" s="5" t="str">
        <f t="shared" si="3"/>
        <v> </v>
      </c>
      <c r="N2908" s="5" t="str">
        <f t="shared" si="4"/>
        <v>Liberty Mutual Insurance</v>
      </c>
      <c r="O2908" s="5" t="str">
        <f t="shared" si="5"/>
        <v>2 years 4 months in role and company</v>
      </c>
      <c r="P2908" s="5" t="str">
        <f t="shared" si="6"/>
        <v>Quincy</v>
      </c>
      <c r="Q2908" s="5" t="str">
        <f t="shared" si="7"/>
        <v>Massachusetts</v>
      </c>
      <c r="R2908" s="5" t="str">
        <f t="shared" si="8"/>
        <v>United States</v>
      </c>
    </row>
    <row r="2909">
      <c r="A2909" s="7" t="s">
        <v>2136</v>
      </c>
      <c r="B2909" s="5" t="s">
        <v>2135</v>
      </c>
      <c r="C2909" s="5" t="s">
        <v>25</v>
      </c>
      <c r="D2909" s="6" t="s">
        <v>13</v>
      </c>
      <c r="E2909" s="5" t="s">
        <v>2117</v>
      </c>
      <c r="F2909" s="5" t="s">
        <v>283</v>
      </c>
      <c r="G2909" s="5" t="s">
        <v>635</v>
      </c>
      <c r="H2909" s="5" t="s">
        <v>76</v>
      </c>
      <c r="I2909" s="5" t="s">
        <v>18</v>
      </c>
      <c r="J2909" s="9" t="str">
        <f>IFERROR(__xludf.DUMMYFUNCTION("""COMPUTED_VALUE"""),"https://www.google.com/search?newwindow=1&amp;ei=2MT0XrvGGM-vytMP1OyDgAY&amp;q=site%3Alinkedin.com+Alyssa+Nogueira+Campus+Recruiter+Liberty+Mutual+Insurance")</f>
        <v>https://www.google.com/search?newwindow=1&amp;ei=2MT0XrvGGM-vytMP1OyDgAY&amp;q=site%3Alinkedin.com+Alyssa+Nogueira+Campus+Recruiter+Liberty+Mutual+Insurance</v>
      </c>
      <c r="K2909" s="5" t="str">
        <f t="shared" si="1"/>
        <v>Alyssa Nogueira</v>
      </c>
      <c r="L2909" s="5" t="str">
        <f t="shared" si="2"/>
        <v>Campus Recruiter</v>
      </c>
      <c r="M2909" s="5" t="str">
        <f t="shared" si="3"/>
        <v> </v>
      </c>
      <c r="N2909" s="5" t="str">
        <f t="shared" si="4"/>
        <v>Liberty Mutual Insurance</v>
      </c>
      <c r="O2909" s="5" t="str">
        <f t="shared" si="5"/>
        <v>1 year 10 months in role</v>
      </c>
      <c r="P2909" s="5" t="str">
        <f t="shared" si="6"/>
        <v>Suffolk County</v>
      </c>
      <c r="Q2909" s="5" t="str">
        <f t="shared" si="7"/>
        <v>Massachusetts</v>
      </c>
      <c r="R2909" s="5" t="str">
        <f t="shared" si="8"/>
        <v>United States</v>
      </c>
    </row>
    <row r="2910">
      <c r="A2910" s="7" t="s">
        <v>2138</v>
      </c>
      <c r="B2910" s="5" t="s">
        <v>2137</v>
      </c>
      <c r="C2910" s="5" t="s">
        <v>110</v>
      </c>
      <c r="D2910" s="6" t="s">
        <v>13</v>
      </c>
      <c r="E2910" s="5" t="s">
        <v>2117</v>
      </c>
      <c r="F2910" s="5" t="s">
        <v>106</v>
      </c>
      <c r="G2910" s="5" t="s">
        <v>80</v>
      </c>
      <c r="H2910" s="5" t="s">
        <v>38</v>
      </c>
      <c r="I2910" s="5" t="s">
        <v>18</v>
      </c>
      <c r="J2910" s="9" t="str">
        <f>IFERROR(__xludf.DUMMYFUNCTION("""COMPUTED_VALUE"""),"https://www.google.com/search?newwindow=1&amp;ei=2MT0XrvGGM-vytMP1OyDgAY&amp;q=site%3Alinkedin.com+Christine+Hardy+Recruiter,+Graduate+Campus+Programs+Liberty+Mutual+Insurance")</f>
        <v>https://www.google.com/search?newwindow=1&amp;ei=2MT0XrvGGM-vytMP1OyDgAY&amp;q=site%3Alinkedin.com+Christine+Hardy+Recruiter,+Graduate+Campus+Programs+Liberty+Mutual+Insurance</v>
      </c>
      <c r="K2910" s="5" t="str">
        <f t="shared" si="1"/>
        <v>Christine Hardy</v>
      </c>
      <c r="L2910" s="5" t="str">
        <f t="shared" si="2"/>
        <v>Recruiter, Graduate Campus Programs</v>
      </c>
      <c r="M2910" s="5" t="str">
        <f t="shared" si="3"/>
        <v> </v>
      </c>
      <c r="N2910" s="5" t="str">
        <f t="shared" si="4"/>
        <v>Liberty Mutual Insurance</v>
      </c>
      <c r="O2910" s="5" t="str">
        <f t="shared" si="5"/>
        <v>2 years  in role</v>
      </c>
      <c r="P2910" s="5" t="str">
        <f t="shared" si="6"/>
        <v>Suffolk County</v>
      </c>
      <c r="Q2910" s="5" t="str">
        <f t="shared" si="7"/>
        <v>Massachusetts</v>
      </c>
      <c r="R2910" s="5" t="str">
        <f t="shared" si="8"/>
        <v>United States</v>
      </c>
    </row>
    <row r="2911">
      <c r="A2911" s="8" t="s">
        <v>2142</v>
      </c>
      <c r="B2911" s="5" t="s">
        <v>2139</v>
      </c>
      <c r="C2911" s="5" t="s">
        <v>2140</v>
      </c>
      <c r="D2911" s="6" t="s">
        <v>13</v>
      </c>
      <c r="E2911" s="5" t="s">
        <v>2117</v>
      </c>
      <c r="F2911" s="5" t="s">
        <v>712</v>
      </c>
      <c r="G2911" s="5" t="s">
        <v>2141</v>
      </c>
      <c r="H2911" s="5" t="s">
        <v>50</v>
      </c>
      <c r="I2911" s="5" t="s">
        <v>18</v>
      </c>
      <c r="J2911" s="9" t="str">
        <f>IFERROR(__xludf.DUMMYFUNCTION("""COMPUTED_VALUE"""),"https://www.google.com/search?newwindow=1&amp;ei=2MT0XrvGGM-vytMP1OyDgAY&amp;q=site%3Alinkedin.com+Cam+Pezet+Senior+Campus+Recruiter+LinkedIn")</f>
        <v>https://www.google.com/search?newwindow=1&amp;ei=2MT0XrvGGM-vytMP1OyDgAY&amp;q=site%3Alinkedin.com+Cam+Pezet+Senior+Campus+Recruiter+LinkedIn</v>
      </c>
      <c r="K2911" s="5" t="str">
        <f t="shared" si="1"/>
        <v>Cam Pezet</v>
      </c>
      <c r="L2911" s="5" t="str">
        <f t="shared" si="2"/>
        <v>Senior Campus Recruiter</v>
      </c>
      <c r="M2911" s="5" t="str">
        <f t="shared" si="3"/>
        <v> </v>
      </c>
      <c r="N2911" s="5" t="str">
        <f t="shared" si="4"/>
        <v>LinkedIn</v>
      </c>
      <c r="O2911" s="5" t="str">
        <f t="shared" si="5"/>
        <v>6 years 2 months in role and company</v>
      </c>
      <c r="P2911" s="5" t="str">
        <f t="shared" si="6"/>
        <v>Portland</v>
      </c>
      <c r="Q2911" s="5" t="str">
        <f t="shared" si="7"/>
        <v>Oregon</v>
      </c>
      <c r="R2911" s="5" t="str">
        <f t="shared" si="8"/>
        <v>United States</v>
      </c>
    </row>
    <row r="2912">
      <c r="A2912" s="7" t="s">
        <v>2143</v>
      </c>
      <c r="B2912" s="5" t="s">
        <v>2139</v>
      </c>
      <c r="C2912" s="5" t="s">
        <v>32</v>
      </c>
      <c r="D2912" s="6" t="s">
        <v>13</v>
      </c>
      <c r="E2912" s="5" t="s">
        <v>2117</v>
      </c>
      <c r="F2912" s="5" t="s">
        <v>585</v>
      </c>
      <c r="G2912" s="5" t="s">
        <v>2141</v>
      </c>
      <c r="H2912" s="5" t="s">
        <v>50</v>
      </c>
      <c r="I2912" s="5" t="s">
        <v>18</v>
      </c>
      <c r="J2912" s="9" t="str">
        <f>IFERROR(__xludf.DUMMYFUNCTION("""COMPUTED_VALUE"""),"https://www.google.com/search?newwindow=1&amp;ei=2MT0XrvGGM-vytMP1OyDgAY&amp;q=site%3Alinkedin.com+Bri+Casner+Senior+Manager,+Global+Campus+Recruiting+LinkedIn")</f>
        <v>https://www.google.com/search?newwindow=1&amp;ei=2MT0XrvGGM-vytMP1OyDgAY&amp;q=site%3Alinkedin.com+Bri+Casner+Senior+Manager,+Global+Campus+Recruiting+LinkedIn</v>
      </c>
      <c r="K2912" s="5" t="str">
        <f t="shared" si="1"/>
        <v>Bri Casner</v>
      </c>
      <c r="L2912" s="5" t="str">
        <f t="shared" si="2"/>
        <v>Senior Manager, Global Campus Recruiting</v>
      </c>
      <c r="M2912" s="5" t="str">
        <f t="shared" si="3"/>
        <v> </v>
      </c>
      <c r="N2912" s="5" t="str">
        <f t="shared" si="4"/>
        <v>LinkedIn</v>
      </c>
      <c r="O2912" s="5" t="str">
        <f t="shared" si="5"/>
        <v>2 years 5 months in role and company</v>
      </c>
      <c r="P2912" s="5" t="str">
        <f t="shared" si="6"/>
        <v>San Francisco</v>
      </c>
      <c r="Q2912" s="5" t="str">
        <f t="shared" si="7"/>
        <v>California</v>
      </c>
      <c r="R2912" s="5" t="str">
        <f t="shared" si="8"/>
        <v>United States</v>
      </c>
    </row>
    <row r="2913">
      <c r="A2913" s="7" t="s">
        <v>2146</v>
      </c>
      <c r="B2913" s="5" t="s">
        <v>2144</v>
      </c>
      <c r="C2913" s="5" t="s">
        <v>110</v>
      </c>
      <c r="D2913" s="6" t="s">
        <v>13</v>
      </c>
      <c r="E2913" s="5" t="s">
        <v>2117</v>
      </c>
      <c r="F2913" s="5" t="s">
        <v>496</v>
      </c>
      <c r="G2913" s="5" t="s">
        <v>2145</v>
      </c>
      <c r="H2913" s="5" t="s">
        <v>203</v>
      </c>
      <c r="I2913" s="5" t="s">
        <v>18</v>
      </c>
      <c r="J2913" s="9" t="str">
        <f>IFERROR(__xludf.DUMMYFUNCTION("""COMPUTED_VALUE"""),"https://www.google.com/search?newwindow=1&amp;ei=2MT0XrvGGM-vytMP1OyDgAY&amp;q=site%3Alinkedin.com+Annie+McDonough+Campus+Recruiter+LinkedIn")</f>
        <v>https://www.google.com/search?newwindow=1&amp;ei=2MT0XrvGGM-vytMP1OyDgAY&amp;q=site%3Alinkedin.com+Annie+McDonough+Campus+Recruiter+LinkedIn</v>
      </c>
      <c r="K2913" s="5" t="str">
        <f t="shared" si="1"/>
        <v>Annie McDonough</v>
      </c>
      <c r="L2913" s="5" t="str">
        <f t="shared" si="2"/>
        <v>Campus Recruiter</v>
      </c>
      <c r="M2913" s="5" t="str">
        <f t="shared" si="3"/>
        <v> </v>
      </c>
      <c r="N2913" s="5" t="str">
        <f t="shared" si="4"/>
        <v>LinkedIn</v>
      </c>
      <c r="O2913" s="5" t="str">
        <f t="shared" si="5"/>
        <v>1 year 2 months in role and company</v>
      </c>
      <c r="P2913" s="5" t="str">
        <f t="shared" si="6"/>
        <v>San Francisco</v>
      </c>
      <c r="Q2913" s="5" t="str">
        <f t="shared" si="7"/>
        <v>California</v>
      </c>
      <c r="R2913" s="5" t="str">
        <f t="shared" si="8"/>
        <v>United States</v>
      </c>
    </row>
    <row r="2914">
      <c r="A2914" s="7" t="s">
        <v>2148</v>
      </c>
      <c r="B2914" s="5" t="s">
        <v>2147</v>
      </c>
      <c r="C2914" s="5" t="s">
        <v>110</v>
      </c>
      <c r="D2914" s="6" t="s">
        <v>13</v>
      </c>
      <c r="E2914" s="5" t="s">
        <v>2117</v>
      </c>
      <c r="F2914" s="5" t="s">
        <v>686</v>
      </c>
      <c r="G2914" s="5" t="s">
        <v>2145</v>
      </c>
      <c r="H2914" s="5" t="s">
        <v>203</v>
      </c>
      <c r="I2914" s="5" t="s">
        <v>18</v>
      </c>
      <c r="J2914" s="9" t="str">
        <f>IFERROR(__xludf.DUMMYFUNCTION("""COMPUTED_VALUE"""),"https://www.google.com/search?newwindow=1&amp;ei=2MT0XrvGGM-vytMP1OyDgAY&amp;q=site%3Alinkedin.com+Trixie+Cordova+(she/her)+Campus+Recruiting+Global+Program+Manager+LinkedIn")</f>
        <v>https://www.google.com/search?newwindow=1&amp;ei=2MT0XrvGGM-vytMP1OyDgAY&amp;q=site%3Alinkedin.com+Trixie+Cordova+(she/her)+Campus+Recruiting+Global+Program+Manager+LinkedIn</v>
      </c>
      <c r="K2914" s="5" t="str">
        <f t="shared" si="1"/>
        <v>Trixie Cordova (she/her)</v>
      </c>
      <c r="L2914" s="5" t="str">
        <f t="shared" si="2"/>
        <v>Campus Recruiting Global Program Manager</v>
      </c>
      <c r="M2914" s="5" t="str">
        <f t="shared" si="3"/>
        <v> </v>
      </c>
      <c r="N2914" s="5" t="str">
        <f t="shared" si="4"/>
        <v>LinkedIn</v>
      </c>
      <c r="O2914" s="5" t="str">
        <f t="shared" si="5"/>
        <v>2 years 4 months in role and company</v>
      </c>
      <c r="P2914" s="5" t="str">
        <f t="shared" si="6"/>
        <v>San Francisco</v>
      </c>
      <c r="Q2914" s="5" t="str">
        <f t="shared" si="7"/>
        <v>California</v>
      </c>
      <c r="R2914" s="5" t="str">
        <f t="shared" si="8"/>
        <v>United States</v>
      </c>
    </row>
    <row r="2915">
      <c r="A2915" s="8" t="s">
        <v>2151</v>
      </c>
      <c r="B2915" s="5" t="s">
        <v>2149</v>
      </c>
      <c r="C2915" s="5" t="s">
        <v>2150</v>
      </c>
      <c r="D2915" s="6" t="s">
        <v>13</v>
      </c>
      <c r="E2915" s="5" t="s">
        <v>2117</v>
      </c>
      <c r="F2915" s="5" t="s">
        <v>283</v>
      </c>
      <c r="G2915" s="5" t="s">
        <v>2145</v>
      </c>
      <c r="H2915" s="5" t="s">
        <v>203</v>
      </c>
      <c r="I2915" s="5" t="s">
        <v>18</v>
      </c>
      <c r="J2915" s="9" t="str">
        <f>IFERROR(__xludf.DUMMYFUNCTION("""COMPUTED_VALUE"""),"https://www.google.com/search?newwindow=1&amp;ei=2MT0XrvGGM-vytMP1OyDgAY&amp;q=site%3Alinkedin.com+David+Taylor+(he/him)+Recruiting+Manager,+Campus+Tech+LinkedIn")</f>
        <v>https://www.google.com/search?newwindow=1&amp;ei=2MT0XrvGGM-vytMP1OyDgAY&amp;q=site%3Alinkedin.com+David+Taylor+(he/him)+Recruiting+Manager,+Campus+Tech+LinkedIn</v>
      </c>
      <c r="K2915" s="5" t="str">
        <f t="shared" si="1"/>
        <v>David Taylor (he/him)</v>
      </c>
      <c r="L2915" s="5" t="str">
        <f t="shared" si="2"/>
        <v>Recruiting Manager, Campus Tech</v>
      </c>
      <c r="M2915" s="5" t="str">
        <f t="shared" si="3"/>
        <v> </v>
      </c>
      <c r="N2915" s="5" t="str">
        <f t="shared" si="4"/>
        <v>LinkedIn</v>
      </c>
      <c r="O2915" s="5" t="str">
        <f t="shared" si="5"/>
        <v>1 year 7 months in role</v>
      </c>
      <c r="P2915" s="5" t="str">
        <f t="shared" si="6"/>
        <v>San Francisco</v>
      </c>
      <c r="Q2915" s="5" t="str">
        <f t="shared" si="7"/>
        <v>California</v>
      </c>
      <c r="R2915" s="5" t="str">
        <f t="shared" si="8"/>
        <v>United States</v>
      </c>
    </row>
    <row r="2916">
      <c r="A2916" s="7" t="s">
        <v>2154</v>
      </c>
      <c r="B2916" s="5" t="s">
        <v>2152</v>
      </c>
      <c r="C2916" s="5" t="s">
        <v>2153</v>
      </c>
      <c r="D2916" s="6" t="s">
        <v>13</v>
      </c>
      <c r="E2916" s="5" t="s">
        <v>2117</v>
      </c>
      <c r="F2916" s="5" t="s">
        <v>446</v>
      </c>
      <c r="G2916" s="5" t="s">
        <v>2145</v>
      </c>
      <c r="H2916" s="5" t="s">
        <v>203</v>
      </c>
      <c r="I2916" s="5" t="s">
        <v>18</v>
      </c>
      <c r="J2916" s="9" t="str">
        <f>IFERROR(__xludf.DUMMYFUNCTION("""COMPUTED_VALUE"""),"https://www.google.com/search?newwindow=1&amp;ei=2MT0XrvGGM-vytMP1OyDgAY&amp;q=site%3Alinkedin.com+Travarus+Fauntleroy+Global+Program+Manager,+Campus+Recruiting+LinkedIn")</f>
        <v>https://www.google.com/search?newwindow=1&amp;ei=2MT0XrvGGM-vytMP1OyDgAY&amp;q=site%3Alinkedin.com+Travarus+Fauntleroy+Global+Program+Manager,+Campus+Recruiting+LinkedIn</v>
      </c>
      <c r="K2916" s="5" t="str">
        <f t="shared" si="1"/>
        <v>Travarus Fauntleroy</v>
      </c>
      <c r="L2916" s="5" t="str">
        <f t="shared" si="2"/>
        <v>Global Program Manager, Campus Recruiting</v>
      </c>
      <c r="M2916" s="5" t="str">
        <f t="shared" si="3"/>
        <v> </v>
      </c>
      <c r="N2916" s="5" t="str">
        <f t="shared" si="4"/>
        <v>LinkedIn</v>
      </c>
      <c r="O2916" s="5" t="str">
        <f t="shared" si="5"/>
        <v>1 year 1 month in role and company</v>
      </c>
      <c r="P2916" s="5" t="str">
        <f t="shared" si="6"/>
        <v>San Francisco</v>
      </c>
      <c r="Q2916" s="5" t="str">
        <f t="shared" si="7"/>
        <v>California</v>
      </c>
      <c r="R2916" s="5" t="str">
        <f t="shared" si="8"/>
        <v>United States</v>
      </c>
    </row>
    <row r="2917">
      <c r="A2917" s="8" t="s">
        <v>2156</v>
      </c>
      <c r="B2917" s="5" t="s">
        <v>2152</v>
      </c>
      <c r="C2917" s="5" t="s">
        <v>2155</v>
      </c>
      <c r="D2917" s="6" t="s">
        <v>13</v>
      </c>
      <c r="E2917" s="5" t="s">
        <v>2117</v>
      </c>
      <c r="F2917" s="5" t="s">
        <v>958</v>
      </c>
      <c r="G2917" s="5" t="s">
        <v>2145</v>
      </c>
      <c r="H2917" s="5" t="s">
        <v>203</v>
      </c>
      <c r="I2917" s="5" t="s">
        <v>18</v>
      </c>
      <c r="J2917" s="9" t="str">
        <f>IFERROR(__xludf.DUMMYFUNCTION("""COMPUTED_VALUE"""),"https://www.google.com/search?newwindow=1&amp;ei=2MT0XrvGGM-vytMP1OyDgAY&amp;q=site%3Alinkedin.com+Son+Nguyen+Talent+Acquisition+Engagement+Manager,+Recruiting+for+Good+LinkedIn")</f>
        <v>https://www.google.com/search?newwindow=1&amp;ei=2MT0XrvGGM-vytMP1OyDgAY&amp;q=site%3Alinkedin.com+Son+Nguyen+Talent+Acquisition+Engagement+Manager,+Recruiting+for+Good+LinkedIn</v>
      </c>
      <c r="K2917" s="5" t="str">
        <f t="shared" si="1"/>
        <v>Son Nguyen</v>
      </c>
      <c r="L2917" s="5" t="str">
        <f t="shared" si="2"/>
        <v>Talent Acquisition Engagement Manager, Recruiting for Good</v>
      </c>
      <c r="M2917" s="5" t="str">
        <f t="shared" si="3"/>
        <v> </v>
      </c>
      <c r="N2917" s="5" t="str">
        <f t="shared" si="4"/>
        <v>LinkedIn</v>
      </c>
      <c r="O2917" s="5" t="str">
        <f t="shared" si="5"/>
        <v>7 months in role</v>
      </c>
      <c r="P2917" s="5" t="str">
        <f t="shared" si="6"/>
        <v>San Francisco</v>
      </c>
      <c r="Q2917" s="5" t="str">
        <f t="shared" si="7"/>
        <v>California</v>
      </c>
      <c r="R2917" s="5" t="str">
        <f t="shared" si="8"/>
        <v>United States</v>
      </c>
    </row>
    <row r="2918">
      <c r="A2918" s="7" t="s">
        <v>2158</v>
      </c>
      <c r="B2918" s="5" t="s">
        <v>2157</v>
      </c>
      <c r="C2918" s="5" t="s">
        <v>952</v>
      </c>
      <c r="D2918" s="6" t="s">
        <v>13</v>
      </c>
      <c r="E2918" s="5" t="s">
        <v>2117</v>
      </c>
      <c r="F2918" s="5" t="s">
        <v>26</v>
      </c>
      <c r="G2918" s="5" t="s">
        <v>658</v>
      </c>
      <c r="H2918" s="5" t="s">
        <v>91</v>
      </c>
      <c r="I2918" s="5" t="s">
        <v>18</v>
      </c>
      <c r="J2918" s="9" t="str">
        <f>IFERROR(__xludf.DUMMYFUNCTION("""COMPUTED_VALUE"""),"https://www.google.com/search?newwindow=1&amp;ei=2MT0XrvGGM-vytMP1OyDgAY&amp;q=site%3Alinkedin.com+Ivy+Hopkins+Campus+Recruiter+LinkedIn")</f>
        <v>https://www.google.com/search?newwindow=1&amp;ei=2MT0XrvGGM-vytMP1OyDgAY&amp;q=site%3Alinkedin.com+Ivy+Hopkins+Campus+Recruiter+LinkedIn</v>
      </c>
      <c r="K2918" s="5" t="str">
        <f t="shared" si="1"/>
        <v>Ivy Hopkins</v>
      </c>
      <c r="L2918" s="5" t="str">
        <f t="shared" si="2"/>
        <v>Campus Recruiter</v>
      </c>
      <c r="M2918" s="5" t="str">
        <f t="shared" si="3"/>
        <v> </v>
      </c>
      <c r="N2918" s="5" t="str">
        <f t="shared" si="4"/>
        <v>LinkedIn</v>
      </c>
      <c r="O2918" s="5" t="str">
        <f t="shared" si="5"/>
        <v>1 year 10 months in role</v>
      </c>
      <c r="P2918" s="5" t="str">
        <f t="shared" si="6"/>
        <v>San Francisco</v>
      </c>
      <c r="Q2918" s="5" t="str">
        <f t="shared" si="7"/>
        <v>California</v>
      </c>
      <c r="R2918" s="5" t="str">
        <f t="shared" si="8"/>
        <v>United States</v>
      </c>
    </row>
    <row r="2919">
      <c r="A2919" s="8" t="s">
        <v>2162</v>
      </c>
      <c r="B2919" s="5" t="s">
        <v>2159</v>
      </c>
      <c r="C2919" s="5" t="s">
        <v>2160</v>
      </c>
      <c r="D2919" s="6" t="s">
        <v>13</v>
      </c>
      <c r="E2919" s="5" t="s">
        <v>2117</v>
      </c>
      <c r="F2919" s="5" t="s">
        <v>74</v>
      </c>
      <c r="G2919" s="5" t="s">
        <v>2161</v>
      </c>
      <c r="H2919" s="5" t="s">
        <v>76</v>
      </c>
      <c r="I2919" s="5" t="s">
        <v>18</v>
      </c>
      <c r="J2919" s="9" t="str">
        <f>IFERROR(__xludf.DUMMYFUNCTION("""COMPUTED_VALUE"""),"https://www.google.com/search?newwindow=1&amp;ei=2MT0XrvGGM-vytMP1OyDgAY&amp;q=site%3Alinkedin.com+Son+Nguyen+Senior+Lead+Campus+Recruiter+LinkedIn")</f>
        <v>https://www.google.com/search?newwindow=1&amp;ei=2MT0XrvGGM-vytMP1OyDgAY&amp;q=site%3Alinkedin.com+Son+Nguyen+Senior+Lead+Campus+Recruiter+LinkedIn</v>
      </c>
      <c r="K2919" s="5" t="str">
        <f t="shared" si="1"/>
        <v>Son Nguyen</v>
      </c>
      <c r="L2919" s="5" t="str">
        <f t="shared" si="2"/>
        <v>Senior Lead Campus Recruiter</v>
      </c>
      <c r="M2919" s="5" t="str">
        <f t="shared" si="3"/>
        <v> </v>
      </c>
      <c r="N2919" s="5" t="str">
        <f t="shared" si="4"/>
        <v>LinkedIn</v>
      </c>
      <c r="O2919" s="5" t="str">
        <f t="shared" si="5"/>
        <v>2 years 4 months in role and company</v>
      </c>
      <c r="P2919" s="5" t="str">
        <f t="shared" si="6"/>
        <v>San Francisco</v>
      </c>
      <c r="Q2919" s="5" t="str">
        <f t="shared" si="7"/>
        <v>California</v>
      </c>
      <c r="R2919" s="5" t="str">
        <f t="shared" si="8"/>
        <v>United States</v>
      </c>
    </row>
    <row r="2920">
      <c r="A2920" s="7" t="s">
        <v>2165</v>
      </c>
      <c r="B2920" s="5" t="s">
        <v>2163</v>
      </c>
      <c r="C2920" s="5" t="s">
        <v>110</v>
      </c>
      <c r="D2920" s="6" t="s">
        <v>13</v>
      </c>
      <c r="E2920" s="5" t="s">
        <v>2117</v>
      </c>
      <c r="F2920" s="5" t="s">
        <v>192</v>
      </c>
      <c r="G2920" s="5" t="s">
        <v>2164</v>
      </c>
      <c r="H2920" s="5" t="s">
        <v>203</v>
      </c>
      <c r="I2920" s="5" t="s">
        <v>18</v>
      </c>
      <c r="J2920" s="9" t="str">
        <f>IFERROR(__xludf.DUMMYFUNCTION("""COMPUTED_VALUE"""),"https://www.google.com/search?newwindow=1&amp;ei=2MT0XrvGGM-vytMP1OyDgAY&amp;q=site%3Alinkedin.com+Andie+Summers+Campus+Recruiter+LinkedIn")</f>
        <v>https://www.google.com/search?newwindow=1&amp;ei=2MT0XrvGGM-vytMP1OyDgAY&amp;q=site%3Alinkedin.com+Andie+Summers+Campus+Recruiter+LinkedIn</v>
      </c>
      <c r="K2920" s="5" t="str">
        <f t="shared" si="1"/>
        <v>Andie Summers</v>
      </c>
      <c r="L2920" s="5" t="str">
        <f t="shared" si="2"/>
        <v>Campus Recruiter</v>
      </c>
      <c r="M2920" s="5" t="str">
        <f t="shared" si="3"/>
        <v> </v>
      </c>
      <c r="N2920" s="5" t="str">
        <f t="shared" si="4"/>
        <v>LinkedIn</v>
      </c>
      <c r="O2920" s="5" t="str">
        <f t="shared" si="5"/>
        <v>2 years 3 months in role and company</v>
      </c>
      <c r="P2920" s="5" t="str">
        <f t="shared" si="6"/>
        <v>San Francisco</v>
      </c>
      <c r="Q2920" s="5" t="str">
        <f t="shared" si="7"/>
        <v>California</v>
      </c>
      <c r="R2920" s="5" t="str">
        <f t="shared" si="8"/>
        <v>United States</v>
      </c>
    </row>
    <row r="2921">
      <c r="A2921" s="7" t="s">
        <v>2167</v>
      </c>
      <c r="B2921" s="5" t="s">
        <v>2166</v>
      </c>
      <c r="C2921" s="5" t="s">
        <v>766</v>
      </c>
      <c r="D2921" s="6" t="s">
        <v>13</v>
      </c>
      <c r="E2921" s="5" t="s">
        <v>2117</v>
      </c>
      <c r="F2921" s="5" t="s">
        <v>106</v>
      </c>
      <c r="G2921" s="5" t="s">
        <v>1437</v>
      </c>
      <c r="H2921" s="5" t="s">
        <v>203</v>
      </c>
      <c r="I2921" s="5" t="s">
        <v>18</v>
      </c>
      <c r="J2921" s="9" t="str">
        <f>IFERROR(__xludf.DUMMYFUNCTION("""COMPUTED_VALUE"""),"https://www.google.com/search?newwindow=1&amp;ei=2MT0XrvGGM-vytMP1OyDgAY&amp;q=site%3Alinkedin.com+Christian+De+Luna+Campus+Business+Recruiter+LinkedIn")</f>
        <v>https://www.google.com/search?newwindow=1&amp;ei=2MT0XrvGGM-vytMP1OyDgAY&amp;q=site%3Alinkedin.com+Christian+De+Luna+Campus+Business+Recruiter+LinkedIn</v>
      </c>
      <c r="K2921" s="5" t="str">
        <f t="shared" si="1"/>
        <v>Christian De Luna</v>
      </c>
      <c r="L2921" s="5" t="str">
        <f t="shared" si="2"/>
        <v>Campus Business Recruiter</v>
      </c>
      <c r="M2921" s="5" t="str">
        <f t="shared" si="3"/>
        <v> </v>
      </c>
      <c r="N2921" s="5" t="str">
        <f t="shared" si="4"/>
        <v>LinkedIn</v>
      </c>
      <c r="O2921" s="5" t="str">
        <f t="shared" si="5"/>
        <v>2 years 7 months in role</v>
      </c>
      <c r="P2921" s="5" t="str">
        <f t="shared" si="6"/>
        <v>San Francisco</v>
      </c>
      <c r="Q2921" s="5" t="str">
        <f t="shared" si="7"/>
        <v>California</v>
      </c>
      <c r="R2921" s="5" t="str">
        <f t="shared" si="8"/>
        <v>United States</v>
      </c>
    </row>
    <row r="2922">
      <c r="A2922" s="7" t="s">
        <v>2170</v>
      </c>
      <c r="B2922" s="5" t="s">
        <v>2168</v>
      </c>
      <c r="C2922" s="5" t="s">
        <v>2169</v>
      </c>
      <c r="D2922" s="6" t="s">
        <v>13</v>
      </c>
      <c r="E2922" s="5" t="s">
        <v>2117</v>
      </c>
      <c r="F2922" s="5" t="s">
        <v>79</v>
      </c>
      <c r="G2922" s="5" t="s">
        <v>153</v>
      </c>
      <c r="H2922" s="5" t="s">
        <v>154</v>
      </c>
      <c r="I2922" s="5" t="s">
        <v>18</v>
      </c>
      <c r="J2922" s="9" t="str">
        <f>IFERROR(__xludf.DUMMYFUNCTION("""COMPUTED_VALUE"""),"https://www.google.com/search?newwindow=1&amp;ei=2MT0XrvGGM-vytMP1OyDgAY&amp;q=site%3Alinkedin.com+Emily+Ho+Project+Manager+II,+Campus+Recruiting+Operations+LinkedIn")</f>
        <v>https://www.google.com/search?newwindow=1&amp;ei=2MT0XrvGGM-vytMP1OyDgAY&amp;q=site%3Alinkedin.com+Emily+Ho+Project+Manager+II,+Campus+Recruiting+Operations+LinkedIn</v>
      </c>
      <c r="K2922" s="5" t="str">
        <f t="shared" si="1"/>
        <v>Emily Ho</v>
      </c>
      <c r="L2922" s="5" t="str">
        <f t="shared" si="2"/>
        <v>Project Manager II, Campus Recruiting Operations</v>
      </c>
      <c r="M2922" s="5" t="str">
        <f t="shared" si="3"/>
        <v> </v>
      </c>
      <c r="N2922" s="5" t="str">
        <f t="shared" si="4"/>
        <v>LinkedIn</v>
      </c>
      <c r="O2922" s="5" t="str">
        <f t="shared" si="5"/>
        <v>2 years 7 months in role</v>
      </c>
      <c r="P2922" s="5" t="str">
        <f t="shared" si="6"/>
        <v>San Jose</v>
      </c>
      <c r="Q2922" s="5" t="str">
        <f t="shared" si="7"/>
        <v>California</v>
      </c>
      <c r="R2922" s="5" t="str">
        <f t="shared" si="8"/>
        <v>United States</v>
      </c>
    </row>
    <row r="2923">
      <c r="A2923" s="7" t="s">
        <v>2172</v>
      </c>
      <c r="B2923" s="5" t="s">
        <v>2171</v>
      </c>
      <c r="C2923" s="5" t="s">
        <v>110</v>
      </c>
      <c r="D2923" s="6" t="s">
        <v>13</v>
      </c>
      <c r="E2923" s="5" t="s">
        <v>2117</v>
      </c>
      <c r="F2923" s="5" t="s">
        <v>48</v>
      </c>
      <c r="G2923" s="5" t="s">
        <v>153</v>
      </c>
      <c r="H2923" s="5" t="s">
        <v>154</v>
      </c>
      <c r="I2923" s="5" t="s">
        <v>18</v>
      </c>
      <c r="J2923" s="9" t="str">
        <f>IFERROR(__xludf.DUMMYFUNCTION("""COMPUTED_VALUE"""),"https://www.google.com/search?newwindow=1&amp;ei=2MT0XrvGGM-vytMP1OyDgAY&amp;q=site%3Alinkedin.com+Anthea+Ip+Lead,+Campus+Recruiting+Data+Pod,+Senior+Technical+Recruiter+LinkedIn")</f>
        <v>https://www.google.com/search?newwindow=1&amp;ei=2MT0XrvGGM-vytMP1OyDgAY&amp;q=site%3Alinkedin.com+Anthea+Ip+Lead,+Campus+Recruiting+Data+Pod,+Senior+Technical+Recruiter+LinkedIn</v>
      </c>
      <c r="K2923" s="5" t="str">
        <f t="shared" si="1"/>
        <v>Anthea Ip</v>
      </c>
      <c r="L2923" s="5" t="str">
        <f t="shared" si="2"/>
        <v>Lead, Campus Recruiting Data Pod, Senior Technical Recruiter</v>
      </c>
      <c r="M2923" s="5" t="str">
        <f t="shared" si="3"/>
        <v> </v>
      </c>
      <c r="N2923" s="5" t="str">
        <f t="shared" si="4"/>
        <v>LinkedIn</v>
      </c>
      <c r="O2923" s="5" t="str">
        <f t="shared" si="5"/>
        <v>6 years 10 months in role and company</v>
      </c>
      <c r="P2923" s="5" t="str">
        <f t="shared" si="6"/>
        <v>Sunnyvale</v>
      </c>
      <c r="Q2923" s="5" t="str">
        <f t="shared" si="7"/>
        <v>California</v>
      </c>
      <c r="R2923" s="5" t="str">
        <f t="shared" si="8"/>
        <v>United States</v>
      </c>
    </row>
    <row r="2924">
      <c r="A2924" s="7" t="s">
        <v>2175</v>
      </c>
      <c r="B2924" s="5" t="s">
        <v>2173</v>
      </c>
      <c r="C2924" s="5" t="s">
        <v>2174</v>
      </c>
      <c r="D2924" s="6" t="s">
        <v>4</v>
      </c>
      <c r="E2924" s="5" t="s">
        <v>2117</v>
      </c>
      <c r="F2924" s="5" t="s">
        <v>822</v>
      </c>
      <c r="G2924" s="5" t="s">
        <v>153</v>
      </c>
      <c r="H2924" s="5" t="s">
        <v>154</v>
      </c>
      <c r="I2924" s="5" t="s">
        <v>18</v>
      </c>
      <c r="J2924" s="9" t="str">
        <f>IFERROR(__xludf.DUMMYFUNCTION("""COMPUTED_VALUE"""),"https://www.google.com/search?newwindow=1&amp;ei=2MT0XrvGGM-vytMP1OyDgAY&amp;q=site%3Alinkedin.com+Tamara+Evans+College+Recruiter+Lockheed+Martin")</f>
        <v>https://www.google.com/search?newwindow=1&amp;ei=2MT0XrvGGM-vytMP1OyDgAY&amp;q=site%3Alinkedin.com+Tamara+Evans+College+Recruiter+Lockheed+Martin</v>
      </c>
      <c r="K2924" s="5" t="str">
        <f t="shared" si="1"/>
        <v>Tamara Evans</v>
      </c>
      <c r="L2924" s="5" t="str">
        <f t="shared" si="2"/>
        <v>College Recruiter</v>
      </c>
      <c r="M2924" s="5" t="str">
        <f t="shared" si="3"/>
        <v> </v>
      </c>
      <c r="N2924" s="5" t="str">
        <f t="shared" si="4"/>
        <v>Lockheed Martin</v>
      </c>
      <c r="O2924" s="5" t="str">
        <f t="shared" si="5"/>
        <v/>
      </c>
      <c r="P2924" s="5" t="str">
        <f t="shared" si="6"/>
        <v>Aurora</v>
      </c>
      <c r="Q2924" s="5" t="str">
        <f t="shared" si="7"/>
        <v>Colorado</v>
      </c>
      <c r="R2924" s="5" t="str">
        <f t="shared" si="8"/>
        <v>United States</v>
      </c>
    </row>
    <row r="2925">
      <c r="A2925" s="8" t="s">
        <v>2179</v>
      </c>
      <c r="B2925" s="5" t="s">
        <v>2176</v>
      </c>
      <c r="C2925" s="5" t="s">
        <v>2177</v>
      </c>
      <c r="D2925" s="6" t="s">
        <v>13</v>
      </c>
      <c r="E2925" s="5" t="s">
        <v>2117</v>
      </c>
      <c r="F2925" s="5" t="s">
        <v>651</v>
      </c>
      <c r="G2925" s="5" t="s">
        <v>2178</v>
      </c>
      <c r="H2925" s="5" t="s">
        <v>1305</v>
      </c>
      <c r="I2925" s="5" t="s">
        <v>18</v>
      </c>
      <c r="J2925" s="9" t="str">
        <f>IFERROR(__xludf.DUMMYFUNCTION("""COMPUTED_VALUE"""),"https://www.google.com/search?newwindow=1&amp;ei=2MT0XrvGGM-vytMP1OyDgAY&amp;q=site%3Alinkedin.com+Harmoni+Johnson+College+Recruiter+Lockheed+Martin")</f>
        <v>https://www.google.com/search?newwindow=1&amp;ei=2MT0XrvGGM-vytMP1OyDgAY&amp;q=site%3Alinkedin.com+Harmoni+Johnson+College+Recruiter+Lockheed+Martin</v>
      </c>
      <c r="K2925" s="5" t="str">
        <f t="shared" si="1"/>
        <v>Harmoni Johnson</v>
      </c>
      <c r="L2925" s="5" t="str">
        <f t="shared" si="2"/>
        <v>College Recruiter</v>
      </c>
      <c r="M2925" s="5" t="str">
        <f t="shared" si="3"/>
        <v> </v>
      </c>
      <c r="N2925" s="5" t="str">
        <f t="shared" si="4"/>
        <v>Lockheed Martin</v>
      </c>
      <c r="O2925" s="5" t="str">
        <f t="shared" si="5"/>
        <v>1 year 3 months in role</v>
      </c>
      <c r="P2925" s="5" t="str">
        <f t="shared" si="6"/>
        <v>Baltimore</v>
      </c>
      <c r="Q2925" s="5" t="str">
        <f t="shared" si="7"/>
        <v>Maryland</v>
      </c>
      <c r="R2925" s="5" t="str">
        <f t="shared" si="8"/>
        <v>United States</v>
      </c>
    </row>
    <row r="2926">
      <c r="A2926" s="7" t="s">
        <v>2182</v>
      </c>
      <c r="B2926" s="5" t="s">
        <v>2180</v>
      </c>
      <c r="C2926" s="5" t="s">
        <v>2181</v>
      </c>
      <c r="D2926" s="6" t="s">
        <v>13</v>
      </c>
      <c r="E2926" s="5" t="s">
        <v>2117</v>
      </c>
      <c r="F2926" s="5" t="s">
        <v>106</v>
      </c>
      <c r="G2926" s="5" t="s">
        <v>102</v>
      </c>
      <c r="H2926" s="5" t="s">
        <v>172</v>
      </c>
      <c r="I2926" s="5" t="s">
        <v>18</v>
      </c>
      <c r="J2926" s="9" t="str">
        <f>IFERROR(__xludf.DUMMYFUNCTION("""COMPUTED_VALUE"""),"https://www.google.com/search?newwindow=1&amp;ei=2MT0XrvGGM-vytMP1OyDgAY&amp;q=site%3Alinkedin.com+Patrick+Dinsmoor+Campus+Recruiter+Lockheed+Martin")</f>
        <v>https://www.google.com/search?newwindow=1&amp;ei=2MT0XrvGGM-vytMP1OyDgAY&amp;q=site%3Alinkedin.com+Patrick+Dinsmoor+Campus+Recruiter+Lockheed+Martin</v>
      </c>
      <c r="K2926" s="5" t="str">
        <f t="shared" si="1"/>
        <v>Patrick Dinsmoor</v>
      </c>
      <c r="L2926" s="5" t="str">
        <f t="shared" si="2"/>
        <v>Campus Recruiter</v>
      </c>
      <c r="M2926" s="5" t="str">
        <f t="shared" si="3"/>
        <v> </v>
      </c>
      <c r="N2926" s="5" t="str">
        <f t="shared" si="4"/>
        <v>Lockheed Martin</v>
      </c>
      <c r="O2926" s="5" t="str">
        <f t="shared" si="5"/>
        <v>14 years 2 months in role and company</v>
      </c>
      <c r="P2926" s="5" t="str">
        <f t="shared" si="6"/>
        <v>Bothell</v>
      </c>
      <c r="Q2926" s="5" t="str">
        <f t="shared" si="7"/>
        <v>Washington</v>
      </c>
      <c r="R2926" s="5" t="str">
        <f t="shared" si="8"/>
        <v>United States</v>
      </c>
    </row>
    <row r="2927">
      <c r="A2927" s="7" t="s">
        <v>2186</v>
      </c>
      <c r="B2927" s="5" t="s">
        <v>2183</v>
      </c>
      <c r="C2927" s="5" t="s">
        <v>2184</v>
      </c>
      <c r="D2927" s="6" t="s">
        <v>13</v>
      </c>
      <c r="E2927" s="5" t="s">
        <v>2185</v>
      </c>
      <c r="F2927" s="5" t="s">
        <v>523</v>
      </c>
      <c r="G2927" s="6" t="s">
        <v>64</v>
      </c>
      <c r="H2927" s="6" t="s">
        <v>65</v>
      </c>
      <c r="I2927" s="5" t="s">
        <v>18</v>
      </c>
      <c r="J2927" s="9" t="str">
        <f>IFERROR(__xludf.DUMMYFUNCTION("""COMPUTED_VALUE"""),"https://www.google.com/search?newwindow=1&amp;ei=2MT0XrvGGM-vytMP1OyDgAY&amp;q=site%3Alinkedin.com+Tara+Hafele+College+Recruiter,+Space+Lockheed+Martin")</f>
        <v>https://www.google.com/search?newwindow=1&amp;ei=2MT0XrvGGM-vytMP1OyDgAY&amp;q=site%3Alinkedin.com+Tara+Hafele+College+Recruiter,+Space+Lockheed+Martin</v>
      </c>
      <c r="K2927" s="5" t="str">
        <f t="shared" si="1"/>
        <v>Tara Hafele</v>
      </c>
      <c r="L2927" s="5" t="str">
        <f t="shared" si="2"/>
        <v>College Recruiter, Space</v>
      </c>
      <c r="M2927" s="5" t="str">
        <f t="shared" si="3"/>
        <v> </v>
      </c>
      <c r="N2927" s="5" t="str">
        <f t="shared" si="4"/>
        <v>Lockheed Martin</v>
      </c>
      <c r="O2927" s="5" t="str">
        <f t="shared" si="5"/>
        <v>10 months in role</v>
      </c>
      <c r="P2927" s="5" t="str">
        <f t="shared" si="6"/>
        <v>Collegeville</v>
      </c>
      <c r="Q2927" s="5" t="str">
        <f t="shared" si="7"/>
        <v>Pennsylvania</v>
      </c>
      <c r="R2927" s="5" t="str">
        <f t="shared" si="8"/>
        <v>United States</v>
      </c>
    </row>
    <row r="2928">
      <c r="A2928" s="8" t="s">
        <v>2189</v>
      </c>
      <c r="B2928" s="5" t="s">
        <v>2187</v>
      </c>
      <c r="C2928" s="5" t="s">
        <v>2188</v>
      </c>
      <c r="D2928" s="6" t="s">
        <v>13</v>
      </c>
      <c r="E2928" s="5" t="s">
        <v>2185</v>
      </c>
      <c r="F2928" s="5" t="s">
        <v>1460</v>
      </c>
      <c r="G2928" s="5" t="s">
        <v>658</v>
      </c>
      <c r="H2928" s="5" t="s">
        <v>91</v>
      </c>
      <c r="I2928" s="5" t="s">
        <v>18</v>
      </c>
      <c r="J2928" s="9" t="str">
        <f>IFERROR(__xludf.DUMMYFUNCTION("""COMPUTED_VALUE"""),"https://www.google.com/search?newwindow=1&amp;ei=2MT0XrvGGM-vytMP1OyDgAY&amp;q=site%3Alinkedin.com+Ashley+Kessens+University+Talent+Acquisition+Recruiter,+Space+Lockheed+Martin")</f>
        <v>https://www.google.com/search?newwindow=1&amp;ei=2MT0XrvGGM-vytMP1OyDgAY&amp;q=site%3Alinkedin.com+Ashley+Kessens+University+Talent+Acquisition+Recruiter,+Space+Lockheed+Martin</v>
      </c>
      <c r="K2928" s="5" t="str">
        <f t="shared" si="1"/>
        <v>Ashley Kessens</v>
      </c>
      <c r="L2928" s="5" t="str">
        <f t="shared" si="2"/>
        <v>University Talent Acquisition Recruiter, Space</v>
      </c>
      <c r="M2928" s="5" t="str">
        <f t="shared" si="3"/>
        <v> </v>
      </c>
      <c r="N2928" s="5" t="str">
        <f t="shared" si="4"/>
        <v>Lockheed Martin</v>
      </c>
      <c r="O2928" s="5" t="str">
        <f t="shared" si="5"/>
        <v>11 months in role and company</v>
      </c>
      <c r="P2928" s="5" t="str">
        <f t="shared" si="6"/>
        <v>Denver</v>
      </c>
      <c r="Q2928" s="5" t="str">
        <f t="shared" si="7"/>
        <v>Colorado</v>
      </c>
      <c r="R2928" s="5" t="str">
        <f t="shared" si="8"/>
        <v>United States</v>
      </c>
    </row>
    <row r="2929">
      <c r="A2929" s="8" t="s">
        <v>2192</v>
      </c>
      <c r="B2929" s="5" t="s">
        <v>2190</v>
      </c>
      <c r="C2929" s="5" t="s">
        <v>2191</v>
      </c>
      <c r="D2929" s="6" t="s">
        <v>13</v>
      </c>
      <c r="E2929" s="5" t="s">
        <v>2185</v>
      </c>
      <c r="F2929" s="5" t="s">
        <v>890</v>
      </c>
      <c r="G2929" s="6" t="s">
        <v>377</v>
      </c>
      <c r="H2929" s="6" t="s">
        <v>378</v>
      </c>
      <c r="I2929" s="5" t="s">
        <v>18</v>
      </c>
      <c r="J2929" s="9" t="str">
        <f>IFERROR(__xludf.DUMMYFUNCTION("""COMPUTED_VALUE"""),"https://www.google.com/search?newwindow=1&amp;ei=2MT0XrvGGM-vytMP1OyDgAY&amp;q=site%3Alinkedin.com+Kyle+Stai+University+Recruiter+Lockheed+Martin")</f>
        <v>https://www.google.com/search?newwindow=1&amp;ei=2MT0XrvGGM-vytMP1OyDgAY&amp;q=site%3Alinkedin.com+Kyle+Stai+University+Recruiter+Lockheed+Martin</v>
      </c>
      <c r="K2929" s="5" t="str">
        <f t="shared" si="1"/>
        <v>Kyle Stai</v>
      </c>
      <c r="L2929" s="5" t="str">
        <f t="shared" si="2"/>
        <v>University Recruiter</v>
      </c>
      <c r="M2929" s="5" t="str">
        <f t="shared" si="3"/>
        <v> </v>
      </c>
      <c r="N2929" s="5" t="str">
        <f t="shared" si="4"/>
        <v>Lockheed Martin</v>
      </c>
      <c r="O2929" s="5" t="str">
        <f t="shared" si="5"/>
        <v>8 months in role and company</v>
      </c>
      <c r="P2929" s="5" t="str">
        <f t="shared" si="6"/>
        <v>Denver</v>
      </c>
      <c r="Q2929" s="5" t="str">
        <f t="shared" si="7"/>
        <v>Colorado</v>
      </c>
      <c r="R2929" s="5" t="str">
        <f t="shared" si="8"/>
        <v>United States</v>
      </c>
    </row>
    <row r="2930">
      <c r="A2930" s="7" t="s">
        <v>2196</v>
      </c>
      <c r="B2930" s="5" t="s">
        <v>2193</v>
      </c>
      <c r="C2930" s="5" t="s">
        <v>2194</v>
      </c>
      <c r="D2930" s="6" t="s">
        <v>13</v>
      </c>
      <c r="E2930" s="5" t="s">
        <v>2185</v>
      </c>
      <c r="F2930" s="5" t="s">
        <v>1289</v>
      </c>
      <c r="G2930" s="5" t="s">
        <v>2195</v>
      </c>
      <c r="H2930" s="5" t="s">
        <v>219</v>
      </c>
      <c r="I2930" s="5" t="s">
        <v>18</v>
      </c>
      <c r="J2930" s="9" t="str">
        <f>IFERROR(__xludf.DUMMYFUNCTION("""COMPUTED_VALUE"""),"https://www.google.com/search?newwindow=1&amp;ei=2MT0XrvGGM-vytMP1OyDgAY&amp;q=site%3Alinkedin.com+Jennina+Arcuri+Lead+University+Talent+Aquisition+Recruiter+Lockheed+Martin")</f>
        <v>https://www.google.com/search?newwindow=1&amp;ei=2MT0XrvGGM-vytMP1OyDgAY&amp;q=site%3Alinkedin.com+Jennina+Arcuri+Lead+University+Talent+Aquisition+Recruiter+Lockheed+Martin</v>
      </c>
      <c r="K2930" s="5" t="str">
        <f t="shared" si="1"/>
        <v>Jennina Arcuri</v>
      </c>
      <c r="L2930" s="5" t="str">
        <f t="shared" si="2"/>
        <v>Lead University Talent Aquisition Recruiter</v>
      </c>
      <c r="M2930" s="5" t="str">
        <f t="shared" si="3"/>
        <v> </v>
      </c>
      <c r="N2930" s="5" t="str">
        <f t="shared" si="4"/>
        <v>Lockheed Martin</v>
      </c>
      <c r="O2930" s="5" t="str">
        <f t="shared" si="5"/>
        <v>2 years  in role</v>
      </c>
      <c r="P2930" s="5" t="str">
        <f t="shared" si="6"/>
        <v>Exton</v>
      </c>
      <c r="Q2930" s="5" t="str">
        <f t="shared" si="7"/>
        <v>Pennsylvania</v>
      </c>
      <c r="R2930" s="5" t="str">
        <f t="shared" si="8"/>
        <v>United States</v>
      </c>
    </row>
    <row r="2931">
      <c r="A2931" s="7" t="s">
        <v>2198</v>
      </c>
      <c r="B2931" s="5" t="s">
        <v>2197</v>
      </c>
      <c r="C2931" s="5" t="s">
        <v>115</v>
      </c>
      <c r="D2931" s="6" t="s">
        <v>13</v>
      </c>
      <c r="E2931" s="5" t="s">
        <v>2185</v>
      </c>
      <c r="F2931" s="5" t="s">
        <v>1289</v>
      </c>
      <c r="G2931" s="5" t="s">
        <v>183</v>
      </c>
      <c r="H2931" s="5" t="s">
        <v>184</v>
      </c>
      <c r="I2931" s="5" t="s">
        <v>18</v>
      </c>
      <c r="J2931" s="9" t="str">
        <f>IFERROR(__xludf.DUMMYFUNCTION("""COMPUTED_VALUE"""),"https://www.google.com/search?newwindow=1&amp;ei=2MT0XrvGGM-vytMP1OyDgAY&amp;q=site%3Alinkedin.com+Andrew+Pearlman+College+Recruiter+Lockheed+Martin")</f>
        <v>https://www.google.com/search?newwindow=1&amp;ei=2MT0XrvGGM-vytMP1OyDgAY&amp;q=site%3Alinkedin.com+Andrew+Pearlman+College+Recruiter+Lockheed+Martin</v>
      </c>
      <c r="K2931" s="5" t="str">
        <f t="shared" si="1"/>
        <v>Andrew Pearlman</v>
      </c>
      <c r="L2931" s="5" t="str">
        <f t="shared" si="2"/>
        <v>College Recruiter</v>
      </c>
      <c r="M2931" s="5" t="str">
        <f t="shared" si="3"/>
        <v> </v>
      </c>
      <c r="N2931" s="5" t="str">
        <f t="shared" si="4"/>
        <v>Lockheed Martin</v>
      </c>
      <c r="O2931" s="5" t="str">
        <f t="shared" si="5"/>
        <v>1 year 11 months in role and company</v>
      </c>
      <c r="P2931" s="5" t="str">
        <f t="shared" si="6"/>
        <v>Fairfax County</v>
      </c>
      <c r="Q2931" s="5" t="str">
        <f t="shared" si="7"/>
        <v>Virginia</v>
      </c>
      <c r="R2931" s="5" t="str">
        <f t="shared" si="8"/>
        <v>United States</v>
      </c>
    </row>
    <row r="2932">
      <c r="A2932" s="8" t="s">
        <v>2202</v>
      </c>
      <c r="B2932" s="5" t="s">
        <v>2199</v>
      </c>
      <c r="C2932" s="5" t="s">
        <v>2200</v>
      </c>
      <c r="D2932" s="6" t="s">
        <v>13</v>
      </c>
      <c r="E2932" s="5" t="s">
        <v>2185</v>
      </c>
      <c r="F2932" s="5" t="s">
        <v>1098</v>
      </c>
      <c r="G2932" s="5" t="s">
        <v>2201</v>
      </c>
      <c r="H2932" s="5" t="s">
        <v>137</v>
      </c>
      <c r="I2932" s="5" t="s">
        <v>18</v>
      </c>
      <c r="J2932" s="9" t="str">
        <f>IFERROR(__xludf.DUMMYFUNCTION("""COMPUTED_VALUE"""),"https://www.google.com/search?newwindow=1&amp;ei=2MT0XrvGGM-vytMP1OyDgAY&amp;q=site%3Alinkedin.com+Matthew+Castro+Campus+Recruiter+Lockheed+Martin")</f>
        <v>https://www.google.com/search?newwindow=1&amp;ei=2MT0XrvGGM-vytMP1OyDgAY&amp;q=site%3Alinkedin.com+Matthew+Castro+Campus+Recruiter+Lockheed+Martin</v>
      </c>
      <c r="K2932" s="5" t="str">
        <f t="shared" si="1"/>
        <v>Matthew Castro</v>
      </c>
      <c r="L2932" s="5" t="str">
        <f t="shared" si="2"/>
        <v>Campus Recruiter</v>
      </c>
      <c r="M2932" s="5" t="str">
        <f t="shared" si="3"/>
        <v> </v>
      </c>
      <c r="N2932" s="5" t="str">
        <f t="shared" si="4"/>
        <v>Lockheed Martin</v>
      </c>
      <c r="O2932" s="5" t="str">
        <f t="shared" si="5"/>
        <v>5 years 10 months in role and company</v>
      </c>
      <c r="P2932" s="5" t="str">
        <f t="shared" si="6"/>
        <v>Fort Worth</v>
      </c>
      <c r="Q2932" s="5" t="str">
        <f t="shared" si="7"/>
        <v>Texas</v>
      </c>
      <c r="R2932" s="5" t="str">
        <f t="shared" si="8"/>
        <v>United States</v>
      </c>
    </row>
    <row r="2933">
      <c r="A2933" s="7" t="s">
        <v>2206</v>
      </c>
      <c r="B2933" s="5" t="s">
        <v>2203</v>
      </c>
      <c r="C2933" s="5" t="s">
        <v>2204</v>
      </c>
      <c r="D2933" s="6" t="s">
        <v>13</v>
      </c>
      <c r="E2933" s="5" t="s">
        <v>2185</v>
      </c>
      <c r="F2933" s="5" t="s">
        <v>217</v>
      </c>
      <c r="G2933" s="5" t="s">
        <v>2205</v>
      </c>
      <c r="H2933" s="5" t="s">
        <v>154</v>
      </c>
      <c r="I2933" s="5" t="s">
        <v>18</v>
      </c>
      <c r="J2933" s="9" t="str">
        <f>IFERROR(__xludf.DUMMYFUNCTION("""COMPUTED_VALUE"""),"https://www.google.com/search?newwindow=1&amp;ei=2MT0XrvGGM-vytMP1OyDgAY&amp;q=site%3Alinkedin.com+Nicole+Foster,+M.S.+College+Recruiter+Lockheed+Martin")</f>
        <v>https://www.google.com/search?newwindow=1&amp;ei=2MT0XrvGGM-vytMP1OyDgAY&amp;q=site%3Alinkedin.com+Nicole+Foster,+M.S.+College+Recruiter+Lockheed+Martin</v>
      </c>
      <c r="K2933" s="5" t="str">
        <f t="shared" si="1"/>
        <v>Nicole Foster, M.S.</v>
      </c>
      <c r="L2933" s="5" t="str">
        <f t="shared" si="2"/>
        <v>College Recruiter</v>
      </c>
      <c r="M2933" s="5" t="str">
        <f t="shared" si="3"/>
        <v> </v>
      </c>
      <c r="N2933" s="5" t="str">
        <f t="shared" si="4"/>
        <v>Lockheed Martin</v>
      </c>
      <c r="O2933" s="5" t="str">
        <f t="shared" si="5"/>
        <v>1 year 5 months in role and company</v>
      </c>
      <c r="P2933" s="5" t="str">
        <f t="shared" si="6"/>
        <v>Hamden</v>
      </c>
      <c r="Q2933" s="5" t="str">
        <f t="shared" si="7"/>
        <v>Connecticut</v>
      </c>
      <c r="R2933" s="5" t="str">
        <f t="shared" si="8"/>
        <v>United States</v>
      </c>
    </row>
    <row r="2934">
      <c r="A2934" s="7" t="s">
        <v>2210</v>
      </c>
      <c r="B2934" s="5" t="s">
        <v>2207</v>
      </c>
      <c r="C2934" s="5" t="s">
        <v>480</v>
      </c>
      <c r="D2934" s="6" t="s">
        <v>13</v>
      </c>
      <c r="E2934" s="5" t="s">
        <v>2208</v>
      </c>
      <c r="F2934" s="5" t="s">
        <v>1123</v>
      </c>
      <c r="G2934" s="5" t="s">
        <v>2209</v>
      </c>
      <c r="H2934" s="5" t="s">
        <v>137</v>
      </c>
      <c r="I2934" s="5" t="s">
        <v>18</v>
      </c>
      <c r="J2934" s="9" t="str">
        <f>IFERROR(__xludf.DUMMYFUNCTION("""COMPUTED_VALUE"""),"https://www.google.com/search?newwindow=1&amp;ei=2MT0XrvGGM-vytMP1OyDgAY&amp;q=site%3Alinkedin.com+Alexandra+Halas+Campus+Recruiter+Lockheed+Martin")</f>
        <v>https://www.google.com/search?newwindow=1&amp;ei=2MT0XrvGGM-vytMP1OyDgAY&amp;q=site%3Alinkedin.com+Alexandra+Halas+Campus+Recruiter+Lockheed+Martin</v>
      </c>
      <c r="K2934" s="5" t="str">
        <f t="shared" si="1"/>
        <v>Alexandra Halas</v>
      </c>
      <c r="L2934" s="5" t="str">
        <f t="shared" si="2"/>
        <v>Campus Recruiter</v>
      </c>
      <c r="M2934" s="5" t="str">
        <f t="shared" si="3"/>
        <v> </v>
      </c>
      <c r="N2934" s="5" t="str">
        <f t="shared" si="4"/>
        <v>Lockheed Martin</v>
      </c>
      <c r="O2934" s="5" t="str">
        <f t="shared" si="5"/>
        <v>1 year 2 months in role and company</v>
      </c>
      <c r="P2934" s="5" t="str">
        <f t="shared" si="6"/>
        <v>King of Prussia</v>
      </c>
      <c r="Q2934" s="5" t="str">
        <f t="shared" si="7"/>
        <v>Pennsylvania</v>
      </c>
      <c r="R2934" s="5" t="str">
        <f t="shared" si="8"/>
        <v>United States</v>
      </c>
    </row>
    <row r="2935">
      <c r="A2935" s="8" t="s">
        <v>2214</v>
      </c>
      <c r="B2935" s="5" t="s">
        <v>2211</v>
      </c>
      <c r="C2935" s="5" t="s">
        <v>2212</v>
      </c>
      <c r="D2935" s="6" t="s">
        <v>13</v>
      </c>
      <c r="E2935" s="5" t="s">
        <v>2208</v>
      </c>
      <c r="F2935" s="5" t="s">
        <v>2213</v>
      </c>
      <c r="G2935" s="5" t="s">
        <v>2209</v>
      </c>
      <c r="H2935" s="5" t="s">
        <v>137</v>
      </c>
      <c r="I2935" s="5" t="s">
        <v>18</v>
      </c>
      <c r="J2935" s="9" t="str">
        <f>IFERROR(__xludf.DUMMYFUNCTION("""COMPUTED_VALUE"""),"https://www.google.com/search?newwindow=1&amp;ei=2MT0XrvGGM-vytMP1OyDgAY&amp;q=site%3Alinkedin.com+Christina+Ponzi+College+Recruiter+Lockheed+Martin")</f>
        <v>https://www.google.com/search?newwindow=1&amp;ei=2MT0XrvGGM-vytMP1OyDgAY&amp;q=site%3Alinkedin.com+Christina+Ponzi+College+Recruiter+Lockheed+Martin</v>
      </c>
      <c r="K2935" s="5" t="str">
        <f t="shared" si="1"/>
        <v>Christina Ponzi</v>
      </c>
      <c r="L2935" s="5" t="str">
        <f t="shared" si="2"/>
        <v>College Recruiter</v>
      </c>
      <c r="M2935" s="5" t="str">
        <f t="shared" si="3"/>
        <v> </v>
      </c>
      <c r="N2935" s="5" t="str">
        <f t="shared" si="4"/>
        <v>Lockheed Martin</v>
      </c>
      <c r="O2935" s="5" t="str">
        <f t="shared" si="5"/>
        <v>1 year 5 months in role and company</v>
      </c>
      <c r="P2935" s="5" t="str">
        <f t="shared" si="6"/>
        <v>Liverpool</v>
      </c>
      <c r="Q2935" s="5" t="str">
        <f t="shared" si="7"/>
        <v>New York</v>
      </c>
      <c r="R2935" s="5" t="str">
        <f t="shared" si="8"/>
        <v>United States</v>
      </c>
    </row>
    <row r="2936">
      <c r="A2936" s="7" t="s">
        <v>2217</v>
      </c>
      <c r="B2936" s="5" t="s">
        <v>2215</v>
      </c>
      <c r="C2936" s="5" t="s">
        <v>2216</v>
      </c>
      <c r="D2936" s="6" t="s">
        <v>13</v>
      </c>
      <c r="E2936" s="5" t="s">
        <v>2208</v>
      </c>
      <c r="F2936" s="5" t="s">
        <v>1364</v>
      </c>
      <c r="G2936" s="5" t="s">
        <v>2209</v>
      </c>
      <c r="H2936" s="5" t="s">
        <v>137</v>
      </c>
      <c r="I2936" s="5" t="s">
        <v>18</v>
      </c>
      <c r="J2936" s="9" t="str">
        <f>IFERROR(__xludf.DUMMYFUNCTION("""COMPUTED_VALUE"""),"https://www.google.com/search?newwindow=1&amp;ei=2MT0XrvGGM-vytMP1OyDgAY&amp;q=site%3Alinkedin.com+Gregory+Caguimbal+Campus+Recruiter+Lockheed+Martin")</f>
        <v>https://www.google.com/search?newwindow=1&amp;ei=2MT0XrvGGM-vytMP1OyDgAY&amp;q=site%3Alinkedin.com+Gregory+Caguimbal+Campus+Recruiter+Lockheed+Martin</v>
      </c>
      <c r="K2936" s="5" t="str">
        <f t="shared" si="1"/>
        <v>Gregory Caguimbal</v>
      </c>
      <c r="L2936" s="5" t="str">
        <f t="shared" si="2"/>
        <v>Campus Recruiter</v>
      </c>
      <c r="M2936" s="5" t="str">
        <f t="shared" si="3"/>
        <v> </v>
      </c>
      <c r="N2936" s="5" t="str">
        <f t="shared" si="4"/>
        <v>Lockheed Martin</v>
      </c>
      <c r="O2936" s="5" t="str">
        <f t="shared" si="5"/>
        <v>4 years 2 months in role</v>
      </c>
      <c r="P2936" s="5" t="str">
        <f t="shared" si="6"/>
        <v>Los Angeles</v>
      </c>
      <c r="Q2936" s="5" t="str">
        <f t="shared" si="7"/>
        <v>California</v>
      </c>
      <c r="R2936" s="5" t="str">
        <f t="shared" si="8"/>
        <v>United States</v>
      </c>
    </row>
    <row r="2937">
      <c r="A2937" s="7" t="s">
        <v>2219</v>
      </c>
      <c r="B2937" s="5" t="s">
        <v>2218</v>
      </c>
      <c r="C2937" s="5" t="s">
        <v>25</v>
      </c>
      <c r="D2937" s="6" t="s">
        <v>13</v>
      </c>
      <c r="E2937" s="5" t="s">
        <v>2208</v>
      </c>
      <c r="F2937" s="5" t="s">
        <v>175</v>
      </c>
      <c r="G2937" s="5" t="s">
        <v>1532</v>
      </c>
      <c r="H2937" s="5" t="s">
        <v>945</v>
      </c>
      <c r="I2937" s="5" t="s">
        <v>18</v>
      </c>
      <c r="J2937" s="9" t="str">
        <f>IFERROR(__xludf.DUMMYFUNCTION("""COMPUTED_VALUE"""),"https://www.google.com/search?newwindow=1&amp;ei=2MT0XrvGGM-vytMP1OyDgAY&amp;q=site%3Alinkedin.com+Pitchaporn+Vorapipatana+College+Recruiter+Lockheed+Martin")</f>
        <v>https://www.google.com/search?newwindow=1&amp;ei=2MT0XrvGGM-vytMP1OyDgAY&amp;q=site%3Alinkedin.com+Pitchaporn+Vorapipatana+College+Recruiter+Lockheed+Martin</v>
      </c>
      <c r="K2937" s="5" t="str">
        <f t="shared" si="1"/>
        <v>Pitchaporn Vorapipatana</v>
      </c>
      <c r="L2937" s="5" t="str">
        <f t="shared" si="2"/>
        <v>College Recruiter</v>
      </c>
      <c r="M2937" s="5" t="str">
        <f t="shared" si="3"/>
        <v> </v>
      </c>
      <c r="N2937" s="5" t="str">
        <f t="shared" si="4"/>
        <v>Lockheed Martin</v>
      </c>
      <c r="O2937" s="5" t="str">
        <f t="shared" si="5"/>
        <v>10 months in role</v>
      </c>
      <c r="P2937" s="5" t="str">
        <f t="shared" si="6"/>
        <v>Orlando</v>
      </c>
      <c r="Q2937" s="5" t="str">
        <f t="shared" si="7"/>
        <v>Florida</v>
      </c>
      <c r="R2937" s="5" t="str">
        <f t="shared" si="8"/>
        <v>United States</v>
      </c>
    </row>
    <row r="2938">
      <c r="A2938" s="8" t="s">
        <v>2223</v>
      </c>
      <c r="B2938" s="5" t="s">
        <v>2220</v>
      </c>
      <c r="C2938" s="5" t="s">
        <v>2221</v>
      </c>
      <c r="D2938" s="6" t="s">
        <v>13</v>
      </c>
      <c r="E2938" s="5" t="s">
        <v>2208</v>
      </c>
      <c r="F2938" s="5" t="s">
        <v>345</v>
      </c>
      <c r="G2938" s="5" t="s">
        <v>2222</v>
      </c>
      <c r="H2938" s="5" t="s">
        <v>949</v>
      </c>
      <c r="I2938" s="5" t="s">
        <v>18</v>
      </c>
      <c r="J2938" s="9" t="str">
        <f>IFERROR(__xludf.DUMMYFUNCTION("""COMPUTED_VALUE"""),"https://www.google.com/search?newwindow=1&amp;ei=2MT0XrvGGM-vytMP1OyDgAY&amp;q=site%3Alinkedin.com+Brian+Kroll+🔹+Campus+Recruiter+with+University+Relations+&amp;+Recruiting+Lockheed+Martin")</f>
        <v>https://www.google.com/search?newwindow=1&amp;ei=2MT0XrvGGM-vytMP1OyDgAY&amp;q=site%3Alinkedin.com+Brian+Kroll+🔹+Campus+Recruiter+with+University+Relations+&amp;+Recruiting+Lockheed+Martin</v>
      </c>
      <c r="K2938" s="5" t="str">
        <f t="shared" si="1"/>
        <v>Brian Kroll 🔹</v>
      </c>
      <c r="L2938" s="5" t="str">
        <f t="shared" si="2"/>
        <v>Campus Recruiter with University Relations &amp; Recruiting</v>
      </c>
      <c r="M2938" s="5" t="str">
        <f t="shared" si="3"/>
        <v> </v>
      </c>
      <c r="N2938" s="5" t="str">
        <f t="shared" si="4"/>
        <v>Lockheed Martin</v>
      </c>
      <c r="O2938" s="5" t="str">
        <f t="shared" si="5"/>
        <v>11 months in role</v>
      </c>
      <c r="P2938" s="5" t="str">
        <f t="shared" si="6"/>
        <v>Philadelphia</v>
      </c>
      <c r="Q2938" s="5" t="str">
        <f t="shared" si="7"/>
        <v>Pennsylvania</v>
      </c>
      <c r="R2938" s="5" t="str">
        <f t="shared" si="8"/>
        <v>United States</v>
      </c>
    </row>
    <row r="2939">
      <c r="A2939" s="7" t="s">
        <v>2226</v>
      </c>
      <c r="B2939" s="5" t="s">
        <v>2224</v>
      </c>
      <c r="C2939" s="5" t="s">
        <v>2225</v>
      </c>
      <c r="D2939" s="6" t="s">
        <v>13</v>
      </c>
      <c r="E2939" s="5" t="s">
        <v>2208</v>
      </c>
      <c r="F2939" s="5" t="s">
        <v>100</v>
      </c>
      <c r="G2939" s="5" t="s">
        <v>80</v>
      </c>
      <c r="H2939" s="5" t="s">
        <v>38</v>
      </c>
      <c r="I2939" s="5" t="s">
        <v>18</v>
      </c>
      <c r="J2939" s="9" t="str">
        <f>IFERROR(__xludf.DUMMYFUNCTION("""COMPUTED_VALUE"""),"https://www.google.com/search?newwindow=1&amp;ei=2MT0XrvGGM-vytMP1OyDgAY&amp;q=site%3Alinkedin.com+Chelcey+Little+Leadership+Development+Program+Lead/+College+Recruiter+Lockheed+Martin")</f>
        <v>https://www.google.com/search?newwindow=1&amp;ei=2MT0XrvGGM-vytMP1OyDgAY&amp;q=site%3Alinkedin.com+Chelcey+Little+Leadership+Development+Program+Lead/+College+Recruiter+Lockheed+Martin</v>
      </c>
      <c r="K2939" s="5" t="str">
        <f t="shared" si="1"/>
        <v>Chelcey Little</v>
      </c>
      <c r="L2939" s="5" t="str">
        <f t="shared" si="2"/>
        <v>Leadership Development Program Lead/ College Recruiter</v>
      </c>
      <c r="M2939" s="5" t="str">
        <f t="shared" si="3"/>
        <v> </v>
      </c>
      <c r="N2939" s="5" t="str">
        <f t="shared" si="4"/>
        <v>Lockheed Martin</v>
      </c>
      <c r="O2939" s="5" t="str">
        <f t="shared" si="5"/>
        <v>2 years 4 months in role and company</v>
      </c>
      <c r="P2939" s="5" t="str">
        <f t="shared" si="6"/>
        <v>Philadelphia</v>
      </c>
      <c r="Q2939" s="5" t="str">
        <f t="shared" si="7"/>
        <v>Pennsylvania</v>
      </c>
      <c r="R2939" s="5" t="str">
        <f t="shared" si="8"/>
        <v>United States</v>
      </c>
    </row>
    <row r="2940">
      <c r="A2940" s="7" t="s">
        <v>2228</v>
      </c>
      <c r="B2940" s="5" t="s">
        <v>2227</v>
      </c>
      <c r="C2940" s="5" t="s">
        <v>480</v>
      </c>
      <c r="D2940" s="6" t="s">
        <v>13</v>
      </c>
      <c r="E2940" s="5" t="s">
        <v>2208</v>
      </c>
      <c r="F2940" s="5" t="s">
        <v>26</v>
      </c>
      <c r="G2940" s="5" t="s">
        <v>80</v>
      </c>
      <c r="H2940" s="5" t="s">
        <v>38</v>
      </c>
      <c r="I2940" s="5" t="s">
        <v>18</v>
      </c>
      <c r="J2940" s="9" t="str">
        <f>IFERROR(__xludf.DUMMYFUNCTION("""COMPUTED_VALUE"""),"https://www.google.com/search?newwindow=1&amp;ei=2MT0XrvGGM-vytMP1OyDgAY&amp;q=site%3Alinkedin.com+Nicole+Horan+College+Recruiter+Lockheed+Martin")</f>
        <v>https://www.google.com/search?newwindow=1&amp;ei=2MT0XrvGGM-vytMP1OyDgAY&amp;q=site%3Alinkedin.com+Nicole+Horan+College+Recruiter+Lockheed+Martin</v>
      </c>
      <c r="K2940" s="5" t="str">
        <f t="shared" si="1"/>
        <v>Nicole Horan</v>
      </c>
      <c r="L2940" s="5" t="str">
        <f t="shared" si="2"/>
        <v>College Recruiter</v>
      </c>
      <c r="M2940" s="5" t="str">
        <f t="shared" si="3"/>
        <v> </v>
      </c>
      <c r="N2940" s="5" t="str">
        <f t="shared" si="4"/>
        <v>Lockheed Martin</v>
      </c>
      <c r="O2940" s="5" t="str">
        <f t="shared" si="5"/>
        <v>10 months in role and company</v>
      </c>
      <c r="P2940" s="5" t="str">
        <f t="shared" si="6"/>
        <v>Phoenixville</v>
      </c>
      <c r="Q2940" s="5" t="str">
        <f t="shared" si="7"/>
        <v>Pennsylvania</v>
      </c>
      <c r="R2940" s="5" t="str">
        <f t="shared" si="8"/>
        <v>United States</v>
      </c>
    </row>
    <row r="2941">
      <c r="A2941" s="7" t="s">
        <v>2230</v>
      </c>
      <c r="B2941" s="5" t="s">
        <v>2229</v>
      </c>
      <c r="C2941" s="5" t="s">
        <v>2225</v>
      </c>
      <c r="D2941" s="6" t="s">
        <v>13</v>
      </c>
      <c r="E2941" s="5" t="s">
        <v>2208</v>
      </c>
      <c r="F2941" s="5" t="s">
        <v>1846</v>
      </c>
      <c r="G2941" s="5" t="s">
        <v>80</v>
      </c>
      <c r="H2941" s="5" t="s">
        <v>38</v>
      </c>
      <c r="I2941" s="5" t="s">
        <v>18</v>
      </c>
      <c r="J2941" s="9" t="str">
        <f>IFERROR(__xludf.DUMMYFUNCTION("""COMPUTED_VALUE"""),"https://www.google.com/search?newwindow=1&amp;ei=2MT0XrvGGM-vytMP1OyDgAY&amp;q=site%3Alinkedin.com+Bria+Rathway+Campus+Recruiter+Lockheed+Martin")</f>
        <v>https://www.google.com/search?newwindow=1&amp;ei=2MT0XrvGGM-vytMP1OyDgAY&amp;q=site%3Alinkedin.com+Bria+Rathway+Campus+Recruiter+Lockheed+Martin</v>
      </c>
      <c r="K2941" s="5" t="str">
        <f t="shared" si="1"/>
        <v>Bria Rathway</v>
      </c>
      <c r="L2941" s="5" t="str">
        <f t="shared" si="2"/>
        <v>Campus Recruiter</v>
      </c>
      <c r="M2941" s="5" t="str">
        <f t="shared" si="3"/>
        <v> </v>
      </c>
      <c r="N2941" s="5" t="str">
        <f t="shared" si="4"/>
        <v>Lockheed Martin</v>
      </c>
      <c r="O2941" s="5" t="str">
        <f t="shared" si="5"/>
        <v>1 year 1 month in role and company</v>
      </c>
      <c r="P2941" s="5" t="str">
        <f t="shared" si="6"/>
        <v>Pittsburgh</v>
      </c>
      <c r="Q2941" s="5" t="str">
        <f t="shared" si="7"/>
        <v>Pennsylvania</v>
      </c>
      <c r="R2941" s="5" t="str">
        <f t="shared" si="8"/>
        <v>United States</v>
      </c>
    </row>
    <row r="2942">
      <c r="A2942" s="7" t="s">
        <v>2232</v>
      </c>
      <c r="B2942" s="5" t="s">
        <v>2231</v>
      </c>
      <c r="C2942" s="5" t="s">
        <v>480</v>
      </c>
      <c r="D2942" s="6" t="s">
        <v>13</v>
      </c>
      <c r="E2942" s="5" t="s">
        <v>2208</v>
      </c>
      <c r="F2942" s="5" t="s">
        <v>1407</v>
      </c>
      <c r="G2942" s="5" t="s">
        <v>80</v>
      </c>
      <c r="H2942" s="5" t="s">
        <v>38</v>
      </c>
      <c r="I2942" s="5" t="s">
        <v>18</v>
      </c>
      <c r="J2942" s="9" t="str">
        <f>IFERROR(__xludf.DUMMYFUNCTION("""COMPUTED_VALUE"""),"https://www.google.com/search?newwindow=1&amp;ei=2MT0XrvGGM-vytMP1OyDgAY&amp;q=site%3Alinkedin.com+Sierra+Kehrer+College+Recruiter:+Global+Talent+Acquisitions+Lockheed+Martin")</f>
        <v>https://www.google.com/search?newwindow=1&amp;ei=2MT0XrvGGM-vytMP1OyDgAY&amp;q=site%3Alinkedin.com+Sierra+Kehrer+College+Recruiter:+Global+Talent+Acquisitions+Lockheed+Martin</v>
      </c>
      <c r="K2942" s="5" t="str">
        <f t="shared" si="1"/>
        <v>Sierra Kehrer</v>
      </c>
      <c r="L2942" s="5" t="str">
        <f t="shared" si="2"/>
        <v>College Recruiter: Global Talent Acquisitions</v>
      </c>
      <c r="M2942" s="5" t="str">
        <f t="shared" si="3"/>
        <v> </v>
      </c>
      <c r="N2942" s="5" t="str">
        <f t="shared" si="4"/>
        <v>Lockheed Martin</v>
      </c>
      <c r="O2942" s="5" t="str">
        <f t="shared" si="5"/>
        <v>5 months in role</v>
      </c>
      <c r="P2942" s="5" t="str">
        <f t="shared" si="6"/>
        <v>Provo</v>
      </c>
      <c r="Q2942" s="5" t="str">
        <f t="shared" si="7"/>
        <v>Utah</v>
      </c>
      <c r="R2942" s="5" t="str">
        <f t="shared" si="8"/>
        <v>United States</v>
      </c>
    </row>
    <row r="2943">
      <c r="A2943" s="7" t="s">
        <v>2235</v>
      </c>
      <c r="B2943" s="5" t="s">
        <v>2233</v>
      </c>
      <c r="C2943" s="5" t="s">
        <v>2225</v>
      </c>
      <c r="D2943" s="6" t="s">
        <v>13</v>
      </c>
      <c r="E2943" s="5" t="s">
        <v>2208</v>
      </c>
      <c r="F2943" s="5" t="s">
        <v>26</v>
      </c>
      <c r="G2943" s="5" t="s">
        <v>2234</v>
      </c>
      <c r="H2943" s="5" t="s">
        <v>184</v>
      </c>
      <c r="I2943" s="5" t="s">
        <v>18</v>
      </c>
      <c r="J2943" s="9" t="str">
        <f>IFERROR(__xludf.DUMMYFUNCTION("""COMPUTED_VALUE"""),"https://www.google.com/search?newwindow=1&amp;ei=2MT0XrvGGM-vytMP1OyDgAY&amp;q=site%3Alinkedin.com+Leo+Faneuf+College+Talent+Acquisition+and+Diversity+Engagement+Manager+Lockheed+Martin")</f>
        <v>https://www.google.com/search?newwindow=1&amp;ei=2MT0XrvGGM-vytMP1OyDgAY&amp;q=site%3Alinkedin.com+Leo+Faneuf+College+Talent+Acquisition+and+Diversity+Engagement+Manager+Lockheed+Martin</v>
      </c>
      <c r="K2943" s="5" t="str">
        <f t="shared" si="1"/>
        <v>Leo Faneuf</v>
      </c>
      <c r="L2943" s="5" t="str">
        <f t="shared" si="2"/>
        <v>College Talent Acquisition and Diversity Engagement Manager</v>
      </c>
      <c r="M2943" s="5" t="str">
        <f t="shared" si="3"/>
        <v> </v>
      </c>
      <c r="N2943" s="5" t="str">
        <f t="shared" si="4"/>
        <v>Lockheed Martin</v>
      </c>
      <c r="O2943" s="5" t="str">
        <f t="shared" si="5"/>
        <v>2 years 4 months in role</v>
      </c>
      <c r="P2943" s="5" t="str">
        <f t="shared" si="6"/>
        <v>Round Hill</v>
      </c>
      <c r="Q2943" s="5" t="str">
        <f t="shared" si="7"/>
        <v>Virginia</v>
      </c>
      <c r="R2943" s="5" t="str">
        <f t="shared" si="8"/>
        <v>United States</v>
      </c>
    </row>
    <row r="2944">
      <c r="A2944" s="7" t="s">
        <v>2237</v>
      </c>
      <c r="B2944" s="5" t="s">
        <v>2236</v>
      </c>
      <c r="C2944" s="5" t="s">
        <v>2225</v>
      </c>
      <c r="D2944" s="6" t="s">
        <v>13</v>
      </c>
      <c r="E2944" s="5" t="s">
        <v>2208</v>
      </c>
      <c r="F2944" s="5" t="s">
        <v>1364</v>
      </c>
      <c r="G2944" s="5" t="s">
        <v>2234</v>
      </c>
      <c r="H2944" s="5" t="s">
        <v>184</v>
      </c>
      <c r="I2944" s="5" t="s">
        <v>18</v>
      </c>
      <c r="J2944" s="9" t="str">
        <f>IFERROR(__xludf.DUMMYFUNCTION("""COMPUTED_VALUE"""),"https://www.google.com/search?newwindow=1&amp;ei=2MT0XrvGGM-vytMP1OyDgAY&amp;q=site%3Alinkedin.com+Yeneneh+Ketema+Campus+Relations+Manager+Lockheed+Martin")</f>
        <v>https://www.google.com/search?newwindow=1&amp;ei=2MT0XrvGGM-vytMP1OyDgAY&amp;q=site%3Alinkedin.com+Yeneneh+Ketema+Campus+Relations+Manager+Lockheed+Martin</v>
      </c>
      <c r="K2944" s="5" t="str">
        <f t="shared" si="1"/>
        <v>Yeneneh Ketema</v>
      </c>
      <c r="L2944" s="5" t="str">
        <f t="shared" si="2"/>
        <v>Campus Relations Manager</v>
      </c>
      <c r="M2944" s="5" t="str">
        <f t="shared" si="3"/>
        <v> </v>
      </c>
      <c r="N2944" s="5" t="str">
        <f t="shared" si="4"/>
        <v>Lockheed Martin</v>
      </c>
      <c r="O2944" s="5" t="str">
        <f t="shared" si="5"/>
        <v>1 year 1 month in role</v>
      </c>
      <c r="P2944" s="5" t="str">
        <f t="shared" si="6"/>
        <v>Silver Spring</v>
      </c>
      <c r="Q2944" s="5" t="str">
        <f t="shared" si="7"/>
        <v>Maryland</v>
      </c>
      <c r="R2944" s="5" t="str">
        <f t="shared" si="8"/>
        <v>United States</v>
      </c>
    </row>
    <row r="2945">
      <c r="A2945" s="7" t="s">
        <v>2239</v>
      </c>
      <c r="B2945" s="5" t="s">
        <v>2238</v>
      </c>
      <c r="C2945" s="5" t="s">
        <v>480</v>
      </c>
      <c r="D2945" s="6" t="s">
        <v>13</v>
      </c>
      <c r="E2945" s="5" t="s">
        <v>2208</v>
      </c>
      <c r="F2945" s="5" t="s">
        <v>1634</v>
      </c>
      <c r="G2945" s="5" t="s">
        <v>2234</v>
      </c>
      <c r="H2945" s="5" t="s">
        <v>184</v>
      </c>
      <c r="I2945" s="5" t="s">
        <v>18</v>
      </c>
      <c r="J2945" s="9" t="str">
        <f>IFERROR(__xludf.DUMMYFUNCTION("""COMPUTED_VALUE"""),"https://www.google.com/search?newwindow=1&amp;ei=2MT0XrvGGM-vytMP1OyDgAY&amp;q=site%3Alinkedin.com+Janet+Bachtel+Campus+Manager+-+University+Relations+&amp;+Recruiting+Lockheed+Martin")</f>
        <v>https://www.google.com/search?newwindow=1&amp;ei=2MT0XrvGGM-vytMP1OyDgAY&amp;q=site%3Alinkedin.com+Janet+Bachtel+Campus+Manager+-+University+Relations+&amp;+Recruiting+Lockheed+Martin</v>
      </c>
      <c r="K2945" s="5" t="str">
        <f t="shared" si="1"/>
        <v>Janet Bachtel</v>
      </c>
      <c r="L2945" s="5" t="str">
        <f t="shared" si="2"/>
        <v>Campus Manager - University Relations &amp; Recruiting</v>
      </c>
      <c r="M2945" s="5" t="str">
        <f t="shared" si="3"/>
        <v> </v>
      </c>
      <c r="N2945" s="5" t="str">
        <f t="shared" si="4"/>
        <v>Lockheed Martin</v>
      </c>
      <c r="O2945" s="5" t="str">
        <f t="shared" si="5"/>
        <v>2 years  in role and company</v>
      </c>
      <c r="P2945" s="5" t="str">
        <f t="shared" si="6"/>
        <v>Springfield-Branson</v>
      </c>
      <c r="Q2945" s="5" t="str">
        <f t="shared" si="7"/>
        <v>Missouri</v>
      </c>
      <c r="R2945" s="5" t="str">
        <f t="shared" si="8"/>
        <v>United States</v>
      </c>
    </row>
    <row r="2946">
      <c r="A2946" s="7" t="s">
        <v>2242</v>
      </c>
      <c r="B2946" s="5" t="s">
        <v>2240</v>
      </c>
      <c r="C2946" s="5" t="s">
        <v>2225</v>
      </c>
      <c r="D2946" s="6" t="s">
        <v>13</v>
      </c>
      <c r="E2946" s="5" t="s">
        <v>2208</v>
      </c>
      <c r="F2946" s="5" t="s">
        <v>2241</v>
      </c>
      <c r="G2946" s="5" t="s">
        <v>112</v>
      </c>
      <c r="H2946" s="5" t="s">
        <v>38</v>
      </c>
      <c r="I2946" s="5" t="s">
        <v>18</v>
      </c>
      <c r="J2946" s="9" t="str">
        <f>IFERROR(__xludf.DUMMYFUNCTION("""COMPUTED_VALUE"""),"https://www.google.com/search?newwindow=1&amp;ei=2MT0XrvGGM-vytMP1OyDgAY&amp;q=site%3Alinkedin.com+Margaret+Ila+Christian+Campus+Recruiter+Lockheed+Martin")</f>
        <v>https://www.google.com/search?newwindow=1&amp;ei=2MT0XrvGGM-vytMP1OyDgAY&amp;q=site%3Alinkedin.com+Margaret+Ila+Christian+Campus+Recruiter+Lockheed+Martin</v>
      </c>
      <c r="K2946" s="5" t="str">
        <f t="shared" si="1"/>
        <v>Margaret Ila Christian</v>
      </c>
      <c r="L2946" s="5" t="str">
        <f t="shared" si="2"/>
        <v>Campus Recruiter</v>
      </c>
      <c r="M2946" s="5" t="str">
        <f t="shared" si="3"/>
        <v> </v>
      </c>
      <c r="N2946" s="5" t="str">
        <f t="shared" si="4"/>
        <v>Lockheed Martin</v>
      </c>
      <c r="O2946" s="5" t="str">
        <f t="shared" si="5"/>
        <v>1 year  in role and company</v>
      </c>
      <c r="P2946" s="5" t="str">
        <f t="shared" si="6"/>
        <v>Tuscaloosa</v>
      </c>
      <c r="Q2946" s="5" t="str">
        <f t="shared" si="7"/>
        <v>Alabama</v>
      </c>
      <c r="R2946" s="5" t="str">
        <f t="shared" si="8"/>
        <v>United States</v>
      </c>
    </row>
    <row r="2947">
      <c r="A2947" s="7" t="s">
        <v>2244</v>
      </c>
      <c r="B2947" s="5" t="s">
        <v>2243</v>
      </c>
      <c r="C2947" s="5" t="s">
        <v>2225</v>
      </c>
      <c r="D2947" s="6" t="s">
        <v>13</v>
      </c>
      <c r="E2947" s="5" t="s">
        <v>2208</v>
      </c>
      <c r="F2947" s="5" t="s">
        <v>94</v>
      </c>
      <c r="G2947" s="5" t="s">
        <v>1527</v>
      </c>
      <c r="H2947" s="5" t="s">
        <v>945</v>
      </c>
      <c r="I2947" s="5" t="s">
        <v>18</v>
      </c>
      <c r="J2947" s="9" t="str">
        <f>IFERROR(__xludf.DUMMYFUNCTION("""COMPUTED_VALUE"""),"https://www.google.com/search?newwindow=1&amp;ei=2MT0XrvGGM-vytMP1OyDgAY&amp;q=site%3Alinkedin.com+Karina+Stronciu+Campus+Recruiter+Lockheed+Martin")</f>
        <v>https://www.google.com/search?newwindow=1&amp;ei=2MT0XrvGGM-vytMP1OyDgAY&amp;q=site%3Alinkedin.com+Karina+Stronciu+Campus+Recruiter+Lockheed+Martin</v>
      </c>
      <c r="K2947" s="5" t="str">
        <f t="shared" si="1"/>
        <v>Karina Stronciu</v>
      </c>
      <c r="L2947" s="5" t="str">
        <f t="shared" si="2"/>
        <v>Campus Recruiter</v>
      </c>
      <c r="M2947" s="5" t="str">
        <f t="shared" si="3"/>
        <v> </v>
      </c>
      <c r="N2947" s="5" t="str">
        <f t="shared" si="4"/>
        <v>Lockheed Martin</v>
      </c>
      <c r="O2947" s="5" t="str">
        <f t="shared" si="5"/>
        <v>1 year 10 months in role and company</v>
      </c>
      <c r="P2947" s="5" t="str">
        <f t="shared" si="6"/>
        <v>Washington</v>
      </c>
      <c r="Q2947" s="5" t="str">
        <f t="shared" si="7"/>
        <v>District of Columbia</v>
      </c>
      <c r="R2947" s="5" t="str">
        <f t="shared" si="8"/>
        <v>United States</v>
      </c>
    </row>
    <row r="2948">
      <c r="A2948" s="7" t="s">
        <v>2246</v>
      </c>
      <c r="B2948" s="5" t="s">
        <v>2245</v>
      </c>
      <c r="C2948" s="5" t="s">
        <v>480</v>
      </c>
      <c r="D2948" s="6" t="s">
        <v>13</v>
      </c>
      <c r="E2948" s="5" t="s">
        <v>2208</v>
      </c>
      <c r="F2948" s="5" t="s">
        <v>182</v>
      </c>
      <c r="G2948" s="5" t="s">
        <v>2100</v>
      </c>
      <c r="H2948" s="5" t="s">
        <v>264</v>
      </c>
      <c r="I2948" s="5" t="s">
        <v>18</v>
      </c>
      <c r="J2948" s="9" t="str">
        <f>IFERROR(__xludf.DUMMYFUNCTION("""COMPUTED_VALUE"""),"https://www.google.com/search?newwindow=1&amp;ei=2MT0XrvGGM-vytMP1OyDgAY&amp;q=site%3Alinkedin.com+Iysha+Robinson,+M.A.+University+Talent+Acquisition+Recruiter+Lockheed+Martin")</f>
        <v>https://www.google.com/search?newwindow=1&amp;ei=2MT0XrvGGM-vytMP1OyDgAY&amp;q=site%3Alinkedin.com+Iysha+Robinson,+M.A.+University+Talent+Acquisition+Recruiter+Lockheed+Martin</v>
      </c>
      <c r="K2948" s="5" t="str">
        <f t="shared" si="1"/>
        <v>Iysha Robinson, M.A.</v>
      </c>
      <c r="L2948" s="5" t="str">
        <f t="shared" si="2"/>
        <v>University Talent Acquisition Recruiter</v>
      </c>
      <c r="M2948" s="5" t="str">
        <f t="shared" si="3"/>
        <v> </v>
      </c>
      <c r="N2948" s="5" t="str">
        <f t="shared" si="4"/>
        <v>Lockheed Martin</v>
      </c>
      <c r="O2948" s="5" t="str">
        <f t="shared" si="5"/>
        <v>10 months in role and company</v>
      </c>
      <c r="P2948" s="5" t="str">
        <f t="shared" si="6"/>
        <v>Washington</v>
      </c>
      <c r="Q2948" s="5" t="str">
        <f t="shared" si="7"/>
        <v>District of Columbia</v>
      </c>
      <c r="R2948" s="5" t="str">
        <f t="shared" si="8"/>
        <v>United States</v>
      </c>
    </row>
    <row r="2949">
      <c r="A2949" s="7" t="s">
        <v>2249</v>
      </c>
      <c r="B2949" s="5" t="s">
        <v>2247</v>
      </c>
      <c r="C2949" s="5" t="s">
        <v>2225</v>
      </c>
      <c r="D2949" s="6" t="s">
        <v>13</v>
      </c>
      <c r="E2949" s="5" t="s">
        <v>2208</v>
      </c>
      <c r="F2949" s="5" t="s">
        <v>53</v>
      </c>
      <c r="G2949" s="5" t="s">
        <v>2248</v>
      </c>
      <c r="H2949" s="5" t="s">
        <v>38</v>
      </c>
      <c r="I2949" s="5" t="s">
        <v>18</v>
      </c>
      <c r="J2949" s="9" t="str">
        <f>IFERROR(__xludf.DUMMYFUNCTION("""COMPUTED_VALUE"""),"https://www.google.com/search?newwindow=1&amp;ei=2MT0XrvGGM-vytMP1OyDgAY&amp;q=site%3Alinkedin.com+Brigette+Biagas+Campus+Recruiter+Lockheed+Martin")</f>
        <v>https://www.google.com/search?newwindow=1&amp;ei=2MT0XrvGGM-vytMP1OyDgAY&amp;q=site%3Alinkedin.com+Brigette+Biagas+Campus+Recruiter+Lockheed+Martin</v>
      </c>
      <c r="K2949" s="5" t="str">
        <f t="shared" si="1"/>
        <v>Brigette Biagas</v>
      </c>
      <c r="L2949" s="5" t="str">
        <f t="shared" si="2"/>
        <v>Campus Recruiter</v>
      </c>
      <c r="M2949" s="5" t="str">
        <f t="shared" si="3"/>
        <v> </v>
      </c>
      <c r="N2949" s="5" t="str">
        <f t="shared" si="4"/>
        <v>Lockheed Martin</v>
      </c>
      <c r="O2949" s="5" t="str">
        <f t="shared" si="5"/>
        <v>1 year 3 months in role</v>
      </c>
      <c r="P2949" s="5" t="str">
        <f t="shared" si="6"/>
        <v>Washington</v>
      </c>
      <c r="Q2949" s="5" t="str">
        <f t="shared" si="7"/>
        <v>District of Columbia</v>
      </c>
      <c r="R2949" s="5" t="str">
        <f t="shared" si="8"/>
        <v>United States</v>
      </c>
    </row>
    <row r="2950">
      <c r="A2950" s="8" t="s">
        <v>2254</v>
      </c>
      <c r="B2950" s="5" t="s">
        <v>2250</v>
      </c>
      <c r="C2950" s="5" t="s">
        <v>2251</v>
      </c>
      <c r="D2950" s="6" t="s">
        <v>13</v>
      </c>
      <c r="E2950" s="5" t="s">
        <v>2208</v>
      </c>
      <c r="F2950" s="5" t="s">
        <v>2252</v>
      </c>
      <c r="G2950" s="5" t="s">
        <v>2253</v>
      </c>
      <c r="H2950" s="5" t="s">
        <v>203</v>
      </c>
      <c r="I2950" s="5" t="s">
        <v>18</v>
      </c>
      <c r="J2950" s="9" t="str">
        <f>IFERROR(__xludf.DUMMYFUNCTION("""COMPUTED_VALUE"""),"https://www.google.com/search?newwindow=1&amp;ei=2MT0XrvGGM-vytMP1OyDgAY&amp;q=site%3Alinkedin.com+Jessie+Jordan+College+Recruiter+Lockheed+Martin")</f>
        <v>https://www.google.com/search?newwindow=1&amp;ei=2MT0XrvGGM-vytMP1OyDgAY&amp;q=site%3Alinkedin.com+Jessie+Jordan+College+Recruiter+Lockheed+Martin</v>
      </c>
      <c r="K2950" s="5" t="str">
        <f t="shared" si="1"/>
        <v>Jessie Jordan</v>
      </c>
      <c r="L2950" s="5" t="str">
        <f t="shared" si="2"/>
        <v>College Recruiter</v>
      </c>
      <c r="M2950" s="5" t="str">
        <f t="shared" si="3"/>
        <v> </v>
      </c>
      <c r="N2950" s="5" t="str">
        <f t="shared" si="4"/>
        <v>Lockheed Martin</v>
      </c>
      <c r="O2950" s="5" t="str">
        <f t="shared" si="5"/>
        <v>1 year 2 months in role and company</v>
      </c>
      <c r="P2950" s="5" t="str">
        <f t="shared" si="6"/>
        <v>West Chester</v>
      </c>
      <c r="Q2950" s="5" t="str">
        <f t="shared" si="7"/>
        <v>Pennsylvania</v>
      </c>
      <c r="R2950" s="5" t="str">
        <f t="shared" si="8"/>
        <v>United States</v>
      </c>
    </row>
    <row r="2951">
      <c r="A2951" s="7" t="s">
        <v>2258</v>
      </c>
      <c r="B2951" s="5" t="s">
        <v>2255</v>
      </c>
      <c r="C2951" s="5" t="s">
        <v>2256</v>
      </c>
      <c r="D2951" s="6" t="s">
        <v>13</v>
      </c>
      <c r="E2951" s="5" t="s">
        <v>2208</v>
      </c>
      <c r="F2951" s="5" t="s">
        <v>26</v>
      </c>
      <c r="G2951" s="5" t="s">
        <v>2257</v>
      </c>
      <c r="H2951" s="5" t="s">
        <v>17</v>
      </c>
      <c r="I2951" s="5" t="s">
        <v>18</v>
      </c>
      <c r="J2951" s="9" t="str">
        <f>IFERROR(__xludf.DUMMYFUNCTION("""COMPUTED_VALUE"""),"https://www.google.com/search?newwindow=1&amp;ei=2MT0XrvGGM-vytMP1OyDgAY&amp;q=site%3Alinkedin.com+Vivian+Chen+Technical+University+Recruiter+Lyft")</f>
        <v>https://www.google.com/search?newwindow=1&amp;ei=2MT0XrvGGM-vytMP1OyDgAY&amp;q=site%3Alinkedin.com+Vivian+Chen+Technical+University+Recruiter+Lyft</v>
      </c>
      <c r="K2951" s="5" t="str">
        <f t="shared" si="1"/>
        <v>Vivian Chen</v>
      </c>
      <c r="L2951" s="5" t="str">
        <f t="shared" si="2"/>
        <v>Technical University Recruiter</v>
      </c>
      <c r="M2951" s="5" t="str">
        <f t="shared" si="3"/>
        <v> </v>
      </c>
      <c r="N2951" s="5" t="str">
        <f t="shared" si="4"/>
        <v>Lyft</v>
      </c>
      <c r="O2951" s="5" t="str">
        <f t="shared" si="5"/>
        <v>8 months in role</v>
      </c>
      <c r="P2951" s="5" t="str">
        <f t="shared" si="6"/>
        <v>San Francisco</v>
      </c>
      <c r="Q2951" s="5" t="str">
        <f t="shared" si="7"/>
        <v>California</v>
      </c>
      <c r="R2951" s="5" t="str">
        <f t="shared" si="8"/>
        <v>United States</v>
      </c>
    </row>
    <row r="2952">
      <c r="A2952" s="7" t="s">
        <v>2260</v>
      </c>
      <c r="B2952" s="5" t="s">
        <v>2259</v>
      </c>
      <c r="C2952" s="5" t="s">
        <v>2225</v>
      </c>
      <c r="D2952" s="6" t="s">
        <v>13</v>
      </c>
      <c r="E2952" s="5" t="s">
        <v>2208</v>
      </c>
      <c r="F2952" s="5" t="s">
        <v>1371</v>
      </c>
      <c r="G2952" s="5" t="s">
        <v>137</v>
      </c>
      <c r="H2952" s="5" t="s">
        <v>137</v>
      </c>
      <c r="I2952" s="5" t="s">
        <v>18</v>
      </c>
      <c r="J2952" s="9" t="str">
        <f>IFERROR(__xludf.DUMMYFUNCTION("""COMPUTED_VALUE"""),"https://www.google.com/search?newwindow=1&amp;ei=2MT0XrvGGM-vytMP1OyDgAY&amp;q=site%3Alinkedin.com+Courtney+Chacon+University+Recruiter+Lyft")</f>
        <v>https://www.google.com/search?newwindow=1&amp;ei=2MT0XrvGGM-vytMP1OyDgAY&amp;q=site%3Alinkedin.com+Courtney+Chacon+University+Recruiter+Lyft</v>
      </c>
      <c r="K2952" s="5" t="str">
        <f t="shared" si="1"/>
        <v>Courtney Chacon</v>
      </c>
      <c r="L2952" s="5" t="str">
        <f t="shared" si="2"/>
        <v>University Recruiter</v>
      </c>
      <c r="M2952" s="5" t="str">
        <f t="shared" si="3"/>
        <v> </v>
      </c>
      <c r="N2952" s="5" t="str">
        <f t="shared" si="4"/>
        <v>Lyft</v>
      </c>
      <c r="O2952" s="5" t="str">
        <f t="shared" si="5"/>
        <v/>
      </c>
      <c r="P2952" s="5" t="str">
        <f t="shared" si="6"/>
        <v>San Francisco</v>
      </c>
      <c r="Q2952" s="5" t="str">
        <f t="shared" si="7"/>
        <v>California</v>
      </c>
      <c r="R2952" s="5" t="str">
        <f t="shared" si="8"/>
        <v>United States</v>
      </c>
    </row>
    <row r="2953">
      <c r="A2953" s="7" t="s">
        <v>2263</v>
      </c>
      <c r="B2953" s="5" t="s">
        <v>2261</v>
      </c>
      <c r="C2953" s="5" t="s">
        <v>2225</v>
      </c>
      <c r="D2953" s="6" t="s">
        <v>13</v>
      </c>
      <c r="E2953" s="5" t="s">
        <v>2208</v>
      </c>
      <c r="F2953" s="5" t="s">
        <v>100</v>
      </c>
      <c r="G2953" s="5" t="s">
        <v>2262</v>
      </c>
      <c r="H2953" s="5" t="s">
        <v>184</v>
      </c>
      <c r="I2953" s="5" t="s">
        <v>18</v>
      </c>
      <c r="J2953" s="9" t="str">
        <f>IFERROR(__xludf.DUMMYFUNCTION("""COMPUTED_VALUE"""),"https://www.google.com/search?newwindow=1&amp;ei=2MT0XrvGGM-vytMP1OyDgAY&amp;q=site%3Alinkedin.com+Tim+Romanoff+Lyft+University+Recruiter+Lyft")</f>
        <v>https://www.google.com/search?newwindow=1&amp;ei=2MT0XrvGGM-vytMP1OyDgAY&amp;q=site%3Alinkedin.com+Tim+Romanoff+Lyft+University+Recruiter+Lyft</v>
      </c>
      <c r="K2953" s="5" t="str">
        <f t="shared" si="1"/>
        <v>Tim Romanoff</v>
      </c>
      <c r="L2953" s="5" t="str">
        <f t="shared" si="2"/>
        <v>Lyft University Recruiter</v>
      </c>
      <c r="M2953" s="5" t="str">
        <f t="shared" si="3"/>
        <v> </v>
      </c>
      <c r="N2953" s="5" t="str">
        <f t="shared" si="4"/>
        <v>Lyft</v>
      </c>
      <c r="O2953" s="5" t="str">
        <f t="shared" si="5"/>
        <v/>
      </c>
      <c r="P2953" s="5" t="str">
        <f t="shared" si="6"/>
        <v>San Francisco</v>
      </c>
      <c r="Q2953" s="5" t="str">
        <f t="shared" si="7"/>
        <v>California</v>
      </c>
      <c r="R2953" s="5" t="str">
        <f t="shared" si="8"/>
        <v>United States</v>
      </c>
    </row>
    <row r="2954">
      <c r="A2954" s="8" t="s">
        <v>2267</v>
      </c>
      <c r="B2954" s="5" t="s">
        <v>2264</v>
      </c>
      <c r="C2954" s="5" t="s">
        <v>480</v>
      </c>
      <c r="D2954" s="6" t="s">
        <v>13</v>
      </c>
      <c r="E2954" s="5" t="s">
        <v>2208</v>
      </c>
      <c r="F2954" s="5" t="s">
        <v>2265</v>
      </c>
      <c r="G2954" s="5" t="s">
        <v>2266</v>
      </c>
      <c r="H2954" s="5" t="s">
        <v>949</v>
      </c>
      <c r="I2954" s="5" t="s">
        <v>18</v>
      </c>
      <c r="J2954" s="9" t="str">
        <f>IFERROR(__xludf.DUMMYFUNCTION("""COMPUTED_VALUE"""),"https://www.google.com/search?newwindow=1&amp;ei=2MT0XrvGGM-vytMP1OyDgAY&amp;q=site%3Alinkedin.com+Colleen+DiGiambattista+Executive+Recruiter+-+Campus+and+Experienced+Hire+Recruiting+McKinsey+&amp;+Company")</f>
        <v>https://www.google.com/search?newwindow=1&amp;ei=2MT0XrvGGM-vytMP1OyDgAY&amp;q=site%3Alinkedin.com+Colleen+DiGiambattista+Executive+Recruiter+-+Campus+and+Experienced+Hire+Recruiting+McKinsey+&amp;+Company</v>
      </c>
      <c r="K2954" s="5" t="str">
        <f t="shared" si="1"/>
        <v>Colleen DiGiambattista</v>
      </c>
      <c r="L2954" s="5" t="str">
        <f t="shared" si="2"/>
        <v>Executive Recruiter - Campus and Experienced Hire Recruiting</v>
      </c>
      <c r="M2954" s="5" t="str">
        <f t="shared" si="3"/>
        <v> </v>
      </c>
      <c r="N2954" s="5" t="str">
        <f t="shared" si="4"/>
        <v>McKinsey &amp; Company</v>
      </c>
      <c r="O2954" s="5" t="str">
        <f t="shared" si="5"/>
        <v>10 months in role</v>
      </c>
      <c r="P2954" s="5" t="str">
        <f t="shared" si="6"/>
        <v>New York</v>
      </c>
      <c r="Q2954" s="5" t="str">
        <f t="shared" si="7"/>
        <v>New York</v>
      </c>
      <c r="R2954" s="5" t="str">
        <f t="shared" si="8"/>
        <v>United States</v>
      </c>
    </row>
    <row r="2955">
      <c r="A2955" s="7" t="s">
        <v>2271</v>
      </c>
      <c r="B2955" s="5" t="s">
        <v>2268</v>
      </c>
      <c r="C2955" s="5" t="s">
        <v>2225</v>
      </c>
      <c r="D2955" s="6" t="s">
        <v>13</v>
      </c>
      <c r="E2955" s="5" t="s">
        <v>2208</v>
      </c>
      <c r="F2955" s="5" t="s">
        <v>2269</v>
      </c>
      <c r="G2955" s="5" t="s">
        <v>2270</v>
      </c>
      <c r="H2955" s="5" t="s">
        <v>44</v>
      </c>
      <c r="I2955" s="5" t="s">
        <v>18</v>
      </c>
      <c r="J2955" s="9" t="str">
        <f>IFERROR(__xludf.DUMMYFUNCTION("""COMPUTED_VALUE"""),"https://www.google.com/search?newwindow=1&amp;ei=2MT0XrvGGM-vytMP1OyDgAY&amp;q=site%3Alinkedin.com+Kyle+Scobee+Campus+Sourcing+Recruiter+McKinsey+&amp;+Company")</f>
        <v>https://www.google.com/search?newwindow=1&amp;ei=2MT0XrvGGM-vytMP1OyDgAY&amp;q=site%3Alinkedin.com+Kyle+Scobee+Campus+Sourcing+Recruiter+McKinsey+&amp;+Company</v>
      </c>
      <c r="K2955" s="5" t="str">
        <f t="shared" si="1"/>
        <v>Kyle Scobee</v>
      </c>
      <c r="L2955" s="5" t="str">
        <f t="shared" si="2"/>
        <v>Campus Sourcing Recruiter</v>
      </c>
      <c r="M2955" s="5" t="str">
        <f t="shared" si="3"/>
        <v> </v>
      </c>
      <c r="N2955" s="5" t="str">
        <f t="shared" si="4"/>
        <v>McKinsey &amp; Company</v>
      </c>
      <c r="O2955" s="5" t="str">
        <f t="shared" si="5"/>
        <v>1 year 7 months in role and company</v>
      </c>
      <c r="P2955" s="5" t="str">
        <f t="shared" si="6"/>
        <v>Tampa</v>
      </c>
      <c r="Q2955" s="5" t="str">
        <f t="shared" si="7"/>
        <v>Florida</v>
      </c>
      <c r="R2955" s="5" t="str">
        <f t="shared" si="8"/>
        <v>United States</v>
      </c>
    </row>
    <row r="2956">
      <c r="A2956" s="7" t="s">
        <v>2273</v>
      </c>
      <c r="B2956" s="5" t="s">
        <v>2272</v>
      </c>
      <c r="C2956" s="5" t="s">
        <v>480</v>
      </c>
      <c r="D2956" s="6" t="s">
        <v>13</v>
      </c>
      <c r="E2956" s="5" t="s">
        <v>2208</v>
      </c>
      <c r="F2956" s="5" t="s">
        <v>1098</v>
      </c>
      <c r="G2956" s="5" t="s">
        <v>299</v>
      </c>
      <c r="H2956" s="5" t="s">
        <v>44</v>
      </c>
      <c r="I2956" s="5" t="s">
        <v>18</v>
      </c>
      <c r="J2956" s="9" t="str">
        <f>IFERROR(__xludf.DUMMYFUNCTION("""COMPUTED_VALUE"""),"https://www.google.com/search?newwindow=1&amp;ei=2MT0XrvGGM-vytMP1OyDgAY&amp;q=site%3Alinkedin.com+Lauren+B.+Campus+Recruiter+-+Engineering+Covering+Colorado+&amp;+East+Coast+Region+Medtronic")</f>
        <v>https://www.google.com/search?newwindow=1&amp;ei=2MT0XrvGGM-vytMP1OyDgAY&amp;q=site%3Alinkedin.com+Lauren+B.+Campus+Recruiter+-+Engineering+Covering+Colorado+&amp;+East+Coast+Region+Medtronic</v>
      </c>
      <c r="K2956" s="5" t="str">
        <f t="shared" si="1"/>
        <v>Lauren B.</v>
      </c>
      <c r="L2956" s="5" t="str">
        <f t="shared" si="2"/>
        <v>Campus Recruiter - Engineering Covering Colorado &amp; East Coast Region</v>
      </c>
      <c r="M2956" s="5" t="str">
        <f t="shared" si="3"/>
        <v> </v>
      </c>
      <c r="N2956" s="5" t="str">
        <f t="shared" si="4"/>
        <v>Medtronic</v>
      </c>
      <c r="O2956" s="5" t="str">
        <f t="shared" si="5"/>
        <v>2 years 2 months in role and company</v>
      </c>
      <c r="P2956" s="5" t="str">
        <f t="shared" si="6"/>
        <v>Denver</v>
      </c>
      <c r="Q2956" s="5" t="str">
        <f t="shared" si="7"/>
        <v>Colorado</v>
      </c>
      <c r="R2956" s="5" t="str">
        <f t="shared" si="8"/>
        <v>United States</v>
      </c>
    </row>
    <row r="2957">
      <c r="A2957" s="7" t="s">
        <v>2277</v>
      </c>
      <c r="B2957" s="5" t="s">
        <v>2274</v>
      </c>
      <c r="C2957" s="5" t="s">
        <v>2275</v>
      </c>
      <c r="D2957" s="6" t="s">
        <v>13</v>
      </c>
      <c r="E2957" s="5" t="s">
        <v>2208</v>
      </c>
      <c r="F2957" s="5" t="s">
        <v>2276</v>
      </c>
      <c r="G2957" s="5" t="s">
        <v>311</v>
      </c>
      <c r="H2957" s="5" t="s">
        <v>102</v>
      </c>
      <c r="I2957" s="5" t="s">
        <v>18</v>
      </c>
      <c r="J2957" s="9" t="str">
        <f>IFERROR(__xludf.DUMMYFUNCTION("""COMPUTED_VALUE"""),"https://www.google.com/search?newwindow=1&amp;ei=2MT0XrvGGM-vytMP1OyDgAY&amp;q=site%3Alinkedin.com+Doris+Ng+Senior+Campus+Recruiter,+Engineering+Medtronic")</f>
        <v>https://www.google.com/search?newwindow=1&amp;ei=2MT0XrvGGM-vytMP1OyDgAY&amp;q=site%3Alinkedin.com+Doris+Ng+Senior+Campus+Recruiter,+Engineering+Medtronic</v>
      </c>
      <c r="K2957" s="5" t="str">
        <f t="shared" si="1"/>
        <v>Doris Ng</v>
      </c>
      <c r="L2957" s="5" t="str">
        <f t="shared" si="2"/>
        <v>Senior Campus Recruiter, Engineering</v>
      </c>
      <c r="M2957" s="5" t="str">
        <f t="shared" si="3"/>
        <v> </v>
      </c>
      <c r="N2957" s="5" t="str">
        <f t="shared" si="4"/>
        <v>Medtronic</v>
      </c>
      <c r="O2957" s="5" t="str">
        <f t="shared" si="5"/>
        <v>7 months in role and company</v>
      </c>
      <c r="P2957" s="5" t="str">
        <f t="shared" si="6"/>
        <v>Los Angeles</v>
      </c>
      <c r="Q2957" s="5" t="str">
        <f t="shared" si="7"/>
        <v>California</v>
      </c>
      <c r="R2957" s="5" t="str">
        <f t="shared" si="8"/>
        <v>United States</v>
      </c>
    </row>
    <row r="2958">
      <c r="A2958" s="7" t="s">
        <v>2280</v>
      </c>
      <c r="B2958" s="5" t="s">
        <v>2278</v>
      </c>
      <c r="C2958" s="5" t="s">
        <v>2279</v>
      </c>
      <c r="D2958" s="6" t="s">
        <v>13</v>
      </c>
      <c r="E2958" s="5" t="s">
        <v>2208</v>
      </c>
      <c r="F2958" s="5" t="s">
        <v>2035</v>
      </c>
      <c r="G2958" s="5" t="s">
        <v>1131</v>
      </c>
      <c r="H2958" s="5" t="s">
        <v>203</v>
      </c>
      <c r="I2958" s="5" t="s">
        <v>18</v>
      </c>
      <c r="J2958" s="9" t="str">
        <f>IFERROR(__xludf.DUMMYFUNCTION("""COMPUTED_VALUE"""),"https://www.google.com/search?newwindow=1&amp;ei=2MT0XrvGGM-vytMP1OyDgAY&amp;q=site%3Alinkedin.com+Melissa+Kloubec+Engineering+Campus+Recruiting+Manager+Medtronic")</f>
        <v>https://www.google.com/search?newwindow=1&amp;ei=2MT0XrvGGM-vytMP1OyDgAY&amp;q=site%3Alinkedin.com+Melissa+Kloubec+Engineering+Campus+Recruiting+Manager+Medtronic</v>
      </c>
      <c r="K2958" s="5" t="str">
        <f t="shared" si="1"/>
        <v>Melissa Kloubec</v>
      </c>
      <c r="L2958" s="5" t="str">
        <f t="shared" si="2"/>
        <v>Engineering Campus Recruiting Manager</v>
      </c>
      <c r="M2958" s="5" t="str">
        <f t="shared" si="3"/>
        <v> </v>
      </c>
      <c r="N2958" s="5" t="str">
        <f t="shared" si="4"/>
        <v>Medtronic</v>
      </c>
      <c r="O2958" s="5" t="str">
        <f t="shared" si="5"/>
        <v>3 years 9 months in role</v>
      </c>
      <c r="P2958" s="5" t="str">
        <f t="shared" si="6"/>
        <v>Minneapolis</v>
      </c>
      <c r="Q2958" s="5" t="str">
        <f t="shared" si="7"/>
        <v>Minnesota</v>
      </c>
      <c r="R2958" s="5" t="str">
        <f t="shared" si="8"/>
        <v>United States</v>
      </c>
    </row>
    <row r="2959">
      <c r="A2959" s="7" t="s">
        <v>2283</v>
      </c>
      <c r="B2959" s="5" t="s">
        <v>2281</v>
      </c>
      <c r="C2959" s="5" t="s">
        <v>2216</v>
      </c>
      <c r="D2959" s="6" t="s">
        <v>13</v>
      </c>
      <c r="E2959" s="5" t="s">
        <v>2208</v>
      </c>
      <c r="F2959" s="5" t="s">
        <v>74</v>
      </c>
      <c r="G2959" s="5" t="s">
        <v>2282</v>
      </c>
      <c r="H2959" s="5" t="s">
        <v>224</v>
      </c>
      <c r="I2959" s="5" t="s">
        <v>18</v>
      </c>
      <c r="J2959" s="9" t="str">
        <f>IFERROR(__xludf.DUMMYFUNCTION("""COMPUTED_VALUE"""),"https://www.google.com/search?newwindow=1&amp;ei=2MT0XrvGGM-vytMP1OyDgAY&amp;q=site%3Alinkedin.com+Alicia+Gutierrez,+MA-HRIR+Campus+Recruiter+-+Engineering,+Midwest+Region+Medtronic")</f>
        <v>https://www.google.com/search?newwindow=1&amp;ei=2MT0XrvGGM-vytMP1OyDgAY&amp;q=site%3Alinkedin.com+Alicia+Gutierrez,+MA-HRIR+Campus+Recruiter+-+Engineering,+Midwest+Region+Medtronic</v>
      </c>
      <c r="K2959" s="5" t="str">
        <f t="shared" si="1"/>
        <v>Alicia Gutierrez, MA-HRIR</v>
      </c>
      <c r="L2959" s="5" t="str">
        <f t="shared" si="2"/>
        <v>Campus Recruiter - Engineering, Midwest Region</v>
      </c>
      <c r="M2959" s="5" t="str">
        <f t="shared" si="3"/>
        <v> </v>
      </c>
      <c r="N2959" s="5" t="str">
        <f t="shared" si="4"/>
        <v>Medtronic</v>
      </c>
      <c r="O2959" s="5" t="str">
        <f t="shared" si="5"/>
        <v>2 years 4 months in role and company</v>
      </c>
      <c r="P2959" s="5" t="str">
        <f t="shared" si="6"/>
        <v>Minneapolis</v>
      </c>
      <c r="Q2959" s="5" t="str">
        <f t="shared" si="7"/>
        <v>Minnesota</v>
      </c>
      <c r="R2959" s="5" t="str">
        <f t="shared" si="8"/>
        <v>United States</v>
      </c>
    </row>
    <row r="2960">
      <c r="A2960" s="7" t="s">
        <v>2286</v>
      </c>
      <c r="B2960" s="5" t="s">
        <v>2284</v>
      </c>
      <c r="C2960" s="5" t="s">
        <v>2285</v>
      </c>
      <c r="D2960" s="6" t="s">
        <v>13</v>
      </c>
      <c r="E2960" s="5" t="s">
        <v>2208</v>
      </c>
      <c r="F2960" s="5" t="s">
        <v>228</v>
      </c>
      <c r="G2960" s="5" t="s">
        <v>102</v>
      </c>
      <c r="H2960" s="5" t="s">
        <v>172</v>
      </c>
      <c r="I2960" s="5" t="s">
        <v>18</v>
      </c>
      <c r="J2960" s="9" t="str">
        <f>IFERROR(__xludf.DUMMYFUNCTION("""COMPUTED_VALUE"""),"https://www.google.com/search?newwindow=1&amp;ei=2MT0XrvGGM-vytMP1OyDgAY&amp;q=site%3Alinkedin.com+Sami+Graves+Campus+Recruiter+-+Supply+Chain+&amp;+Undergraduate+Campus+Recruitment+Medtronic")</f>
        <v>https://www.google.com/search?newwindow=1&amp;ei=2MT0XrvGGM-vytMP1OyDgAY&amp;q=site%3Alinkedin.com+Sami+Graves+Campus+Recruiter+-+Supply+Chain+&amp;+Undergraduate+Campus+Recruitment+Medtronic</v>
      </c>
      <c r="K2960" s="5" t="str">
        <f t="shared" si="1"/>
        <v>Sami Graves</v>
      </c>
      <c r="L2960" s="5" t="str">
        <f t="shared" si="2"/>
        <v>Campus Recruiter - Supply Chain &amp; Undergraduate Campus Recruitment</v>
      </c>
      <c r="M2960" s="5" t="str">
        <f t="shared" si="3"/>
        <v> </v>
      </c>
      <c r="N2960" s="5" t="str">
        <f t="shared" si="4"/>
        <v>Medtronic</v>
      </c>
      <c r="O2960" s="5" t="str">
        <f t="shared" si="5"/>
        <v>1 year 6 months in role and company</v>
      </c>
      <c r="P2960" s="5" t="str">
        <f t="shared" si="6"/>
        <v>Wayzata</v>
      </c>
      <c r="Q2960" s="5" t="str">
        <f t="shared" si="7"/>
        <v>Minnesota</v>
      </c>
      <c r="R2960" s="5" t="str">
        <f t="shared" si="8"/>
        <v>United States</v>
      </c>
    </row>
    <row r="2961">
      <c r="A2961" s="7" t="s">
        <v>2289</v>
      </c>
      <c r="B2961" s="5" t="s">
        <v>2287</v>
      </c>
      <c r="C2961" s="5" t="s">
        <v>2225</v>
      </c>
      <c r="D2961" s="6" t="s">
        <v>13</v>
      </c>
      <c r="E2961" s="5" t="s">
        <v>2208</v>
      </c>
      <c r="F2961" s="5" t="s">
        <v>2288</v>
      </c>
      <c r="G2961" s="5" t="s">
        <v>102</v>
      </c>
      <c r="H2961" s="5" t="s">
        <v>172</v>
      </c>
      <c r="I2961" s="5" t="s">
        <v>18</v>
      </c>
      <c r="J2961" s="9" t="str">
        <f>IFERROR(__xludf.DUMMYFUNCTION("""COMPUTED_VALUE"""),"https://www.google.com/search?newwindow=1&amp;ei=2MT0XrvGGM-vytMP1OyDgAY&amp;q=site%3Alinkedin.com+Madisson+DeLisle+🐘+Campus+Recruiting+Manager+memoryBlue")</f>
        <v>https://www.google.com/search?newwindow=1&amp;ei=2MT0XrvGGM-vytMP1OyDgAY&amp;q=site%3Alinkedin.com+Madisson+DeLisle+🐘+Campus+Recruiting+Manager+memoryBlue</v>
      </c>
      <c r="K2961" s="5" t="str">
        <f t="shared" si="1"/>
        <v>Madisson DeLisle 🐘</v>
      </c>
      <c r="L2961" s="5" t="str">
        <f t="shared" si="2"/>
        <v>Campus Recruiting Manager</v>
      </c>
      <c r="M2961" s="5" t="str">
        <f t="shared" si="3"/>
        <v> </v>
      </c>
      <c r="N2961" s="5" t="str">
        <f t="shared" si="4"/>
        <v>memoryBlue</v>
      </c>
      <c r="O2961" s="5" t="str">
        <f t="shared" si="5"/>
        <v>4 months in role and company</v>
      </c>
      <c r="P2961" s="5" t="str">
        <f t="shared" si="6"/>
        <v>Denver</v>
      </c>
      <c r="Q2961" s="5" t="str">
        <f t="shared" si="7"/>
        <v>Colorado</v>
      </c>
      <c r="R2961" s="5" t="str">
        <f t="shared" si="8"/>
        <v>United States</v>
      </c>
    </row>
    <row r="2962">
      <c r="A2962" s="7" t="s">
        <v>2291</v>
      </c>
      <c r="B2962" s="5" t="s">
        <v>2290</v>
      </c>
      <c r="C2962" s="5" t="s">
        <v>480</v>
      </c>
      <c r="D2962" s="6" t="s">
        <v>13</v>
      </c>
      <c r="E2962" s="5" t="s">
        <v>2208</v>
      </c>
      <c r="G2962" s="5" t="s">
        <v>102</v>
      </c>
      <c r="H2962" s="5" t="s">
        <v>172</v>
      </c>
      <c r="I2962" s="5" t="s">
        <v>18</v>
      </c>
      <c r="J2962" s="9" t="str">
        <f>IFERROR(__xludf.DUMMYFUNCTION("""COMPUTED_VALUE"""),"https://www.google.com/search?newwindow=1&amp;ei=2MT0XrvGGM-vytMP1OyDgAY&amp;q=site%3Alinkedin.com+Becca+Bullard+Campus+Recruiting+Manager+memoryBlue")</f>
        <v>https://www.google.com/search?newwindow=1&amp;ei=2MT0XrvGGM-vytMP1OyDgAY&amp;q=site%3Alinkedin.com+Becca+Bullard+Campus+Recruiting+Manager+memoryBlue</v>
      </c>
      <c r="K2962" s="5" t="str">
        <f t="shared" si="1"/>
        <v>Becca Bullard</v>
      </c>
      <c r="L2962" s="5" t="str">
        <f t="shared" si="2"/>
        <v>Campus Recruiting Manager</v>
      </c>
      <c r="M2962" s="5" t="str">
        <f t="shared" si="3"/>
        <v> </v>
      </c>
      <c r="N2962" s="5" t="str">
        <f t="shared" si="4"/>
        <v>memoryBlue</v>
      </c>
      <c r="O2962" s="5" t="str">
        <f t="shared" si="5"/>
        <v>3 months in role and company</v>
      </c>
      <c r="P2962" s="5" t="str">
        <f t="shared" si="6"/>
        <v>Washington</v>
      </c>
      <c r="Q2962" s="5" t="str">
        <f t="shared" si="7"/>
        <v>District of Columbia</v>
      </c>
      <c r="R2962" s="5" t="str">
        <f t="shared" si="8"/>
        <v>United States</v>
      </c>
    </row>
    <row r="2963">
      <c r="A2963" s="7" t="s">
        <v>2294</v>
      </c>
      <c r="B2963" s="5" t="s">
        <v>2292</v>
      </c>
      <c r="C2963" s="5" t="s">
        <v>2225</v>
      </c>
      <c r="D2963" s="6" t="s">
        <v>13</v>
      </c>
      <c r="E2963" s="5" t="s">
        <v>2208</v>
      </c>
      <c r="F2963" s="5" t="s">
        <v>1421</v>
      </c>
      <c r="G2963" s="5" t="s">
        <v>2293</v>
      </c>
      <c r="H2963" s="5" t="s">
        <v>137</v>
      </c>
      <c r="I2963" s="5" t="s">
        <v>18</v>
      </c>
      <c r="J2963" s="9" t="str">
        <f>IFERROR(__xludf.DUMMYFUNCTION("""COMPUTED_VALUE"""),"https://www.google.com/search?newwindow=1&amp;ei=2MT0XrvGGM-vytMP1OyDgAY&amp;q=site%3Alinkedin.com+Libby+Galatis+Campus+Recruiting+Manager+memoryBlue")</f>
        <v>https://www.google.com/search?newwindow=1&amp;ei=2MT0XrvGGM-vytMP1OyDgAY&amp;q=site%3Alinkedin.com+Libby+Galatis+Campus+Recruiting+Manager+memoryBlue</v>
      </c>
      <c r="K2963" s="5" t="str">
        <f t="shared" si="1"/>
        <v>Libby Galatis</v>
      </c>
      <c r="L2963" s="5" t="str">
        <f t="shared" si="2"/>
        <v>Campus Recruiting Manager</v>
      </c>
      <c r="M2963" s="5" t="str">
        <f t="shared" si="3"/>
        <v> </v>
      </c>
      <c r="N2963" s="5" t="str">
        <f t="shared" si="4"/>
        <v>memoryBlue</v>
      </c>
      <c r="O2963" s="5" t="str">
        <f t="shared" si="5"/>
        <v>1 year 1 month in role</v>
      </c>
      <c r="P2963" s="5" t="str">
        <f t="shared" si="6"/>
        <v>Washington</v>
      </c>
      <c r="Q2963" s="5" t="str">
        <f t="shared" si="7"/>
        <v>District of Columbia</v>
      </c>
      <c r="R2963" s="5" t="str">
        <f t="shared" si="8"/>
        <v>United States</v>
      </c>
    </row>
    <row r="2964">
      <c r="A2964" s="8" t="s">
        <v>2298</v>
      </c>
      <c r="B2964" s="5" t="s">
        <v>2295</v>
      </c>
      <c r="C2964" s="5" t="s">
        <v>2296</v>
      </c>
      <c r="D2964" s="6" t="s">
        <v>13</v>
      </c>
      <c r="E2964" s="5" t="s">
        <v>2297</v>
      </c>
      <c r="F2964" s="5" t="s">
        <v>832</v>
      </c>
      <c r="G2964" s="5" t="s">
        <v>37</v>
      </c>
      <c r="H2964" s="5" t="s">
        <v>38</v>
      </c>
      <c r="I2964" s="5" t="s">
        <v>18</v>
      </c>
      <c r="J2964" s="9" t="str">
        <f>IFERROR(__xludf.DUMMYFUNCTION("""COMPUTED_VALUE"""),"https://www.google.com/search?newwindow=1&amp;ei=2MT0XrvGGM-vytMP1OyDgAY&amp;q=site%3Alinkedin.com+Leyla+N.+University+Recruiter+(Closer)+Microsoft")</f>
        <v>https://www.google.com/search?newwindow=1&amp;ei=2MT0XrvGGM-vytMP1OyDgAY&amp;q=site%3Alinkedin.com+Leyla+N.+University+Recruiter+(Closer)+Microsoft</v>
      </c>
      <c r="K2964" s="5" t="str">
        <f t="shared" si="1"/>
        <v>Leyla N.</v>
      </c>
      <c r="L2964" s="5" t="str">
        <f t="shared" si="2"/>
        <v>University Recruiter (Closer)</v>
      </c>
      <c r="M2964" s="5" t="str">
        <f t="shared" si="3"/>
        <v> </v>
      </c>
      <c r="N2964" s="5" t="str">
        <f t="shared" si="4"/>
        <v>Microsoft</v>
      </c>
      <c r="O2964" s="5" t="str">
        <f t="shared" si="5"/>
        <v>1 year 4 months in role and company</v>
      </c>
      <c r="P2964" s="5" t="str">
        <f t="shared" si="6"/>
        <v>Bellevue</v>
      </c>
      <c r="Q2964" s="5" t="str">
        <f t="shared" si="7"/>
        <v>Washington</v>
      </c>
      <c r="R2964" s="5" t="str">
        <f t="shared" si="8"/>
        <v>United States</v>
      </c>
    </row>
    <row r="2965">
      <c r="A2965" s="7" t="s">
        <v>2301</v>
      </c>
      <c r="B2965" s="5" t="s">
        <v>2299</v>
      </c>
      <c r="C2965" s="5" t="s">
        <v>2300</v>
      </c>
      <c r="D2965" s="6" t="s">
        <v>13</v>
      </c>
      <c r="E2965" s="5" t="s">
        <v>2297</v>
      </c>
      <c r="F2965" s="5" t="s">
        <v>351</v>
      </c>
      <c r="G2965" s="5" t="s">
        <v>1643</v>
      </c>
      <c r="H2965" s="5" t="s">
        <v>763</v>
      </c>
      <c r="I2965" s="5" t="s">
        <v>18</v>
      </c>
      <c r="J2965" s="9" t="str">
        <f>IFERROR(__xludf.DUMMYFUNCTION("""COMPUTED_VALUE"""),"https://www.google.com/search?newwindow=1&amp;ei=2MT0XrvGGM-vytMP1OyDgAY&amp;q=site%3Alinkedin.com+Julie+Moskalenko+University+Recruiter+Microsoft")</f>
        <v>https://www.google.com/search?newwindow=1&amp;ei=2MT0XrvGGM-vytMP1OyDgAY&amp;q=site%3Alinkedin.com+Julie+Moskalenko+University+Recruiter+Microsoft</v>
      </c>
      <c r="K2965" s="5" t="str">
        <f t="shared" si="1"/>
        <v>Julie Moskalenko</v>
      </c>
      <c r="L2965" s="5" t="str">
        <f t="shared" si="2"/>
        <v>University Recruiter</v>
      </c>
      <c r="M2965" s="5" t="str">
        <f t="shared" si="3"/>
        <v> </v>
      </c>
      <c r="N2965" s="5" t="str">
        <f t="shared" si="4"/>
        <v>Microsoft</v>
      </c>
      <c r="O2965" s="5" t="str">
        <f t="shared" si="5"/>
        <v>3 months in role</v>
      </c>
      <c r="P2965" s="5" t="str">
        <f t="shared" si="6"/>
        <v>Bellevue</v>
      </c>
      <c r="Q2965" s="5" t="str">
        <f t="shared" si="7"/>
        <v>Washington</v>
      </c>
      <c r="R2965" s="5" t="str">
        <f t="shared" si="8"/>
        <v>United States</v>
      </c>
    </row>
    <row r="2966">
      <c r="A2966" s="7" t="s">
        <v>2304</v>
      </c>
      <c r="B2966" s="5" t="s">
        <v>2302</v>
      </c>
      <c r="C2966" s="5" t="s">
        <v>2303</v>
      </c>
      <c r="D2966" s="6" t="s">
        <v>13</v>
      </c>
      <c r="E2966" s="5" t="s">
        <v>2297</v>
      </c>
      <c r="F2966" s="5" t="s">
        <v>165</v>
      </c>
      <c r="G2966" s="5" t="s">
        <v>80</v>
      </c>
      <c r="H2966" s="5" t="s">
        <v>38</v>
      </c>
      <c r="I2966" s="5" t="s">
        <v>18</v>
      </c>
      <c r="J2966" s="9" t="str">
        <f>IFERROR(__xludf.DUMMYFUNCTION("""COMPUTED_VALUE"""),"https://www.google.com/search?newwindow=1&amp;ei=2MT0XrvGGM-vytMP1OyDgAY&amp;q=site%3Alinkedin.com+Elizabeth+Alhondra+Arredon+Mier+University+Recruiter+Microsoft")</f>
        <v>https://www.google.com/search?newwindow=1&amp;ei=2MT0XrvGGM-vytMP1OyDgAY&amp;q=site%3Alinkedin.com+Elizabeth+Alhondra+Arredon+Mier+University+Recruiter+Microsoft</v>
      </c>
      <c r="K2966" s="5" t="str">
        <f t="shared" si="1"/>
        <v>Elizabeth Alhondra Arredon Mier</v>
      </c>
      <c r="L2966" s="5" t="str">
        <f t="shared" si="2"/>
        <v>University Recruiter</v>
      </c>
      <c r="M2966" s="5" t="str">
        <f t="shared" si="3"/>
        <v> </v>
      </c>
      <c r="N2966" s="5" t="str">
        <f t="shared" si="4"/>
        <v>Microsoft</v>
      </c>
      <c r="O2966" s="5" t="str">
        <f t="shared" si="5"/>
        <v>5 years 5 months in role</v>
      </c>
      <c r="P2966" s="5" t="str">
        <f t="shared" si="6"/>
        <v>Bellevue</v>
      </c>
      <c r="Q2966" s="5" t="str">
        <f t="shared" si="7"/>
        <v>Washington</v>
      </c>
      <c r="R2966" s="5" t="str">
        <f t="shared" si="8"/>
        <v>United States</v>
      </c>
    </row>
    <row r="2967">
      <c r="A2967" s="7" t="s">
        <v>2306</v>
      </c>
      <c r="B2967" s="5" t="s">
        <v>2305</v>
      </c>
      <c r="C2967" s="5" t="s">
        <v>715</v>
      </c>
      <c r="D2967" s="6" t="s">
        <v>13</v>
      </c>
      <c r="E2967" s="5" t="s">
        <v>2297</v>
      </c>
      <c r="F2967" s="5" t="s">
        <v>351</v>
      </c>
      <c r="G2967" s="5" t="s">
        <v>80</v>
      </c>
      <c r="H2967" s="5" t="s">
        <v>38</v>
      </c>
      <c r="I2967" s="5" t="s">
        <v>18</v>
      </c>
      <c r="J2967" s="9" t="str">
        <f>IFERROR(__xludf.DUMMYFUNCTION("""COMPUTED_VALUE"""),"https://www.google.com/search?newwindow=1&amp;ei=2MT0XrvGGM-vytMP1OyDgAY&amp;q=site%3Alinkedin.com+Kelsey+Grunigen+University+Recruiter+Microsoft")</f>
        <v>https://www.google.com/search?newwindow=1&amp;ei=2MT0XrvGGM-vytMP1OyDgAY&amp;q=site%3Alinkedin.com+Kelsey+Grunigen+University+Recruiter+Microsoft</v>
      </c>
      <c r="K2967" s="5" t="str">
        <f t="shared" si="1"/>
        <v>Kelsey Grunigen</v>
      </c>
      <c r="L2967" s="5" t="str">
        <f t="shared" si="2"/>
        <v>University Recruiter</v>
      </c>
      <c r="M2967" s="5" t="str">
        <f t="shared" si="3"/>
        <v> </v>
      </c>
      <c r="N2967" s="5" t="str">
        <f t="shared" si="4"/>
        <v>Microsoft</v>
      </c>
      <c r="O2967" s="5" t="str">
        <f t="shared" si="5"/>
        <v>1 year 10 months in role and company</v>
      </c>
      <c r="P2967" s="5" t="str">
        <f t="shared" si="6"/>
        <v>Bellevue</v>
      </c>
      <c r="Q2967" s="5" t="str">
        <f t="shared" si="7"/>
        <v>Washington</v>
      </c>
      <c r="R2967" s="5" t="str">
        <f t="shared" si="8"/>
        <v>United States</v>
      </c>
    </row>
    <row r="2968">
      <c r="A2968" s="8" t="s">
        <v>2309</v>
      </c>
      <c r="B2968" s="5" t="s">
        <v>2307</v>
      </c>
      <c r="C2968" s="5" t="s">
        <v>2308</v>
      </c>
      <c r="D2968" s="6" t="s">
        <v>13</v>
      </c>
      <c r="E2968" s="5" t="s">
        <v>2297</v>
      </c>
      <c r="F2968" s="5" t="s">
        <v>165</v>
      </c>
      <c r="G2968" s="5" t="s">
        <v>80</v>
      </c>
      <c r="H2968" s="5" t="s">
        <v>38</v>
      </c>
      <c r="I2968" s="5" t="s">
        <v>18</v>
      </c>
      <c r="J2968" s="9" t="str">
        <f>IFERROR(__xludf.DUMMYFUNCTION("""COMPUTED_VALUE"""),"https://www.google.com/search?newwindow=1&amp;ei=2MT0XrvGGM-vytMP1OyDgAY&amp;q=site%3Alinkedin.com+Abby+Newton+Technical+Recruiter+Microsoft")</f>
        <v>https://www.google.com/search?newwindow=1&amp;ei=2MT0XrvGGM-vytMP1OyDgAY&amp;q=site%3Alinkedin.com+Abby+Newton+Technical+Recruiter+Microsoft</v>
      </c>
      <c r="K2968" s="5" t="str">
        <f t="shared" si="1"/>
        <v>Abby Newton</v>
      </c>
      <c r="L2968" s="5" t="str">
        <f t="shared" si="2"/>
        <v>Technical Recruiter</v>
      </c>
      <c r="M2968" s="5" t="str">
        <f t="shared" si="3"/>
        <v> </v>
      </c>
      <c r="N2968" s="5" t="str">
        <f t="shared" si="4"/>
        <v>Microsoft</v>
      </c>
      <c r="O2968" s="5" t="str">
        <f t="shared" si="5"/>
        <v>3 years 2 months in role</v>
      </c>
      <c r="P2968" s="5" t="str">
        <f t="shared" si="6"/>
        <v>Bellevue</v>
      </c>
      <c r="Q2968" s="5" t="str">
        <f t="shared" si="7"/>
        <v>Washington</v>
      </c>
      <c r="R2968" s="5" t="str">
        <f t="shared" si="8"/>
        <v>United States</v>
      </c>
    </row>
    <row r="2969">
      <c r="A2969" s="7" t="s">
        <v>2311</v>
      </c>
      <c r="B2969" s="5" t="s">
        <v>2310</v>
      </c>
      <c r="C2969" s="5" t="s">
        <v>715</v>
      </c>
      <c r="D2969" s="6" t="s">
        <v>13</v>
      </c>
      <c r="E2969" s="5" t="s">
        <v>2297</v>
      </c>
      <c r="F2969" s="5" t="s">
        <v>523</v>
      </c>
      <c r="G2969" s="5" t="s">
        <v>80</v>
      </c>
      <c r="H2969" s="5" t="s">
        <v>38</v>
      </c>
      <c r="I2969" s="5" t="s">
        <v>18</v>
      </c>
      <c r="J2969" s="9" t="str">
        <f>IFERROR(__xludf.DUMMYFUNCTION("""COMPUTED_VALUE"""),"https://www.google.com/search?newwindow=1&amp;ei=2MT0XrvGGM-vytMP1OyDgAY&amp;q=site%3Alinkedin.com+Erin+Odell+University+Recruiter+Microsoft")</f>
        <v>https://www.google.com/search?newwindow=1&amp;ei=2MT0XrvGGM-vytMP1OyDgAY&amp;q=site%3Alinkedin.com+Erin+Odell+University+Recruiter+Microsoft</v>
      </c>
      <c r="K2969" s="5" t="str">
        <f t="shared" si="1"/>
        <v>Erin Odell</v>
      </c>
      <c r="L2969" s="5" t="str">
        <f t="shared" si="2"/>
        <v>University Recruiter</v>
      </c>
      <c r="M2969" s="5" t="str">
        <f t="shared" si="3"/>
        <v> </v>
      </c>
      <c r="N2969" s="5" t="str">
        <f t="shared" si="4"/>
        <v>Microsoft</v>
      </c>
      <c r="O2969" s="5" t="str">
        <f t="shared" si="5"/>
        <v>3 years 2 months in role and company</v>
      </c>
      <c r="P2969" s="5" t="str">
        <f t="shared" si="6"/>
        <v>Bellevue</v>
      </c>
      <c r="Q2969" s="5" t="str">
        <f t="shared" si="7"/>
        <v>Washington</v>
      </c>
      <c r="R2969" s="5" t="str">
        <f t="shared" si="8"/>
        <v>United States</v>
      </c>
    </row>
    <row r="2970">
      <c r="A2970" s="7" t="s">
        <v>2313</v>
      </c>
      <c r="B2970" s="5" t="s">
        <v>2312</v>
      </c>
      <c r="C2970" s="5" t="s">
        <v>404</v>
      </c>
      <c r="D2970" s="6" t="s">
        <v>13</v>
      </c>
      <c r="E2970" s="5" t="s">
        <v>2297</v>
      </c>
      <c r="F2970" s="5" t="s">
        <v>339</v>
      </c>
      <c r="G2970" s="5" t="s">
        <v>80</v>
      </c>
      <c r="H2970" s="5" t="s">
        <v>38</v>
      </c>
      <c r="I2970" s="5" t="s">
        <v>18</v>
      </c>
      <c r="J2970" s="9" t="str">
        <f>IFERROR(__xludf.DUMMYFUNCTION("""COMPUTED_VALUE"""),"https://www.google.com/search?newwindow=1&amp;ei=2MT0XrvGGM-vytMP1OyDgAY&amp;q=site%3Alinkedin.com+Jessica+Nguyen+University+Recruiter+Microsoft")</f>
        <v>https://www.google.com/search?newwindow=1&amp;ei=2MT0XrvGGM-vytMP1OyDgAY&amp;q=site%3Alinkedin.com+Jessica+Nguyen+University+Recruiter+Microsoft</v>
      </c>
      <c r="K2970" s="5" t="str">
        <f t="shared" si="1"/>
        <v>Jessica Nguyen</v>
      </c>
      <c r="L2970" s="5" t="str">
        <f t="shared" si="2"/>
        <v>University Recruiter</v>
      </c>
      <c r="M2970" s="5" t="str">
        <f t="shared" si="3"/>
        <v> </v>
      </c>
      <c r="N2970" s="5" t="str">
        <f t="shared" si="4"/>
        <v>Microsoft</v>
      </c>
      <c r="O2970" s="5" t="str">
        <f t="shared" si="5"/>
        <v>1 year 5 months in role and company</v>
      </c>
      <c r="P2970" s="5" t="str">
        <f t="shared" si="6"/>
        <v>Federal Way</v>
      </c>
      <c r="Q2970" s="5" t="str">
        <f t="shared" si="7"/>
        <v>Washington</v>
      </c>
      <c r="R2970" s="5" t="str">
        <f t="shared" si="8"/>
        <v>United States</v>
      </c>
    </row>
    <row r="2971">
      <c r="A2971" s="8" t="s">
        <v>2316</v>
      </c>
      <c r="B2971" s="5" t="s">
        <v>2314</v>
      </c>
      <c r="C2971" s="5" t="s">
        <v>2315</v>
      </c>
      <c r="D2971" s="6" t="s">
        <v>13</v>
      </c>
      <c r="E2971" s="5" t="s">
        <v>2297</v>
      </c>
      <c r="F2971" s="5" t="s">
        <v>222</v>
      </c>
      <c r="G2971" s="5" t="s">
        <v>80</v>
      </c>
      <c r="H2971" s="5" t="s">
        <v>38</v>
      </c>
      <c r="I2971" s="5" t="s">
        <v>18</v>
      </c>
      <c r="J2971" s="9" t="str">
        <f>IFERROR(__xludf.DUMMYFUNCTION("""COMPUTED_VALUE"""),"https://www.google.com/search?newwindow=1&amp;ei=2MT0XrvGGM-vytMP1OyDgAY&amp;q=site%3Alinkedin.com+Andrea+Adams+University+Recruiter+Microsoft")</f>
        <v>https://www.google.com/search?newwindow=1&amp;ei=2MT0XrvGGM-vytMP1OyDgAY&amp;q=site%3Alinkedin.com+Andrea+Adams+University+Recruiter+Microsoft</v>
      </c>
      <c r="K2971" s="5" t="str">
        <f t="shared" si="1"/>
        <v>Andrea Adams</v>
      </c>
      <c r="L2971" s="5" t="str">
        <f t="shared" si="2"/>
        <v>University Recruiter</v>
      </c>
      <c r="M2971" s="5" t="str">
        <f t="shared" si="3"/>
        <v> </v>
      </c>
      <c r="N2971" s="5" t="str">
        <f t="shared" si="4"/>
        <v>Microsoft</v>
      </c>
      <c r="O2971" s="5" t="str">
        <f t="shared" si="5"/>
        <v>2 years 4 months in role</v>
      </c>
      <c r="P2971" s="5" t="str">
        <f t="shared" si="6"/>
        <v>Houston</v>
      </c>
      <c r="Q2971" s="5" t="str">
        <f t="shared" si="7"/>
        <v>Texas</v>
      </c>
      <c r="R2971" s="5" t="str">
        <f t="shared" si="8"/>
        <v>United States</v>
      </c>
    </row>
    <row r="2972">
      <c r="A2972" s="8" t="s">
        <v>2319</v>
      </c>
      <c r="B2972" s="5" t="s">
        <v>2317</v>
      </c>
      <c r="C2972" s="5" t="s">
        <v>2318</v>
      </c>
      <c r="D2972" s="6" t="s">
        <v>13</v>
      </c>
      <c r="E2972" s="5" t="s">
        <v>2297</v>
      </c>
      <c r="F2972" s="5" t="s">
        <v>222</v>
      </c>
      <c r="G2972" s="5" t="s">
        <v>80</v>
      </c>
      <c r="H2972" s="5" t="s">
        <v>38</v>
      </c>
      <c r="I2972" s="5" t="s">
        <v>18</v>
      </c>
      <c r="J2972" s="9" t="str">
        <f>IFERROR(__xludf.DUMMYFUNCTION("""COMPUTED_VALUE"""),"https://www.google.com/search?newwindow=1&amp;ei=2MT0XrvGGM-vytMP1OyDgAY&amp;q=site%3Alinkedin.com+Aaron+Mickelsen+Technical+Recruiter+|+University+Team+Microsoft")</f>
        <v>https://www.google.com/search?newwindow=1&amp;ei=2MT0XrvGGM-vytMP1OyDgAY&amp;q=site%3Alinkedin.com+Aaron+Mickelsen+Technical+Recruiter+|+University+Team+Microsoft</v>
      </c>
      <c r="K2972" s="5" t="str">
        <f t="shared" si="1"/>
        <v>Aaron Mickelsen</v>
      </c>
      <c r="L2972" s="5" t="str">
        <f t="shared" si="2"/>
        <v>Technical Recruiter | University Team</v>
      </c>
      <c r="M2972" s="5" t="str">
        <f t="shared" si="3"/>
        <v> </v>
      </c>
      <c r="N2972" s="5" t="str">
        <f t="shared" si="4"/>
        <v>Microsoft</v>
      </c>
      <c r="O2972" s="5" t="str">
        <f t="shared" si="5"/>
        <v>1 year 6 months in role and company</v>
      </c>
      <c r="P2972" s="5" t="str">
        <f t="shared" si="6"/>
        <v>Issaquah</v>
      </c>
      <c r="Q2972" s="5" t="str">
        <f t="shared" si="7"/>
        <v>Washington</v>
      </c>
      <c r="R2972" s="5" t="str">
        <f t="shared" si="8"/>
        <v>United States</v>
      </c>
    </row>
    <row r="2973">
      <c r="A2973" s="7" t="s">
        <v>2323</v>
      </c>
      <c r="B2973" s="5" t="s">
        <v>2320</v>
      </c>
      <c r="C2973" s="5" t="s">
        <v>2321</v>
      </c>
      <c r="D2973" s="6" t="s">
        <v>13</v>
      </c>
      <c r="E2973" s="5" t="s">
        <v>2297</v>
      </c>
      <c r="F2973" s="5" t="s">
        <v>2322</v>
      </c>
      <c r="G2973" s="5" t="s">
        <v>1187</v>
      </c>
      <c r="H2973" s="5" t="s">
        <v>96</v>
      </c>
      <c r="I2973" s="5" t="s">
        <v>18</v>
      </c>
      <c r="J2973" s="9" t="str">
        <f>IFERROR(__xludf.DUMMYFUNCTION("""COMPUTED_VALUE"""),"https://www.google.com/search?newwindow=1&amp;ei=2MT0XrvGGM-vytMP1OyDgAY&amp;q=site%3Alinkedin.com+Andrea+Maurer+University+Recruiter+Microsoft")</f>
        <v>https://www.google.com/search?newwindow=1&amp;ei=2MT0XrvGGM-vytMP1OyDgAY&amp;q=site%3Alinkedin.com+Andrea+Maurer+University+Recruiter+Microsoft</v>
      </c>
      <c r="K2973" s="5" t="str">
        <f t="shared" si="1"/>
        <v>Andrea Maurer</v>
      </c>
      <c r="L2973" s="5" t="str">
        <f t="shared" si="2"/>
        <v>University Recruiter</v>
      </c>
      <c r="M2973" s="5" t="str">
        <f t="shared" si="3"/>
        <v> </v>
      </c>
      <c r="N2973" s="5" t="str">
        <f t="shared" si="4"/>
        <v>Microsoft</v>
      </c>
      <c r="O2973" s="5" t="str">
        <f t="shared" si="5"/>
        <v>5 years 2 months in role and company</v>
      </c>
      <c r="P2973" s="5" t="str">
        <f t="shared" si="6"/>
        <v>Issaquah</v>
      </c>
      <c r="Q2973" s="5" t="str">
        <f t="shared" si="7"/>
        <v>Washington</v>
      </c>
      <c r="R2973" s="5" t="str">
        <f t="shared" si="8"/>
        <v>United States</v>
      </c>
    </row>
    <row r="2974">
      <c r="A2974" s="8" t="s">
        <v>2326</v>
      </c>
      <c r="B2974" s="5" t="s">
        <v>2324</v>
      </c>
      <c r="C2974" s="5" t="s">
        <v>2325</v>
      </c>
      <c r="D2974" s="6" t="s">
        <v>13</v>
      </c>
      <c r="E2974" s="5" t="s">
        <v>2297</v>
      </c>
      <c r="F2974" s="5" t="s">
        <v>121</v>
      </c>
      <c r="G2974" s="5" t="s">
        <v>137</v>
      </c>
      <c r="H2974" s="5" t="s">
        <v>137</v>
      </c>
      <c r="I2974" s="5" t="s">
        <v>18</v>
      </c>
      <c r="J2974" s="9" t="str">
        <f>IFERROR(__xludf.DUMMYFUNCTION("""COMPUTED_VALUE"""),"https://www.google.com/search?newwindow=1&amp;ei=2MT0XrvGGM-vytMP1OyDgAY&amp;q=site%3Alinkedin.com+Franco+Bulaon+University+Recruiter+Microsoft")</f>
        <v>https://www.google.com/search?newwindow=1&amp;ei=2MT0XrvGGM-vytMP1OyDgAY&amp;q=site%3Alinkedin.com+Franco+Bulaon+University+Recruiter+Microsoft</v>
      </c>
      <c r="K2974" s="5" t="str">
        <f t="shared" si="1"/>
        <v>Franco Bulaon</v>
      </c>
      <c r="L2974" s="5" t="str">
        <f t="shared" si="2"/>
        <v>University Recruiter</v>
      </c>
      <c r="M2974" s="5" t="str">
        <f t="shared" si="3"/>
        <v> </v>
      </c>
      <c r="N2974" s="5" t="str">
        <f t="shared" si="4"/>
        <v>Microsoft</v>
      </c>
      <c r="O2974" s="5" t="str">
        <f t="shared" si="5"/>
        <v>1 year 6 months in role and company</v>
      </c>
      <c r="P2974" s="5" t="str">
        <f t="shared" si="6"/>
        <v>Kirkland</v>
      </c>
      <c r="Q2974" s="5" t="str">
        <f t="shared" si="7"/>
        <v>Washington</v>
      </c>
      <c r="R2974" s="5" t="str">
        <f t="shared" si="8"/>
        <v>United States</v>
      </c>
    </row>
    <row r="2975">
      <c r="A2975" s="7" t="s">
        <v>2328</v>
      </c>
      <c r="B2975" s="5" t="s">
        <v>2327</v>
      </c>
      <c r="C2975" s="5" t="s">
        <v>25</v>
      </c>
      <c r="D2975" s="6" t="s">
        <v>13</v>
      </c>
      <c r="E2975" s="5" t="s">
        <v>2297</v>
      </c>
      <c r="F2975" s="5" t="s">
        <v>554</v>
      </c>
      <c r="G2975" s="5" t="s">
        <v>137</v>
      </c>
      <c r="H2975" s="5" t="s">
        <v>137</v>
      </c>
      <c r="I2975" s="5" t="s">
        <v>18</v>
      </c>
      <c r="J2975" s="9" t="str">
        <f>IFERROR(__xludf.DUMMYFUNCTION("""COMPUTED_VALUE"""),"https://www.google.com/search?newwindow=1&amp;ei=2MT0XrvGGM-vytMP1OyDgAY&amp;q=site%3Alinkedin.com+Damon+Coupe+University+Recruiter+Microsoft")</f>
        <v>https://www.google.com/search?newwindow=1&amp;ei=2MT0XrvGGM-vytMP1OyDgAY&amp;q=site%3Alinkedin.com+Damon+Coupe+University+Recruiter+Microsoft</v>
      </c>
      <c r="K2975" s="5" t="str">
        <f t="shared" si="1"/>
        <v>Damon Coupe</v>
      </c>
      <c r="L2975" s="5" t="str">
        <f t="shared" si="2"/>
        <v>University Recruiter</v>
      </c>
      <c r="M2975" s="5" t="str">
        <f t="shared" si="3"/>
        <v> </v>
      </c>
      <c r="N2975" s="5" t="str">
        <f t="shared" si="4"/>
        <v>Microsoft</v>
      </c>
      <c r="O2975" s="5" t="str">
        <f t="shared" si="5"/>
        <v>5 years 2 months in role and company</v>
      </c>
      <c r="P2975" s="5" t="str">
        <f t="shared" si="6"/>
        <v>Kirkland</v>
      </c>
      <c r="Q2975" s="5" t="str">
        <f t="shared" si="7"/>
        <v>Washington</v>
      </c>
      <c r="R2975" s="5" t="str">
        <f t="shared" si="8"/>
        <v>United States</v>
      </c>
    </row>
    <row r="2976">
      <c r="A2976" s="8" t="s">
        <v>2330</v>
      </c>
      <c r="B2976" s="5" t="s">
        <v>2329</v>
      </c>
      <c r="C2976" s="5" t="s">
        <v>2325</v>
      </c>
      <c r="D2976" s="6" t="s">
        <v>13</v>
      </c>
      <c r="E2976" s="5" t="s">
        <v>2297</v>
      </c>
      <c r="F2976" s="5" t="s">
        <v>1950</v>
      </c>
      <c r="G2976" s="5" t="s">
        <v>137</v>
      </c>
      <c r="H2976" s="5" t="s">
        <v>137</v>
      </c>
      <c r="I2976" s="5" t="s">
        <v>18</v>
      </c>
      <c r="J2976" s="9" t="str">
        <f>IFERROR(__xludf.DUMMYFUNCTION("""COMPUTED_VALUE"""),"https://www.google.com/search?newwindow=1&amp;ei=2MT0XrvGGM-vytMP1OyDgAY&amp;q=site%3Alinkedin.com+Meredith+Bogguess+University+Recruiter+Microsoft")</f>
        <v>https://www.google.com/search?newwindow=1&amp;ei=2MT0XrvGGM-vytMP1OyDgAY&amp;q=site%3Alinkedin.com+Meredith+Bogguess+University+Recruiter+Microsoft</v>
      </c>
      <c r="K2976" s="5" t="str">
        <f t="shared" si="1"/>
        <v>Meredith Bogguess</v>
      </c>
      <c r="L2976" s="5" t="str">
        <f t="shared" si="2"/>
        <v>University Recruiter</v>
      </c>
      <c r="M2976" s="5" t="str">
        <f t="shared" si="3"/>
        <v> </v>
      </c>
      <c r="N2976" s="5" t="str">
        <f t="shared" si="4"/>
        <v>Microsoft</v>
      </c>
      <c r="O2976" s="5" t="str">
        <f t="shared" si="5"/>
        <v>6 years 6 months in role</v>
      </c>
      <c r="P2976" s="5" t="str">
        <f t="shared" si="6"/>
        <v>Kirkland</v>
      </c>
      <c r="Q2976" s="5" t="str">
        <f t="shared" si="7"/>
        <v>Washington</v>
      </c>
      <c r="R2976" s="5" t="str">
        <f t="shared" si="8"/>
        <v>United States</v>
      </c>
    </row>
    <row r="2977">
      <c r="A2977" s="8" t="s">
        <v>2333</v>
      </c>
      <c r="B2977" s="5" t="s">
        <v>2331</v>
      </c>
      <c r="C2977" s="5" t="s">
        <v>2332</v>
      </c>
      <c r="D2977" s="6" t="s">
        <v>13</v>
      </c>
      <c r="E2977" s="5" t="s">
        <v>2297</v>
      </c>
      <c r="F2977" s="5" t="s">
        <v>63</v>
      </c>
      <c r="G2977" s="5" t="s">
        <v>137</v>
      </c>
      <c r="H2977" s="5" t="s">
        <v>137</v>
      </c>
      <c r="I2977" s="5" t="s">
        <v>18</v>
      </c>
      <c r="J2977" s="9" t="str">
        <f>IFERROR(__xludf.DUMMYFUNCTION("""COMPUTED_VALUE"""),"https://www.google.com/search?newwindow=1&amp;ei=2MT0XrvGGM-vytMP1OyDgAY&amp;q=site%3Alinkedin.com+Faviola+Zuñiga,+CDR+Hispanic+Serving+Institutions+Hub+|+Technical+University+Recruiter+Microsoft")</f>
        <v>https://www.google.com/search?newwindow=1&amp;ei=2MT0XrvGGM-vytMP1OyDgAY&amp;q=site%3Alinkedin.com+Faviola+Zuñiga,+CDR+Hispanic+Serving+Institutions+Hub+|+Technical+University+Recruiter+Microsoft</v>
      </c>
      <c r="K2977" s="5" t="str">
        <f t="shared" si="1"/>
        <v>Faviola Zuñiga, CDR</v>
      </c>
      <c r="L2977" s="5" t="str">
        <f t="shared" si="2"/>
        <v>Hispanic Serving Institutions Hub | Technical University Recruiter</v>
      </c>
      <c r="M2977" s="5" t="str">
        <f t="shared" si="3"/>
        <v> </v>
      </c>
      <c r="N2977" s="5" t="str">
        <f t="shared" si="4"/>
        <v>Microsoft</v>
      </c>
      <c r="O2977" s="5" t="str">
        <f t="shared" si="5"/>
        <v>4 months in role</v>
      </c>
      <c r="P2977" s="5" t="str">
        <f t="shared" si="6"/>
        <v>Los Angeles</v>
      </c>
      <c r="Q2977" s="5" t="str">
        <f t="shared" si="7"/>
        <v>California</v>
      </c>
      <c r="R2977" s="5" t="str">
        <f t="shared" si="8"/>
        <v>United States</v>
      </c>
    </row>
    <row r="2978">
      <c r="A2978" s="7" t="s">
        <v>2336</v>
      </c>
      <c r="B2978" s="5" t="s">
        <v>2334</v>
      </c>
      <c r="C2978" s="5" t="s">
        <v>2335</v>
      </c>
      <c r="D2978" s="6" t="s">
        <v>13</v>
      </c>
      <c r="E2978" s="5" t="s">
        <v>2297</v>
      </c>
      <c r="F2978" s="5" t="s">
        <v>74</v>
      </c>
      <c r="G2978" s="5" t="s">
        <v>137</v>
      </c>
      <c r="H2978" s="5" t="s">
        <v>137</v>
      </c>
      <c r="I2978" s="5" t="s">
        <v>18</v>
      </c>
      <c r="J2978" s="9" t="str">
        <f>IFERROR(__xludf.DUMMYFUNCTION("""COMPUTED_VALUE"""),"https://www.google.com/search?newwindow=1&amp;ei=2MT0XrvGGM-vytMP1OyDgAY&amp;q=site%3Alinkedin.com+Gretchen+Tristan+University+Recruiter+Microsoft")</f>
        <v>https://www.google.com/search?newwindow=1&amp;ei=2MT0XrvGGM-vytMP1OyDgAY&amp;q=site%3Alinkedin.com+Gretchen+Tristan+University+Recruiter+Microsoft</v>
      </c>
      <c r="K2978" s="5" t="str">
        <f t="shared" si="1"/>
        <v>Gretchen Tristan</v>
      </c>
      <c r="L2978" s="5" t="str">
        <f t="shared" si="2"/>
        <v>University Recruiter</v>
      </c>
      <c r="M2978" s="5" t="str">
        <f t="shared" si="3"/>
        <v> </v>
      </c>
      <c r="N2978" s="5" t="str">
        <f t="shared" si="4"/>
        <v>Microsoft</v>
      </c>
      <c r="O2978" s="5" t="str">
        <f t="shared" si="5"/>
        <v>1 year 5 months in role and company</v>
      </c>
      <c r="P2978" s="5" t="str">
        <f t="shared" si="6"/>
        <v>Lynnwood</v>
      </c>
      <c r="Q2978" s="5" t="str">
        <f t="shared" si="7"/>
        <v>Washington</v>
      </c>
      <c r="R2978" s="5" t="str">
        <f t="shared" si="8"/>
        <v>United States</v>
      </c>
    </row>
    <row r="2979">
      <c r="A2979" s="8" t="s">
        <v>2340</v>
      </c>
      <c r="B2979" s="5" t="s">
        <v>2337</v>
      </c>
      <c r="C2979" s="5" t="s">
        <v>2338</v>
      </c>
      <c r="D2979" s="6" t="s">
        <v>13</v>
      </c>
      <c r="E2979" s="5" t="s">
        <v>2297</v>
      </c>
      <c r="F2979" s="5" t="s">
        <v>496</v>
      </c>
      <c r="G2979" s="5" t="s">
        <v>2339</v>
      </c>
      <c r="H2979" s="5" t="s">
        <v>781</v>
      </c>
      <c r="I2979" s="5" t="s">
        <v>18</v>
      </c>
      <c r="J2979" s="9" t="str">
        <f>IFERROR(__xludf.DUMMYFUNCTION("""COMPUTED_VALUE"""),"https://www.google.com/search?newwindow=1&amp;ei=2MT0XrvGGM-vytMP1OyDgAY&amp;q=site%3Alinkedin.com+rose+jay+Campus+Recruiter+Microsoft")</f>
        <v>https://www.google.com/search?newwindow=1&amp;ei=2MT0XrvGGM-vytMP1OyDgAY&amp;q=site%3Alinkedin.com+rose+jay+Campus+Recruiter+Microsoft</v>
      </c>
      <c r="K2979" s="5" t="str">
        <f t="shared" si="1"/>
        <v>rose jay</v>
      </c>
      <c r="L2979" s="5" t="str">
        <f t="shared" si="2"/>
        <v>Campus Recruiter</v>
      </c>
      <c r="M2979" s="5" t="str">
        <f t="shared" si="3"/>
        <v> </v>
      </c>
      <c r="N2979" s="5" t="str">
        <f t="shared" si="4"/>
        <v>Microsoft</v>
      </c>
      <c r="O2979" s="5" t="str">
        <f t="shared" si="5"/>
        <v>10 years 10 months in role and company</v>
      </c>
      <c r="P2979" s="5" t="str">
        <f t="shared" si="6"/>
        <v>Minneapolis</v>
      </c>
      <c r="Q2979" s="5" t="str">
        <f t="shared" si="7"/>
        <v>Minnesota</v>
      </c>
      <c r="R2979" s="5" t="str">
        <f t="shared" si="8"/>
        <v>United States</v>
      </c>
    </row>
    <row r="2980">
      <c r="A2980" s="7" t="s">
        <v>2344</v>
      </c>
      <c r="B2980" s="5" t="s">
        <v>2341</v>
      </c>
      <c r="C2980" s="5" t="s">
        <v>2342</v>
      </c>
      <c r="D2980" s="6" t="s">
        <v>13</v>
      </c>
      <c r="E2980" s="5" t="s">
        <v>2297</v>
      </c>
      <c r="F2980" s="5" t="s">
        <v>579</v>
      </c>
      <c r="G2980" s="5" t="s">
        <v>2343</v>
      </c>
      <c r="H2980" s="5" t="s">
        <v>38</v>
      </c>
      <c r="I2980" s="5" t="s">
        <v>18</v>
      </c>
      <c r="J2980" s="9" t="str">
        <f>IFERROR(__xludf.DUMMYFUNCTION("""COMPUTED_VALUE"""),"https://www.google.com/search?newwindow=1&amp;ei=2MT0XrvGGM-vytMP1OyDgAY&amp;q=site%3Alinkedin.com+Shelly+Forsberg+University+Recruiter+Microsoft")</f>
        <v>https://www.google.com/search?newwindow=1&amp;ei=2MT0XrvGGM-vytMP1OyDgAY&amp;q=site%3Alinkedin.com+Shelly+Forsberg+University+Recruiter+Microsoft</v>
      </c>
      <c r="K2980" s="5" t="str">
        <f t="shared" si="1"/>
        <v>Shelly Forsberg</v>
      </c>
      <c r="L2980" s="5" t="str">
        <f t="shared" si="2"/>
        <v>University Recruiter</v>
      </c>
      <c r="M2980" s="5" t="str">
        <f t="shared" si="3"/>
        <v> </v>
      </c>
      <c r="N2980" s="5" t="str">
        <f t="shared" si="4"/>
        <v>Microsoft</v>
      </c>
      <c r="O2980" s="5" t="str">
        <f t="shared" si="5"/>
        <v>1 year 11 months in role</v>
      </c>
      <c r="P2980" s="5" t="str">
        <f t="shared" si="6"/>
        <v>Monroe</v>
      </c>
      <c r="Q2980" s="5" t="str">
        <f t="shared" si="7"/>
        <v>Washington</v>
      </c>
      <c r="R2980" s="5" t="str">
        <f t="shared" si="8"/>
        <v>United States</v>
      </c>
    </row>
    <row r="2981">
      <c r="A2981" s="7" t="s">
        <v>2346</v>
      </c>
      <c r="B2981" s="5" t="s">
        <v>2345</v>
      </c>
      <c r="C2981" s="5" t="s">
        <v>25</v>
      </c>
      <c r="D2981" s="6" t="s">
        <v>13</v>
      </c>
      <c r="E2981" s="5" t="s">
        <v>2297</v>
      </c>
      <c r="F2981" s="5" t="s">
        <v>2265</v>
      </c>
      <c r="G2981" s="5" t="s">
        <v>780</v>
      </c>
      <c r="H2981" s="5" t="s">
        <v>781</v>
      </c>
      <c r="I2981" s="5" t="s">
        <v>18</v>
      </c>
      <c r="J2981" s="9" t="str">
        <f>IFERROR(__xludf.DUMMYFUNCTION("""COMPUTED_VALUE"""),"https://www.google.com/search?newwindow=1&amp;ei=2MT0XrvGGM-vytMP1OyDgAY&amp;q=site%3Alinkedin.com+Maggie+Bott+Technical+Recruiter+-+Student+Veterans+++Security+Clearance+Opportunities+for+University+Students+Microsoft")</f>
        <v>https://www.google.com/search?newwindow=1&amp;ei=2MT0XrvGGM-vytMP1OyDgAY&amp;q=site%3Alinkedin.com+Maggie+Bott+Technical+Recruiter+-+Student+Veterans+++Security+Clearance+Opportunities+for+University+Students+Microsoft</v>
      </c>
      <c r="K2981" s="5" t="str">
        <f t="shared" si="1"/>
        <v>Maggie Bott</v>
      </c>
      <c r="L2981" s="5" t="str">
        <f t="shared" si="2"/>
        <v>Technical Recruiter - Student Veterans + Security Clearance Opportunities for University Students</v>
      </c>
      <c r="M2981" s="5" t="str">
        <f t="shared" si="3"/>
        <v> </v>
      </c>
      <c r="N2981" s="5" t="str">
        <f t="shared" si="4"/>
        <v>Microsoft</v>
      </c>
      <c r="O2981" s="5" t="str">
        <f t="shared" si="5"/>
        <v>4 months in role</v>
      </c>
      <c r="P2981" s="5" t="str">
        <f t="shared" si="6"/>
        <v>Peyton</v>
      </c>
      <c r="Q2981" s="5" t="str">
        <f t="shared" si="7"/>
        <v>Colorado</v>
      </c>
      <c r="R2981" s="5" t="str">
        <f t="shared" si="8"/>
        <v>United States</v>
      </c>
    </row>
    <row r="2982">
      <c r="A2982" s="8" t="s">
        <v>2350</v>
      </c>
      <c r="B2982" s="5" t="s">
        <v>2347</v>
      </c>
      <c r="C2982" s="5" t="s">
        <v>2348</v>
      </c>
      <c r="D2982" s="6" t="s">
        <v>13</v>
      </c>
      <c r="E2982" s="5" t="s">
        <v>2349</v>
      </c>
      <c r="F2982" s="5" t="s">
        <v>832</v>
      </c>
      <c r="G2982" s="5" t="s">
        <v>37</v>
      </c>
      <c r="H2982" s="5" t="s">
        <v>38</v>
      </c>
      <c r="I2982" s="5" t="s">
        <v>18</v>
      </c>
      <c r="J2982" s="9" t="str">
        <f>IFERROR(__xludf.DUMMYFUNCTION("""COMPUTED_VALUE"""),"https://www.google.com/search?newwindow=1&amp;ei=2MT0XrvGGM-vytMP1OyDgAY&amp;q=site%3Alinkedin.com+Caitlin+Gonzales+University+Recruiter+Microsoft")</f>
        <v>https://www.google.com/search?newwindow=1&amp;ei=2MT0XrvGGM-vytMP1OyDgAY&amp;q=site%3Alinkedin.com+Caitlin+Gonzales+University+Recruiter+Microsoft</v>
      </c>
      <c r="K2982" s="5" t="str">
        <f t="shared" si="1"/>
        <v>Caitlin Gonzales</v>
      </c>
      <c r="L2982" s="5" t="str">
        <f t="shared" si="2"/>
        <v>University Recruiter</v>
      </c>
      <c r="M2982" s="5" t="str">
        <f t="shared" si="3"/>
        <v> </v>
      </c>
      <c r="N2982" s="5" t="str">
        <f t="shared" si="4"/>
        <v>Microsoft</v>
      </c>
      <c r="O2982" s="5" t="str">
        <f t="shared" si="5"/>
        <v>1 year 5 months in role</v>
      </c>
      <c r="P2982" s="5" t="str">
        <f t="shared" si="6"/>
        <v>Redmond</v>
      </c>
      <c r="Q2982" s="5" t="str">
        <f t="shared" si="7"/>
        <v>Washington</v>
      </c>
      <c r="R2982" s="5" t="str">
        <f t="shared" si="8"/>
        <v>United States</v>
      </c>
    </row>
    <row r="2983">
      <c r="A2983" s="7" t="s">
        <v>2352</v>
      </c>
      <c r="B2983" s="5" t="s">
        <v>2351</v>
      </c>
      <c r="C2983" s="5" t="s">
        <v>328</v>
      </c>
      <c r="D2983" s="6" t="s">
        <v>13</v>
      </c>
      <c r="E2983" s="5" t="s">
        <v>2349</v>
      </c>
      <c r="F2983" s="5" t="s">
        <v>268</v>
      </c>
      <c r="G2983" s="5" t="s">
        <v>37</v>
      </c>
      <c r="H2983" s="5" t="s">
        <v>38</v>
      </c>
      <c r="I2983" s="5" t="s">
        <v>18</v>
      </c>
      <c r="J2983" s="9" t="str">
        <f>IFERROR(__xludf.DUMMYFUNCTION("""COMPUTED_VALUE"""),"https://www.google.com/search?newwindow=1&amp;ei=2MT0XrvGGM-vytMP1OyDgAY&amp;q=site%3Alinkedin.com+Kamara+Swaby+University+Recruiter+Microsoft")</f>
        <v>https://www.google.com/search?newwindow=1&amp;ei=2MT0XrvGGM-vytMP1OyDgAY&amp;q=site%3Alinkedin.com+Kamara+Swaby+University+Recruiter+Microsoft</v>
      </c>
      <c r="K2983" s="5" t="str">
        <f t="shared" si="1"/>
        <v>Kamara Swaby</v>
      </c>
      <c r="L2983" s="5" t="str">
        <f t="shared" si="2"/>
        <v>University Recruiter</v>
      </c>
      <c r="M2983" s="5" t="str">
        <f t="shared" si="3"/>
        <v> </v>
      </c>
      <c r="N2983" s="5" t="str">
        <f t="shared" si="4"/>
        <v>Microsoft</v>
      </c>
      <c r="O2983" s="5" t="str">
        <f t="shared" si="5"/>
        <v>3 years 4 months in role and company</v>
      </c>
      <c r="P2983" s="5" t="str">
        <f t="shared" si="6"/>
        <v>Redmond</v>
      </c>
      <c r="Q2983" s="5" t="str">
        <f t="shared" si="7"/>
        <v>Washington</v>
      </c>
      <c r="R2983" s="5" t="str">
        <f t="shared" si="8"/>
        <v>United States</v>
      </c>
    </row>
    <row r="2984">
      <c r="A2984" s="7" t="s">
        <v>2355</v>
      </c>
      <c r="B2984" s="5" t="s">
        <v>2353</v>
      </c>
      <c r="C2984" s="5" t="s">
        <v>2354</v>
      </c>
      <c r="D2984" s="6" t="s">
        <v>13</v>
      </c>
      <c r="E2984" s="5" t="s">
        <v>2349</v>
      </c>
      <c r="F2984" s="5" t="s">
        <v>832</v>
      </c>
      <c r="G2984" s="5" t="s">
        <v>37</v>
      </c>
      <c r="H2984" s="5" t="s">
        <v>38</v>
      </c>
      <c r="I2984" s="5" t="s">
        <v>18</v>
      </c>
      <c r="J2984" s="9" t="str">
        <f>IFERROR(__xludf.DUMMYFUNCTION("""COMPUTED_VALUE"""),"https://www.google.com/search?newwindow=1&amp;ei=2MT0XrvGGM-vytMP1OyDgAY&amp;q=site%3Alinkedin.com+Sarah+Gordon+Talent+Sourcer+-+Pivotal+Recruiting+Microsoft")</f>
        <v>https://www.google.com/search?newwindow=1&amp;ei=2MT0XrvGGM-vytMP1OyDgAY&amp;q=site%3Alinkedin.com+Sarah+Gordon+Talent+Sourcer+-+Pivotal+Recruiting+Microsoft</v>
      </c>
      <c r="K2984" s="5" t="str">
        <f t="shared" si="1"/>
        <v>Sarah Gordon</v>
      </c>
      <c r="L2984" s="5" t="str">
        <f t="shared" si="2"/>
        <v>Talent Sourcer - Pivotal Recruiting</v>
      </c>
      <c r="M2984" s="5" t="str">
        <f t="shared" si="3"/>
        <v> </v>
      </c>
      <c r="N2984" s="5" t="str">
        <f t="shared" si="4"/>
        <v>Microsoft</v>
      </c>
      <c r="O2984" s="5" t="str">
        <f t="shared" si="5"/>
        <v>3 years 1 month in role</v>
      </c>
      <c r="P2984" s="5" t="str">
        <f t="shared" si="6"/>
        <v>Redmond</v>
      </c>
      <c r="Q2984" s="5" t="str">
        <f t="shared" si="7"/>
        <v>Washington</v>
      </c>
      <c r="R2984" s="5" t="str">
        <f t="shared" si="8"/>
        <v>United States</v>
      </c>
    </row>
    <row r="2985">
      <c r="A2985" s="7" t="s">
        <v>2358</v>
      </c>
      <c r="B2985" s="5" t="s">
        <v>2356</v>
      </c>
      <c r="C2985" s="5" t="s">
        <v>2357</v>
      </c>
      <c r="D2985" s="6" t="s">
        <v>13</v>
      </c>
      <c r="E2985" s="5" t="s">
        <v>2349</v>
      </c>
      <c r="F2985" s="5" t="s">
        <v>217</v>
      </c>
      <c r="G2985" s="5" t="s">
        <v>37</v>
      </c>
      <c r="H2985" s="5" t="s">
        <v>38</v>
      </c>
      <c r="I2985" s="5" t="s">
        <v>18</v>
      </c>
      <c r="J2985" s="9" t="str">
        <f>IFERROR(__xludf.DUMMYFUNCTION("""COMPUTED_VALUE"""),"https://www.google.com/search?newwindow=1&amp;ei=2MT0XrvGGM-vytMP1OyDgAY&amp;q=site%3Alinkedin.com+Catrina+Chen+University+Recruiter+Microsoft")</f>
        <v>https://www.google.com/search?newwindow=1&amp;ei=2MT0XrvGGM-vytMP1OyDgAY&amp;q=site%3Alinkedin.com+Catrina+Chen+University+Recruiter+Microsoft</v>
      </c>
      <c r="K2985" s="5" t="str">
        <f t="shared" si="1"/>
        <v>Catrina Chen</v>
      </c>
      <c r="L2985" s="5" t="str">
        <f t="shared" si="2"/>
        <v>University Recruiter</v>
      </c>
      <c r="M2985" s="5" t="str">
        <f t="shared" si="3"/>
        <v> </v>
      </c>
      <c r="N2985" s="5" t="str">
        <f t="shared" si="4"/>
        <v>Microsoft</v>
      </c>
      <c r="O2985" s="5" t="str">
        <f t="shared" si="5"/>
        <v>2 years 3 months in role and company</v>
      </c>
      <c r="P2985" s="5" t="str">
        <f t="shared" si="6"/>
        <v>Redmond</v>
      </c>
      <c r="Q2985" s="5" t="str">
        <f t="shared" si="7"/>
        <v>Washington</v>
      </c>
      <c r="R2985" s="5" t="str">
        <f t="shared" si="8"/>
        <v>United States</v>
      </c>
    </row>
    <row r="2986">
      <c r="A2986" s="7" t="s">
        <v>2360</v>
      </c>
      <c r="B2986" s="5" t="s">
        <v>2359</v>
      </c>
      <c r="C2986" s="5" t="s">
        <v>110</v>
      </c>
      <c r="D2986" s="6" t="s">
        <v>13</v>
      </c>
      <c r="E2986" s="5" t="s">
        <v>2349</v>
      </c>
      <c r="F2986" s="5" t="s">
        <v>283</v>
      </c>
      <c r="G2986" s="5" t="s">
        <v>37</v>
      </c>
      <c r="H2986" s="5" t="s">
        <v>38</v>
      </c>
      <c r="I2986" s="5" t="s">
        <v>18</v>
      </c>
      <c r="J2986" s="9" t="str">
        <f>IFERROR(__xludf.DUMMYFUNCTION("""COMPUTED_VALUE"""),"https://www.google.com/search?newwindow=1&amp;ei=2MT0XrvGGM-vytMP1OyDgAY&amp;q=site%3Alinkedin.com+Ellen+Thorley+University+Technical+Recruiter+Microsoft")</f>
        <v>https://www.google.com/search?newwindow=1&amp;ei=2MT0XrvGGM-vytMP1OyDgAY&amp;q=site%3Alinkedin.com+Ellen+Thorley+University+Technical+Recruiter+Microsoft</v>
      </c>
      <c r="K2986" s="5" t="str">
        <f t="shared" si="1"/>
        <v>Ellen Thorley</v>
      </c>
      <c r="L2986" s="5" t="str">
        <f t="shared" si="2"/>
        <v>University Technical Recruiter</v>
      </c>
      <c r="M2986" s="5" t="str">
        <f t="shared" si="3"/>
        <v> </v>
      </c>
      <c r="N2986" s="5" t="str">
        <f t="shared" si="4"/>
        <v>Microsoft</v>
      </c>
      <c r="O2986" s="5" t="str">
        <f t="shared" si="5"/>
        <v>3 years 8 months in role</v>
      </c>
      <c r="P2986" s="5" t="str">
        <f t="shared" si="6"/>
        <v>Redmond</v>
      </c>
      <c r="Q2986" s="5" t="str">
        <f t="shared" si="7"/>
        <v>Washington</v>
      </c>
      <c r="R2986" s="5" t="str">
        <f t="shared" si="8"/>
        <v>United States</v>
      </c>
    </row>
    <row r="2987">
      <c r="A2987" s="7" t="s">
        <v>2363</v>
      </c>
      <c r="B2987" s="5" t="s">
        <v>2361</v>
      </c>
      <c r="C2987" s="5" t="s">
        <v>110</v>
      </c>
      <c r="D2987" s="6" t="s">
        <v>13</v>
      </c>
      <c r="E2987" s="5" t="s">
        <v>2349</v>
      </c>
      <c r="F2987" s="5" t="s">
        <v>2362</v>
      </c>
      <c r="G2987" s="5" t="s">
        <v>37</v>
      </c>
      <c r="H2987" s="5" t="s">
        <v>38</v>
      </c>
      <c r="I2987" s="5" t="s">
        <v>18</v>
      </c>
      <c r="J2987" s="9" t="str">
        <f>IFERROR(__xludf.DUMMYFUNCTION("""COMPUTED_VALUE"""),"https://www.google.com/search?newwindow=1&amp;ei=2MT0XrvGGM-vytMP1OyDgAY&amp;q=site%3Alinkedin.com+Jordan+Greene+University+Recruiter+(Closer)+Microsoft")</f>
        <v>https://www.google.com/search?newwindow=1&amp;ei=2MT0XrvGGM-vytMP1OyDgAY&amp;q=site%3Alinkedin.com+Jordan+Greene+University+Recruiter+(Closer)+Microsoft</v>
      </c>
      <c r="K2987" s="5" t="str">
        <f t="shared" si="1"/>
        <v>Jordan Greene</v>
      </c>
      <c r="L2987" s="5" t="str">
        <f t="shared" si="2"/>
        <v>University Recruiter (Closer)</v>
      </c>
      <c r="M2987" s="5" t="str">
        <f t="shared" si="3"/>
        <v> </v>
      </c>
      <c r="N2987" s="5" t="str">
        <f t="shared" si="4"/>
        <v>Microsoft</v>
      </c>
      <c r="O2987" s="5" t="str">
        <f t="shared" si="5"/>
        <v>2 years 3 months in role and company</v>
      </c>
      <c r="P2987" s="5" t="str">
        <f t="shared" si="6"/>
        <v>Redmond</v>
      </c>
      <c r="Q2987" s="5" t="str">
        <f t="shared" si="7"/>
        <v>Washington</v>
      </c>
      <c r="R2987" s="5" t="str">
        <f t="shared" si="8"/>
        <v>United States</v>
      </c>
    </row>
    <row r="2988">
      <c r="A2988" s="7" t="s">
        <v>2366</v>
      </c>
      <c r="B2988" s="5" t="s">
        <v>2364</v>
      </c>
      <c r="C2988" s="5" t="s">
        <v>2365</v>
      </c>
      <c r="D2988" s="6" t="s">
        <v>13</v>
      </c>
      <c r="E2988" s="5" t="s">
        <v>2349</v>
      </c>
      <c r="F2988" s="5" t="s">
        <v>94</v>
      </c>
      <c r="G2988" s="5" t="s">
        <v>37</v>
      </c>
      <c r="H2988" s="5" t="s">
        <v>38</v>
      </c>
      <c r="I2988" s="5" t="s">
        <v>18</v>
      </c>
      <c r="J2988" s="9" t="str">
        <f>IFERROR(__xludf.DUMMYFUNCTION("""COMPUTED_VALUE"""),"https://www.google.com/search?newwindow=1&amp;ei=2MT0XrvGGM-vytMP1OyDgAY&amp;q=site%3Alinkedin.com+Debarati+Nag+University+Recruiter+Microsoft")</f>
        <v>https://www.google.com/search?newwindow=1&amp;ei=2MT0XrvGGM-vytMP1OyDgAY&amp;q=site%3Alinkedin.com+Debarati+Nag+University+Recruiter+Microsoft</v>
      </c>
      <c r="K2988" s="5" t="str">
        <f t="shared" si="1"/>
        <v>Debarati Nag</v>
      </c>
      <c r="L2988" s="5" t="str">
        <f t="shared" si="2"/>
        <v>University Recruiter</v>
      </c>
      <c r="M2988" s="5" t="str">
        <f t="shared" si="3"/>
        <v> </v>
      </c>
      <c r="N2988" s="5" t="str">
        <f t="shared" si="4"/>
        <v>Microsoft</v>
      </c>
      <c r="O2988" s="5" t="str">
        <f t="shared" si="5"/>
        <v/>
      </c>
      <c r="P2988" s="5" t="str">
        <f t="shared" si="6"/>
        <v>Redmond</v>
      </c>
      <c r="Q2988" s="5" t="str">
        <f t="shared" si="7"/>
        <v>Washington</v>
      </c>
      <c r="R2988" s="5" t="str">
        <f t="shared" si="8"/>
        <v>United States</v>
      </c>
    </row>
    <row r="2989">
      <c r="A2989" s="7" t="s">
        <v>2369</v>
      </c>
      <c r="B2989" s="5" t="s">
        <v>2367</v>
      </c>
      <c r="C2989" s="5" t="s">
        <v>2368</v>
      </c>
      <c r="D2989" s="6" t="s">
        <v>13</v>
      </c>
      <c r="E2989" s="5" t="s">
        <v>2349</v>
      </c>
      <c r="F2989" s="5" t="s">
        <v>179</v>
      </c>
      <c r="G2989" s="5" t="s">
        <v>37</v>
      </c>
      <c r="H2989" s="5" t="s">
        <v>38</v>
      </c>
      <c r="I2989" s="5" t="s">
        <v>18</v>
      </c>
      <c r="J2989" s="9" t="str">
        <f>IFERROR(__xludf.DUMMYFUNCTION("""COMPUTED_VALUE"""),"https://www.google.com/search?newwindow=1&amp;ei=2MT0XrvGGM-vytMP1OyDgAY&amp;q=site%3Alinkedin.com+Stanford+Savant+Stanford+University+Recruiter+Microsoft")</f>
        <v>https://www.google.com/search?newwindow=1&amp;ei=2MT0XrvGGM-vytMP1OyDgAY&amp;q=site%3Alinkedin.com+Stanford+Savant+Stanford+University+Recruiter+Microsoft</v>
      </c>
      <c r="K2989" s="5" t="str">
        <f t="shared" si="1"/>
        <v>Stanford Savant</v>
      </c>
      <c r="L2989" s="5" t="str">
        <f t="shared" si="2"/>
        <v>Stanford University Recruiter</v>
      </c>
      <c r="M2989" s="5" t="str">
        <f t="shared" si="3"/>
        <v> </v>
      </c>
      <c r="N2989" s="5" t="str">
        <f t="shared" si="4"/>
        <v>Microsoft</v>
      </c>
      <c r="O2989" s="5" t="str">
        <f t="shared" si="5"/>
        <v>9 years 3 months in role and company</v>
      </c>
      <c r="P2989" s="5" t="str">
        <f t="shared" si="6"/>
        <v>Redmond</v>
      </c>
      <c r="Q2989" s="5" t="str">
        <f t="shared" si="7"/>
        <v>Washington</v>
      </c>
      <c r="R2989" s="5" t="str">
        <f t="shared" si="8"/>
        <v>United States</v>
      </c>
    </row>
    <row r="2990">
      <c r="A2990" s="7" t="s">
        <v>2372</v>
      </c>
      <c r="B2990" s="5" t="s">
        <v>2370</v>
      </c>
      <c r="C2990" s="5" t="s">
        <v>2371</v>
      </c>
      <c r="D2990" s="6" t="s">
        <v>13</v>
      </c>
      <c r="E2990" s="5" t="s">
        <v>2349</v>
      </c>
      <c r="F2990" s="5" t="s">
        <v>2265</v>
      </c>
      <c r="G2990" s="5" t="s">
        <v>37</v>
      </c>
      <c r="H2990" s="5" t="s">
        <v>38</v>
      </c>
      <c r="I2990" s="5" t="s">
        <v>18</v>
      </c>
      <c r="J2990" s="9" t="str">
        <f>IFERROR(__xludf.DUMMYFUNCTION("""COMPUTED_VALUE"""),"https://www.google.com/search?newwindow=1&amp;ei=2MT0XrvGGM-vytMP1OyDgAY&amp;q=site%3Alinkedin.com+Connor+Ingerowski+Technical+University+Recruiter+Microsoft")</f>
        <v>https://www.google.com/search?newwindow=1&amp;ei=2MT0XrvGGM-vytMP1OyDgAY&amp;q=site%3Alinkedin.com+Connor+Ingerowski+Technical+University+Recruiter+Microsoft</v>
      </c>
      <c r="K2990" s="5" t="str">
        <f t="shared" si="1"/>
        <v>Connor Ingerowski</v>
      </c>
      <c r="L2990" s="5" t="str">
        <f t="shared" si="2"/>
        <v>Technical University Recruiter</v>
      </c>
      <c r="M2990" s="5" t="str">
        <f t="shared" si="3"/>
        <v> </v>
      </c>
      <c r="N2990" s="5" t="str">
        <f t="shared" si="4"/>
        <v>Microsoft</v>
      </c>
      <c r="O2990" s="5" t="str">
        <f t="shared" si="5"/>
        <v>3 months in role and company</v>
      </c>
      <c r="P2990" s="5" t="str">
        <f t="shared" si="6"/>
        <v>Rochester</v>
      </c>
      <c r="Q2990" s="5" t="str">
        <f t="shared" si="7"/>
        <v>New York</v>
      </c>
      <c r="R2990" s="5" t="str">
        <f t="shared" si="8"/>
        <v>United States</v>
      </c>
    </row>
    <row r="2991">
      <c r="A2991" s="7" t="s">
        <v>2374</v>
      </c>
      <c r="B2991" s="5" t="s">
        <v>2373</v>
      </c>
      <c r="C2991" s="5" t="s">
        <v>25</v>
      </c>
      <c r="D2991" s="6" t="s">
        <v>13</v>
      </c>
      <c r="E2991" s="5" t="s">
        <v>2349</v>
      </c>
      <c r="F2991" s="5" t="s">
        <v>345</v>
      </c>
      <c r="G2991" s="5" t="s">
        <v>37</v>
      </c>
      <c r="H2991" s="5" t="s">
        <v>38</v>
      </c>
      <c r="I2991" s="5" t="s">
        <v>18</v>
      </c>
      <c r="J2991" s="9" t="str">
        <f>IFERROR(__xludf.DUMMYFUNCTION("""COMPUTED_VALUE"""),"https://www.google.com/search?newwindow=1&amp;ei=2MT0XrvGGM-vytMP1OyDgAY&amp;q=site%3Alinkedin.com+Lauren+Araujo+University+UX+++PM+Recruiter+Microsoft")</f>
        <v>https://www.google.com/search?newwindow=1&amp;ei=2MT0XrvGGM-vytMP1OyDgAY&amp;q=site%3Alinkedin.com+Lauren+Araujo+University+UX+++PM+Recruiter+Microsoft</v>
      </c>
      <c r="K2991" s="5" t="str">
        <f t="shared" si="1"/>
        <v>Lauren Araujo</v>
      </c>
      <c r="L2991" s="5" t="str">
        <f t="shared" si="2"/>
        <v>University UX + PM Recruiter</v>
      </c>
      <c r="M2991" s="5" t="str">
        <f t="shared" si="3"/>
        <v> </v>
      </c>
      <c r="N2991" s="5" t="str">
        <f t="shared" si="4"/>
        <v>Microsoft</v>
      </c>
      <c r="O2991" s="5" t="str">
        <f t="shared" si="5"/>
        <v>1 year 3 months in role and company</v>
      </c>
      <c r="P2991" s="5" t="str">
        <f t="shared" si="6"/>
        <v>Santa Cruz</v>
      </c>
      <c r="Q2991" s="5" t="str">
        <f t="shared" si="7"/>
        <v>California</v>
      </c>
      <c r="R2991" s="5" t="str">
        <f t="shared" si="8"/>
        <v>United States</v>
      </c>
    </row>
    <row r="2992">
      <c r="A2992" s="7" t="s">
        <v>2377</v>
      </c>
      <c r="B2992" s="5" t="s">
        <v>2375</v>
      </c>
      <c r="C2992" s="5" t="s">
        <v>2376</v>
      </c>
      <c r="D2992" s="6" t="s">
        <v>13</v>
      </c>
      <c r="E2992" s="5" t="s">
        <v>2349</v>
      </c>
      <c r="F2992" s="5" t="s">
        <v>1364</v>
      </c>
      <c r="G2992" s="5" t="s">
        <v>37</v>
      </c>
      <c r="H2992" s="5" t="s">
        <v>38</v>
      </c>
      <c r="I2992" s="5" t="s">
        <v>18</v>
      </c>
      <c r="J2992" s="9" t="str">
        <f>IFERROR(__xludf.DUMMYFUNCTION("""COMPUTED_VALUE"""),"https://www.google.com/search?newwindow=1&amp;ei=2MT0XrvGGM-vytMP1OyDgAY&amp;q=site%3Alinkedin.com+Jeffrey+G.+University+Recruiter+Microsoft")</f>
        <v>https://www.google.com/search?newwindow=1&amp;ei=2MT0XrvGGM-vytMP1OyDgAY&amp;q=site%3Alinkedin.com+Jeffrey+G.+University+Recruiter+Microsoft</v>
      </c>
      <c r="K2992" s="5" t="str">
        <f t="shared" si="1"/>
        <v>Jeffrey G.</v>
      </c>
      <c r="L2992" s="5" t="str">
        <f t="shared" si="2"/>
        <v>University Recruiter</v>
      </c>
      <c r="M2992" s="5" t="str">
        <f t="shared" si="3"/>
        <v> </v>
      </c>
      <c r="N2992" s="5" t="str">
        <f t="shared" si="4"/>
        <v>Microsoft</v>
      </c>
      <c r="O2992" s="5" t="str">
        <f t="shared" si="5"/>
        <v>3 months in role and company</v>
      </c>
      <c r="P2992" s="5" t="str">
        <f t="shared" si="6"/>
        <v>Seattle</v>
      </c>
      <c r="Q2992" s="5" t="str">
        <f t="shared" si="7"/>
        <v>Washington</v>
      </c>
      <c r="R2992" s="5" t="str">
        <f t="shared" si="8"/>
        <v>United States</v>
      </c>
    </row>
    <row r="2993">
      <c r="A2993" s="7" t="s">
        <v>2379</v>
      </c>
      <c r="B2993" s="5" t="s">
        <v>2378</v>
      </c>
      <c r="C2993" s="5" t="s">
        <v>25</v>
      </c>
      <c r="D2993" s="6" t="s">
        <v>13</v>
      </c>
      <c r="E2993" s="5" t="s">
        <v>2349</v>
      </c>
      <c r="F2993" s="5" t="s">
        <v>36</v>
      </c>
      <c r="G2993" s="6" t="s">
        <v>377</v>
      </c>
      <c r="H2993" s="6" t="s">
        <v>378</v>
      </c>
      <c r="I2993" s="5" t="s">
        <v>18</v>
      </c>
      <c r="J2993" s="9" t="str">
        <f>IFERROR(__xludf.DUMMYFUNCTION("""COMPUTED_VALUE"""),"https://www.google.com/search?newwindow=1&amp;ei=2MT0XrvGGM-vytMP1OyDgAY&amp;q=site%3Alinkedin.com+Alison+Anthony+University+Recruiter+Microsoft")</f>
        <v>https://www.google.com/search?newwindow=1&amp;ei=2MT0XrvGGM-vytMP1OyDgAY&amp;q=site%3Alinkedin.com+Alison+Anthony+University+Recruiter+Microsoft</v>
      </c>
      <c r="K2993" s="5" t="str">
        <f t="shared" si="1"/>
        <v>Alison Anthony</v>
      </c>
      <c r="L2993" s="5" t="str">
        <f t="shared" si="2"/>
        <v>University Recruiter</v>
      </c>
      <c r="M2993" s="5" t="str">
        <f t="shared" si="3"/>
        <v> </v>
      </c>
      <c r="N2993" s="5" t="str">
        <f t="shared" si="4"/>
        <v>Microsoft</v>
      </c>
      <c r="O2993" s="5" t="str">
        <f t="shared" si="5"/>
        <v>1 year 3 months in role and company</v>
      </c>
      <c r="P2993" s="5" t="str">
        <f t="shared" si="6"/>
        <v>Seattle</v>
      </c>
      <c r="Q2993" s="5" t="str">
        <f t="shared" si="7"/>
        <v>Washington</v>
      </c>
      <c r="R2993" s="5" t="str">
        <f t="shared" si="8"/>
        <v>United States</v>
      </c>
    </row>
    <row r="2994">
      <c r="A2994" s="7" t="s">
        <v>2383</v>
      </c>
      <c r="B2994" s="5" t="s">
        <v>2380</v>
      </c>
      <c r="C2994" s="5" t="s">
        <v>2381</v>
      </c>
      <c r="D2994" s="6" t="s">
        <v>13</v>
      </c>
      <c r="E2994" s="5" t="s">
        <v>2349</v>
      </c>
      <c r="F2994" s="5" t="s">
        <v>886</v>
      </c>
      <c r="G2994" s="5" t="s">
        <v>2382</v>
      </c>
      <c r="H2994" s="5" t="s">
        <v>86</v>
      </c>
      <c r="I2994" s="5" t="s">
        <v>18</v>
      </c>
      <c r="J2994" s="9" t="str">
        <f>IFERROR(__xludf.DUMMYFUNCTION("""COMPUTED_VALUE"""),"https://www.google.com/search?newwindow=1&amp;ei=2MT0XrvGGM-vytMP1OyDgAY&amp;q=site%3Alinkedin.com+Samne+Reyna+University+Recruiter+Microsoft")</f>
        <v>https://www.google.com/search?newwindow=1&amp;ei=2MT0XrvGGM-vytMP1OyDgAY&amp;q=site%3Alinkedin.com+Samne+Reyna+University+Recruiter+Microsoft</v>
      </c>
      <c r="K2994" s="5" t="str">
        <f t="shared" si="1"/>
        <v>Samne Reyna</v>
      </c>
      <c r="L2994" s="5" t="str">
        <f t="shared" si="2"/>
        <v>University Recruiter</v>
      </c>
      <c r="M2994" s="5" t="str">
        <f t="shared" si="3"/>
        <v> </v>
      </c>
      <c r="N2994" s="5" t="str">
        <f t="shared" si="4"/>
        <v>Microsoft</v>
      </c>
      <c r="O2994" s="5" t="str">
        <f t="shared" si="5"/>
        <v>3 months in role and company</v>
      </c>
      <c r="P2994" s="5" t="str">
        <f t="shared" si="6"/>
        <v>Seattle</v>
      </c>
      <c r="Q2994" s="5" t="str">
        <f t="shared" si="7"/>
        <v>Washington</v>
      </c>
      <c r="R2994" s="5" t="str">
        <f t="shared" si="8"/>
        <v>United States</v>
      </c>
    </row>
    <row r="2995">
      <c r="A2995" s="7" t="s">
        <v>2385</v>
      </c>
      <c r="B2995" s="5" t="s">
        <v>2384</v>
      </c>
      <c r="C2995" s="5" t="s">
        <v>110</v>
      </c>
      <c r="D2995" s="6" t="s">
        <v>13</v>
      </c>
      <c r="E2995" s="5" t="s">
        <v>2349</v>
      </c>
      <c r="F2995" s="5" t="s">
        <v>1448</v>
      </c>
      <c r="G2995" s="5" t="s">
        <v>414</v>
      </c>
      <c r="H2995" s="5" t="s">
        <v>44</v>
      </c>
      <c r="I2995" s="5" t="s">
        <v>18</v>
      </c>
      <c r="J2995" s="9" t="str">
        <f>IFERROR(__xludf.DUMMYFUNCTION("""COMPUTED_VALUE"""),"https://www.google.com/search?newwindow=1&amp;ei=2MT0XrvGGM-vytMP1OyDgAY&amp;q=site%3Alinkedin.com+Tony+Martinez+Technical+University+Recruiter+Microsoft")</f>
        <v>https://www.google.com/search?newwindow=1&amp;ei=2MT0XrvGGM-vytMP1OyDgAY&amp;q=site%3Alinkedin.com+Tony+Martinez+Technical+University+Recruiter+Microsoft</v>
      </c>
      <c r="K2995" s="5" t="str">
        <f t="shared" si="1"/>
        <v>Tony Martinez</v>
      </c>
      <c r="L2995" s="5" t="str">
        <f t="shared" si="2"/>
        <v>Technical University Recruiter</v>
      </c>
      <c r="M2995" s="5" t="str">
        <f t="shared" si="3"/>
        <v> </v>
      </c>
      <c r="N2995" s="5" t="str">
        <f t="shared" si="4"/>
        <v>Microsoft</v>
      </c>
      <c r="O2995" s="5" t="str">
        <f t="shared" si="5"/>
        <v>2 months in role and company</v>
      </c>
      <c r="P2995" s="5" t="str">
        <f t="shared" si="6"/>
        <v>Seattle</v>
      </c>
      <c r="Q2995" s="5" t="str">
        <f t="shared" si="7"/>
        <v>Washington</v>
      </c>
      <c r="R2995" s="5" t="str">
        <f t="shared" si="8"/>
        <v>United States</v>
      </c>
    </row>
    <row r="2996">
      <c r="A2996" s="7" t="s">
        <v>2388</v>
      </c>
      <c r="B2996" s="5" t="s">
        <v>2386</v>
      </c>
      <c r="C2996" s="5" t="s">
        <v>2381</v>
      </c>
      <c r="D2996" s="6" t="s">
        <v>13</v>
      </c>
      <c r="E2996" s="5" t="s">
        <v>2349</v>
      </c>
      <c r="F2996" s="5" t="s">
        <v>1830</v>
      </c>
      <c r="G2996" s="5" t="s">
        <v>2387</v>
      </c>
      <c r="H2996" s="5" t="s">
        <v>96</v>
      </c>
      <c r="I2996" s="5" t="s">
        <v>18</v>
      </c>
      <c r="J2996" s="9" t="str">
        <f>IFERROR(__xludf.DUMMYFUNCTION("""COMPUTED_VALUE"""),"https://www.google.com/search?newwindow=1&amp;ei=2MT0XrvGGM-vytMP1OyDgAY&amp;q=site%3Alinkedin.com+Paola+Riveros+Alvarez+LATAM+University+Recruiter+Microsoft")</f>
        <v>https://www.google.com/search?newwindow=1&amp;ei=2MT0XrvGGM-vytMP1OyDgAY&amp;q=site%3Alinkedin.com+Paola+Riveros+Alvarez+LATAM+University+Recruiter+Microsoft</v>
      </c>
      <c r="K2996" s="5" t="str">
        <f t="shared" si="1"/>
        <v>Paola Riveros Alvarez</v>
      </c>
      <c r="L2996" s="5" t="str">
        <f t="shared" si="2"/>
        <v>LATAM University Recruiter</v>
      </c>
      <c r="M2996" s="5" t="str">
        <f t="shared" si="3"/>
        <v> </v>
      </c>
      <c r="N2996" s="5" t="str">
        <f t="shared" si="4"/>
        <v>Microsoft</v>
      </c>
      <c r="O2996" s="5" t="str">
        <f t="shared" si="5"/>
        <v>1 year  in role</v>
      </c>
      <c r="P2996" s="5" t="str">
        <f t="shared" si="6"/>
        <v>Seattle</v>
      </c>
      <c r="Q2996" s="5" t="str">
        <f t="shared" si="7"/>
        <v>Washington</v>
      </c>
      <c r="R2996" s="5" t="str">
        <f t="shared" si="8"/>
        <v>United States</v>
      </c>
    </row>
    <row r="2997">
      <c r="A2997" s="7" t="s">
        <v>2391</v>
      </c>
      <c r="B2997" s="5" t="s">
        <v>2389</v>
      </c>
      <c r="C2997" s="5" t="s">
        <v>381</v>
      </c>
      <c r="D2997" s="6" t="s">
        <v>13</v>
      </c>
      <c r="E2997" s="5" t="s">
        <v>2349</v>
      </c>
      <c r="F2997" s="5" t="s">
        <v>106</v>
      </c>
      <c r="G2997" s="5" t="s">
        <v>2390</v>
      </c>
      <c r="H2997" s="5" t="s">
        <v>102</v>
      </c>
      <c r="I2997" s="5" t="s">
        <v>18</v>
      </c>
      <c r="J2997" s="9" t="str">
        <f>IFERROR(__xludf.DUMMYFUNCTION("""COMPUTED_VALUE"""),"https://www.google.com/search?newwindow=1&amp;ei=2MT0XrvGGM-vytMP1OyDgAY&amp;q=site%3Alinkedin.com+Michael+Toole+University+Recruiter+and+Video+Producer+Microsoft")</f>
        <v>https://www.google.com/search?newwindow=1&amp;ei=2MT0XrvGGM-vytMP1OyDgAY&amp;q=site%3Alinkedin.com+Michael+Toole+University+Recruiter+and+Video+Producer+Microsoft</v>
      </c>
      <c r="K2997" s="5" t="str">
        <f t="shared" si="1"/>
        <v>Michael Toole</v>
      </c>
      <c r="L2997" s="5" t="str">
        <f t="shared" si="2"/>
        <v>University Recruiter and Video Producer</v>
      </c>
      <c r="M2997" s="5" t="str">
        <f t="shared" si="3"/>
        <v> </v>
      </c>
      <c r="N2997" s="5" t="str">
        <f t="shared" si="4"/>
        <v>Microsoft</v>
      </c>
      <c r="O2997" s="5" t="str">
        <f t="shared" si="5"/>
        <v>7 years 2 months in role and company</v>
      </c>
      <c r="P2997" s="5" t="str">
        <f t="shared" si="6"/>
        <v>Seattle</v>
      </c>
      <c r="Q2997" s="5" t="str">
        <f t="shared" si="7"/>
        <v>Washington</v>
      </c>
      <c r="R2997" s="5" t="str">
        <f t="shared" si="8"/>
        <v>United States</v>
      </c>
    </row>
    <row r="2998">
      <c r="A2998" s="7" t="s">
        <v>2394</v>
      </c>
      <c r="B2998" s="5" t="s">
        <v>2392</v>
      </c>
      <c r="C2998" s="5" t="s">
        <v>2393</v>
      </c>
      <c r="D2998" s="6" t="s">
        <v>13</v>
      </c>
      <c r="E2998" s="5" t="s">
        <v>2349</v>
      </c>
      <c r="F2998" s="5" t="s">
        <v>149</v>
      </c>
      <c r="G2998" s="5" t="s">
        <v>433</v>
      </c>
      <c r="H2998" s="5" t="s">
        <v>44</v>
      </c>
      <c r="I2998" s="5" t="s">
        <v>18</v>
      </c>
      <c r="J2998" s="9" t="str">
        <f>IFERROR(__xludf.DUMMYFUNCTION("""COMPUTED_VALUE"""),"https://www.google.com/search?newwindow=1&amp;ei=2MT0XrvGGM-vytMP1OyDgAY&amp;q=site%3Alinkedin.com+Karla+Paredes+University+Recruiter+Microsoft")</f>
        <v>https://www.google.com/search?newwindow=1&amp;ei=2MT0XrvGGM-vytMP1OyDgAY&amp;q=site%3Alinkedin.com+Karla+Paredes+University+Recruiter+Microsoft</v>
      </c>
      <c r="K2998" s="5" t="str">
        <f t="shared" si="1"/>
        <v>Karla Paredes</v>
      </c>
      <c r="L2998" s="5" t="str">
        <f t="shared" si="2"/>
        <v>University Recruiter</v>
      </c>
      <c r="M2998" s="5" t="str">
        <f t="shared" si="3"/>
        <v> </v>
      </c>
      <c r="N2998" s="5" t="str">
        <f t="shared" si="4"/>
        <v>Microsoft</v>
      </c>
      <c r="O2998" s="5" t="str">
        <f t="shared" si="5"/>
        <v>7 months in role</v>
      </c>
      <c r="P2998" s="5" t="str">
        <f t="shared" si="6"/>
        <v>Seattle</v>
      </c>
      <c r="Q2998" s="5" t="str">
        <f t="shared" si="7"/>
        <v>Washington</v>
      </c>
      <c r="R2998" s="5" t="str">
        <f t="shared" si="8"/>
        <v>United States</v>
      </c>
    </row>
    <row r="2999">
      <c r="A2999" s="7" t="s">
        <v>2396</v>
      </c>
      <c r="B2999" s="5" t="s">
        <v>2395</v>
      </c>
      <c r="C2999" s="5" t="s">
        <v>1028</v>
      </c>
      <c r="D2999" s="6" t="s">
        <v>13</v>
      </c>
      <c r="E2999" s="5" t="s">
        <v>2349</v>
      </c>
      <c r="F2999" s="5" t="s">
        <v>909</v>
      </c>
      <c r="G2999" s="5" t="s">
        <v>433</v>
      </c>
      <c r="H2999" s="5" t="s">
        <v>44</v>
      </c>
      <c r="I2999" s="5" t="s">
        <v>18</v>
      </c>
      <c r="J2999" s="9" t="str">
        <f>IFERROR(__xludf.DUMMYFUNCTION("""COMPUTED_VALUE"""),"https://www.google.com/search?newwindow=1&amp;ei=2MT0XrvGGM-vytMP1OyDgAY&amp;q=site%3Alinkedin.com+Stephanie+Treichel+University+Recruiter+Microsoft")</f>
        <v>https://www.google.com/search?newwindow=1&amp;ei=2MT0XrvGGM-vytMP1OyDgAY&amp;q=site%3Alinkedin.com+Stephanie+Treichel+University+Recruiter+Microsoft</v>
      </c>
      <c r="K2999" s="5" t="str">
        <f t="shared" si="1"/>
        <v>Stephanie Treichel</v>
      </c>
      <c r="L2999" s="5" t="str">
        <f t="shared" si="2"/>
        <v>University Recruiter</v>
      </c>
      <c r="M2999" s="5" t="str">
        <f t="shared" si="3"/>
        <v> </v>
      </c>
      <c r="N2999" s="5" t="str">
        <f t="shared" si="4"/>
        <v>Microsoft</v>
      </c>
      <c r="O2999" s="5" t="str">
        <f t="shared" si="5"/>
        <v>1 year 6 months in role and company</v>
      </c>
      <c r="P2999" s="5" t="str">
        <f t="shared" si="6"/>
        <v>Seattle</v>
      </c>
      <c r="Q2999" s="5" t="str">
        <f t="shared" si="7"/>
        <v>Washington</v>
      </c>
      <c r="R2999" s="5" t="str">
        <f t="shared" si="8"/>
        <v>United States</v>
      </c>
    </row>
    <row r="3000">
      <c r="A3000" s="7" t="s">
        <v>2398</v>
      </c>
      <c r="B3000" s="5" t="s">
        <v>2397</v>
      </c>
      <c r="C3000" s="5" t="s">
        <v>480</v>
      </c>
      <c r="D3000" s="6" t="s">
        <v>13</v>
      </c>
      <c r="E3000" s="5" t="s">
        <v>2349</v>
      </c>
      <c r="F3000" s="5" t="s">
        <v>1570</v>
      </c>
      <c r="G3000" s="5" t="s">
        <v>433</v>
      </c>
      <c r="H3000" s="5" t="s">
        <v>44</v>
      </c>
      <c r="I3000" s="5" t="s">
        <v>18</v>
      </c>
      <c r="J3000" s="9" t="str">
        <f>IFERROR(__xludf.DUMMYFUNCTION("""COMPUTED_VALUE"""),"https://www.google.com/search?newwindow=1&amp;ei=2MT0XrvGGM-vytMP1OyDgAY&amp;q=site%3Alinkedin.com+Manasa+Pochampally+University+Recruiter+Microsoft")</f>
        <v>https://www.google.com/search?newwindow=1&amp;ei=2MT0XrvGGM-vytMP1OyDgAY&amp;q=site%3Alinkedin.com+Manasa+Pochampally+University+Recruiter+Microsoft</v>
      </c>
      <c r="K3000" s="5" t="str">
        <f t="shared" si="1"/>
        <v>Manasa Pochampally</v>
      </c>
      <c r="L3000" s="5" t="str">
        <f t="shared" si="2"/>
        <v>University Recruiter</v>
      </c>
      <c r="M3000" s="5" t="str">
        <f t="shared" si="3"/>
        <v> </v>
      </c>
      <c r="N3000" s="5" t="str">
        <f t="shared" si="4"/>
        <v>Microsoft</v>
      </c>
      <c r="O3000" s="5" t="str">
        <f t="shared" si="5"/>
        <v>2 months in role and company</v>
      </c>
      <c r="P3000" s="5" t="str">
        <f t="shared" si="6"/>
        <v>Seattle</v>
      </c>
      <c r="Q3000" s="5" t="str">
        <f t="shared" si="7"/>
        <v>Washington</v>
      </c>
      <c r="R3000" s="5" t="str">
        <f t="shared" si="8"/>
        <v>United States</v>
      </c>
    </row>
    <row r="3001">
      <c r="A3001" s="7" t="s">
        <v>2401</v>
      </c>
      <c r="B3001" s="5" t="s">
        <v>2399</v>
      </c>
      <c r="C3001" s="5" t="s">
        <v>2400</v>
      </c>
      <c r="D3001" s="6" t="s">
        <v>13</v>
      </c>
      <c r="E3001" s="5" t="s">
        <v>2349</v>
      </c>
      <c r="F3001" s="5" t="s">
        <v>437</v>
      </c>
      <c r="G3001" s="5" t="s">
        <v>433</v>
      </c>
      <c r="H3001" s="5" t="s">
        <v>44</v>
      </c>
      <c r="I3001" s="5" t="s">
        <v>18</v>
      </c>
      <c r="J3001" s="9" t="str">
        <f>IFERROR(__xludf.DUMMYFUNCTION("""COMPUTED_VALUE"""),"https://www.google.com/search?newwindow=1&amp;ei=2MT0XrvGGM-vytMP1OyDgAY&amp;q=site%3Alinkedin.com+Anna+Katrina+Robancho+University+Recruiter+Microsoft")</f>
        <v>https://www.google.com/search?newwindow=1&amp;ei=2MT0XrvGGM-vytMP1OyDgAY&amp;q=site%3Alinkedin.com+Anna+Katrina+Robancho+University+Recruiter+Microsoft</v>
      </c>
      <c r="K3001" s="5" t="str">
        <f t="shared" si="1"/>
        <v>Anna Katrina Robancho</v>
      </c>
      <c r="L3001" s="5" t="str">
        <f t="shared" si="2"/>
        <v>University Recruiter</v>
      </c>
      <c r="M3001" s="5" t="str">
        <f t="shared" si="3"/>
        <v> </v>
      </c>
      <c r="N3001" s="5" t="str">
        <f t="shared" si="4"/>
        <v>Microsoft</v>
      </c>
      <c r="O3001" s="5" t="str">
        <f t="shared" si="5"/>
        <v>3 months in role and company</v>
      </c>
      <c r="P3001" s="5" t="str">
        <f t="shared" si="6"/>
        <v>Seattle</v>
      </c>
      <c r="Q3001" s="5" t="str">
        <f t="shared" si="7"/>
        <v>Washington</v>
      </c>
      <c r="R3001" s="5" t="str">
        <f t="shared" si="8"/>
        <v>United States</v>
      </c>
    </row>
    <row r="3002">
      <c r="A3002" s="7" t="s">
        <v>2403</v>
      </c>
      <c r="B3002" s="5" t="s">
        <v>2402</v>
      </c>
      <c r="C3002" s="5" t="s">
        <v>381</v>
      </c>
      <c r="D3002" s="6" t="s">
        <v>13</v>
      </c>
      <c r="E3002" s="5" t="s">
        <v>2349</v>
      </c>
      <c r="F3002" s="5" t="s">
        <v>94</v>
      </c>
      <c r="G3002" s="5" t="s">
        <v>433</v>
      </c>
      <c r="H3002" s="5" t="s">
        <v>44</v>
      </c>
      <c r="I3002" s="5" t="s">
        <v>18</v>
      </c>
      <c r="J3002" s="9" t="str">
        <f>IFERROR(__xludf.DUMMYFUNCTION("""COMPUTED_VALUE"""),"https://www.google.com/search?newwindow=1&amp;ei=2MT0XrvGGM-vytMP1OyDgAY&amp;q=site%3Alinkedin.com+Isabella+do+Couto+Reis+University+Recruiter+Microsoft")</f>
        <v>https://www.google.com/search?newwindow=1&amp;ei=2MT0XrvGGM-vytMP1OyDgAY&amp;q=site%3Alinkedin.com+Isabella+do+Couto+Reis+University+Recruiter+Microsoft</v>
      </c>
      <c r="K3002" s="5" t="str">
        <f t="shared" si="1"/>
        <v>Isabella do Couto Reis</v>
      </c>
      <c r="L3002" s="5" t="str">
        <f t="shared" si="2"/>
        <v>University Recruiter</v>
      </c>
      <c r="M3002" s="5" t="str">
        <f t="shared" si="3"/>
        <v> </v>
      </c>
      <c r="N3002" s="5" t="str">
        <f t="shared" si="4"/>
        <v>Microsoft</v>
      </c>
      <c r="O3002" s="5" t="str">
        <f t="shared" si="5"/>
        <v>1 year 7 months in role and company</v>
      </c>
      <c r="P3002" s="5" t="str">
        <f t="shared" si="6"/>
        <v>Seattle</v>
      </c>
      <c r="Q3002" s="5" t="str">
        <f t="shared" si="7"/>
        <v>Washington</v>
      </c>
      <c r="R3002" s="5" t="str">
        <f t="shared" si="8"/>
        <v>United States</v>
      </c>
    </row>
    <row r="3003">
      <c r="A3003" s="7" t="s">
        <v>2407</v>
      </c>
      <c r="B3003" s="5" t="s">
        <v>2404</v>
      </c>
      <c r="C3003" s="5" t="s">
        <v>2405</v>
      </c>
      <c r="D3003" s="6" t="s">
        <v>13</v>
      </c>
      <c r="E3003" s="5" t="s">
        <v>2349</v>
      </c>
      <c r="F3003" s="5" t="s">
        <v>376</v>
      </c>
      <c r="G3003" s="5" t="s">
        <v>2406</v>
      </c>
      <c r="H3003" s="5" t="s">
        <v>378</v>
      </c>
      <c r="I3003" s="5" t="s">
        <v>18</v>
      </c>
      <c r="J3003" s="9" t="str">
        <f>IFERROR(__xludf.DUMMYFUNCTION("""COMPUTED_VALUE"""),"https://www.google.com/search?newwindow=1&amp;ei=2MT0XrvGGM-vytMP1OyDgAY&amp;q=site%3Alinkedin.com+Gabriel+Garcia+Marquez+University+Recruiter+Microsoft")</f>
        <v>https://www.google.com/search?newwindow=1&amp;ei=2MT0XrvGGM-vytMP1OyDgAY&amp;q=site%3Alinkedin.com+Gabriel+Garcia+Marquez+University+Recruiter+Microsoft</v>
      </c>
      <c r="K3003" s="5" t="str">
        <f t="shared" si="1"/>
        <v>Gabriel Garcia Marquez</v>
      </c>
      <c r="L3003" s="5" t="str">
        <f t="shared" si="2"/>
        <v>University Recruiter</v>
      </c>
      <c r="M3003" s="5" t="str">
        <f t="shared" si="3"/>
        <v> </v>
      </c>
      <c r="N3003" s="5" t="str">
        <f t="shared" si="4"/>
        <v>Microsoft</v>
      </c>
      <c r="O3003" s="5" t="str">
        <f t="shared" si="5"/>
        <v>1 year 1 month in role</v>
      </c>
      <c r="P3003" s="5" t="str">
        <f t="shared" si="6"/>
        <v>Seattle</v>
      </c>
      <c r="Q3003" s="5" t="str">
        <f t="shared" si="7"/>
        <v>Washington</v>
      </c>
      <c r="R3003" s="5" t="str">
        <f t="shared" si="8"/>
        <v>United States</v>
      </c>
    </row>
    <row r="3004">
      <c r="A3004" s="7" t="s">
        <v>2409</v>
      </c>
      <c r="B3004" s="5" t="s">
        <v>2408</v>
      </c>
      <c r="C3004" s="5" t="s">
        <v>480</v>
      </c>
      <c r="D3004" s="6" t="s">
        <v>13</v>
      </c>
      <c r="E3004" s="5" t="s">
        <v>2349</v>
      </c>
      <c r="F3004" s="5" t="s">
        <v>1289</v>
      </c>
      <c r="G3004" s="5" t="s">
        <v>137</v>
      </c>
      <c r="H3004" s="5" t="s">
        <v>137</v>
      </c>
      <c r="I3004" s="5" t="s">
        <v>18</v>
      </c>
      <c r="J3004" s="9" t="str">
        <f>IFERROR(__xludf.DUMMYFUNCTION("""COMPUTED_VALUE"""),"https://www.google.com/search?newwindow=1&amp;ei=2MT0XrvGGM-vytMP1OyDgAY&amp;q=site%3Alinkedin.com+Eddie+Garcilazo+Technical+Recruiter+l+University+Recruitment+Microsoft")</f>
        <v>https://www.google.com/search?newwindow=1&amp;ei=2MT0XrvGGM-vytMP1OyDgAY&amp;q=site%3Alinkedin.com+Eddie+Garcilazo+Technical+Recruiter+l+University+Recruitment+Microsoft</v>
      </c>
      <c r="K3004" s="5" t="str">
        <f t="shared" si="1"/>
        <v>Eddie Garcilazo</v>
      </c>
      <c r="L3004" s="5" t="str">
        <f t="shared" si="2"/>
        <v>Technical Recruiter l University Recruitment</v>
      </c>
      <c r="M3004" s="5" t="str">
        <f t="shared" si="3"/>
        <v> </v>
      </c>
      <c r="N3004" s="5" t="str">
        <f t="shared" si="4"/>
        <v>Microsoft</v>
      </c>
      <c r="O3004" s="5" t="str">
        <f t="shared" si="5"/>
        <v>3 months in role and company</v>
      </c>
      <c r="P3004" s="5" t="str">
        <f t="shared" si="6"/>
        <v>Seattle</v>
      </c>
      <c r="Q3004" s="5" t="str">
        <f t="shared" si="7"/>
        <v>Washington</v>
      </c>
      <c r="R3004" s="5" t="str">
        <f t="shared" si="8"/>
        <v>United States</v>
      </c>
    </row>
    <row r="3005">
      <c r="A3005" s="7" t="s">
        <v>2411</v>
      </c>
      <c r="B3005" s="5" t="s">
        <v>2410</v>
      </c>
      <c r="C3005" s="5" t="s">
        <v>110</v>
      </c>
      <c r="D3005" s="6" t="s">
        <v>13</v>
      </c>
      <c r="E3005" s="5" t="s">
        <v>2349</v>
      </c>
      <c r="F3005" s="5" t="s">
        <v>500</v>
      </c>
      <c r="G3005" s="5" t="s">
        <v>137</v>
      </c>
      <c r="H3005" s="5" t="s">
        <v>137</v>
      </c>
      <c r="I3005" s="5" t="s">
        <v>18</v>
      </c>
      <c r="J3005" s="9" t="str">
        <f>IFERROR(__xludf.DUMMYFUNCTION("""COMPUTED_VALUE"""),"https://www.google.com/search?newwindow=1&amp;ei=2MT0XrvGGM-vytMP1OyDgAY&amp;q=site%3Alinkedin.com+Lola+Aliu+Technical+MBA+University+Recruiter+Microsoft")</f>
        <v>https://www.google.com/search?newwindow=1&amp;ei=2MT0XrvGGM-vytMP1OyDgAY&amp;q=site%3Alinkedin.com+Lola+Aliu+Technical+MBA+University+Recruiter+Microsoft</v>
      </c>
      <c r="K3005" s="5" t="str">
        <f t="shared" si="1"/>
        <v>Lola Aliu</v>
      </c>
      <c r="L3005" s="5" t="str">
        <f t="shared" si="2"/>
        <v>Technical MBA University Recruiter</v>
      </c>
      <c r="M3005" s="5" t="str">
        <f t="shared" si="3"/>
        <v>MBA</v>
      </c>
      <c r="N3005" s="5" t="str">
        <f t="shared" si="4"/>
        <v>Microsoft</v>
      </c>
      <c r="O3005" s="5" t="str">
        <f t="shared" si="5"/>
        <v>1 year 4 months in role and company</v>
      </c>
      <c r="P3005" s="5" t="str">
        <f t="shared" si="6"/>
        <v>Seattle</v>
      </c>
      <c r="Q3005" s="5" t="str">
        <f t="shared" si="7"/>
        <v>Washington</v>
      </c>
      <c r="R3005" s="5" t="str">
        <f t="shared" si="8"/>
        <v>United States</v>
      </c>
    </row>
    <row r="3006">
      <c r="A3006" s="7" t="s">
        <v>2414</v>
      </c>
      <c r="B3006" s="5" t="s">
        <v>2412</v>
      </c>
      <c r="C3006" s="5" t="s">
        <v>2413</v>
      </c>
      <c r="D3006" s="6" t="s">
        <v>13</v>
      </c>
      <c r="E3006" s="5" t="s">
        <v>2349</v>
      </c>
      <c r="G3006" s="5" t="s">
        <v>137</v>
      </c>
      <c r="H3006" s="5" t="s">
        <v>137</v>
      </c>
      <c r="I3006" s="5" t="s">
        <v>18</v>
      </c>
      <c r="J3006" s="9" t="str">
        <f>IFERROR(__xludf.DUMMYFUNCTION("""COMPUTED_VALUE"""),"https://www.google.com/search?newwindow=1&amp;ei=2MT0XrvGGM-vytMP1OyDgAY&amp;q=site%3Alinkedin.com+Felicity+Blazevic+University+Recruiter,+North+America+Microsoft")</f>
        <v>https://www.google.com/search?newwindow=1&amp;ei=2MT0XrvGGM-vytMP1OyDgAY&amp;q=site%3Alinkedin.com+Felicity+Blazevic+University+Recruiter,+North+America+Microsoft</v>
      </c>
      <c r="K3006" s="5" t="str">
        <f t="shared" si="1"/>
        <v>Felicity Blazevic</v>
      </c>
      <c r="L3006" s="5" t="str">
        <f t="shared" si="2"/>
        <v>University Recruiter, North America</v>
      </c>
      <c r="M3006" s="5" t="str">
        <f t="shared" si="3"/>
        <v> </v>
      </c>
      <c r="N3006" s="5" t="str">
        <f t="shared" si="4"/>
        <v>Microsoft</v>
      </c>
      <c r="O3006" s="5" t="str">
        <f t="shared" si="5"/>
        <v>3 years 2 months in role</v>
      </c>
      <c r="P3006" s="5" t="str">
        <f t="shared" si="6"/>
        <v>Seattle</v>
      </c>
      <c r="Q3006" s="5" t="str">
        <f t="shared" si="7"/>
        <v>Washington</v>
      </c>
      <c r="R3006" s="5" t="str">
        <f t="shared" si="8"/>
        <v>United States</v>
      </c>
    </row>
    <row r="3007">
      <c r="A3007" s="7" t="s">
        <v>2416</v>
      </c>
      <c r="B3007" s="5" t="s">
        <v>2415</v>
      </c>
      <c r="C3007" s="5" t="s">
        <v>480</v>
      </c>
      <c r="D3007" s="6" t="s">
        <v>13</v>
      </c>
      <c r="E3007" s="5" t="s">
        <v>2349</v>
      </c>
      <c r="F3007" s="5" t="s">
        <v>1105</v>
      </c>
      <c r="G3007" s="5" t="s">
        <v>295</v>
      </c>
      <c r="H3007" s="5" t="s">
        <v>154</v>
      </c>
      <c r="I3007" s="5" t="s">
        <v>18</v>
      </c>
      <c r="J3007" s="9" t="str">
        <f>IFERROR(__xludf.DUMMYFUNCTION("""COMPUTED_VALUE"""),"https://www.google.com/search?newwindow=1&amp;ei=2MT0XrvGGM-vytMP1OyDgAY&amp;q=site%3Alinkedin.com+Charity+Woods+University+Recruiter+Microsoft")</f>
        <v>https://www.google.com/search?newwindow=1&amp;ei=2MT0XrvGGM-vytMP1OyDgAY&amp;q=site%3Alinkedin.com+Charity+Woods+University+Recruiter+Microsoft</v>
      </c>
      <c r="K3007" s="5" t="str">
        <f t="shared" si="1"/>
        <v>Charity Woods</v>
      </c>
      <c r="L3007" s="5" t="str">
        <f t="shared" si="2"/>
        <v>University Recruiter</v>
      </c>
      <c r="M3007" s="5" t="str">
        <f t="shared" si="3"/>
        <v> </v>
      </c>
      <c r="N3007" s="5" t="str">
        <f t="shared" si="4"/>
        <v>Microsoft</v>
      </c>
      <c r="O3007" s="5" t="str">
        <f t="shared" si="5"/>
        <v>1 year 1 month in role and company</v>
      </c>
      <c r="P3007" s="5" t="str">
        <f t="shared" si="6"/>
        <v>Seattle</v>
      </c>
      <c r="Q3007" s="5" t="str">
        <f t="shared" si="7"/>
        <v>Washington</v>
      </c>
      <c r="R3007" s="5" t="str">
        <f t="shared" si="8"/>
        <v>United States</v>
      </c>
    </row>
    <row r="3008">
      <c r="A3008" s="7" t="s">
        <v>2420</v>
      </c>
      <c r="B3008" s="5" t="s">
        <v>2417</v>
      </c>
      <c r="C3008" s="5" t="s">
        <v>2418</v>
      </c>
      <c r="D3008" s="6" t="s">
        <v>13</v>
      </c>
      <c r="E3008" s="5" t="s">
        <v>2349</v>
      </c>
      <c r="F3008" s="5" t="s">
        <v>268</v>
      </c>
      <c r="G3008" s="5" t="s">
        <v>2419</v>
      </c>
      <c r="H3008" s="5" t="s">
        <v>102</v>
      </c>
      <c r="I3008" s="5" t="s">
        <v>18</v>
      </c>
      <c r="J3008" s="9" t="str">
        <f>IFERROR(__xludf.DUMMYFUNCTION("""COMPUTED_VALUE"""),"https://www.google.com/search?newwindow=1&amp;ei=2MT0XrvGGM-vytMP1OyDgAY&amp;q=site%3Alinkedin.com+Beckylin+Orooji+University+Recruiter+Microsoft")</f>
        <v>https://www.google.com/search?newwindow=1&amp;ei=2MT0XrvGGM-vytMP1OyDgAY&amp;q=site%3Alinkedin.com+Beckylin+Orooji+University+Recruiter+Microsoft</v>
      </c>
      <c r="K3008" s="5" t="str">
        <f t="shared" si="1"/>
        <v>Beckylin Orooji</v>
      </c>
      <c r="L3008" s="5" t="str">
        <f t="shared" si="2"/>
        <v>University Recruiter</v>
      </c>
      <c r="M3008" s="5" t="str">
        <f t="shared" si="3"/>
        <v> </v>
      </c>
      <c r="N3008" s="5" t="str">
        <f t="shared" si="4"/>
        <v>Microsoft</v>
      </c>
      <c r="O3008" s="5" t="str">
        <f t="shared" si="5"/>
        <v>1 year 3 months in role</v>
      </c>
      <c r="P3008" s="5" t="str">
        <f t="shared" si="6"/>
        <v>Seattle</v>
      </c>
      <c r="Q3008" s="5" t="str">
        <f t="shared" si="7"/>
        <v>Washington</v>
      </c>
      <c r="R3008" s="5" t="str">
        <f t="shared" si="8"/>
        <v>United States</v>
      </c>
    </row>
    <row r="3009">
      <c r="A3009" s="8" t="s">
        <v>2422</v>
      </c>
      <c r="B3009" s="5" t="s">
        <v>2421</v>
      </c>
      <c r="C3009" s="5" t="s">
        <v>2348</v>
      </c>
      <c r="D3009" s="6" t="s">
        <v>13</v>
      </c>
      <c r="E3009" s="5" t="s">
        <v>2349</v>
      </c>
      <c r="F3009" s="5" t="s">
        <v>48</v>
      </c>
      <c r="G3009" s="5" t="s">
        <v>166</v>
      </c>
      <c r="H3009" s="5" t="s">
        <v>44</v>
      </c>
      <c r="I3009" s="5" t="s">
        <v>18</v>
      </c>
      <c r="J3009" s="9" t="str">
        <f>IFERROR(__xludf.DUMMYFUNCTION("""COMPUTED_VALUE"""),"https://www.google.com/search?newwindow=1&amp;ei=2MT0XrvGGM-vytMP1OyDgAY&amp;q=site%3Alinkedin.com+Alexis+Solis+University+Recruiter+(contractor+through+Aerotek)+Microsoft")</f>
        <v>https://www.google.com/search?newwindow=1&amp;ei=2MT0XrvGGM-vytMP1OyDgAY&amp;q=site%3Alinkedin.com+Alexis+Solis+University+Recruiter+(contractor+through+Aerotek)+Microsoft</v>
      </c>
      <c r="K3009" s="5" t="str">
        <f t="shared" si="1"/>
        <v>Alexis Solis</v>
      </c>
      <c r="L3009" s="5" t="str">
        <f t="shared" si="2"/>
        <v>University Recruiter (contractor through Aerotek)</v>
      </c>
      <c r="M3009" s="5" t="str">
        <f t="shared" si="3"/>
        <v> </v>
      </c>
      <c r="N3009" s="5" t="str">
        <f t="shared" si="4"/>
        <v>Microsoft</v>
      </c>
      <c r="O3009" s="5" t="str">
        <f t="shared" si="5"/>
        <v>1 year 7 months in role</v>
      </c>
      <c r="P3009" s="5" t="str">
        <f t="shared" si="6"/>
        <v>Seattle</v>
      </c>
      <c r="Q3009" s="5" t="str">
        <f t="shared" si="7"/>
        <v>Washington</v>
      </c>
      <c r="R3009" s="5" t="str">
        <f t="shared" si="8"/>
        <v>United States</v>
      </c>
    </row>
    <row r="3010">
      <c r="A3010" s="7" t="s">
        <v>2425</v>
      </c>
      <c r="B3010" s="5" t="s">
        <v>2423</v>
      </c>
      <c r="C3010" s="5" t="s">
        <v>2424</v>
      </c>
      <c r="D3010" s="6" t="s">
        <v>13</v>
      </c>
      <c r="E3010" s="5" t="s">
        <v>2349</v>
      </c>
      <c r="F3010" s="5" t="s">
        <v>48</v>
      </c>
      <c r="G3010" s="5" t="s">
        <v>166</v>
      </c>
      <c r="H3010" s="5" t="s">
        <v>44</v>
      </c>
      <c r="I3010" s="5" t="s">
        <v>18</v>
      </c>
      <c r="J3010" s="9" t="str">
        <f>IFERROR(__xludf.DUMMYFUNCTION("""COMPUTED_VALUE"""),"https://www.google.com/search?newwindow=1&amp;ei=2MT0XrvGGM-vytMP1OyDgAY&amp;q=site%3Alinkedin.com+Kristin+Straube+University+Technical+Recruiter+Microsoft")</f>
        <v>https://www.google.com/search?newwindow=1&amp;ei=2MT0XrvGGM-vytMP1OyDgAY&amp;q=site%3Alinkedin.com+Kristin+Straube+University+Technical+Recruiter+Microsoft</v>
      </c>
      <c r="K3010" s="5" t="str">
        <f t="shared" si="1"/>
        <v>Kristin Straube</v>
      </c>
      <c r="L3010" s="5" t="str">
        <f t="shared" si="2"/>
        <v>University Technical Recruiter</v>
      </c>
      <c r="M3010" s="5" t="str">
        <f t="shared" si="3"/>
        <v> </v>
      </c>
      <c r="N3010" s="5" t="str">
        <f t="shared" si="4"/>
        <v>Microsoft</v>
      </c>
      <c r="O3010" s="5" t="str">
        <f t="shared" si="5"/>
        <v>3 years 4 months in role and company</v>
      </c>
      <c r="P3010" s="5" t="str">
        <f t="shared" si="6"/>
        <v>Seattle</v>
      </c>
      <c r="Q3010" s="5" t="str">
        <f t="shared" si="7"/>
        <v>Washington</v>
      </c>
      <c r="R3010" s="5" t="str">
        <f t="shared" si="8"/>
        <v>United States</v>
      </c>
    </row>
    <row r="3011">
      <c r="A3011" s="7" t="s">
        <v>2429</v>
      </c>
      <c r="B3011" s="5" t="s">
        <v>2426</v>
      </c>
      <c r="C3011" s="5" t="s">
        <v>2427</v>
      </c>
      <c r="D3011" s="6" t="s">
        <v>13</v>
      </c>
      <c r="E3011" s="5" t="s">
        <v>2349</v>
      </c>
      <c r="F3011" s="5" t="s">
        <v>2428</v>
      </c>
      <c r="G3011" s="5" t="s">
        <v>166</v>
      </c>
      <c r="H3011" s="5" t="s">
        <v>44</v>
      </c>
      <c r="I3011" s="5" t="s">
        <v>18</v>
      </c>
      <c r="J3011" s="9" t="str">
        <f>IFERROR(__xludf.DUMMYFUNCTION("""COMPUTED_VALUE"""),"https://www.google.com/search?newwindow=1&amp;ei=2MT0XrvGGM-vytMP1OyDgAY&amp;q=site%3Alinkedin.com+Ellie+Hemenway+University+Recruiter+Microsoft")</f>
        <v>https://www.google.com/search?newwindow=1&amp;ei=2MT0XrvGGM-vytMP1OyDgAY&amp;q=site%3Alinkedin.com+Ellie+Hemenway+University+Recruiter+Microsoft</v>
      </c>
      <c r="K3011" s="5" t="str">
        <f t="shared" si="1"/>
        <v>Ellie Hemenway</v>
      </c>
      <c r="L3011" s="5" t="str">
        <f t="shared" si="2"/>
        <v>University Recruiter</v>
      </c>
      <c r="M3011" s="5" t="str">
        <f t="shared" si="3"/>
        <v> </v>
      </c>
      <c r="N3011" s="5" t="str">
        <f t="shared" si="4"/>
        <v>Microsoft</v>
      </c>
      <c r="O3011" s="5" t="str">
        <f t="shared" si="5"/>
        <v>6 months in role</v>
      </c>
      <c r="P3011" s="5" t="str">
        <f t="shared" si="6"/>
        <v>Seattle</v>
      </c>
      <c r="Q3011" s="5" t="str">
        <f t="shared" si="7"/>
        <v>Washington</v>
      </c>
      <c r="R3011" s="5" t="str">
        <f t="shared" si="8"/>
        <v>United States</v>
      </c>
    </row>
    <row r="3012">
      <c r="A3012" s="7" t="s">
        <v>2432</v>
      </c>
      <c r="B3012" s="5" t="s">
        <v>2430</v>
      </c>
      <c r="C3012" s="5" t="s">
        <v>2431</v>
      </c>
      <c r="D3012" s="6" t="s">
        <v>13</v>
      </c>
      <c r="E3012" s="5" t="s">
        <v>2349</v>
      </c>
      <c r="F3012" s="5" t="s">
        <v>1718</v>
      </c>
      <c r="G3012" s="5" t="s">
        <v>166</v>
      </c>
      <c r="H3012" s="5" t="s">
        <v>44</v>
      </c>
      <c r="I3012" s="5" t="s">
        <v>18</v>
      </c>
      <c r="J3012" s="9" t="str">
        <f>IFERROR(__xludf.DUMMYFUNCTION("""COMPUTED_VALUE"""),"https://www.google.com/search?newwindow=1&amp;ei=2MT0XrvGGM-vytMP1OyDgAY&amp;q=site%3Alinkedin.com+Loren+Perkins-Johnson+University+Recruiter+Microsoft")</f>
        <v>https://www.google.com/search?newwindow=1&amp;ei=2MT0XrvGGM-vytMP1OyDgAY&amp;q=site%3Alinkedin.com+Loren+Perkins-Johnson+University+Recruiter+Microsoft</v>
      </c>
      <c r="K3012" s="5" t="str">
        <f t="shared" si="1"/>
        <v>Loren Perkins-Johnson</v>
      </c>
      <c r="L3012" s="5" t="str">
        <f t="shared" si="2"/>
        <v>University Recruiter</v>
      </c>
      <c r="M3012" s="5" t="str">
        <f t="shared" si="3"/>
        <v> </v>
      </c>
      <c r="N3012" s="5" t="str">
        <f t="shared" si="4"/>
        <v>Microsoft</v>
      </c>
      <c r="O3012" s="5" t="str">
        <f t="shared" si="5"/>
        <v>1 year 7 months in role and company</v>
      </c>
      <c r="P3012" s="5" t="str">
        <f t="shared" si="6"/>
        <v>Seattle</v>
      </c>
      <c r="Q3012" s="5" t="str">
        <f t="shared" si="7"/>
        <v>Washington</v>
      </c>
      <c r="R3012" s="5" t="str">
        <f t="shared" si="8"/>
        <v>United States</v>
      </c>
    </row>
    <row r="3013">
      <c r="A3013" s="7" t="s">
        <v>2434</v>
      </c>
      <c r="B3013" s="5" t="s">
        <v>2433</v>
      </c>
      <c r="C3013" s="5" t="s">
        <v>25</v>
      </c>
      <c r="D3013" s="6" t="s">
        <v>13</v>
      </c>
      <c r="E3013" s="5" t="s">
        <v>2349</v>
      </c>
      <c r="G3013" s="5" t="s">
        <v>166</v>
      </c>
      <c r="H3013" s="5" t="s">
        <v>44</v>
      </c>
      <c r="I3013" s="5" t="s">
        <v>18</v>
      </c>
      <c r="J3013" s="9" t="str">
        <f>IFERROR(__xludf.DUMMYFUNCTION("""COMPUTED_VALUE"""),"https://www.google.com/search?newwindow=1&amp;ei=2MT0XrvGGM-vytMP1OyDgAY&amp;q=site%3Alinkedin.com+Briana+A.+Technical+University+Recruiter+Microsoft")</f>
        <v>https://www.google.com/search?newwindow=1&amp;ei=2MT0XrvGGM-vytMP1OyDgAY&amp;q=site%3Alinkedin.com+Briana+A.+Technical+University+Recruiter+Microsoft</v>
      </c>
      <c r="K3013" s="5" t="str">
        <f t="shared" si="1"/>
        <v>Briana A.</v>
      </c>
      <c r="L3013" s="5" t="str">
        <f t="shared" si="2"/>
        <v>Technical University Recruiter</v>
      </c>
      <c r="M3013" s="5" t="str">
        <f t="shared" si="3"/>
        <v> </v>
      </c>
      <c r="N3013" s="5" t="str">
        <f t="shared" si="4"/>
        <v>Microsoft</v>
      </c>
      <c r="O3013" s="5" t="str">
        <f t="shared" si="5"/>
        <v>3 years 2 months in role and company</v>
      </c>
      <c r="P3013" s="5" t="str">
        <f t="shared" si="6"/>
        <v>Seattle</v>
      </c>
      <c r="Q3013" s="5" t="str">
        <f t="shared" si="7"/>
        <v>Washington</v>
      </c>
      <c r="R3013" s="5" t="str">
        <f t="shared" si="8"/>
        <v>United States</v>
      </c>
    </row>
    <row r="3014">
      <c r="A3014" s="7" t="s">
        <v>2436</v>
      </c>
      <c r="B3014" s="5" t="s">
        <v>2435</v>
      </c>
      <c r="C3014" s="5" t="s">
        <v>328</v>
      </c>
      <c r="D3014" s="6" t="s">
        <v>13</v>
      </c>
      <c r="E3014" s="5" t="s">
        <v>2349</v>
      </c>
      <c r="F3014" s="5" t="s">
        <v>651</v>
      </c>
      <c r="G3014" s="5" t="s">
        <v>166</v>
      </c>
      <c r="H3014" s="5" t="s">
        <v>44</v>
      </c>
      <c r="I3014" s="5" t="s">
        <v>18</v>
      </c>
      <c r="J3014" s="9" t="str">
        <f>IFERROR(__xludf.DUMMYFUNCTION("""COMPUTED_VALUE"""),"https://www.google.com/search?newwindow=1&amp;ei=2MT0XrvGGM-vytMP1OyDgAY&amp;q=site%3Alinkedin.com+Alex+Blomster-Horning+University+Recruiter+Microsoft")</f>
        <v>https://www.google.com/search?newwindow=1&amp;ei=2MT0XrvGGM-vytMP1OyDgAY&amp;q=site%3Alinkedin.com+Alex+Blomster-Horning+University+Recruiter+Microsoft</v>
      </c>
      <c r="K3014" s="5" t="str">
        <f t="shared" si="1"/>
        <v>Alex Blomster-Horning</v>
      </c>
      <c r="L3014" s="5" t="str">
        <f t="shared" si="2"/>
        <v>University Recruiter</v>
      </c>
      <c r="M3014" s="5" t="str">
        <f t="shared" si="3"/>
        <v> </v>
      </c>
      <c r="N3014" s="5" t="str">
        <f t="shared" si="4"/>
        <v>Microsoft</v>
      </c>
      <c r="O3014" s="5" t="str">
        <f t="shared" si="5"/>
        <v>1 year 8 months in role and company</v>
      </c>
      <c r="P3014" s="5" t="str">
        <f t="shared" si="6"/>
        <v>Seattle</v>
      </c>
      <c r="Q3014" s="5" t="str">
        <f t="shared" si="7"/>
        <v>Washington</v>
      </c>
      <c r="R3014" s="5" t="str">
        <f t="shared" si="8"/>
        <v>United States</v>
      </c>
    </row>
    <row r="3015">
      <c r="A3015" s="7" t="s">
        <v>2438</v>
      </c>
      <c r="B3015" s="5" t="s">
        <v>2437</v>
      </c>
      <c r="C3015" s="5" t="s">
        <v>110</v>
      </c>
      <c r="D3015" s="6" t="s">
        <v>13</v>
      </c>
      <c r="E3015" s="5" t="s">
        <v>2349</v>
      </c>
      <c r="F3015" s="5" t="s">
        <v>213</v>
      </c>
      <c r="G3015" s="5" t="s">
        <v>166</v>
      </c>
      <c r="H3015" s="5" t="s">
        <v>44</v>
      </c>
      <c r="I3015" s="5" t="s">
        <v>18</v>
      </c>
      <c r="J3015" s="9" t="str">
        <f>IFERROR(__xludf.DUMMYFUNCTION("""COMPUTED_VALUE"""),"https://www.google.com/search?newwindow=1&amp;ei=2MT0XrvGGM-vytMP1OyDgAY&amp;q=site%3Alinkedin.com+Toni+Brown-Bell+University+Recruiter+Microsoft")</f>
        <v>https://www.google.com/search?newwindow=1&amp;ei=2MT0XrvGGM-vytMP1OyDgAY&amp;q=site%3Alinkedin.com+Toni+Brown-Bell+University+Recruiter+Microsoft</v>
      </c>
      <c r="K3015" s="5" t="str">
        <f t="shared" si="1"/>
        <v>Toni Brown-Bell</v>
      </c>
      <c r="L3015" s="5" t="str">
        <f t="shared" si="2"/>
        <v>University Recruiter</v>
      </c>
      <c r="M3015" s="5" t="str">
        <f t="shared" si="3"/>
        <v> </v>
      </c>
      <c r="N3015" s="5" t="str">
        <f t="shared" si="4"/>
        <v>Microsoft</v>
      </c>
      <c r="O3015" s="5" t="str">
        <f t="shared" si="5"/>
        <v>1 year 1 month in role and company</v>
      </c>
      <c r="P3015" s="5" t="str">
        <f t="shared" si="6"/>
        <v>Seattle</v>
      </c>
      <c r="Q3015" s="5" t="str">
        <f t="shared" si="7"/>
        <v>Washington</v>
      </c>
      <c r="R3015" s="5" t="str">
        <f t="shared" si="8"/>
        <v>United States</v>
      </c>
    </row>
    <row r="3016">
      <c r="A3016" s="7" t="s">
        <v>2441</v>
      </c>
      <c r="B3016" s="5" t="s">
        <v>2439</v>
      </c>
      <c r="C3016" s="5" t="s">
        <v>2440</v>
      </c>
      <c r="D3016" s="6" t="s">
        <v>13</v>
      </c>
      <c r="E3016" s="5" t="s">
        <v>2349</v>
      </c>
      <c r="F3016" s="5" t="s">
        <v>1371</v>
      </c>
      <c r="G3016" s="5" t="s">
        <v>169</v>
      </c>
      <c r="H3016" s="5" t="s">
        <v>44</v>
      </c>
      <c r="I3016" s="5" t="s">
        <v>18</v>
      </c>
      <c r="J3016" s="9" t="str">
        <f>IFERROR(__xludf.DUMMYFUNCTION("""COMPUTED_VALUE"""),"https://www.google.com/search?newwindow=1&amp;ei=2MT0XrvGGM-vytMP1OyDgAY&amp;q=site%3Alinkedin.com+Miguel+Chucaralao+University+Recruiter+-+Business+Functions+Microsoft")</f>
        <v>https://www.google.com/search?newwindow=1&amp;ei=2MT0XrvGGM-vytMP1OyDgAY&amp;q=site%3Alinkedin.com+Miguel+Chucaralao+University+Recruiter+-+Business+Functions+Microsoft</v>
      </c>
      <c r="K3016" s="5" t="str">
        <f t="shared" si="1"/>
        <v>Miguel Chucaralao</v>
      </c>
      <c r="L3016" s="5" t="str">
        <f t="shared" si="2"/>
        <v>University Recruiter - Business Functions</v>
      </c>
      <c r="M3016" s="5" t="str">
        <f t="shared" si="3"/>
        <v> </v>
      </c>
      <c r="N3016" s="5" t="str">
        <f t="shared" si="4"/>
        <v>Microsoft</v>
      </c>
      <c r="O3016" s="5" t="str">
        <f t="shared" si="5"/>
        <v>7 months in role</v>
      </c>
      <c r="P3016" s="5" t="str">
        <f t="shared" si="6"/>
        <v>Seattle</v>
      </c>
      <c r="Q3016" s="5" t="str">
        <f t="shared" si="7"/>
        <v>Washington</v>
      </c>
      <c r="R3016" s="5" t="str">
        <f t="shared" si="8"/>
        <v>United States</v>
      </c>
    </row>
    <row r="3017">
      <c r="A3017" s="8" t="s">
        <v>2444</v>
      </c>
      <c r="B3017" s="5" t="s">
        <v>2442</v>
      </c>
      <c r="C3017" s="5" t="s">
        <v>2443</v>
      </c>
      <c r="D3017" s="6" t="s">
        <v>13</v>
      </c>
      <c r="E3017" s="5" t="s">
        <v>2349</v>
      </c>
      <c r="F3017" s="5" t="s">
        <v>2428</v>
      </c>
      <c r="G3017" s="5" t="s">
        <v>169</v>
      </c>
      <c r="H3017" s="5" t="s">
        <v>44</v>
      </c>
      <c r="I3017" s="5" t="s">
        <v>18</v>
      </c>
      <c r="J3017" s="9" t="str">
        <f>IFERROR(__xludf.DUMMYFUNCTION("""COMPUTED_VALUE"""),"https://www.google.com/search?newwindow=1&amp;ei=2MT0XrvGGM-vytMP1OyDgAY&amp;q=site%3Alinkedin.com+Summer+Al+Mashhadani+University+Recruiter+Microsoft")</f>
        <v>https://www.google.com/search?newwindow=1&amp;ei=2MT0XrvGGM-vytMP1OyDgAY&amp;q=site%3Alinkedin.com+Summer+Al+Mashhadani+University+Recruiter+Microsoft</v>
      </c>
      <c r="K3017" s="5" t="str">
        <f t="shared" si="1"/>
        <v>Summer Al Mashhadani</v>
      </c>
      <c r="L3017" s="5" t="str">
        <f t="shared" si="2"/>
        <v>University Recruiter</v>
      </c>
      <c r="M3017" s="5" t="str">
        <f t="shared" si="3"/>
        <v> </v>
      </c>
      <c r="N3017" s="5" t="str">
        <f t="shared" si="4"/>
        <v>Microsoft</v>
      </c>
      <c r="O3017" s="5" t="str">
        <f t="shared" si="5"/>
        <v>1 year 3 months in role and company</v>
      </c>
      <c r="P3017" s="5" t="str">
        <f t="shared" si="6"/>
        <v>Seattle</v>
      </c>
      <c r="Q3017" s="5" t="str">
        <f t="shared" si="7"/>
        <v>Washington</v>
      </c>
      <c r="R3017" s="5" t="str">
        <f t="shared" si="8"/>
        <v>United States</v>
      </c>
    </row>
    <row r="3018">
      <c r="A3018" s="8" t="s">
        <v>2447</v>
      </c>
      <c r="B3018" s="5" t="s">
        <v>2445</v>
      </c>
      <c r="C3018" s="5" t="s">
        <v>2446</v>
      </c>
      <c r="D3018" s="6" t="s">
        <v>13</v>
      </c>
      <c r="E3018" s="5" t="s">
        <v>2349</v>
      </c>
      <c r="F3018" s="5" t="s">
        <v>1460</v>
      </c>
      <c r="G3018" s="5" t="s">
        <v>311</v>
      </c>
      <c r="H3018" s="5" t="s">
        <v>102</v>
      </c>
      <c r="I3018" s="5" t="s">
        <v>18</v>
      </c>
      <c r="J3018" s="9" t="str">
        <f>IFERROR(__xludf.DUMMYFUNCTION("""COMPUTED_VALUE"""),"https://www.google.com/search?newwindow=1&amp;ei=2MT0XrvGGM-vytMP1OyDgAY&amp;q=site%3Alinkedin.com+Devan+Moore+University+Recruiter+Microsoft")</f>
        <v>https://www.google.com/search?newwindow=1&amp;ei=2MT0XrvGGM-vytMP1OyDgAY&amp;q=site%3Alinkedin.com+Devan+Moore+University+Recruiter+Microsoft</v>
      </c>
      <c r="K3018" s="5" t="str">
        <f t="shared" si="1"/>
        <v>Devan Moore</v>
      </c>
      <c r="L3018" s="5" t="str">
        <f t="shared" si="2"/>
        <v>University Recruiter</v>
      </c>
      <c r="M3018" s="5" t="str">
        <f t="shared" si="3"/>
        <v> </v>
      </c>
      <c r="N3018" s="5" t="str">
        <f t="shared" si="4"/>
        <v>Microsoft</v>
      </c>
      <c r="O3018" s="5" t="str">
        <f t="shared" si="5"/>
        <v>1 year 2 months in role and company</v>
      </c>
      <c r="P3018" s="5" t="str">
        <f t="shared" si="6"/>
        <v>Seattle</v>
      </c>
      <c r="Q3018" s="5" t="str">
        <f t="shared" si="7"/>
        <v>Washington</v>
      </c>
      <c r="R3018" s="5" t="str">
        <f t="shared" si="8"/>
        <v>United States</v>
      </c>
    </row>
    <row r="3019">
      <c r="A3019" s="7" t="s">
        <v>2449</v>
      </c>
      <c r="B3019" s="5" t="s">
        <v>2448</v>
      </c>
      <c r="C3019" s="5" t="s">
        <v>110</v>
      </c>
      <c r="D3019" s="6" t="s">
        <v>13</v>
      </c>
      <c r="E3019" s="5" t="s">
        <v>2349</v>
      </c>
      <c r="F3019" s="5" t="s">
        <v>1751</v>
      </c>
      <c r="G3019" s="5" t="s">
        <v>311</v>
      </c>
      <c r="H3019" s="5" t="s">
        <v>102</v>
      </c>
      <c r="I3019" s="5" t="s">
        <v>18</v>
      </c>
      <c r="J3019" s="9" t="str">
        <f>IFERROR(__xludf.DUMMYFUNCTION("""COMPUTED_VALUE"""),"https://www.google.com/search?newwindow=1&amp;ei=2MT0XrvGGM-vytMP1OyDgAY&amp;q=site%3Alinkedin.com+Mintesinot+Misgano+University+Recruiter+Microsoft")</f>
        <v>https://www.google.com/search?newwindow=1&amp;ei=2MT0XrvGGM-vytMP1OyDgAY&amp;q=site%3Alinkedin.com+Mintesinot+Misgano+University+Recruiter+Microsoft</v>
      </c>
      <c r="K3019" s="5" t="str">
        <f t="shared" si="1"/>
        <v>Mintesinot Misgano</v>
      </c>
      <c r="L3019" s="5" t="str">
        <f t="shared" si="2"/>
        <v>University Recruiter</v>
      </c>
      <c r="M3019" s="5" t="str">
        <f t="shared" si="3"/>
        <v> </v>
      </c>
      <c r="N3019" s="5" t="str">
        <f t="shared" si="4"/>
        <v>Microsoft</v>
      </c>
      <c r="O3019" s="5" t="str">
        <f t="shared" si="5"/>
        <v>1 year 4 months in role and company</v>
      </c>
      <c r="P3019" s="5" t="str">
        <f t="shared" si="6"/>
        <v>Seattle</v>
      </c>
      <c r="Q3019" s="5" t="str">
        <f t="shared" si="7"/>
        <v>Washington</v>
      </c>
      <c r="R3019" s="5" t="str">
        <f t="shared" si="8"/>
        <v>United States</v>
      </c>
    </row>
    <row r="3020">
      <c r="A3020" s="7" t="s">
        <v>2451</v>
      </c>
      <c r="B3020" s="5" t="s">
        <v>2450</v>
      </c>
      <c r="C3020" s="5" t="s">
        <v>110</v>
      </c>
      <c r="D3020" s="6" t="s">
        <v>13</v>
      </c>
      <c r="E3020" s="5" t="s">
        <v>2349</v>
      </c>
      <c r="F3020" s="5" t="s">
        <v>446</v>
      </c>
      <c r="G3020" s="5" t="s">
        <v>468</v>
      </c>
      <c r="H3020" s="5" t="s">
        <v>44</v>
      </c>
      <c r="I3020" s="5" t="s">
        <v>18</v>
      </c>
      <c r="J3020" s="9" t="str">
        <f>IFERROR(__xludf.DUMMYFUNCTION("""COMPUTED_VALUE"""),"https://www.google.com/search?newwindow=1&amp;ei=2MT0XrvGGM-vytMP1OyDgAY&amp;q=site%3Alinkedin.com+Erin+Creighton+Technical+University+Recruiter+Microsoft")</f>
        <v>https://www.google.com/search?newwindow=1&amp;ei=2MT0XrvGGM-vytMP1OyDgAY&amp;q=site%3Alinkedin.com+Erin+Creighton+Technical+University+Recruiter+Microsoft</v>
      </c>
      <c r="K3020" s="5" t="str">
        <f t="shared" si="1"/>
        <v>Erin Creighton</v>
      </c>
      <c r="L3020" s="5" t="str">
        <f t="shared" si="2"/>
        <v>Technical University Recruiter</v>
      </c>
      <c r="M3020" s="5" t="str">
        <f t="shared" si="3"/>
        <v> </v>
      </c>
      <c r="N3020" s="5" t="str">
        <f t="shared" si="4"/>
        <v>Microsoft</v>
      </c>
      <c r="O3020" s="5" t="str">
        <f t="shared" si="5"/>
        <v>3 years 10 months in role</v>
      </c>
      <c r="P3020" s="5" t="str">
        <f t="shared" si="6"/>
        <v>Seattle</v>
      </c>
      <c r="Q3020" s="5" t="str">
        <f t="shared" si="7"/>
        <v>Washington</v>
      </c>
      <c r="R3020" s="5" t="str">
        <f t="shared" si="8"/>
        <v>United States</v>
      </c>
    </row>
    <row r="3021">
      <c r="A3021" s="7" t="s">
        <v>2454</v>
      </c>
      <c r="B3021" s="5" t="s">
        <v>2452</v>
      </c>
      <c r="C3021" s="5" t="s">
        <v>2453</v>
      </c>
      <c r="D3021" s="6" t="s">
        <v>13</v>
      </c>
      <c r="E3021" s="5" t="s">
        <v>2349</v>
      </c>
      <c r="F3021" s="5" t="s">
        <v>144</v>
      </c>
      <c r="G3021" s="5" t="s">
        <v>468</v>
      </c>
      <c r="H3021" s="5" t="s">
        <v>44</v>
      </c>
      <c r="I3021" s="5" t="s">
        <v>18</v>
      </c>
      <c r="J3021" s="9" t="str">
        <f>IFERROR(__xludf.DUMMYFUNCTION("""COMPUTED_VALUE"""),"https://www.google.com/search?newwindow=1&amp;ei=2MT0XrvGGM-vytMP1OyDgAY&amp;q=site%3Alinkedin.com+Mary+Woodruff+(she/her)+University+Recruiter+Microsoft")</f>
        <v>https://www.google.com/search?newwindow=1&amp;ei=2MT0XrvGGM-vytMP1OyDgAY&amp;q=site%3Alinkedin.com+Mary+Woodruff+(she/her)+University+Recruiter+Microsoft</v>
      </c>
      <c r="K3021" s="5" t="str">
        <f t="shared" si="1"/>
        <v>Mary Woodruff (she/her)</v>
      </c>
      <c r="L3021" s="5" t="str">
        <f t="shared" si="2"/>
        <v>University Recruiter</v>
      </c>
      <c r="M3021" s="5" t="str">
        <f t="shared" si="3"/>
        <v> </v>
      </c>
      <c r="N3021" s="5" t="str">
        <f t="shared" si="4"/>
        <v>Microsoft</v>
      </c>
      <c r="O3021" s="5" t="str">
        <f t="shared" si="5"/>
        <v>7 months in role</v>
      </c>
      <c r="P3021" s="5" t="str">
        <f t="shared" si="6"/>
        <v>Seattle</v>
      </c>
      <c r="Q3021" s="5" t="str">
        <f t="shared" si="7"/>
        <v>Washington</v>
      </c>
      <c r="R3021" s="5" t="str">
        <f t="shared" si="8"/>
        <v>United States</v>
      </c>
    </row>
    <row r="3022">
      <c r="A3022" s="7" t="s">
        <v>2456</v>
      </c>
      <c r="B3022" s="5" t="s">
        <v>2455</v>
      </c>
      <c r="C3022" s="5" t="s">
        <v>110</v>
      </c>
      <c r="D3022" s="6" t="s">
        <v>13</v>
      </c>
      <c r="E3022" s="5" t="s">
        <v>2349</v>
      </c>
      <c r="F3022" s="5" t="s">
        <v>144</v>
      </c>
      <c r="G3022" s="5" t="s">
        <v>37</v>
      </c>
      <c r="H3022" s="5" t="s">
        <v>38</v>
      </c>
      <c r="I3022" s="5" t="s">
        <v>18</v>
      </c>
      <c r="J3022" s="9" t="str">
        <f>IFERROR(__xludf.DUMMYFUNCTION("""COMPUTED_VALUE"""),"https://www.google.com/search?newwindow=1&amp;ei=2MT0XrvGGM-vytMP1OyDgAY&amp;q=site%3Alinkedin.com+Joseph+Velez+University+Recruiter+(Contractor)+Microsoft")</f>
        <v>https://www.google.com/search?newwindow=1&amp;ei=2MT0XrvGGM-vytMP1OyDgAY&amp;q=site%3Alinkedin.com+Joseph+Velez+University+Recruiter+(Contractor)+Microsoft</v>
      </c>
      <c r="K3022" s="5" t="str">
        <f t="shared" si="1"/>
        <v>Joseph Velez</v>
      </c>
      <c r="L3022" s="5" t="str">
        <f t="shared" si="2"/>
        <v>University Recruiter (Contractor)</v>
      </c>
      <c r="M3022" s="5" t="str">
        <f t="shared" si="3"/>
        <v> </v>
      </c>
      <c r="N3022" s="5" t="str">
        <f t="shared" si="4"/>
        <v>Microsoft</v>
      </c>
      <c r="O3022" s="5" t="str">
        <f t="shared" si="5"/>
        <v>1 year 4 months in role and company</v>
      </c>
      <c r="P3022" s="5" t="str">
        <f t="shared" si="6"/>
        <v>Seattle</v>
      </c>
      <c r="Q3022" s="5" t="str">
        <f t="shared" si="7"/>
        <v>Washington</v>
      </c>
      <c r="R3022" s="5" t="str">
        <f t="shared" si="8"/>
        <v>United States</v>
      </c>
    </row>
    <row r="3023">
      <c r="A3023" s="7" t="s">
        <v>2459</v>
      </c>
      <c r="B3023" s="5" t="s">
        <v>2457</v>
      </c>
      <c r="C3023" s="5" t="s">
        <v>25</v>
      </c>
      <c r="D3023" s="6" t="s">
        <v>13</v>
      </c>
      <c r="E3023" s="5" t="s">
        <v>2458</v>
      </c>
      <c r="G3023" s="5" t="s">
        <v>2100</v>
      </c>
      <c r="H3023" s="5" t="s">
        <v>264</v>
      </c>
      <c r="I3023" s="5" t="s">
        <v>18</v>
      </c>
      <c r="J3023" s="9" t="str">
        <f>IFERROR(__xludf.DUMMYFUNCTION("""COMPUTED_VALUE"""),"https://www.google.com/search?newwindow=1&amp;ei=2MT0XrvGGM-vytMP1OyDgAY&amp;q=site%3Alinkedin.com+Amy+Siebenthaler+Technical+PhD+Recruiter+|+University+Recruitment+Microsoft")</f>
        <v>https://www.google.com/search?newwindow=1&amp;ei=2MT0XrvGGM-vytMP1OyDgAY&amp;q=site%3Alinkedin.com+Amy+Siebenthaler+Technical+PhD+Recruiter+|+University+Recruitment+Microsoft</v>
      </c>
      <c r="K3023" s="5" t="str">
        <f t="shared" si="1"/>
        <v>Amy Siebenthaler</v>
      </c>
      <c r="L3023" s="5" t="str">
        <f t="shared" si="2"/>
        <v>Technical PhD Recruiter | University Recruitment</v>
      </c>
      <c r="M3023" s="5" t="str">
        <f t="shared" si="3"/>
        <v> </v>
      </c>
      <c r="N3023" s="5" t="str">
        <f t="shared" si="4"/>
        <v>Microsoft</v>
      </c>
      <c r="O3023" s="5" t="str">
        <f t="shared" si="5"/>
        <v>2 years 11 months in role</v>
      </c>
      <c r="P3023" s="5" t="str">
        <f t="shared" si="6"/>
        <v>Seattle</v>
      </c>
      <c r="Q3023" s="5" t="str">
        <f t="shared" si="7"/>
        <v>Washington</v>
      </c>
      <c r="R3023" s="5" t="str">
        <f t="shared" si="8"/>
        <v>United States</v>
      </c>
    </row>
    <row r="3024">
      <c r="A3024" s="7" t="s">
        <v>2461</v>
      </c>
      <c r="B3024" s="5" t="s">
        <v>2460</v>
      </c>
      <c r="C3024" s="5" t="s">
        <v>110</v>
      </c>
      <c r="D3024" s="6" t="s">
        <v>13</v>
      </c>
      <c r="E3024" s="5" t="s">
        <v>2458</v>
      </c>
      <c r="F3024" s="5" t="s">
        <v>48</v>
      </c>
      <c r="G3024" s="5" t="s">
        <v>16</v>
      </c>
      <c r="H3024" s="5" t="s">
        <v>17</v>
      </c>
      <c r="I3024" s="5" t="s">
        <v>18</v>
      </c>
      <c r="J3024" s="9" t="str">
        <f>IFERROR(__xludf.DUMMYFUNCTION("""COMPUTED_VALUE"""),"https://www.google.com/search?newwindow=1&amp;ei=2MT0XrvGGM-vytMP1OyDgAY&amp;q=site%3Alinkedin.com+Kadra+Sheikh,+MBA+HR+and+Talent+Acquisiton-+University+Recruiter+I+Microsoft")</f>
        <v>https://www.google.com/search?newwindow=1&amp;ei=2MT0XrvGGM-vytMP1OyDgAY&amp;q=site%3Alinkedin.com+Kadra+Sheikh,+MBA+HR+and+Talent+Acquisiton-+University+Recruiter+I+Microsoft</v>
      </c>
      <c r="K3024" s="5" t="str">
        <f t="shared" si="1"/>
        <v>Kadra Sheikh, MBA</v>
      </c>
      <c r="L3024" s="5" t="str">
        <f t="shared" si="2"/>
        <v>HR and Talent Acquisiton- University Recruiter I</v>
      </c>
      <c r="M3024" s="5" t="str">
        <f t="shared" si="3"/>
        <v> </v>
      </c>
      <c r="N3024" s="5" t="str">
        <f t="shared" si="4"/>
        <v>Microsoft</v>
      </c>
      <c r="O3024" s="5" t="str">
        <f t="shared" si="5"/>
        <v>1 year 3 months in role and company</v>
      </c>
      <c r="P3024" s="5" t="str">
        <f t="shared" si="6"/>
        <v>Seattle</v>
      </c>
      <c r="Q3024" s="5" t="str">
        <f t="shared" si="7"/>
        <v>Washington</v>
      </c>
      <c r="R3024" s="5" t="str">
        <f t="shared" si="8"/>
        <v>United States</v>
      </c>
    </row>
    <row r="3025">
      <c r="A3025" s="7" t="s">
        <v>2463</v>
      </c>
      <c r="B3025" s="5" t="s">
        <v>2462</v>
      </c>
      <c r="C3025" s="5" t="s">
        <v>766</v>
      </c>
      <c r="D3025" s="6" t="s">
        <v>13</v>
      </c>
      <c r="E3025" s="5" t="s">
        <v>2458</v>
      </c>
      <c r="F3025" s="5" t="s">
        <v>192</v>
      </c>
      <c r="G3025" s="5" t="s">
        <v>49</v>
      </c>
      <c r="H3025" s="5" t="s">
        <v>50</v>
      </c>
      <c r="I3025" s="5" t="s">
        <v>18</v>
      </c>
      <c r="J3025" s="9" t="str">
        <f>IFERROR(__xludf.DUMMYFUNCTION("""COMPUTED_VALUE"""),"https://www.google.com/search?newwindow=1&amp;ei=2MT0XrvGGM-vytMP1OyDgAY&amp;q=site%3Alinkedin.com+Leandra+King+University+Recruiter+Microsoft")</f>
        <v>https://www.google.com/search?newwindow=1&amp;ei=2MT0XrvGGM-vytMP1OyDgAY&amp;q=site%3Alinkedin.com+Leandra+King+University+Recruiter+Microsoft</v>
      </c>
      <c r="K3025" s="5" t="str">
        <f t="shared" si="1"/>
        <v>Leandra King</v>
      </c>
      <c r="L3025" s="5" t="str">
        <f t="shared" si="2"/>
        <v>University Recruiter</v>
      </c>
      <c r="M3025" s="5" t="str">
        <f t="shared" si="3"/>
        <v> </v>
      </c>
      <c r="N3025" s="5" t="str">
        <f t="shared" si="4"/>
        <v>Microsoft</v>
      </c>
      <c r="O3025" s="5" t="str">
        <f t="shared" si="5"/>
        <v>6 months in role</v>
      </c>
      <c r="P3025" s="5" t="str">
        <f t="shared" si="6"/>
        <v>Seattle</v>
      </c>
      <c r="Q3025" s="5" t="str">
        <f t="shared" si="7"/>
        <v>Washington</v>
      </c>
      <c r="R3025" s="5" t="str">
        <f t="shared" si="8"/>
        <v>United States</v>
      </c>
    </row>
    <row r="3026">
      <c r="A3026" s="7" t="s">
        <v>2465</v>
      </c>
      <c r="B3026" s="5" t="s">
        <v>2464</v>
      </c>
      <c r="C3026" s="5" t="s">
        <v>110</v>
      </c>
      <c r="D3026" s="6" t="s">
        <v>13</v>
      </c>
      <c r="E3026" s="5" t="s">
        <v>2458</v>
      </c>
      <c r="F3026" s="5" t="s">
        <v>909</v>
      </c>
      <c r="G3026" s="6" t="s">
        <v>64</v>
      </c>
      <c r="H3026" s="6" t="s">
        <v>65</v>
      </c>
      <c r="I3026" s="5" t="s">
        <v>18</v>
      </c>
      <c r="J3026" s="9" t="str">
        <f>IFERROR(__xludf.DUMMYFUNCTION("""COMPUTED_VALUE"""),"https://www.google.com/search?newwindow=1&amp;ei=2MT0XrvGGM-vytMP1OyDgAY&amp;q=site%3Alinkedin.com+Kelsey+Saboori+Technical+University+Recruiter+-+Software+Engineering+Roles+Microsoft")</f>
        <v>https://www.google.com/search?newwindow=1&amp;ei=2MT0XrvGGM-vytMP1OyDgAY&amp;q=site%3Alinkedin.com+Kelsey+Saboori+Technical+University+Recruiter+-+Software+Engineering+Roles+Microsoft</v>
      </c>
      <c r="K3026" s="5" t="str">
        <f t="shared" si="1"/>
        <v>Kelsey Saboori</v>
      </c>
      <c r="L3026" s="5" t="str">
        <f t="shared" si="2"/>
        <v>Technical University Recruiter - Software Engineering Roles</v>
      </c>
      <c r="M3026" s="5" t="str">
        <f t="shared" si="3"/>
        <v> </v>
      </c>
      <c r="N3026" s="5" t="str">
        <f t="shared" si="4"/>
        <v>Microsoft</v>
      </c>
      <c r="O3026" s="5" t="str">
        <f t="shared" si="5"/>
        <v>4 years 2 months in role</v>
      </c>
      <c r="P3026" s="5" t="str">
        <f t="shared" si="6"/>
        <v>Seattle</v>
      </c>
      <c r="Q3026" s="5" t="str">
        <f t="shared" si="7"/>
        <v>Washington</v>
      </c>
      <c r="R3026" s="5" t="str">
        <f t="shared" si="8"/>
        <v>United States</v>
      </c>
    </row>
    <row r="3027">
      <c r="A3027" s="7" t="s">
        <v>2467</v>
      </c>
      <c r="B3027" s="5" t="s">
        <v>2466</v>
      </c>
      <c r="C3027" s="5" t="s">
        <v>110</v>
      </c>
      <c r="D3027" s="6" t="s">
        <v>13</v>
      </c>
      <c r="E3027" s="5" t="s">
        <v>2458</v>
      </c>
      <c r="F3027" s="5" t="s">
        <v>144</v>
      </c>
      <c r="G3027" s="6" t="s">
        <v>64</v>
      </c>
      <c r="H3027" s="6" t="s">
        <v>65</v>
      </c>
      <c r="I3027" s="5" t="s">
        <v>18</v>
      </c>
      <c r="J3027" s="9" t="str">
        <f>IFERROR(__xludf.DUMMYFUNCTION("""COMPUTED_VALUE"""),"https://www.google.com/search?newwindow=1&amp;ei=2MT0XrvGGM-vytMP1OyDgAY&amp;q=site%3Alinkedin.com+Sarah+Kaiser+University+Recruiter+Microsoft")</f>
        <v>https://www.google.com/search?newwindow=1&amp;ei=2MT0XrvGGM-vytMP1OyDgAY&amp;q=site%3Alinkedin.com+Sarah+Kaiser+University+Recruiter+Microsoft</v>
      </c>
      <c r="K3027" s="5" t="str">
        <f t="shared" si="1"/>
        <v>Sarah Kaiser</v>
      </c>
      <c r="L3027" s="5" t="str">
        <f t="shared" si="2"/>
        <v>University Recruiter</v>
      </c>
      <c r="M3027" s="5" t="str">
        <f t="shared" si="3"/>
        <v> </v>
      </c>
      <c r="N3027" s="5" t="str">
        <f t="shared" si="4"/>
        <v>Microsoft</v>
      </c>
      <c r="O3027" s="5" t="str">
        <f t="shared" si="5"/>
        <v>5 years 4 months in role and company</v>
      </c>
      <c r="P3027" s="5" t="str">
        <f t="shared" si="6"/>
        <v>Seattle</v>
      </c>
      <c r="Q3027" s="5" t="str">
        <f t="shared" si="7"/>
        <v>Washington</v>
      </c>
      <c r="R3027" s="5" t="str">
        <f t="shared" si="8"/>
        <v>United States</v>
      </c>
    </row>
    <row r="3028">
      <c r="A3028" s="7" t="s">
        <v>2469</v>
      </c>
      <c r="B3028" s="5" t="s">
        <v>2468</v>
      </c>
      <c r="C3028" s="5" t="s">
        <v>110</v>
      </c>
      <c r="D3028" s="6" t="s">
        <v>13</v>
      </c>
      <c r="E3028" s="5" t="s">
        <v>2458</v>
      </c>
      <c r="F3028" s="5" t="s">
        <v>686</v>
      </c>
      <c r="G3028" s="5" t="s">
        <v>1274</v>
      </c>
      <c r="H3028" s="5" t="s">
        <v>76</v>
      </c>
      <c r="I3028" s="5" t="s">
        <v>18</v>
      </c>
      <c r="J3028" s="9" t="str">
        <f>IFERROR(__xludf.DUMMYFUNCTION("""COMPUTED_VALUE"""),"https://www.google.com/search?newwindow=1&amp;ei=2MT0XrvGGM-vytMP1OyDgAY&amp;q=site%3Alinkedin.com+Brian+Cuadra+University+Recruiter+|+Bay+Area+Hub+Finder+Microsoft")</f>
        <v>https://www.google.com/search?newwindow=1&amp;ei=2MT0XrvGGM-vytMP1OyDgAY&amp;q=site%3Alinkedin.com+Brian+Cuadra+University+Recruiter+|+Bay+Area+Hub+Finder+Microsoft</v>
      </c>
      <c r="K3028" s="5" t="str">
        <f t="shared" si="1"/>
        <v>Brian Cuadra</v>
      </c>
      <c r="L3028" s="5" t="str">
        <f t="shared" si="2"/>
        <v>University Recruiter | Bay Area Hub Finder</v>
      </c>
      <c r="M3028" s="5" t="str">
        <f t="shared" si="3"/>
        <v> </v>
      </c>
      <c r="N3028" s="5" t="str">
        <f t="shared" si="4"/>
        <v>Microsoft</v>
      </c>
      <c r="O3028" s="5" t="str">
        <f t="shared" si="5"/>
        <v>1 year 3 months in role</v>
      </c>
      <c r="P3028" s="5" t="str">
        <f t="shared" si="6"/>
        <v>Seattle</v>
      </c>
      <c r="Q3028" s="5" t="str">
        <f t="shared" si="7"/>
        <v>Washington</v>
      </c>
      <c r="R3028" s="5" t="str">
        <f t="shared" si="8"/>
        <v>United States</v>
      </c>
    </row>
    <row r="3029">
      <c r="A3029" s="7" t="s">
        <v>2471</v>
      </c>
      <c r="B3029" s="5" t="s">
        <v>2470</v>
      </c>
      <c r="C3029" s="5" t="s">
        <v>110</v>
      </c>
      <c r="D3029" s="6" t="s">
        <v>13</v>
      </c>
      <c r="E3029" s="5" t="s">
        <v>2458</v>
      </c>
      <c r="F3029" s="5" t="s">
        <v>182</v>
      </c>
      <c r="G3029" s="5" t="s">
        <v>635</v>
      </c>
      <c r="H3029" s="5" t="s">
        <v>76</v>
      </c>
      <c r="I3029" s="5" t="s">
        <v>18</v>
      </c>
      <c r="J3029" s="9" t="str">
        <f>IFERROR(__xludf.DUMMYFUNCTION("""COMPUTED_VALUE"""),"https://www.google.com/search?newwindow=1&amp;ei=2MT0XrvGGM-vytMP1OyDgAY&amp;q=site%3Alinkedin.com+Brett+Chase+PhD+University+Recruiter+Microsoft")</f>
        <v>https://www.google.com/search?newwindow=1&amp;ei=2MT0XrvGGM-vytMP1OyDgAY&amp;q=site%3Alinkedin.com+Brett+Chase+PhD+University+Recruiter+Microsoft</v>
      </c>
      <c r="K3029" s="5" t="str">
        <f t="shared" si="1"/>
        <v>Brett Chase</v>
      </c>
      <c r="L3029" s="5" t="str">
        <f t="shared" si="2"/>
        <v>PhD University Recruiter</v>
      </c>
      <c r="M3029" s="5" t="str">
        <f t="shared" si="3"/>
        <v> </v>
      </c>
      <c r="N3029" s="5" t="str">
        <f t="shared" si="4"/>
        <v>Microsoft</v>
      </c>
      <c r="O3029" s="5" t="str">
        <f t="shared" si="5"/>
        <v>1 year 7 months in role and company</v>
      </c>
      <c r="P3029" s="5" t="str">
        <f t="shared" si="6"/>
        <v>Seattle</v>
      </c>
      <c r="Q3029" s="5" t="str">
        <f t="shared" si="7"/>
        <v>Washington</v>
      </c>
      <c r="R3029" s="5" t="str">
        <f t="shared" si="8"/>
        <v>United States</v>
      </c>
    </row>
    <row r="3030">
      <c r="A3030" s="8" t="s">
        <v>2474</v>
      </c>
      <c r="B3030" s="5" t="s">
        <v>2472</v>
      </c>
      <c r="C3030" s="5" t="s">
        <v>2473</v>
      </c>
      <c r="D3030" s="6" t="s">
        <v>13</v>
      </c>
      <c r="E3030" s="5" t="s">
        <v>2458</v>
      </c>
      <c r="F3030" s="5" t="s">
        <v>1025</v>
      </c>
      <c r="G3030" s="5" t="s">
        <v>80</v>
      </c>
      <c r="H3030" s="5" t="s">
        <v>38</v>
      </c>
      <c r="I3030" s="5" t="s">
        <v>18</v>
      </c>
      <c r="J3030" s="9" t="str">
        <f>IFERROR(__xludf.DUMMYFUNCTION("""COMPUTED_VALUE"""),"https://www.google.com/search?newwindow=1&amp;ei=2MT0XrvGGM-vytMP1OyDgAY&amp;q=site%3Alinkedin.com+Tristan+Boone+University+Recruiter+Microsoft")</f>
        <v>https://www.google.com/search?newwindow=1&amp;ei=2MT0XrvGGM-vytMP1OyDgAY&amp;q=site%3Alinkedin.com+Tristan+Boone+University+Recruiter+Microsoft</v>
      </c>
      <c r="K3030" s="5" t="str">
        <f t="shared" si="1"/>
        <v>Tristan Boone</v>
      </c>
      <c r="L3030" s="5" t="str">
        <f t="shared" si="2"/>
        <v>University Recruiter</v>
      </c>
      <c r="M3030" s="5" t="str">
        <f t="shared" si="3"/>
        <v> </v>
      </c>
      <c r="N3030" s="5" t="str">
        <f t="shared" si="4"/>
        <v>Microsoft</v>
      </c>
      <c r="O3030" s="5" t="str">
        <f t="shared" si="5"/>
        <v>1 year 3 months in role and company</v>
      </c>
      <c r="P3030" s="5" t="str">
        <f t="shared" si="6"/>
        <v>Seattle</v>
      </c>
      <c r="Q3030" s="5" t="str">
        <f t="shared" si="7"/>
        <v>Washington</v>
      </c>
      <c r="R3030" s="5" t="str">
        <f t="shared" si="8"/>
        <v>United States</v>
      </c>
    </row>
    <row r="3031">
      <c r="A3031" s="8" t="s">
        <v>2477</v>
      </c>
      <c r="B3031" s="5" t="s">
        <v>2475</v>
      </c>
      <c r="C3031" s="5" t="s">
        <v>2476</v>
      </c>
      <c r="D3031" s="6" t="s">
        <v>13</v>
      </c>
      <c r="E3031" s="5" t="s">
        <v>2458</v>
      </c>
      <c r="F3031" s="5" t="s">
        <v>188</v>
      </c>
      <c r="G3031" s="5" t="s">
        <v>80</v>
      </c>
      <c r="H3031" s="5" t="s">
        <v>38</v>
      </c>
      <c r="I3031" s="5" t="s">
        <v>18</v>
      </c>
      <c r="J3031" s="9" t="str">
        <f>IFERROR(__xludf.DUMMYFUNCTION("""COMPUTED_VALUE"""),"https://www.google.com/search?newwindow=1&amp;ei=2MT0XrvGGM-vytMP1OyDgAY&amp;q=site%3Alinkedin.com+Rachel+Wightman+Contract+University+Recruiter+Microsoft")</f>
        <v>https://www.google.com/search?newwindow=1&amp;ei=2MT0XrvGGM-vytMP1OyDgAY&amp;q=site%3Alinkedin.com+Rachel+Wightman+Contract+University+Recruiter+Microsoft</v>
      </c>
      <c r="K3031" s="5" t="str">
        <f t="shared" si="1"/>
        <v>Rachel Wightman</v>
      </c>
      <c r="L3031" s="5" t="str">
        <f t="shared" si="2"/>
        <v>Contract University Recruiter</v>
      </c>
      <c r="M3031" s="5" t="str">
        <f t="shared" si="3"/>
        <v> </v>
      </c>
      <c r="N3031" s="5" t="str">
        <f t="shared" si="4"/>
        <v>Microsoft</v>
      </c>
      <c r="O3031" s="5" t="str">
        <f t="shared" si="5"/>
        <v>2 years 7 months in role and company</v>
      </c>
      <c r="P3031" s="5" t="str">
        <f t="shared" si="6"/>
        <v>Seattle</v>
      </c>
      <c r="Q3031" s="5" t="str">
        <f t="shared" si="7"/>
        <v>Washington</v>
      </c>
      <c r="R3031" s="5" t="str">
        <f t="shared" si="8"/>
        <v>United States</v>
      </c>
    </row>
    <row r="3032">
      <c r="A3032" s="7" t="s">
        <v>2479</v>
      </c>
      <c r="B3032" s="5" t="s">
        <v>2478</v>
      </c>
      <c r="C3032" s="5" t="s">
        <v>766</v>
      </c>
      <c r="D3032" s="6" t="s">
        <v>13</v>
      </c>
      <c r="E3032" s="5" t="s">
        <v>2458</v>
      </c>
      <c r="F3032" s="5" t="s">
        <v>144</v>
      </c>
      <c r="G3032" s="5" t="s">
        <v>112</v>
      </c>
      <c r="H3032" s="5" t="s">
        <v>38</v>
      </c>
      <c r="I3032" s="5" t="s">
        <v>18</v>
      </c>
      <c r="J3032" s="9" t="str">
        <f>IFERROR(__xludf.DUMMYFUNCTION("""COMPUTED_VALUE"""),"https://www.google.com/search?newwindow=1&amp;ei=2MT0XrvGGM-vytMP1OyDgAY&amp;q=site%3Alinkedin.com+Bryan+Spence+Diversity+University+Recruiter+Microsoft")</f>
        <v>https://www.google.com/search?newwindow=1&amp;ei=2MT0XrvGGM-vytMP1OyDgAY&amp;q=site%3Alinkedin.com+Bryan+Spence+Diversity+University+Recruiter+Microsoft</v>
      </c>
      <c r="K3032" s="5" t="str">
        <f t="shared" si="1"/>
        <v>Bryan Spence</v>
      </c>
      <c r="L3032" s="5" t="str">
        <f t="shared" si="2"/>
        <v>Diversity University Recruiter</v>
      </c>
      <c r="M3032" s="5" t="str">
        <f t="shared" si="3"/>
        <v> </v>
      </c>
      <c r="N3032" s="5" t="str">
        <f t="shared" si="4"/>
        <v>Microsoft</v>
      </c>
      <c r="O3032" s="5" t="str">
        <f t="shared" si="5"/>
        <v>2 years 3 months in role</v>
      </c>
      <c r="P3032" s="5" t="str">
        <f t="shared" si="6"/>
        <v>Virginia Beach</v>
      </c>
      <c r="Q3032" s="5" t="str">
        <f t="shared" si="7"/>
        <v>Virginia</v>
      </c>
      <c r="R3032" s="5" t="str">
        <f t="shared" si="8"/>
        <v>United States</v>
      </c>
    </row>
    <row r="3033">
      <c r="A3033" s="8" t="s">
        <v>2481</v>
      </c>
      <c r="B3033" s="5" t="s">
        <v>2480</v>
      </c>
      <c r="C3033" s="5" t="s">
        <v>110</v>
      </c>
      <c r="D3033" s="6" t="s">
        <v>13</v>
      </c>
      <c r="E3033" s="5" t="s">
        <v>2458</v>
      </c>
      <c r="F3033" s="5" t="s">
        <v>651</v>
      </c>
      <c r="G3033" s="5" t="s">
        <v>166</v>
      </c>
      <c r="H3033" s="5" t="s">
        <v>44</v>
      </c>
      <c r="I3033" s="5" t="s">
        <v>18</v>
      </c>
      <c r="J3033" s="9" t="str">
        <f>IFERROR(__xludf.DUMMYFUNCTION("""COMPUTED_VALUE"""),"https://www.google.com/search?newwindow=1&amp;ei=2MT0XrvGGM-vytMP1OyDgAY&amp;q=site%3Alinkedin.com+Emily+Cardner+Manager,+Campus+Recruiting+MongoDB")</f>
        <v>https://www.google.com/search?newwindow=1&amp;ei=2MT0XrvGGM-vytMP1OyDgAY&amp;q=site%3Alinkedin.com+Emily+Cardner+Manager,+Campus+Recruiting+MongoDB</v>
      </c>
      <c r="K3033" s="5" t="str">
        <f t="shared" si="1"/>
        <v>Emily Cardner</v>
      </c>
      <c r="L3033" s="5" t="str">
        <f t="shared" si="2"/>
        <v>Manager, Campus Recruiting</v>
      </c>
      <c r="M3033" s="5" t="str">
        <f t="shared" si="3"/>
        <v> </v>
      </c>
      <c r="N3033" s="5" t="str">
        <f t="shared" si="4"/>
        <v>MongoDB</v>
      </c>
      <c r="O3033" s="5" t="str">
        <f t="shared" si="5"/>
        <v>1 year 3 months in role</v>
      </c>
      <c r="P3033" s="5" t="str">
        <f t="shared" si="6"/>
        <v>New York</v>
      </c>
      <c r="Q3033" s="5" t="str">
        <f t="shared" si="7"/>
        <v>New York</v>
      </c>
      <c r="R3033" s="5" t="str">
        <f t="shared" si="8"/>
        <v>United States</v>
      </c>
    </row>
    <row r="3034">
      <c r="A3034" s="7" t="s">
        <v>2483</v>
      </c>
      <c r="B3034" s="5" t="s">
        <v>2482</v>
      </c>
      <c r="C3034" s="5" t="s">
        <v>766</v>
      </c>
      <c r="D3034" s="6" t="s">
        <v>13</v>
      </c>
      <c r="E3034" s="5" t="s">
        <v>2458</v>
      </c>
      <c r="F3034" s="5" t="s">
        <v>192</v>
      </c>
      <c r="G3034" s="5" t="s">
        <v>1131</v>
      </c>
      <c r="H3034" s="5" t="s">
        <v>203</v>
      </c>
      <c r="I3034" s="5" t="s">
        <v>18</v>
      </c>
      <c r="J3034" s="9" t="str">
        <f>IFERROR(__xludf.DUMMYFUNCTION("""COMPUTED_VALUE"""),"https://www.google.com/search?newwindow=1&amp;ei=2MT0XrvGGM-vytMP1OyDgAY&amp;q=site%3Alinkedin.com+Ellie+Purdy+Campus+Recruiter+MongoDB")</f>
        <v>https://www.google.com/search?newwindow=1&amp;ei=2MT0XrvGGM-vytMP1OyDgAY&amp;q=site%3Alinkedin.com+Ellie+Purdy+Campus+Recruiter+MongoDB</v>
      </c>
      <c r="K3034" s="5" t="str">
        <f t="shared" si="1"/>
        <v>Ellie Purdy</v>
      </c>
      <c r="L3034" s="5" t="str">
        <f t="shared" si="2"/>
        <v>Campus Recruiter</v>
      </c>
      <c r="M3034" s="5" t="str">
        <f t="shared" si="3"/>
        <v> </v>
      </c>
      <c r="N3034" s="5" t="str">
        <f t="shared" si="4"/>
        <v>MongoDB</v>
      </c>
      <c r="O3034" s="5" t="str">
        <f t="shared" si="5"/>
        <v>1 year 6 months in role and company</v>
      </c>
      <c r="P3034" s="5" t="str">
        <f t="shared" si="6"/>
        <v>New York</v>
      </c>
      <c r="Q3034" s="5" t="str">
        <f t="shared" si="7"/>
        <v>New York</v>
      </c>
      <c r="R3034" s="5" t="str">
        <f t="shared" si="8"/>
        <v>United States</v>
      </c>
    </row>
    <row r="3035">
      <c r="A3035" s="7" t="s">
        <v>2485</v>
      </c>
      <c r="B3035" s="5" t="s">
        <v>2484</v>
      </c>
      <c r="C3035" s="5" t="s">
        <v>110</v>
      </c>
      <c r="D3035" s="6" t="s">
        <v>13</v>
      </c>
      <c r="E3035" s="5" t="s">
        <v>2458</v>
      </c>
      <c r="F3035" s="5" t="s">
        <v>421</v>
      </c>
      <c r="G3035" s="5" t="s">
        <v>102</v>
      </c>
      <c r="H3035" s="5" t="s">
        <v>172</v>
      </c>
      <c r="I3035" s="5" t="s">
        <v>18</v>
      </c>
      <c r="J3035" s="9" t="str">
        <f>IFERROR(__xludf.DUMMYFUNCTION("""COMPUTED_VALUE"""),"https://www.google.com/search?newwindow=1&amp;ei=2MT0XrvGGM-vytMP1OyDgAY&amp;q=site%3Alinkedin.com+Kate+Wright+Senior+Campus+Recruiter+MongoDB")</f>
        <v>https://www.google.com/search?newwindow=1&amp;ei=2MT0XrvGGM-vytMP1OyDgAY&amp;q=site%3Alinkedin.com+Kate+Wright+Senior+Campus+Recruiter+MongoDB</v>
      </c>
      <c r="K3035" s="5" t="str">
        <f t="shared" si="1"/>
        <v>Kate Wright</v>
      </c>
      <c r="L3035" s="5" t="str">
        <f t="shared" si="2"/>
        <v>Senior Campus Recruiter</v>
      </c>
      <c r="M3035" s="5" t="str">
        <f t="shared" si="3"/>
        <v> </v>
      </c>
      <c r="N3035" s="5" t="str">
        <f t="shared" si="4"/>
        <v>MongoDB</v>
      </c>
      <c r="O3035" s="5" t="str">
        <f t="shared" si="5"/>
        <v>1 year 3 months in role</v>
      </c>
      <c r="P3035" s="5" t="str">
        <f t="shared" si="6"/>
        <v>New York</v>
      </c>
      <c r="Q3035" s="5" t="str">
        <f t="shared" si="7"/>
        <v>New York</v>
      </c>
      <c r="R3035" s="5" t="str">
        <f t="shared" si="8"/>
        <v>United States</v>
      </c>
    </row>
    <row r="3036">
      <c r="A3036" s="7" t="s">
        <v>2489</v>
      </c>
      <c r="B3036" s="5" t="s">
        <v>2486</v>
      </c>
      <c r="C3036" s="5" t="s">
        <v>2487</v>
      </c>
      <c r="D3036" s="6" t="s">
        <v>13</v>
      </c>
      <c r="E3036" s="5" t="s">
        <v>2488</v>
      </c>
      <c r="F3036" s="5" t="s">
        <v>421</v>
      </c>
      <c r="G3036" s="5" t="s">
        <v>1274</v>
      </c>
      <c r="H3036" s="5" t="s">
        <v>76</v>
      </c>
      <c r="I3036" s="5" t="s">
        <v>18</v>
      </c>
      <c r="J3036" s="9" t="str">
        <f>IFERROR(__xludf.DUMMYFUNCTION("""COMPUTED_VALUE"""),"https://www.google.com/search?newwindow=1&amp;ei=2MT0XrvGGM-vytMP1OyDgAY&amp;q=site%3Alinkedin.com+Natalie+Chwalk+Campus+Recruiter+MongoDB")</f>
        <v>https://www.google.com/search?newwindow=1&amp;ei=2MT0XrvGGM-vytMP1OyDgAY&amp;q=site%3Alinkedin.com+Natalie+Chwalk+Campus+Recruiter+MongoDB</v>
      </c>
      <c r="K3036" s="5" t="str">
        <f t="shared" si="1"/>
        <v>Natalie Chwalk</v>
      </c>
      <c r="L3036" s="5" t="str">
        <f t="shared" si="2"/>
        <v>Campus Recruiter</v>
      </c>
      <c r="M3036" s="5" t="str">
        <f t="shared" si="3"/>
        <v> </v>
      </c>
      <c r="N3036" s="5" t="str">
        <f t="shared" si="4"/>
        <v>MongoDB</v>
      </c>
      <c r="O3036" s="5" t="str">
        <f t="shared" si="5"/>
        <v>3 months in role</v>
      </c>
      <c r="P3036" s="5" t="str">
        <f t="shared" si="6"/>
        <v>New York</v>
      </c>
      <c r="Q3036" s="5" t="str">
        <f t="shared" si="7"/>
        <v>New York</v>
      </c>
      <c r="R3036" s="5" t="str">
        <f t="shared" si="8"/>
        <v>United States</v>
      </c>
    </row>
    <row r="3037">
      <c r="A3037" s="7" t="s">
        <v>2492</v>
      </c>
      <c r="B3037" s="5" t="s">
        <v>2490</v>
      </c>
      <c r="C3037" s="5" t="s">
        <v>110</v>
      </c>
      <c r="D3037" s="6" t="s">
        <v>13</v>
      </c>
      <c r="E3037" s="5" t="s">
        <v>2488</v>
      </c>
      <c r="F3037" s="5" t="s">
        <v>237</v>
      </c>
      <c r="G3037" s="5" t="s">
        <v>2491</v>
      </c>
      <c r="H3037" s="5" t="s">
        <v>44</v>
      </c>
      <c r="I3037" s="5" t="s">
        <v>18</v>
      </c>
      <c r="J3037" s="9" t="str">
        <f>IFERROR(__xludf.DUMMYFUNCTION("""COMPUTED_VALUE"""),"https://www.google.com/search?newwindow=1&amp;ei=2MT0XrvGGM-vytMP1OyDgAY&amp;q=site%3Alinkedin.com+Joshua+Avila+Campus+Recruiter+MongoDB")</f>
        <v>https://www.google.com/search?newwindow=1&amp;ei=2MT0XrvGGM-vytMP1OyDgAY&amp;q=site%3Alinkedin.com+Joshua+Avila+Campus+Recruiter+MongoDB</v>
      </c>
      <c r="K3037" s="5" t="str">
        <f t="shared" si="1"/>
        <v>Joshua Avila</v>
      </c>
      <c r="L3037" s="5" t="str">
        <f t="shared" si="2"/>
        <v>Campus Recruiter</v>
      </c>
      <c r="M3037" s="5" t="str">
        <f t="shared" si="3"/>
        <v> </v>
      </c>
      <c r="N3037" s="5" t="str">
        <f t="shared" si="4"/>
        <v>MongoDB</v>
      </c>
      <c r="O3037" s="5" t="str">
        <f t="shared" si="5"/>
        <v>1 year 2 months in role and company</v>
      </c>
      <c r="P3037" s="5" t="str">
        <f t="shared" si="6"/>
        <v>Union City</v>
      </c>
      <c r="Q3037" s="5" t="str">
        <f t="shared" si="7"/>
        <v>New Jersey</v>
      </c>
      <c r="R3037" s="5" t="str">
        <f t="shared" si="8"/>
        <v>United States</v>
      </c>
    </row>
    <row r="3038">
      <c r="A3038" s="7" t="s">
        <v>2496</v>
      </c>
      <c r="B3038" s="5" t="s">
        <v>2493</v>
      </c>
      <c r="C3038" s="5" t="s">
        <v>2494</v>
      </c>
      <c r="D3038" s="6" t="s">
        <v>13</v>
      </c>
      <c r="E3038" s="5" t="s">
        <v>2488</v>
      </c>
      <c r="F3038" s="5" t="s">
        <v>2495</v>
      </c>
      <c r="G3038" s="5" t="s">
        <v>223</v>
      </c>
      <c r="H3038" s="5" t="s">
        <v>224</v>
      </c>
      <c r="I3038" s="5" t="s">
        <v>18</v>
      </c>
      <c r="J3038" s="9" t="str">
        <f>IFERROR(__xludf.DUMMYFUNCTION("""COMPUTED_VALUE"""),"https://www.google.com/search?newwindow=1&amp;ei=2MT0XrvGGM-vytMP1OyDgAY&amp;q=site%3Alinkedin.com+Kaitlyn+Hays+Campus+Recruiter+Morgan+Stanley")</f>
        <v>https://www.google.com/search?newwindow=1&amp;ei=2MT0XrvGGM-vytMP1OyDgAY&amp;q=site%3Alinkedin.com+Kaitlyn+Hays+Campus+Recruiter+Morgan+Stanley</v>
      </c>
      <c r="K3038" s="5" t="str">
        <f t="shared" si="1"/>
        <v>Kaitlyn Hays</v>
      </c>
      <c r="L3038" s="5" t="str">
        <f t="shared" si="2"/>
        <v>Campus Recruiter</v>
      </c>
      <c r="M3038" s="5" t="str">
        <f t="shared" si="3"/>
        <v> </v>
      </c>
      <c r="N3038" s="5" t="str">
        <f t="shared" si="4"/>
        <v>Morgan Stanley</v>
      </c>
      <c r="O3038" s="5" t="str">
        <f t="shared" si="5"/>
        <v>3 years 5 months in role</v>
      </c>
      <c r="P3038" s="5" t="str">
        <f t="shared" si="6"/>
        <v>Baltimore</v>
      </c>
      <c r="Q3038" s="5" t="str">
        <f t="shared" si="7"/>
        <v>Maryland</v>
      </c>
      <c r="R3038" s="5" t="str">
        <f t="shared" si="8"/>
        <v>United States</v>
      </c>
    </row>
    <row r="3039">
      <c r="A3039" s="7" t="s">
        <v>2498</v>
      </c>
      <c r="B3039" s="5" t="s">
        <v>2497</v>
      </c>
      <c r="C3039" s="5" t="s">
        <v>404</v>
      </c>
      <c r="D3039" s="6" t="s">
        <v>13</v>
      </c>
      <c r="E3039" s="5" t="s">
        <v>2488</v>
      </c>
      <c r="F3039" s="5" t="s">
        <v>268</v>
      </c>
      <c r="G3039" s="5" t="s">
        <v>801</v>
      </c>
      <c r="H3039" s="5" t="s">
        <v>50</v>
      </c>
      <c r="I3039" s="5" t="s">
        <v>18</v>
      </c>
      <c r="J3039" s="9" t="str">
        <f>IFERROR(__xludf.DUMMYFUNCTION("""COMPUTED_VALUE"""),"https://www.google.com/search?newwindow=1&amp;ei=2MT0XrvGGM-vytMP1OyDgAY&amp;q=site%3Alinkedin.com+Michelle+Kinnally+Campus+Recruiter+Morgan+Stanley")</f>
        <v>https://www.google.com/search?newwindow=1&amp;ei=2MT0XrvGGM-vytMP1OyDgAY&amp;q=site%3Alinkedin.com+Michelle+Kinnally+Campus+Recruiter+Morgan+Stanley</v>
      </c>
      <c r="K3039" s="5" t="str">
        <f t="shared" si="1"/>
        <v>Michelle Kinnally</v>
      </c>
      <c r="L3039" s="5" t="str">
        <f t="shared" si="2"/>
        <v>Campus Recruiter</v>
      </c>
      <c r="M3039" s="5" t="str">
        <f t="shared" si="3"/>
        <v> </v>
      </c>
      <c r="N3039" s="5" t="str">
        <f t="shared" si="4"/>
        <v>Morgan Stanley</v>
      </c>
      <c r="O3039" s="5" t="str">
        <f t="shared" si="5"/>
        <v>2 years 1 month in role and company</v>
      </c>
      <c r="P3039" s="5" t="str">
        <f t="shared" si="6"/>
        <v>Baltimore</v>
      </c>
      <c r="Q3039" s="5" t="str">
        <f t="shared" si="7"/>
        <v>Maryland</v>
      </c>
      <c r="R3039" s="5" t="str">
        <f t="shared" si="8"/>
        <v>United States</v>
      </c>
    </row>
    <row r="3040">
      <c r="A3040" s="7" t="s">
        <v>2501</v>
      </c>
      <c r="B3040" s="5" t="s">
        <v>2499</v>
      </c>
      <c r="C3040" s="5" t="s">
        <v>625</v>
      </c>
      <c r="D3040" s="6" t="s">
        <v>13</v>
      </c>
      <c r="E3040" s="5" t="s">
        <v>2500</v>
      </c>
      <c r="F3040" s="5" t="s">
        <v>727</v>
      </c>
      <c r="G3040" s="5" t="s">
        <v>377</v>
      </c>
      <c r="H3040" s="5" t="s">
        <v>378</v>
      </c>
      <c r="I3040" s="5" t="s">
        <v>18</v>
      </c>
      <c r="J3040" s="9" t="str">
        <f>IFERROR(__xludf.DUMMYFUNCTION("""COMPUTED_VALUE"""),"https://www.google.com/search?newwindow=1&amp;ei=2MT0XrvGGM-vytMP1OyDgAY&amp;q=site%3Alinkedin.com+Jenny+Rosen+Human+Resources+Campus+Recruiter+Morgan+Stanley")</f>
        <v>https://www.google.com/search?newwindow=1&amp;ei=2MT0XrvGGM-vytMP1OyDgAY&amp;q=site%3Alinkedin.com+Jenny+Rosen+Human+Resources+Campus+Recruiter+Morgan+Stanley</v>
      </c>
      <c r="K3040" s="5" t="str">
        <f t="shared" si="1"/>
        <v>Jenny Rosen</v>
      </c>
      <c r="L3040" s="5" t="str">
        <f t="shared" si="2"/>
        <v>Human Resources Campus Recruiter</v>
      </c>
      <c r="M3040" s="5" t="str">
        <f t="shared" si="3"/>
        <v> </v>
      </c>
      <c r="N3040" s="5" t="str">
        <f t="shared" si="4"/>
        <v>Morgan Stanley</v>
      </c>
      <c r="O3040" s="5" t="str">
        <f t="shared" si="5"/>
        <v>1 year 9 months in role</v>
      </c>
      <c r="P3040" s="5" t="str">
        <f t="shared" si="6"/>
        <v>Centerport</v>
      </c>
      <c r="Q3040" s="5" t="str">
        <f t="shared" si="7"/>
        <v>New York</v>
      </c>
      <c r="R3040" s="5" t="str">
        <f t="shared" si="8"/>
        <v>United States</v>
      </c>
    </row>
    <row r="3041">
      <c r="A3041" s="7" t="s">
        <v>2504</v>
      </c>
      <c r="B3041" s="5" t="s">
        <v>2502</v>
      </c>
      <c r="C3041" s="5" t="s">
        <v>2503</v>
      </c>
      <c r="D3041" s="6" t="s">
        <v>13</v>
      </c>
      <c r="E3041" s="5" t="s">
        <v>2500</v>
      </c>
      <c r="F3041" s="5" t="s">
        <v>48</v>
      </c>
      <c r="G3041" s="5" t="s">
        <v>377</v>
      </c>
      <c r="H3041" s="5" t="s">
        <v>378</v>
      </c>
      <c r="I3041" s="5" t="s">
        <v>18</v>
      </c>
      <c r="J3041" s="9" t="str">
        <f>IFERROR(__xludf.DUMMYFUNCTION("""COMPUTED_VALUE"""),"https://www.google.com/search?newwindow=1&amp;ei=2MT0XrvGGM-vytMP1OyDgAY&amp;q=site%3Alinkedin.com+Christie+Mongiardo+Manager,+Institutional+Equity+Campus+Recruiting+Morgan+Stanley")</f>
        <v>https://www.google.com/search?newwindow=1&amp;ei=2MT0XrvGGM-vytMP1OyDgAY&amp;q=site%3Alinkedin.com+Christie+Mongiardo+Manager,+Institutional+Equity+Campus+Recruiting+Morgan+Stanley</v>
      </c>
      <c r="K3041" s="5" t="str">
        <f t="shared" si="1"/>
        <v>Christie Mongiardo</v>
      </c>
      <c r="L3041" s="5" t="str">
        <f t="shared" si="2"/>
        <v>Manager, Institutional Equity Campus Recruiting</v>
      </c>
      <c r="M3041" s="5" t="str">
        <f t="shared" si="3"/>
        <v> </v>
      </c>
      <c r="N3041" s="5" t="str">
        <f t="shared" si="4"/>
        <v>Morgan Stanley</v>
      </c>
      <c r="O3041" s="5" t="str">
        <f t="shared" si="5"/>
        <v>2 years 2 months in role and company</v>
      </c>
      <c r="P3041" s="5" t="str">
        <f t="shared" si="6"/>
        <v>New York</v>
      </c>
      <c r="Q3041" s="5" t="str">
        <f t="shared" si="7"/>
        <v>New York</v>
      </c>
      <c r="R3041" s="5" t="str">
        <f t="shared" si="8"/>
        <v>United States</v>
      </c>
    </row>
    <row r="3042">
      <c r="A3042" s="8" t="s">
        <v>2507</v>
      </c>
      <c r="B3042" s="5" t="s">
        <v>2505</v>
      </c>
      <c r="C3042" s="5" t="s">
        <v>2506</v>
      </c>
      <c r="D3042" s="6" t="s">
        <v>13</v>
      </c>
      <c r="E3042" s="5" t="s">
        <v>2500</v>
      </c>
      <c r="F3042" s="5" t="s">
        <v>980</v>
      </c>
      <c r="G3042" s="6" t="s">
        <v>377</v>
      </c>
      <c r="H3042" s="6" t="s">
        <v>378</v>
      </c>
      <c r="I3042" s="5" t="s">
        <v>18</v>
      </c>
      <c r="J3042" s="9" t="str">
        <f>IFERROR(__xludf.DUMMYFUNCTION("""COMPUTED_VALUE"""),"https://www.google.com/search?newwindow=1&amp;ei=2MT0XrvGGM-vytMP1OyDgAY&amp;q=site%3Alinkedin.com+Charlotte+Fadden+Director,+Campus+Recruiting+Manager+Morgan+Stanley")</f>
        <v>https://www.google.com/search?newwindow=1&amp;ei=2MT0XrvGGM-vytMP1OyDgAY&amp;q=site%3Alinkedin.com+Charlotte+Fadden+Director,+Campus+Recruiting+Manager+Morgan+Stanley</v>
      </c>
      <c r="K3042" s="5" t="str">
        <f t="shared" si="1"/>
        <v>Charlotte Fadden</v>
      </c>
      <c r="L3042" s="5" t="str">
        <f t="shared" si="2"/>
        <v>Director, Campus Recruiting Manager</v>
      </c>
      <c r="M3042" s="5" t="str">
        <f t="shared" si="3"/>
        <v> </v>
      </c>
      <c r="N3042" s="5" t="str">
        <f t="shared" si="4"/>
        <v>Morgan Stanley</v>
      </c>
      <c r="O3042" s="5" t="str">
        <f t="shared" si="5"/>
        <v>11 months in role and company</v>
      </c>
      <c r="P3042" s="5" t="str">
        <f t="shared" si="6"/>
        <v>New York</v>
      </c>
      <c r="Q3042" s="5" t="str">
        <f t="shared" si="7"/>
        <v>New York</v>
      </c>
      <c r="R3042" s="5" t="str">
        <f t="shared" si="8"/>
        <v>United States</v>
      </c>
    </row>
    <row r="3043">
      <c r="A3043" s="7" t="s">
        <v>2509</v>
      </c>
      <c r="B3043" s="5" t="s">
        <v>2508</v>
      </c>
      <c r="C3043" s="5" t="s">
        <v>25</v>
      </c>
      <c r="D3043" s="6" t="s">
        <v>13</v>
      </c>
      <c r="E3043" s="5" t="s">
        <v>2500</v>
      </c>
      <c r="F3043" s="5" t="s">
        <v>26</v>
      </c>
      <c r="G3043" s="6" t="s">
        <v>377</v>
      </c>
      <c r="H3043" s="6" t="s">
        <v>378</v>
      </c>
      <c r="I3043" s="5" t="s">
        <v>18</v>
      </c>
      <c r="J3043" s="9" t="str">
        <f>IFERROR(__xludf.DUMMYFUNCTION("""COMPUTED_VALUE"""),"https://www.google.com/search?newwindow=1&amp;ei=2MT0XrvGGM-vytMP1OyDgAY&amp;q=site%3Alinkedin.com+Erin+Leonard+Manager,+Investment+Banking+MBA+Campus+Recruiting+Morgan+Stanley")</f>
        <v>https://www.google.com/search?newwindow=1&amp;ei=2MT0XrvGGM-vytMP1OyDgAY&amp;q=site%3Alinkedin.com+Erin+Leonard+Manager,+Investment+Banking+MBA+Campus+Recruiting+Morgan+Stanley</v>
      </c>
      <c r="K3043" s="5" t="str">
        <f t="shared" si="1"/>
        <v>Erin Leonard</v>
      </c>
      <c r="L3043" s="5" t="str">
        <f t="shared" si="2"/>
        <v>Manager, Investment Banking MBA Campus Recruiting</v>
      </c>
      <c r="M3043" s="5" t="str">
        <f t="shared" si="3"/>
        <v>MBA</v>
      </c>
      <c r="N3043" s="5" t="str">
        <f t="shared" si="4"/>
        <v>Morgan Stanley</v>
      </c>
      <c r="O3043" s="5" t="str">
        <f t="shared" si="5"/>
        <v>2 years 3 months in role and company</v>
      </c>
      <c r="P3043" s="5" t="str">
        <f t="shared" si="6"/>
        <v>New York</v>
      </c>
      <c r="Q3043" s="5" t="str">
        <f t="shared" si="7"/>
        <v>New York</v>
      </c>
      <c r="R3043" s="5" t="str">
        <f t="shared" si="8"/>
        <v>United States</v>
      </c>
    </row>
    <row r="3044">
      <c r="A3044" s="7" t="s">
        <v>2512</v>
      </c>
      <c r="B3044" s="5" t="s">
        <v>2510</v>
      </c>
      <c r="C3044" s="5" t="s">
        <v>2511</v>
      </c>
      <c r="D3044" s="6" t="s">
        <v>13</v>
      </c>
      <c r="E3044" s="5" t="s">
        <v>2500</v>
      </c>
      <c r="F3044" s="5" t="s">
        <v>192</v>
      </c>
      <c r="G3044" s="6" t="s">
        <v>377</v>
      </c>
      <c r="H3044" s="6" t="s">
        <v>378</v>
      </c>
      <c r="I3044" s="5" t="s">
        <v>18</v>
      </c>
      <c r="J3044" s="9" t="str">
        <f>IFERROR(__xludf.DUMMYFUNCTION("""COMPUTED_VALUE"""),"https://www.google.com/search?newwindow=1&amp;ei=2MT0XrvGGM-vytMP1OyDgAY&amp;q=site%3Alinkedin.com+Marissa+Mellan+Manager,+Quantitative+Finance+Campus+Recruiting+at+Morgan+Stanley+Morgan+Stanley")</f>
        <v>https://www.google.com/search?newwindow=1&amp;ei=2MT0XrvGGM-vytMP1OyDgAY&amp;q=site%3Alinkedin.com+Marissa+Mellan+Manager,+Quantitative+Finance+Campus+Recruiting+at+Morgan+Stanley+Morgan+Stanley</v>
      </c>
      <c r="K3044" s="5" t="str">
        <f t="shared" si="1"/>
        <v>Marissa Mellan</v>
      </c>
      <c r="L3044" s="5" t="str">
        <f t="shared" si="2"/>
        <v>Manager, Quantitative Finance Campus Recruiting at Morgan Stanley</v>
      </c>
      <c r="M3044" s="5" t="str">
        <f t="shared" si="3"/>
        <v> </v>
      </c>
      <c r="N3044" s="5" t="str">
        <f t="shared" si="4"/>
        <v>Morgan Stanley</v>
      </c>
      <c r="O3044" s="5" t="str">
        <f t="shared" si="5"/>
        <v>3 years 2 months in role</v>
      </c>
      <c r="P3044" s="5" t="str">
        <f t="shared" si="6"/>
        <v>New York</v>
      </c>
      <c r="Q3044" s="5" t="str">
        <f t="shared" si="7"/>
        <v>New York</v>
      </c>
      <c r="R3044" s="5" t="str">
        <f t="shared" si="8"/>
        <v>United States</v>
      </c>
    </row>
    <row r="3045">
      <c r="A3045" s="7" t="s">
        <v>2515</v>
      </c>
      <c r="B3045" s="5" t="s">
        <v>2513</v>
      </c>
      <c r="C3045" s="5" t="s">
        <v>110</v>
      </c>
      <c r="D3045" s="6" t="s">
        <v>13</v>
      </c>
      <c r="E3045" s="5" t="s">
        <v>2514</v>
      </c>
      <c r="F3045" s="5" t="s">
        <v>237</v>
      </c>
      <c r="G3045" s="5" t="s">
        <v>122</v>
      </c>
      <c r="H3045" s="5" t="s">
        <v>44</v>
      </c>
      <c r="I3045" s="5" t="s">
        <v>18</v>
      </c>
      <c r="J3045" s="9" t="str">
        <f>IFERROR(__xludf.DUMMYFUNCTION("""COMPUTED_VALUE"""),"https://www.google.com/search?newwindow=1&amp;ei=2MT0XrvGGM-vytMP1OyDgAY&amp;q=site%3Alinkedin.com+Kathryn+R.+Manager,+Campus+Recruiting+Morgan+Stanley")</f>
        <v>https://www.google.com/search?newwindow=1&amp;ei=2MT0XrvGGM-vytMP1OyDgAY&amp;q=site%3Alinkedin.com+Kathryn+R.+Manager,+Campus+Recruiting+Morgan+Stanley</v>
      </c>
      <c r="K3045" s="5" t="str">
        <f t="shared" si="1"/>
        <v>Kathryn R.</v>
      </c>
      <c r="L3045" s="5" t="str">
        <f t="shared" si="2"/>
        <v>Manager, Campus Recruiting</v>
      </c>
      <c r="M3045" s="5" t="str">
        <f t="shared" si="3"/>
        <v> </v>
      </c>
      <c r="N3045" s="5" t="str">
        <f t="shared" si="4"/>
        <v>Morgan Stanley</v>
      </c>
      <c r="O3045" s="5" t="str">
        <f t="shared" si="5"/>
        <v>10 months in role</v>
      </c>
      <c r="P3045" s="5" t="str">
        <f t="shared" si="6"/>
        <v>New York</v>
      </c>
      <c r="Q3045" s="5" t="str">
        <f t="shared" si="7"/>
        <v>New York</v>
      </c>
      <c r="R3045" s="5" t="str">
        <f t="shared" si="8"/>
        <v>United States</v>
      </c>
    </row>
    <row r="3046">
      <c r="A3046" s="7" t="s">
        <v>2517</v>
      </c>
      <c r="B3046" s="5" t="s">
        <v>2516</v>
      </c>
      <c r="C3046" s="5" t="s">
        <v>110</v>
      </c>
      <c r="D3046" s="6" t="s">
        <v>13</v>
      </c>
      <c r="E3046" s="5" t="s">
        <v>2514</v>
      </c>
      <c r="F3046" s="5" t="s">
        <v>237</v>
      </c>
      <c r="G3046" s="5" t="s">
        <v>122</v>
      </c>
      <c r="H3046" s="5" t="s">
        <v>44</v>
      </c>
      <c r="I3046" s="5" t="s">
        <v>18</v>
      </c>
      <c r="J3046" s="9" t="str">
        <f>IFERROR(__xludf.DUMMYFUNCTION("""COMPUTED_VALUE"""),"https://www.google.com/search?newwindow=1&amp;ei=2MT0XrvGGM-vytMP1OyDgAY&amp;q=site%3Alinkedin.com+Alison+Speedling+Manager,+Campus+Recruiting+Morgan+Stanley")</f>
        <v>https://www.google.com/search?newwindow=1&amp;ei=2MT0XrvGGM-vytMP1OyDgAY&amp;q=site%3Alinkedin.com+Alison+Speedling+Manager,+Campus+Recruiting+Morgan+Stanley</v>
      </c>
      <c r="K3046" s="5" t="str">
        <f t="shared" si="1"/>
        <v>Alison Speedling</v>
      </c>
      <c r="L3046" s="5" t="str">
        <f t="shared" si="2"/>
        <v>Manager, Campus Recruiting</v>
      </c>
      <c r="M3046" s="5" t="str">
        <f t="shared" si="3"/>
        <v> </v>
      </c>
      <c r="N3046" s="5" t="str">
        <f t="shared" si="4"/>
        <v>Morgan Stanley</v>
      </c>
      <c r="O3046" s="5" t="str">
        <f t="shared" si="5"/>
        <v>1 year 11 months in role and company</v>
      </c>
      <c r="P3046" s="5" t="str">
        <f t="shared" si="6"/>
        <v>New York</v>
      </c>
      <c r="Q3046" s="5" t="str">
        <f t="shared" si="7"/>
        <v>New York</v>
      </c>
      <c r="R3046" s="5" t="str">
        <f t="shared" si="8"/>
        <v>United States</v>
      </c>
    </row>
    <row r="3047">
      <c r="A3047" s="7" t="s">
        <v>2522</v>
      </c>
      <c r="B3047" s="5" t="s">
        <v>2518</v>
      </c>
      <c r="C3047" s="5" t="s">
        <v>2519</v>
      </c>
      <c r="D3047" s="6" t="s">
        <v>13</v>
      </c>
      <c r="E3047" s="5" t="s">
        <v>2520</v>
      </c>
      <c r="F3047" s="5" t="s">
        <v>100</v>
      </c>
      <c r="G3047" s="5" t="s">
        <v>2521</v>
      </c>
      <c r="H3047" s="5" t="s">
        <v>137</v>
      </c>
      <c r="I3047" s="5" t="s">
        <v>18</v>
      </c>
      <c r="J3047" s="9" t="str">
        <f>IFERROR(__xludf.DUMMYFUNCTION("""COMPUTED_VALUE"""),"https://www.google.com/search?newwindow=1&amp;ei=2MT0XrvGGM-vytMP1OyDgAY&amp;q=site%3Alinkedin.com+Christina+Belmonte+Manager,+Fixed+Income+Analyst+Campus+Recruiting+Morgan+Stanley")</f>
        <v>https://www.google.com/search?newwindow=1&amp;ei=2MT0XrvGGM-vytMP1OyDgAY&amp;q=site%3Alinkedin.com+Christina+Belmonte+Manager,+Fixed+Income+Analyst+Campus+Recruiting+Morgan+Stanley</v>
      </c>
      <c r="K3047" s="5" t="str">
        <f t="shared" si="1"/>
        <v>Christina Belmonte</v>
      </c>
      <c r="L3047" s="5" t="str">
        <f t="shared" si="2"/>
        <v>Manager, Fixed Income Analyst Campus Recruiting</v>
      </c>
      <c r="M3047" s="5" t="str">
        <f t="shared" si="3"/>
        <v> </v>
      </c>
      <c r="N3047" s="5" t="str">
        <f t="shared" si="4"/>
        <v>Morgan Stanley</v>
      </c>
      <c r="O3047" s="5" t="str">
        <f t="shared" si="5"/>
        <v>1 year 5 months in role</v>
      </c>
      <c r="P3047" s="5" t="str">
        <f t="shared" si="6"/>
        <v>New York</v>
      </c>
      <c r="Q3047" s="5" t="str">
        <f t="shared" si="7"/>
        <v>New York</v>
      </c>
      <c r="R3047" s="5" t="str">
        <f t="shared" si="8"/>
        <v>United States</v>
      </c>
    </row>
    <row r="3048">
      <c r="A3048" s="7" t="s">
        <v>2527</v>
      </c>
      <c r="B3048" s="5" t="s">
        <v>2523</v>
      </c>
      <c r="C3048" s="5" t="s">
        <v>2524</v>
      </c>
      <c r="D3048" s="6" t="s">
        <v>4</v>
      </c>
      <c r="E3048" s="5" t="s">
        <v>2520</v>
      </c>
      <c r="F3048" s="5" t="s">
        <v>2525</v>
      </c>
      <c r="G3048" s="5" t="s">
        <v>2526</v>
      </c>
      <c r="H3048" s="5" t="s">
        <v>50</v>
      </c>
      <c r="I3048" s="5" t="s">
        <v>18</v>
      </c>
      <c r="J3048" s="9" t="str">
        <f>IFERROR(__xludf.DUMMYFUNCTION("""COMPUTED_VALUE"""),"https://www.google.com/search?newwindow=1&amp;ei=2MT0XrvGGM-vytMP1OyDgAY&amp;q=site%3Alinkedin.com+Katie+Robinson-Duff+Manager,+Campus+Recruiting+Morgan+Stanley")</f>
        <v>https://www.google.com/search?newwindow=1&amp;ei=2MT0XrvGGM-vytMP1OyDgAY&amp;q=site%3Alinkedin.com+Katie+Robinson-Duff+Manager,+Campus+Recruiting+Morgan+Stanley</v>
      </c>
      <c r="K3048" s="5" t="str">
        <f t="shared" si="1"/>
        <v>Katie Robinson-Duff</v>
      </c>
      <c r="L3048" s="5" t="str">
        <f t="shared" si="2"/>
        <v>Manager, Campus Recruiting</v>
      </c>
      <c r="M3048" s="5" t="str">
        <f t="shared" si="3"/>
        <v> </v>
      </c>
      <c r="N3048" s="5" t="str">
        <f t="shared" si="4"/>
        <v>Morgan Stanley</v>
      </c>
      <c r="O3048" s="5" t="str">
        <f t="shared" si="5"/>
        <v>1 year 2 months in role</v>
      </c>
      <c r="P3048" s="5" t="str">
        <f t="shared" si="6"/>
        <v>New York</v>
      </c>
      <c r="Q3048" s="5" t="str">
        <f t="shared" si="7"/>
        <v>New York</v>
      </c>
      <c r="R3048" s="5" t="str">
        <f t="shared" si="8"/>
        <v>United States</v>
      </c>
    </row>
    <row r="3049">
      <c r="A3049" s="7" t="s">
        <v>2531</v>
      </c>
      <c r="B3049" s="5" t="s">
        <v>2528</v>
      </c>
      <c r="C3049" s="5" t="s">
        <v>2529</v>
      </c>
      <c r="D3049" s="6" t="s">
        <v>13</v>
      </c>
      <c r="E3049" s="5" t="s">
        <v>2530</v>
      </c>
      <c r="F3049" s="5" t="s">
        <v>421</v>
      </c>
      <c r="G3049" s="5" t="s">
        <v>37</v>
      </c>
      <c r="H3049" s="5" t="s">
        <v>38</v>
      </c>
      <c r="I3049" s="5" t="s">
        <v>18</v>
      </c>
      <c r="J3049" s="9" t="str">
        <f>IFERROR(__xludf.DUMMYFUNCTION("""COMPUTED_VALUE"""),"https://www.google.com/search?newwindow=1&amp;ei=2MT0XrvGGM-vytMP1OyDgAY&amp;q=site%3Alinkedin.com+Ragland+Mackin+Director+of+Campus+Recruiting+Morgan+Stanley")</f>
        <v>https://www.google.com/search?newwindow=1&amp;ei=2MT0XrvGGM-vytMP1OyDgAY&amp;q=site%3Alinkedin.com+Ragland+Mackin+Director+of+Campus+Recruiting+Morgan+Stanley</v>
      </c>
      <c r="K3049" s="5" t="str">
        <f t="shared" si="1"/>
        <v>Ragland Mackin</v>
      </c>
      <c r="L3049" s="5" t="str">
        <f t="shared" si="2"/>
        <v>Director of Campus Recruiting</v>
      </c>
      <c r="M3049" s="5" t="str">
        <f t="shared" si="3"/>
        <v> </v>
      </c>
      <c r="N3049" s="5" t="str">
        <f t="shared" si="4"/>
        <v>Morgan Stanley</v>
      </c>
      <c r="O3049" s="5" t="str">
        <f t="shared" si="5"/>
        <v>1 year 10 months in role</v>
      </c>
      <c r="P3049" s="5" t="str">
        <f t="shared" si="6"/>
        <v>New York</v>
      </c>
      <c r="Q3049" s="5" t="str">
        <f t="shared" si="7"/>
        <v>New York</v>
      </c>
      <c r="R3049" s="5" t="str">
        <f t="shared" si="8"/>
        <v>United States</v>
      </c>
    </row>
    <row r="3050">
      <c r="A3050" s="7" t="s">
        <v>2534</v>
      </c>
      <c r="B3050" s="5" t="s">
        <v>2532</v>
      </c>
      <c r="C3050" s="5" t="s">
        <v>2533</v>
      </c>
      <c r="D3050" s="6" t="s">
        <v>13</v>
      </c>
      <c r="E3050" s="5" t="s">
        <v>2530</v>
      </c>
      <c r="F3050" s="5" t="s">
        <v>29</v>
      </c>
      <c r="G3050" s="6" t="s">
        <v>64</v>
      </c>
      <c r="H3050" s="6" t="s">
        <v>65</v>
      </c>
      <c r="I3050" s="5" t="s">
        <v>18</v>
      </c>
      <c r="J3050" s="9" t="str">
        <f>IFERROR(__xludf.DUMMYFUNCTION("""COMPUTED_VALUE"""),"https://www.google.com/search?newwindow=1&amp;ei=2MT0XrvGGM-vytMP1OyDgAY&amp;q=site%3Alinkedin.com+Catherine+Eicher+Campus+Recruiter+Morgan+Stanley")</f>
        <v>https://www.google.com/search?newwindow=1&amp;ei=2MT0XrvGGM-vytMP1OyDgAY&amp;q=site%3Alinkedin.com+Catherine+Eicher+Campus+Recruiter+Morgan+Stanley</v>
      </c>
      <c r="K3050" s="5" t="str">
        <f t="shared" si="1"/>
        <v>Catherine Eicher</v>
      </c>
      <c r="L3050" s="5" t="str">
        <f t="shared" si="2"/>
        <v>Campus Recruiter</v>
      </c>
      <c r="M3050" s="5" t="str">
        <f t="shared" si="3"/>
        <v> </v>
      </c>
      <c r="N3050" s="5" t="str">
        <f t="shared" si="4"/>
        <v>Morgan Stanley</v>
      </c>
      <c r="O3050" s="5" t="str">
        <f t="shared" si="5"/>
        <v>1 year 9 months in role</v>
      </c>
      <c r="P3050" s="5" t="str">
        <f t="shared" si="6"/>
        <v>New York</v>
      </c>
      <c r="Q3050" s="5" t="str">
        <f t="shared" si="7"/>
        <v>New York</v>
      </c>
      <c r="R3050" s="5" t="str">
        <f t="shared" si="8"/>
        <v>United States</v>
      </c>
    </row>
    <row r="3051">
      <c r="A3051" s="7" t="s">
        <v>2537</v>
      </c>
      <c r="B3051" s="5" t="s">
        <v>2535</v>
      </c>
      <c r="C3051" s="5" t="s">
        <v>110</v>
      </c>
      <c r="D3051" s="6" t="s">
        <v>13</v>
      </c>
      <c r="E3051" s="5" t="s">
        <v>2530</v>
      </c>
      <c r="F3051" s="5" t="s">
        <v>712</v>
      </c>
      <c r="G3051" s="5" t="s">
        <v>2536</v>
      </c>
      <c r="H3051" s="5" t="s">
        <v>86</v>
      </c>
      <c r="I3051" s="5" t="s">
        <v>18</v>
      </c>
      <c r="J3051" s="9" t="str">
        <f>IFERROR(__xludf.DUMMYFUNCTION("""COMPUTED_VALUE"""),"https://www.google.com/search?newwindow=1&amp;ei=2MT0XrvGGM-vytMP1OyDgAY&amp;q=site%3Alinkedin.com+Sarah+Roberts+Junior+Campus+Recruiter+Morgan+Stanley")</f>
        <v>https://www.google.com/search?newwindow=1&amp;ei=2MT0XrvGGM-vytMP1OyDgAY&amp;q=site%3Alinkedin.com+Sarah+Roberts+Junior+Campus+Recruiter+Morgan+Stanley</v>
      </c>
      <c r="K3051" s="5" t="str">
        <f t="shared" si="1"/>
        <v>Sarah Roberts</v>
      </c>
      <c r="L3051" s="5" t="str">
        <f t="shared" si="2"/>
        <v>Junior Campus Recruiter</v>
      </c>
      <c r="M3051" s="5" t="str">
        <f t="shared" si="3"/>
        <v> </v>
      </c>
      <c r="N3051" s="5" t="str">
        <f t="shared" si="4"/>
        <v>Morgan Stanley</v>
      </c>
      <c r="O3051" s="5" t="str">
        <f t="shared" si="5"/>
        <v>3 years 4 months in role and company</v>
      </c>
      <c r="P3051" s="5" t="str">
        <f t="shared" si="6"/>
        <v>New York</v>
      </c>
      <c r="Q3051" s="5" t="str">
        <f t="shared" si="7"/>
        <v>New York</v>
      </c>
      <c r="R3051" s="5" t="str">
        <f t="shared" si="8"/>
        <v>United States</v>
      </c>
    </row>
    <row r="3052">
      <c r="A3052" s="7" t="s">
        <v>2541</v>
      </c>
      <c r="B3052" s="5" t="s">
        <v>2538</v>
      </c>
      <c r="C3052" s="5" t="s">
        <v>2539</v>
      </c>
      <c r="D3052" s="6" t="s">
        <v>13</v>
      </c>
      <c r="E3052" s="5" t="s">
        <v>2530</v>
      </c>
      <c r="F3052" s="5" t="s">
        <v>890</v>
      </c>
      <c r="G3052" s="5" t="s">
        <v>2540</v>
      </c>
      <c r="H3052" s="5" t="s">
        <v>1305</v>
      </c>
      <c r="I3052" s="5" t="s">
        <v>18</v>
      </c>
      <c r="J3052" s="9" t="str">
        <f>IFERROR(__xludf.DUMMYFUNCTION("""COMPUTED_VALUE"""),"https://www.google.com/search?newwindow=1&amp;ei=2MT0XrvGGM-vytMP1OyDgAY&amp;q=site%3Alinkedin.com+Taylor+Swanson+Campus+Recruiter+Morgan+Stanley")</f>
        <v>https://www.google.com/search?newwindow=1&amp;ei=2MT0XrvGGM-vytMP1OyDgAY&amp;q=site%3Alinkedin.com+Taylor+Swanson+Campus+Recruiter+Morgan+Stanley</v>
      </c>
      <c r="K3052" s="5" t="str">
        <f t="shared" si="1"/>
        <v>Taylor Swanson</v>
      </c>
      <c r="L3052" s="5" t="str">
        <f t="shared" si="2"/>
        <v>Campus Recruiter</v>
      </c>
      <c r="M3052" s="5" t="str">
        <f t="shared" si="3"/>
        <v> </v>
      </c>
      <c r="N3052" s="5" t="str">
        <f t="shared" si="4"/>
        <v>Morgan Stanley</v>
      </c>
      <c r="O3052" s="5" t="str">
        <f t="shared" si="5"/>
        <v>8 months in role</v>
      </c>
      <c r="P3052" s="5" t="str">
        <f t="shared" si="6"/>
        <v>New York</v>
      </c>
      <c r="Q3052" s="5" t="str">
        <f t="shared" si="7"/>
        <v>New York</v>
      </c>
      <c r="R3052" s="5" t="str">
        <f t="shared" si="8"/>
        <v>United States</v>
      </c>
    </row>
    <row r="3053">
      <c r="A3053" s="8" t="s">
        <v>2546</v>
      </c>
      <c r="B3053" s="5" t="s">
        <v>2542</v>
      </c>
      <c r="C3053" s="5" t="s">
        <v>2543</v>
      </c>
      <c r="D3053" s="6" t="s">
        <v>13</v>
      </c>
      <c r="E3053" s="5" t="s">
        <v>2530</v>
      </c>
      <c r="F3053" s="5" t="s">
        <v>2544</v>
      </c>
      <c r="G3053" s="5" t="s">
        <v>2545</v>
      </c>
      <c r="H3053" s="5" t="s">
        <v>38</v>
      </c>
      <c r="I3053" s="5" t="s">
        <v>18</v>
      </c>
      <c r="J3053" s="9" t="str">
        <f>IFERROR(__xludf.DUMMYFUNCTION("""COMPUTED_VALUE"""),"https://www.google.com/search?newwindow=1&amp;ei=2MT0XrvGGM-vytMP1OyDgAY&amp;q=site%3Alinkedin.com+Jordan+Fuqua+Technology+Campus+Recruiter+Morgan+Stanley")</f>
        <v>https://www.google.com/search?newwindow=1&amp;ei=2MT0XrvGGM-vytMP1OyDgAY&amp;q=site%3Alinkedin.com+Jordan+Fuqua+Technology+Campus+Recruiter+Morgan+Stanley</v>
      </c>
      <c r="K3053" s="5" t="str">
        <f t="shared" si="1"/>
        <v>Jordan Fuqua</v>
      </c>
      <c r="L3053" s="5" t="str">
        <f t="shared" si="2"/>
        <v>Technology Campus Recruiter</v>
      </c>
      <c r="M3053" s="5" t="str">
        <f t="shared" si="3"/>
        <v> </v>
      </c>
      <c r="N3053" s="5" t="str">
        <f t="shared" si="4"/>
        <v>Morgan Stanley</v>
      </c>
      <c r="O3053" s="5" t="str">
        <f t="shared" si="5"/>
        <v>9 years 7 months in role</v>
      </c>
      <c r="P3053" s="5" t="str">
        <f t="shared" si="6"/>
        <v>New York</v>
      </c>
      <c r="Q3053" s="5" t="str">
        <f t="shared" si="7"/>
        <v>New York</v>
      </c>
      <c r="R3053" s="5" t="str">
        <f t="shared" si="8"/>
        <v>United States</v>
      </c>
    </row>
    <row r="3054">
      <c r="A3054" s="7" t="s">
        <v>2548</v>
      </c>
      <c r="B3054" s="5" t="s">
        <v>2547</v>
      </c>
      <c r="C3054" s="5" t="s">
        <v>110</v>
      </c>
      <c r="D3054" s="6" t="s">
        <v>13</v>
      </c>
      <c r="E3054" s="5" t="s">
        <v>2530</v>
      </c>
      <c r="F3054" s="5" t="s">
        <v>686</v>
      </c>
      <c r="G3054" s="5" t="s">
        <v>311</v>
      </c>
      <c r="H3054" s="5" t="s">
        <v>102</v>
      </c>
      <c r="I3054" s="5" t="s">
        <v>18</v>
      </c>
      <c r="J3054" s="9" t="str">
        <f>IFERROR(__xludf.DUMMYFUNCTION("""COMPUTED_VALUE"""),"https://www.google.com/search?newwindow=1&amp;ei=2MT0XrvGGM-vytMP1OyDgAY&amp;q=site%3Alinkedin.com+Natasha+Bhalla+Manager,+Technology+Campus+Recruiting+Morgan+Stanley")</f>
        <v>https://www.google.com/search?newwindow=1&amp;ei=2MT0XrvGGM-vytMP1OyDgAY&amp;q=site%3Alinkedin.com+Natasha+Bhalla+Manager,+Technology+Campus+Recruiting+Morgan+Stanley</v>
      </c>
      <c r="K3054" s="5" t="str">
        <f t="shared" si="1"/>
        <v>Natasha Bhalla</v>
      </c>
      <c r="L3054" s="5" t="str">
        <f t="shared" si="2"/>
        <v>Manager, Technology Campus Recruiting</v>
      </c>
      <c r="M3054" s="5" t="str">
        <f t="shared" si="3"/>
        <v> </v>
      </c>
      <c r="N3054" s="5" t="str">
        <f t="shared" si="4"/>
        <v>Morgan Stanley</v>
      </c>
      <c r="O3054" s="5" t="str">
        <f t="shared" si="5"/>
        <v>1 year 10 months in role</v>
      </c>
      <c r="P3054" s="5" t="str">
        <f t="shared" si="6"/>
        <v>New York</v>
      </c>
      <c r="Q3054" s="5" t="str">
        <f t="shared" si="7"/>
        <v>New York</v>
      </c>
      <c r="R3054" s="5" t="str">
        <f t="shared" si="8"/>
        <v>United States</v>
      </c>
    </row>
    <row r="3055">
      <c r="A3055" s="7" t="s">
        <v>2553</v>
      </c>
      <c r="B3055" s="5" t="s">
        <v>2549</v>
      </c>
      <c r="C3055" s="5" t="s">
        <v>2550</v>
      </c>
      <c r="D3055" s="6" t="s">
        <v>13</v>
      </c>
      <c r="E3055" s="5" t="s">
        <v>2551</v>
      </c>
      <c r="F3055" s="5" t="s">
        <v>131</v>
      </c>
      <c r="G3055" s="5" t="s">
        <v>2552</v>
      </c>
      <c r="H3055" s="5" t="s">
        <v>96</v>
      </c>
      <c r="I3055" s="5" t="s">
        <v>18</v>
      </c>
      <c r="J3055" s="9" t="str">
        <f>IFERROR(__xludf.DUMMYFUNCTION("""COMPUTED_VALUE"""),"https://www.google.com/search?newwindow=1&amp;ei=2MT0XrvGGM-vytMP1OyDgAY&amp;q=site%3Alinkedin.com+Ashleigh+Hussey+Drobnis+Campus+Recruiter+Morgan+Stanley")</f>
        <v>https://www.google.com/search?newwindow=1&amp;ei=2MT0XrvGGM-vytMP1OyDgAY&amp;q=site%3Alinkedin.com+Ashleigh+Hussey+Drobnis+Campus+Recruiter+Morgan+Stanley</v>
      </c>
      <c r="K3055" s="5" t="str">
        <f t="shared" si="1"/>
        <v>Ashleigh Hussey Drobnis</v>
      </c>
      <c r="L3055" s="5" t="str">
        <f t="shared" si="2"/>
        <v>Campus Recruiter</v>
      </c>
      <c r="M3055" s="5" t="str">
        <f t="shared" si="3"/>
        <v> </v>
      </c>
      <c r="N3055" s="5" t="str">
        <f t="shared" si="4"/>
        <v>Morgan Stanley</v>
      </c>
      <c r="O3055" s="5" t="str">
        <f t="shared" si="5"/>
        <v>2 years 3 months in role and company</v>
      </c>
      <c r="P3055" s="5" t="str">
        <f t="shared" si="6"/>
        <v>New York</v>
      </c>
      <c r="Q3055" s="5" t="str">
        <f t="shared" si="7"/>
        <v>New York</v>
      </c>
      <c r="R3055" s="5" t="str">
        <f t="shared" si="8"/>
        <v>United States</v>
      </c>
    </row>
    <row r="3056">
      <c r="A3056" s="7" t="s">
        <v>2556</v>
      </c>
      <c r="B3056" s="5" t="s">
        <v>2554</v>
      </c>
      <c r="C3056" s="5" t="s">
        <v>25</v>
      </c>
      <c r="D3056" s="6" t="s">
        <v>13</v>
      </c>
      <c r="E3056" s="5" t="s">
        <v>2551</v>
      </c>
      <c r="F3056" s="5" t="s">
        <v>648</v>
      </c>
      <c r="G3056" s="5" t="s">
        <v>2555</v>
      </c>
      <c r="H3056" s="5" t="s">
        <v>96</v>
      </c>
      <c r="I3056" s="5" t="s">
        <v>18</v>
      </c>
      <c r="J3056" s="9" t="str">
        <f>IFERROR(__xludf.DUMMYFUNCTION("""COMPUTED_VALUE"""),"https://www.google.com/search?newwindow=1&amp;ei=2MT0XrvGGM-vytMP1OyDgAY&amp;q=site%3Alinkedin.com+Janie+Johnstone+Campus+Recruiter+Morgan+Stanley")</f>
        <v>https://www.google.com/search?newwindow=1&amp;ei=2MT0XrvGGM-vytMP1OyDgAY&amp;q=site%3Alinkedin.com+Janie+Johnstone+Campus+Recruiter+Morgan+Stanley</v>
      </c>
      <c r="K3056" s="5" t="str">
        <f t="shared" si="1"/>
        <v>Janie Johnstone</v>
      </c>
      <c r="L3056" s="5" t="str">
        <f t="shared" si="2"/>
        <v>Campus Recruiter</v>
      </c>
      <c r="M3056" s="5" t="str">
        <f t="shared" si="3"/>
        <v> </v>
      </c>
      <c r="N3056" s="5" t="str">
        <f t="shared" si="4"/>
        <v>Morgan Stanley</v>
      </c>
      <c r="O3056" s="5" t="str">
        <f t="shared" si="5"/>
        <v>4 years 10 months in role and company</v>
      </c>
      <c r="P3056" s="5" t="str">
        <f t="shared" si="6"/>
        <v>Philadelphia</v>
      </c>
      <c r="Q3056" s="5" t="str">
        <f t="shared" si="7"/>
        <v>Pennsylvania</v>
      </c>
      <c r="R3056" s="5" t="str">
        <f t="shared" si="8"/>
        <v>United States</v>
      </c>
    </row>
    <row r="3057">
      <c r="A3057" s="7" t="s">
        <v>2559</v>
      </c>
      <c r="B3057" s="5" t="s">
        <v>2557</v>
      </c>
      <c r="C3057" s="5" t="s">
        <v>2558</v>
      </c>
      <c r="D3057" s="6" t="s">
        <v>13</v>
      </c>
      <c r="E3057" s="5" t="s">
        <v>2551</v>
      </c>
      <c r="F3057" s="5" t="s">
        <v>188</v>
      </c>
      <c r="G3057" s="5" t="s">
        <v>1527</v>
      </c>
      <c r="H3057" s="5" t="s">
        <v>945</v>
      </c>
      <c r="I3057" s="5" t="s">
        <v>18</v>
      </c>
      <c r="J3057" s="9" t="str">
        <f>IFERROR(__xludf.DUMMYFUNCTION("""COMPUTED_VALUE"""),"https://www.google.com/search?newwindow=1&amp;ei=2MT0XrvGGM-vytMP1OyDgAY&amp;q=site%3Alinkedin.com+Lea+Bylina+Campus+Recruiter+Moss+Adams")</f>
        <v>https://www.google.com/search?newwindow=1&amp;ei=2MT0XrvGGM-vytMP1OyDgAY&amp;q=site%3Alinkedin.com+Lea+Bylina+Campus+Recruiter+Moss+Adams</v>
      </c>
      <c r="K3057" s="5" t="str">
        <f t="shared" si="1"/>
        <v>Lea Bylina</v>
      </c>
      <c r="L3057" s="5" t="str">
        <f t="shared" si="2"/>
        <v>Campus Recruiter</v>
      </c>
      <c r="M3057" s="5" t="str">
        <f t="shared" si="3"/>
        <v> </v>
      </c>
      <c r="N3057" s="5" t="str">
        <f t="shared" si="4"/>
        <v>Moss Adams</v>
      </c>
      <c r="O3057" s="5" t="str">
        <f t="shared" si="5"/>
        <v>1 year 5 months in role</v>
      </c>
      <c r="P3057" s="5" t="str">
        <f t="shared" si="6"/>
        <v>Denver</v>
      </c>
      <c r="Q3057" s="5" t="str">
        <f t="shared" si="7"/>
        <v>Colorado</v>
      </c>
      <c r="R3057" s="5" t="str">
        <f t="shared" si="8"/>
        <v>United States</v>
      </c>
    </row>
    <row r="3058">
      <c r="A3058" s="7" t="s">
        <v>2561</v>
      </c>
      <c r="B3058" s="5" t="s">
        <v>2560</v>
      </c>
      <c r="C3058" s="5" t="s">
        <v>25</v>
      </c>
      <c r="D3058" s="6" t="s">
        <v>13</v>
      </c>
      <c r="E3058" s="5" t="s">
        <v>2551</v>
      </c>
      <c r="F3058" s="5" t="s">
        <v>188</v>
      </c>
      <c r="G3058" s="5" t="s">
        <v>1527</v>
      </c>
      <c r="H3058" s="5" t="s">
        <v>945</v>
      </c>
      <c r="I3058" s="5" t="s">
        <v>18</v>
      </c>
      <c r="J3058" s="9" t="str">
        <f>IFERROR(__xludf.DUMMYFUNCTION("""COMPUTED_VALUE"""),"https://www.google.com/search?newwindow=1&amp;ei=2MT0XrvGGM-vytMP1OyDgAY&amp;q=site%3Alinkedin.com+Adam+Schwab+Campus+Recruiter+Moss+Adams")</f>
        <v>https://www.google.com/search?newwindow=1&amp;ei=2MT0XrvGGM-vytMP1OyDgAY&amp;q=site%3Alinkedin.com+Adam+Schwab+Campus+Recruiter+Moss+Adams</v>
      </c>
      <c r="K3058" s="5" t="str">
        <f t="shared" si="1"/>
        <v>Adam Schwab</v>
      </c>
      <c r="L3058" s="5" t="str">
        <f t="shared" si="2"/>
        <v>Campus Recruiter</v>
      </c>
      <c r="M3058" s="5" t="str">
        <f t="shared" si="3"/>
        <v> </v>
      </c>
      <c r="N3058" s="5" t="str">
        <f t="shared" si="4"/>
        <v>Moss Adams</v>
      </c>
      <c r="O3058" s="5" t="str">
        <f t="shared" si="5"/>
        <v>1 year 1 month in role and company</v>
      </c>
      <c r="P3058" s="5" t="str">
        <f t="shared" si="6"/>
        <v>Los Angeles</v>
      </c>
      <c r="Q3058" s="5" t="str">
        <f t="shared" si="7"/>
        <v>California</v>
      </c>
      <c r="R3058" s="5" t="str">
        <f t="shared" si="8"/>
        <v>United States</v>
      </c>
    </row>
    <row r="3059">
      <c r="A3059" s="7" t="s">
        <v>2564</v>
      </c>
      <c r="B3059" s="5" t="s">
        <v>2562</v>
      </c>
      <c r="C3059" s="5" t="s">
        <v>2563</v>
      </c>
      <c r="D3059" s="6" t="s">
        <v>13</v>
      </c>
      <c r="E3059" s="5" t="s">
        <v>2551</v>
      </c>
      <c r="F3059" s="5" t="s">
        <v>1880</v>
      </c>
      <c r="G3059" s="5" t="s">
        <v>137</v>
      </c>
      <c r="H3059" s="5" t="s">
        <v>137</v>
      </c>
      <c r="I3059" s="5" t="s">
        <v>18</v>
      </c>
      <c r="J3059" s="9" t="str">
        <f>IFERROR(__xludf.DUMMYFUNCTION("""COMPUTED_VALUE"""),"https://www.google.com/search?newwindow=1&amp;ei=2MT0XrvGGM-vytMP1OyDgAY&amp;q=site%3Alinkedin.com+Leanne+Lutkus+Regional+Campus+Recruiting+Manager+Moss+Adams")</f>
        <v>https://www.google.com/search?newwindow=1&amp;ei=2MT0XrvGGM-vytMP1OyDgAY&amp;q=site%3Alinkedin.com+Leanne+Lutkus+Regional+Campus+Recruiting+Manager+Moss+Adams</v>
      </c>
      <c r="K3059" s="5" t="str">
        <f t="shared" si="1"/>
        <v>Leanne Lutkus</v>
      </c>
      <c r="L3059" s="5" t="str">
        <f t="shared" si="2"/>
        <v>Regional Campus Recruiting Manager</v>
      </c>
      <c r="M3059" s="5" t="str">
        <f t="shared" si="3"/>
        <v> </v>
      </c>
      <c r="N3059" s="5" t="str">
        <f t="shared" si="4"/>
        <v>Moss Adams</v>
      </c>
      <c r="O3059" s="5" t="str">
        <f t="shared" si="5"/>
        <v>3 years 5 months in role</v>
      </c>
      <c r="P3059" s="5" t="str">
        <f t="shared" si="6"/>
        <v>Phoenix</v>
      </c>
      <c r="Q3059" s="5" t="str">
        <f t="shared" si="7"/>
        <v>Arizona</v>
      </c>
      <c r="R3059" s="5" t="str">
        <f t="shared" si="8"/>
        <v>United States</v>
      </c>
    </row>
    <row r="3060">
      <c r="A3060" s="7" t="s">
        <v>2566</v>
      </c>
      <c r="B3060" s="5" t="s">
        <v>2565</v>
      </c>
      <c r="C3060" s="5" t="s">
        <v>25</v>
      </c>
      <c r="D3060" s="6" t="s">
        <v>13</v>
      </c>
      <c r="E3060" s="5" t="s">
        <v>2551</v>
      </c>
      <c r="F3060" s="5" t="s">
        <v>106</v>
      </c>
      <c r="G3060" s="5" t="s">
        <v>137</v>
      </c>
      <c r="H3060" s="5" t="s">
        <v>137</v>
      </c>
      <c r="I3060" s="5" t="s">
        <v>18</v>
      </c>
      <c r="J3060" s="9" t="str">
        <f>IFERROR(__xludf.DUMMYFUNCTION("""COMPUTED_VALUE"""),"https://www.google.com/search?newwindow=1&amp;ei=2MT0XrvGGM-vytMP1OyDgAY&amp;q=site%3Alinkedin.com+Angela+Sparks+Campus+Recruiter+Moss+Adams")</f>
        <v>https://www.google.com/search?newwindow=1&amp;ei=2MT0XrvGGM-vytMP1OyDgAY&amp;q=site%3Alinkedin.com+Angela+Sparks+Campus+Recruiter+Moss+Adams</v>
      </c>
      <c r="K3060" s="5" t="str">
        <f t="shared" si="1"/>
        <v>Angela Sparks</v>
      </c>
      <c r="L3060" s="5" t="str">
        <f t="shared" si="2"/>
        <v>Campus Recruiter</v>
      </c>
      <c r="M3060" s="5" t="str">
        <f t="shared" si="3"/>
        <v> </v>
      </c>
      <c r="N3060" s="5" t="str">
        <f t="shared" si="4"/>
        <v>Moss Adams</v>
      </c>
      <c r="O3060" s="5" t="str">
        <f t="shared" si="5"/>
        <v>1 year 7 months in role and company</v>
      </c>
      <c r="P3060" s="5" t="str">
        <f t="shared" si="6"/>
        <v>Portland</v>
      </c>
      <c r="Q3060" s="5" t="str">
        <f t="shared" si="7"/>
        <v>Oregon</v>
      </c>
      <c r="R3060" s="5" t="str">
        <f t="shared" si="8"/>
        <v>United States</v>
      </c>
    </row>
    <row r="3061">
      <c r="A3061" s="7" t="s">
        <v>2569</v>
      </c>
      <c r="B3061" s="5" t="s">
        <v>2567</v>
      </c>
      <c r="C3061" s="5" t="s">
        <v>2568</v>
      </c>
      <c r="D3061" s="6" t="s">
        <v>13</v>
      </c>
      <c r="E3061" s="5" t="s">
        <v>2551</v>
      </c>
      <c r="F3061" s="5" t="s">
        <v>418</v>
      </c>
      <c r="G3061" s="5" t="s">
        <v>137</v>
      </c>
      <c r="H3061" s="5" t="s">
        <v>137</v>
      </c>
      <c r="I3061" s="5" t="s">
        <v>18</v>
      </c>
      <c r="J3061" s="9" t="str">
        <f>IFERROR(__xludf.DUMMYFUNCTION("""COMPUTED_VALUE"""),"https://www.google.com/search?newwindow=1&amp;ei=2MT0XrvGGM-vytMP1OyDgAY&amp;q=site%3Alinkedin.com+Patricia+Hewitt+Campus+Recruiting+Manager+Moss+Adams")</f>
        <v>https://www.google.com/search?newwindow=1&amp;ei=2MT0XrvGGM-vytMP1OyDgAY&amp;q=site%3Alinkedin.com+Patricia+Hewitt+Campus+Recruiting+Manager+Moss+Adams</v>
      </c>
      <c r="K3061" s="5" t="str">
        <f t="shared" si="1"/>
        <v>Patricia Hewitt</v>
      </c>
      <c r="L3061" s="5" t="str">
        <f t="shared" si="2"/>
        <v>Campus Recruiting Manager</v>
      </c>
      <c r="M3061" s="5" t="str">
        <f t="shared" si="3"/>
        <v> </v>
      </c>
      <c r="N3061" s="5" t="str">
        <f t="shared" si="4"/>
        <v>Moss Adams</v>
      </c>
      <c r="O3061" s="5" t="str">
        <f t="shared" si="5"/>
        <v>3 years 3 months in role</v>
      </c>
      <c r="P3061" s="5" t="str">
        <f t="shared" si="6"/>
        <v>Rancho Cordova</v>
      </c>
      <c r="Q3061" s="5" t="str">
        <f t="shared" si="7"/>
        <v>California</v>
      </c>
      <c r="R3061" s="5" t="str">
        <f t="shared" si="8"/>
        <v>United States</v>
      </c>
    </row>
    <row r="3062">
      <c r="A3062" s="7" t="s">
        <v>2576</v>
      </c>
      <c r="B3062" s="5" t="s">
        <v>2570</v>
      </c>
      <c r="C3062" s="5" t="s">
        <v>2571</v>
      </c>
      <c r="D3062" s="6" t="s">
        <v>13</v>
      </c>
      <c r="E3062" s="5" t="s">
        <v>2572</v>
      </c>
      <c r="F3062" s="5" t="s">
        <v>2573</v>
      </c>
      <c r="G3062" s="5" t="s">
        <v>2574</v>
      </c>
      <c r="H3062" s="5" t="s">
        <v>2575</v>
      </c>
      <c r="I3062" s="5" t="s">
        <v>18</v>
      </c>
      <c r="J3062" s="9" t="str">
        <f>IFERROR(__xludf.DUMMYFUNCTION("""COMPUTED_VALUE"""),"https://www.google.com/search?newwindow=1&amp;ei=2MT0XrvGGM-vytMP1OyDgAY&amp;q=site%3Alinkedin.com+Rose+Azadan+Martinez+Regional+Campus+Recruiting+Senior+Manager+Moss+Adams")</f>
        <v>https://www.google.com/search?newwindow=1&amp;ei=2MT0XrvGGM-vytMP1OyDgAY&amp;q=site%3Alinkedin.com+Rose+Azadan+Martinez+Regional+Campus+Recruiting+Senior+Manager+Moss+Adams</v>
      </c>
      <c r="K3062" s="5" t="str">
        <f t="shared" si="1"/>
        <v>Rose Azadan Martinez</v>
      </c>
      <c r="L3062" s="5" t="str">
        <f t="shared" si="2"/>
        <v>Regional Campus Recruiting Senior Manager</v>
      </c>
      <c r="M3062" s="5" t="str">
        <f t="shared" si="3"/>
        <v> </v>
      </c>
      <c r="N3062" s="5" t="str">
        <f t="shared" si="4"/>
        <v>Moss Adams</v>
      </c>
      <c r="O3062" s="5" t="str">
        <f t="shared" si="5"/>
        <v>1 year 5 months in role</v>
      </c>
      <c r="P3062" s="5" t="str">
        <f t="shared" si="6"/>
        <v>San Francisco</v>
      </c>
      <c r="Q3062" s="5" t="str">
        <f t="shared" si="7"/>
        <v>California</v>
      </c>
      <c r="R3062" s="5" t="str">
        <f t="shared" si="8"/>
        <v>United States</v>
      </c>
    </row>
    <row r="3063">
      <c r="A3063" s="7" t="s">
        <v>2580</v>
      </c>
      <c r="B3063" s="5" t="s">
        <v>2577</v>
      </c>
      <c r="C3063" s="5" t="s">
        <v>2578</v>
      </c>
      <c r="D3063" s="6" t="s">
        <v>13</v>
      </c>
      <c r="E3063" s="5" t="s">
        <v>2572</v>
      </c>
      <c r="F3063" s="5" t="s">
        <v>26</v>
      </c>
      <c r="G3063" s="5" t="s">
        <v>2579</v>
      </c>
      <c r="H3063" s="5" t="s">
        <v>44</v>
      </c>
      <c r="I3063" s="5" t="s">
        <v>18</v>
      </c>
      <c r="J3063" s="9" t="str">
        <f>IFERROR(__xludf.DUMMYFUNCTION("""COMPUTED_VALUE"""),"https://www.google.com/search?newwindow=1&amp;ei=2MT0XrvGGM-vytMP1OyDgAY&amp;q=site%3Alinkedin.com+Meryll+Locquiao+Senior+Campus+Recruiter+Moss+Adams")</f>
        <v>https://www.google.com/search?newwindow=1&amp;ei=2MT0XrvGGM-vytMP1OyDgAY&amp;q=site%3Alinkedin.com+Meryll+Locquiao+Senior+Campus+Recruiter+Moss+Adams</v>
      </c>
      <c r="K3063" s="5" t="str">
        <f t="shared" si="1"/>
        <v>Meryll Locquiao</v>
      </c>
      <c r="L3063" s="5" t="str">
        <f t="shared" si="2"/>
        <v>Senior Campus Recruiter</v>
      </c>
      <c r="M3063" s="5" t="str">
        <f t="shared" si="3"/>
        <v> </v>
      </c>
      <c r="N3063" s="5" t="str">
        <f t="shared" si="4"/>
        <v>Moss Adams</v>
      </c>
      <c r="O3063" s="5" t="str">
        <f t="shared" si="5"/>
        <v>7 months in role and company</v>
      </c>
      <c r="P3063" s="5" t="str">
        <f t="shared" si="6"/>
        <v>San Francisco</v>
      </c>
      <c r="Q3063" s="5" t="str">
        <f t="shared" si="7"/>
        <v>California</v>
      </c>
      <c r="R3063" s="5" t="str">
        <f t="shared" si="8"/>
        <v>United States</v>
      </c>
    </row>
    <row r="3064">
      <c r="A3064" s="7" t="s">
        <v>2584</v>
      </c>
      <c r="B3064" s="5" t="s">
        <v>2581</v>
      </c>
      <c r="C3064" s="5" t="s">
        <v>2582</v>
      </c>
      <c r="D3064" s="6" t="s">
        <v>13</v>
      </c>
      <c r="E3064" s="5" t="s">
        <v>2572</v>
      </c>
      <c r="F3064" s="5" t="s">
        <v>2544</v>
      </c>
      <c r="G3064" s="5" t="s">
        <v>2583</v>
      </c>
      <c r="H3064" s="5" t="s">
        <v>1354</v>
      </c>
      <c r="I3064" s="5" t="s">
        <v>18</v>
      </c>
      <c r="J3064" s="9" t="str">
        <f>IFERROR(__xludf.DUMMYFUNCTION("""COMPUTED_VALUE"""),"https://www.google.com/search?newwindow=1&amp;ei=2MT0XrvGGM-vytMP1OyDgAY&amp;q=site%3Alinkedin.com+Isabella+Nguyen+Senior+Campus+Recruiter+Moss+Adams")</f>
        <v>https://www.google.com/search?newwindow=1&amp;ei=2MT0XrvGGM-vytMP1OyDgAY&amp;q=site%3Alinkedin.com+Isabella+Nguyen+Senior+Campus+Recruiter+Moss+Adams</v>
      </c>
      <c r="K3064" s="5" t="str">
        <f t="shared" si="1"/>
        <v>Isabella Nguyen</v>
      </c>
      <c r="L3064" s="5" t="str">
        <f t="shared" si="2"/>
        <v>Senior Campus Recruiter</v>
      </c>
      <c r="M3064" s="5" t="str">
        <f t="shared" si="3"/>
        <v> </v>
      </c>
      <c r="N3064" s="5" t="str">
        <f t="shared" si="4"/>
        <v>Moss Adams</v>
      </c>
      <c r="O3064" s="5" t="str">
        <f t="shared" si="5"/>
        <v>2 years 6 months in role and company</v>
      </c>
      <c r="P3064" s="5" t="str">
        <f t="shared" si="6"/>
        <v>San Francisco</v>
      </c>
      <c r="Q3064" s="5" t="str">
        <f t="shared" si="7"/>
        <v>California</v>
      </c>
      <c r="R3064" s="5" t="str">
        <f t="shared" si="8"/>
        <v>United States</v>
      </c>
    </row>
    <row r="3065">
      <c r="A3065" s="7" t="s">
        <v>2584</v>
      </c>
      <c r="B3065" s="5" t="s">
        <v>2581</v>
      </c>
      <c r="C3065" s="5" t="s">
        <v>2582</v>
      </c>
      <c r="D3065" s="6" t="s">
        <v>13</v>
      </c>
      <c r="E3065" s="5" t="s">
        <v>2572</v>
      </c>
      <c r="F3065" s="5" t="s">
        <v>2544</v>
      </c>
      <c r="G3065" s="5" t="s">
        <v>2583</v>
      </c>
      <c r="H3065" s="5" t="s">
        <v>1354</v>
      </c>
      <c r="I3065" s="5" t="s">
        <v>18</v>
      </c>
      <c r="J3065" s="9" t="str">
        <f>IFERROR(__xludf.DUMMYFUNCTION("""COMPUTED_VALUE"""),"https://www.google.com/search?newwindow=1&amp;ei=2MT0XrvGGM-vytMP1OyDgAY&amp;q=site%3Alinkedin.com+Julia+Dull+Campus+Recruiting+Manager+Moss+Adams")</f>
        <v>https://www.google.com/search?newwindow=1&amp;ei=2MT0XrvGGM-vytMP1OyDgAY&amp;q=site%3Alinkedin.com+Julia+Dull+Campus+Recruiting+Manager+Moss+Adams</v>
      </c>
      <c r="K3065" s="5" t="str">
        <f t="shared" si="1"/>
        <v>Julia Dull</v>
      </c>
      <c r="L3065" s="5" t="str">
        <f t="shared" si="2"/>
        <v>Campus Recruiting Manager</v>
      </c>
      <c r="M3065" s="5" t="str">
        <f t="shared" si="3"/>
        <v> </v>
      </c>
      <c r="N3065" s="5" t="str">
        <f t="shared" si="4"/>
        <v>Moss Adams</v>
      </c>
      <c r="O3065" s="5" t="str">
        <f t="shared" si="5"/>
        <v>2 years 4 months in role</v>
      </c>
      <c r="P3065" s="5" t="str">
        <f t="shared" si="6"/>
        <v>Seattle</v>
      </c>
      <c r="Q3065" s="5" t="str">
        <f t="shared" si="7"/>
        <v>Washington</v>
      </c>
      <c r="R3065" s="5" t="str">
        <f t="shared" si="8"/>
        <v>United States</v>
      </c>
    </row>
    <row r="3066">
      <c r="A3066" s="7" t="s">
        <v>2587</v>
      </c>
      <c r="B3066" s="5" t="s">
        <v>2585</v>
      </c>
      <c r="C3066" s="5" t="s">
        <v>371</v>
      </c>
      <c r="D3066" s="6" t="s">
        <v>13</v>
      </c>
      <c r="E3066" s="5" t="s">
        <v>2572</v>
      </c>
      <c r="F3066" s="5" t="s">
        <v>1357</v>
      </c>
      <c r="G3066" s="5" t="s">
        <v>2586</v>
      </c>
      <c r="H3066" s="5" t="s">
        <v>224</v>
      </c>
      <c r="I3066" s="5" t="s">
        <v>18</v>
      </c>
      <c r="J3066" s="9" t="str">
        <f>IFERROR(__xludf.DUMMYFUNCTION("""COMPUTED_VALUE"""),"https://www.google.com/search?newwindow=1&amp;ei=2MT0XrvGGM-vytMP1OyDgAY&amp;q=site%3Alinkedin.com+Ellen+Price+Campus+Recruiter+Moss+Adams")</f>
        <v>https://www.google.com/search?newwindow=1&amp;ei=2MT0XrvGGM-vytMP1OyDgAY&amp;q=site%3Alinkedin.com+Ellen+Price+Campus+Recruiter+Moss+Adams</v>
      </c>
      <c r="K3066" s="5" t="str">
        <f t="shared" si="1"/>
        <v>Ellen Price</v>
      </c>
      <c r="L3066" s="5" t="str">
        <f t="shared" si="2"/>
        <v>Campus Recruiter</v>
      </c>
      <c r="M3066" s="5" t="str">
        <f t="shared" si="3"/>
        <v> </v>
      </c>
      <c r="N3066" s="5" t="str">
        <f t="shared" si="4"/>
        <v>Moss Adams</v>
      </c>
      <c r="O3066" s="5" t="str">
        <f t="shared" si="5"/>
        <v>1 year 10 months in role and company</v>
      </c>
      <c r="P3066" s="5" t="str">
        <f t="shared" si="6"/>
        <v>Seattle</v>
      </c>
      <c r="Q3066" s="5" t="str">
        <f t="shared" si="7"/>
        <v>Washington</v>
      </c>
      <c r="R3066" s="5" t="str">
        <f t="shared" si="8"/>
        <v>United States</v>
      </c>
    </row>
    <row r="3067">
      <c r="A3067" s="7" t="s">
        <v>2590</v>
      </c>
      <c r="B3067" s="5" t="s">
        <v>2588</v>
      </c>
      <c r="C3067" s="5" t="s">
        <v>110</v>
      </c>
      <c r="D3067" s="6" t="s">
        <v>13</v>
      </c>
      <c r="E3067" s="5" t="s">
        <v>2589</v>
      </c>
      <c r="F3067" s="5" t="s">
        <v>654</v>
      </c>
      <c r="G3067" s="5" t="s">
        <v>218</v>
      </c>
      <c r="H3067" s="5" t="s">
        <v>219</v>
      </c>
      <c r="I3067" s="5" t="s">
        <v>18</v>
      </c>
      <c r="J3067" s="9" t="str">
        <f>IFERROR(__xludf.DUMMYFUNCTION("""COMPUTED_VALUE"""),"https://www.google.com/search?newwindow=1&amp;ei=2MT0XrvGGM-vytMP1OyDgAY&amp;q=site%3Alinkedin.com+Kelsey+Hicks+Senior+Campus+Recruiter+Moss+Adams")</f>
        <v>https://www.google.com/search?newwindow=1&amp;ei=2MT0XrvGGM-vytMP1OyDgAY&amp;q=site%3Alinkedin.com+Kelsey+Hicks+Senior+Campus+Recruiter+Moss+Adams</v>
      </c>
      <c r="K3067" s="5" t="str">
        <f t="shared" si="1"/>
        <v>Kelsey Hicks</v>
      </c>
      <c r="L3067" s="5" t="str">
        <f t="shared" si="2"/>
        <v>Senior Campus Recruiter</v>
      </c>
      <c r="M3067" s="5" t="str">
        <f t="shared" si="3"/>
        <v> </v>
      </c>
      <c r="N3067" s="5" t="str">
        <f t="shared" si="4"/>
        <v>Moss Adams</v>
      </c>
      <c r="O3067" s="5" t="str">
        <f t="shared" si="5"/>
        <v>5 months in role</v>
      </c>
      <c r="P3067" s="5" t="str">
        <f t="shared" si="6"/>
        <v>Seattle</v>
      </c>
      <c r="Q3067" s="5" t="str">
        <f t="shared" si="7"/>
        <v>Washington</v>
      </c>
      <c r="R3067" s="5" t="str">
        <f t="shared" si="8"/>
        <v>United States</v>
      </c>
    </row>
    <row r="3068">
      <c r="A3068" s="7" t="s">
        <v>2592</v>
      </c>
      <c r="B3068" s="5" t="s">
        <v>2591</v>
      </c>
      <c r="C3068" s="5" t="s">
        <v>110</v>
      </c>
      <c r="D3068" s="6" t="s">
        <v>13</v>
      </c>
      <c r="E3068" s="5" t="s">
        <v>2589</v>
      </c>
      <c r="F3068" s="5" t="s">
        <v>84</v>
      </c>
      <c r="G3068" s="5" t="s">
        <v>218</v>
      </c>
      <c r="H3068" s="5" t="s">
        <v>219</v>
      </c>
      <c r="I3068" s="5" t="s">
        <v>18</v>
      </c>
      <c r="J3068" s="9" t="str">
        <f>IFERROR(__xludf.DUMMYFUNCTION("""COMPUTED_VALUE"""),"https://www.google.com/search?newwindow=1&amp;ei=2MT0XrvGGM-vytMP1OyDgAY&amp;q=site%3Alinkedin.com+Camellia+Sarmadi+Campus+Recruiting+Manager+Moss+Adams+LLP")</f>
        <v>https://www.google.com/search?newwindow=1&amp;ei=2MT0XrvGGM-vytMP1OyDgAY&amp;q=site%3Alinkedin.com+Camellia+Sarmadi+Campus+Recruiting+Manager+Moss+Adams+LLP</v>
      </c>
      <c r="K3068" s="5" t="str">
        <f t="shared" si="1"/>
        <v>Camellia Sarmadi</v>
      </c>
      <c r="L3068" s="5" t="str">
        <f t="shared" si="2"/>
        <v>Campus Recruiting Manager</v>
      </c>
      <c r="M3068" s="5" t="str">
        <f t="shared" si="3"/>
        <v> </v>
      </c>
      <c r="N3068" s="5" t="str">
        <f t="shared" si="4"/>
        <v>Moss Adams</v>
      </c>
      <c r="O3068" s="5" t="str">
        <f t="shared" si="5"/>
        <v>1 year 5 months in role</v>
      </c>
      <c r="P3068" s="5" t="str">
        <f t="shared" si="6"/>
        <v>Los Angeles</v>
      </c>
      <c r="Q3068" s="5" t="str">
        <f t="shared" si="7"/>
        <v>California</v>
      </c>
      <c r="R3068" s="5" t="str">
        <f t="shared" si="8"/>
        <v>United States</v>
      </c>
    </row>
    <row r="3069">
      <c r="A3069" s="7" t="s">
        <v>2594</v>
      </c>
      <c r="B3069" s="5" t="s">
        <v>2593</v>
      </c>
      <c r="C3069" s="5" t="s">
        <v>110</v>
      </c>
      <c r="D3069" s="6" t="s">
        <v>13</v>
      </c>
      <c r="E3069" s="5" t="s">
        <v>2589</v>
      </c>
      <c r="F3069" s="5" t="s">
        <v>1300</v>
      </c>
      <c r="G3069" s="5" t="s">
        <v>218</v>
      </c>
      <c r="H3069" s="5" t="s">
        <v>219</v>
      </c>
      <c r="I3069" s="5" t="s">
        <v>18</v>
      </c>
      <c r="J3069" s="9" t="str">
        <f>IFERROR(__xludf.DUMMYFUNCTION("""COMPUTED_VALUE"""),"https://www.google.com/search?newwindow=1&amp;ei=2MT0XrvGGM-vytMP1OyDgAY&amp;q=site%3Alinkedin.com+Lauren+Knoche+Campus+Recruiter+and+HR+Senior+Associate+Moss+Adams+LLP")</f>
        <v>https://www.google.com/search?newwindow=1&amp;ei=2MT0XrvGGM-vytMP1OyDgAY&amp;q=site%3Alinkedin.com+Lauren+Knoche+Campus+Recruiter+and+HR+Senior+Associate+Moss+Adams+LLP</v>
      </c>
      <c r="K3069" s="5" t="str">
        <f t="shared" si="1"/>
        <v>Lauren Knoche</v>
      </c>
      <c r="L3069" s="5" t="str">
        <f t="shared" si="2"/>
        <v>Campus Recruiter and HR Senior Associate</v>
      </c>
      <c r="M3069" s="5" t="str">
        <f t="shared" si="3"/>
        <v> </v>
      </c>
      <c r="N3069" s="5" t="str">
        <f t="shared" si="4"/>
        <v>Moss Adams</v>
      </c>
      <c r="O3069" s="5" t="str">
        <f t="shared" si="5"/>
        <v>9 years 2 months in role and company</v>
      </c>
      <c r="P3069" s="5" t="str">
        <f t="shared" si="6"/>
        <v>Los Angeles</v>
      </c>
      <c r="Q3069" s="5" t="str">
        <f t="shared" si="7"/>
        <v>California</v>
      </c>
      <c r="R3069" s="5" t="str">
        <f t="shared" si="8"/>
        <v>United States</v>
      </c>
    </row>
    <row r="3070">
      <c r="A3070" s="7" t="s">
        <v>2596</v>
      </c>
      <c r="B3070" s="5" t="s">
        <v>2595</v>
      </c>
      <c r="C3070" s="5" t="s">
        <v>110</v>
      </c>
      <c r="D3070" s="6" t="s">
        <v>13</v>
      </c>
      <c r="E3070" s="5" t="s">
        <v>2589</v>
      </c>
      <c r="F3070" s="5" t="s">
        <v>409</v>
      </c>
      <c r="G3070" s="5" t="s">
        <v>1867</v>
      </c>
      <c r="H3070" s="5" t="s">
        <v>44</v>
      </c>
      <c r="I3070" s="5" t="s">
        <v>18</v>
      </c>
      <c r="J3070" s="9" t="str">
        <f>IFERROR(__xludf.DUMMYFUNCTION("""COMPUTED_VALUE"""),"https://www.google.com/search?newwindow=1&amp;ei=2MT0XrvGGM-vytMP1OyDgAY&amp;q=site%3Alinkedin.com+Alicia+Markey+Hahn+Campus+Recruiting+Manager+Moss+Adams+LLP")</f>
        <v>https://www.google.com/search?newwindow=1&amp;ei=2MT0XrvGGM-vytMP1OyDgAY&amp;q=site%3Alinkedin.com+Alicia+Markey+Hahn+Campus+Recruiting+Manager+Moss+Adams+LLP</v>
      </c>
      <c r="K3070" s="5" t="str">
        <f t="shared" si="1"/>
        <v>Alicia Markey Hahn</v>
      </c>
      <c r="L3070" s="5" t="str">
        <f t="shared" si="2"/>
        <v>Campus Recruiting Manager</v>
      </c>
      <c r="M3070" s="5" t="str">
        <f t="shared" si="3"/>
        <v> </v>
      </c>
      <c r="N3070" s="5" t="str">
        <f t="shared" si="4"/>
        <v>Moss Adams</v>
      </c>
      <c r="O3070" s="5" t="str">
        <f t="shared" si="5"/>
        <v>4 years 4 months in role and company</v>
      </c>
      <c r="P3070" s="5" t="str">
        <f t="shared" si="6"/>
        <v>Seattle</v>
      </c>
      <c r="Q3070" s="5" t="str">
        <f t="shared" si="7"/>
        <v>Washington</v>
      </c>
      <c r="R3070" s="5" t="str">
        <f t="shared" si="8"/>
        <v>United States</v>
      </c>
    </row>
    <row r="3071">
      <c r="A3071" s="7" t="s">
        <v>2598</v>
      </c>
      <c r="B3071" s="5" t="s">
        <v>2597</v>
      </c>
      <c r="C3071" s="5" t="s">
        <v>766</v>
      </c>
      <c r="D3071" s="6" t="s">
        <v>13</v>
      </c>
      <c r="E3071" s="5" t="s">
        <v>2589</v>
      </c>
      <c r="F3071" s="5" t="s">
        <v>345</v>
      </c>
      <c r="G3071" s="5" t="s">
        <v>1867</v>
      </c>
      <c r="H3071" s="5" t="s">
        <v>44</v>
      </c>
      <c r="I3071" s="5" t="s">
        <v>18</v>
      </c>
      <c r="J3071" s="9" t="str">
        <f>IFERROR(__xludf.DUMMYFUNCTION("""COMPUTED_VALUE"""),"https://www.google.com/search?newwindow=1&amp;ei=2MT0XrvGGM-vytMP1OyDgAY&amp;q=site%3Alinkedin.com+Jessica+Billings+Campus+Recruiter+Moss+Adams+LLP")</f>
        <v>https://www.google.com/search?newwindow=1&amp;ei=2MT0XrvGGM-vytMP1OyDgAY&amp;q=site%3Alinkedin.com+Jessica+Billings+Campus+Recruiter+Moss+Adams+LLP</v>
      </c>
      <c r="K3071" s="5" t="str">
        <f t="shared" si="1"/>
        <v>Jessica Billings</v>
      </c>
      <c r="L3071" s="5" t="str">
        <f t="shared" si="2"/>
        <v>Campus Recruiter</v>
      </c>
      <c r="M3071" s="5" t="str">
        <f t="shared" si="3"/>
        <v> </v>
      </c>
      <c r="N3071" s="5" t="str">
        <f t="shared" si="4"/>
        <v>Moss Adams</v>
      </c>
      <c r="O3071" s="5" t="str">
        <f t="shared" si="5"/>
        <v>5 years 9 months in role and company</v>
      </c>
      <c r="P3071" s="5" t="str">
        <f t="shared" si="6"/>
        <v>Spokane</v>
      </c>
      <c r="Q3071" s="5" t="str">
        <f t="shared" si="7"/>
        <v>Washington</v>
      </c>
      <c r="R3071" s="5" t="str">
        <f t="shared" si="8"/>
        <v>United States</v>
      </c>
    </row>
    <row r="3072">
      <c r="A3072" s="7" t="s">
        <v>2600</v>
      </c>
      <c r="B3072" s="5" t="s">
        <v>2599</v>
      </c>
      <c r="C3072" s="5" t="s">
        <v>110</v>
      </c>
      <c r="D3072" s="6" t="s">
        <v>13</v>
      </c>
      <c r="E3072" s="5" t="s">
        <v>2589</v>
      </c>
      <c r="G3072" s="5" t="s">
        <v>1867</v>
      </c>
      <c r="H3072" s="5" t="s">
        <v>44</v>
      </c>
      <c r="I3072" s="5" t="s">
        <v>18</v>
      </c>
      <c r="J3072" s="9" t="str">
        <f>IFERROR(__xludf.DUMMYFUNCTION("""COMPUTED_VALUE"""),"https://www.google.com/search?newwindow=1&amp;ei=2MT0XrvGGM-vytMP1OyDgAY&amp;q=site%3Alinkedin.com+Rachel+Nobbs+Senior+Campus+Recruiter+Moss+Adams,+LLP+-+San+Diego")</f>
        <v>https://www.google.com/search?newwindow=1&amp;ei=2MT0XrvGGM-vytMP1OyDgAY&amp;q=site%3Alinkedin.com+Rachel+Nobbs+Senior+Campus+Recruiter+Moss+Adams,+LLP+-+San+Diego</v>
      </c>
      <c r="K3072" s="5" t="str">
        <f t="shared" si="1"/>
        <v>Rachel Nobbs</v>
      </c>
      <c r="L3072" s="5" t="str">
        <f t="shared" si="2"/>
        <v>Senior Campus Recruiter</v>
      </c>
      <c r="M3072" s="5" t="str">
        <f t="shared" si="3"/>
        <v> </v>
      </c>
      <c r="N3072" s="5" t="str">
        <f t="shared" si="4"/>
        <v>Moss Adams</v>
      </c>
      <c r="O3072" s="5" t="str">
        <f t="shared" si="5"/>
        <v>19 years 10 months in role and company</v>
      </c>
      <c r="P3072" s="5" t="str">
        <f t="shared" si="6"/>
        <v>San Diego</v>
      </c>
      <c r="Q3072" s="5" t="str">
        <f t="shared" si="7"/>
        <v>California</v>
      </c>
      <c r="R3072" s="5" t="str">
        <f t="shared" si="8"/>
        <v>United States</v>
      </c>
    </row>
    <row r="3073">
      <c r="A3073" s="8" t="s">
        <v>2603</v>
      </c>
      <c r="B3073" s="5" t="s">
        <v>2601</v>
      </c>
      <c r="C3073" s="5" t="s">
        <v>2602</v>
      </c>
      <c r="D3073" s="6" t="s">
        <v>4</v>
      </c>
      <c r="E3073" s="5" t="s">
        <v>2589</v>
      </c>
      <c r="F3073" s="5" t="s">
        <v>909</v>
      </c>
      <c r="G3073" s="5" t="s">
        <v>166</v>
      </c>
      <c r="H3073" s="5" t="s">
        <v>44</v>
      </c>
      <c r="I3073" s="5" t="s">
        <v>18</v>
      </c>
      <c r="J3073" s="9" t="str">
        <f>IFERROR(__xludf.DUMMYFUNCTION("""COMPUTED_VALUE"""),"https://www.google.com/search?newwindow=1&amp;ei=2MT0XrvGGM-vytMP1OyDgAY&amp;q=site%3Alinkedin.com+Candice+Burgess+Recruiter,+Campus+Programs+NBCUniversal+Media,+LLC")</f>
        <v>https://www.google.com/search?newwindow=1&amp;ei=2MT0XrvGGM-vytMP1OyDgAY&amp;q=site%3Alinkedin.com+Candice+Burgess+Recruiter,+Campus+Programs+NBCUniversal+Media,+LLC</v>
      </c>
      <c r="K3073" s="5" t="str">
        <f t="shared" si="1"/>
        <v>Candice Burgess</v>
      </c>
      <c r="L3073" s="5" t="str">
        <f t="shared" si="2"/>
        <v>Recruiter, Campus Programs</v>
      </c>
      <c r="M3073" s="5" t="str">
        <f t="shared" si="3"/>
        <v> </v>
      </c>
      <c r="N3073" s="5" t="str">
        <f t="shared" si="4"/>
        <v>NBCUniversal Media</v>
      </c>
      <c r="O3073" s="5" t="str">
        <f t="shared" si="5"/>
        <v>5 years 1 month in role and company</v>
      </c>
      <c r="P3073" s="5" t="str">
        <f t="shared" si="6"/>
        <v>Los Angeles</v>
      </c>
      <c r="Q3073" s="5" t="str">
        <f t="shared" si="7"/>
        <v>California</v>
      </c>
      <c r="R3073" s="5" t="str">
        <f t="shared" si="8"/>
        <v>United States</v>
      </c>
    </row>
    <row r="3074">
      <c r="A3074" s="7" t="s">
        <v>2606</v>
      </c>
      <c r="B3074" s="5" t="s">
        <v>2604</v>
      </c>
      <c r="C3074" s="5" t="s">
        <v>2605</v>
      </c>
      <c r="D3074" s="6" t="s">
        <v>13</v>
      </c>
      <c r="E3074" s="5" t="s">
        <v>2589</v>
      </c>
      <c r="F3074" s="5" t="s">
        <v>345</v>
      </c>
      <c r="G3074" s="5" t="s">
        <v>166</v>
      </c>
      <c r="H3074" s="5" t="s">
        <v>44</v>
      </c>
      <c r="I3074" s="5" t="s">
        <v>18</v>
      </c>
      <c r="J3074" s="9" t="str">
        <f>IFERROR(__xludf.DUMMYFUNCTION("""COMPUTED_VALUE"""),"https://www.google.com/search?newwindow=1&amp;ei=2MT0XrvGGM-vytMP1OyDgAY&amp;q=site%3Alinkedin.com+Carol+Christman+Recruiter,+Campus+Programs+NBCUniversal+Media,+LLC")</f>
        <v>https://www.google.com/search?newwindow=1&amp;ei=2MT0XrvGGM-vytMP1OyDgAY&amp;q=site%3Alinkedin.com+Carol+Christman+Recruiter,+Campus+Programs+NBCUniversal+Media,+LLC</v>
      </c>
      <c r="K3074" s="5" t="str">
        <f t="shared" si="1"/>
        <v>Carol Christman</v>
      </c>
      <c r="L3074" s="5" t="str">
        <f t="shared" si="2"/>
        <v>Recruiter, Campus Programs</v>
      </c>
      <c r="M3074" s="5" t="str">
        <f t="shared" si="3"/>
        <v> </v>
      </c>
      <c r="N3074" s="5" t="str">
        <f t="shared" si="4"/>
        <v>NBCUniversal Media</v>
      </c>
      <c r="O3074" s="5" t="str">
        <f t="shared" si="5"/>
        <v>2 years 10 months in role and company</v>
      </c>
      <c r="P3074" s="5" t="str">
        <f t="shared" si="6"/>
        <v>New York</v>
      </c>
      <c r="Q3074" s="5" t="str">
        <f t="shared" si="7"/>
        <v>New York</v>
      </c>
      <c r="R3074" s="5" t="str">
        <f t="shared" si="8"/>
        <v>United States</v>
      </c>
    </row>
    <row r="3075">
      <c r="A3075" s="7" t="s">
        <v>2609</v>
      </c>
      <c r="B3075" s="5" t="s">
        <v>2607</v>
      </c>
      <c r="C3075" s="5" t="s">
        <v>2608</v>
      </c>
      <c r="D3075" s="6" t="s">
        <v>13</v>
      </c>
      <c r="E3075" s="5" t="s">
        <v>2589</v>
      </c>
      <c r="F3075" s="5" t="s">
        <v>192</v>
      </c>
      <c r="G3075" s="5" t="s">
        <v>2282</v>
      </c>
      <c r="H3075" s="5" t="s">
        <v>224</v>
      </c>
      <c r="I3075" s="5" t="s">
        <v>18</v>
      </c>
      <c r="J3075" s="9" t="str">
        <f>IFERROR(__xludf.DUMMYFUNCTION("""COMPUTED_VALUE"""),"https://www.google.com/search?newwindow=1&amp;ei=2MT0XrvGGM-vytMP1OyDgAY&amp;q=site%3Alinkedin.com+Shelly+Punter+Campus+Programs+Recruiter+NBCUniversal+Media,+LLC")</f>
        <v>https://www.google.com/search?newwindow=1&amp;ei=2MT0XrvGGM-vytMP1OyDgAY&amp;q=site%3Alinkedin.com+Shelly+Punter+Campus+Programs+Recruiter+NBCUniversal+Media,+LLC</v>
      </c>
      <c r="K3075" s="5" t="str">
        <f t="shared" si="1"/>
        <v>Shelly Punter</v>
      </c>
      <c r="L3075" s="5" t="str">
        <f t="shared" si="2"/>
        <v>Campus Programs Recruiter</v>
      </c>
      <c r="M3075" s="5" t="str">
        <f t="shared" si="3"/>
        <v> </v>
      </c>
      <c r="N3075" s="5" t="str">
        <f t="shared" si="4"/>
        <v>NBCUniversal Media</v>
      </c>
      <c r="O3075" s="5" t="str">
        <f t="shared" si="5"/>
        <v>9 months in role and company</v>
      </c>
      <c r="P3075" s="5" t="str">
        <f t="shared" si="6"/>
        <v>New York</v>
      </c>
      <c r="Q3075" s="5" t="str">
        <f t="shared" si="7"/>
        <v>New York</v>
      </c>
      <c r="R3075" s="5" t="str">
        <f t="shared" si="8"/>
        <v>United States</v>
      </c>
    </row>
    <row r="3076">
      <c r="A3076" s="8" t="s">
        <v>2614</v>
      </c>
      <c r="B3076" s="5" t="s">
        <v>2610</v>
      </c>
      <c r="C3076" s="5" t="s">
        <v>480</v>
      </c>
      <c r="D3076" s="6" t="s">
        <v>13</v>
      </c>
      <c r="E3076" s="5" t="s">
        <v>2611</v>
      </c>
      <c r="F3076" s="5" t="s">
        <v>2612</v>
      </c>
      <c r="G3076" s="5" t="s">
        <v>2613</v>
      </c>
      <c r="H3076" s="5" t="s">
        <v>949</v>
      </c>
      <c r="I3076" s="5" t="s">
        <v>18</v>
      </c>
      <c r="J3076" s="9" t="str">
        <f>IFERROR(__xludf.DUMMYFUNCTION("""COMPUTED_VALUE"""),"https://www.google.com/search?newwindow=1&amp;ei=2MT0XrvGGM-vytMP1OyDgAY&amp;q=site%3Alinkedin.com+Catherine+Salzman+Campus+Recruiter+NBCUniversal+Media,+LLC")</f>
        <v>https://www.google.com/search?newwindow=1&amp;ei=2MT0XrvGGM-vytMP1OyDgAY&amp;q=site%3Alinkedin.com+Catherine+Salzman+Campus+Recruiter+NBCUniversal+Media,+LLC</v>
      </c>
      <c r="K3076" s="5" t="str">
        <f t="shared" si="1"/>
        <v>Catherine Salzman</v>
      </c>
      <c r="L3076" s="5" t="str">
        <f t="shared" si="2"/>
        <v>Campus Recruiter</v>
      </c>
      <c r="M3076" s="5" t="str">
        <f t="shared" si="3"/>
        <v> </v>
      </c>
      <c r="N3076" s="5" t="str">
        <f t="shared" si="4"/>
        <v>NBCUniversal Media</v>
      </c>
      <c r="O3076" s="5" t="str">
        <f t="shared" si="5"/>
        <v>2 years 10 months in role and company</v>
      </c>
      <c r="P3076" s="5" t="str">
        <f t="shared" si="6"/>
        <v>Westchester County</v>
      </c>
      <c r="Q3076" s="5" t="str">
        <f t="shared" si="7"/>
        <v>New York</v>
      </c>
      <c r="R3076" s="5" t="str">
        <f t="shared" si="8"/>
        <v>United States</v>
      </c>
    </row>
    <row r="3077">
      <c r="A3077" s="7" t="s">
        <v>2617</v>
      </c>
      <c r="B3077" s="5" t="s">
        <v>2615</v>
      </c>
      <c r="C3077" s="5" t="s">
        <v>404</v>
      </c>
      <c r="D3077" s="6" t="s">
        <v>13</v>
      </c>
      <c r="E3077" s="5" t="s">
        <v>2611</v>
      </c>
      <c r="F3077" s="5" t="s">
        <v>523</v>
      </c>
      <c r="G3077" s="5" t="s">
        <v>2616</v>
      </c>
      <c r="H3077" s="5" t="s">
        <v>65</v>
      </c>
      <c r="I3077" s="5" t="s">
        <v>18</v>
      </c>
      <c r="J3077" s="9" t="str">
        <f>IFERROR(__xludf.DUMMYFUNCTION("""COMPUTED_VALUE"""),"https://www.google.com/search?newwindow=1&amp;ei=2MT0XrvGGM-vytMP1OyDgAY&amp;q=site%3Alinkedin.com+Gabrielle+Zuccaro+Campus+Recruiter+Nestlé")</f>
        <v>https://www.google.com/search?newwindow=1&amp;ei=2MT0XrvGGM-vytMP1OyDgAY&amp;q=site%3Alinkedin.com+Gabrielle+Zuccaro+Campus+Recruiter+Nestlé</v>
      </c>
      <c r="K3077" s="5" t="str">
        <f t="shared" si="1"/>
        <v>Gabrielle Zuccaro</v>
      </c>
      <c r="L3077" s="5" t="str">
        <f t="shared" si="2"/>
        <v>Campus Recruiter</v>
      </c>
      <c r="M3077" s="5" t="str">
        <f t="shared" si="3"/>
        <v> </v>
      </c>
      <c r="N3077" s="5" t="str">
        <f t="shared" si="4"/>
        <v>Nestlé</v>
      </c>
      <c r="O3077" s="5" t="str">
        <f t="shared" si="5"/>
        <v>1 year 7 months in role</v>
      </c>
      <c r="P3077" s="5" t="str">
        <f t="shared" si="6"/>
        <v>Cleveland</v>
      </c>
      <c r="Q3077" s="5" t="str">
        <f t="shared" si="7"/>
        <v>Ohio</v>
      </c>
      <c r="R3077" s="5" t="str">
        <f t="shared" si="8"/>
        <v>United States</v>
      </c>
    </row>
    <row r="3078">
      <c r="A3078" s="7" t="s">
        <v>2620</v>
      </c>
      <c r="B3078" s="5" t="s">
        <v>2618</v>
      </c>
      <c r="C3078" s="5" t="s">
        <v>2619</v>
      </c>
      <c r="D3078" s="6" t="s">
        <v>13</v>
      </c>
      <c r="E3078" s="5" t="s">
        <v>2611</v>
      </c>
      <c r="F3078" s="5" t="s">
        <v>277</v>
      </c>
      <c r="G3078" s="5" t="s">
        <v>2616</v>
      </c>
      <c r="H3078" s="5" t="s">
        <v>65</v>
      </c>
      <c r="I3078" s="5" t="s">
        <v>18</v>
      </c>
      <c r="J3078" s="9" t="str">
        <f>IFERROR(__xludf.DUMMYFUNCTION("""COMPUTED_VALUE"""),"https://www.google.com/search?newwindow=1&amp;ei=2MT0XrvGGM-vytMP1OyDgAY&amp;q=site%3Alinkedin.com+Jennifer+Davis+Campus+Recruiter+Nestlé")</f>
        <v>https://www.google.com/search?newwindow=1&amp;ei=2MT0XrvGGM-vytMP1OyDgAY&amp;q=site%3Alinkedin.com+Jennifer+Davis+Campus+Recruiter+Nestlé</v>
      </c>
      <c r="K3078" s="5" t="str">
        <f t="shared" si="1"/>
        <v>Jennifer Davis</v>
      </c>
      <c r="L3078" s="5" t="str">
        <f t="shared" si="2"/>
        <v>Campus Recruiter</v>
      </c>
      <c r="M3078" s="5" t="str">
        <f t="shared" si="3"/>
        <v> </v>
      </c>
      <c r="N3078" s="5" t="str">
        <f t="shared" si="4"/>
        <v>Nestlé</v>
      </c>
      <c r="O3078" s="5" t="str">
        <f t="shared" si="5"/>
        <v>5 months in role and company</v>
      </c>
      <c r="P3078" s="5" t="str">
        <f t="shared" si="6"/>
        <v>Washington</v>
      </c>
      <c r="Q3078" s="5" t="str">
        <f t="shared" si="7"/>
        <v>District of Columbia</v>
      </c>
      <c r="R3078" s="5" t="str">
        <f t="shared" si="8"/>
        <v>United States</v>
      </c>
    </row>
    <row r="3079">
      <c r="A3079" s="7" t="s">
        <v>2622</v>
      </c>
      <c r="B3079" s="5" t="s">
        <v>2621</v>
      </c>
      <c r="C3079" s="5" t="s">
        <v>404</v>
      </c>
      <c r="D3079" s="6" t="s">
        <v>13</v>
      </c>
      <c r="E3079" s="5" t="s">
        <v>2611</v>
      </c>
      <c r="F3079" s="5" t="s">
        <v>1364</v>
      </c>
      <c r="G3079" s="5" t="s">
        <v>2616</v>
      </c>
      <c r="H3079" s="5" t="s">
        <v>65</v>
      </c>
      <c r="I3079" s="5" t="s">
        <v>18</v>
      </c>
      <c r="J3079" s="9" t="str">
        <f>IFERROR(__xludf.DUMMYFUNCTION("""COMPUTED_VALUE"""),"https://www.google.com/search?newwindow=1&amp;ei=2MT0XrvGGM-vytMP1OyDgAY&amp;q=site%3Alinkedin.com+Chris+Heckman+Campus+Recruiter+Nestlé+Waters")</f>
        <v>https://www.google.com/search?newwindow=1&amp;ei=2MT0XrvGGM-vytMP1OyDgAY&amp;q=site%3Alinkedin.com+Chris+Heckman+Campus+Recruiter+Nestlé+Waters</v>
      </c>
      <c r="K3079" s="5" t="str">
        <f t="shared" si="1"/>
        <v>Chris Heckman</v>
      </c>
      <c r="L3079" s="5" t="str">
        <f t="shared" si="2"/>
        <v>Campus Recruiter</v>
      </c>
      <c r="M3079" s="5" t="str">
        <f t="shared" si="3"/>
        <v> </v>
      </c>
      <c r="N3079" s="5" t="str">
        <f t="shared" si="4"/>
        <v>Nestlé</v>
      </c>
      <c r="O3079" s="5" t="str">
        <f t="shared" si="5"/>
        <v>1 year 1 month in role and company</v>
      </c>
      <c r="P3079" s="5" t="str">
        <f t="shared" si="6"/>
        <v>Effort</v>
      </c>
      <c r="Q3079" s="5" t="str">
        <f t="shared" si="7"/>
        <v>Pennsylvania</v>
      </c>
      <c r="R3079" s="5" t="str">
        <f t="shared" si="8"/>
        <v>United States</v>
      </c>
    </row>
    <row r="3080">
      <c r="A3080" s="8" t="s">
        <v>2627</v>
      </c>
      <c r="B3080" s="5" t="s">
        <v>2623</v>
      </c>
      <c r="C3080" s="5" t="s">
        <v>2624</v>
      </c>
      <c r="D3080" s="6" t="s">
        <v>13</v>
      </c>
      <c r="E3080" s="5" t="s">
        <v>2625</v>
      </c>
      <c r="F3080" s="5" t="s">
        <v>217</v>
      </c>
      <c r="G3080" s="5" t="s">
        <v>2626</v>
      </c>
      <c r="H3080" s="5" t="s">
        <v>203</v>
      </c>
      <c r="I3080" s="5" t="s">
        <v>18</v>
      </c>
      <c r="J3080" s="9" t="str">
        <f>IFERROR(__xludf.DUMMYFUNCTION("""COMPUTED_VALUE"""),"https://www.google.com/search?newwindow=1&amp;ei=2MT0XrvGGM-vytMP1OyDgAY&amp;q=site%3Alinkedin.com+Haleigh+Alcala+University+Relations+&amp;+Recruiting+Recruiter+Northrop+Grumman")</f>
        <v>https://www.google.com/search?newwindow=1&amp;ei=2MT0XrvGGM-vytMP1OyDgAY&amp;q=site%3Alinkedin.com+Haleigh+Alcala+University+Relations+&amp;+Recruiting+Recruiter+Northrop+Grumman</v>
      </c>
      <c r="K3080" s="5" t="str">
        <f t="shared" si="1"/>
        <v>Haleigh Alcala</v>
      </c>
      <c r="L3080" s="5" t="str">
        <f t="shared" si="2"/>
        <v>University Relations &amp; Recruiting Recruiter</v>
      </c>
      <c r="M3080" s="5" t="str">
        <f t="shared" si="3"/>
        <v> </v>
      </c>
      <c r="N3080" s="5" t="str">
        <f t="shared" si="4"/>
        <v>Northrop Grumman</v>
      </c>
      <c r="O3080" s="5" t="str">
        <f t="shared" si="5"/>
        <v>3 years 3 months in role</v>
      </c>
      <c r="P3080" s="5" t="str">
        <f t="shared" si="6"/>
        <v>Milton</v>
      </c>
      <c r="Q3080" s="5" t="str">
        <f t="shared" si="7"/>
        <v>Florida</v>
      </c>
      <c r="R3080" s="5" t="str">
        <f t="shared" si="8"/>
        <v>United States</v>
      </c>
    </row>
    <row r="3081">
      <c r="A3081" s="7" t="s">
        <v>2630</v>
      </c>
      <c r="B3081" s="5" t="s">
        <v>2628</v>
      </c>
      <c r="C3081" s="5" t="s">
        <v>110</v>
      </c>
      <c r="D3081" s="6" t="s">
        <v>13</v>
      </c>
      <c r="E3081" s="5" t="s">
        <v>2625</v>
      </c>
      <c r="G3081" s="5" t="s">
        <v>2629</v>
      </c>
      <c r="H3081" s="5" t="s">
        <v>96</v>
      </c>
      <c r="I3081" s="5" t="s">
        <v>18</v>
      </c>
      <c r="J3081" s="9" t="str">
        <f>IFERROR(__xludf.DUMMYFUNCTION("""COMPUTED_VALUE"""),"https://www.google.com/search?newwindow=1&amp;ei=2MT0XrvGGM-vytMP1OyDgAY&amp;q=site%3Alinkedin.com+Zac+Elkins,+MHRM,+SHRM-CP+Campus+Recruiter+Northrop+Grumman")</f>
        <v>https://www.google.com/search?newwindow=1&amp;ei=2MT0XrvGGM-vytMP1OyDgAY&amp;q=site%3Alinkedin.com+Zac+Elkins,+MHRM,+SHRM-CP+Campus+Recruiter+Northrop+Grumman</v>
      </c>
      <c r="K3081" s="5" t="str">
        <f t="shared" si="1"/>
        <v>Zac Elkins, MHRM, SHRM-CP</v>
      </c>
      <c r="L3081" s="5" t="str">
        <f t="shared" si="2"/>
        <v>Campus Recruiter</v>
      </c>
      <c r="M3081" s="5" t="str">
        <f t="shared" si="3"/>
        <v> </v>
      </c>
      <c r="N3081" s="5" t="str">
        <f t="shared" si="4"/>
        <v>Northrop Grumman</v>
      </c>
      <c r="O3081" s="5" t="str">
        <f t="shared" si="5"/>
        <v>1 year 10 months in role and company</v>
      </c>
      <c r="P3081" s="5" t="str">
        <f t="shared" si="6"/>
        <v>Washington</v>
      </c>
      <c r="Q3081" s="5" t="str">
        <f t="shared" si="7"/>
        <v>District of Columbia</v>
      </c>
      <c r="R3081" s="5" t="str">
        <f t="shared" si="8"/>
        <v>United States</v>
      </c>
    </row>
    <row r="3082">
      <c r="A3082" s="8" t="s">
        <v>2634</v>
      </c>
      <c r="B3082" s="5" t="s">
        <v>2631</v>
      </c>
      <c r="C3082" s="5" t="s">
        <v>2632</v>
      </c>
      <c r="D3082" s="6" t="s">
        <v>13</v>
      </c>
      <c r="E3082" s="5" t="s">
        <v>2625</v>
      </c>
      <c r="F3082" s="5" t="s">
        <v>832</v>
      </c>
      <c r="G3082" s="5" t="s">
        <v>2633</v>
      </c>
      <c r="H3082" s="5" t="s">
        <v>203</v>
      </c>
      <c r="I3082" s="5" t="s">
        <v>18</v>
      </c>
      <c r="J3082" s="9" t="str">
        <f>IFERROR(__xludf.DUMMYFUNCTION("""COMPUTED_VALUE"""),"https://www.google.com/search?newwindow=1&amp;ei=2MT0XrvGGM-vytMP1OyDgAY&amp;q=site%3Alinkedin.com+Rhonda+Mabry+Hester+University+Relations+Recruiter+Northrop+Grumman+Corporation")</f>
        <v>https://www.google.com/search?newwindow=1&amp;ei=2MT0XrvGGM-vytMP1OyDgAY&amp;q=site%3Alinkedin.com+Rhonda+Mabry+Hester+University+Relations+Recruiter+Northrop+Grumman+Corporation</v>
      </c>
      <c r="K3082" s="5" t="str">
        <f t="shared" si="1"/>
        <v>Rhonda Mabry Hester</v>
      </c>
      <c r="L3082" s="5" t="str">
        <f t="shared" si="2"/>
        <v>University Relations Recruiter</v>
      </c>
      <c r="M3082" s="5" t="str">
        <f t="shared" si="3"/>
        <v> </v>
      </c>
      <c r="N3082" s="5" t="str">
        <f t="shared" si="4"/>
        <v>Northrop Grumman</v>
      </c>
      <c r="O3082" s="5" t="str">
        <f t="shared" si="5"/>
        <v>6 years 5 months in role and company</v>
      </c>
      <c r="P3082" s="5" t="str">
        <f t="shared" si="6"/>
        <v>Indialantic</v>
      </c>
      <c r="Q3082" s="5" t="str">
        <f t="shared" si="7"/>
        <v>Florida</v>
      </c>
      <c r="R3082" s="5" t="str">
        <f t="shared" si="8"/>
        <v>United States</v>
      </c>
    </row>
    <row r="3083">
      <c r="A3083" s="7" t="s">
        <v>2637</v>
      </c>
      <c r="B3083" s="5" t="s">
        <v>2635</v>
      </c>
      <c r="C3083" s="5" t="s">
        <v>2636</v>
      </c>
      <c r="D3083" s="6" t="s">
        <v>13</v>
      </c>
      <c r="E3083" s="5" t="s">
        <v>2625</v>
      </c>
      <c r="F3083" s="5" t="s">
        <v>188</v>
      </c>
      <c r="G3083" s="5" t="s">
        <v>1131</v>
      </c>
      <c r="H3083" s="5" t="s">
        <v>203</v>
      </c>
      <c r="I3083" s="5" t="s">
        <v>18</v>
      </c>
      <c r="J3083" s="9" t="str">
        <f>IFERROR(__xludf.DUMMYFUNCTION("""COMPUTED_VALUE"""),"https://www.google.com/search?newwindow=1&amp;ei=2MT0XrvGGM-vytMP1OyDgAY&amp;q=site%3Alinkedin.com+Robin+DeAngelis+University+Relations+Recruiter+Northrop+Grumman+Corporation")</f>
        <v>https://www.google.com/search?newwindow=1&amp;ei=2MT0XrvGGM-vytMP1OyDgAY&amp;q=site%3Alinkedin.com+Robin+DeAngelis+University+Relations+Recruiter+Northrop+Grumman+Corporation</v>
      </c>
      <c r="K3083" s="5" t="str">
        <f t="shared" si="1"/>
        <v>Robin DeAngelis</v>
      </c>
      <c r="L3083" s="5" t="str">
        <f t="shared" si="2"/>
        <v>University Relations Recruiter</v>
      </c>
      <c r="M3083" s="5" t="str">
        <f t="shared" si="3"/>
        <v> </v>
      </c>
      <c r="N3083" s="5" t="str">
        <f t="shared" si="4"/>
        <v>Northrop Grumman</v>
      </c>
      <c r="O3083" s="5" t="str">
        <f t="shared" si="5"/>
        <v>4 years 4 months in role and company</v>
      </c>
      <c r="P3083" s="5" t="str">
        <f t="shared" si="6"/>
        <v>Orlando</v>
      </c>
      <c r="Q3083" s="5" t="str">
        <f t="shared" si="7"/>
        <v>Florida</v>
      </c>
      <c r="R3083" s="5" t="str">
        <f t="shared" si="8"/>
        <v>United States</v>
      </c>
    </row>
    <row r="3084">
      <c r="A3084" s="8" t="s">
        <v>2640</v>
      </c>
      <c r="B3084" s="5" t="s">
        <v>2638</v>
      </c>
      <c r="C3084" s="5" t="s">
        <v>2639</v>
      </c>
      <c r="D3084" s="6" t="s">
        <v>13</v>
      </c>
      <c r="E3084" s="5" t="s">
        <v>2625</v>
      </c>
      <c r="F3084" s="5" t="s">
        <v>217</v>
      </c>
      <c r="G3084" s="5" t="s">
        <v>1131</v>
      </c>
      <c r="H3084" s="5" t="s">
        <v>203</v>
      </c>
      <c r="I3084" s="5" t="s">
        <v>18</v>
      </c>
      <c r="J3084" s="9" t="str">
        <f>IFERROR(__xludf.DUMMYFUNCTION("""COMPUTED_VALUE"""),"https://www.google.com/search?newwindow=1&amp;ei=2MT0XrvGGM-vytMP1OyDgAY&amp;q=site%3Alinkedin.com+Stephanie+Dratler+College+Recruiter+Northrop+Grumman+Corporation")</f>
        <v>https://www.google.com/search?newwindow=1&amp;ei=2MT0XrvGGM-vytMP1OyDgAY&amp;q=site%3Alinkedin.com+Stephanie+Dratler+College+Recruiter+Northrop+Grumman+Corporation</v>
      </c>
      <c r="K3084" s="5" t="str">
        <f t="shared" si="1"/>
        <v>Stephanie Dratler</v>
      </c>
      <c r="L3084" s="5" t="str">
        <f t="shared" si="2"/>
        <v>College Recruiter</v>
      </c>
      <c r="M3084" s="5" t="str">
        <f t="shared" si="3"/>
        <v> </v>
      </c>
      <c r="N3084" s="5" t="str">
        <f t="shared" si="4"/>
        <v>Northrop Grumman</v>
      </c>
      <c r="O3084" s="5" t="str">
        <f t="shared" si="5"/>
        <v>4 years 5 months in role</v>
      </c>
      <c r="P3084" s="5" t="str">
        <f t="shared" si="6"/>
        <v>San Diego</v>
      </c>
      <c r="Q3084" s="5" t="str">
        <f t="shared" si="7"/>
        <v>California</v>
      </c>
      <c r="R3084" s="5" t="str">
        <f t="shared" si="8"/>
        <v>United States</v>
      </c>
    </row>
    <row r="3085">
      <c r="A3085" s="8" t="s">
        <v>2644</v>
      </c>
      <c r="B3085" s="5" t="s">
        <v>2641</v>
      </c>
      <c r="C3085" s="5" t="s">
        <v>110</v>
      </c>
      <c r="D3085" s="6" t="s">
        <v>13</v>
      </c>
      <c r="E3085" s="5" t="s">
        <v>2642</v>
      </c>
      <c r="F3085" s="5" t="s">
        <v>111</v>
      </c>
      <c r="G3085" s="5" t="s">
        <v>2643</v>
      </c>
      <c r="H3085" s="5" t="s">
        <v>44</v>
      </c>
      <c r="I3085" s="5" t="s">
        <v>18</v>
      </c>
      <c r="J3085" s="9" t="str">
        <f>IFERROR(__xludf.DUMMYFUNCTION("""COMPUTED_VALUE"""),"https://www.google.com/search?newwindow=1&amp;ei=2MT0XrvGGM-vytMP1OyDgAY&amp;q=site%3Alinkedin.com+Jessica+J.+University+Recruiting+Campus+Manager+NVIDIA")</f>
        <v>https://www.google.com/search?newwindow=1&amp;ei=2MT0XrvGGM-vytMP1OyDgAY&amp;q=site%3Alinkedin.com+Jessica+J.+University+Recruiting+Campus+Manager+NVIDIA</v>
      </c>
      <c r="K3085" s="5" t="str">
        <f t="shared" si="1"/>
        <v>Jessica J.</v>
      </c>
      <c r="L3085" s="5" t="str">
        <f t="shared" si="2"/>
        <v>University Recruiting Campus Manager</v>
      </c>
      <c r="M3085" s="5" t="str">
        <f t="shared" si="3"/>
        <v> </v>
      </c>
      <c r="N3085" s="5" t="str">
        <f t="shared" si="4"/>
        <v>NVIDIA</v>
      </c>
      <c r="O3085" s="5" t="str">
        <f t="shared" si="5"/>
        <v>2 months in role and company</v>
      </c>
      <c r="P3085" s="5" t="str">
        <f t="shared" si="6"/>
        <v>Austin</v>
      </c>
      <c r="Q3085" s="5" t="str">
        <f t="shared" si="7"/>
        <v>Texas</v>
      </c>
      <c r="R3085" s="5" t="str">
        <f t="shared" si="8"/>
        <v>United States</v>
      </c>
    </row>
    <row r="3086">
      <c r="A3086" s="7" t="s">
        <v>2647</v>
      </c>
      <c r="B3086" s="5" t="s">
        <v>2645</v>
      </c>
      <c r="C3086" s="5" t="s">
        <v>25</v>
      </c>
      <c r="D3086" s="6" t="s">
        <v>13</v>
      </c>
      <c r="E3086" s="5" t="s">
        <v>2646</v>
      </c>
      <c r="F3086" s="5" t="s">
        <v>1637</v>
      </c>
      <c r="G3086" s="5" t="s">
        <v>1187</v>
      </c>
      <c r="H3086" s="5" t="s">
        <v>96</v>
      </c>
      <c r="I3086" s="5" t="s">
        <v>18</v>
      </c>
      <c r="J3086" s="9" t="str">
        <f>IFERROR(__xludf.DUMMYFUNCTION("""COMPUTED_VALUE"""),"https://www.google.com/search?newwindow=1&amp;ei=2MT0XrvGGM-vytMP1OyDgAY&amp;q=site%3Alinkedin.com+Jessica+Verley+University+Recruiter+NVIDIA")</f>
        <v>https://www.google.com/search?newwindow=1&amp;ei=2MT0XrvGGM-vytMP1OyDgAY&amp;q=site%3Alinkedin.com+Jessica+Verley+University+Recruiter+NVIDIA</v>
      </c>
      <c r="K3086" s="5" t="str">
        <f t="shared" si="1"/>
        <v>Jessica Verley</v>
      </c>
      <c r="L3086" s="5" t="str">
        <f t="shared" si="2"/>
        <v>University Recruiter</v>
      </c>
      <c r="M3086" s="5" t="str">
        <f t="shared" si="3"/>
        <v> </v>
      </c>
      <c r="N3086" s="5" t="str">
        <f t="shared" si="4"/>
        <v>NVIDIA</v>
      </c>
      <c r="O3086" s="5" t="str">
        <f t="shared" si="5"/>
        <v>4 years 1 month in role and company</v>
      </c>
      <c r="P3086" s="5" t="str">
        <f t="shared" si="6"/>
        <v>Mountain View</v>
      </c>
      <c r="Q3086" s="5" t="str">
        <f t="shared" si="7"/>
        <v>California</v>
      </c>
      <c r="R3086" s="5" t="str">
        <f t="shared" si="8"/>
        <v>United States</v>
      </c>
    </row>
    <row r="3087">
      <c r="A3087" s="7" t="s">
        <v>2651</v>
      </c>
      <c r="B3087" s="5" t="s">
        <v>2648</v>
      </c>
      <c r="C3087" s="5" t="s">
        <v>2649</v>
      </c>
      <c r="D3087" s="6" t="s">
        <v>13</v>
      </c>
      <c r="E3087" s="5" t="s">
        <v>2646</v>
      </c>
      <c r="F3087" s="5" t="s">
        <v>2650</v>
      </c>
      <c r="G3087" s="5" t="s">
        <v>137</v>
      </c>
      <c r="H3087" s="5" t="s">
        <v>137</v>
      </c>
      <c r="I3087" s="5" t="s">
        <v>18</v>
      </c>
      <c r="J3087" s="9" t="str">
        <f>IFERROR(__xludf.DUMMYFUNCTION("""COMPUTED_VALUE"""),"https://www.google.com/search?newwindow=1&amp;ei=2MT0XrvGGM-vytMP1OyDgAY&amp;q=site%3Alinkedin.com+Wendell+Tull+Campus+Recruiting+Manager+NVIDIA")</f>
        <v>https://www.google.com/search?newwindow=1&amp;ei=2MT0XrvGGM-vytMP1OyDgAY&amp;q=site%3Alinkedin.com+Wendell+Tull+Campus+Recruiting+Manager+NVIDIA</v>
      </c>
      <c r="K3087" s="5" t="str">
        <f t="shared" si="1"/>
        <v>Wendell Tull</v>
      </c>
      <c r="L3087" s="5" t="str">
        <f t="shared" si="2"/>
        <v>Campus Recruiting Manager</v>
      </c>
      <c r="M3087" s="5" t="str">
        <f t="shared" si="3"/>
        <v> </v>
      </c>
      <c r="N3087" s="5" t="str">
        <f t="shared" si="4"/>
        <v>NVIDIA</v>
      </c>
      <c r="O3087" s="5" t="str">
        <f t="shared" si="5"/>
        <v>3 months in role and company</v>
      </c>
      <c r="P3087" s="5" t="str">
        <f t="shared" si="6"/>
        <v>San Francisco</v>
      </c>
      <c r="Q3087" s="5" t="str">
        <f t="shared" si="7"/>
        <v>California</v>
      </c>
      <c r="R3087" s="5" t="str">
        <f t="shared" si="8"/>
        <v>United States</v>
      </c>
    </row>
    <row r="3088">
      <c r="A3088" s="7" t="s">
        <v>2653</v>
      </c>
      <c r="B3088" s="5" t="s">
        <v>2652</v>
      </c>
      <c r="C3088" s="5" t="s">
        <v>25</v>
      </c>
      <c r="D3088" s="6" t="s">
        <v>13</v>
      </c>
      <c r="E3088" s="5" t="s">
        <v>2646</v>
      </c>
      <c r="G3088" s="5" t="s">
        <v>137</v>
      </c>
      <c r="H3088" s="5" t="s">
        <v>137</v>
      </c>
      <c r="I3088" s="5" t="s">
        <v>18</v>
      </c>
      <c r="J3088" s="9" t="str">
        <f>IFERROR(__xludf.DUMMYFUNCTION("""COMPUTED_VALUE"""),"https://www.google.com/search?newwindow=1&amp;ei=2MT0XrvGGM-vytMP1OyDgAY&amp;q=site%3Alinkedin.com+Nancy+Huynh+University+Recruiter+NVIDIA")</f>
        <v>https://www.google.com/search?newwindow=1&amp;ei=2MT0XrvGGM-vytMP1OyDgAY&amp;q=site%3Alinkedin.com+Nancy+Huynh+University+Recruiter+NVIDIA</v>
      </c>
      <c r="K3088" s="5" t="str">
        <f t="shared" si="1"/>
        <v>Nancy Huynh</v>
      </c>
      <c r="L3088" s="5" t="str">
        <f t="shared" si="2"/>
        <v>University Recruiter</v>
      </c>
      <c r="M3088" s="5" t="str">
        <f t="shared" si="3"/>
        <v> </v>
      </c>
      <c r="N3088" s="5" t="str">
        <f t="shared" si="4"/>
        <v>NVIDIA</v>
      </c>
      <c r="O3088" s="5" t="str">
        <f t="shared" si="5"/>
        <v>2 months in role</v>
      </c>
      <c r="P3088" s="5" t="str">
        <f t="shared" si="6"/>
        <v>San Francisco</v>
      </c>
      <c r="Q3088" s="5" t="str">
        <f t="shared" si="7"/>
        <v>California</v>
      </c>
      <c r="R3088" s="5" t="str">
        <f t="shared" si="8"/>
        <v>United States</v>
      </c>
    </row>
    <row r="3089">
      <c r="A3089" s="8" t="s">
        <v>2656</v>
      </c>
      <c r="B3089" s="5" t="s">
        <v>2654</v>
      </c>
      <c r="C3089" s="5" t="s">
        <v>2655</v>
      </c>
      <c r="D3089" s="6" t="s">
        <v>13</v>
      </c>
      <c r="E3089" s="5" t="s">
        <v>2646</v>
      </c>
      <c r="F3089" s="5" t="s">
        <v>283</v>
      </c>
      <c r="G3089" s="5" t="s">
        <v>137</v>
      </c>
      <c r="H3089" s="5" t="s">
        <v>137</v>
      </c>
      <c r="I3089" s="5" t="s">
        <v>18</v>
      </c>
      <c r="J3089" s="9" t="str">
        <f>IFERROR(__xludf.DUMMYFUNCTION("""COMPUTED_VALUE"""),"https://www.google.com/search?newwindow=1&amp;ei=2MT0XrvGGM-vytMP1OyDgAY&amp;q=site%3Alinkedin.com+Jennifer+R.+University+Recruiter+NVIDIA")</f>
        <v>https://www.google.com/search?newwindow=1&amp;ei=2MT0XrvGGM-vytMP1OyDgAY&amp;q=site%3Alinkedin.com+Jennifer+R.+University+Recruiter+NVIDIA</v>
      </c>
      <c r="K3089" s="5" t="str">
        <f t="shared" si="1"/>
        <v>Jennifer R.</v>
      </c>
      <c r="L3089" s="5" t="str">
        <f t="shared" si="2"/>
        <v>University Recruiter</v>
      </c>
      <c r="M3089" s="5" t="str">
        <f t="shared" si="3"/>
        <v> </v>
      </c>
      <c r="N3089" s="5" t="str">
        <f t="shared" si="4"/>
        <v>NVIDIA</v>
      </c>
      <c r="O3089" s="5" t="str">
        <f t="shared" si="5"/>
        <v>10 months in role and company</v>
      </c>
      <c r="P3089" s="5" t="str">
        <f t="shared" si="6"/>
        <v>San Francisco</v>
      </c>
      <c r="Q3089" s="5" t="str">
        <f t="shared" si="7"/>
        <v>California</v>
      </c>
      <c r="R3089" s="5" t="str">
        <f t="shared" si="8"/>
        <v>United States</v>
      </c>
    </row>
    <row r="3090">
      <c r="A3090" s="7" t="s">
        <v>2659</v>
      </c>
      <c r="B3090" s="5" t="s">
        <v>2657</v>
      </c>
      <c r="C3090" s="5" t="s">
        <v>2658</v>
      </c>
      <c r="D3090" s="6" t="s">
        <v>13</v>
      </c>
      <c r="E3090" s="5" t="s">
        <v>2646</v>
      </c>
      <c r="F3090" s="5" t="s">
        <v>822</v>
      </c>
      <c r="G3090" s="5" t="s">
        <v>137</v>
      </c>
      <c r="H3090" s="5" t="s">
        <v>137</v>
      </c>
      <c r="I3090" s="5" t="s">
        <v>18</v>
      </c>
      <c r="J3090" s="9" t="str">
        <f>IFERROR(__xludf.DUMMYFUNCTION("""COMPUTED_VALUE"""),"https://www.google.com/search?newwindow=1&amp;ei=2MT0XrvGGM-vytMP1OyDgAY&amp;q=site%3Alinkedin.com+Cynthia+Le+University+Recruiting+Campus+Manager+NVIDIA")</f>
        <v>https://www.google.com/search?newwindow=1&amp;ei=2MT0XrvGGM-vytMP1OyDgAY&amp;q=site%3Alinkedin.com+Cynthia+Le+University+Recruiting+Campus+Manager+NVIDIA</v>
      </c>
      <c r="K3090" s="5" t="str">
        <f t="shared" si="1"/>
        <v>Cynthia Le</v>
      </c>
      <c r="L3090" s="5" t="str">
        <f t="shared" si="2"/>
        <v>University Recruiting Campus Manager</v>
      </c>
      <c r="M3090" s="5" t="str">
        <f t="shared" si="3"/>
        <v> </v>
      </c>
      <c r="N3090" s="5" t="str">
        <f t="shared" si="4"/>
        <v>NVIDIA</v>
      </c>
      <c r="O3090" s="5" t="str">
        <f t="shared" si="5"/>
        <v>4 years 3 months in role</v>
      </c>
      <c r="P3090" s="5" t="str">
        <f t="shared" si="6"/>
        <v>San Francisco</v>
      </c>
      <c r="Q3090" s="5" t="str">
        <f t="shared" si="7"/>
        <v>California</v>
      </c>
      <c r="R3090" s="5" t="str">
        <f t="shared" si="8"/>
        <v>United States</v>
      </c>
    </row>
    <row r="3091">
      <c r="A3091" s="7" t="s">
        <v>2663</v>
      </c>
      <c r="B3091" s="5" t="s">
        <v>2660</v>
      </c>
      <c r="C3091" s="5" t="s">
        <v>2661</v>
      </c>
      <c r="D3091" s="6" t="s">
        <v>13</v>
      </c>
      <c r="E3091" s="5" t="s">
        <v>2646</v>
      </c>
      <c r="F3091" s="5" t="s">
        <v>26</v>
      </c>
      <c r="G3091" s="5" t="s">
        <v>2662</v>
      </c>
      <c r="H3091" s="5" t="s">
        <v>203</v>
      </c>
      <c r="I3091" s="5" t="s">
        <v>18</v>
      </c>
      <c r="J3091" s="9" t="str">
        <f>IFERROR(__xludf.DUMMYFUNCTION("""COMPUTED_VALUE"""),"https://www.google.com/search?newwindow=1&amp;ei=2MT0XrvGGM-vytMP1OyDgAY&amp;q=site%3Alinkedin.com+Ray+Rufino+University+Recruiter+NVIDIA")</f>
        <v>https://www.google.com/search?newwindow=1&amp;ei=2MT0XrvGGM-vytMP1OyDgAY&amp;q=site%3Alinkedin.com+Ray+Rufino+University+Recruiter+NVIDIA</v>
      </c>
      <c r="K3091" s="5" t="str">
        <f t="shared" si="1"/>
        <v>Ray Rufino</v>
      </c>
      <c r="L3091" s="5" t="str">
        <f t="shared" si="2"/>
        <v>University Recruiter</v>
      </c>
      <c r="M3091" s="5" t="str">
        <f t="shared" si="3"/>
        <v> </v>
      </c>
      <c r="N3091" s="5" t="str">
        <f t="shared" si="4"/>
        <v>NVIDIA</v>
      </c>
      <c r="O3091" s="5" t="str">
        <f t="shared" si="5"/>
        <v>11 months in role and company</v>
      </c>
      <c r="P3091" s="5" t="str">
        <f t="shared" si="6"/>
        <v>San Jose</v>
      </c>
      <c r="Q3091" s="5" t="str">
        <f t="shared" si="7"/>
        <v>California</v>
      </c>
      <c r="R3091" s="5" t="str">
        <f t="shared" si="8"/>
        <v>United States</v>
      </c>
    </row>
    <row r="3092">
      <c r="A3092" s="8" t="s">
        <v>2667</v>
      </c>
      <c r="B3092" s="5" t="s">
        <v>2664</v>
      </c>
      <c r="C3092" s="5" t="s">
        <v>2665</v>
      </c>
      <c r="D3092" s="6" t="s">
        <v>13</v>
      </c>
      <c r="E3092" s="5" t="s">
        <v>2646</v>
      </c>
      <c r="F3092" s="5" t="s">
        <v>2288</v>
      </c>
      <c r="G3092" s="5" t="s">
        <v>2666</v>
      </c>
      <c r="H3092" s="5" t="s">
        <v>609</v>
      </c>
      <c r="I3092" s="5" t="s">
        <v>18</v>
      </c>
      <c r="J3092" s="9" t="str">
        <f>IFERROR(__xludf.DUMMYFUNCTION("""COMPUTED_VALUE"""),"https://www.google.com/search?newwindow=1&amp;ei=2MT0XrvGGM-vytMP1OyDgAY&amp;q=site%3Alinkedin.com+Lauren+Silveira+Campus+Manager,+University+Recruiting+NVIDIA")</f>
        <v>https://www.google.com/search?newwindow=1&amp;ei=2MT0XrvGGM-vytMP1OyDgAY&amp;q=site%3Alinkedin.com+Lauren+Silveira+Campus+Manager,+University+Recruiting+NVIDIA</v>
      </c>
      <c r="K3092" s="5" t="str">
        <f t="shared" si="1"/>
        <v>Lauren Silveira</v>
      </c>
      <c r="L3092" s="5" t="str">
        <f t="shared" si="2"/>
        <v>Campus Manager, University Recruiting</v>
      </c>
      <c r="M3092" s="5" t="str">
        <f t="shared" si="3"/>
        <v> </v>
      </c>
      <c r="N3092" s="5" t="str">
        <f t="shared" si="4"/>
        <v>NVIDIA</v>
      </c>
      <c r="O3092" s="5" t="str">
        <f t="shared" si="5"/>
        <v>3 years 4 months in role and company</v>
      </c>
      <c r="P3092" s="5" t="str">
        <f t="shared" si="6"/>
        <v>San Jose</v>
      </c>
      <c r="Q3092" s="5" t="str">
        <f t="shared" si="7"/>
        <v>California</v>
      </c>
      <c r="R3092" s="5" t="str">
        <f t="shared" si="8"/>
        <v>United States</v>
      </c>
    </row>
    <row r="3093">
      <c r="A3093" s="8" t="s">
        <v>2667</v>
      </c>
      <c r="B3093" s="5" t="s">
        <v>2664</v>
      </c>
      <c r="C3093" s="5" t="s">
        <v>2665</v>
      </c>
      <c r="D3093" s="6" t="s">
        <v>13</v>
      </c>
      <c r="E3093" s="5" t="s">
        <v>2646</v>
      </c>
      <c r="F3093" s="5" t="s">
        <v>2288</v>
      </c>
      <c r="G3093" s="5" t="s">
        <v>2666</v>
      </c>
      <c r="H3093" s="5" t="s">
        <v>609</v>
      </c>
      <c r="I3093" s="5" t="s">
        <v>18</v>
      </c>
      <c r="J3093" s="9" t="str">
        <f>IFERROR(__xludf.DUMMYFUNCTION("""COMPUTED_VALUE"""),"https://www.google.com/search?newwindow=1&amp;ei=2MT0XrvGGM-vytMP1OyDgAY&amp;q=site%3Alinkedin.com+Olga+Nikolaev+University+Recruiter+-+Hardware+Engineering,+Deep+Learning,+&amp;+Autonomous+Vehicles+NVIDIA")</f>
        <v>https://www.google.com/search?newwindow=1&amp;ei=2MT0XrvGGM-vytMP1OyDgAY&amp;q=site%3Alinkedin.com+Olga+Nikolaev+University+Recruiter+-+Hardware+Engineering,+Deep+Learning,+&amp;+Autonomous+Vehicles+NVIDIA</v>
      </c>
      <c r="K3093" s="5" t="str">
        <f t="shared" si="1"/>
        <v>Olga Nikolaev</v>
      </c>
      <c r="L3093" s="5" t="str">
        <f t="shared" si="2"/>
        <v>University Recruiter - Hardware Engineering, Deep Learning, &amp; Autonomous Vehicles</v>
      </c>
      <c r="M3093" s="5" t="str">
        <f t="shared" si="3"/>
        <v> </v>
      </c>
      <c r="N3093" s="5" t="str">
        <f t="shared" si="4"/>
        <v>NVIDIA</v>
      </c>
      <c r="O3093" s="5" t="str">
        <f t="shared" si="5"/>
        <v>1 year 2 months in role and company</v>
      </c>
      <c r="P3093" s="5" t="str">
        <f t="shared" si="6"/>
        <v>San Jose</v>
      </c>
      <c r="Q3093" s="5" t="str">
        <f t="shared" si="7"/>
        <v>California</v>
      </c>
      <c r="R3093" s="5" t="str">
        <f t="shared" si="8"/>
        <v>United States</v>
      </c>
    </row>
    <row r="3094">
      <c r="A3094" s="7" t="s">
        <v>2671</v>
      </c>
      <c r="B3094" s="5" t="s">
        <v>2668</v>
      </c>
      <c r="C3094" s="5" t="s">
        <v>2669</v>
      </c>
      <c r="D3094" s="6" t="s">
        <v>13</v>
      </c>
      <c r="E3094" s="5" t="s">
        <v>2646</v>
      </c>
      <c r="F3094" s="5" t="s">
        <v>2670</v>
      </c>
      <c r="G3094" s="5" t="s">
        <v>75</v>
      </c>
      <c r="H3094" s="6" t="s">
        <v>76</v>
      </c>
      <c r="I3094" s="5" t="s">
        <v>18</v>
      </c>
      <c r="J3094" s="9" t="str">
        <f>IFERROR(__xludf.DUMMYFUNCTION("""COMPUTED_VALUE"""),"https://www.google.com/search?newwindow=1&amp;ei=2MT0XrvGGM-vytMP1OyDgAY&amp;q=site%3Alinkedin.com+Eric+Vargas+University+Recruiter+NVIDIA")</f>
        <v>https://www.google.com/search?newwindow=1&amp;ei=2MT0XrvGGM-vytMP1OyDgAY&amp;q=site%3Alinkedin.com+Eric+Vargas+University+Recruiter+NVIDIA</v>
      </c>
      <c r="K3094" s="5" t="str">
        <f t="shared" si="1"/>
        <v>Eric Vargas</v>
      </c>
      <c r="L3094" s="5" t="str">
        <f t="shared" si="2"/>
        <v>University Recruiter</v>
      </c>
      <c r="M3094" s="5" t="str">
        <f t="shared" si="3"/>
        <v> </v>
      </c>
      <c r="N3094" s="5" t="str">
        <f t="shared" si="4"/>
        <v>NVIDIA</v>
      </c>
      <c r="O3094" s="5" t="str">
        <f t="shared" si="5"/>
        <v>1 year  in role</v>
      </c>
      <c r="P3094" s="5" t="str">
        <f t="shared" si="6"/>
        <v>Santa Clara</v>
      </c>
      <c r="Q3094" s="5" t="str">
        <f t="shared" si="7"/>
        <v>California</v>
      </c>
      <c r="R3094" s="5" t="str">
        <f t="shared" si="8"/>
        <v>United States</v>
      </c>
    </row>
    <row r="3095">
      <c r="A3095" s="7" t="s">
        <v>2673</v>
      </c>
      <c r="B3095" s="5" t="s">
        <v>2672</v>
      </c>
      <c r="C3095" s="5" t="s">
        <v>625</v>
      </c>
      <c r="D3095" s="6" t="s">
        <v>13</v>
      </c>
      <c r="E3095" s="5" t="s">
        <v>2646</v>
      </c>
      <c r="F3095" s="5" t="s">
        <v>512</v>
      </c>
      <c r="G3095" s="5" t="s">
        <v>703</v>
      </c>
      <c r="H3095" s="5" t="s">
        <v>137</v>
      </c>
      <c r="I3095" s="5" t="s">
        <v>18</v>
      </c>
      <c r="J3095" s="9" t="str">
        <f>IFERROR(__xludf.DUMMYFUNCTION("""COMPUTED_VALUE"""),"https://www.google.com/search?newwindow=1&amp;ei=2MT0XrvGGM-vytMP1OyDgAY&amp;q=site%3Alinkedin.com+Crystal+Aggarwal+University+Recruiter+NVIDIA")</f>
        <v>https://www.google.com/search?newwindow=1&amp;ei=2MT0XrvGGM-vytMP1OyDgAY&amp;q=site%3Alinkedin.com+Crystal+Aggarwal+University+Recruiter+NVIDIA</v>
      </c>
      <c r="K3095" s="5" t="str">
        <f t="shared" si="1"/>
        <v>Crystal Aggarwal</v>
      </c>
      <c r="L3095" s="5" t="str">
        <f t="shared" si="2"/>
        <v>University Recruiter</v>
      </c>
      <c r="M3095" s="5" t="str">
        <f t="shared" si="3"/>
        <v> </v>
      </c>
      <c r="N3095" s="5" t="str">
        <f t="shared" si="4"/>
        <v>NVIDIA</v>
      </c>
      <c r="O3095" s="5" t="str">
        <f t="shared" si="5"/>
        <v>3 years 8 months in role and company</v>
      </c>
      <c r="P3095" s="5" t="str">
        <f t="shared" si="6"/>
        <v>Santa Clara</v>
      </c>
      <c r="Q3095" s="5" t="str">
        <f t="shared" si="7"/>
        <v>California</v>
      </c>
      <c r="R3095" s="5" t="str">
        <f t="shared" si="8"/>
        <v>United States</v>
      </c>
    </row>
    <row r="3096">
      <c r="A3096" s="7" t="s">
        <v>2676</v>
      </c>
      <c r="B3096" s="5" t="s">
        <v>2674</v>
      </c>
      <c r="C3096" s="5" t="s">
        <v>2675</v>
      </c>
      <c r="D3096" s="6" t="s">
        <v>13</v>
      </c>
      <c r="E3096" s="5" t="s">
        <v>2646</v>
      </c>
      <c r="F3096" s="5" t="s">
        <v>822</v>
      </c>
      <c r="G3096" s="6" t="s">
        <v>64</v>
      </c>
      <c r="H3096" s="6" t="s">
        <v>65</v>
      </c>
      <c r="I3096" s="5" t="s">
        <v>18</v>
      </c>
      <c r="J3096" s="9" t="str">
        <f>IFERROR(__xludf.DUMMYFUNCTION("""COMPUTED_VALUE"""),"https://www.google.com/search?newwindow=1&amp;ei=2MT0XrvGGM-vytMP1OyDgAY&amp;q=site%3Alinkedin.com+Ashley+Jetson+University+Recruiter+-+Research+and+Applied+Research+NVIDIA")</f>
        <v>https://www.google.com/search?newwindow=1&amp;ei=2MT0XrvGGM-vytMP1OyDgAY&amp;q=site%3Alinkedin.com+Ashley+Jetson+University+Recruiter+-+Research+and+Applied+Research+NVIDIA</v>
      </c>
      <c r="K3096" s="5" t="str">
        <f t="shared" si="1"/>
        <v>Ashley Jetson</v>
      </c>
      <c r="L3096" s="5" t="str">
        <f t="shared" si="2"/>
        <v>University Recruiter - Research and Applied Research</v>
      </c>
      <c r="M3096" s="5" t="str">
        <f t="shared" si="3"/>
        <v> </v>
      </c>
      <c r="N3096" s="5" t="str">
        <f t="shared" si="4"/>
        <v>NVIDIA</v>
      </c>
      <c r="O3096" s="5" t="str">
        <f t="shared" si="5"/>
        <v>3 years  in role and company</v>
      </c>
      <c r="P3096" s="5" t="str">
        <f t="shared" si="6"/>
        <v>Santa Clara</v>
      </c>
      <c r="Q3096" s="5" t="str">
        <f t="shared" si="7"/>
        <v>California</v>
      </c>
      <c r="R3096" s="5" t="str">
        <f t="shared" si="8"/>
        <v>United States</v>
      </c>
    </row>
    <row r="3097">
      <c r="A3097" s="7" t="s">
        <v>2678</v>
      </c>
      <c r="B3097" s="5" t="s">
        <v>2677</v>
      </c>
      <c r="C3097" s="5" t="s">
        <v>625</v>
      </c>
      <c r="D3097" s="6" t="s">
        <v>13</v>
      </c>
      <c r="E3097" s="5" t="s">
        <v>2646</v>
      </c>
      <c r="F3097" s="5" t="s">
        <v>496</v>
      </c>
      <c r="G3097" s="6" t="s">
        <v>64</v>
      </c>
      <c r="H3097" s="6" t="s">
        <v>65</v>
      </c>
      <c r="I3097" s="5" t="s">
        <v>18</v>
      </c>
      <c r="J3097" s="9" t="str">
        <f>IFERROR(__xludf.DUMMYFUNCTION("""COMPUTED_VALUE"""),"https://www.google.com/search?newwindow=1&amp;ei=2MT0XrvGGM-vytMP1OyDgAY&amp;q=site%3Alinkedin.com+Jamie+Lockwood+University+Recruiter+NVIDIA")</f>
        <v>https://www.google.com/search?newwindow=1&amp;ei=2MT0XrvGGM-vytMP1OyDgAY&amp;q=site%3Alinkedin.com+Jamie+Lockwood+University+Recruiter+NVIDIA</v>
      </c>
      <c r="K3097" s="5" t="str">
        <f t="shared" si="1"/>
        <v>Jamie Lockwood</v>
      </c>
      <c r="L3097" s="5" t="str">
        <f t="shared" si="2"/>
        <v>University Recruiter</v>
      </c>
      <c r="M3097" s="5" t="str">
        <f t="shared" si="3"/>
        <v> </v>
      </c>
      <c r="N3097" s="5" t="str">
        <f t="shared" si="4"/>
        <v>NVIDIA</v>
      </c>
      <c r="O3097" s="5" t="str">
        <f t="shared" si="5"/>
        <v/>
      </c>
      <c r="P3097" s="5" t="str">
        <f t="shared" si="6"/>
        <v>Santa Clara</v>
      </c>
      <c r="Q3097" s="5" t="str">
        <f t="shared" si="7"/>
        <v>California</v>
      </c>
      <c r="R3097" s="5" t="str">
        <f t="shared" si="8"/>
        <v>United States</v>
      </c>
    </row>
    <row r="3098">
      <c r="A3098" s="8" t="s">
        <v>2681</v>
      </c>
      <c r="B3098" s="5" t="s">
        <v>2679</v>
      </c>
      <c r="C3098" s="5" t="s">
        <v>2680</v>
      </c>
      <c r="D3098" s="6" t="s">
        <v>13</v>
      </c>
      <c r="E3098" s="5" t="s">
        <v>2646</v>
      </c>
      <c r="F3098" s="5" t="s">
        <v>268</v>
      </c>
      <c r="G3098" s="6" t="s">
        <v>64</v>
      </c>
      <c r="H3098" s="6" t="s">
        <v>65</v>
      </c>
      <c r="I3098" s="5" t="s">
        <v>18</v>
      </c>
      <c r="J3098" s="9" t="str">
        <f>IFERROR(__xludf.DUMMYFUNCTION("""COMPUTED_VALUE"""),"https://www.google.com/search?newwindow=1&amp;ei=2MT0XrvGGM-vytMP1OyDgAY&amp;q=site%3Alinkedin.com+Johanna+Lambert+Senior+Campus+Recruiter+Oliver+Wyman")</f>
        <v>https://www.google.com/search?newwindow=1&amp;ei=2MT0XrvGGM-vytMP1OyDgAY&amp;q=site%3Alinkedin.com+Johanna+Lambert+Senior+Campus+Recruiter+Oliver+Wyman</v>
      </c>
      <c r="K3098" s="5" t="str">
        <f t="shared" si="1"/>
        <v>Johanna Lambert</v>
      </c>
      <c r="L3098" s="5" t="str">
        <f t="shared" si="2"/>
        <v>Senior Campus Recruiter</v>
      </c>
      <c r="M3098" s="5" t="str">
        <f t="shared" si="3"/>
        <v> </v>
      </c>
      <c r="N3098" s="5" t="str">
        <f t="shared" si="4"/>
        <v>Oliver Wyman</v>
      </c>
      <c r="O3098" s="5" t="str">
        <f t="shared" si="5"/>
        <v>3 years 10 months in role</v>
      </c>
      <c r="P3098" s="5" t="str">
        <f t="shared" si="6"/>
        <v>Dallas</v>
      </c>
      <c r="Q3098" s="5" t="str">
        <f t="shared" si="7"/>
        <v>Texas</v>
      </c>
      <c r="R3098" s="5" t="str">
        <f t="shared" si="8"/>
        <v>United States</v>
      </c>
    </row>
    <row r="3099">
      <c r="A3099" s="7" t="s">
        <v>2684</v>
      </c>
      <c r="B3099" s="5" t="s">
        <v>2682</v>
      </c>
      <c r="C3099" s="5" t="s">
        <v>2683</v>
      </c>
      <c r="D3099" s="6" t="s">
        <v>13</v>
      </c>
      <c r="E3099" s="5" t="s">
        <v>2646</v>
      </c>
      <c r="F3099" s="5" t="s">
        <v>2252</v>
      </c>
      <c r="G3099" s="5" t="s">
        <v>75</v>
      </c>
      <c r="H3099" s="6" t="s">
        <v>76</v>
      </c>
      <c r="I3099" s="5" t="s">
        <v>18</v>
      </c>
      <c r="J3099" s="9" t="str">
        <f>IFERROR(__xludf.DUMMYFUNCTION("""COMPUTED_VALUE"""),"https://www.google.com/search?newwindow=1&amp;ei=2MT0XrvGGM-vytMP1OyDgAY&amp;q=site%3Alinkedin.com+Tori+Tanner+Campus+Recruiter+Oliver+Wyman")</f>
        <v>https://www.google.com/search?newwindow=1&amp;ei=2MT0XrvGGM-vytMP1OyDgAY&amp;q=site%3Alinkedin.com+Tori+Tanner+Campus+Recruiter+Oliver+Wyman</v>
      </c>
      <c r="K3099" s="5" t="str">
        <f t="shared" si="1"/>
        <v>Tori Tanner</v>
      </c>
      <c r="L3099" s="5" t="str">
        <f t="shared" si="2"/>
        <v>Campus Recruiter</v>
      </c>
      <c r="M3099" s="5" t="str">
        <f t="shared" si="3"/>
        <v> </v>
      </c>
      <c r="N3099" s="5" t="str">
        <f t="shared" si="4"/>
        <v>Oliver Wyman</v>
      </c>
      <c r="O3099" s="5" t="str">
        <f t="shared" si="5"/>
        <v>1 year 4 months in role and company</v>
      </c>
      <c r="P3099" s="5" t="str">
        <f t="shared" si="6"/>
        <v>New York</v>
      </c>
      <c r="Q3099" s="5" t="str">
        <f t="shared" si="7"/>
        <v>New York</v>
      </c>
      <c r="R3099" s="5" t="str">
        <f t="shared" si="8"/>
        <v>United States</v>
      </c>
    </row>
    <row r="3100">
      <c r="A3100" s="8" t="s">
        <v>2687</v>
      </c>
      <c r="B3100" s="5" t="s">
        <v>2685</v>
      </c>
      <c r="C3100" s="5" t="s">
        <v>2686</v>
      </c>
      <c r="D3100" s="6" t="s">
        <v>13</v>
      </c>
      <c r="E3100" s="5" t="s">
        <v>2646</v>
      </c>
      <c r="F3100" s="5" t="s">
        <v>60</v>
      </c>
      <c r="G3100" s="5" t="s">
        <v>75</v>
      </c>
      <c r="H3100" s="6" t="s">
        <v>76</v>
      </c>
      <c r="I3100" s="5" t="s">
        <v>18</v>
      </c>
      <c r="J3100" s="9" t="str">
        <f>IFERROR(__xludf.DUMMYFUNCTION("""COMPUTED_VALUE"""),"https://www.google.com/search?newwindow=1&amp;ei=2MT0XrvGGM-vytMP1OyDgAY&amp;q=site%3Alinkedin.com+Lia+Pizoli+College+Recruiter+Oracle")</f>
        <v>https://www.google.com/search?newwindow=1&amp;ei=2MT0XrvGGM-vytMP1OyDgAY&amp;q=site%3Alinkedin.com+Lia+Pizoli+College+Recruiter+Oracle</v>
      </c>
      <c r="K3100" s="5" t="str">
        <f t="shared" si="1"/>
        <v>Lia Pizoli</v>
      </c>
      <c r="L3100" s="5" t="str">
        <f t="shared" si="2"/>
        <v>College Recruiter</v>
      </c>
      <c r="M3100" s="5" t="str">
        <f t="shared" si="3"/>
        <v> </v>
      </c>
      <c r="N3100" s="5" t="str">
        <f t="shared" si="4"/>
        <v>Oracle</v>
      </c>
      <c r="O3100" s="5" t="str">
        <f t="shared" si="5"/>
        <v>5 years 2 months in role and company</v>
      </c>
      <c r="P3100" s="5" t="str">
        <f t="shared" si="6"/>
        <v>Alexandria</v>
      </c>
      <c r="Q3100" s="5" t="str">
        <f t="shared" si="7"/>
        <v>Virginia</v>
      </c>
      <c r="R3100" s="5" t="str">
        <f t="shared" si="8"/>
        <v>United States</v>
      </c>
    </row>
    <row r="3101">
      <c r="A3101" s="7" t="s">
        <v>2689</v>
      </c>
      <c r="B3101" s="5" t="s">
        <v>2688</v>
      </c>
      <c r="C3101" s="5" t="s">
        <v>25</v>
      </c>
      <c r="D3101" s="6" t="s">
        <v>13</v>
      </c>
      <c r="E3101" s="5" t="s">
        <v>2646</v>
      </c>
      <c r="F3101" s="5" t="s">
        <v>1123</v>
      </c>
      <c r="G3101" s="5" t="s">
        <v>75</v>
      </c>
      <c r="H3101" s="5" t="s">
        <v>76</v>
      </c>
      <c r="I3101" s="5" t="s">
        <v>18</v>
      </c>
      <c r="J3101" s="9" t="str">
        <f>IFERROR(__xludf.DUMMYFUNCTION("""COMPUTED_VALUE"""),"https://www.google.com/search?newwindow=1&amp;ei=2MT0XrvGGM-vytMP1OyDgAY&amp;q=site%3Alinkedin.com+Roxy+Wolfe+Campus+Recruiter+Oracle")</f>
        <v>https://www.google.com/search?newwindow=1&amp;ei=2MT0XrvGGM-vytMP1OyDgAY&amp;q=site%3Alinkedin.com+Roxy+Wolfe+Campus+Recruiter+Oracle</v>
      </c>
      <c r="K3101" s="5" t="str">
        <f t="shared" si="1"/>
        <v>Roxy Wolfe</v>
      </c>
      <c r="L3101" s="5" t="str">
        <f t="shared" si="2"/>
        <v>Campus Recruiter</v>
      </c>
      <c r="M3101" s="5" t="str">
        <f t="shared" si="3"/>
        <v> </v>
      </c>
      <c r="N3101" s="5" t="str">
        <f t="shared" si="4"/>
        <v>Oracle</v>
      </c>
      <c r="O3101" s="5" t="str">
        <f t="shared" si="5"/>
        <v>5 years 7 months in role and company</v>
      </c>
      <c r="P3101" s="5" t="str">
        <f t="shared" si="6"/>
        <v>Austin</v>
      </c>
      <c r="Q3101" s="5" t="str">
        <f t="shared" si="7"/>
        <v>Texas</v>
      </c>
      <c r="R3101" s="5" t="str">
        <f t="shared" si="8"/>
        <v>United States</v>
      </c>
    </row>
    <row r="3102">
      <c r="A3102" s="7" t="s">
        <v>2691</v>
      </c>
      <c r="B3102" s="5" t="s">
        <v>2690</v>
      </c>
      <c r="C3102" s="5" t="s">
        <v>625</v>
      </c>
      <c r="D3102" s="6" t="s">
        <v>13</v>
      </c>
      <c r="E3102" s="5" t="s">
        <v>2646</v>
      </c>
      <c r="F3102" s="5" t="s">
        <v>136</v>
      </c>
      <c r="G3102" s="5" t="s">
        <v>80</v>
      </c>
      <c r="H3102" s="5" t="s">
        <v>38</v>
      </c>
      <c r="I3102" s="5" t="s">
        <v>18</v>
      </c>
      <c r="J3102" s="9" t="str">
        <f>IFERROR(__xludf.DUMMYFUNCTION("""COMPUTED_VALUE"""),"https://www.google.com/search?newwindow=1&amp;ei=2MT0XrvGGM-vytMP1OyDgAY&amp;q=site%3Alinkedin.com+Andrea+Kelley+Campus+Recruiter+Oracle")</f>
        <v>https://www.google.com/search?newwindow=1&amp;ei=2MT0XrvGGM-vytMP1OyDgAY&amp;q=site%3Alinkedin.com+Andrea+Kelley+Campus+Recruiter+Oracle</v>
      </c>
      <c r="K3102" s="5" t="str">
        <f t="shared" si="1"/>
        <v>Andrea Kelley</v>
      </c>
      <c r="L3102" s="5" t="str">
        <f t="shared" si="2"/>
        <v>Campus Recruiter</v>
      </c>
      <c r="M3102" s="5" t="str">
        <f t="shared" si="3"/>
        <v> </v>
      </c>
      <c r="N3102" s="5" t="str">
        <f t="shared" si="4"/>
        <v>Oracle</v>
      </c>
      <c r="O3102" s="5" t="str">
        <f t="shared" si="5"/>
        <v>2 years  in role and company</v>
      </c>
      <c r="P3102" s="5" t="str">
        <f t="shared" si="6"/>
        <v>Austin</v>
      </c>
      <c r="Q3102" s="5" t="str">
        <f t="shared" si="7"/>
        <v>Texas</v>
      </c>
      <c r="R3102" s="5" t="str">
        <f t="shared" si="8"/>
        <v>United States</v>
      </c>
    </row>
    <row r="3103">
      <c r="A3103" s="7" t="s">
        <v>2693</v>
      </c>
      <c r="B3103" s="5" t="s">
        <v>1045</v>
      </c>
      <c r="C3103" s="5" t="s">
        <v>2692</v>
      </c>
      <c r="D3103" s="6" t="s">
        <v>13</v>
      </c>
      <c r="E3103" s="5" t="s">
        <v>2646</v>
      </c>
      <c r="F3103" s="5" t="s">
        <v>399</v>
      </c>
      <c r="G3103" s="5" t="s">
        <v>80</v>
      </c>
      <c r="H3103" s="5" t="s">
        <v>38</v>
      </c>
      <c r="I3103" s="5" t="s">
        <v>18</v>
      </c>
      <c r="J3103" s="9" t="str">
        <f>IFERROR(__xludf.DUMMYFUNCTION("""COMPUTED_VALUE"""),"https://www.google.com/search?newwindow=1&amp;ei=2MT0XrvGGM-vytMP1OyDgAY&amp;q=site%3Alinkedin.com+Ali+Brooks+Senior+College+Recruiter+Oracle")</f>
        <v>https://www.google.com/search?newwindow=1&amp;ei=2MT0XrvGGM-vytMP1OyDgAY&amp;q=site%3Alinkedin.com+Ali+Brooks+Senior+College+Recruiter+Oracle</v>
      </c>
      <c r="K3103" s="5" t="str">
        <f t="shared" si="1"/>
        <v>Ali Brooks</v>
      </c>
      <c r="L3103" s="5" t="str">
        <f t="shared" si="2"/>
        <v>Senior College Recruiter</v>
      </c>
      <c r="M3103" s="5" t="str">
        <f t="shared" si="3"/>
        <v> </v>
      </c>
      <c r="N3103" s="5" t="str">
        <f t="shared" si="4"/>
        <v>Oracle</v>
      </c>
      <c r="O3103" s="5" t="str">
        <f t="shared" si="5"/>
        <v>1 year  in role and company</v>
      </c>
      <c r="P3103" s="5" t="str">
        <f t="shared" si="6"/>
        <v>Bellevue</v>
      </c>
      <c r="Q3103" s="5" t="str">
        <f t="shared" si="7"/>
        <v>Washington</v>
      </c>
      <c r="R3103" s="5" t="str">
        <f t="shared" si="8"/>
        <v>United States</v>
      </c>
    </row>
    <row r="3104">
      <c r="A3104" s="7" t="s">
        <v>2695</v>
      </c>
      <c r="B3104" s="5" t="s">
        <v>2694</v>
      </c>
      <c r="C3104" s="5" t="s">
        <v>25</v>
      </c>
      <c r="D3104" s="6" t="s">
        <v>13</v>
      </c>
      <c r="E3104" s="5" t="s">
        <v>2646</v>
      </c>
      <c r="F3104" s="5" t="s">
        <v>136</v>
      </c>
      <c r="G3104" s="5" t="s">
        <v>80</v>
      </c>
      <c r="H3104" s="5" t="s">
        <v>38</v>
      </c>
      <c r="I3104" s="5" t="s">
        <v>18</v>
      </c>
      <c r="J3104" s="9" t="str">
        <f>IFERROR(__xludf.DUMMYFUNCTION("""COMPUTED_VALUE"""),"https://www.google.com/search?newwindow=1&amp;ei=2MT0XrvGGM-vytMP1OyDgAY&amp;q=site%3Alinkedin.com+Michelle+Bilodeau+College+Recruiter+Oracle")</f>
        <v>https://www.google.com/search?newwindow=1&amp;ei=2MT0XrvGGM-vytMP1OyDgAY&amp;q=site%3Alinkedin.com+Michelle+Bilodeau+College+Recruiter+Oracle</v>
      </c>
      <c r="K3104" s="5" t="str">
        <f t="shared" si="1"/>
        <v>Michelle Bilodeau</v>
      </c>
      <c r="L3104" s="5" t="str">
        <f t="shared" si="2"/>
        <v>College Recruiter</v>
      </c>
      <c r="M3104" s="5" t="str">
        <f t="shared" si="3"/>
        <v> </v>
      </c>
      <c r="N3104" s="5" t="str">
        <f t="shared" si="4"/>
        <v>Oracle</v>
      </c>
      <c r="O3104" s="5" t="str">
        <f t="shared" si="5"/>
        <v>2 years 1 month in role and company</v>
      </c>
      <c r="P3104" s="5" t="str">
        <f t="shared" si="6"/>
        <v>Boston</v>
      </c>
      <c r="Q3104" s="5" t="str">
        <f t="shared" si="7"/>
        <v>Massachusetts</v>
      </c>
      <c r="R3104" s="5" t="str">
        <f t="shared" si="8"/>
        <v>United States</v>
      </c>
    </row>
    <row r="3105">
      <c r="A3105" s="8" t="s">
        <v>2699</v>
      </c>
      <c r="B3105" s="5" t="s">
        <v>2696</v>
      </c>
      <c r="C3105" s="5" t="s">
        <v>2697</v>
      </c>
      <c r="D3105" s="6" t="s">
        <v>13</v>
      </c>
      <c r="E3105" s="5" t="s">
        <v>2646</v>
      </c>
      <c r="F3105" s="5" t="s">
        <v>314</v>
      </c>
      <c r="G3105" s="5" t="s">
        <v>2698</v>
      </c>
      <c r="H3105" s="5" t="s">
        <v>38</v>
      </c>
      <c r="I3105" s="5" t="s">
        <v>18</v>
      </c>
      <c r="J3105" s="9" t="str">
        <f>IFERROR(__xludf.DUMMYFUNCTION("""COMPUTED_VALUE"""),"https://www.google.com/search?newwindow=1&amp;ei=2MT0XrvGGM-vytMP1OyDgAY&amp;q=site%3Alinkedin.com+Christian+Golofaro+Campus+Recruiter+Oracle")</f>
        <v>https://www.google.com/search?newwindow=1&amp;ei=2MT0XrvGGM-vytMP1OyDgAY&amp;q=site%3Alinkedin.com+Christian+Golofaro+Campus+Recruiter+Oracle</v>
      </c>
      <c r="K3105" s="5" t="str">
        <f t="shared" si="1"/>
        <v>Christian Golofaro</v>
      </c>
      <c r="L3105" s="5" t="str">
        <f t="shared" si="2"/>
        <v>Campus Recruiter</v>
      </c>
      <c r="M3105" s="5" t="str">
        <f t="shared" si="3"/>
        <v> </v>
      </c>
      <c r="N3105" s="5" t="str">
        <f t="shared" si="4"/>
        <v>Oracle</v>
      </c>
      <c r="O3105" s="5" t="str">
        <f t="shared" si="5"/>
        <v>3 years 2 months in role</v>
      </c>
      <c r="P3105" s="5" t="str">
        <f t="shared" si="6"/>
        <v>Boston</v>
      </c>
      <c r="Q3105" s="5" t="str">
        <f t="shared" si="7"/>
        <v>Massachusetts</v>
      </c>
      <c r="R3105" s="5" t="str">
        <f t="shared" si="8"/>
        <v>United States</v>
      </c>
    </row>
    <row r="3106">
      <c r="A3106" s="7" t="s">
        <v>2703</v>
      </c>
      <c r="B3106" s="5" t="s">
        <v>2700</v>
      </c>
      <c r="C3106" s="5" t="s">
        <v>2701</v>
      </c>
      <c r="D3106" s="6" t="s">
        <v>13</v>
      </c>
      <c r="E3106" s="5" t="s">
        <v>2646</v>
      </c>
      <c r="F3106" s="5" t="s">
        <v>651</v>
      </c>
      <c r="G3106" s="5" t="s">
        <v>2702</v>
      </c>
      <c r="H3106" s="5" t="s">
        <v>38</v>
      </c>
      <c r="I3106" s="5" t="s">
        <v>18</v>
      </c>
      <c r="J3106" s="9" t="str">
        <f>IFERROR(__xludf.DUMMYFUNCTION("""COMPUTED_VALUE"""),"https://www.google.com/search?newwindow=1&amp;ei=2MT0XrvGGM-vytMP1OyDgAY&amp;q=site%3Alinkedin.com+Samantha+Birkel+College+Recruiter+Oracle")</f>
        <v>https://www.google.com/search?newwindow=1&amp;ei=2MT0XrvGGM-vytMP1OyDgAY&amp;q=site%3Alinkedin.com+Samantha+Birkel+College+Recruiter+Oracle</v>
      </c>
      <c r="K3106" s="5" t="str">
        <f t="shared" si="1"/>
        <v>Samantha Birkel</v>
      </c>
      <c r="L3106" s="5" t="str">
        <f t="shared" si="2"/>
        <v>College Recruiter</v>
      </c>
      <c r="M3106" s="5" t="str">
        <f t="shared" si="3"/>
        <v> </v>
      </c>
      <c r="N3106" s="5" t="str">
        <f t="shared" si="4"/>
        <v>Oracle</v>
      </c>
      <c r="O3106" s="5" t="str">
        <f t="shared" si="5"/>
        <v>6 years 11 months in role</v>
      </c>
      <c r="P3106" s="5" t="str">
        <f t="shared" si="6"/>
        <v>Chicago</v>
      </c>
      <c r="Q3106" s="5" t="str">
        <f t="shared" si="7"/>
        <v>Illinois</v>
      </c>
      <c r="R3106" s="5" t="str">
        <f t="shared" si="8"/>
        <v>United States</v>
      </c>
    </row>
    <row r="3107">
      <c r="A3107" s="8" t="s">
        <v>2707</v>
      </c>
      <c r="B3107" s="5" t="s">
        <v>2704</v>
      </c>
      <c r="C3107" s="5" t="s">
        <v>2705</v>
      </c>
      <c r="D3107" s="6" t="s">
        <v>13</v>
      </c>
      <c r="E3107" s="5" t="s">
        <v>2646</v>
      </c>
      <c r="F3107" s="5" t="s">
        <v>832</v>
      </c>
      <c r="G3107" s="5" t="s">
        <v>2706</v>
      </c>
      <c r="H3107" s="5" t="s">
        <v>96</v>
      </c>
      <c r="I3107" s="5" t="s">
        <v>18</v>
      </c>
      <c r="J3107" s="9" t="str">
        <f>IFERROR(__xludf.DUMMYFUNCTION("""COMPUTED_VALUE"""),"https://www.google.com/search?newwindow=1&amp;ei=2MT0XrvGGM-vytMP1OyDgAY&amp;q=site%3Alinkedin.com+Sherice+Lane+College+Recruiter+Oracle")</f>
        <v>https://www.google.com/search?newwindow=1&amp;ei=2MT0XrvGGM-vytMP1OyDgAY&amp;q=site%3Alinkedin.com+Sherice+Lane+College+Recruiter+Oracle</v>
      </c>
      <c r="K3107" s="5" t="str">
        <f t="shared" si="1"/>
        <v>Sherice Lane</v>
      </c>
      <c r="L3107" s="5" t="str">
        <f t="shared" si="2"/>
        <v>College Recruiter</v>
      </c>
      <c r="M3107" s="5" t="str">
        <f t="shared" si="3"/>
        <v> </v>
      </c>
      <c r="N3107" s="5" t="str">
        <f t="shared" si="4"/>
        <v>Oracle</v>
      </c>
      <c r="O3107" s="5" t="str">
        <f t="shared" si="5"/>
        <v>3 years 2 months in role and company</v>
      </c>
      <c r="P3107" s="5" t="str">
        <f t="shared" si="6"/>
        <v>Chico</v>
      </c>
      <c r="Q3107" s="5" t="str">
        <f t="shared" si="7"/>
        <v>California</v>
      </c>
      <c r="R3107" s="5" t="str">
        <f t="shared" si="8"/>
        <v>United States</v>
      </c>
    </row>
    <row r="3108">
      <c r="A3108" s="7" t="s">
        <v>2709</v>
      </c>
      <c r="B3108" s="5" t="s">
        <v>2708</v>
      </c>
      <c r="C3108" s="5" t="s">
        <v>25</v>
      </c>
      <c r="D3108" s="6" t="s">
        <v>13</v>
      </c>
      <c r="E3108" s="5" t="s">
        <v>2646</v>
      </c>
      <c r="F3108" s="5" t="s">
        <v>446</v>
      </c>
      <c r="G3108" s="5" t="s">
        <v>112</v>
      </c>
      <c r="H3108" s="5" t="s">
        <v>38</v>
      </c>
      <c r="I3108" s="5" t="s">
        <v>18</v>
      </c>
      <c r="J3108" s="9" t="str">
        <f>IFERROR(__xludf.DUMMYFUNCTION("""COMPUTED_VALUE"""),"https://www.google.com/search?newwindow=1&amp;ei=2MT0XrvGGM-vytMP1OyDgAY&amp;q=site%3Alinkedin.com+Ralfiel+Wright+University+Recruiter+Oracle")</f>
        <v>https://www.google.com/search?newwindow=1&amp;ei=2MT0XrvGGM-vytMP1OyDgAY&amp;q=site%3Alinkedin.com+Ralfiel+Wright+University+Recruiter+Oracle</v>
      </c>
      <c r="K3108" s="5" t="str">
        <f t="shared" si="1"/>
        <v>Ralfiel Wright</v>
      </c>
      <c r="L3108" s="5" t="str">
        <f t="shared" si="2"/>
        <v>University Recruiter</v>
      </c>
      <c r="M3108" s="5" t="str">
        <f t="shared" si="3"/>
        <v> </v>
      </c>
      <c r="N3108" s="5" t="str">
        <f t="shared" si="4"/>
        <v>Oracle</v>
      </c>
      <c r="O3108" s="5" t="str">
        <f t="shared" si="5"/>
        <v>2 years 10 months in role and company</v>
      </c>
      <c r="P3108" s="5" t="str">
        <f t="shared" si="6"/>
        <v>Dallas</v>
      </c>
      <c r="Q3108" s="5" t="str">
        <f t="shared" si="7"/>
        <v>Texas</v>
      </c>
      <c r="R3108" s="5" t="str">
        <f t="shared" si="8"/>
        <v>United States</v>
      </c>
    </row>
    <row r="3109">
      <c r="A3109" s="7" t="s">
        <v>2711</v>
      </c>
      <c r="B3109" s="5" t="s">
        <v>2710</v>
      </c>
      <c r="C3109" s="5" t="s">
        <v>371</v>
      </c>
      <c r="D3109" s="6" t="s">
        <v>13</v>
      </c>
      <c r="E3109" s="5" t="s">
        <v>2646</v>
      </c>
      <c r="F3109" s="5" t="s">
        <v>455</v>
      </c>
      <c r="G3109" s="5" t="s">
        <v>137</v>
      </c>
      <c r="H3109" s="5" t="s">
        <v>137</v>
      </c>
      <c r="I3109" s="5" t="s">
        <v>18</v>
      </c>
      <c r="J3109" s="9" t="str">
        <f>IFERROR(__xludf.DUMMYFUNCTION("""COMPUTED_VALUE"""),"https://www.google.com/search?newwindow=1&amp;ei=2MT0XrvGGM-vytMP1OyDgAY&amp;q=site%3Alinkedin.com+Nicole+Holliman+College+Recruiter+Oracle")</f>
        <v>https://www.google.com/search?newwindow=1&amp;ei=2MT0XrvGGM-vytMP1OyDgAY&amp;q=site%3Alinkedin.com+Nicole+Holliman+College+Recruiter+Oracle</v>
      </c>
      <c r="K3109" s="5" t="str">
        <f t="shared" si="1"/>
        <v>Nicole Holliman</v>
      </c>
      <c r="L3109" s="5" t="str">
        <f t="shared" si="2"/>
        <v>College Recruiter</v>
      </c>
      <c r="M3109" s="5" t="str">
        <f t="shared" si="3"/>
        <v> </v>
      </c>
      <c r="N3109" s="5" t="str">
        <f t="shared" si="4"/>
        <v>Oracle</v>
      </c>
      <c r="O3109" s="5" t="str">
        <f t="shared" si="5"/>
        <v>3 years 4 months in role and company</v>
      </c>
      <c r="P3109" s="5" t="str">
        <f t="shared" si="6"/>
        <v>Dallas</v>
      </c>
      <c r="Q3109" s="5" t="str">
        <f t="shared" si="7"/>
        <v>Texas</v>
      </c>
      <c r="R3109" s="5" t="str">
        <f t="shared" si="8"/>
        <v>United States</v>
      </c>
    </row>
    <row r="3110">
      <c r="A3110" s="7" t="s">
        <v>2713</v>
      </c>
      <c r="B3110" s="5" t="s">
        <v>2712</v>
      </c>
      <c r="C3110" s="5" t="s">
        <v>371</v>
      </c>
      <c r="D3110" s="6" t="s">
        <v>13</v>
      </c>
      <c r="E3110" s="5" t="s">
        <v>2646</v>
      </c>
      <c r="F3110" s="5" t="s">
        <v>774</v>
      </c>
      <c r="G3110" s="5" t="s">
        <v>137</v>
      </c>
      <c r="H3110" s="5" t="s">
        <v>137</v>
      </c>
      <c r="I3110" s="5" t="s">
        <v>18</v>
      </c>
      <c r="J3110" s="9" t="str">
        <f>IFERROR(__xludf.DUMMYFUNCTION("""COMPUTED_VALUE"""),"https://www.google.com/search?newwindow=1&amp;ei=2MT0XrvGGM-vytMP1OyDgAY&amp;q=site%3Alinkedin.com+Lauren+Martinez+College+Recruiter+Oracle")</f>
        <v>https://www.google.com/search?newwindow=1&amp;ei=2MT0XrvGGM-vytMP1OyDgAY&amp;q=site%3Alinkedin.com+Lauren+Martinez+College+Recruiter+Oracle</v>
      </c>
      <c r="K3110" s="5" t="str">
        <f t="shared" si="1"/>
        <v>Lauren Martinez</v>
      </c>
      <c r="L3110" s="5" t="str">
        <f t="shared" si="2"/>
        <v>College Recruiter</v>
      </c>
      <c r="M3110" s="5" t="str">
        <f t="shared" si="3"/>
        <v> </v>
      </c>
      <c r="N3110" s="5" t="str">
        <f t="shared" si="4"/>
        <v>Oracle</v>
      </c>
      <c r="O3110" s="5" t="str">
        <f t="shared" si="5"/>
        <v>1 year 11 months in role</v>
      </c>
      <c r="P3110" s="5" t="str">
        <f t="shared" si="6"/>
        <v>Houston</v>
      </c>
      <c r="Q3110" s="5" t="str">
        <f t="shared" si="7"/>
        <v>Texas</v>
      </c>
      <c r="R3110" s="5" t="str">
        <f t="shared" si="8"/>
        <v>United States</v>
      </c>
    </row>
    <row r="3111">
      <c r="A3111" s="7" t="s">
        <v>2713</v>
      </c>
      <c r="B3111" s="5" t="s">
        <v>2712</v>
      </c>
      <c r="C3111" s="5" t="s">
        <v>371</v>
      </c>
      <c r="D3111" s="6" t="s">
        <v>13</v>
      </c>
      <c r="E3111" s="5" t="s">
        <v>2646</v>
      </c>
      <c r="F3111" s="5" t="s">
        <v>774</v>
      </c>
      <c r="G3111" s="5" t="s">
        <v>137</v>
      </c>
      <c r="H3111" s="5" t="s">
        <v>137</v>
      </c>
      <c r="I3111" s="5" t="s">
        <v>18</v>
      </c>
      <c r="J3111" s="9" t="str">
        <f>IFERROR(__xludf.DUMMYFUNCTION("""COMPUTED_VALUE"""),"https://www.google.com/search?newwindow=1&amp;ei=2MT0XrvGGM-vytMP1OyDgAY&amp;q=site%3Alinkedin.com+Sophie+Jenkins+College+Recruiter+Oracle")</f>
        <v>https://www.google.com/search?newwindow=1&amp;ei=2MT0XrvGGM-vytMP1OyDgAY&amp;q=site%3Alinkedin.com+Sophie+Jenkins+College+Recruiter+Oracle</v>
      </c>
      <c r="K3111" s="5" t="str">
        <f t="shared" si="1"/>
        <v>Sophie Jenkins</v>
      </c>
      <c r="L3111" s="5" t="str">
        <f t="shared" si="2"/>
        <v>College Recruiter</v>
      </c>
      <c r="M3111" s="5" t="str">
        <f t="shared" si="3"/>
        <v> </v>
      </c>
      <c r="N3111" s="5" t="str">
        <f t="shared" si="4"/>
        <v>Oracle</v>
      </c>
      <c r="O3111" s="5" t="str">
        <f t="shared" si="5"/>
        <v>1 year 10 months in role and company</v>
      </c>
      <c r="P3111" s="5" t="str">
        <f t="shared" si="6"/>
        <v>Lexington</v>
      </c>
      <c r="Q3111" s="5" t="str">
        <f t="shared" si="7"/>
        <v>Kentucky</v>
      </c>
      <c r="R3111" s="5" t="str">
        <f t="shared" si="8"/>
        <v>United States</v>
      </c>
    </row>
    <row r="3112">
      <c r="A3112" s="8" t="s">
        <v>2716</v>
      </c>
      <c r="B3112" s="5" t="s">
        <v>2714</v>
      </c>
      <c r="C3112" s="5" t="s">
        <v>2715</v>
      </c>
      <c r="D3112" s="6" t="s">
        <v>13</v>
      </c>
      <c r="E3112" s="5" t="s">
        <v>2646</v>
      </c>
      <c r="F3112" s="5" t="s">
        <v>125</v>
      </c>
      <c r="G3112" s="5" t="s">
        <v>137</v>
      </c>
      <c r="H3112" s="5" t="s">
        <v>137</v>
      </c>
      <c r="I3112" s="5" t="s">
        <v>18</v>
      </c>
      <c r="J3112" s="9" t="str">
        <f>IFERROR(__xludf.DUMMYFUNCTION("""COMPUTED_VALUE"""),"https://www.google.com/search?newwindow=1&amp;ei=2MT0XrvGGM-vytMP1OyDgAY&amp;q=site%3Alinkedin.com+A.J.+Perez+College+Recruiter+Oracle")</f>
        <v>https://www.google.com/search?newwindow=1&amp;ei=2MT0XrvGGM-vytMP1OyDgAY&amp;q=site%3Alinkedin.com+A.J.+Perez+College+Recruiter+Oracle</v>
      </c>
      <c r="K3112" s="5" t="str">
        <f t="shared" si="1"/>
        <v>A.J. Perez</v>
      </c>
      <c r="L3112" s="5" t="str">
        <f t="shared" si="2"/>
        <v>College Recruiter</v>
      </c>
      <c r="M3112" s="5" t="str">
        <f t="shared" si="3"/>
        <v> </v>
      </c>
      <c r="N3112" s="5" t="str">
        <f t="shared" si="4"/>
        <v>Oracle</v>
      </c>
      <c r="O3112" s="5" t="str">
        <f t="shared" si="5"/>
        <v>2 years 6 months in role and company</v>
      </c>
      <c r="P3112" s="5" t="str">
        <f t="shared" si="6"/>
        <v>Los Angeles</v>
      </c>
      <c r="Q3112" s="5" t="str">
        <f t="shared" si="7"/>
        <v>California</v>
      </c>
      <c r="R3112" s="5" t="str">
        <f t="shared" si="8"/>
        <v>United States</v>
      </c>
    </row>
    <row r="3113">
      <c r="A3113" s="8" t="s">
        <v>2719</v>
      </c>
      <c r="B3113" s="5" t="s">
        <v>2717</v>
      </c>
      <c r="C3113" s="5" t="s">
        <v>2718</v>
      </c>
      <c r="D3113" s="6" t="s">
        <v>13</v>
      </c>
      <c r="E3113" s="5" t="s">
        <v>2646</v>
      </c>
      <c r="F3113" s="5" t="s">
        <v>125</v>
      </c>
      <c r="G3113" s="5" t="s">
        <v>137</v>
      </c>
      <c r="H3113" s="5" t="s">
        <v>137</v>
      </c>
      <c r="I3113" s="5" t="s">
        <v>18</v>
      </c>
      <c r="J3113" s="9" t="str">
        <f>IFERROR(__xludf.DUMMYFUNCTION("""COMPUTED_VALUE"""),"https://www.google.com/search?newwindow=1&amp;ei=2MT0XrvGGM-vytMP1OyDgAY&amp;q=site%3Alinkedin.com+Allyson+Dubois+Oracle+College+Recruiter+Oracle")</f>
        <v>https://www.google.com/search?newwindow=1&amp;ei=2MT0XrvGGM-vytMP1OyDgAY&amp;q=site%3Alinkedin.com+Allyson+Dubois+Oracle+College+Recruiter+Oracle</v>
      </c>
      <c r="K3113" s="5" t="str">
        <f t="shared" si="1"/>
        <v>Allyson Dubois</v>
      </c>
      <c r="L3113" s="5" t="str">
        <f t="shared" si="2"/>
        <v>Oracle College Recruiter</v>
      </c>
      <c r="M3113" s="5" t="str">
        <f t="shared" si="3"/>
        <v> </v>
      </c>
      <c r="N3113" s="5" t="str">
        <f t="shared" si="4"/>
        <v>Oracle</v>
      </c>
      <c r="O3113" s="5" t="str">
        <f t="shared" si="5"/>
        <v>8 years 3 months in role and company</v>
      </c>
      <c r="P3113" s="5" t="str">
        <f t="shared" si="6"/>
        <v>Lowell</v>
      </c>
      <c r="Q3113" s="5" t="str">
        <f t="shared" si="7"/>
        <v>Massachusetts</v>
      </c>
      <c r="R3113" s="5" t="str">
        <f t="shared" si="8"/>
        <v>United States</v>
      </c>
    </row>
    <row r="3114">
      <c r="A3114" s="8" t="s">
        <v>2722</v>
      </c>
      <c r="B3114" s="5" t="s">
        <v>2720</v>
      </c>
      <c r="C3114" s="5" t="s">
        <v>2721</v>
      </c>
      <c r="D3114" s="6" t="s">
        <v>13</v>
      </c>
      <c r="E3114" s="5" t="s">
        <v>2646</v>
      </c>
      <c r="F3114" s="5" t="s">
        <v>496</v>
      </c>
      <c r="G3114" s="5" t="s">
        <v>137</v>
      </c>
      <c r="H3114" s="5" t="s">
        <v>137</v>
      </c>
      <c r="I3114" s="5" t="s">
        <v>18</v>
      </c>
      <c r="J3114" s="9" t="str">
        <f>IFERROR(__xludf.DUMMYFUNCTION("""COMPUTED_VALUE"""),"https://www.google.com/search?newwindow=1&amp;ei=2MT0XrvGGM-vytMP1OyDgAY&amp;q=site%3Alinkedin.com+Kirsten+Cole+University+Recruiter+Oracle")</f>
        <v>https://www.google.com/search?newwindow=1&amp;ei=2MT0XrvGGM-vytMP1OyDgAY&amp;q=site%3Alinkedin.com+Kirsten+Cole+University+Recruiter+Oracle</v>
      </c>
      <c r="K3114" s="5" t="str">
        <f t="shared" si="1"/>
        <v>Kirsten Cole</v>
      </c>
      <c r="L3114" s="5" t="str">
        <f t="shared" si="2"/>
        <v>University Recruiter</v>
      </c>
      <c r="M3114" s="5" t="str">
        <f t="shared" si="3"/>
        <v> </v>
      </c>
      <c r="N3114" s="5" t="str">
        <f t="shared" si="4"/>
        <v>Oracle</v>
      </c>
      <c r="O3114" s="5" t="str">
        <f t="shared" si="5"/>
        <v>2 years  in role</v>
      </c>
      <c r="P3114" s="5" t="str">
        <f t="shared" si="6"/>
        <v>Sacramento</v>
      </c>
      <c r="Q3114" s="5" t="str">
        <f t="shared" si="7"/>
        <v>California</v>
      </c>
      <c r="R3114" s="5" t="str">
        <f t="shared" si="8"/>
        <v>United States</v>
      </c>
    </row>
    <row r="3115">
      <c r="A3115" s="7" t="s">
        <v>2726</v>
      </c>
      <c r="B3115" s="5" t="s">
        <v>2723</v>
      </c>
      <c r="C3115" s="5" t="s">
        <v>2724</v>
      </c>
      <c r="D3115" s="6" t="s">
        <v>13</v>
      </c>
      <c r="E3115" s="5" t="s">
        <v>2646</v>
      </c>
      <c r="F3115" s="5" t="s">
        <v>188</v>
      </c>
      <c r="G3115" s="5" t="s">
        <v>2725</v>
      </c>
      <c r="H3115" s="5" t="s">
        <v>609</v>
      </c>
      <c r="I3115" s="5" t="s">
        <v>18</v>
      </c>
      <c r="J3115" s="9" t="str">
        <f>IFERROR(__xludf.DUMMYFUNCTION("""COMPUTED_VALUE"""),"https://www.google.com/search?newwindow=1&amp;ei=2MT0XrvGGM-vytMP1OyDgAY&amp;q=site%3Alinkedin.com+Whitney+Anderson+Senior+Recruiter,+University+Programs+PayPal")</f>
        <v>https://www.google.com/search?newwindow=1&amp;ei=2MT0XrvGGM-vytMP1OyDgAY&amp;q=site%3Alinkedin.com+Whitney+Anderson+Senior+Recruiter,+University+Programs+PayPal</v>
      </c>
      <c r="K3115" s="5" t="str">
        <f t="shared" si="1"/>
        <v>Whitney Anderson</v>
      </c>
      <c r="L3115" s="5" t="str">
        <f t="shared" si="2"/>
        <v>Senior Recruiter, University Programs</v>
      </c>
      <c r="M3115" s="5" t="str">
        <f t="shared" si="3"/>
        <v> </v>
      </c>
      <c r="N3115" s="5" t="str">
        <f t="shared" si="4"/>
        <v>PayPal</v>
      </c>
      <c r="O3115" s="5" t="str">
        <f t="shared" si="5"/>
        <v>5 years 4 months in role and company</v>
      </c>
      <c r="P3115" s="5" t="str">
        <f t="shared" si="6"/>
        <v>Austin</v>
      </c>
      <c r="Q3115" s="5" t="str">
        <f t="shared" si="7"/>
        <v>Texas</v>
      </c>
      <c r="R3115" s="5" t="str">
        <f t="shared" si="8"/>
        <v>United States</v>
      </c>
    </row>
    <row r="3116">
      <c r="A3116" s="7" t="s">
        <v>2728</v>
      </c>
      <c r="B3116" s="5" t="s">
        <v>2727</v>
      </c>
      <c r="C3116" s="5" t="s">
        <v>25</v>
      </c>
      <c r="D3116" s="6" t="s">
        <v>13</v>
      </c>
      <c r="E3116" s="5" t="s">
        <v>2646</v>
      </c>
      <c r="G3116" s="5" t="s">
        <v>2725</v>
      </c>
      <c r="H3116" s="5" t="s">
        <v>609</v>
      </c>
      <c r="I3116" s="5" t="s">
        <v>18</v>
      </c>
      <c r="J3116" s="9" t="str">
        <f>IFERROR(__xludf.DUMMYFUNCTION("""COMPUTED_VALUE"""),"https://www.google.com/search?newwindow=1&amp;ei=2MT0XrvGGM-vytMP1OyDgAY&amp;q=site%3Alinkedin.com+Iris+Lin+University+Recruiter+PayPal")</f>
        <v>https://www.google.com/search?newwindow=1&amp;ei=2MT0XrvGGM-vytMP1OyDgAY&amp;q=site%3Alinkedin.com+Iris+Lin+University+Recruiter+PayPal</v>
      </c>
      <c r="K3116" s="5" t="str">
        <f t="shared" si="1"/>
        <v>Iris Lin</v>
      </c>
      <c r="L3116" s="5" t="str">
        <f t="shared" si="2"/>
        <v>University Recruiter</v>
      </c>
      <c r="M3116" s="5" t="str">
        <f t="shared" si="3"/>
        <v> </v>
      </c>
      <c r="N3116" s="5" t="str">
        <f t="shared" si="4"/>
        <v>PayPal</v>
      </c>
      <c r="O3116" s="5" t="str">
        <f t="shared" si="5"/>
        <v>9 months in role and company</v>
      </c>
      <c r="P3116" s="5" t="str">
        <f t="shared" si="6"/>
        <v>San Francisco</v>
      </c>
      <c r="Q3116" s="5" t="str">
        <f t="shared" si="7"/>
        <v>California</v>
      </c>
      <c r="R3116" s="5" t="str">
        <f t="shared" si="8"/>
        <v>United States</v>
      </c>
    </row>
    <row r="3117">
      <c r="A3117" s="7" t="s">
        <v>2732</v>
      </c>
      <c r="B3117" s="5" t="s">
        <v>2729</v>
      </c>
      <c r="C3117" s="5" t="s">
        <v>25</v>
      </c>
      <c r="D3117" s="6" t="s">
        <v>13</v>
      </c>
      <c r="E3117" s="5" t="s">
        <v>2646</v>
      </c>
      <c r="F3117" s="5" t="s">
        <v>430</v>
      </c>
      <c r="G3117" s="5" t="s">
        <v>2730</v>
      </c>
      <c r="H3117" s="5" t="s">
        <v>2731</v>
      </c>
      <c r="I3117" s="5" t="s">
        <v>18</v>
      </c>
      <c r="J3117" s="9" t="str">
        <f>IFERROR(__xludf.DUMMYFUNCTION("""COMPUTED_VALUE"""),"https://www.google.com/search?newwindow=1&amp;ei=2MT0XrvGGM-vytMP1OyDgAY&amp;q=site%3Alinkedin.com+Kellyn+Creese+University+Recruiter+PayPal")</f>
        <v>https://www.google.com/search?newwindow=1&amp;ei=2MT0XrvGGM-vytMP1OyDgAY&amp;q=site%3Alinkedin.com+Kellyn+Creese+University+Recruiter+PayPal</v>
      </c>
      <c r="K3117" s="5" t="str">
        <f t="shared" si="1"/>
        <v>Kellyn Creese</v>
      </c>
      <c r="L3117" s="5" t="str">
        <f t="shared" si="2"/>
        <v>University Recruiter</v>
      </c>
      <c r="M3117" s="5" t="str">
        <f t="shared" si="3"/>
        <v> </v>
      </c>
      <c r="N3117" s="5" t="str">
        <f t="shared" si="4"/>
        <v>PayPal</v>
      </c>
      <c r="O3117" s="5" t="str">
        <f t="shared" si="5"/>
        <v>1 year 4 months in role and company</v>
      </c>
      <c r="P3117" s="5" t="str">
        <f t="shared" si="6"/>
        <v>San Francisco</v>
      </c>
      <c r="Q3117" s="5" t="str">
        <f t="shared" si="7"/>
        <v>California</v>
      </c>
      <c r="R3117" s="5" t="str">
        <f t="shared" si="8"/>
        <v>United States</v>
      </c>
    </row>
    <row r="3118">
      <c r="A3118" s="8" t="s">
        <v>2735</v>
      </c>
      <c r="B3118" s="5" t="s">
        <v>2733</v>
      </c>
      <c r="C3118" s="5" t="s">
        <v>2734</v>
      </c>
      <c r="D3118" s="6" t="s">
        <v>13</v>
      </c>
      <c r="E3118" s="5" t="s">
        <v>2646</v>
      </c>
      <c r="F3118" s="5" t="s">
        <v>387</v>
      </c>
      <c r="G3118" s="5" t="s">
        <v>153</v>
      </c>
      <c r="H3118" s="5" t="s">
        <v>154</v>
      </c>
      <c r="I3118" s="5" t="s">
        <v>18</v>
      </c>
      <c r="J3118" s="9" t="str">
        <f>IFERROR(__xludf.DUMMYFUNCTION("""COMPUTED_VALUE"""),"https://www.google.com/search?newwindow=1&amp;ei=2MT0XrvGGM-vytMP1OyDgAY&amp;q=site%3Alinkedin.com+Carleen+Haydon+University+Recruiter+PayPal")</f>
        <v>https://www.google.com/search?newwindow=1&amp;ei=2MT0XrvGGM-vytMP1OyDgAY&amp;q=site%3Alinkedin.com+Carleen+Haydon+University+Recruiter+PayPal</v>
      </c>
      <c r="K3118" s="5" t="str">
        <f t="shared" si="1"/>
        <v>Carleen Haydon</v>
      </c>
      <c r="L3118" s="5" t="str">
        <f t="shared" si="2"/>
        <v>University Recruiter</v>
      </c>
      <c r="M3118" s="5" t="str">
        <f t="shared" si="3"/>
        <v> </v>
      </c>
      <c r="N3118" s="5" t="str">
        <f t="shared" si="4"/>
        <v>PayPal</v>
      </c>
      <c r="O3118" s="5" t="str">
        <f t="shared" si="5"/>
        <v>9 months in role and company</v>
      </c>
      <c r="P3118" s="5" t="str">
        <f t="shared" si="6"/>
        <v>San Jose</v>
      </c>
      <c r="Q3118" s="5" t="str">
        <f t="shared" si="7"/>
        <v>California</v>
      </c>
      <c r="R3118" s="5" t="str">
        <f t="shared" si="8"/>
        <v>United States</v>
      </c>
    </row>
    <row r="3119">
      <c r="A3119" s="8" t="s">
        <v>2738</v>
      </c>
      <c r="B3119" s="5" t="s">
        <v>2736</v>
      </c>
      <c r="C3119" s="5" t="s">
        <v>2737</v>
      </c>
      <c r="D3119" s="6" t="s">
        <v>4</v>
      </c>
      <c r="E3119" s="5" t="s">
        <v>2646</v>
      </c>
      <c r="F3119" s="5" t="s">
        <v>257</v>
      </c>
      <c r="G3119" s="5" t="s">
        <v>153</v>
      </c>
      <c r="H3119" s="5" t="s">
        <v>154</v>
      </c>
      <c r="I3119" s="5" t="s">
        <v>18</v>
      </c>
      <c r="J3119" s="9" t="str">
        <f>IFERROR(__xludf.DUMMYFUNCTION("""COMPUTED_VALUE"""),"https://www.google.com/search?newwindow=1&amp;ei=2MT0XrvGGM-vytMP1OyDgAY&amp;q=site%3Alinkedin.com+Deana+V.+Talent+Acquistion/Campus+Recruiter+Philips")</f>
        <v>https://www.google.com/search?newwindow=1&amp;ei=2MT0XrvGGM-vytMP1OyDgAY&amp;q=site%3Alinkedin.com+Deana+V.+Talent+Acquistion/Campus+Recruiter+Philips</v>
      </c>
      <c r="K3119" s="5" t="str">
        <f t="shared" si="1"/>
        <v>Deana V.</v>
      </c>
      <c r="L3119" s="5" t="str">
        <f t="shared" si="2"/>
        <v>Talent Acquistion/Campus Recruiter</v>
      </c>
      <c r="M3119" s="5" t="str">
        <f t="shared" si="3"/>
        <v> </v>
      </c>
      <c r="N3119" s="5" t="str">
        <f t="shared" si="4"/>
        <v>Philips</v>
      </c>
      <c r="O3119" s="5" t="str">
        <f t="shared" si="5"/>
        <v>1 year 4 months in role and company</v>
      </c>
      <c r="P3119" s="5" t="str">
        <f t="shared" si="6"/>
        <v>Boston</v>
      </c>
      <c r="Q3119" s="5" t="str">
        <f t="shared" si="7"/>
        <v>Massachusetts</v>
      </c>
      <c r="R3119" s="5" t="str">
        <f t="shared" si="8"/>
        <v>United States</v>
      </c>
    </row>
    <row r="3120">
      <c r="A3120" s="8" t="s">
        <v>2741</v>
      </c>
      <c r="B3120" s="5" t="s">
        <v>2739</v>
      </c>
      <c r="C3120" s="5" t="s">
        <v>2740</v>
      </c>
      <c r="D3120" s="6" t="s">
        <v>13</v>
      </c>
      <c r="E3120" s="5" t="s">
        <v>2646</v>
      </c>
      <c r="F3120" s="5" t="s">
        <v>136</v>
      </c>
      <c r="G3120" s="5" t="s">
        <v>153</v>
      </c>
      <c r="H3120" s="5" t="s">
        <v>154</v>
      </c>
      <c r="I3120" s="5" t="s">
        <v>18</v>
      </c>
      <c r="J3120" s="9" t="str">
        <f>IFERROR(__xludf.DUMMYFUNCTION("""COMPUTED_VALUE"""),"https://www.google.com/search?newwindow=1&amp;ei=2MT0XrvGGM-vytMP1OyDgAY&amp;q=site%3Alinkedin.com+Theresa+Mangan+Lang+Campus+Recruiter+Philips")</f>
        <v>https://www.google.com/search?newwindow=1&amp;ei=2MT0XrvGGM-vytMP1OyDgAY&amp;q=site%3Alinkedin.com+Theresa+Mangan+Lang+Campus+Recruiter+Philips</v>
      </c>
      <c r="K3120" s="5" t="str">
        <f t="shared" si="1"/>
        <v>Theresa Mangan Lang</v>
      </c>
      <c r="L3120" s="5" t="str">
        <f t="shared" si="2"/>
        <v>Campus Recruiter</v>
      </c>
      <c r="M3120" s="5" t="str">
        <f t="shared" si="3"/>
        <v> </v>
      </c>
      <c r="N3120" s="5" t="str">
        <f t="shared" si="4"/>
        <v>Philips</v>
      </c>
      <c r="O3120" s="5" t="str">
        <f t="shared" si="5"/>
        <v>8 years 2 months in role and company</v>
      </c>
      <c r="P3120" s="5" t="str">
        <f t="shared" si="6"/>
        <v>Braintree</v>
      </c>
      <c r="Q3120" s="5" t="str">
        <f t="shared" si="7"/>
        <v>Massachusetts</v>
      </c>
      <c r="R3120" s="5" t="str">
        <f t="shared" si="8"/>
        <v>United States</v>
      </c>
    </row>
    <row r="3121">
      <c r="A3121" s="8" t="s">
        <v>2744</v>
      </c>
      <c r="B3121" s="5" t="s">
        <v>2742</v>
      </c>
      <c r="C3121" s="5" t="s">
        <v>2743</v>
      </c>
      <c r="D3121" s="6" t="s">
        <v>13</v>
      </c>
      <c r="E3121" s="5" t="s">
        <v>2646</v>
      </c>
      <c r="F3121" s="5" t="s">
        <v>79</v>
      </c>
      <c r="G3121" s="5" t="s">
        <v>153</v>
      </c>
      <c r="H3121" s="5" t="s">
        <v>154</v>
      </c>
      <c r="I3121" s="5" t="s">
        <v>18</v>
      </c>
      <c r="J3121" s="9" t="str">
        <f>IFERROR(__xludf.DUMMYFUNCTION("""COMPUTED_VALUE"""),"https://www.google.com/search?newwindow=1&amp;ei=2MT0XrvGGM-vytMP1OyDgAY&amp;q=site%3Alinkedin.com+Melanie+Kollmai+Campus+Recruiter+Philips")</f>
        <v>https://www.google.com/search?newwindow=1&amp;ei=2MT0XrvGGM-vytMP1OyDgAY&amp;q=site%3Alinkedin.com+Melanie+Kollmai+Campus+Recruiter+Philips</v>
      </c>
      <c r="K3121" s="5" t="str">
        <f t="shared" si="1"/>
        <v>Melanie Kollmai</v>
      </c>
      <c r="L3121" s="5" t="str">
        <f t="shared" si="2"/>
        <v>Campus Recruiter</v>
      </c>
      <c r="M3121" s="5" t="str">
        <f t="shared" si="3"/>
        <v> </v>
      </c>
      <c r="N3121" s="5" t="str">
        <f t="shared" si="4"/>
        <v>Philips</v>
      </c>
      <c r="O3121" s="5" t="str">
        <f t="shared" si="5"/>
        <v>3 years 4 months in role and company</v>
      </c>
      <c r="P3121" s="5" t="str">
        <f t="shared" si="6"/>
        <v>Seattle</v>
      </c>
      <c r="Q3121" s="5" t="str">
        <f t="shared" si="7"/>
        <v>Washington</v>
      </c>
      <c r="R3121" s="5" t="str">
        <f t="shared" si="8"/>
        <v>United States</v>
      </c>
    </row>
    <row r="3122">
      <c r="A3122" s="8" t="s">
        <v>2747</v>
      </c>
      <c r="B3122" s="5" t="s">
        <v>2745</v>
      </c>
      <c r="C3122" s="5" t="s">
        <v>2746</v>
      </c>
      <c r="D3122" s="6" t="s">
        <v>13</v>
      </c>
      <c r="E3122" s="5" t="s">
        <v>2646</v>
      </c>
      <c r="F3122" s="5" t="s">
        <v>15</v>
      </c>
      <c r="G3122" s="5" t="s">
        <v>153</v>
      </c>
      <c r="H3122" s="5" t="s">
        <v>154</v>
      </c>
      <c r="I3122" s="5" t="s">
        <v>18</v>
      </c>
      <c r="J3122" s="9" t="str">
        <f>IFERROR(__xludf.DUMMYFUNCTION("""COMPUTED_VALUE"""),"https://www.google.com/search?newwindow=1&amp;ei=2MT0XrvGGM-vytMP1OyDgAY&amp;q=site%3Alinkedin.com+Tim+G.+Downstream+Engineering+Lead+Recruiter+for+Purdue+University+Phillips+66")</f>
        <v>https://www.google.com/search?newwindow=1&amp;ei=2MT0XrvGGM-vytMP1OyDgAY&amp;q=site%3Alinkedin.com+Tim+G.+Downstream+Engineering+Lead+Recruiter+for+Purdue+University+Phillips+66</v>
      </c>
      <c r="K3122" s="5" t="str">
        <f t="shared" si="1"/>
        <v>Tim G.</v>
      </c>
      <c r="L3122" s="5" t="str">
        <f t="shared" si="2"/>
        <v>Downstream Engineering Lead Recruiter for Purdue University</v>
      </c>
      <c r="M3122" s="5" t="str">
        <f t="shared" si="3"/>
        <v> </v>
      </c>
      <c r="N3122" s="5" t="str">
        <f t="shared" si="4"/>
        <v>Philips</v>
      </c>
      <c r="O3122" s="5" t="str">
        <f t="shared" si="5"/>
        <v>8 years 6 months in role and company</v>
      </c>
      <c r="P3122" s="5" t="str">
        <f t="shared" si="6"/>
        <v>Houston</v>
      </c>
      <c r="Q3122" s="5" t="str">
        <f t="shared" si="7"/>
        <v>Texas</v>
      </c>
      <c r="R3122" s="5" t="str">
        <f t="shared" si="8"/>
        <v>United States</v>
      </c>
    </row>
    <row r="3123">
      <c r="A3123" s="8" t="s">
        <v>2750</v>
      </c>
      <c r="B3123" s="5" t="s">
        <v>2748</v>
      </c>
      <c r="C3123" s="5" t="s">
        <v>2749</v>
      </c>
      <c r="D3123" s="6" t="s">
        <v>13</v>
      </c>
      <c r="E3123" s="5" t="s">
        <v>2646</v>
      </c>
      <c r="F3123" s="5" t="s">
        <v>441</v>
      </c>
      <c r="G3123" s="5" t="s">
        <v>153</v>
      </c>
      <c r="H3123" s="5" t="s">
        <v>154</v>
      </c>
      <c r="I3123" s="5" t="s">
        <v>18</v>
      </c>
      <c r="J3123" s="9" t="str">
        <f>IFERROR(__xludf.DUMMYFUNCTION("""COMPUTED_VALUE"""),"https://www.google.com/search?newwindow=1&amp;ei=2MT0XrvGGM-vytMP1OyDgAY&amp;q=site%3Alinkedin.com+Anna+Minutello+Finance+Lead+Recruiter+-+University+of+Texas+Phillips+66")</f>
        <v>https://www.google.com/search?newwindow=1&amp;ei=2MT0XrvGGM-vytMP1OyDgAY&amp;q=site%3Alinkedin.com+Anna+Minutello+Finance+Lead+Recruiter+-+University+of+Texas+Phillips+66</v>
      </c>
      <c r="K3123" s="5" t="str">
        <f t="shared" si="1"/>
        <v>Anna Minutello</v>
      </c>
      <c r="L3123" s="5" t="str">
        <f t="shared" si="2"/>
        <v>Finance Lead Recruiter - University of Texas</v>
      </c>
      <c r="M3123" s="5" t="str">
        <f t="shared" si="3"/>
        <v> </v>
      </c>
      <c r="N3123" s="5" t="str">
        <f t="shared" si="4"/>
        <v>Philips</v>
      </c>
      <c r="O3123" s="5" t="str">
        <f t="shared" si="5"/>
        <v>7 years 10 months in role</v>
      </c>
      <c r="P3123" s="5" t="str">
        <f t="shared" si="6"/>
        <v>Houston</v>
      </c>
      <c r="Q3123" s="5" t="str">
        <f t="shared" si="7"/>
        <v>Texas</v>
      </c>
      <c r="R3123" s="5" t="str">
        <f t="shared" si="8"/>
        <v>United States</v>
      </c>
    </row>
    <row r="3124">
      <c r="A3124" s="7" t="s">
        <v>2753</v>
      </c>
      <c r="B3124" s="5" t="s">
        <v>2751</v>
      </c>
      <c r="C3124" s="5" t="s">
        <v>2752</v>
      </c>
      <c r="D3124" s="6" t="s">
        <v>13</v>
      </c>
      <c r="E3124" s="5" t="s">
        <v>2646</v>
      </c>
      <c r="F3124" s="5" t="s">
        <v>79</v>
      </c>
      <c r="G3124" s="5" t="s">
        <v>1852</v>
      </c>
      <c r="H3124" s="5" t="s">
        <v>38</v>
      </c>
      <c r="I3124" s="5" t="s">
        <v>18</v>
      </c>
      <c r="J3124" s="9" t="str">
        <f>IFERROR(__xludf.DUMMYFUNCTION("""COMPUTED_VALUE"""),"https://www.google.com/search?newwindow=1&amp;ei=2MT0XrvGGM-vytMP1OyDgAY&amp;q=site%3Alinkedin.com+Kris+McDonald+HR+-+Rotational+Program+Manager+Phillips-Medisize")</f>
        <v>https://www.google.com/search?newwindow=1&amp;ei=2MT0XrvGGM-vytMP1OyDgAY&amp;q=site%3Alinkedin.com+Kris+McDonald+HR+-+Rotational+Program+Manager+Phillips-Medisize</v>
      </c>
      <c r="K3124" s="5" t="str">
        <f t="shared" si="1"/>
        <v>Kris McDonald</v>
      </c>
      <c r="L3124" s="5" t="str">
        <f t="shared" si="2"/>
        <v>HR - Rotational Program Manager</v>
      </c>
      <c r="M3124" s="5" t="str">
        <f t="shared" si="3"/>
        <v> </v>
      </c>
      <c r="N3124" s="5" t="str">
        <f t="shared" si="4"/>
        <v>Philips</v>
      </c>
      <c r="O3124" s="5" t="str">
        <f t="shared" si="5"/>
        <v>6 months in role</v>
      </c>
      <c r="P3124" s="5" t="str">
        <f t="shared" si="6"/>
        <v>Eau Claire-Menomonie</v>
      </c>
      <c r="Q3124" s="5" t="str">
        <f t="shared" si="7"/>
        <v>Minnesota</v>
      </c>
      <c r="R3124" s="5" t="str">
        <f t="shared" si="8"/>
        <v>United States</v>
      </c>
    </row>
    <row r="3125">
      <c r="A3125" s="7" t="s">
        <v>2758</v>
      </c>
      <c r="B3125" s="5" t="s">
        <v>2754</v>
      </c>
      <c r="C3125" s="5" t="s">
        <v>2755</v>
      </c>
      <c r="D3125" s="6" t="s">
        <v>13</v>
      </c>
      <c r="E3125" s="5" t="s">
        <v>2756</v>
      </c>
      <c r="F3125" s="5" t="s">
        <v>2757</v>
      </c>
      <c r="G3125" s="5" t="s">
        <v>635</v>
      </c>
      <c r="H3125" s="5" t="s">
        <v>76</v>
      </c>
      <c r="I3125" s="5" t="s">
        <v>18</v>
      </c>
      <c r="J3125" s="9" t="str">
        <f>IFERROR(__xludf.DUMMYFUNCTION("""COMPUTED_VALUE"""),"https://www.google.com/search?newwindow=1&amp;ei=2MT0XrvGGM-vytMP1OyDgAY&amp;q=site%3Alinkedin.com+Ashley+Nair+University+Recruiter+Pinterest")</f>
        <v>https://www.google.com/search?newwindow=1&amp;ei=2MT0XrvGGM-vytMP1OyDgAY&amp;q=site%3Alinkedin.com+Ashley+Nair+University+Recruiter+Pinterest</v>
      </c>
      <c r="K3125" s="5" t="str">
        <f t="shared" si="1"/>
        <v>Ashley Nair</v>
      </c>
      <c r="L3125" s="5" t="str">
        <f t="shared" si="2"/>
        <v>University Recruiter</v>
      </c>
      <c r="M3125" s="5" t="str">
        <f t="shared" si="3"/>
        <v> </v>
      </c>
      <c r="N3125" s="5" t="str">
        <f t="shared" si="4"/>
        <v>Pinterest</v>
      </c>
      <c r="O3125" s="5" t="str">
        <f t="shared" si="5"/>
        <v>10 months in role and company</v>
      </c>
      <c r="P3125" s="5" t="str">
        <f t="shared" si="6"/>
        <v>San Francisco</v>
      </c>
      <c r="Q3125" s="5" t="str">
        <f t="shared" si="7"/>
        <v>California</v>
      </c>
      <c r="R3125" s="5" t="str">
        <f t="shared" si="8"/>
        <v>United States</v>
      </c>
    </row>
    <row r="3126">
      <c r="A3126" s="8" t="s">
        <v>2760</v>
      </c>
      <c r="B3126" s="5" t="s">
        <v>2759</v>
      </c>
      <c r="C3126" s="5" t="s">
        <v>25</v>
      </c>
      <c r="D3126" s="6" t="s">
        <v>13</v>
      </c>
      <c r="E3126" s="5" t="s">
        <v>2756</v>
      </c>
      <c r="F3126" s="5" t="s">
        <v>257</v>
      </c>
      <c r="G3126" s="5" t="s">
        <v>635</v>
      </c>
      <c r="H3126" s="5" t="s">
        <v>76</v>
      </c>
      <c r="I3126" s="5" t="s">
        <v>18</v>
      </c>
      <c r="J3126" s="9" t="str">
        <f>IFERROR(__xludf.DUMMYFUNCTION("""COMPUTED_VALUE"""),"https://www.google.com/search?newwindow=1&amp;ei=2MT0XrvGGM-vytMP1OyDgAY&amp;q=site%3Alinkedin.com+Deanna+Okuno+University+Recruiter+Pinterest")</f>
        <v>https://www.google.com/search?newwindow=1&amp;ei=2MT0XrvGGM-vytMP1OyDgAY&amp;q=site%3Alinkedin.com+Deanna+Okuno+University+Recruiter+Pinterest</v>
      </c>
      <c r="K3126" s="5" t="str">
        <f t="shared" si="1"/>
        <v>Deanna Okuno</v>
      </c>
      <c r="L3126" s="5" t="str">
        <f t="shared" si="2"/>
        <v>University Recruiter</v>
      </c>
      <c r="M3126" s="5" t="str">
        <f t="shared" si="3"/>
        <v> </v>
      </c>
      <c r="N3126" s="5" t="str">
        <f t="shared" si="4"/>
        <v>Pinterest</v>
      </c>
      <c r="O3126" s="5" t="str">
        <f t="shared" si="5"/>
        <v>10 months in role and company</v>
      </c>
      <c r="P3126" s="5" t="str">
        <f t="shared" si="6"/>
        <v>San Francisco</v>
      </c>
      <c r="Q3126" s="5" t="str">
        <f t="shared" si="7"/>
        <v>California</v>
      </c>
      <c r="R3126" s="5" t="str">
        <f t="shared" si="8"/>
        <v>United States</v>
      </c>
    </row>
    <row r="3127">
      <c r="A3127" s="7" t="s">
        <v>2762</v>
      </c>
      <c r="B3127" s="5" t="s">
        <v>2761</v>
      </c>
      <c r="C3127" s="5" t="s">
        <v>25</v>
      </c>
      <c r="D3127" s="6" t="s">
        <v>13</v>
      </c>
      <c r="E3127" s="5" t="s">
        <v>2756</v>
      </c>
      <c r="F3127" s="5" t="s">
        <v>832</v>
      </c>
      <c r="G3127" s="5" t="s">
        <v>635</v>
      </c>
      <c r="H3127" s="5" t="s">
        <v>76</v>
      </c>
      <c r="I3127" s="5" t="s">
        <v>18</v>
      </c>
      <c r="J3127" s="9" t="str">
        <f>IFERROR(__xludf.DUMMYFUNCTION("""COMPUTED_VALUE"""),"https://www.google.com/search?newwindow=1&amp;ei=2MT0XrvGGM-vytMP1OyDgAY&amp;q=site%3Alinkedin.com+Adriana+I.+Garcia+University+Recruiter+Pinterest")</f>
        <v>https://www.google.com/search?newwindow=1&amp;ei=2MT0XrvGGM-vytMP1OyDgAY&amp;q=site%3Alinkedin.com+Adriana+I.+Garcia+University+Recruiter+Pinterest</v>
      </c>
      <c r="K3127" s="5" t="str">
        <f t="shared" si="1"/>
        <v>Adriana I. Garcia</v>
      </c>
      <c r="L3127" s="5" t="str">
        <f t="shared" si="2"/>
        <v>University Recruiter</v>
      </c>
      <c r="M3127" s="5" t="str">
        <f t="shared" si="3"/>
        <v> </v>
      </c>
      <c r="N3127" s="5" t="str">
        <f t="shared" si="4"/>
        <v>Pinterest</v>
      </c>
      <c r="O3127" s="5" t="str">
        <f t="shared" si="5"/>
        <v>1 year 1 month in role and company</v>
      </c>
      <c r="P3127" s="5" t="str">
        <f t="shared" si="6"/>
        <v>San Francisco</v>
      </c>
      <c r="Q3127" s="5" t="str">
        <f t="shared" si="7"/>
        <v>California</v>
      </c>
      <c r="R3127" s="5" t="str">
        <f t="shared" si="8"/>
        <v>United States</v>
      </c>
    </row>
    <row r="3128">
      <c r="A3128" s="8" t="s">
        <v>2764</v>
      </c>
      <c r="B3128" s="5" t="s">
        <v>2763</v>
      </c>
      <c r="C3128" s="5" t="s">
        <v>25</v>
      </c>
      <c r="D3128" s="6" t="s">
        <v>13</v>
      </c>
      <c r="E3128" s="5" t="s">
        <v>2756</v>
      </c>
      <c r="F3128" s="5" t="s">
        <v>60</v>
      </c>
      <c r="G3128" s="5" t="s">
        <v>635</v>
      </c>
      <c r="H3128" s="5" t="s">
        <v>76</v>
      </c>
      <c r="I3128" s="5" t="s">
        <v>18</v>
      </c>
      <c r="J3128" s="9" t="str">
        <f>IFERROR(__xludf.DUMMYFUNCTION("""COMPUTED_VALUE"""),"https://www.google.com/search?newwindow=1&amp;ei=2MT0XrvGGM-vytMP1OyDgAY&amp;q=site%3Alinkedin.com+Tricia+Tran+University+Recruiter+Pinterest")</f>
        <v>https://www.google.com/search?newwindow=1&amp;ei=2MT0XrvGGM-vytMP1OyDgAY&amp;q=site%3Alinkedin.com+Tricia+Tran+University+Recruiter+Pinterest</v>
      </c>
      <c r="K3128" s="5" t="str">
        <f t="shared" si="1"/>
        <v>Tricia Tran</v>
      </c>
      <c r="L3128" s="5" t="str">
        <f t="shared" si="2"/>
        <v>University Recruiter</v>
      </c>
      <c r="M3128" s="5" t="str">
        <f t="shared" si="3"/>
        <v> </v>
      </c>
      <c r="N3128" s="5" t="str">
        <f t="shared" si="4"/>
        <v>Pinterest</v>
      </c>
      <c r="O3128" s="5" t="str">
        <f t="shared" si="5"/>
        <v>2 years  in role and company</v>
      </c>
      <c r="P3128" s="5" t="str">
        <f t="shared" si="6"/>
        <v>San Francisco</v>
      </c>
      <c r="Q3128" s="5" t="str">
        <f t="shared" si="7"/>
        <v>California</v>
      </c>
      <c r="R3128" s="5" t="str">
        <f t="shared" si="8"/>
        <v>United States</v>
      </c>
    </row>
    <row r="3129">
      <c r="A3129" s="7" t="s">
        <v>2766</v>
      </c>
      <c r="B3129" s="5" t="s">
        <v>2765</v>
      </c>
      <c r="C3129" s="5" t="s">
        <v>25</v>
      </c>
      <c r="D3129" s="6" t="s">
        <v>13</v>
      </c>
      <c r="E3129" s="5" t="s">
        <v>2756</v>
      </c>
      <c r="F3129" s="5" t="s">
        <v>1244</v>
      </c>
      <c r="G3129" s="5" t="s">
        <v>635</v>
      </c>
      <c r="H3129" s="5" t="s">
        <v>76</v>
      </c>
      <c r="I3129" s="5" t="s">
        <v>18</v>
      </c>
      <c r="J3129" s="9" t="str">
        <f>IFERROR(__xludf.DUMMYFUNCTION("""COMPUTED_VALUE"""),"https://www.google.com/search?newwindow=1&amp;ei=2MT0XrvGGM-vytMP1OyDgAY&amp;q=site%3Alinkedin.com+Ekta+Bathija+University+Recruiter+(PhD+Lead)+Pinterest")</f>
        <v>https://www.google.com/search?newwindow=1&amp;ei=2MT0XrvGGM-vytMP1OyDgAY&amp;q=site%3Alinkedin.com+Ekta+Bathija+University+Recruiter+(PhD+Lead)+Pinterest</v>
      </c>
      <c r="K3129" s="5" t="str">
        <f t="shared" si="1"/>
        <v>Ekta Bathija</v>
      </c>
      <c r="L3129" s="5" t="str">
        <f t="shared" si="2"/>
        <v>University Recruiter (PhD Lead)</v>
      </c>
      <c r="M3129" s="5" t="str">
        <f t="shared" si="3"/>
        <v> </v>
      </c>
      <c r="N3129" s="5" t="str">
        <f t="shared" si="4"/>
        <v>Pinterest</v>
      </c>
      <c r="O3129" s="5" t="str">
        <f t="shared" si="5"/>
        <v>1 year 2 months in role and company</v>
      </c>
      <c r="P3129" s="5" t="str">
        <f t="shared" si="6"/>
        <v>Union City</v>
      </c>
      <c r="Q3129" s="5" t="str">
        <f t="shared" si="7"/>
        <v>California</v>
      </c>
      <c r="R3129" s="5" t="str">
        <f t="shared" si="8"/>
        <v>United States</v>
      </c>
    </row>
    <row r="3130">
      <c r="A3130" s="7" t="s">
        <v>2768</v>
      </c>
      <c r="B3130" s="5" t="s">
        <v>2767</v>
      </c>
      <c r="C3130" s="5" t="s">
        <v>25</v>
      </c>
      <c r="D3130" s="6" t="s">
        <v>13</v>
      </c>
      <c r="E3130" s="5" t="s">
        <v>2756</v>
      </c>
      <c r="F3130" s="5" t="s">
        <v>257</v>
      </c>
      <c r="G3130" s="5" t="s">
        <v>635</v>
      </c>
      <c r="H3130" s="5" t="s">
        <v>76</v>
      </c>
      <c r="I3130" s="5" t="s">
        <v>18</v>
      </c>
      <c r="J3130" s="9" t="str">
        <f>IFERROR(__xludf.DUMMYFUNCTION("""COMPUTED_VALUE"""),"https://www.google.com/search?newwindow=1&amp;ei=2MT0XrvGGM-vytMP1OyDgAY&amp;q=site%3Alinkedin.com+Dani+Beale+College+Recruiter-+IT+Progressive+Insurance")</f>
        <v>https://www.google.com/search?newwindow=1&amp;ei=2MT0XrvGGM-vytMP1OyDgAY&amp;q=site%3Alinkedin.com+Dani+Beale+College+Recruiter-+IT+Progressive+Insurance</v>
      </c>
      <c r="K3130" s="5" t="str">
        <f t="shared" si="1"/>
        <v>Dani Beale</v>
      </c>
      <c r="L3130" s="5" t="str">
        <f t="shared" si="2"/>
        <v>College Recruiter- IT</v>
      </c>
      <c r="M3130" s="5" t="str">
        <f t="shared" si="3"/>
        <v> </v>
      </c>
      <c r="N3130" s="5" t="str">
        <f t="shared" si="4"/>
        <v>Progressive Insurance</v>
      </c>
      <c r="O3130" s="5" t="str">
        <f t="shared" si="5"/>
        <v>7 years 3 months in role</v>
      </c>
      <c r="P3130" s="5" t="str">
        <f t="shared" si="6"/>
        <v>Akron</v>
      </c>
      <c r="Q3130" s="5" t="str">
        <f t="shared" si="7"/>
        <v>Ohio</v>
      </c>
      <c r="R3130" s="5" t="str">
        <f t="shared" si="8"/>
        <v>United States</v>
      </c>
    </row>
    <row r="3131">
      <c r="A3131" s="8" t="s">
        <v>2773</v>
      </c>
      <c r="B3131" s="5" t="s">
        <v>2769</v>
      </c>
      <c r="C3131" s="5" t="s">
        <v>2770</v>
      </c>
      <c r="D3131" s="6" t="s">
        <v>13</v>
      </c>
      <c r="E3131" s="5" t="s">
        <v>2771</v>
      </c>
      <c r="F3131" s="5" t="s">
        <v>512</v>
      </c>
      <c r="G3131" s="5" t="s">
        <v>2772</v>
      </c>
      <c r="H3131" s="5" t="s">
        <v>219</v>
      </c>
      <c r="I3131" s="5" t="s">
        <v>18</v>
      </c>
      <c r="J3131" s="9" t="str">
        <f>IFERROR(__xludf.DUMMYFUNCTION("""COMPUTED_VALUE"""),"https://www.google.com/search?newwindow=1&amp;ei=2MT0XrvGGM-vytMP1OyDgAY&amp;q=site%3Alinkedin.com+Lindsey+Hojnowski+IT+College+Recruiter+Progressive+Insurance")</f>
        <v>https://www.google.com/search?newwindow=1&amp;ei=2MT0XrvGGM-vytMP1OyDgAY&amp;q=site%3Alinkedin.com+Lindsey+Hojnowski+IT+College+Recruiter+Progressive+Insurance</v>
      </c>
      <c r="K3131" s="5" t="str">
        <f t="shared" si="1"/>
        <v>Lindsey Hojnowski</v>
      </c>
      <c r="L3131" s="5" t="str">
        <f t="shared" si="2"/>
        <v>IT College Recruiter</v>
      </c>
      <c r="M3131" s="5" t="str">
        <f t="shared" si="3"/>
        <v> </v>
      </c>
      <c r="N3131" s="5" t="str">
        <f t="shared" si="4"/>
        <v>Progressive Insurance</v>
      </c>
      <c r="O3131" s="5" t="str">
        <f t="shared" si="5"/>
        <v>1 year 2 months in role and company</v>
      </c>
      <c r="P3131" s="5" t="str">
        <f t="shared" si="6"/>
        <v>Cleveland</v>
      </c>
      <c r="Q3131" s="5" t="str">
        <f t="shared" si="7"/>
        <v>Ohio</v>
      </c>
      <c r="R3131" s="5" t="str">
        <f t="shared" si="8"/>
        <v>United States</v>
      </c>
    </row>
    <row r="3132">
      <c r="A3132" s="7" t="s">
        <v>2775</v>
      </c>
      <c r="B3132" s="5" t="s">
        <v>2774</v>
      </c>
      <c r="C3132" s="5" t="s">
        <v>480</v>
      </c>
      <c r="D3132" s="6" t="s">
        <v>13</v>
      </c>
      <c r="E3132" s="5" t="s">
        <v>2771</v>
      </c>
      <c r="F3132" s="5" t="s">
        <v>886</v>
      </c>
      <c r="G3132" s="5" t="s">
        <v>2772</v>
      </c>
      <c r="H3132" s="5" t="s">
        <v>219</v>
      </c>
      <c r="I3132" s="5" t="s">
        <v>18</v>
      </c>
      <c r="J3132" s="9" t="str">
        <f>IFERROR(__xludf.DUMMYFUNCTION("""COMPUTED_VALUE"""),"https://www.google.com/search?newwindow=1&amp;ei=2MT0XrvGGM-vytMP1OyDgAY&amp;q=site%3Alinkedin.com+Samantha+Salway+College+Recruiter+Progressive+Insurance")</f>
        <v>https://www.google.com/search?newwindow=1&amp;ei=2MT0XrvGGM-vytMP1OyDgAY&amp;q=site%3Alinkedin.com+Samantha+Salway+College+Recruiter+Progressive+Insurance</v>
      </c>
      <c r="K3132" s="5" t="str">
        <f t="shared" si="1"/>
        <v>Samantha Salway</v>
      </c>
      <c r="L3132" s="5" t="str">
        <f t="shared" si="2"/>
        <v>College Recruiter</v>
      </c>
      <c r="M3132" s="5" t="str">
        <f t="shared" si="3"/>
        <v> </v>
      </c>
      <c r="N3132" s="5" t="str">
        <f t="shared" si="4"/>
        <v>Progressive Insurance</v>
      </c>
      <c r="O3132" s="5" t="str">
        <f t="shared" si="5"/>
        <v>2 years 2 months in role and company</v>
      </c>
      <c r="P3132" s="5" t="str">
        <f t="shared" si="6"/>
        <v>Cleveland</v>
      </c>
      <c r="Q3132" s="5" t="str">
        <f t="shared" si="7"/>
        <v>Ohio</v>
      </c>
      <c r="R3132" s="5" t="str">
        <f t="shared" si="8"/>
        <v>United States</v>
      </c>
    </row>
    <row r="3133">
      <c r="A3133" s="8" t="s">
        <v>2779</v>
      </c>
      <c r="B3133" s="5" t="s">
        <v>2776</v>
      </c>
      <c r="C3133" s="5" t="s">
        <v>2777</v>
      </c>
      <c r="D3133" s="6" t="s">
        <v>13</v>
      </c>
      <c r="E3133" s="5" t="s">
        <v>2771</v>
      </c>
      <c r="F3133" s="5" t="s">
        <v>222</v>
      </c>
      <c r="G3133" s="5" t="s">
        <v>2778</v>
      </c>
      <c r="H3133" s="5" t="s">
        <v>219</v>
      </c>
      <c r="I3133" s="5" t="s">
        <v>18</v>
      </c>
      <c r="J3133" s="9" t="str">
        <f>IFERROR(__xludf.DUMMYFUNCTION("""COMPUTED_VALUE"""),"https://www.google.com/search?newwindow=1&amp;ei=2MT0XrvGGM-vytMP1OyDgAY&amp;q=site%3Alinkedin.com+Aimee+Carcioppolo+IT+College+Recruiter+Progressive+Insurance")</f>
        <v>https://www.google.com/search?newwindow=1&amp;ei=2MT0XrvGGM-vytMP1OyDgAY&amp;q=site%3Alinkedin.com+Aimee+Carcioppolo+IT+College+Recruiter+Progressive+Insurance</v>
      </c>
      <c r="K3133" s="5" t="str">
        <f t="shared" si="1"/>
        <v>Aimee Carcioppolo</v>
      </c>
      <c r="L3133" s="5" t="str">
        <f t="shared" si="2"/>
        <v>IT College Recruiter</v>
      </c>
      <c r="M3133" s="5" t="str">
        <f t="shared" si="3"/>
        <v> </v>
      </c>
      <c r="N3133" s="5" t="str">
        <f t="shared" si="4"/>
        <v>Progressive Insurance</v>
      </c>
      <c r="O3133" s="5" t="str">
        <f t="shared" si="5"/>
        <v>1 year 2 months in role</v>
      </c>
      <c r="P3133" s="5" t="str">
        <f t="shared" si="6"/>
        <v>Independence</v>
      </c>
      <c r="Q3133" s="5" t="str">
        <f t="shared" si="7"/>
        <v>Ohio</v>
      </c>
      <c r="R3133" s="5" t="str">
        <f t="shared" si="8"/>
        <v>United States</v>
      </c>
    </row>
    <row r="3134">
      <c r="A3134" s="7" t="s">
        <v>2783</v>
      </c>
      <c r="B3134" s="5" t="s">
        <v>2780</v>
      </c>
      <c r="C3134" s="5" t="s">
        <v>2781</v>
      </c>
      <c r="D3134" s="6" t="s">
        <v>13</v>
      </c>
      <c r="E3134" s="5" t="s">
        <v>2771</v>
      </c>
      <c r="G3134" s="5" t="s">
        <v>2782</v>
      </c>
      <c r="H3134" s="5" t="s">
        <v>219</v>
      </c>
      <c r="I3134" s="5" t="s">
        <v>18</v>
      </c>
      <c r="J3134" s="9" t="str">
        <f>IFERROR(__xludf.DUMMYFUNCTION("""COMPUTED_VALUE"""),"https://www.google.com/search?newwindow=1&amp;ei=2MT0XrvGGM-vytMP1OyDgAY&amp;q=site%3Alinkedin.com+Sarah+Williams+Campus+Recruiting+Manager+Protiviti")</f>
        <v>https://www.google.com/search?newwindow=1&amp;ei=2MT0XrvGGM-vytMP1OyDgAY&amp;q=site%3Alinkedin.com+Sarah+Williams+Campus+Recruiting+Manager+Protiviti</v>
      </c>
      <c r="K3134" s="5" t="str">
        <f t="shared" si="1"/>
        <v>Sarah Williams</v>
      </c>
      <c r="L3134" s="5" t="str">
        <f t="shared" si="2"/>
        <v>Campus Recruiting Manager</v>
      </c>
      <c r="M3134" s="5" t="str">
        <f t="shared" si="3"/>
        <v> </v>
      </c>
      <c r="N3134" s="5" t="str">
        <f t="shared" si="4"/>
        <v>Protiviti</v>
      </c>
      <c r="O3134" s="5" t="str">
        <f t="shared" si="5"/>
        <v>10 months in role</v>
      </c>
      <c r="P3134" s="5" t="str">
        <f t="shared" si="6"/>
        <v>Atlanta</v>
      </c>
      <c r="Q3134" s="5" t="str">
        <f t="shared" si="7"/>
        <v>Georgia</v>
      </c>
      <c r="R3134" s="5" t="str">
        <f t="shared" si="8"/>
        <v>United States</v>
      </c>
    </row>
    <row r="3135">
      <c r="A3135" s="7" t="s">
        <v>2786</v>
      </c>
      <c r="B3135" s="5" t="s">
        <v>2784</v>
      </c>
      <c r="C3135" s="5" t="s">
        <v>480</v>
      </c>
      <c r="D3135" s="6" t="s">
        <v>13</v>
      </c>
      <c r="E3135" s="5" t="s">
        <v>2771</v>
      </c>
      <c r="F3135" s="5" t="s">
        <v>1806</v>
      </c>
      <c r="G3135" s="5" t="s">
        <v>2785</v>
      </c>
      <c r="H3135" s="5" t="s">
        <v>219</v>
      </c>
      <c r="I3135" s="5" t="s">
        <v>18</v>
      </c>
      <c r="J3135" s="9" t="str">
        <f>IFERROR(__xludf.DUMMYFUNCTION("""COMPUTED_VALUE"""),"https://www.google.com/search?newwindow=1&amp;ei=2MT0XrvGGM-vytMP1OyDgAY&amp;q=site%3Alinkedin.com+Mariah+Wills+Campus+Recruiter+Protiviti")</f>
        <v>https://www.google.com/search?newwindow=1&amp;ei=2MT0XrvGGM-vytMP1OyDgAY&amp;q=site%3Alinkedin.com+Mariah+Wills+Campus+Recruiter+Protiviti</v>
      </c>
      <c r="K3135" s="5" t="str">
        <f t="shared" si="1"/>
        <v>Mariah Wills</v>
      </c>
      <c r="L3135" s="5" t="str">
        <f t="shared" si="2"/>
        <v>Campus Recruiter</v>
      </c>
      <c r="M3135" s="5" t="str">
        <f t="shared" si="3"/>
        <v> </v>
      </c>
      <c r="N3135" s="5" t="str">
        <f t="shared" si="4"/>
        <v>Protiviti</v>
      </c>
      <c r="O3135" s="5" t="str">
        <f t="shared" si="5"/>
        <v>1 year  in role and company</v>
      </c>
      <c r="P3135" s="5" t="str">
        <f t="shared" si="6"/>
        <v>Houston</v>
      </c>
      <c r="Q3135" s="5" t="str">
        <f t="shared" si="7"/>
        <v>Texas</v>
      </c>
      <c r="R3135" s="5" t="str">
        <f t="shared" si="8"/>
        <v>United States</v>
      </c>
    </row>
    <row r="3136">
      <c r="A3136" s="8" t="s">
        <v>2789</v>
      </c>
      <c r="B3136" s="5" t="s">
        <v>2787</v>
      </c>
      <c r="C3136" s="5" t="s">
        <v>25</v>
      </c>
      <c r="D3136" s="6" t="s">
        <v>13</v>
      </c>
      <c r="E3136" s="5" t="s">
        <v>2788</v>
      </c>
      <c r="F3136" s="5" t="s">
        <v>1289</v>
      </c>
      <c r="G3136" s="5" t="s">
        <v>1643</v>
      </c>
      <c r="H3136" s="5" t="s">
        <v>763</v>
      </c>
      <c r="I3136" s="5" t="s">
        <v>18</v>
      </c>
      <c r="J3136" s="9" t="str">
        <f>IFERROR(__xludf.DUMMYFUNCTION("""COMPUTED_VALUE"""),"https://www.google.com/search?newwindow=1&amp;ei=2MT0XrvGGM-vytMP1OyDgAY&amp;q=site%3Alinkedin.com+Katelyn+Sypher+Campus+Recruiting+Manager+Protiviti")</f>
        <v>https://www.google.com/search?newwindow=1&amp;ei=2MT0XrvGGM-vytMP1OyDgAY&amp;q=site%3Alinkedin.com+Katelyn+Sypher+Campus+Recruiting+Manager+Protiviti</v>
      </c>
      <c r="K3136" s="5" t="str">
        <f t="shared" si="1"/>
        <v>Katelyn Sypher</v>
      </c>
      <c r="L3136" s="5" t="str">
        <f t="shared" si="2"/>
        <v>Campus Recruiting Manager</v>
      </c>
      <c r="M3136" s="5" t="str">
        <f t="shared" si="3"/>
        <v> </v>
      </c>
      <c r="N3136" s="5" t="str">
        <f t="shared" si="4"/>
        <v>Protiviti</v>
      </c>
      <c r="O3136" s="5" t="str">
        <f t="shared" si="5"/>
        <v>3 years 4 months in role</v>
      </c>
      <c r="P3136" s="5" t="str">
        <f t="shared" si="6"/>
        <v>New York</v>
      </c>
      <c r="Q3136" s="5" t="str">
        <f t="shared" si="7"/>
        <v>New York</v>
      </c>
      <c r="R3136" s="5" t="str">
        <f t="shared" si="8"/>
        <v>United States</v>
      </c>
    </row>
    <row r="3137">
      <c r="A3137" s="8" t="s">
        <v>2793</v>
      </c>
      <c r="B3137" s="5" t="s">
        <v>2790</v>
      </c>
      <c r="C3137" s="5" t="s">
        <v>2791</v>
      </c>
      <c r="D3137" s="6" t="s">
        <v>13</v>
      </c>
      <c r="E3137" s="5" t="s">
        <v>2788</v>
      </c>
      <c r="F3137" s="5" t="s">
        <v>886</v>
      </c>
      <c r="G3137" s="5" t="s">
        <v>2792</v>
      </c>
      <c r="H3137" s="5" t="s">
        <v>38</v>
      </c>
      <c r="I3137" s="5" t="s">
        <v>18</v>
      </c>
      <c r="J3137" s="9" t="str">
        <f>IFERROR(__xludf.DUMMYFUNCTION("""COMPUTED_VALUE"""),"https://www.google.com/search?newwindow=1&amp;ei=2MT0XrvGGM-vytMP1OyDgAY&amp;q=site%3Alinkedin.com+Melissa+Miller+Campus+Recruiter+Protiviti")</f>
        <v>https://www.google.com/search?newwindow=1&amp;ei=2MT0XrvGGM-vytMP1OyDgAY&amp;q=site%3Alinkedin.com+Melissa+Miller+Campus+Recruiter+Protiviti</v>
      </c>
      <c r="K3137" s="5" t="str">
        <f t="shared" si="1"/>
        <v>Melissa Miller</v>
      </c>
      <c r="L3137" s="5" t="str">
        <f t="shared" si="2"/>
        <v>Campus Recruiter</v>
      </c>
      <c r="M3137" s="5" t="str">
        <f t="shared" si="3"/>
        <v> </v>
      </c>
      <c r="N3137" s="5" t="str">
        <f t="shared" si="4"/>
        <v>Protiviti</v>
      </c>
      <c r="O3137" s="5" t="str">
        <f t="shared" si="5"/>
        <v/>
      </c>
      <c r="P3137" s="5" t="str">
        <f t="shared" si="6"/>
        <v>Philadelphia</v>
      </c>
      <c r="Q3137" s="5" t="str">
        <f t="shared" si="7"/>
        <v>Pennsylvania</v>
      </c>
      <c r="R3137" s="5" t="str">
        <f t="shared" si="8"/>
        <v>United States</v>
      </c>
    </row>
    <row r="3138">
      <c r="A3138" s="8" t="s">
        <v>2795</v>
      </c>
      <c r="B3138" s="5" t="s">
        <v>2794</v>
      </c>
      <c r="C3138" s="5" t="s">
        <v>25</v>
      </c>
      <c r="D3138" s="6" t="s">
        <v>13</v>
      </c>
      <c r="E3138" s="5" t="s">
        <v>2788</v>
      </c>
      <c r="F3138" s="5" t="s">
        <v>832</v>
      </c>
      <c r="G3138" s="5" t="s">
        <v>112</v>
      </c>
      <c r="H3138" s="5" t="s">
        <v>38</v>
      </c>
      <c r="I3138" s="5" t="s">
        <v>18</v>
      </c>
      <c r="J3138" s="9" t="str">
        <f>IFERROR(__xludf.DUMMYFUNCTION("""COMPUTED_VALUE"""),"https://www.google.com/search?newwindow=1&amp;ei=2MT0XrvGGM-vytMP1OyDgAY&amp;q=site%3Alinkedin.com+Kim+Winkler+Campus+Recruiting+Manager+Protiviti,+Inc.")</f>
        <v>https://www.google.com/search?newwindow=1&amp;ei=2MT0XrvGGM-vytMP1OyDgAY&amp;q=site%3Alinkedin.com+Kim+Winkler+Campus+Recruiting+Manager+Protiviti,+Inc.</v>
      </c>
      <c r="K3138" s="5" t="str">
        <f t="shared" si="1"/>
        <v>Kim Winkler</v>
      </c>
      <c r="L3138" s="5" t="str">
        <f t="shared" si="2"/>
        <v>Campus Recruiting Manager</v>
      </c>
      <c r="M3138" s="5" t="str">
        <f t="shared" si="3"/>
        <v> </v>
      </c>
      <c r="N3138" s="5" t="str">
        <f t="shared" si="4"/>
        <v>Protiviti</v>
      </c>
      <c r="O3138" s="5" t="str">
        <f t="shared" si="5"/>
        <v/>
      </c>
      <c r="P3138" s="5" t="str">
        <f t="shared" si="6"/>
        <v>Houston</v>
      </c>
      <c r="Q3138" s="5" t="str">
        <f t="shared" si="7"/>
        <v>Texas</v>
      </c>
      <c r="R3138" s="5" t="str">
        <f t="shared" si="8"/>
        <v>United States</v>
      </c>
    </row>
    <row r="3139">
      <c r="A3139" s="8" t="s">
        <v>2799</v>
      </c>
      <c r="B3139" s="5" t="s">
        <v>2796</v>
      </c>
      <c r="C3139" s="5" t="s">
        <v>2797</v>
      </c>
      <c r="D3139" s="6" t="s">
        <v>13</v>
      </c>
      <c r="E3139" s="5" t="s">
        <v>2788</v>
      </c>
      <c r="F3139" s="5" t="s">
        <v>233</v>
      </c>
      <c r="G3139" s="5" t="s">
        <v>2798</v>
      </c>
      <c r="H3139" s="5" t="s">
        <v>154</v>
      </c>
      <c r="I3139" s="5" t="s">
        <v>18</v>
      </c>
      <c r="J3139" s="9" t="str">
        <f>IFERROR(__xludf.DUMMYFUNCTION("""COMPUTED_VALUE"""),"https://www.google.com/search?newwindow=1&amp;ei=2MT0XrvGGM-vytMP1OyDgAY&amp;q=site%3Alinkedin.com+Paulette+Sprigg+Business+Recruiter,+Experienced+Hire+PricewaterhouseCoopers")</f>
        <v>https://www.google.com/search?newwindow=1&amp;ei=2MT0XrvGGM-vytMP1OyDgAY&amp;q=site%3Alinkedin.com+Paulette+Sprigg+Business+Recruiter,+Experienced+Hire+PricewaterhouseCoopers</v>
      </c>
      <c r="K3139" s="5" t="str">
        <f t="shared" si="1"/>
        <v>Paulette Sprigg</v>
      </c>
      <c r="L3139" s="5" t="str">
        <f t="shared" si="2"/>
        <v>Business Recruiter, Experienced Hire</v>
      </c>
      <c r="M3139" s="5" t="str">
        <f t="shared" si="3"/>
        <v> </v>
      </c>
      <c r="N3139" s="5" t="str">
        <f t="shared" si="4"/>
        <v>PwC</v>
      </c>
      <c r="O3139" s="5" t="str">
        <f t="shared" si="5"/>
        <v>1 year 3 months in role and company</v>
      </c>
      <c r="P3139" s="5" t="str">
        <f t="shared" si="6"/>
        <v>Dallas</v>
      </c>
      <c r="Q3139" s="5" t="str">
        <f t="shared" si="7"/>
        <v>Texas</v>
      </c>
      <c r="R3139" s="5" t="str">
        <f t="shared" si="8"/>
        <v>United States</v>
      </c>
    </row>
    <row r="3140">
      <c r="A3140" s="8" t="s">
        <v>2803</v>
      </c>
      <c r="B3140" s="5" t="s">
        <v>2800</v>
      </c>
      <c r="C3140" s="5" t="s">
        <v>2801</v>
      </c>
      <c r="D3140" s="6" t="s">
        <v>13</v>
      </c>
      <c r="E3140" s="5" t="s">
        <v>2788</v>
      </c>
      <c r="F3140" s="5" t="s">
        <v>472</v>
      </c>
      <c r="G3140" s="5" t="s">
        <v>2802</v>
      </c>
      <c r="H3140" s="5" t="s">
        <v>91</v>
      </c>
      <c r="I3140" s="5" t="s">
        <v>18</v>
      </c>
      <c r="J3140" s="9" t="str">
        <f>IFERROR(__xludf.DUMMYFUNCTION("""COMPUTED_VALUE"""),"https://www.google.com/search?newwindow=1&amp;ei=2MT0XrvGGM-vytMP1OyDgAY&amp;q=site%3Alinkedin.com+Corinne+Santos+Campus+Recruiter+PricewaterhouseCoopers")</f>
        <v>https://www.google.com/search?newwindow=1&amp;ei=2MT0XrvGGM-vytMP1OyDgAY&amp;q=site%3Alinkedin.com+Corinne+Santos+Campus+Recruiter+PricewaterhouseCoopers</v>
      </c>
      <c r="K3140" s="5" t="str">
        <f t="shared" si="1"/>
        <v>Corinne Santos</v>
      </c>
      <c r="L3140" s="5" t="str">
        <f t="shared" si="2"/>
        <v>Campus Recruiter</v>
      </c>
      <c r="M3140" s="5" t="str">
        <f t="shared" si="3"/>
        <v> </v>
      </c>
      <c r="N3140" s="5" t="str">
        <f t="shared" si="4"/>
        <v>PwC</v>
      </c>
      <c r="O3140" s="5" t="str">
        <f t="shared" si="5"/>
        <v>11 years 1 month in role</v>
      </c>
      <c r="P3140" s="5" t="str">
        <f t="shared" si="6"/>
        <v>Hartford</v>
      </c>
      <c r="Q3140" s="5" t="str">
        <f t="shared" si="7"/>
        <v>Connecticut</v>
      </c>
      <c r="R3140" s="5" t="str">
        <f t="shared" si="8"/>
        <v>United States</v>
      </c>
    </row>
    <row r="3141">
      <c r="A3141" s="8" t="s">
        <v>2806</v>
      </c>
      <c r="B3141" s="5" t="s">
        <v>2804</v>
      </c>
      <c r="C3141" s="5" t="s">
        <v>25</v>
      </c>
      <c r="D3141" s="6" t="s">
        <v>13</v>
      </c>
      <c r="E3141" s="5" t="s">
        <v>2788</v>
      </c>
      <c r="F3141" s="5" t="s">
        <v>228</v>
      </c>
      <c r="G3141" s="5" t="s">
        <v>2805</v>
      </c>
      <c r="H3141" s="5" t="s">
        <v>44</v>
      </c>
      <c r="I3141" s="5" t="s">
        <v>18</v>
      </c>
      <c r="J3141" s="9" t="str">
        <f>IFERROR(__xludf.DUMMYFUNCTION("""COMPUTED_VALUE"""),"https://www.google.com/search?newwindow=1&amp;ei=2MT0XrvGGM-vytMP1OyDgAY&amp;q=site%3Alinkedin.com+Karen+Putnam+Campus+Recruiting+Manager+PricewaterhouseCoopers")</f>
        <v>https://www.google.com/search?newwindow=1&amp;ei=2MT0XrvGGM-vytMP1OyDgAY&amp;q=site%3Alinkedin.com+Karen+Putnam+Campus+Recruiting+Manager+PricewaterhouseCoopers</v>
      </c>
      <c r="K3141" s="5" t="str">
        <f t="shared" si="1"/>
        <v>Karen Putnam</v>
      </c>
      <c r="L3141" s="5" t="str">
        <f t="shared" si="2"/>
        <v>Campus Recruiting Manager</v>
      </c>
      <c r="M3141" s="5" t="str">
        <f t="shared" si="3"/>
        <v> </v>
      </c>
      <c r="N3141" s="5" t="str">
        <f t="shared" si="4"/>
        <v>PwC</v>
      </c>
      <c r="O3141" s="5" t="str">
        <f t="shared" si="5"/>
        <v>9 years 5 months in role</v>
      </c>
      <c r="P3141" s="5" t="str">
        <f t="shared" si="6"/>
        <v>Houston</v>
      </c>
      <c r="Q3141" s="5" t="str">
        <f t="shared" si="7"/>
        <v>Texas</v>
      </c>
      <c r="R3141" s="5" t="str">
        <f t="shared" si="8"/>
        <v>United States</v>
      </c>
    </row>
    <row r="3142">
      <c r="A3142" s="8" t="s">
        <v>2808</v>
      </c>
      <c r="B3142" s="5" t="s">
        <v>2807</v>
      </c>
      <c r="C3142" s="5" t="s">
        <v>371</v>
      </c>
      <c r="D3142" s="6" t="s">
        <v>13</v>
      </c>
      <c r="E3142" s="5" t="s">
        <v>2788</v>
      </c>
      <c r="F3142" s="5" t="s">
        <v>241</v>
      </c>
      <c r="G3142" s="6" t="s">
        <v>64</v>
      </c>
      <c r="H3142" s="6" t="s">
        <v>65</v>
      </c>
      <c r="I3142" s="5" t="s">
        <v>18</v>
      </c>
      <c r="J3142" s="9" t="str">
        <f>IFERROR(__xludf.DUMMYFUNCTION("""COMPUTED_VALUE"""),"https://www.google.com/search?newwindow=1&amp;ei=2MT0XrvGGM-vytMP1OyDgAY&amp;q=site%3Alinkedin.com+Jennifer+Kaniewski+HR+&amp;+Campus+Recruiting+Manager+PricewaterhouseCoopers")</f>
        <v>https://www.google.com/search?newwindow=1&amp;ei=2MT0XrvGGM-vytMP1OyDgAY&amp;q=site%3Alinkedin.com+Jennifer+Kaniewski+HR+&amp;+Campus+Recruiting+Manager+PricewaterhouseCoopers</v>
      </c>
      <c r="K3142" s="5" t="str">
        <f t="shared" si="1"/>
        <v>Jennifer Kaniewski</v>
      </c>
      <c r="L3142" s="5" t="str">
        <f t="shared" si="2"/>
        <v>HR &amp; Campus Recruiting Manager</v>
      </c>
      <c r="M3142" s="5" t="str">
        <f t="shared" si="3"/>
        <v> </v>
      </c>
      <c r="N3142" s="5" t="str">
        <f t="shared" si="4"/>
        <v>PwC</v>
      </c>
      <c r="O3142" s="5" t="str">
        <f t="shared" si="5"/>
        <v/>
      </c>
      <c r="P3142" s="5" t="str">
        <f t="shared" si="6"/>
        <v>Las Vegas</v>
      </c>
      <c r="Q3142" s="5" t="str">
        <f t="shared" si="7"/>
        <v>Nevada</v>
      </c>
      <c r="R3142" s="5" t="str">
        <f t="shared" si="8"/>
        <v>United States</v>
      </c>
    </row>
    <row r="3143">
      <c r="A3143" s="8" t="s">
        <v>2811</v>
      </c>
      <c r="B3143" s="5" t="s">
        <v>2809</v>
      </c>
      <c r="C3143" s="5" t="s">
        <v>2810</v>
      </c>
      <c r="D3143" s="6" t="s">
        <v>13</v>
      </c>
      <c r="E3143" s="5" t="s">
        <v>2788</v>
      </c>
      <c r="F3143" s="5" t="s">
        <v>909</v>
      </c>
      <c r="G3143" s="6" t="s">
        <v>64</v>
      </c>
      <c r="H3143" s="6" t="s">
        <v>65</v>
      </c>
      <c r="I3143" s="5" t="s">
        <v>18</v>
      </c>
      <c r="J3143" s="9" t="str">
        <f>IFERROR(__xludf.DUMMYFUNCTION("""COMPUTED_VALUE"""),"https://www.google.com/search?newwindow=1&amp;ei=2MT0XrvGGM-vytMP1OyDgAY&amp;q=site%3Alinkedin.com+Rene'+Newsome+Campus+Recruiting+Manager+PricewaterhouseCoopers")</f>
        <v>https://www.google.com/search?newwindow=1&amp;ei=2MT0XrvGGM-vytMP1OyDgAY&amp;q=site%3Alinkedin.com+Rene'+Newsome+Campus+Recruiting+Manager+PricewaterhouseCoopers</v>
      </c>
      <c r="K3143" s="5" t="str">
        <f t="shared" si="1"/>
        <v>Rene' Newsome</v>
      </c>
      <c r="L3143" s="5" t="str">
        <f t="shared" si="2"/>
        <v>Campus Recruiting Manager</v>
      </c>
      <c r="M3143" s="5" t="str">
        <f t="shared" si="3"/>
        <v> </v>
      </c>
      <c r="N3143" s="5" t="str">
        <f t="shared" si="4"/>
        <v>PwC</v>
      </c>
      <c r="O3143" s="5" t="str">
        <f t="shared" si="5"/>
        <v>13 years 3 months in role</v>
      </c>
      <c r="P3143" s="5" t="str">
        <f t="shared" si="6"/>
        <v>Louisville</v>
      </c>
      <c r="Q3143" s="5" t="str">
        <f t="shared" si="7"/>
        <v>Kentucky</v>
      </c>
      <c r="R3143" s="5" t="str">
        <f t="shared" si="8"/>
        <v>United States</v>
      </c>
    </row>
    <row r="3144">
      <c r="A3144" s="8" t="s">
        <v>2815</v>
      </c>
      <c r="B3144" s="5" t="s">
        <v>2812</v>
      </c>
      <c r="C3144" s="5" t="s">
        <v>2813</v>
      </c>
      <c r="D3144" s="6" t="s">
        <v>13</v>
      </c>
      <c r="E3144" s="5" t="s">
        <v>2788</v>
      </c>
      <c r="F3144" s="5" t="s">
        <v>111</v>
      </c>
      <c r="G3144" s="5" t="s">
        <v>2814</v>
      </c>
      <c r="H3144" s="5" t="s">
        <v>154</v>
      </c>
      <c r="I3144" s="5" t="s">
        <v>18</v>
      </c>
      <c r="J3144" s="9" t="str">
        <f>IFERROR(__xludf.DUMMYFUNCTION("""COMPUTED_VALUE"""),"https://www.google.com/search?newwindow=1&amp;ei=2MT0XrvGGM-vytMP1OyDgAY&amp;q=site%3Alinkedin.com+Kurt+Peterson+Campus+Recruiting+Manager+PricewaterhouseCoopers")</f>
        <v>https://www.google.com/search?newwindow=1&amp;ei=2MT0XrvGGM-vytMP1OyDgAY&amp;q=site%3Alinkedin.com+Kurt+Peterson+Campus+Recruiting+Manager+PricewaterhouseCoopers</v>
      </c>
      <c r="K3144" s="5" t="str">
        <f t="shared" si="1"/>
        <v>Kurt Peterson</v>
      </c>
      <c r="L3144" s="5" t="str">
        <f t="shared" si="2"/>
        <v>Campus Recruiting Manager</v>
      </c>
      <c r="M3144" s="5" t="str">
        <f t="shared" si="3"/>
        <v> </v>
      </c>
      <c r="N3144" s="5" t="str">
        <f t="shared" si="4"/>
        <v>PwC</v>
      </c>
      <c r="O3144" s="5" t="str">
        <f t="shared" si="5"/>
        <v/>
      </c>
      <c r="P3144" s="5" t="str">
        <f t="shared" si="6"/>
        <v>Minneapolis</v>
      </c>
      <c r="Q3144" s="5" t="str">
        <f t="shared" si="7"/>
        <v>Minnesota</v>
      </c>
      <c r="R3144" s="5" t="str">
        <f t="shared" si="8"/>
        <v>United States</v>
      </c>
    </row>
    <row r="3145">
      <c r="A3145" s="8" t="s">
        <v>2815</v>
      </c>
      <c r="B3145" s="5" t="s">
        <v>2812</v>
      </c>
      <c r="C3145" s="5" t="s">
        <v>2813</v>
      </c>
      <c r="D3145" s="6" t="s">
        <v>13</v>
      </c>
      <c r="E3145" s="5" t="s">
        <v>2788</v>
      </c>
      <c r="F3145" s="5" t="s">
        <v>111</v>
      </c>
      <c r="G3145" s="5" t="s">
        <v>2814</v>
      </c>
      <c r="H3145" s="5" t="s">
        <v>154</v>
      </c>
      <c r="I3145" s="5" t="s">
        <v>18</v>
      </c>
      <c r="J3145" s="9" t="str">
        <f>IFERROR(__xludf.DUMMYFUNCTION("""COMPUTED_VALUE"""),"https://www.google.com/search?newwindow=1&amp;ei=2MT0XrvGGM-vytMP1OyDgAY&amp;q=site%3Alinkedin.com+Angela+Helbing+Manager+of+Campus+Recruiting+PricewaterhouseCoopers")</f>
        <v>https://www.google.com/search?newwindow=1&amp;ei=2MT0XrvGGM-vytMP1OyDgAY&amp;q=site%3Alinkedin.com+Angela+Helbing+Manager+of+Campus+Recruiting+PricewaterhouseCoopers</v>
      </c>
      <c r="K3145" s="5" t="str">
        <f t="shared" si="1"/>
        <v>Angela Helbing</v>
      </c>
      <c r="L3145" s="5" t="str">
        <f t="shared" si="2"/>
        <v>Manager of Campus Recruiting</v>
      </c>
      <c r="M3145" s="5" t="str">
        <f t="shared" si="3"/>
        <v> </v>
      </c>
      <c r="N3145" s="5" t="str">
        <f t="shared" si="4"/>
        <v>PwC</v>
      </c>
      <c r="O3145" s="5" t="str">
        <f t="shared" si="5"/>
        <v/>
      </c>
      <c r="P3145" s="5" t="str">
        <f t="shared" si="6"/>
        <v>Phoenix</v>
      </c>
      <c r="Q3145" s="5" t="str">
        <f t="shared" si="7"/>
        <v>Arizona</v>
      </c>
      <c r="R3145" s="5" t="str">
        <f t="shared" si="8"/>
        <v>United States</v>
      </c>
    </row>
    <row r="3146">
      <c r="A3146" s="8" t="s">
        <v>2821</v>
      </c>
      <c r="B3146" s="5" t="s">
        <v>2816</v>
      </c>
      <c r="C3146" s="5" t="s">
        <v>2817</v>
      </c>
      <c r="D3146" s="6" t="s">
        <v>13</v>
      </c>
      <c r="E3146" s="5" t="s">
        <v>2788</v>
      </c>
      <c r="F3146" s="5" t="s">
        <v>2818</v>
      </c>
      <c r="G3146" s="5" t="s">
        <v>2819</v>
      </c>
      <c r="H3146" s="5" t="s">
        <v>2820</v>
      </c>
      <c r="I3146" s="5" t="s">
        <v>18</v>
      </c>
      <c r="J3146" s="9" t="str">
        <f>IFERROR(__xludf.DUMMYFUNCTION("""COMPUTED_VALUE"""),"https://www.google.com/search?newwindow=1&amp;ei=2MT0XrvGGM-vytMP1OyDgAY&amp;q=site%3Alinkedin.com+Kim+Kueper+Campus+Recruiter+PricewaterhouseCoopers")</f>
        <v>https://www.google.com/search?newwindow=1&amp;ei=2MT0XrvGGM-vytMP1OyDgAY&amp;q=site%3Alinkedin.com+Kim+Kueper+Campus+Recruiter+PricewaterhouseCoopers</v>
      </c>
      <c r="K3146" s="5" t="str">
        <f t="shared" si="1"/>
        <v>Kim Kueper</v>
      </c>
      <c r="L3146" s="5" t="str">
        <f t="shared" si="2"/>
        <v>Campus Recruiter</v>
      </c>
      <c r="M3146" s="5" t="str">
        <f t="shared" si="3"/>
        <v> </v>
      </c>
      <c r="N3146" s="5" t="str">
        <f t="shared" si="4"/>
        <v>PwC</v>
      </c>
      <c r="O3146" s="5" t="str">
        <f t="shared" si="5"/>
        <v>32 years 4 months in role</v>
      </c>
      <c r="P3146" s="5" t="str">
        <f t="shared" si="6"/>
        <v>St Louis</v>
      </c>
      <c r="Q3146" s="5" t="str">
        <f t="shared" si="7"/>
        <v>Missouri</v>
      </c>
      <c r="R3146" s="5" t="str">
        <f t="shared" si="8"/>
        <v>United States</v>
      </c>
    </row>
    <row r="3147">
      <c r="A3147" s="8" t="s">
        <v>2824</v>
      </c>
      <c r="B3147" s="5" t="s">
        <v>2822</v>
      </c>
      <c r="C3147" s="5" t="s">
        <v>2823</v>
      </c>
      <c r="D3147" s="6" t="s">
        <v>13</v>
      </c>
      <c r="E3147" s="5" t="s">
        <v>2788</v>
      </c>
      <c r="F3147" s="5" t="s">
        <v>661</v>
      </c>
      <c r="G3147" s="5" t="s">
        <v>137</v>
      </c>
      <c r="H3147" s="5" t="s">
        <v>137</v>
      </c>
      <c r="I3147" s="5" t="s">
        <v>18</v>
      </c>
      <c r="J3147" s="9" t="str">
        <f>IFERROR(__xludf.DUMMYFUNCTION("""COMPUTED_VALUE"""),"https://www.google.com/search?newwindow=1&amp;ei=2MT0XrvGGM-vytMP1OyDgAY&amp;q=site%3Alinkedin.com+Allyson+Cowden+Campus+Recruiting+Manager+PwC")</f>
        <v>https://www.google.com/search?newwindow=1&amp;ei=2MT0XrvGGM-vytMP1OyDgAY&amp;q=site%3Alinkedin.com+Allyson+Cowden+Campus+Recruiting+Manager+PwC</v>
      </c>
      <c r="K3147" s="5" t="str">
        <f t="shared" si="1"/>
        <v>Allyson Cowden</v>
      </c>
      <c r="L3147" s="5" t="str">
        <f t="shared" si="2"/>
        <v>Campus Recruiting Manager</v>
      </c>
      <c r="M3147" s="5" t="str">
        <f t="shared" si="3"/>
        <v> </v>
      </c>
      <c r="N3147" s="5" t="str">
        <f t="shared" si="4"/>
        <v>PwC</v>
      </c>
      <c r="O3147" s="5" t="str">
        <f t="shared" si="5"/>
        <v>1 year 5 months in role</v>
      </c>
      <c r="P3147" s="5" t="str">
        <f t="shared" si="6"/>
        <v>Arlington</v>
      </c>
      <c r="Q3147" s="5" t="str">
        <f t="shared" si="7"/>
        <v>Virginia</v>
      </c>
      <c r="R3147" s="5" t="str">
        <f t="shared" si="8"/>
        <v>United States</v>
      </c>
    </row>
    <row r="3148">
      <c r="A3148" s="8" t="s">
        <v>2827</v>
      </c>
      <c r="B3148" s="5" t="s">
        <v>2825</v>
      </c>
      <c r="C3148" s="5" t="s">
        <v>25</v>
      </c>
      <c r="D3148" s="6" t="s">
        <v>13</v>
      </c>
      <c r="E3148" s="5" t="s">
        <v>2788</v>
      </c>
      <c r="F3148" s="5" t="s">
        <v>2826</v>
      </c>
      <c r="G3148" s="5" t="s">
        <v>137</v>
      </c>
      <c r="H3148" s="5" t="s">
        <v>137</v>
      </c>
      <c r="I3148" s="5" t="s">
        <v>18</v>
      </c>
      <c r="J3148" s="9" t="str">
        <f>IFERROR(__xludf.DUMMYFUNCTION("""COMPUTED_VALUE"""),"https://www.google.com/search?newwindow=1&amp;ei=2MT0XrvGGM-vytMP1OyDgAY&amp;q=site%3Alinkedin.com+Teryl+Booth+Campus+Recruiting+Manager+PwC")</f>
        <v>https://www.google.com/search?newwindow=1&amp;ei=2MT0XrvGGM-vytMP1OyDgAY&amp;q=site%3Alinkedin.com+Teryl+Booth+Campus+Recruiting+Manager+PwC</v>
      </c>
      <c r="K3148" s="5" t="str">
        <f t="shared" si="1"/>
        <v>Teryl Booth</v>
      </c>
      <c r="L3148" s="5" t="str">
        <f t="shared" si="2"/>
        <v>Campus Recruiting Manager</v>
      </c>
      <c r="M3148" s="5" t="str">
        <f t="shared" si="3"/>
        <v> </v>
      </c>
      <c r="N3148" s="5" t="str">
        <f t="shared" si="4"/>
        <v>PwC</v>
      </c>
      <c r="O3148" s="5" t="str">
        <f t="shared" si="5"/>
        <v/>
      </c>
      <c r="P3148" s="5" t="str">
        <f t="shared" si="6"/>
        <v>Austin</v>
      </c>
      <c r="Q3148" s="5" t="str">
        <f t="shared" si="7"/>
        <v>Texas</v>
      </c>
      <c r="R3148" s="5" t="str">
        <f t="shared" si="8"/>
        <v>United States</v>
      </c>
    </row>
    <row r="3149">
      <c r="A3149" s="8" t="s">
        <v>2831</v>
      </c>
      <c r="B3149" s="5" t="s">
        <v>2828</v>
      </c>
      <c r="C3149" s="5" t="s">
        <v>2829</v>
      </c>
      <c r="D3149" s="6" t="s">
        <v>13</v>
      </c>
      <c r="E3149" s="5" t="s">
        <v>2788</v>
      </c>
      <c r="F3149" s="5" t="s">
        <v>1538</v>
      </c>
      <c r="G3149" s="5" t="s">
        <v>2830</v>
      </c>
      <c r="H3149" s="5" t="s">
        <v>219</v>
      </c>
      <c r="I3149" s="5" t="s">
        <v>18</v>
      </c>
      <c r="J3149" s="9" t="str">
        <f>IFERROR(__xludf.DUMMYFUNCTION("""COMPUTED_VALUE"""),"https://www.google.com/search?newwindow=1&amp;ei=2MT0XrvGGM-vytMP1OyDgAY&amp;q=site%3Alinkedin.com+Julie+Mims+Campus+Talent+Acquisition+Manager+PwC")</f>
        <v>https://www.google.com/search?newwindow=1&amp;ei=2MT0XrvGGM-vytMP1OyDgAY&amp;q=site%3Alinkedin.com+Julie+Mims+Campus+Talent+Acquisition+Manager+PwC</v>
      </c>
      <c r="K3149" s="5" t="str">
        <f t="shared" si="1"/>
        <v>Julie Mims</v>
      </c>
      <c r="L3149" s="5" t="str">
        <f t="shared" si="2"/>
        <v>Campus Talent Acquisition Manager</v>
      </c>
      <c r="M3149" s="5" t="str">
        <f t="shared" si="3"/>
        <v> </v>
      </c>
      <c r="N3149" s="5" t="str">
        <f t="shared" si="4"/>
        <v>PwC</v>
      </c>
      <c r="O3149" s="5" t="str">
        <f t="shared" si="5"/>
        <v>3 years 7 months in role</v>
      </c>
      <c r="P3149" s="5" t="str">
        <f t="shared" si="6"/>
        <v>Boston</v>
      </c>
      <c r="Q3149" s="5" t="str">
        <f t="shared" si="7"/>
        <v>Massachusetts</v>
      </c>
      <c r="R3149" s="5" t="str">
        <f t="shared" si="8"/>
        <v>United States</v>
      </c>
    </row>
    <row r="3150">
      <c r="A3150" s="8" t="s">
        <v>2834</v>
      </c>
      <c r="B3150" s="5" t="s">
        <v>2832</v>
      </c>
      <c r="C3150" s="5" t="s">
        <v>2833</v>
      </c>
      <c r="D3150" s="6" t="s">
        <v>13</v>
      </c>
      <c r="E3150" s="5" t="s">
        <v>2788</v>
      </c>
      <c r="F3150" s="5" t="s">
        <v>409</v>
      </c>
      <c r="G3150" s="5" t="s">
        <v>608</v>
      </c>
      <c r="H3150" s="5" t="s">
        <v>609</v>
      </c>
      <c r="I3150" s="5" t="s">
        <v>18</v>
      </c>
      <c r="J3150" s="9" t="str">
        <f>IFERROR(__xludf.DUMMYFUNCTION("""COMPUTED_VALUE"""),"https://www.google.com/search?newwindow=1&amp;ei=2MT0XrvGGM-vytMP1OyDgAY&amp;q=site%3Alinkedin.com+Lauren+Suttner+Campus+Recruiting+Manager+PwC")</f>
        <v>https://www.google.com/search?newwindow=1&amp;ei=2MT0XrvGGM-vytMP1OyDgAY&amp;q=site%3Alinkedin.com+Lauren+Suttner+Campus+Recruiting+Manager+PwC</v>
      </c>
      <c r="K3150" s="5" t="str">
        <f t="shared" si="1"/>
        <v>Lauren Suttner</v>
      </c>
      <c r="L3150" s="5" t="str">
        <f t="shared" si="2"/>
        <v>Campus Recruiting Manager</v>
      </c>
      <c r="M3150" s="5" t="str">
        <f t="shared" si="3"/>
        <v> </v>
      </c>
      <c r="N3150" s="5" t="str">
        <f t="shared" si="4"/>
        <v>PwC</v>
      </c>
      <c r="O3150" s="5" t="str">
        <f t="shared" si="5"/>
        <v>6 years 3 months in role</v>
      </c>
      <c r="P3150" s="5" t="str">
        <f t="shared" si="6"/>
        <v>Carmel</v>
      </c>
      <c r="Q3150" s="5" t="str">
        <f t="shared" si="7"/>
        <v>Indiana</v>
      </c>
      <c r="R3150" s="5" t="str">
        <f t="shared" si="8"/>
        <v>United States</v>
      </c>
    </row>
    <row r="3151">
      <c r="A3151" s="8" t="s">
        <v>2837</v>
      </c>
      <c r="B3151" s="5" t="s">
        <v>2835</v>
      </c>
      <c r="C3151" s="5" t="s">
        <v>766</v>
      </c>
      <c r="D3151" s="6" t="s">
        <v>13</v>
      </c>
      <c r="E3151" s="5" t="s">
        <v>2788</v>
      </c>
      <c r="F3151" s="5" t="s">
        <v>144</v>
      </c>
      <c r="G3151" s="5" t="s">
        <v>2836</v>
      </c>
      <c r="H3151" s="5" t="s">
        <v>203</v>
      </c>
      <c r="I3151" s="5" t="s">
        <v>18</v>
      </c>
      <c r="J3151" s="9" t="str">
        <f>IFERROR(__xludf.DUMMYFUNCTION("""COMPUTED_VALUE"""),"https://www.google.com/search?newwindow=1&amp;ei=2MT0XrvGGM-vytMP1OyDgAY&amp;q=site%3Alinkedin.com+Leanne+Vail+Campus+Recruiter+PwC")</f>
        <v>https://www.google.com/search?newwindow=1&amp;ei=2MT0XrvGGM-vytMP1OyDgAY&amp;q=site%3Alinkedin.com+Leanne+Vail+Campus+Recruiter+PwC</v>
      </c>
      <c r="K3151" s="5" t="str">
        <f t="shared" si="1"/>
        <v>Leanne Vail</v>
      </c>
      <c r="L3151" s="5" t="str">
        <f t="shared" si="2"/>
        <v>Campus Recruiter</v>
      </c>
      <c r="M3151" s="5" t="str">
        <f t="shared" si="3"/>
        <v> </v>
      </c>
      <c r="N3151" s="5" t="str">
        <f t="shared" si="4"/>
        <v>PwC</v>
      </c>
      <c r="O3151" s="5" t="str">
        <f t="shared" si="5"/>
        <v>7 years 3 months in role</v>
      </c>
      <c r="P3151" s="5" t="str">
        <f t="shared" si="6"/>
        <v>Carmel</v>
      </c>
      <c r="Q3151" s="5" t="str">
        <f t="shared" si="7"/>
        <v>Indiana</v>
      </c>
      <c r="R3151" s="5" t="str">
        <f t="shared" si="8"/>
        <v>United States</v>
      </c>
    </row>
    <row r="3152">
      <c r="A3152" s="8" t="s">
        <v>2841</v>
      </c>
      <c r="B3152" s="5" t="s">
        <v>2838</v>
      </c>
      <c r="C3152" s="5" t="s">
        <v>2155</v>
      </c>
      <c r="D3152" s="6" t="s">
        <v>13</v>
      </c>
      <c r="E3152" s="5" t="s">
        <v>2839</v>
      </c>
      <c r="F3152" s="5" t="s">
        <v>2840</v>
      </c>
      <c r="G3152" s="5" t="s">
        <v>1638</v>
      </c>
      <c r="H3152" s="5" t="s">
        <v>1639</v>
      </c>
      <c r="I3152" s="5" t="s">
        <v>18</v>
      </c>
      <c r="J3152" s="9" t="str">
        <f>IFERROR(__xludf.DUMMYFUNCTION("""COMPUTED_VALUE"""),"https://www.google.com/search?newwindow=1&amp;ei=2MT0XrvGGM-vytMP1OyDgAY&amp;q=site%3Alinkedin.com+Michael+Watkins+Manager,+Campus+Recruiting+PwC")</f>
        <v>https://www.google.com/search?newwindow=1&amp;ei=2MT0XrvGGM-vytMP1OyDgAY&amp;q=site%3Alinkedin.com+Michael+Watkins+Manager,+Campus+Recruiting+PwC</v>
      </c>
      <c r="K3152" s="5" t="str">
        <f t="shared" si="1"/>
        <v>Michael Watkins</v>
      </c>
      <c r="L3152" s="5" t="str">
        <f t="shared" si="2"/>
        <v>Manager, Campus Recruiting</v>
      </c>
      <c r="M3152" s="5" t="str">
        <f t="shared" si="3"/>
        <v> </v>
      </c>
      <c r="N3152" s="5" t="str">
        <f t="shared" si="4"/>
        <v>PwC</v>
      </c>
      <c r="O3152" s="5" t="str">
        <f t="shared" si="5"/>
        <v>1 year 6 months in role and company</v>
      </c>
      <c r="P3152" s="5" t="str">
        <f t="shared" si="6"/>
        <v>Chicago</v>
      </c>
      <c r="Q3152" s="5" t="str">
        <f t="shared" si="7"/>
        <v>Illinois</v>
      </c>
      <c r="R3152" s="5" t="str">
        <f t="shared" si="8"/>
        <v>United States</v>
      </c>
    </row>
    <row r="3153">
      <c r="A3153" s="7" t="s">
        <v>2843</v>
      </c>
      <c r="B3153" s="5" t="s">
        <v>2842</v>
      </c>
      <c r="C3153" s="5" t="s">
        <v>371</v>
      </c>
      <c r="D3153" s="6" t="s">
        <v>13</v>
      </c>
      <c r="E3153" s="5" t="s">
        <v>2839</v>
      </c>
      <c r="F3153" s="5" t="s">
        <v>651</v>
      </c>
      <c r="G3153" s="5" t="s">
        <v>377</v>
      </c>
      <c r="H3153" s="5" t="s">
        <v>378</v>
      </c>
      <c r="I3153" s="5" t="s">
        <v>18</v>
      </c>
      <c r="J3153" s="9" t="str">
        <f>IFERROR(__xludf.DUMMYFUNCTION("""COMPUTED_VALUE"""),"https://www.google.com/search?newwindow=1&amp;ei=2MT0XrvGGM-vytMP1OyDgAY&amp;q=site%3Alinkedin.com+Jen+Marshall+Campus+Recruiting+Manager+PwC")</f>
        <v>https://www.google.com/search?newwindow=1&amp;ei=2MT0XrvGGM-vytMP1OyDgAY&amp;q=site%3Alinkedin.com+Jen+Marshall+Campus+Recruiting+Manager+PwC</v>
      </c>
      <c r="K3153" s="5" t="str">
        <f t="shared" si="1"/>
        <v>Jen Marshall</v>
      </c>
      <c r="L3153" s="5" t="str">
        <f t="shared" si="2"/>
        <v>Campus Recruiting Manager</v>
      </c>
      <c r="M3153" s="5" t="str">
        <f t="shared" si="3"/>
        <v> </v>
      </c>
      <c r="N3153" s="5" t="str">
        <f t="shared" si="4"/>
        <v>PwC</v>
      </c>
      <c r="O3153" s="5" t="str">
        <f t="shared" si="5"/>
        <v>8 years 5 months in role</v>
      </c>
      <c r="P3153" s="5" t="str">
        <f t="shared" si="6"/>
        <v>Chicago</v>
      </c>
      <c r="Q3153" s="5" t="str">
        <f t="shared" si="7"/>
        <v>Illinois</v>
      </c>
      <c r="R3153" s="5" t="str">
        <f t="shared" si="8"/>
        <v>United States</v>
      </c>
    </row>
    <row r="3154">
      <c r="A3154" s="7" t="s">
        <v>2846</v>
      </c>
      <c r="B3154" s="5" t="s">
        <v>2844</v>
      </c>
      <c r="C3154" s="5" t="s">
        <v>25</v>
      </c>
      <c r="D3154" s="6" t="s">
        <v>13</v>
      </c>
      <c r="E3154" s="5" t="s">
        <v>2839</v>
      </c>
      <c r="F3154" s="5" t="s">
        <v>2845</v>
      </c>
      <c r="G3154" s="5" t="s">
        <v>49</v>
      </c>
      <c r="H3154" s="5" t="s">
        <v>50</v>
      </c>
      <c r="I3154" s="5" t="s">
        <v>18</v>
      </c>
      <c r="J3154" s="9" t="str">
        <f>IFERROR(__xludf.DUMMYFUNCTION("""COMPUTED_VALUE"""),"https://www.google.com/search?newwindow=1&amp;ei=2MT0XrvGGM-vytMP1OyDgAY&amp;q=site%3Alinkedin.com+Anne+(Keppler)+Mayor+Talent+Acquisition+Manager,+Advisory+Campus+Recruiting+PwC")</f>
        <v>https://www.google.com/search?newwindow=1&amp;ei=2MT0XrvGGM-vytMP1OyDgAY&amp;q=site%3Alinkedin.com+Anne+(Keppler)+Mayor+Talent+Acquisition+Manager,+Advisory+Campus+Recruiting+PwC</v>
      </c>
      <c r="K3154" s="5" t="str">
        <f t="shared" si="1"/>
        <v>Anne (Keppler) Mayor</v>
      </c>
      <c r="L3154" s="5" t="str">
        <f t="shared" si="2"/>
        <v>Talent Acquisition Manager, Advisory Campus Recruiting</v>
      </c>
      <c r="M3154" s="5" t="str">
        <f t="shared" si="3"/>
        <v> </v>
      </c>
      <c r="N3154" s="5" t="str">
        <f t="shared" si="4"/>
        <v>PwC</v>
      </c>
      <c r="O3154" s="5" t="str">
        <f t="shared" si="5"/>
        <v>4 years 4 months in role</v>
      </c>
      <c r="P3154" s="5" t="str">
        <f t="shared" si="6"/>
        <v>Chicago</v>
      </c>
      <c r="Q3154" s="5" t="str">
        <f t="shared" si="7"/>
        <v>Illinois</v>
      </c>
      <c r="R3154" s="5" t="str">
        <f t="shared" si="8"/>
        <v>United States</v>
      </c>
    </row>
    <row r="3155">
      <c r="A3155" s="8" t="s">
        <v>2849</v>
      </c>
      <c r="B3155" s="5" t="s">
        <v>2847</v>
      </c>
      <c r="C3155" s="5" t="s">
        <v>2848</v>
      </c>
      <c r="D3155" s="6" t="s">
        <v>13</v>
      </c>
      <c r="E3155" s="5" t="s">
        <v>2839</v>
      </c>
      <c r="F3155" s="5" t="s">
        <v>697</v>
      </c>
      <c r="G3155" s="6" t="s">
        <v>64</v>
      </c>
      <c r="H3155" s="6" t="s">
        <v>65</v>
      </c>
      <c r="I3155" s="5" t="s">
        <v>18</v>
      </c>
      <c r="J3155" s="9" t="str">
        <f>IFERROR(__xludf.DUMMYFUNCTION("""COMPUTED_VALUE"""),"https://www.google.com/search?newwindow=1&amp;ei=2MT0XrvGGM-vytMP1OyDgAY&amp;q=site%3Alinkedin.com+Lydia+Ghattas+Campus+Recruiter+PwC")</f>
        <v>https://www.google.com/search?newwindow=1&amp;ei=2MT0XrvGGM-vytMP1OyDgAY&amp;q=site%3Alinkedin.com+Lydia+Ghattas+Campus+Recruiter+PwC</v>
      </c>
      <c r="K3155" s="5" t="str">
        <f t="shared" si="1"/>
        <v>Lydia Ghattas</v>
      </c>
      <c r="L3155" s="5" t="str">
        <f t="shared" si="2"/>
        <v>Campus Recruiter</v>
      </c>
      <c r="M3155" s="5" t="str">
        <f t="shared" si="3"/>
        <v> </v>
      </c>
      <c r="N3155" s="5" t="str">
        <f t="shared" si="4"/>
        <v>PwC</v>
      </c>
      <c r="O3155" s="5" t="str">
        <f t="shared" si="5"/>
        <v/>
      </c>
      <c r="P3155" s="5" t="str">
        <f t="shared" si="6"/>
        <v>Chicago</v>
      </c>
      <c r="Q3155" s="5" t="str">
        <f t="shared" si="7"/>
        <v>Illinois</v>
      </c>
      <c r="R3155" s="5" t="str">
        <f t="shared" si="8"/>
        <v>United States</v>
      </c>
    </row>
    <row r="3156">
      <c r="A3156" s="8" t="s">
        <v>2853</v>
      </c>
      <c r="B3156" s="5" t="s">
        <v>2850</v>
      </c>
      <c r="C3156" s="5" t="s">
        <v>2155</v>
      </c>
      <c r="D3156" s="6" t="s">
        <v>13</v>
      </c>
      <c r="E3156" s="5" t="s">
        <v>2839</v>
      </c>
      <c r="F3156" s="5" t="s">
        <v>2851</v>
      </c>
      <c r="G3156" s="5" t="s">
        <v>2852</v>
      </c>
      <c r="H3156" s="5" t="s">
        <v>17</v>
      </c>
      <c r="I3156" s="5" t="s">
        <v>18</v>
      </c>
      <c r="J3156" s="9" t="str">
        <f>IFERROR(__xludf.DUMMYFUNCTION("""COMPUTED_VALUE"""),"https://www.google.com/search?newwindow=1&amp;ei=2MT0XrvGGM-vytMP1OyDgAY&amp;q=site%3Alinkedin.com+Sarah+Wagner+Campus+Recruiter+PwC")</f>
        <v>https://www.google.com/search?newwindow=1&amp;ei=2MT0XrvGGM-vytMP1OyDgAY&amp;q=site%3Alinkedin.com+Sarah+Wagner+Campus+Recruiter+PwC</v>
      </c>
      <c r="K3156" s="5" t="str">
        <f t="shared" si="1"/>
        <v>Sarah Wagner</v>
      </c>
      <c r="L3156" s="5" t="str">
        <f t="shared" si="2"/>
        <v>Campus Recruiter</v>
      </c>
      <c r="M3156" s="5" t="str">
        <f t="shared" si="3"/>
        <v> </v>
      </c>
      <c r="N3156" s="5" t="str">
        <f t="shared" si="4"/>
        <v>PwC</v>
      </c>
      <c r="O3156" s="5" t="str">
        <f t="shared" si="5"/>
        <v>6 years 8 months in role</v>
      </c>
      <c r="P3156" s="5" t="str">
        <f t="shared" si="6"/>
        <v>Dallas</v>
      </c>
      <c r="Q3156" s="5" t="str">
        <f t="shared" si="7"/>
        <v>Texas</v>
      </c>
      <c r="R3156" s="5" t="str">
        <f t="shared" si="8"/>
        <v>United States</v>
      </c>
    </row>
    <row r="3157">
      <c r="A3157" s="7" t="s">
        <v>2855</v>
      </c>
      <c r="B3157" s="5" t="s">
        <v>2854</v>
      </c>
      <c r="C3157" s="5" t="s">
        <v>25</v>
      </c>
      <c r="D3157" s="6" t="s">
        <v>13</v>
      </c>
      <c r="E3157" s="5" t="s">
        <v>2839</v>
      </c>
      <c r="F3157" s="5" t="s">
        <v>421</v>
      </c>
      <c r="G3157" s="5" t="s">
        <v>80</v>
      </c>
      <c r="H3157" s="5" t="s">
        <v>38</v>
      </c>
      <c r="I3157" s="5" t="s">
        <v>18</v>
      </c>
      <c r="J3157" s="9" t="str">
        <f>IFERROR(__xludf.DUMMYFUNCTION("""COMPUTED_VALUE"""),"https://www.google.com/search?newwindow=1&amp;ei=2MT0XrvGGM-vytMP1OyDgAY&amp;q=site%3Alinkedin.com+Lauren+Thomas+Campus+Talent+ID+Recruiter+PwC")</f>
        <v>https://www.google.com/search?newwindow=1&amp;ei=2MT0XrvGGM-vytMP1OyDgAY&amp;q=site%3Alinkedin.com+Lauren+Thomas+Campus+Talent+ID+Recruiter+PwC</v>
      </c>
      <c r="K3157" s="5" t="str">
        <f t="shared" si="1"/>
        <v>Lauren Thomas</v>
      </c>
      <c r="L3157" s="5" t="str">
        <f t="shared" si="2"/>
        <v>Campus Talent ID Recruiter</v>
      </c>
      <c r="M3157" s="5" t="str">
        <f t="shared" si="3"/>
        <v> </v>
      </c>
      <c r="N3157" s="5" t="str">
        <f t="shared" si="4"/>
        <v>PwC</v>
      </c>
      <c r="O3157" s="5" t="str">
        <f t="shared" si="5"/>
        <v>11 months in role</v>
      </c>
      <c r="P3157" s="5" t="str">
        <f t="shared" si="6"/>
        <v>Dallas</v>
      </c>
      <c r="Q3157" s="5" t="str">
        <f t="shared" si="7"/>
        <v>Texas</v>
      </c>
      <c r="R3157" s="5" t="str">
        <f t="shared" si="8"/>
        <v>United States</v>
      </c>
    </row>
    <row r="3158">
      <c r="A3158" s="8" t="s">
        <v>2858</v>
      </c>
      <c r="B3158" s="5" t="s">
        <v>2856</v>
      </c>
      <c r="C3158" s="5" t="s">
        <v>2857</v>
      </c>
      <c r="D3158" s="6" t="s">
        <v>13</v>
      </c>
      <c r="E3158" s="5" t="s">
        <v>2839</v>
      </c>
      <c r="F3158" s="5" t="s">
        <v>144</v>
      </c>
      <c r="G3158" s="5" t="s">
        <v>85</v>
      </c>
      <c r="H3158" s="5" t="s">
        <v>86</v>
      </c>
      <c r="I3158" s="5" t="s">
        <v>18</v>
      </c>
      <c r="J3158" s="9" t="str">
        <f>IFERROR(__xludf.DUMMYFUNCTION("""COMPUTED_VALUE"""),"https://www.google.com/search?newwindow=1&amp;ei=2MT0XrvGGM-vytMP1OyDgAY&amp;q=site%3Alinkedin.com+Ferrin+Decker+Senior+Manager+Advisory+Campus+Recruiting+PwC")</f>
        <v>https://www.google.com/search?newwindow=1&amp;ei=2MT0XrvGGM-vytMP1OyDgAY&amp;q=site%3Alinkedin.com+Ferrin+Decker+Senior+Manager+Advisory+Campus+Recruiting+PwC</v>
      </c>
      <c r="K3158" s="5" t="str">
        <f t="shared" si="1"/>
        <v>Ferrin Decker</v>
      </c>
      <c r="L3158" s="5" t="str">
        <f t="shared" si="2"/>
        <v>Senior Manager Advisory Campus Recruiting</v>
      </c>
      <c r="M3158" s="5" t="str">
        <f t="shared" si="3"/>
        <v> </v>
      </c>
      <c r="N3158" s="5" t="str">
        <f t="shared" si="4"/>
        <v>PwC</v>
      </c>
      <c r="O3158" s="5" t="str">
        <f t="shared" si="5"/>
        <v>2 years 10 months in role</v>
      </c>
      <c r="P3158" s="5" t="str">
        <f t="shared" si="6"/>
        <v>Denver</v>
      </c>
      <c r="Q3158" s="5" t="str">
        <f t="shared" si="7"/>
        <v>Colorado</v>
      </c>
      <c r="R3158" s="5" t="str">
        <f t="shared" si="8"/>
        <v>United States</v>
      </c>
    </row>
    <row r="3159">
      <c r="A3159" s="7" t="s">
        <v>2860</v>
      </c>
      <c r="B3159" s="5" t="s">
        <v>2859</v>
      </c>
      <c r="C3159" s="5" t="s">
        <v>371</v>
      </c>
      <c r="D3159" s="6" t="s">
        <v>13</v>
      </c>
      <c r="E3159" s="5" t="s">
        <v>2839</v>
      </c>
      <c r="F3159" s="5" t="s">
        <v>1623</v>
      </c>
      <c r="G3159" s="5" t="s">
        <v>90</v>
      </c>
      <c r="H3159" s="5" t="s">
        <v>91</v>
      </c>
      <c r="I3159" s="5" t="s">
        <v>18</v>
      </c>
      <c r="J3159" s="9" t="str">
        <f>IFERROR(__xludf.DUMMYFUNCTION("""COMPUTED_VALUE"""),"https://www.google.com/search?newwindow=1&amp;ei=2MT0XrvGGM-vytMP1OyDgAY&amp;q=site%3Alinkedin.com+Stephanie+Angellotto+Campus+Recruiting+Manager+-+Southwest+&amp;+Bay+Area+NW+PwC")</f>
        <v>https://www.google.com/search?newwindow=1&amp;ei=2MT0XrvGGM-vytMP1OyDgAY&amp;q=site%3Alinkedin.com+Stephanie+Angellotto+Campus+Recruiting+Manager+-+Southwest+&amp;+Bay+Area+NW+PwC</v>
      </c>
      <c r="K3159" s="5" t="str">
        <f t="shared" si="1"/>
        <v>Stephanie Angellotto</v>
      </c>
      <c r="L3159" s="5" t="str">
        <f t="shared" si="2"/>
        <v>Campus Recruiting Manager - Southwest &amp; Bay Area NW</v>
      </c>
      <c r="M3159" s="5" t="str">
        <f t="shared" si="3"/>
        <v> </v>
      </c>
      <c r="N3159" s="5" t="str">
        <f t="shared" si="4"/>
        <v>PwC</v>
      </c>
      <c r="O3159" s="5" t="str">
        <f t="shared" si="5"/>
        <v>2 years 4 months in role</v>
      </c>
      <c r="P3159" s="5" t="str">
        <f t="shared" si="6"/>
        <v>Denver</v>
      </c>
      <c r="Q3159" s="5" t="str">
        <f t="shared" si="7"/>
        <v>Colorado</v>
      </c>
      <c r="R3159" s="5" t="str">
        <f t="shared" si="8"/>
        <v>United States</v>
      </c>
    </row>
    <row r="3160">
      <c r="A3160" s="8" t="s">
        <v>2863</v>
      </c>
      <c r="B3160" s="5" t="s">
        <v>2861</v>
      </c>
      <c r="C3160" s="5" t="s">
        <v>2862</v>
      </c>
      <c r="D3160" s="6" t="s">
        <v>13</v>
      </c>
      <c r="E3160" s="5" t="s">
        <v>2839</v>
      </c>
      <c r="F3160" s="5" t="s">
        <v>488</v>
      </c>
      <c r="G3160" s="5" t="s">
        <v>112</v>
      </c>
      <c r="H3160" s="5" t="s">
        <v>38</v>
      </c>
      <c r="I3160" s="5" t="s">
        <v>18</v>
      </c>
      <c r="J3160" s="9" t="str">
        <f>IFERROR(__xludf.DUMMYFUNCTION("""COMPUTED_VALUE"""),"https://www.google.com/search?newwindow=1&amp;ei=2MT0XrvGGM-vytMP1OyDgAY&amp;q=site%3Alinkedin.com+Kristina+Scutari+Campus+Recruiting+Manager+PwC")</f>
        <v>https://www.google.com/search?newwindow=1&amp;ei=2MT0XrvGGM-vytMP1OyDgAY&amp;q=site%3Alinkedin.com+Kristina+Scutari+Campus+Recruiting+Manager+PwC</v>
      </c>
      <c r="K3160" s="5" t="str">
        <f t="shared" si="1"/>
        <v>Kristina Scutari</v>
      </c>
      <c r="L3160" s="5" t="str">
        <f t="shared" si="2"/>
        <v>Campus Recruiting Manager</v>
      </c>
      <c r="M3160" s="5" t="str">
        <f t="shared" si="3"/>
        <v> </v>
      </c>
      <c r="N3160" s="5" t="str">
        <f t="shared" si="4"/>
        <v>PwC</v>
      </c>
      <c r="O3160" s="5" t="str">
        <f t="shared" si="5"/>
        <v>8 months in role and company</v>
      </c>
      <c r="P3160" s="5" t="str">
        <f t="shared" si="6"/>
        <v>Hoboken</v>
      </c>
      <c r="Q3160" s="5" t="str">
        <f t="shared" si="7"/>
        <v>New Jersey</v>
      </c>
      <c r="R3160" s="5" t="str">
        <f t="shared" si="8"/>
        <v>United States</v>
      </c>
    </row>
    <row r="3161">
      <c r="A3161" s="8" t="s">
        <v>2866</v>
      </c>
      <c r="B3161" s="5" t="s">
        <v>2864</v>
      </c>
      <c r="C3161" s="5" t="s">
        <v>2865</v>
      </c>
      <c r="D3161" s="6" t="s">
        <v>13</v>
      </c>
      <c r="E3161" s="5" t="s">
        <v>2839</v>
      </c>
      <c r="F3161" s="5" t="s">
        <v>2035</v>
      </c>
      <c r="G3161" s="5" t="s">
        <v>112</v>
      </c>
      <c r="H3161" s="5" t="s">
        <v>38</v>
      </c>
      <c r="I3161" s="5" t="s">
        <v>18</v>
      </c>
      <c r="J3161" s="9" t="str">
        <f>IFERROR(__xludf.DUMMYFUNCTION("""COMPUTED_VALUE"""),"https://www.google.com/search?newwindow=1&amp;ei=2MT0XrvGGM-vytMP1OyDgAY&amp;q=site%3Alinkedin.com+Katie+Doerer,+MBA+Campus+Recruiting+Manager+PwC")</f>
        <v>https://www.google.com/search?newwindow=1&amp;ei=2MT0XrvGGM-vytMP1OyDgAY&amp;q=site%3Alinkedin.com+Katie+Doerer,+MBA+Campus+Recruiting+Manager+PwC</v>
      </c>
      <c r="K3161" s="5" t="str">
        <f t="shared" si="1"/>
        <v>Katie Doerer, MBA</v>
      </c>
      <c r="L3161" s="5" t="str">
        <f t="shared" si="2"/>
        <v>Campus Recruiting Manager</v>
      </c>
      <c r="M3161" s="5" t="str">
        <f t="shared" si="3"/>
        <v> </v>
      </c>
      <c r="N3161" s="5" t="str">
        <f t="shared" si="4"/>
        <v>PwC</v>
      </c>
      <c r="O3161" s="5" t="str">
        <f t="shared" si="5"/>
        <v>8 years 1 month in role and company</v>
      </c>
      <c r="P3161" s="5" t="str">
        <f t="shared" si="6"/>
        <v>Hopkins</v>
      </c>
      <c r="Q3161" s="5" t="str">
        <f t="shared" si="7"/>
        <v>Minnesota</v>
      </c>
      <c r="R3161" s="5" t="str">
        <f t="shared" si="8"/>
        <v>United States</v>
      </c>
    </row>
    <row r="3162">
      <c r="A3162" s="7" t="s">
        <v>2869</v>
      </c>
      <c r="B3162" s="5" t="s">
        <v>2867</v>
      </c>
      <c r="C3162" s="5" t="s">
        <v>371</v>
      </c>
      <c r="D3162" s="6" t="s">
        <v>13</v>
      </c>
      <c r="E3162" s="5" t="s">
        <v>2839</v>
      </c>
      <c r="F3162" s="5" t="s">
        <v>2868</v>
      </c>
      <c r="G3162" s="5" t="s">
        <v>122</v>
      </c>
      <c r="H3162" s="5" t="s">
        <v>44</v>
      </c>
      <c r="I3162" s="5" t="s">
        <v>18</v>
      </c>
      <c r="J3162" s="9" t="str">
        <f>IFERROR(__xludf.DUMMYFUNCTION("""COMPUTED_VALUE"""),"https://www.google.com/search?newwindow=1&amp;ei=2MT0XrvGGM-vytMP1OyDgAY&amp;q=site%3Alinkedin.com+Mandi+Folks+Campus+Recruiter+PwC")</f>
        <v>https://www.google.com/search?newwindow=1&amp;ei=2MT0XrvGGM-vytMP1OyDgAY&amp;q=site%3Alinkedin.com+Mandi+Folks+Campus+Recruiter+PwC</v>
      </c>
      <c r="K3162" s="5" t="str">
        <f t="shared" si="1"/>
        <v>Mandi Folks</v>
      </c>
      <c r="L3162" s="5" t="str">
        <f t="shared" si="2"/>
        <v>Campus Recruiter</v>
      </c>
      <c r="M3162" s="5" t="str">
        <f t="shared" si="3"/>
        <v> </v>
      </c>
      <c r="N3162" s="5" t="str">
        <f t="shared" si="4"/>
        <v>PwC</v>
      </c>
      <c r="O3162" s="5" t="str">
        <f t="shared" si="5"/>
        <v/>
      </c>
      <c r="P3162" s="5" t="str">
        <f t="shared" si="6"/>
        <v>Kansas City</v>
      </c>
      <c r="Q3162" s="5" t="str">
        <f t="shared" si="7"/>
        <v>Missouri</v>
      </c>
      <c r="R3162" s="5" t="str">
        <f t="shared" si="8"/>
        <v>United States</v>
      </c>
    </row>
    <row r="3163">
      <c r="A3163" s="8" t="s">
        <v>2873</v>
      </c>
      <c r="B3163" s="5" t="s">
        <v>2870</v>
      </c>
      <c r="C3163" s="5" t="s">
        <v>2871</v>
      </c>
      <c r="D3163" s="6" t="s">
        <v>13</v>
      </c>
      <c r="E3163" s="5" t="s">
        <v>2839</v>
      </c>
      <c r="F3163" s="5" t="s">
        <v>554</v>
      </c>
      <c r="G3163" s="5" t="s">
        <v>2872</v>
      </c>
      <c r="H3163" s="5" t="s">
        <v>133</v>
      </c>
      <c r="I3163" s="5" t="s">
        <v>18</v>
      </c>
      <c r="J3163" s="9" t="str">
        <f>IFERROR(__xludf.DUMMYFUNCTION("""COMPUTED_VALUE"""),"https://www.google.com/search?newwindow=1&amp;ei=2MT0XrvGGM-vytMP1OyDgAY&amp;q=site%3Alinkedin.com+Amanda+Garcia+Southwest+Tax+Campus+Recruiting+Manager+PwC")</f>
        <v>https://www.google.com/search?newwindow=1&amp;ei=2MT0XrvGGM-vytMP1OyDgAY&amp;q=site%3Alinkedin.com+Amanda+Garcia+Southwest+Tax+Campus+Recruiting+Manager+PwC</v>
      </c>
      <c r="K3163" s="5" t="str">
        <f t="shared" si="1"/>
        <v>Amanda Garcia</v>
      </c>
      <c r="L3163" s="5" t="str">
        <f t="shared" si="2"/>
        <v>Southwest Tax Campus Recruiting Manager</v>
      </c>
      <c r="M3163" s="5" t="str">
        <f t="shared" si="3"/>
        <v> </v>
      </c>
      <c r="N3163" s="5" t="str">
        <f t="shared" si="4"/>
        <v>PwC</v>
      </c>
      <c r="O3163" s="5" t="str">
        <f t="shared" si="5"/>
        <v>3 years 7 months in role and company</v>
      </c>
      <c r="P3163" s="5" t="str">
        <f t="shared" si="6"/>
        <v>Los Angeles</v>
      </c>
      <c r="Q3163" s="5" t="str">
        <f t="shared" si="7"/>
        <v>California</v>
      </c>
      <c r="R3163" s="5" t="str">
        <f t="shared" si="8"/>
        <v>United States</v>
      </c>
    </row>
    <row r="3164">
      <c r="A3164" s="7" t="s">
        <v>2875</v>
      </c>
      <c r="B3164" s="5" t="s">
        <v>2874</v>
      </c>
      <c r="C3164" s="5" t="s">
        <v>25</v>
      </c>
      <c r="D3164" s="6" t="s">
        <v>13</v>
      </c>
      <c r="E3164" s="5" t="s">
        <v>2839</v>
      </c>
      <c r="F3164" s="5" t="s">
        <v>125</v>
      </c>
      <c r="G3164" s="5" t="s">
        <v>953</v>
      </c>
      <c r="H3164" s="5" t="s">
        <v>954</v>
      </c>
      <c r="I3164" s="5" t="s">
        <v>18</v>
      </c>
      <c r="J3164" s="9" t="str">
        <f>IFERROR(__xludf.DUMMYFUNCTION("""COMPUTED_VALUE"""),"https://www.google.com/search?newwindow=1&amp;ei=2MT0XrvGGM-vytMP1OyDgAY&amp;q=site%3Alinkedin.com+Anny+Liang+Early+Talent+Campus+Recruiter+PwC")</f>
        <v>https://www.google.com/search?newwindow=1&amp;ei=2MT0XrvGGM-vytMP1OyDgAY&amp;q=site%3Alinkedin.com+Anny+Liang+Early+Talent+Campus+Recruiter+PwC</v>
      </c>
      <c r="K3164" s="5" t="str">
        <f t="shared" si="1"/>
        <v>Anny Liang</v>
      </c>
      <c r="L3164" s="5" t="str">
        <f t="shared" si="2"/>
        <v>Early Talent Campus Recruiter</v>
      </c>
      <c r="M3164" s="5" t="str">
        <f t="shared" si="3"/>
        <v> </v>
      </c>
      <c r="N3164" s="5" t="str">
        <f t="shared" si="4"/>
        <v>PwC</v>
      </c>
      <c r="O3164" s="5" t="str">
        <f t="shared" si="5"/>
        <v>10 months in role and company</v>
      </c>
      <c r="P3164" s="5" t="str">
        <f t="shared" si="6"/>
        <v>Malden</v>
      </c>
      <c r="Q3164" s="5" t="str">
        <f t="shared" si="7"/>
        <v>Massachusetts</v>
      </c>
      <c r="R3164" s="5" t="str">
        <f t="shared" si="8"/>
        <v>United States</v>
      </c>
    </row>
    <row r="3165">
      <c r="A3165" s="7" t="s">
        <v>2877</v>
      </c>
      <c r="B3165" s="5" t="s">
        <v>2876</v>
      </c>
      <c r="C3165" s="5" t="s">
        <v>25</v>
      </c>
      <c r="D3165" s="6" t="s">
        <v>13</v>
      </c>
      <c r="E3165" s="5" t="s">
        <v>2839</v>
      </c>
      <c r="F3165" s="5" t="s">
        <v>425</v>
      </c>
      <c r="G3165" s="5" t="s">
        <v>132</v>
      </c>
      <c r="H3165" s="5" t="s">
        <v>133</v>
      </c>
      <c r="I3165" s="5" t="s">
        <v>18</v>
      </c>
      <c r="J3165" s="9" t="str">
        <f>IFERROR(__xludf.DUMMYFUNCTION("""COMPUTED_VALUE"""),"https://www.google.com/search?newwindow=1&amp;ei=2MT0XrvGGM-vytMP1OyDgAY&amp;q=site%3Alinkedin.com+Federico+E.+Campus+Recruiting+Manager+PwC")</f>
        <v>https://www.google.com/search?newwindow=1&amp;ei=2MT0XrvGGM-vytMP1OyDgAY&amp;q=site%3Alinkedin.com+Federico+E.+Campus+Recruiting+Manager+PwC</v>
      </c>
      <c r="K3165" s="5" t="str">
        <f t="shared" si="1"/>
        <v>Federico E.</v>
      </c>
      <c r="L3165" s="5" t="str">
        <f t="shared" si="2"/>
        <v>Campus Recruiting Manager</v>
      </c>
      <c r="M3165" s="5" t="str">
        <f t="shared" si="3"/>
        <v> </v>
      </c>
      <c r="N3165" s="5" t="str">
        <f t="shared" si="4"/>
        <v>PwC</v>
      </c>
      <c r="O3165" s="5" t="str">
        <f t="shared" si="5"/>
        <v>3 years 7 months in role and company</v>
      </c>
      <c r="P3165" s="5" t="str">
        <f t="shared" si="6"/>
        <v>Miami</v>
      </c>
      <c r="Q3165" s="5" t="str">
        <f t="shared" si="7"/>
        <v>Florida</v>
      </c>
      <c r="R3165" s="5" t="str">
        <f t="shared" si="8"/>
        <v>United States</v>
      </c>
    </row>
    <row r="3166">
      <c r="A3166" s="8" t="s">
        <v>2880</v>
      </c>
      <c r="B3166" s="5" t="s">
        <v>2878</v>
      </c>
      <c r="C3166" s="5" t="s">
        <v>2879</v>
      </c>
      <c r="D3166" s="6" t="s">
        <v>13</v>
      </c>
      <c r="E3166" s="5" t="s">
        <v>2839</v>
      </c>
      <c r="F3166" s="5" t="s">
        <v>2288</v>
      </c>
      <c r="G3166" s="5" t="s">
        <v>137</v>
      </c>
      <c r="H3166" s="5" t="s">
        <v>137</v>
      </c>
      <c r="I3166" s="5" t="s">
        <v>18</v>
      </c>
      <c r="J3166" s="9" t="str">
        <f>IFERROR(__xludf.DUMMYFUNCTION("""COMPUTED_VALUE"""),"https://www.google.com/search?newwindow=1&amp;ei=2MT0XrvGGM-vytMP1OyDgAY&amp;q=site%3Alinkedin.com+Aileen+Meade+Assurance+Business+Recruiting+Manager+PwC")</f>
        <v>https://www.google.com/search?newwindow=1&amp;ei=2MT0XrvGGM-vytMP1OyDgAY&amp;q=site%3Alinkedin.com+Aileen+Meade+Assurance+Business+Recruiting+Manager+PwC</v>
      </c>
      <c r="K3166" s="5" t="str">
        <f t="shared" si="1"/>
        <v>Aileen Meade</v>
      </c>
      <c r="L3166" s="5" t="str">
        <f t="shared" si="2"/>
        <v>Assurance Business Recruiting Manager</v>
      </c>
      <c r="M3166" s="5" t="str">
        <f t="shared" si="3"/>
        <v> </v>
      </c>
      <c r="N3166" s="5" t="str">
        <f t="shared" si="4"/>
        <v>PwC</v>
      </c>
      <c r="O3166" s="5" t="str">
        <f t="shared" si="5"/>
        <v>3 years 8 months in role</v>
      </c>
      <c r="P3166" s="5" t="str">
        <f t="shared" si="6"/>
        <v>Minneapolis</v>
      </c>
      <c r="Q3166" s="5" t="str">
        <f t="shared" si="7"/>
        <v>Minnesota</v>
      </c>
      <c r="R3166" s="5" t="str">
        <f t="shared" si="8"/>
        <v>United States</v>
      </c>
    </row>
    <row r="3167">
      <c r="A3167" s="8" t="s">
        <v>2883</v>
      </c>
      <c r="B3167" s="5" t="s">
        <v>2881</v>
      </c>
      <c r="C3167" s="5" t="s">
        <v>2882</v>
      </c>
      <c r="D3167" s="6" t="s">
        <v>13</v>
      </c>
      <c r="E3167" s="5" t="s">
        <v>2839</v>
      </c>
      <c r="F3167" s="5" t="s">
        <v>22</v>
      </c>
      <c r="G3167" s="5" t="s">
        <v>2491</v>
      </c>
      <c r="H3167" s="5" t="s">
        <v>44</v>
      </c>
      <c r="I3167" s="5" t="s">
        <v>18</v>
      </c>
      <c r="J3167" s="9" t="str">
        <f>IFERROR(__xludf.DUMMYFUNCTION("""COMPUTED_VALUE"""),"https://www.google.com/search?newwindow=1&amp;ei=2MT0XrvGGM-vytMP1OyDgAY&amp;q=site%3Alinkedin.com+Danielle+(.+Talent+Acquisition+Manager+PwC")</f>
        <v>https://www.google.com/search?newwindow=1&amp;ei=2MT0XrvGGM-vytMP1OyDgAY&amp;q=site%3Alinkedin.com+Danielle+(.+Talent+Acquisition+Manager+PwC</v>
      </c>
      <c r="K3167" s="5" t="str">
        <f t="shared" si="1"/>
        <v>Danielle (.</v>
      </c>
      <c r="L3167" s="5" t="str">
        <f t="shared" si="2"/>
        <v>Talent Acquisition Manager</v>
      </c>
      <c r="M3167" s="5" t="str">
        <f t="shared" si="3"/>
        <v> </v>
      </c>
      <c r="N3167" s="5" t="str">
        <f t="shared" si="4"/>
        <v>PwC</v>
      </c>
      <c r="O3167" s="5" t="str">
        <f t="shared" si="5"/>
        <v>2 years  in role</v>
      </c>
      <c r="P3167" s="5" t="str">
        <f t="shared" si="6"/>
        <v>New York</v>
      </c>
      <c r="Q3167" s="5" t="str">
        <f t="shared" si="7"/>
        <v>New York</v>
      </c>
      <c r="R3167" s="5" t="str">
        <f t="shared" si="8"/>
        <v>United States</v>
      </c>
    </row>
    <row r="3168">
      <c r="A3168" s="7" t="s">
        <v>2885</v>
      </c>
      <c r="B3168" s="5" t="s">
        <v>2884</v>
      </c>
      <c r="C3168" s="5" t="s">
        <v>625</v>
      </c>
      <c r="D3168" s="6" t="s">
        <v>13</v>
      </c>
      <c r="E3168" s="5" t="s">
        <v>2839</v>
      </c>
      <c r="F3168" s="5" t="s">
        <v>651</v>
      </c>
      <c r="G3168" s="5" t="s">
        <v>2339</v>
      </c>
      <c r="H3168" s="5" t="s">
        <v>781</v>
      </c>
      <c r="I3168" s="5" t="s">
        <v>18</v>
      </c>
      <c r="J3168" s="9" t="str">
        <f>IFERROR(__xludf.DUMMYFUNCTION("""COMPUTED_VALUE"""),"https://www.google.com/search?newwindow=1&amp;ei=2MT0XrvGGM-vytMP1OyDgAY&amp;q=site%3Alinkedin.com+Jia+C.+Campus+Recruiting+Manager+PwC")</f>
        <v>https://www.google.com/search?newwindow=1&amp;ei=2MT0XrvGGM-vytMP1OyDgAY&amp;q=site%3Alinkedin.com+Jia+C.+Campus+Recruiting+Manager+PwC</v>
      </c>
      <c r="K3168" s="5" t="str">
        <f t="shared" si="1"/>
        <v>Jia C.</v>
      </c>
      <c r="L3168" s="5" t="str">
        <f t="shared" si="2"/>
        <v>Campus Recruiting Manager</v>
      </c>
      <c r="M3168" s="5" t="str">
        <f t="shared" si="3"/>
        <v> </v>
      </c>
      <c r="N3168" s="5" t="str">
        <f t="shared" si="4"/>
        <v>PwC</v>
      </c>
      <c r="O3168" s="5" t="str">
        <f t="shared" si="5"/>
        <v>11 months in role and company</v>
      </c>
      <c r="P3168" s="5" t="str">
        <f t="shared" si="6"/>
        <v>New York</v>
      </c>
      <c r="Q3168" s="5" t="str">
        <f t="shared" si="7"/>
        <v>New York</v>
      </c>
      <c r="R3168" s="5" t="str">
        <f t="shared" si="8"/>
        <v>United States</v>
      </c>
    </row>
    <row r="3169">
      <c r="A3169" s="7" t="s">
        <v>2888</v>
      </c>
      <c r="B3169" s="5" t="s">
        <v>2886</v>
      </c>
      <c r="C3169" s="5" t="s">
        <v>2887</v>
      </c>
      <c r="D3169" s="6" t="s">
        <v>13</v>
      </c>
      <c r="E3169" s="5" t="s">
        <v>2839</v>
      </c>
      <c r="F3169" s="5" t="s">
        <v>2322</v>
      </c>
      <c r="G3169" s="5" t="s">
        <v>801</v>
      </c>
      <c r="H3169" s="5" t="s">
        <v>50</v>
      </c>
      <c r="I3169" s="5" t="s">
        <v>18</v>
      </c>
      <c r="J3169" s="9" t="str">
        <f>IFERROR(__xludf.DUMMYFUNCTION("""COMPUTED_VALUE"""),"https://www.google.com/search?newwindow=1&amp;ei=2MT0XrvGGM-vytMP1OyDgAY&amp;q=site%3Alinkedin.com+Kaitlin+McDermott+Hopkins,+SHRM-SCP+Mid-Atlantic+Campus+Recruiting+Lead+|+Senior+Manager+PwC")</f>
        <v>https://www.google.com/search?newwindow=1&amp;ei=2MT0XrvGGM-vytMP1OyDgAY&amp;q=site%3Alinkedin.com+Kaitlin+McDermott+Hopkins,+SHRM-SCP+Mid-Atlantic+Campus+Recruiting+Lead+|+Senior+Manager+PwC</v>
      </c>
      <c r="K3169" s="5" t="str">
        <f t="shared" si="1"/>
        <v>Kaitlin McDermott Hopkins, SHRM-SCP</v>
      </c>
      <c r="L3169" s="5" t="str">
        <f t="shared" si="2"/>
        <v>Mid-Atlantic Campus Recruiting Lead | Senior Manager</v>
      </c>
      <c r="M3169" s="5" t="str">
        <f t="shared" si="3"/>
        <v> </v>
      </c>
      <c r="N3169" s="5" t="str">
        <f t="shared" si="4"/>
        <v>PwC</v>
      </c>
      <c r="O3169" s="5" t="str">
        <f t="shared" si="5"/>
        <v>2 years  in role</v>
      </c>
      <c r="P3169" s="5" t="str">
        <f t="shared" si="6"/>
        <v>Philadelphia</v>
      </c>
      <c r="Q3169" s="5" t="str">
        <f t="shared" si="7"/>
        <v>Pennsylvania</v>
      </c>
      <c r="R3169" s="5" t="str">
        <f t="shared" si="8"/>
        <v>United States</v>
      </c>
    </row>
    <row r="3170">
      <c r="A3170" s="7" t="s">
        <v>2891</v>
      </c>
      <c r="B3170" s="5" t="s">
        <v>2889</v>
      </c>
      <c r="C3170" s="5" t="s">
        <v>371</v>
      </c>
      <c r="D3170" s="6" t="s">
        <v>13</v>
      </c>
      <c r="E3170" s="5" t="s">
        <v>2839</v>
      </c>
      <c r="F3170" s="5" t="s">
        <v>2890</v>
      </c>
      <c r="G3170" s="5" t="s">
        <v>166</v>
      </c>
      <c r="H3170" s="5" t="s">
        <v>44</v>
      </c>
      <c r="I3170" s="5" t="s">
        <v>18</v>
      </c>
      <c r="J3170" s="9" t="str">
        <f>IFERROR(__xludf.DUMMYFUNCTION("""COMPUTED_VALUE"""),"https://www.google.com/search?newwindow=1&amp;ei=2MT0XrvGGM-vytMP1OyDgAY&amp;q=site%3Alinkedin.com+Kelly+Farrell,+MBA+Tax+Business+Recruiting+Manager+PwC")</f>
        <v>https://www.google.com/search?newwindow=1&amp;ei=2MT0XrvGGM-vytMP1OyDgAY&amp;q=site%3Alinkedin.com+Kelly+Farrell,+MBA+Tax+Business+Recruiting+Manager+PwC</v>
      </c>
      <c r="K3170" s="5" t="str">
        <f t="shared" si="1"/>
        <v>Kelly Farrell, MBA</v>
      </c>
      <c r="L3170" s="5" t="str">
        <f t="shared" si="2"/>
        <v>Tax Business Recruiting Manager</v>
      </c>
      <c r="M3170" s="5" t="str">
        <f t="shared" si="3"/>
        <v> </v>
      </c>
      <c r="N3170" s="5" t="str">
        <f t="shared" si="4"/>
        <v>PwC</v>
      </c>
      <c r="O3170" s="5" t="str">
        <f t="shared" si="5"/>
        <v>2 years 8 months in role</v>
      </c>
      <c r="P3170" s="5" t="str">
        <f t="shared" si="6"/>
        <v>Philadelphia</v>
      </c>
      <c r="Q3170" s="5" t="str">
        <f t="shared" si="7"/>
        <v>Pennsylvania</v>
      </c>
      <c r="R3170" s="5" t="str">
        <f t="shared" si="8"/>
        <v>United States</v>
      </c>
    </row>
    <row r="3171">
      <c r="A3171" s="8" t="s">
        <v>2893</v>
      </c>
      <c r="B3171" s="5" t="s">
        <v>2892</v>
      </c>
      <c r="C3171" s="5" t="s">
        <v>2155</v>
      </c>
      <c r="D3171" s="6" t="s">
        <v>13</v>
      </c>
      <c r="E3171" s="5" t="s">
        <v>2839</v>
      </c>
      <c r="F3171" s="5" t="s">
        <v>848</v>
      </c>
      <c r="G3171" s="5" t="s">
        <v>102</v>
      </c>
      <c r="H3171" s="5" t="s">
        <v>172</v>
      </c>
      <c r="I3171" s="5" t="s">
        <v>18</v>
      </c>
      <c r="J3171" s="9" t="str">
        <f>IFERROR(__xludf.DUMMYFUNCTION("""COMPUTED_VALUE"""),"https://www.google.com/search?newwindow=1&amp;ei=2MT0XrvGGM-vytMP1OyDgAY&amp;q=site%3Alinkedin.com+Shanike+Young+Campus+Recruiter+PwC")</f>
        <v>https://www.google.com/search?newwindow=1&amp;ei=2MT0XrvGGM-vytMP1OyDgAY&amp;q=site%3Alinkedin.com+Shanike+Young+Campus+Recruiter+PwC</v>
      </c>
      <c r="K3171" s="5" t="str">
        <f t="shared" si="1"/>
        <v>Shanike Young</v>
      </c>
      <c r="L3171" s="5" t="str">
        <f t="shared" si="2"/>
        <v>Campus Recruiter</v>
      </c>
      <c r="M3171" s="5" t="str">
        <f t="shared" si="3"/>
        <v> </v>
      </c>
      <c r="N3171" s="5" t="str">
        <f t="shared" si="4"/>
        <v>PwC</v>
      </c>
      <c r="O3171" s="5" t="str">
        <f t="shared" si="5"/>
        <v>9 years 9 months in role and company</v>
      </c>
      <c r="P3171" s="5" t="str">
        <f t="shared" si="6"/>
        <v>Philadelphia</v>
      </c>
      <c r="Q3171" s="5" t="str">
        <f t="shared" si="7"/>
        <v>Pennsylvania</v>
      </c>
      <c r="R3171" s="5" t="str">
        <f t="shared" si="8"/>
        <v>United States</v>
      </c>
    </row>
    <row r="3172">
      <c r="A3172" s="7" t="s">
        <v>2896</v>
      </c>
      <c r="B3172" s="5" t="s">
        <v>2894</v>
      </c>
      <c r="C3172" s="5" t="s">
        <v>2895</v>
      </c>
      <c r="D3172" s="6" t="s">
        <v>13</v>
      </c>
      <c r="E3172" s="5" t="s">
        <v>2839</v>
      </c>
      <c r="F3172" s="5" t="s">
        <v>188</v>
      </c>
      <c r="G3172" s="5" t="s">
        <v>102</v>
      </c>
      <c r="H3172" s="5" t="s">
        <v>172</v>
      </c>
      <c r="I3172" s="5" t="s">
        <v>18</v>
      </c>
      <c r="J3172" s="9" t="str">
        <f>IFERROR(__xludf.DUMMYFUNCTION("""COMPUTED_VALUE"""),"https://www.google.com/search?newwindow=1&amp;ei=2MT0XrvGGM-vytMP1OyDgAY&amp;q=site%3Alinkedin.com+Laura+Chapman+Campus+Recruiting+Senior+Manager+PwC")</f>
        <v>https://www.google.com/search?newwindow=1&amp;ei=2MT0XrvGGM-vytMP1OyDgAY&amp;q=site%3Alinkedin.com+Laura+Chapman+Campus+Recruiting+Senior+Manager+PwC</v>
      </c>
      <c r="K3172" s="5" t="str">
        <f t="shared" si="1"/>
        <v>Laura Chapman</v>
      </c>
      <c r="L3172" s="5" t="str">
        <f t="shared" si="2"/>
        <v>Campus Recruiting Senior Manager</v>
      </c>
      <c r="M3172" s="5" t="str">
        <f t="shared" si="3"/>
        <v> </v>
      </c>
      <c r="N3172" s="5" t="str">
        <f t="shared" si="4"/>
        <v>PwC</v>
      </c>
      <c r="O3172" s="5" t="str">
        <f t="shared" si="5"/>
        <v>2 years 10 months in role</v>
      </c>
      <c r="P3172" s="5" t="str">
        <f t="shared" si="6"/>
        <v>Piscataway Township</v>
      </c>
      <c r="Q3172" s="5" t="str">
        <f t="shared" si="7"/>
        <v>New Jersey</v>
      </c>
      <c r="R3172" s="5" t="str">
        <f t="shared" si="8"/>
        <v>United States</v>
      </c>
    </row>
    <row r="3173">
      <c r="A3173" s="7" t="s">
        <v>2899</v>
      </c>
      <c r="B3173" s="5" t="s">
        <v>2897</v>
      </c>
      <c r="C3173" s="5" t="s">
        <v>371</v>
      </c>
      <c r="D3173" s="6" t="s">
        <v>13</v>
      </c>
      <c r="E3173" s="5" t="s">
        <v>2839</v>
      </c>
      <c r="F3173" s="5" t="s">
        <v>784</v>
      </c>
      <c r="G3173" s="5" t="s">
        <v>2898</v>
      </c>
      <c r="H3173" s="5" t="s">
        <v>91</v>
      </c>
      <c r="I3173" s="5" t="s">
        <v>18</v>
      </c>
      <c r="J3173" s="9" t="str">
        <f>IFERROR(__xludf.DUMMYFUNCTION("""COMPUTED_VALUE"""),"https://www.google.com/search?newwindow=1&amp;ei=2MT0XrvGGM-vytMP1OyDgAY&amp;q=site%3Alinkedin.com+Kassie+'Schlegel'+Plummer,+CPA+Missouri+Market+Campus+Recruiting+Manager+PwC")</f>
        <v>https://www.google.com/search?newwindow=1&amp;ei=2MT0XrvGGM-vytMP1OyDgAY&amp;q=site%3Alinkedin.com+Kassie+'Schlegel'+Plummer,+CPA+Missouri+Market+Campus+Recruiting+Manager+PwC</v>
      </c>
      <c r="K3173" s="5" t="str">
        <f t="shared" si="1"/>
        <v>Kassie 'Schlegel' Plummer, CPA</v>
      </c>
      <c r="L3173" s="5" t="str">
        <f t="shared" si="2"/>
        <v>Missouri Market Campus Recruiting Manager</v>
      </c>
      <c r="M3173" s="5" t="str">
        <f t="shared" si="3"/>
        <v> </v>
      </c>
      <c r="N3173" s="5" t="str">
        <f t="shared" si="4"/>
        <v>PwC</v>
      </c>
      <c r="O3173" s="5" t="str">
        <f t="shared" si="5"/>
        <v>6 years 1 month in role</v>
      </c>
      <c r="P3173" s="5" t="str">
        <f t="shared" si="6"/>
        <v>Prairie Village</v>
      </c>
      <c r="Q3173" s="5" t="str">
        <f t="shared" si="7"/>
        <v>Kansas</v>
      </c>
      <c r="R3173" s="5" t="str">
        <f t="shared" si="8"/>
        <v>United States</v>
      </c>
    </row>
    <row r="3174">
      <c r="A3174" s="8" t="s">
        <v>2902</v>
      </c>
      <c r="B3174" s="5" t="s">
        <v>2900</v>
      </c>
      <c r="C3174" s="5" t="s">
        <v>2155</v>
      </c>
      <c r="D3174" s="6" t="s">
        <v>13</v>
      </c>
      <c r="E3174" s="5" t="s">
        <v>2839</v>
      </c>
      <c r="F3174" s="5" t="s">
        <v>2901</v>
      </c>
      <c r="G3174" s="5" t="s">
        <v>2100</v>
      </c>
      <c r="H3174" s="5" t="s">
        <v>264</v>
      </c>
      <c r="I3174" s="5" t="s">
        <v>18</v>
      </c>
      <c r="J3174" s="9" t="str">
        <f>IFERROR(__xludf.DUMMYFUNCTION("""COMPUTED_VALUE"""),"https://www.google.com/search?newwindow=1&amp;ei=2MT0XrvGGM-vytMP1OyDgAY&amp;q=site%3Alinkedin.com+Jess+Bailey+Campus+Recruiting+Manager+PwC")</f>
        <v>https://www.google.com/search?newwindow=1&amp;ei=2MT0XrvGGM-vytMP1OyDgAY&amp;q=site%3Alinkedin.com+Jess+Bailey+Campus+Recruiting+Manager+PwC</v>
      </c>
      <c r="K3174" s="5" t="str">
        <f t="shared" si="1"/>
        <v>Jess Bailey</v>
      </c>
      <c r="L3174" s="5" t="str">
        <f t="shared" si="2"/>
        <v>Campus Recruiting Manager</v>
      </c>
      <c r="M3174" s="5" t="str">
        <f t="shared" si="3"/>
        <v> </v>
      </c>
      <c r="N3174" s="5" t="str">
        <f t="shared" si="4"/>
        <v>PwC</v>
      </c>
      <c r="O3174" s="5" t="str">
        <f t="shared" si="5"/>
        <v>4 years 5 months in role</v>
      </c>
      <c r="P3174" s="5" t="str">
        <f t="shared" si="6"/>
        <v>Richmond</v>
      </c>
      <c r="Q3174" s="5" t="str">
        <f t="shared" si="7"/>
        <v>Virginia</v>
      </c>
      <c r="R3174" s="5" t="str">
        <f t="shared" si="8"/>
        <v>United States</v>
      </c>
    </row>
    <row r="3175">
      <c r="A3175" s="7" t="s">
        <v>2904</v>
      </c>
      <c r="B3175" s="5" t="s">
        <v>2903</v>
      </c>
      <c r="C3175" s="5" t="s">
        <v>371</v>
      </c>
      <c r="D3175" s="6" t="s">
        <v>13</v>
      </c>
      <c r="E3175" s="5" t="s">
        <v>2839</v>
      </c>
      <c r="F3175" s="5" t="s">
        <v>2901</v>
      </c>
      <c r="G3175" s="5" t="s">
        <v>876</v>
      </c>
      <c r="H3175" s="5" t="s">
        <v>184</v>
      </c>
      <c r="I3175" s="5" t="s">
        <v>18</v>
      </c>
      <c r="J3175" s="9" t="str">
        <f>IFERROR(__xludf.DUMMYFUNCTION("""COMPUTED_VALUE"""),"https://www.google.com/search?newwindow=1&amp;ei=2MT0XrvGGM-vytMP1OyDgAY&amp;q=site%3Alinkedin.com+Kim+Kueper+Campus+Recruiter+PwC")</f>
        <v>https://www.google.com/search?newwindow=1&amp;ei=2MT0XrvGGM-vytMP1OyDgAY&amp;q=site%3Alinkedin.com+Kim+Kueper+Campus+Recruiter+PwC</v>
      </c>
      <c r="K3175" s="5" t="str">
        <f t="shared" si="1"/>
        <v>Kim Kueper</v>
      </c>
      <c r="L3175" s="5" t="str">
        <f t="shared" si="2"/>
        <v>Campus Recruiter</v>
      </c>
      <c r="M3175" s="5" t="str">
        <f t="shared" si="3"/>
        <v> </v>
      </c>
      <c r="N3175" s="5" t="str">
        <f t="shared" si="4"/>
        <v>PwC</v>
      </c>
      <c r="O3175" s="5" t="str">
        <f t="shared" si="5"/>
        <v/>
      </c>
      <c r="P3175" s="5" t="str">
        <f t="shared" si="6"/>
        <v>St Louis</v>
      </c>
      <c r="Q3175" s="5" t="str">
        <f t="shared" si="7"/>
        <v>Missouri</v>
      </c>
      <c r="R3175" s="5" t="str">
        <f t="shared" si="8"/>
        <v>United States</v>
      </c>
    </row>
    <row r="3176">
      <c r="A3176" s="8" t="s">
        <v>2907</v>
      </c>
      <c r="B3176" s="5" t="s">
        <v>2905</v>
      </c>
      <c r="C3176" s="5" t="s">
        <v>2857</v>
      </c>
      <c r="D3176" s="6" t="s">
        <v>13</v>
      </c>
      <c r="E3176" s="5" t="s">
        <v>2839</v>
      </c>
      <c r="F3176" s="5" t="s">
        <v>217</v>
      </c>
      <c r="G3176" s="5" t="s">
        <v>2906</v>
      </c>
      <c r="H3176" s="5" t="s">
        <v>17</v>
      </c>
      <c r="I3176" s="5" t="s">
        <v>18</v>
      </c>
      <c r="J3176" s="9" t="str">
        <f>IFERROR(__xludf.DUMMYFUNCTION("""COMPUTED_VALUE"""),"https://www.google.com/search?newwindow=1&amp;ei=2MT0XrvGGM-vytMP1OyDgAY&amp;q=site%3Alinkedin.com+Emily+Jones+Campus+Recruiter+PwC")</f>
        <v>https://www.google.com/search?newwindow=1&amp;ei=2MT0XrvGGM-vytMP1OyDgAY&amp;q=site%3Alinkedin.com+Emily+Jones+Campus+Recruiter+PwC</v>
      </c>
      <c r="K3176" s="5" t="str">
        <f t="shared" si="1"/>
        <v>Emily Jones</v>
      </c>
      <c r="L3176" s="5" t="str">
        <f t="shared" si="2"/>
        <v>Campus Recruiter</v>
      </c>
      <c r="M3176" s="5" t="str">
        <f t="shared" si="3"/>
        <v> </v>
      </c>
      <c r="N3176" s="5" t="str">
        <f t="shared" si="4"/>
        <v>PwC</v>
      </c>
      <c r="O3176" s="5" t="str">
        <f t="shared" si="5"/>
        <v/>
      </c>
      <c r="P3176" s="5" t="str">
        <f t="shared" si="6"/>
        <v>Stockton</v>
      </c>
      <c r="Q3176" s="5" t="str">
        <f t="shared" si="7"/>
        <v>California</v>
      </c>
      <c r="R3176" s="5" t="str">
        <f t="shared" si="8"/>
        <v>United States</v>
      </c>
    </row>
    <row r="3177">
      <c r="A3177" s="8" t="s">
        <v>2909</v>
      </c>
      <c r="B3177" s="5" t="s">
        <v>2908</v>
      </c>
      <c r="C3177" s="5" t="s">
        <v>2155</v>
      </c>
      <c r="D3177" s="6" t="s">
        <v>13</v>
      </c>
      <c r="E3177" s="5" t="s">
        <v>2839</v>
      </c>
      <c r="F3177" s="5" t="s">
        <v>512</v>
      </c>
      <c r="G3177" s="5" t="s">
        <v>16</v>
      </c>
      <c r="H3177" s="5" t="s">
        <v>17</v>
      </c>
      <c r="I3177" s="5" t="s">
        <v>18</v>
      </c>
      <c r="J3177" s="9" t="str">
        <f>IFERROR(__xludf.DUMMYFUNCTION("""COMPUTED_VALUE"""),"https://www.google.com/search?newwindow=1&amp;ei=2MT0XrvGGM-vytMP1OyDgAY&amp;q=site%3Alinkedin.com+Meredith+TenHoeve+Campus+Recruiting+Manager+PwC")</f>
        <v>https://www.google.com/search?newwindow=1&amp;ei=2MT0XrvGGM-vytMP1OyDgAY&amp;q=site%3Alinkedin.com+Meredith+TenHoeve+Campus+Recruiting+Manager+PwC</v>
      </c>
      <c r="K3177" s="5" t="str">
        <f t="shared" si="1"/>
        <v>Meredith TenHoeve</v>
      </c>
      <c r="L3177" s="5" t="str">
        <f t="shared" si="2"/>
        <v>Campus Recruiting Manager</v>
      </c>
      <c r="M3177" s="5" t="str">
        <f t="shared" si="3"/>
        <v> </v>
      </c>
      <c r="N3177" s="5" t="str">
        <f t="shared" si="4"/>
        <v>PwC</v>
      </c>
      <c r="O3177" s="5" t="str">
        <f t="shared" si="5"/>
        <v>1 year 10 months in role</v>
      </c>
      <c r="P3177" s="5" t="str">
        <f t="shared" si="6"/>
        <v>Washington</v>
      </c>
      <c r="Q3177" s="5" t="str">
        <f t="shared" si="7"/>
        <v>District of Columbia</v>
      </c>
      <c r="R3177" s="5" t="str">
        <f t="shared" si="8"/>
        <v>United States</v>
      </c>
    </row>
    <row r="3178">
      <c r="A3178" s="8" t="s">
        <v>2912</v>
      </c>
      <c r="B3178" s="5" t="s">
        <v>2910</v>
      </c>
      <c r="C3178" s="5" t="s">
        <v>2911</v>
      </c>
      <c r="D3178" s="6" t="s">
        <v>13</v>
      </c>
      <c r="E3178" s="5" t="s">
        <v>2839</v>
      </c>
      <c r="F3178" s="5" t="s">
        <v>277</v>
      </c>
      <c r="G3178" s="5" t="s">
        <v>16</v>
      </c>
      <c r="H3178" s="5" t="s">
        <v>17</v>
      </c>
      <c r="I3178" s="5" t="s">
        <v>18</v>
      </c>
      <c r="J3178" s="9" t="str">
        <f>IFERROR(__xludf.DUMMYFUNCTION("""COMPUTED_VALUE"""),"https://www.google.com/search?newwindow=1&amp;ei=2MT0XrvGGM-vytMP1OyDgAY&amp;q=site%3Alinkedin.com+Harmony+Rose+Morkve+University+Recruiter+Qualtrics")</f>
        <v>https://www.google.com/search?newwindow=1&amp;ei=2MT0XrvGGM-vytMP1OyDgAY&amp;q=site%3Alinkedin.com+Harmony+Rose+Morkve+University+Recruiter+Qualtrics</v>
      </c>
      <c r="K3178" s="5" t="str">
        <f t="shared" si="1"/>
        <v>Harmony Rose Morkve</v>
      </c>
      <c r="L3178" s="5" t="str">
        <f t="shared" si="2"/>
        <v>University Recruiter</v>
      </c>
      <c r="M3178" s="5" t="str">
        <f t="shared" si="3"/>
        <v> </v>
      </c>
      <c r="N3178" s="5" t="str">
        <f t="shared" si="4"/>
        <v>Qualtrics</v>
      </c>
      <c r="O3178" s="5" t="str">
        <f t="shared" si="5"/>
        <v>1 year 5 months in role and company</v>
      </c>
      <c r="P3178" s="5" t="str">
        <f t="shared" si="6"/>
        <v>Provo</v>
      </c>
      <c r="Q3178" s="5" t="str">
        <f t="shared" si="7"/>
        <v>Utah</v>
      </c>
      <c r="R3178" s="5" t="str">
        <f t="shared" si="8"/>
        <v>United States</v>
      </c>
    </row>
    <row r="3179">
      <c r="A3179" s="7" t="s">
        <v>2914</v>
      </c>
      <c r="B3179" s="5" t="s">
        <v>2913</v>
      </c>
      <c r="C3179" s="5" t="s">
        <v>25</v>
      </c>
      <c r="D3179" s="6" t="s">
        <v>13</v>
      </c>
      <c r="E3179" s="5" t="s">
        <v>2839</v>
      </c>
      <c r="F3179" s="5" t="s">
        <v>661</v>
      </c>
      <c r="G3179" s="5" t="s">
        <v>49</v>
      </c>
      <c r="H3179" s="5" t="s">
        <v>50</v>
      </c>
      <c r="I3179" s="5" t="s">
        <v>18</v>
      </c>
      <c r="J3179" s="9" t="str">
        <f>IFERROR(__xludf.DUMMYFUNCTION("""COMPUTED_VALUE"""),"https://www.google.com/search?newwindow=1&amp;ei=2MT0XrvGGM-vytMP1OyDgAY&amp;q=site%3Alinkedin.com+Sarah+Brewster+Technical+University+Recruiter+Qualtrics")</f>
        <v>https://www.google.com/search?newwindow=1&amp;ei=2MT0XrvGGM-vytMP1OyDgAY&amp;q=site%3Alinkedin.com+Sarah+Brewster+Technical+University+Recruiter+Qualtrics</v>
      </c>
      <c r="K3179" s="5" t="str">
        <f t="shared" si="1"/>
        <v>Sarah Brewster</v>
      </c>
      <c r="L3179" s="5" t="str">
        <f t="shared" si="2"/>
        <v>Technical University Recruiter</v>
      </c>
      <c r="M3179" s="5" t="str">
        <f t="shared" si="3"/>
        <v> </v>
      </c>
      <c r="N3179" s="5" t="str">
        <f t="shared" si="4"/>
        <v>Qualtrics</v>
      </c>
      <c r="O3179" s="5" t="str">
        <f t="shared" si="5"/>
        <v>1 year 11 months in role and company</v>
      </c>
      <c r="P3179" s="5" t="str">
        <f t="shared" si="6"/>
        <v>Provo</v>
      </c>
      <c r="Q3179" s="5" t="str">
        <f t="shared" si="7"/>
        <v>Utah</v>
      </c>
      <c r="R3179" s="5" t="str">
        <f t="shared" si="8"/>
        <v>United States</v>
      </c>
    </row>
    <row r="3180">
      <c r="A3180" s="7" t="s">
        <v>2916</v>
      </c>
      <c r="B3180" s="5" t="s">
        <v>2915</v>
      </c>
      <c r="C3180" s="5" t="s">
        <v>371</v>
      </c>
      <c r="D3180" s="6" t="s">
        <v>13</v>
      </c>
      <c r="E3180" s="5" t="s">
        <v>2839</v>
      </c>
      <c r="F3180" s="5" t="s">
        <v>832</v>
      </c>
      <c r="G3180" s="5" t="s">
        <v>64</v>
      </c>
      <c r="H3180" s="5" t="s">
        <v>65</v>
      </c>
      <c r="I3180" s="5" t="s">
        <v>18</v>
      </c>
      <c r="J3180" s="9" t="str">
        <f>IFERROR(__xludf.DUMMYFUNCTION("""COMPUTED_VALUE"""),"https://www.google.com/search?newwindow=1&amp;ei=2MT0XrvGGM-vytMP1OyDgAY&amp;q=site%3Alinkedin.com+Tatiana+Messersmith+University+Recruiter+Qualtrics")</f>
        <v>https://www.google.com/search?newwindow=1&amp;ei=2MT0XrvGGM-vytMP1OyDgAY&amp;q=site%3Alinkedin.com+Tatiana+Messersmith+University+Recruiter+Qualtrics</v>
      </c>
      <c r="K3180" s="5" t="str">
        <f t="shared" si="1"/>
        <v>Tatiana Messersmith</v>
      </c>
      <c r="L3180" s="5" t="str">
        <f t="shared" si="2"/>
        <v>University Recruiter</v>
      </c>
      <c r="M3180" s="5" t="str">
        <f t="shared" si="3"/>
        <v> </v>
      </c>
      <c r="N3180" s="5" t="str">
        <f t="shared" si="4"/>
        <v>Qualtrics</v>
      </c>
      <c r="O3180" s="5" t="str">
        <f t="shared" si="5"/>
        <v>2 years 4 months in role and company</v>
      </c>
      <c r="P3180" s="5" t="str">
        <f t="shared" si="6"/>
        <v>Provo</v>
      </c>
      <c r="Q3180" s="5" t="str">
        <f t="shared" si="7"/>
        <v>Utah</v>
      </c>
      <c r="R3180" s="5" t="str">
        <f t="shared" si="8"/>
        <v>United States</v>
      </c>
    </row>
    <row r="3181">
      <c r="A3181" s="8" t="s">
        <v>2919</v>
      </c>
      <c r="B3181" s="5" t="s">
        <v>2917</v>
      </c>
      <c r="C3181" s="5" t="s">
        <v>2918</v>
      </c>
      <c r="D3181" s="6" t="s">
        <v>13</v>
      </c>
      <c r="E3181" s="5" t="s">
        <v>2839</v>
      </c>
      <c r="F3181" s="5" t="s">
        <v>84</v>
      </c>
      <c r="G3181" s="5" t="s">
        <v>75</v>
      </c>
      <c r="H3181" s="5" t="s">
        <v>76</v>
      </c>
      <c r="I3181" s="5" t="s">
        <v>18</v>
      </c>
      <c r="J3181" s="9" t="str">
        <f>IFERROR(__xludf.DUMMYFUNCTION("""COMPUTED_VALUE"""),"https://www.google.com/search?newwindow=1&amp;ei=2MT0XrvGGM-vytMP1OyDgAY&amp;q=site%3Alinkedin.com+Sara+Cho+Technical+University+Recruiter+Qualtrics")</f>
        <v>https://www.google.com/search?newwindow=1&amp;ei=2MT0XrvGGM-vytMP1OyDgAY&amp;q=site%3Alinkedin.com+Sara+Cho+Technical+University+Recruiter+Qualtrics</v>
      </c>
      <c r="K3181" s="5" t="str">
        <f t="shared" si="1"/>
        <v>Sara Cho</v>
      </c>
      <c r="L3181" s="5" t="str">
        <f t="shared" si="2"/>
        <v>Technical University Recruiter</v>
      </c>
      <c r="M3181" s="5" t="str">
        <f t="shared" si="3"/>
        <v> </v>
      </c>
      <c r="N3181" s="5" t="str">
        <f t="shared" si="4"/>
        <v>Qualtrics</v>
      </c>
      <c r="O3181" s="5" t="str">
        <f t="shared" si="5"/>
        <v>1 year 4 months in role</v>
      </c>
      <c r="P3181" s="5" t="str">
        <f t="shared" si="6"/>
        <v>Seattle</v>
      </c>
      <c r="Q3181" s="5" t="str">
        <f t="shared" si="7"/>
        <v>Washington</v>
      </c>
      <c r="R3181" s="5" t="str">
        <f t="shared" si="8"/>
        <v>United States</v>
      </c>
    </row>
    <row r="3182">
      <c r="A3182" s="7" t="s">
        <v>2921</v>
      </c>
      <c r="B3182" s="5" t="s">
        <v>2920</v>
      </c>
      <c r="C3182" s="5" t="s">
        <v>371</v>
      </c>
      <c r="D3182" s="6" t="s">
        <v>13</v>
      </c>
      <c r="E3182" s="5" t="s">
        <v>2839</v>
      </c>
      <c r="F3182" s="5" t="s">
        <v>1321</v>
      </c>
      <c r="G3182" s="5" t="s">
        <v>80</v>
      </c>
      <c r="H3182" s="5" t="s">
        <v>38</v>
      </c>
      <c r="I3182" s="5" t="s">
        <v>18</v>
      </c>
      <c r="J3182" s="9" t="str">
        <f>IFERROR(__xludf.DUMMYFUNCTION("""COMPUTED_VALUE"""),"https://www.google.com/search?newwindow=1&amp;ei=2MT0XrvGGM-vytMP1OyDgAY&amp;q=site%3Alinkedin.com+Brigid+Sullivan+University+Programs+Recruiter+Raytheon")</f>
        <v>https://www.google.com/search?newwindow=1&amp;ei=2MT0XrvGGM-vytMP1OyDgAY&amp;q=site%3Alinkedin.com+Brigid+Sullivan+University+Programs+Recruiter+Raytheon</v>
      </c>
      <c r="K3182" s="5" t="str">
        <f t="shared" si="1"/>
        <v>Brigid Sullivan</v>
      </c>
      <c r="L3182" s="5" t="str">
        <f t="shared" si="2"/>
        <v>University Programs Recruiter</v>
      </c>
      <c r="M3182" s="5" t="str">
        <f t="shared" si="3"/>
        <v> </v>
      </c>
      <c r="N3182" s="5" t="str">
        <f t="shared" si="4"/>
        <v>Raytheon</v>
      </c>
      <c r="O3182" s="5" t="str">
        <f t="shared" si="5"/>
        <v>1 year 6 months in role</v>
      </c>
      <c r="P3182" s="5" t="str">
        <f t="shared" si="6"/>
        <v>Boston</v>
      </c>
      <c r="Q3182" s="5" t="str">
        <f t="shared" si="7"/>
        <v>Massachusetts</v>
      </c>
      <c r="R3182" s="5" t="str">
        <f t="shared" si="8"/>
        <v>United States</v>
      </c>
    </row>
    <row r="3183">
      <c r="A3183" s="8" t="s">
        <v>2924</v>
      </c>
      <c r="B3183" s="5" t="s">
        <v>2922</v>
      </c>
      <c r="C3183" s="5" t="s">
        <v>2923</v>
      </c>
      <c r="D3183" s="6" t="s">
        <v>13</v>
      </c>
      <c r="E3183" s="5" t="s">
        <v>2839</v>
      </c>
      <c r="F3183" s="5" t="s">
        <v>277</v>
      </c>
      <c r="G3183" s="5" t="s">
        <v>80</v>
      </c>
      <c r="H3183" s="5" t="s">
        <v>38</v>
      </c>
      <c r="I3183" s="5" t="s">
        <v>18</v>
      </c>
      <c r="J3183" s="9" t="str">
        <f>IFERROR(__xludf.DUMMYFUNCTION("""COMPUTED_VALUE"""),"https://www.google.com/search?newwindow=1&amp;ei=2MT0XrvGGM-vytMP1OyDgAY&amp;q=site%3Alinkedin.com+Michelle+Ciak+University+Programs+Recruiter+Raytheon")</f>
        <v>https://www.google.com/search?newwindow=1&amp;ei=2MT0XrvGGM-vytMP1OyDgAY&amp;q=site%3Alinkedin.com+Michelle+Ciak+University+Programs+Recruiter+Raytheon</v>
      </c>
      <c r="K3183" s="5" t="str">
        <f t="shared" si="1"/>
        <v>Michelle Ciak</v>
      </c>
      <c r="L3183" s="5" t="str">
        <f t="shared" si="2"/>
        <v>University Programs Recruiter</v>
      </c>
      <c r="M3183" s="5" t="str">
        <f t="shared" si="3"/>
        <v> </v>
      </c>
      <c r="N3183" s="5" t="str">
        <f t="shared" si="4"/>
        <v>Raytheon</v>
      </c>
      <c r="O3183" s="5" t="str">
        <f t="shared" si="5"/>
        <v>2 years 5 months in role and company</v>
      </c>
      <c r="P3183" s="5" t="str">
        <f t="shared" si="6"/>
        <v>Boston</v>
      </c>
      <c r="Q3183" s="5" t="str">
        <f t="shared" si="7"/>
        <v>Massachusetts</v>
      </c>
      <c r="R3183" s="5" t="str">
        <f t="shared" si="8"/>
        <v>United States</v>
      </c>
    </row>
    <row r="3184">
      <c r="A3184" s="7" t="s">
        <v>2926</v>
      </c>
      <c r="B3184" s="5" t="s">
        <v>2925</v>
      </c>
      <c r="C3184" s="5" t="s">
        <v>25</v>
      </c>
      <c r="D3184" s="6" t="s">
        <v>13</v>
      </c>
      <c r="E3184" s="5" t="s">
        <v>2839</v>
      </c>
      <c r="F3184" s="5" t="s">
        <v>1637</v>
      </c>
      <c r="G3184" s="5" t="s">
        <v>80</v>
      </c>
      <c r="H3184" s="5" t="s">
        <v>38</v>
      </c>
      <c r="I3184" s="5" t="s">
        <v>18</v>
      </c>
      <c r="J3184" s="9" t="str">
        <f>IFERROR(__xludf.DUMMYFUNCTION("""COMPUTED_VALUE"""),"https://www.google.com/search?newwindow=1&amp;ei=2MT0XrvGGM-vytMP1OyDgAY&amp;q=site%3Alinkedin.com+Jennifer+Smyth+Recruiter+Raytheon")</f>
        <v>https://www.google.com/search?newwindow=1&amp;ei=2MT0XrvGGM-vytMP1OyDgAY&amp;q=site%3Alinkedin.com+Jennifer+Smyth+Recruiter+Raytheon</v>
      </c>
      <c r="K3184" s="5" t="str">
        <f t="shared" si="1"/>
        <v>Jennifer Smyth</v>
      </c>
      <c r="L3184" s="5" t="str">
        <f t="shared" si="2"/>
        <v>Recruiter</v>
      </c>
      <c r="M3184" s="5" t="str">
        <f t="shared" si="3"/>
        <v> </v>
      </c>
      <c r="N3184" s="5" t="str">
        <f t="shared" si="4"/>
        <v>Raytheon</v>
      </c>
      <c r="O3184" s="5" t="str">
        <f t="shared" si="5"/>
        <v>14 years 3 months in company</v>
      </c>
      <c r="P3184" s="5" t="str">
        <f t="shared" si="6"/>
        <v>Chelmsford</v>
      </c>
      <c r="Q3184" s="5" t="str">
        <f t="shared" si="7"/>
        <v>Massachusetts</v>
      </c>
      <c r="R3184" s="5" t="str">
        <f t="shared" si="8"/>
        <v>United States</v>
      </c>
    </row>
    <row r="3185">
      <c r="A3185" s="8" t="s">
        <v>2928</v>
      </c>
      <c r="B3185" s="5" t="s">
        <v>2927</v>
      </c>
      <c r="C3185" s="5" t="s">
        <v>2911</v>
      </c>
      <c r="D3185" s="6" t="s">
        <v>13</v>
      </c>
      <c r="E3185" s="5" t="s">
        <v>2839</v>
      </c>
      <c r="F3185" s="5" t="s">
        <v>277</v>
      </c>
      <c r="G3185" s="5" t="s">
        <v>85</v>
      </c>
      <c r="H3185" s="5" t="s">
        <v>86</v>
      </c>
      <c r="I3185" s="5" t="s">
        <v>18</v>
      </c>
      <c r="J3185" s="9" t="str">
        <f>IFERROR(__xludf.DUMMYFUNCTION("""COMPUTED_VALUE"""),"https://www.google.com/search?newwindow=1&amp;ei=2MT0XrvGGM-vytMP1OyDgAY&amp;q=site%3Alinkedin.com+Katie+Tuthill+University+Programs+Recruiter+Raytheon")</f>
        <v>https://www.google.com/search?newwindow=1&amp;ei=2MT0XrvGGM-vytMP1OyDgAY&amp;q=site%3Alinkedin.com+Katie+Tuthill+University+Programs+Recruiter+Raytheon</v>
      </c>
      <c r="K3185" s="5" t="str">
        <f t="shared" si="1"/>
        <v>Katie Tuthill</v>
      </c>
      <c r="L3185" s="5" t="str">
        <f t="shared" si="2"/>
        <v>University Programs Recruiter</v>
      </c>
      <c r="M3185" s="5" t="str">
        <f t="shared" si="3"/>
        <v> </v>
      </c>
      <c r="N3185" s="5" t="str">
        <f t="shared" si="4"/>
        <v>Raytheon</v>
      </c>
      <c r="O3185" s="5" t="str">
        <f t="shared" si="5"/>
        <v>5 years 1 month in role</v>
      </c>
      <c r="P3185" s="5" t="str">
        <f t="shared" si="6"/>
        <v>Denver</v>
      </c>
      <c r="Q3185" s="5" t="str">
        <f t="shared" si="7"/>
        <v>Colorado</v>
      </c>
      <c r="R3185" s="5" t="str">
        <f t="shared" si="8"/>
        <v>United States</v>
      </c>
    </row>
    <row r="3186">
      <c r="A3186" s="8" t="s">
        <v>2931</v>
      </c>
      <c r="B3186" s="5" t="s">
        <v>2929</v>
      </c>
      <c r="C3186" s="5" t="s">
        <v>2930</v>
      </c>
      <c r="D3186" s="6" t="s">
        <v>13</v>
      </c>
      <c r="E3186" s="5" t="s">
        <v>2839</v>
      </c>
      <c r="F3186" s="5" t="s">
        <v>1098</v>
      </c>
      <c r="G3186" s="5" t="s">
        <v>90</v>
      </c>
      <c r="H3186" s="5" t="s">
        <v>91</v>
      </c>
      <c r="I3186" s="5" t="s">
        <v>18</v>
      </c>
      <c r="J3186" s="9" t="str">
        <f>IFERROR(__xludf.DUMMYFUNCTION("""COMPUTED_VALUE"""),"https://www.google.com/search?newwindow=1&amp;ei=2MT0XrvGGM-vytMP1OyDgAY&amp;q=site%3Alinkedin.com+Richard+DeStefano+University+Programs+Manager+Raytheon")</f>
        <v>https://www.google.com/search?newwindow=1&amp;ei=2MT0XrvGGM-vytMP1OyDgAY&amp;q=site%3Alinkedin.com+Richard+DeStefano+University+Programs+Manager+Raytheon</v>
      </c>
      <c r="K3186" s="5" t="str">
        <f t="shared" si="1"/>
        <v>Richard DeStefano</v>
      </c>
      <c r="L3186" s="5" t="str">
        <f t="shared" si="2"/>
        <v>University Programs Manager</v>
      </c>
      <c r="M3186" s="5" t="str">
        <f t="shared" si="3"/>
        <v> </v>
      </c>
      <c r="N3186" s="5" t="str">
        <f t="shared" si="4"/>
        <v>Raytheon</v>
      </c>
      <c r="O3186" s="5" t="str">
        <f t="shared" si="5"/>
        <v>2 years  in role</v>
      </c>
      <c r="P3186" s="5" t="str">
        <f t="shared" si="6"/>
        <v>Groveland</v>
      </c>
      <c r="Q3186" s="5" t="str">
        <f t="shared" si="7"/>
        <v>Massachusetts</v>
      </c>
      <c r="R3186" s="5" t="str">
        <f t="shared" si="8"/>
        <v>United States</v>
      </c>
    </row>
    <row r="3187">
      <c r="A3187" s="7" t="s">
        <v>2933</v>
      </c>
      <c r="B3187" s="5" t="s">
        <v>2932</v>
      </c>
      <c r="C3187" s="5" t="s">
        <v>625</v>
      </c>
      <c r="D3187" s="6" t="s">
        <v>13</v>
      </c>
      <c r="E3187" s="5" t="s">
        <v>2839</v>
      </c>
      <c r="F3187" s="5" t="s">
        <v>387</v>
      </c>
      <c r="G3187" s="5" t="s">
        <v>112</v>
      </c>
      <c r="H3187" s="5" t="s">
        <v>38</v>
      </c>
      <c r="I3187" s="5" t="s">
        <v>18</v>
      </c>
      <c r="J3187" s="9" t="str">
        <f>IFERROR(__xludf.DUMMYFUNCTION("""COMPUTED_VALUE"""),"https://www.google.com/search?newwindow=1&amp;ei=2MT0XrvGGM-vytMP1OyDgAY&amp;q=site%3Alinkedin.com+Celine+Dye+University+Programs+Recruiter+Raytheon")</f>
        <v>https://www.google.com/search?newwindow=1&amp;ei=2MT0XrvGGM-vytMP1OyDgAY&amp;q=site%3Alinkedin.com+Celine+Dye+University+Programs+Recruiter+Raytheon</v>
      </c>
      <c r="K3187" s="5" t="str">
        <f t="shared" si="1"/>
        <v>Celine Dye</v>
      </c>
      <c r="L3187" s="5" t="str">
        <f t="shared" si="2"/>
        <v>University Programs Recruiter</v>
      </c>
      <c r="M3187" s="5" t="str">
        <f t="shared" si="3"/>
        <v> </v>
      </c>
      <c r="N3187" s="5" t="str">
        <f t="shared" si="4"/>
        <v>Raytheon</v>
      </c>
      <c r="O3187" s="5" t="str">
        <f t="shared" si="5"/>
        <v>2 years 10 months in role and company</v>
      </c>
      <c r="P3187" s="5" t="str">
        <f t="shared" si="6"/>
        <v>Hawthorne</v>
      </c>
      <c r="Q3187" s="5" t="str">
        <f t="shared" si="7"/>
        <v>California</v>
      </c>
      <c r="R3187" s="5" t="str">
        <f t="shared" si="8"/>
        <v>United States</v>
      </c>
    </row>
    <row r="3188">
      <c r="A3188" s="8" t="s">
        <v>2936</v>
      </c>
      <c r="B3188" s="5" t="s">
        <v>2934</v>
      </c>
      <c r="C3188" s="5" t="s">
        <v>2935</v>
      </c>
      <c r="D3188" s="6" t="s">
        <v>13</v>
      </c>
      <c r="E3188" s="5" t="s">
        <v>2839</v>
      </c>
      <c r="F3188" s="5" t="s">
        <v>79</v>
      </c>
      <c r="G3188" s="5" t="s">
        <v>122</v>
      </c>
      <c r="H3188" s="5" t="s">
        <v>44</v>
      </c>
      <c r="I3188" s="5" t="s">
        <v>18</v>
      </c>
      <c r="J3188" s="9" t="str">
        <f>IFERROR(__xludf.DUMMYFUNCTION("""COMPUTED_VALUE"""),"https://www.google.com/search?newwindow=1&amp;ei=2MT0XrvGGM-vytMP1OyDgAY&amp;q=site%3Alinkedin.com+Curtis+Sargent+University+Programs+Recruiter+Raytheon")</f>
        <v>https://www.google.com/search?newwindow=1&amp;ei=2MT0XrvGGM-vytMP1OyDgAY&amp;q=site%3Alinkedin.com+Curtis+Sargent+University+Programs+Recruiter+Raytheon</v>
      </c>
      <c r="K3188" s="5" t="str">
        <f t="shared" si="1"/>
        <v>Curtis Sargent</v>
      </c>
      <c r="L3188" s="5" t="str">
        <f t="shared" si="2"/>
        <v>University Programs Recruiter</v>
      </c>
      <c r="M3188" s="5" t="str">
        <f t="shared" si="3"/>
        <v> </v>
      </c>
      <c r="N3188" s="5" t="str">
        <f t="shared" si="4"/>
        <v>Raytheon</v>
      </c>
      <c r="O3188" s="5" t="str">
        <f t="shared" si="5"/>
        <v>1 year 2 months in role</v>
      </c>
      <c r="P3188" s="5" t="str">
        <f t="shared" si="6"/>
        <v>Nashua</v>
      </c>
      <c r="Q3188" s="5" t="str">
        <f t="shared" si="7"/>
        <v>New Hampshire</v>
      </c>
      <c r="R3188" s="5" t="str">
        <f t="shared" si="8"/>
        <v>United States</v>
      </c>
    </row>
    <row r="3189">
      <c r="A3189" s="7" t="s">
        <v>2939</v>
      </c>
      <c r="B3189" s="5" t="s">
        <v>2937</v>
      </c>
      <c r="C3189" s="5" t="s">
        <v>2938</v>
      </c>
      <c r="D3189" s="6" t="s">
        <v>13</v>
      </c>
      <c r="E3189" s="5" t="s">
        <v>2839</v>
      </c>
      <c r="F3189" s="5" t="s">
        <v>217</v>
      </c>
      <c r="G3189" s="5" t="s">
        <v>122</v>
      </c>
      <c r="H3189" s="5" t="s">
        <v>44</v>
      </c>
      <c r="I3189" s="5" t="s">
        <v>18</v>
      </c>
      <c r="J3189" s="9" t="str">
        <f>IFERROR(__xludf.DUMMYFUNCTION("""COMPUTED_VALUE"""),"https://www.google.com/search?newwindow=1&amp;ei=2MT0XrvGGM-vytMP1OyDgAY&amp;q=site%3Alinkedin.com+Jennifer+Rhodes+University+Programs+Recruiter+Raytheon")</f>
        <v>https://www.google.com/search?newwindow=1&amp;ei=2MT0XrvGGM-vytMP1OyDgAY&amp;q=site%3Alinkedin.com+Jennifer+Rhodes+University+Programs+Recruiter+Raytheon</v>
      </c>
      <c r="K3189" s="5" t="str">
        <f t="shared" si="1"/>
        <v>Jennifer Rhodes</v>
      </c>
      <c r="L3189" s="5" t="str">
        <f t="shared" si="2"/>
        <v>University Programs Recruiter</v>
      </c>
      <c r="M3189" s="5" t="str">
        <f t="shared" si="3"/>
        <v> </v>
      </c>
      <c r="N3189" s="5" t="str">
        <f t="shared" si="4"/>
        <v>Raytheon</v>
      </c>
      <c r="O3189" s="5" t="str">
        <f t="shared" si="5"/>
        <v>3 years  in role</v>
      </c>
      <c r="P3189" s="5" t="str">
        <f t="shared" si="6"/>
        <v>Springfield</v>
      </c>
      <c r="Q3189" s="5" t="str">
        <f t="shared" si="7"/>
        <v>Virginia</v>
      </c>
      <c r="R3189" s="5" t="str">
        <f t="shared" si="8"/>
        <v>United States</v>
      </c>
    </row>
    <row r="3190">
      <c r="A3190" s="8" t="s">
        <v>2943</v>
      </c>
      <c r="B3190" s="5" t="s">
        <v>2940</v>
      </c>
      <c r="C3190" s="5" t="s">
        <v>2941</v>
      </c>
      <c r="D3190" s="6" t="s">
        <v>13</v>
      </c>
      <c r="E3190" s="5" t="s">
        <v>2839</v>
      </c>
      <c r="F3190" s="5" t="s">
        <v>111</v>
      </c>
      <c r="G3190" s="5" t="s">
        <v>2942</v>
      </c>
      <c r="H3190" s="5" t="s">
        <v>154</v>
      </c>
      <c r="I3190" s="5" t="s">
        <v>18</v>
      </c>
      <c r="J3190" s="9" t="str">
        <f>IFERROR(__xludf.DUMMYFUNCTION("""COMPUTED_VALUE"""),"https://www.google.com/search?newwindow=1&amp;ei=2MT0XrvGGM-vytMP1OyDgAY&amp;q=site%3Alinkedin.com+Carolyn+Murwin,+MS+Sr.+Employment+Recruiter+Raytheon+Missiles+&amp;+Defense")</f>
        <v>https://www.google.com/search?newwindow=1&amp;ei=2MT0XrvGGM-vytMP1OyDgAY&amp;q=site%3Alinkedin.com+Carolyn+Murwin,+MS+Sr.+Employment+Recruiter+Raytheon+Missiles+&amp;+Defense</v>
      </c>
      <c r="K3190" s="5" t="str">
        <f t="shared" si="1"/>
        <v>Carolyn Murwin, MS</v>
      </c>
      <c r="L3190" s="5" t="str">
        <f t="shared" si="2"/>
        <v>Sr. Employment Recruiter</v>
      </c>
      <c r="M3190" s="5" t="str">
        <f t="shared" si="3"/>
        <v> </v>
      </c>
      <c r="N3190" s="5" t="str">
        <f t="shared" si="4"/>
        <v>Raytheon</v>
      </c>
      <c r="O3190" s="5" t="str">
        <f t="shared" si="5"/>
        <v>8 months in role and company</v>
      </c>
      <c r="P3190" s="5" t="str">
        <f t="shared" si="6"/>
        <v>Tewksbury</v>
      </c>
      <c r="Q3190" s="5" t="str">
        <f t="shared" si="7"/>
        <v>Massachusetts</v>
      </c>
      <c r="R3190" s="5" t="str">
        <f t="shared" si="8"/>
        <v>United States</v>
      </c>
    </row>
    <row r="3191">
      <c r="A3191" s="8" t="s">
        <v>2945</v>
      </c>
      <c r="B3191" s="5" t="s">
        <v>2944</v>
      </c>
      <c r="C3191" s="5" t="s">
        <v>2155</v>
      </c>
      <c r="D3191" s="6" t="s">
        <v>13</v>
      </c>
      <c r="E3191" s="5" t="s">
        <v>2839</v>
      </c>
      <c r="F3191" s="5" t="s">
        <v>579</v>
      </c>
      <c r="G3191" s="5" t="s">
        <v>137</v>
      </c>
      <c r="H3191" s="5" t="s">
        <v>137</v>
      </c>
      <c r="I3191" s="5" t="s">
        <v>18</v>
      </c>
      <c r="J3191" s="9" t="str">
        <f>IFERROR(__xludf.DUMMYFUNCTION("""COMPUTED_VALUE"""),"https://www.google.com/search?newwindow=1&amp;ei=2MT0XrvGGM-vytMP1OyDgAY&amp;q=site%3Alinkedin.com+Lexi+Casarez+University+Programs+Recruiter+at+Raytheon+Missiles+&amp;+Defense+Raytheon+Missiles+&amp;+Defense")</f>
        <v>https://www.google.com/search?newwindow=1&amp;ei=2MT0XrvGGM-vytMP1OyDgAY&amp;q=site%3Alinkedin.com+Lexi+Casarez+University+Programs+Recruiter+at+Raytheon+Missiles+&amp;+Defense+Raytheon+Missiles+&amp;+Defense</v>
      </c>
      <c r="K3191" s="5" t="str">
        <f t="shared" si="1"/>
        <v>Lexi Casarez</v>
      </c>
      <c r="L3191" s="5" t="str">
        <f t="shared" si="2"/>
        <v>University Programs Recruiter at Raytheon Missiles &amp; Defense</v>
      </c>
      <c r="M3191" s="5" t="str">
        <f t="shared" si="3"/>
        <v> </v>
      </c>
      <c r="N3191" s="5" t="str">
        <f t="shared" si="4"/>
        <v>Raytheon</v>
      </c>
      <c r="O3191" s="5" t="str">
        <f t="shared" si="5"/>
        <v>2 years 3 months in role and company</v>
      </c>
      <c r="P3191" s="5" t="str">
        <f t="shared" si="6"/>
        <v>Tucson</v>
      </c>
      <c r="Q3191" s="5" t="str">
        <f t="shared" si="7"/>
        <v>Arizona</v>
      </c>
      <c r="R3191" s="5" t="str">
        <f t="shared" si="8"/>
        <v>United States</v>
      </c>
    </row>
    <row r="3192">
      <c r="A3192" s="7" t="s">
        <v>2947</v>
      </c>
      <c r="B3192" s="5" t="s">
        <v>2946</v>
      </c>
      <c r="C3192" s="5" t="s">
        <v>371</v>
      </c>
      <c r="D3192" s="6" t="s">
        <v>13</v>
      </c>
      <c r="E3192" s="5" t="s">
        <v>2839</v>
      </c>
      <c r="F3192" s="5" t="s">
        <v>1321</v>
      </c>
      <c r="G3192" s="5" t="s">
        <v>137</v>
      </c>
      <c r="H3192" s="5" t="s">
        <v>137</v>
      </c>
      <c r="I3192" s="5" t="s">
        <v>18</v>
      </c>
      <c r="J3192" s="9" t="str">
        <f>IFERROR(__xludf.DUMMYFUNCTION("""COMPUTED_VALUE"""),"https://www.google.com/search?newwindow=1&amp;ei=2MT0XrvGGM-vytMP1OyDgAY&amp;q=site%3Alinkedin.com+Hazel+Y.+Lopez+University+Programs+Recruiter+Raytheon+Technologies")</f>
        <v>https://www.google.com/search?newwindow=1&amp;ei=2MT0XrvGGM-vytMP1OyDgAY&amp;q=site%3Alinkedin.com+Hazel+Y.+Lopez+University+Programs+Recruiter+Raytheon+Technologies</v>
      </c>
      <c r="K3192" s="5" t="str">
        <f t="shared" si="1"/>
        <v>Hazel Y. Lopez</v>
      </c>
      <c r="L3192" s="5" t="str">
        <f t="shared" si="2"/>
        <v>University Programs Recruiter</v>
      </c>
      <c r="M3192" s="5" t="str">
        <f t="shared" si="3"/>
        <v> </v>
      </c>
      <c r="N3192" s="5" t="str">
        <f t="shared" si="4"/>
        <v>Raytheon</v>
      </c>
      <c r="O3192" s="5" t="str">
        <f t="shared" si="5"/>
        <v>1 year 4 months in role and company</v>
      </c>
      <c r="P3192" s="5" t="str">
        <f t="shared" si="6"/>
        <v>Cambridge</v>
      </c>
      <c r="Q3192" s="5" t="str">
        <f t="shared" si="7"/>
        <v>Massachusetts</v>
      </c>
      <c r="R3192" s="5" t="str">
        <f t="shared" si="8"/>
        <v>United States</v>
      </c>
    </row>
    <row r="3193">
      <c r="A3193" s="8" t="s">
        <v>2951</v>
      </c>
      <c r="B3193" s="5" t="s">
        <v>2948</v>
      </c>
      <c r="C3193" s="5" t="s">
        <v>2949</v>
      </c>
      <c r="D3193" s="6" t="s">
        <v>13</v>
      </c>
      <c r="E3193" s="5" t="s">
        <v>2839</v>
      </c>
      <c r="F3193" s="5" t="s">
        <v>233</v>
      </c>
      <c r="G3193" s="5" t="s">
        <v>2950</v>
      </c>
      <c r="H3193" s="5" t="s">
        <v>17</v>
      </c>
      <c r="I3193" s="5" t="s">
        <v>18</v>
      </c>
      <c r="J3193" s="9" t="str">
        <f>IFERROR(__xludf.DUMMYFUNCTION("""COMPUTED_VALUE"""),"https://www.google.com/search?newwindow=1&amp;ei=2MT0XrvGGM-vytMP1OyDgAY&amp;q=site%3Alinkedin.com+Erin+Pruitt+University+Programs+Recruiter+-+Raytheon+Intelligence+and+Space+Raytheon+Technologies")</f>
        <v>https://www.google.com/search?newwindow=1&amp;ei=2MT0XrvGGM-vytMP1OyDgAY&amp;q=site%3Alinkedin.com+Erin+Pruitt+University+Programs+Recruiter+-+Raytheon+Intelligence+and+Space+Raytheon+Technologies</v>
      </c>
      <c r="K3193" s="5" t="str">
        <f t="shared" si="1"/>
        <v>Erin Pruitt</v>
      </c>
      <c r="L3193" s="5" t="str">
        <f t="shared" si="2"/>
        <v>University Programs Recruiter - Raytheon Intelligence and Space</v>
      </c>
      <c r="M3193" s="5" t="str">
        <f t="shared" si="3"/>
        <v> </v>
      </c>
      <c r="N3193" s="5" t="str">
        <f t="shared" si="4"/>
        <v>Raytheon</v>
      </c>
      <c r="O3193" s="5" t="str">
        <f t="shared" si="5"/>
        <v>7 months in role and company</v>
      </c>
      <c r="P3193" s="5" t="str">
        <f t="shared" si="6"/>
        <v>Dallas</v>
      </c>
      <c r="Q3193" s="5" t="str">
        <f t="shared" si="7"/>
        <v>Texas</v>
      </c>
      <c r="R3193" s="5" t="str">
        <f t="shared" si="8"/>
        <v>United States</v>
      </c>
    </row>
    <row r="3194">
      <c r="A3194" s="8" t="s">
        <v>2953</v>
      </c>
      <c r="B3194" s="5" t="s">
        <v>2952</v>
      </c>
      <c r="C3194" s="5" t="s">
        <v>371</v>
      </c>
      <c r="D3194" s="6" t="s">
        <v>13</v>
      </c>
      <c r="E3194" s="5" t="s">
        <v>2839</v>
      </c>
      <c r="F3194" s="5" t="s">
        <v>2544</v>
      </c>
      <c r="G3194" s="5" t="s">
        <v>1960</v>
      </c>
      <c r="H3194" s="5" t="s">
        <v>1961</v>
      </c>
      <c r="I3194" s="5" t="s">
        <v>18</v>
      </c>
      <c r="J3194" s="9" t="str">
        <f>IFERROR(__xludf.DUMMYFUNCTION("""COMPUTED_VALUE"""),"https://www.google.com/search?newwindow=1&amp;ei=2MT0XrvGGM-vytMP1OyDgAY&amp;q=site%3Alinkedin.com+LaToya+Johnson+University+Programs+Recruiter+Raytheon+Technologies")</f>
        <v>https://www.google.com/search?newwindow=1&amp;ei=2MT0XrvGGM-vytMP1OyDgAY&amp;q=site%3Alinkedin.com+LaToya+Johnson+University+Programs+Recruiter+Raytheon+Technologies</v>
      </c>
      <c r="K3194" s="5" t="str">
        <f t="shared" si="1"/>
        <v>LaToya Johnson</v>
      </c>
      <c r="L3194" s="5" t="str">
        <f t="shared" si="2"/>
        <v>University Programs Recruiter</v>
      </c>
      <c r="M3194" s="5" t="str">
        <f t="shared" si="3"/>
        <v> </v>
      </c>
      <c r="N3194" s="5" t="str">
        <f t="shared" si="4"/>
        <v>Raytheon</v>
      </c>
      <c r="O3194" s="5" t="str">
        <f t="shared" si="5"/>
        <v>2 years 1 month in role and company</v>
      </c>
      <c r="P3194" s="5" t="str">
        <f t="shared" si="6"/>
        <v>Dallas</v>
      </c>
      <c r="Q3194" s="5" t="str">
        <f t="shared" si="7"/>
        <v>Texas</v>
      </c>
      <c r="R3194" s="5" t="str">
        <f t="shared" si="8"/>
        <v>United States</v>
      </c>
    </row>
    <row r="3195">
      <c r="A3195" s="8" t="s">
        <v>2955</v>
      </c>
      <c r="B3195" s="5" t="s">
        <v>2954</v>
      </c>
      <c r="C3195" s="5" t="s">
        <v>2155</v>
      </c>
      <c r="D3195" s="6" t="s">
        <v>13</v>
      </c>
      <c r="E3195" s="5" t="s">
        <v>2839</v>
      </c>
      <c r="F3195" s="5" t="s">
        <v>268</v>
      </c>
      <c r="G3195" s="5" t="s">
        <v>153</v>
      </c>
      <c r="H3195" s="5" t="s">
        <v>154</v>
      </c>
      <c r="I3195" s="5" t="s">
        <v>18</v>
      </c>
      <c r="J3195" s="9" t="str">
        <f>IFERROR(__xludf.DUMMYFUNCTION("""COMPUTED_VALUE"""),"https://www.google.com/search?newwindow=1&amp;ei=2MT0XrvGGM-vytMP1OyDgAY&amp;q=site%3Alinkedin.com+Kevin+Lohmeier+Campus+Recruiting+Manager+-+University+of+Arizona+Raytheon+Technologies")</f>
        <v>https://www.google.com/search?newwindow=1&amp;ei=2MT0XrvGGM-vytMP1OyDgAY&amp;q=site%3Alinkedin.com+Kevin+Lohmeier+Campus+Recruiting+Manager+-+University+of+Arizona+Raytheon+Technologies</v>
      </c>
      <c r="K3195" s="5" t="str">
        <f t="shared" si="1"/>
        <v>Kevin Lohmeier</v>
      </c>
      <c r="L3195" s="5" t="str">
        <f t="shared" si="2"/>
        <v>Campus Recruiting Manager - University of Arizona</v>
      </c>
      <c r="M3195" s="5" t="str">
        <f t="shared" si="3"/>
        <v> </v>
      </c>
      <c r="N3195" s="5" t="str">
        <f t="shared" si="4"/>
        <v>Raytheon</v>
      </c>
      <c r="O3195" s="5" t="str">
        <f t="shared" si="5"/>
        <v>1 year 1 month in role and company</v>
      </c>
      <c r="P3195" s="5" t="str">
        <f t="shared" si="6"/>
        <v>Tucson</v>
      </c>
      <c r="Q3195" s="5" t="str">
        <f t="shared" si="7"/>
        <v>Arizona</v>
      </c>
      <c r="R3195" s="5" t="str">
        <f t="shared" si="8"/>
        <v>United States</v>
      </c>
    </row>
    <row r="3196">
      <c r="A3196" s="7" t="s">
        <v>2957</v>
      </c>
      <c r="B3196" s="5" t="s">
        <v>2956</v>
      </c>
      <c r="C3196" s="5" t="s">
        <v>371</v>
      </c>
      <c r="D3196" s="6" t="s">
        <v>13</v>
      </c>
      <c r="E3196" s="5" t="s">
        <v>2839</v>
      </c>
      <c r="F3196" s="5" t="s">
        <v>165</v>
      </c>
      <c r="G3196" s="5" t="s">
        <v>223</v>
      </c>
      <c r="H3196" s="5" t="s">
        <v>224</v>
      </c>
      <c r="I3196" s="5" t="s">
        <v>18</v>
      </c>
      <c r="J3196" s="9" t="str">
        <f>IFERROR(__xludf.DUMMYFUNCTION("""COMPUTED_VALUE"""),"https://www.google.com/search?newwindow=1&amp;ei=2MT0XrvGGM-vytMP1OyDgAY&amp;q=site%3Alinkedin.com+Amy+Rosenblum+University+Programs+Recruiter+Raytheon+Technologies")</f>
        <v>https://www.google.com/search?newwindow=1&amp;ei=2MT0XrvGGM-vytMP1OyDgAY&amp;q=site%3Alinkedin.com+Amy+Rosenblum+University+Programs+Recruiter+Raytheon+Technologies</v>
      </c>
      <c r="K3196" s="5" t="str">
        <f t="shared" si="1"/>
        <v>Amy Rosenblum</v>
      </c>
      <c r="L3196" s="5" t="str">
        <f t="shared" si="2"/>
        <v>University Programs Recruiter</v>
      </c>
      <c r="M3196" s="5" t="str">
        <f t="shared" si="3"/>
        <v> </v>
      </c>
      <c r="N3196" s="5" t="str">
        <f t="shared" si="4"/>
        <v>Raytheon</v>
      </c>
      <c r="O3196" s="5" t="str">
        <f t="shared" si="5"/>
        <v>2 years 2 months in role</v>
      </c>
      <c r="P3196" s="5" t="str">
        <f t="shared" si="6"/>
        <v>Tucson</v>
      </c>
      <c r="Q3196" s="5" t="str">
        <f t="shared" si="7"/>
        <v>Arizona</v>
      </c>
      <c r="R3196" s="5" t="str">
        <f t="shared" si="8"/>
        <v>United States</v>
      </c>
    </row>
    <row r="3197">
      <c r="A3197" s="8" t="s">
        <v>2959</v>
      </c>
      <c r="B3197" s="5" t="s">
        <v>2958</v>
      </c>
      <c r="C3197" s="5" t="s">
        <v>2882</v>
      </c>
      <c r="D3197" s="6" t="s">
        <v>13</v>
      </c>
      <c r="E3197" s="5" t="s">
        <v>2839</v>
      </c>
      <c r="F3197" s="5" t="s">
        <v>484</v>
      </c>
      <c r="G3197" s="5" t="s">
        <v>1867</v>
      </c>
      <c r="H3197" s="5" t="s">
        <v>44</v>
      </c>
      <c r="I3197" s="5" t="s">
        <v>18</v>
      </c>
      <c r="J3197" s="9" t="str">
        <f>IFERROR(__xludf.DUMMYFUNCTION("""COMPUTED_VALUE"""),"https://www.google.com/search?newwindow=1&amp;ei=2MT0XrvGGM-vytMP1OyDgAY&amp;q=site%3Alinkedin.com+Alvin+Hui+University+Recruiter+&amp;+Program+Manager+Robinhood")</f>
        <v>https://www.google.com/search?newwindow=1&amp;ei=2MT0XrvGGM-vytMP1OyDgAY&amp;q=site%3Alinkedin.com+Alvin+Hui+University+Recruiter+&amp;+Program+Manager+Robinhood</v>
      </c>
      <c r="K3197" s="5" t="str">
        <f t="shared" si="1"/>
        <v>Alvin Hui</v>
      </c>
      <c r="L3197" s="5" t="str">
        <f t="shared" si="2"/>
        <v>University Recruiter &amp; Program Manager</v>
      </c>
      <c r="M3197" s="5" t="str">
        <f t="shared" si="3"/>
        <v> </v>
      </c>
      <c r="N3197" s="5" t="str">
        <f t="shared" si="4"/>
        <v>Robinhood</v>
      </c>
      <c r="O3197" s="5" t="str">
        <f t="shared" si="5"/>
        <v>2 years  in role and company</v>
      </c>
      <c r="P3197" s="5" t="str">
        <f t="shared" si="6"/>
        <v>San Francisco</v>
      </c>
      <c r="Q3197" s="5" t="str">
        <f t="shared" si="7"/>
        <v>California</v>
      </c>
      <c r="R3197" s="5" t="str">
        <f t="shared" si="8"/>
        <v>United States</v>
      </c>
    </row>
    <row r="3198">
      <c r="A3198" s="7" t="s">
        <v>2961</v>
      </c>
      <c r="B3198" s="5" t="s">
        <v>2960</v>
      </c>
      <c r="C3198" s="5" t="s">
        <v>25</v>
      </c>
      <c r="D3198" s="6" t="s">
        <v>13</v>
      </c>
      <c r="E3198" s="5" t="s">
        <v>2839</v>
      </c>
      <c r="F3198" s="5" t="s">
        <v>1892</v>
      </c>
      <c r="G3198" s="5" t="s">
        <v>166</v>
      </c>
      <c r="H3198" s="5" t="s">
        <v>44</v>
      </c>
      <c r="I3198" s="5" t="s">
        <v>18</v>
      </c>
      <c r="J3198" s="9" t="str">
        <f>IFERROR(__xludf.DUMMYFUNCTION("""COMPUTED_VALUE"""),"https://www.google.com/search?newwindow=1&amp;ei=2MT0XrvGGM-vytMP1OyDgAY&amp;q=site%3Alinkedin.com+Andrew+Yeung+Senior+University+Recruiter+Robinhood")</f>
        <v>https://www.google.com/search?newwindow=1&amp;ei=2MT0XrvGGM-vytMP1OyDgAY&amp;q=site%3Alinkedin.com+Andrew+Yeung+Senior+University+Recruiter+Robinhood</v>
      </c>
      <c r="K3198" s="5" t="str">
        <f t="shared" si="1"/>
        <v>Andrew Yeung</v>
      </c>
      <c r="L3198" s="5" t="str">
        <f t="shared" si="2"/>
        <v>Senior University Recruiter</v>
      </c>
      <c r="M3198" s="5" t="str">
        <f t="shared" si="3"/>
        <v> </v>
      </c>
      <c r="N3198" s="5" t="str">
        <f t="shared" si="4"/>
        <v>Robinhood</v>
      </c>
      <c r="O3198" s="5" t="str">
        <f t="shared" si="5"/>
        <v>7 months in role and company</v>
      </c>
      <c r="P3198" s="5" t="str">
        <f t="shared" si="6"/>
        <v>San Francisco</v>
      </c>
      <c r="Q3198" s="5" t="str">
        <f t="shared" si="7"/>
        <v>California</v>
      </c>
      <c r="R3198" s="5" t="str">
        <f t="shared" si="8"/>
        <v>United States</v>
      </c>
    </row>
    <row r="3199">
      <c r="A3199" s="7" t="s">
        <v>2963</v>
      </c>
      <c r="B3199" s="5" t="s">
        <v>2962</v>
      </c>
      <c r="C3199" s="5" t="s">
        <v>625</v>
      </c>
      <c r="D3199" s="6" t="s">
        <v>13</v>
      </c>
      <c r="E3199" s="5" t="s">
        <v>2839</v>
      </c>
      <c r="F3199" s="5" t="s">
        <v>15</v>
      </c>
      <c r="G3199" s="5" t="s">
        <v>166</v>
      </c>
      <c r="H3199" s="5" t="s">
        <v>44</v>
      </c>
      <c r="I3199" s="5" t="s">
        <v>18</v>
      </c>
      <c r="J3199" s="9" t="str">
        <f>IFERROR(__xludf.DUMMYFUNCTION("""COMPUTED_VALUE"""),"https://www.google.com/search?newwindow=1&amp;ei=2MT0XrvGGM-vytMP1OyDgAY&amp;q=site%3Alinkedin.com+Sam+Lee+University+Recruiter+Robinhood")</f>
        <v>https://www.google.com/search?newwindow=1&amp;ei=2MT0XrvGGM-vytMP1OyDgAY&amp;q=site%3Alinkedin.com+Sam+Lee+University+Recruiter+Robinhood</v>
      </c>
      <c r="K3199" s="5" t="str">
        <f t="shared" si="1"/>
        <v>Sam Lee</v>
      </c>
      <c r="L3199" s="5" t="str">
        <f t="shared" si="2"/>
        <v>University Recruiter</v>
      </c>
      <c r="M3199" s="5" t="str">
        <f t="shared" si="3"/>
        <v> </v>
      </c>
      <c r="N3199" s="5" t="str">
        <f t="shared" si="4"/>
        <v>Robinhood</v>
      </c>
      <c r="O3199" s="5" t="str">
        <f t="shared" si="5"/>
        <v>1 year 10 months in role and company</v>
      </c>
      <c r="P3199" s="5" t="str">
        <f t="shared" si="6"/>
        <v>San Francisco</v>
      </c>
      <c r="Q3199" s="5" t="str">
        <f t="shared" si="7"/>
        <v>California</v>
      </c>
      <c r="R3199" s="5" t="str">
        <f t="shared" si="8"/>
        <v>United States</v>
      </c>
    </row>
    <row r="3200">
      <c r="A3200" s="7" t="s">
        <v>2966</v>
      </c>
      <c r="B3200" s="5" t="s">
        <v>2964</v>
      </c>
      <c r="C3200" s="5" t="s">
        <v>2965</v>
      </c>
      <c r="D3200" s="6" t="s">
        <v>13</v>
      </c>
      <c r="E3200" s="5" t="s">
        <v>2839</v>
      </c>
      <c r="F3200" s="5" t="s">
        <v>345</v>
      </c>
      <c r="G3200" s="5" t="s">
        <v>2047</v>
      </c>
      <c r="H3200" s="5" t="s">
        <v>44</v>
      </c>
      <c r="I3200" s="5" t="s">
        <v>18</v>
      </c>
      <c r="J3200" s="9" t="str">
        <f>IFERROR(__xludf.DUMMYFUNCTION("""COMPUTED_VALUE"""),"https://www.google.com/search?newwindow=1&amp;ei=2MT0XrvGGM-vytMP1OyDgAY&amp;q=site%3Alinkedin.com+Tiffany+Siu+University+Recruiter+Robinhood")</f>
        <v>https://www.google.com/search?newwindow=1&amp;ei=2MT0XrvGGM-vytMP1OyDgAY&amp;q=site%3Alinkedin.com+Tiffany+Siu+University+Recruiter+Robinhood</v>
      </c>
      <c r="K3200" s="5" t="str">
        <f t="shared" si="1"/>
        <v>Tiffany Siu</v>
      </c>
      <c r="L3200" s="5" t="str">
        <f t="shared" si="2"/>
        <v>University Recruiter</v>
      </c>
      <c r="M3200" s="5" t="str">
        <f t="shared" si="3"/>
        <v> </v>
      </c>
      <c r="N3200" s="5" t="str">
        <f t="shared" si="4"/>
        <v>Robinhood</v>
      </c>
      <c r="O3200" s="5" t="str">
        <f t="shared" si="5"/>
        <v>1 year 7 months in role and company</v>
      </c>
      <c r="P3200" s="5" t="str">
        <f t="shared" si="6"/>
        <v>San Francisco</v>
      </c>
      <c r="Q3200" s="5" t="str">
        <f t="shared" si="7"/>
        <v>California</v>
      </c>
      <c r="R3200" s="5" t="str">
        <f t="shared" si="8"/>
        <v>United States</v>
      </c>
    </row>
    <row r="3201">
      <c r="A3201" s="7" t="s">
        <v>2968</v>
      </c>
      <c r="B3201" s="5" t="s">
        <v>2967</v>
      </c>
      <c r="C3201" s="5" t="s">
        <v>371</v>
      </c>
      <c r="D3201" s="6" t="s">
        <v>13</v>
      </c>
      <c r="E3201" s="5" t="s">
        <v>2839</v>
      </c>
      <c r="F3201" s="5" t="s">
        <v>121</v>
      </c>
      <c r="G3201" s="5" t="s">
        <v>311</v>
      </c>
      <c r="H3201" s="5" t="s">
        <v>102</v>
      </c>
      <c r="I3201" s="5" t="s">
        <v>18</v>
      </c>
      <c r="J3201" s="9" t="str">
        <f>IFERROR(__xludf.DUMMYFUNCTION("""COMPUTED_VALUE"""),"https://www.google.com/search?newwindow=1&amp;ei=2MT0XrvGGM-vytMP1OyDgAY&amp;q=site%3Alinkedin.com+Shanna+Naeole+Senior+Campus+Recruiter+RSM+US+LLP")</f>
        <v>https://www.google.com/search?newwindow=1&amp;ei=2MT0XrvGGM-vytMP1OyDgAY&amp;q=site%3Alinkedin.com+Shanna+Naeole+Senior+Campus+Recruiter+RSM+US+LLP</v>
      </c>
      <c r="K3201" s="5" t="str">
        <f t="shared" si="1"/>
        <v>Shanna Naeole</v>
      </c>
      <c r="L3201" s="5" t="str">
        <f t="shared" si="2"/>
        <v>Senior Campus Recruiter</v>
      </c>
      <c r="M3201" s="5" t="str">
        <f t="shared" si="3"/>
        <v> </v>
      </c>
      <c r="N3201" s="5" t="str">
        <f t="shared" si="4"/>
        <v>RSM US LLP</v>
      </c>
      <c r="O3201" s="5" t="str">
        <f t="shared" si="5"/>
        <v>10 months in role and company</v>
      </c>
      <c r="P3201" s="5" t="str">
        <f t="shared" si="6"/>
        <v>Atlanta</v>
      </c>
      <c r="Q3201" s="5" t="str">
        <f t="shared" si="7"/>
        <v>Georgia</v>
      </c>
      <c r="R3201" s="5" t="str">
        <f t="shared" si="8"/>
        <v>United States</v>
      </c>
    </row>
    <row r="3202">
      <c r="A3202" s="7" t="s">
        <v>2970</v>
      </c>
      <c r="B3202" s="5" t="s">
        <v>2969</v>
      </c>
      <c r="C3202" s="5" t="s">
        <v>25</v>
      </c>
      <c r="D3202" s="6" t="s">
        <v>13</v>
      </c>
      <c r="E3202" s="5" t="s">
        <v>2839</v>
      </c>
      <c r="F3202" s="5" t="s">
        <v>29</v>
      </c>
      <c r="G3202" s="5" t="s">
        <v>311</v>
      </c>
      <c r="H3202" s="5" t="s">
        <v>102</v>
      </c>
      <c r="I3202" s="5" t="s">
        <v>18</v>
      </c>
      <c r="J3202" s="9" t="str">
        <f>IFERROR(__xludf.DUMMYFUNCTION("""COMPUTED_VALUE"""),"https://www.google.com/search?newwindow=1&amp;ei=2MT0XrvGGM-vytMP1OyDgAY&amp;q=site%3Alinkedin.com+Hayley+Johnson+Sr.+Campus+Recruiter+-+Audit+&amp;+Tax+RSM+US+LLP")</f>
        <v>https://www.google.com/search?newwindow=1&amp;ei=2MT0XrvGGM-vytMP1OyDgAY&amp;q=site%3Alinkedin.com+Hayley+Johnson+Sr.+Campus+Recruiter+-+Audit+&amp;+Tax+RSM+US+LLP</v>
      </c>
      <c r="K3202" s="5" t="str">
        <f t="shared" si="1"/>
        <v>Hayley Johnson</v>
      </c>
      <c r="L3202" s="5" t="str">
        <f t="shared" si="2"/>
        <v>Sr. Campus Recruiter - Audit &amp; Tax</v>
      </c>
      <c r="M3202" s="5" t="str">
        <f t="shared" si="3"/>
        <v> </v>
      </c>
      <c r="N3202" s="5" t="str">
        <f t="shared" si="4"/>
        <v>RSM US LLP</v>
      </c>
      <c r="O3202" s="5" t="str">
        <f t="shared" si="5"/>
        <v>10 months in role and company</v>
      </c>
      <c r="P3202" s="5" t="str">
        <f t="shared" si="6"/>
        <v>Atlanta</v>
      </c>
      <c r="Q3202" s="5" t="str">
        <f t="shared" si="7"/>
        <v>Georgia</v>
      </c>
      <c r="R3202" s="5" t="str">
        <f t="shared" si="8"/>
        <v>United States</v>
      </c>
    </row>
    <row r="3203">
      <c r="A3203" s="8" t="s">
        <v>2973</v>
      </c>
      <c r="B3203" s="5" t="s">
        <v>2971</v>
      </c>
      <c r="C3203" s="5" t="s">
        <v>2155</v>
      </c>
      <c r="D3203" s="6" t="s">
        <v>13</v>
      </c>
      <c r="E3203" s="5" t="s">
        <v>2839</v>
      </c>
      <c r="F3203" s="5" t="s">
        <v>496</v>
      </c>
      <c r="G3203" s="5" t="s">
        <v>2972</v>
      </c>
      <c r="H3203" s="5" t="s">
        <v>96</v>
      </c>
      <c r="I3203" s="5" t="s">
        <v>18</v>
      </c>
      <c r="J3203" s="9" t="str">
        <f>IFERROR(__xludf.DUMMYFUNCTION("""COMPUTED_VALUE"""),"https://www.google.com/search?newwindow=1&amp;ei=2MT0XrvGGM-vytMP1OyDgAY&amp;q=site%3Alinkedin.com+Amber+Campbell+Talent+Acquisition+-+Senior+Campus+Recruiter+RSM+US+LLP")</f>
        <v>https://www.google.com/search?newwindow=1&amp;ei=2MT0XrvGGM-vytMP1OyDgAY&amp;q=site%3Alinkedin.com+Amber+Campbell+Talent+Acquisition+-+Senior+Campus+Recruiter+RSM+US+LLP</v>
      </c>
      <c r="K3203" s="5" t="str">
        <f t="shared" si="1"/>
        <v>Amber Campbell</v>
      </c>
      <c r="L3203" s="5" t="str">
        <f t="shared" si="2"/>
        <v>Talent Acquisition - Senior Campus Recruiter</v>
      </c>
      <c r="M3203" s="5" t="str">
        <f t="shared" si="3"/>
        <v> </v>
      </c>
      <c r="N3203" s="5" t="str">
        <f t="shared" si="4"/>
        <v>RSM US LLP</v>
      </c>
      <c r="O3203" s="5" t="str">
        <f t="shared" si="5"/>
        <v>10 months in role and company</v>
      </c>
      <c r="P3203" s="5" t="str">
        <f t="shared" si="6"/>
        <v>Austin</v>
      </c>
      <c r="Q3203" s="5" t="str">
        <f t="shared" si="7"/>
        <v>Texas</v>
      </c>
      <c r="R3203" s="5" t="str">
        <f t="shared" si="8"/>
        <v>United States</v>
      </c>
    </row>
    <row r="3204">
      <c r="A3204" s="7" t="s">
        <v>2977</v>
      </c>
      <c r="B3204" s="5" t="s">
        <v>2974</v>
      </c>
      <c r="C3204" s="5" t="s">
        <v>25</v>
      </c>
      <c r="D3204" s="6" t="s">
        <v>13</v>
      </c>
      <c r="E3204" s="5" t="s">
        <v>2839</v>
      </c>
      <c r="F3204" s="5" t="s">
        <v>2975</v>
      </c>
      <c r="G3204" s="5" t="s">
        <v>2976</v>
      </c>
      <c r="H3204" s="5" t="s">
        <v>427</v>
      </c>
      <c r="I3204" s="5" t="s">
        <v>18</v>
      </c>
      <c r="J3204" s="9" t="str">
        <f>IFERROR(__xludf.DUMMYFUNCTION("""COMPUTED_VALUE"""),"https://www.google.com/search?newwindow=1&amp;ei=2MT0XrvGGM-vytMP1OyDgAY&amp;q=site%3Alinkedin.com+Aimee+Williams+Sr.+Campus+Recruiter+RSM+US+LLP")</f>
        <v>https://www.google.com/search?newwindow=1&amp;ei=2MT0XrvGGM-vytMP1OyDgAY&amp;q=site%3Alinkedin.com+Aimee+Williams+Sr.+Campus+Recruiter+RSM+US+LLP</v>
      </c>
      <c r="K3204" s="5" t="str">
        <f t="shared" si="1"/>
        <v>Aimee Williams</v>
      </c>
      <c r="L3204" s="5" t="str">
        <f t="shared" si="2"/>
        <v>Sr. Campus Recruiter</v>
      </c>
      <c r="M3204" s="5" t="str">
        <f t="shared" si="3"/>
        <v> </v>
      </c>
      <c r="N3204" s="5" t="str">
        <f t="shared" si="4"/>
        <v>RSM US LLP</v>
      </c>
      <c r="O3204" s="5" t="str">
        <f t="shared" si="5"/>
        <v>10 months in role and company</v>
      </c>
      <c r="P3204" s="5" t="str">
        <f t="shared" si="6"/>
        <v>Bethalto</v>
      </c>
      <c r="Q3204" s="5" t="str">
        <f t="shared" si="7"/>
        <v>Illinois</v>
      </c>
      <c r="R3204" s="5" t="str">
        <f t="shared" si="8"/>
        <v>United States</v>
      </c>
    </row>
    <row r="3205">
      <c r="A3205" s="8" t="s">
        <v>2980</v>
      </c>
      <c r="B3205" s="5" t="s">
        <v>2978</v>
      </c>
      <c r="C3205" s="5" t="s">
        <v>2155</v>
      </c>
      <c r="D3205" s="6" t="s">
        <v>13</v>
      </c>
      <c r="E3205" s="5" t="s">
        <v>2839</v>
      </c>
      <c r="F3205" s="5" t="s">
        <v>409</v>
      </c>
      <c r="G3205" s="5" t="s">
        <v>2979</v>
      </c>
      <c r="H3205" s="5" t="s">
        <v>137</v>
      </c>
      <c r="I3205" s="5" t="s">
        <v>18</v>
      </c>
      <c r="J3205" s="9" t="str">
        <f>IFERROR(__xludf.DUMMYFUNCTION("""COMPUTED_VALUE"""),"https://www.google.com/search?newwindow=1&amp;ei=2MT0XrvGGM-vytMP1OyDgAY&amp;q=site%3Alinkedin.com+Leah+Gordon+Sr.+Campus+Recruiter+RSM+US+LLP")</f>
        <v>https://www.google.com/search?newwindow=1&amp;ei=2MT0XrvGGM-vytMP1OyDgAY&amp;q=site%3Alinkedin.com+Leah+Gordon+Sr.+Campus+Recruiter+RSM+US+LLP</v>
      </c>
      <c r="K3205" s="5" t="str">
        <f t="shared" si="1"/>
        <v>Leah Gordon</v>
      </c>
      <c r="L3205" s="5" t="str">
        <f t="shared" si="2"/>
        <v>Sr. Campus Recruiter</v>
      </c>
      <c r="M3205" s="5" t="str">
        <f t="shared" si="3"/>
        <v> </v>
      </c>
      <c r="N3205" s="5" t="str">
        <f t="shared" si="4"/>
        <v>RSM US LLP</v>
      </c>
      <c r="O3205" s="5" t="str">
        <f t="shared" si="5"/>
        <v>10 months in role and company</v>
      </c>
      <c r="P3205" s="5" t="str">
        <f t="shared" si="6"/>
        <v>Boston</v>
      </c>
      <c r="Q3205" s="5" t="str">
        <f t="shared" si="7"/>
        <v>Massachusetts</v>
      </c>
      <c r="R3205" s="5" t="str">
        <f t="shared" si="8"/>
        <v>United States</v>
      </c>
    </row>
    <row r="3206">
      <c r="A3206" s="7" t="s">
        <v>2982</v>
      </c>
      <c r="B3206" s="5" t="s">
        <v>2981</v>
      </c>
      <c r="C3206" s="5" t="s">
        <v>625</v>
      </c>
      <c r="D3206" s="6" t="s">
        <v>13</v>
      </c>
      <c r="E3206" s="5" t="s">
        <v>2839</v>
      </c>
      <c r="F3206" s="5" t="s">
        <v>165</v>
      </c>
      <c r="G3206" s="5" t="s">
        <v>1131</v>
      </c>
      <c r="H3206" s="5" t="s">
        <v>203</v>
      </c>
      <c r="I3206" s="5" t="s">
        <v>18</v>
      </c>
      <c r="J3206" s="9" t="str">
        <f>IFERROR(__xludf.DUMMYFUNCTION("""COMPUTED_VALUE"""),"https://www.google.com/search?newwindow=1&amp;ei=2MT0XrvGGM-vytMP1OyDgAY&amp;q=site%3Alinkedin.com+Tara+Skrla+Consulting+Campus+Recruiter+-+Senior+Associate+RSM+US+LLP")</f>
        <v>https://www.google.com/search?newwindow=1&amp;ei=2MT0XrvGGM-vytMP1OyDgAY&amp;q=site%3Alinkedin.com+Tara+Skrla+Consulting+Campus+Recruiter+-+Senior+Associate+RSM+US+LLP</v>
      </c>
      <c r="K3206" s="5" t="str">
        <f t="shared" si="1"/>
        <v>Tara Skrla</v>
      </c>
      <c r="L3206" s="5" t="str">
        <f t="shared" si="2"/>
        <v>Consulting Campus Recruiter - Senior Associate</v>
      </c>
      <c r="M3206" s="5" t="str">
        <f t="shared" si="3"/>
        <v> </v>
      </c>
      <c r="N3206" s="5" t="str">
        <f t="shared" si="4"/>
        <v>RSM US LLP</v>
      </c>
      <c r="O3206" s="5" t="str">
        <f t="shared" si="5"/>
        <v>1 year  in role</v>
      </c>
      <c r="P3206" s="5" t="str">
        <f t="shared" si="6"/>
        <v>Bothell</v>
      </c>
      <c r="Q3206" s="5" t="str">
        <f t="shared" si="7"/>
        <v>Washington</v>
      </c>
      <c r="R3206" s="5" t="str">
        <f t="shared" si="8"/>
        <v>United States</v>
      </c>
    </row>
    <row r="3207">
      <c r="A3207" s="7" t="s">
        <v>2985</v>
      </c>
      <c r="B3207" s="5" t="s">
        <v>2983</v>
      </c>
      <c r="C3207" s="5" t="s">
        <v>2984</v>
      </c>
      <c r="D3207" s="6" t="s">
        <v>13</v>
      </c>
      <c r="E3207" s="5" t="s">
        <v>2839</v>
      </c>
      <c r="F3207" s="5" t="s">
        <v>2252</v>
      </c>
      <c r="G3207" s="5" t="s">
        <v>102</v>
      </c>
      <c r="H3207" s="5" t="s">
        <v>172</v>
      </c>
      <c r="I3207" s="5" t="s">
        <v>18</v>
      </c>
      <c r="J3207" s="9" t="str">
        <f>IFERROR(__xludf.DUMMYFUNCTION("""COMPUTED_VALUE"""),"https://www.google.com/search?newwindow=1&amp;ei=2MT0XrvGGM-vytMP1OyDgAY&amp;q=site%3Alinkedin.com+Tricia+Raper+Senior+Campus+Recruiter+RSM+US+LLP")</f>
        <v>https://www.google.com/search?newwindow=1&amp;ei=2MT0XrvGGM-vytMP1OyDgAY&amp;q=site%3Alinkedin.com+Tricia+Raper+Senior+Campus+Recruiter+RSM+US+LLP</v>
      </c>
      <c r="K3207" s="5" t="str">
        <f t="shared" si="1"/>
        <v>Tricia Raper</v>
      </c>
      <c r="L3207" s="5" t="str">
        <f t="shared" si="2"/>
        <v>Senior Campus Recruiter</v>
      </c>
      <c r="M3207" s="5" t="str">
        <f t="shared" si="3"/>
        <v> </v>
      </c>
      <c r="N3207" s="5" t="str">
        <f t="shared" si="4"/>
        <v>RSM US LLP</v>
      </c>
      <c r="O3207" s="5" t="str">
        <f t="shared" si="5"/>
        <v>1 year 4 months in role and company</v>
      </c>
      <c r="P3207" s="5" t="str">
        <f t="shared" si="6"/>
        <v>Cedar Rapids</v>
      </c>
      <c r="Q3207" s="5" t="str">
        <f t="shared" si="7"/>
        <v>Iowa</v>
      </c>
      <c r="R3207" s="5" t="str">
        <f t="shared" si="8"/>
        <v>United States</v>
      </c>
    </row>
    <row r="3208">
      <c r="A3208" s="7" t="s">
        <v>2985</v>
      </c>
      <c r="B3208" s="5" t="s">
        <v>2983</v>
      </c>
      <c r="C3208" s="5" t="s">
        <v>2984</v>
      </c>
      <c r="D3208" s="6" t="s">
        <v>13</v>
      </c>
      <c r="E3208" s="5" t="s">
        <v>2839</v>
      </c>
      <c r="F3208" s="5" t="s">
        <v>2252</v>
      </c>
      <c r="G3208" s="5" t="s">
        <v>102</v>
      </c>
      <c r="H3208" s="5" t="s">
        <v>172</v>
      </c>
      <c r="I3208" s="5" t="s">
        <v>18</v>
      </c>
      <c r="J3208" s="9" t="str">
        <f>IFERROR(__xludf.DUMMYFUNCTION("""COMPUTED_VALUE"""),"https://www.google.com/search?newwindow=1&amp;ei=2MT0XrvGGM-vytMP1OyDgAY&amp;q=site%3Alinkedin.com+Cori+Moore,+CPA+Senior+Campus+Recruiter+RSM+US+LLP")</f>
        <v>https://www.google.com/search?newwindow=1&amp;ei=2MT0XrvGGM-vytMP1OyDgAY&amp;q=site%3Alinkedin.com+Cori+Moore,+CPA+Senior+Campus+Recruiter+RSM+US+LLP</v>
      </c>
      <c r="K3208" s="5" t="str">
        <f t="shared" si="1"/>
        <v>Cori Moore, CPA</v>
      </c>
      <c r="L3208" s="5" t="str">
        <f t="shared" si="2"/>
        <v>Senior Campus Recruiter</v>
      </c>
      <c r="M3208" s="5" t="str">
        <f t="shared" si="3"/>
        <v> </v>
      </c>
      <c r="N3208" s="5" t="str">
        <f t="shared" si="4"/>
        <v>RSM US LLP</v>
      </c>
      <c r="O3208" s="5" t="str">
        <f t="shared" si="5"/>
        <v>9 months in role and company</v>
      </c>
      <c r="P3208" s="5" t="str">
        <f t="shared" si="6"/>
        <v>Charlotte</v>
      </c>
      <c r="Q3208" s="5" t="str">
        <f t="shared" si="7"/>
        <v>North Carolina</v>
      </c>
      <c r="R3208" s="5" t="str">
        <f t="shared" si="8"/>
        <v>United States</v>
      </c>
    </row>
    <row r="3209">
      <c r="A3209" s="8" t="s">
        <v>2988</v>
      </c>
      <c r="B3209" s="5" t="s">
        <v>2986</v>
      </c>
      <c r="C3209" s="5" t="s">
        <v>371</v>
      </c>
      <c r="D3209" s="6" t="s">
        <v>13</v>
      </c>
      <c r="E3209" s="5" t="s">
        <v>2839</v>
      </c>
      <c r="F3209" s="5" t="s">
        <v>2987</v>
      </c>
      <c r="G3209" s="5" t="s">
        <v>166</v>
      </c>
      <c r="H3209" s="5" t="s">
        <v>44</v>
      </c>
      <c r="I3209" s="5" t="s">
        <v>18</v>
      </c>
      <c r="J3209" s="9" t="str">
        <f>IFERROR(__xludf.DUMMYFUNCTION("""COMPUTED_VALUE"""),"https://www.google.com/search?newwindow=1&amp;ei=2MT0XrvGGM-vytMP1OyDgAY&amp;q=site%3Alinkedin.com+Ina+Abraham+Senior+Campus+Recruiter+RSM+US+LLP")</f>
        <v>https://www.google.com/search?newwindow=1&amp;ei=2MT0XrvGGM-vytMP1OyDgAY&amp;q=site%3Alinkedin.com+Ina+Abraham+Senior+Campus+Recruiter+RSM+US+LLP</v>
      </c>
      <c r="K3209" s="5" t="str">
        <f t="shared" si="1"/>
        <v>Ina Abraham</v>
      </c>
      <c r="L3209" s="5" t="str">
        <f t="shared" si="2"/>
        <v>Senior Campus Recruiter</v>
      </c>
      <c r="M3209" s="5" t="str">
        <f t="shared" si="3"/>
        <v> </v>
      </c>
      <c r="N3209" s="5" t="str">
        <f t="shared" si="4"/>
        <v>RSM US LLP</v>
      </c>
      <c r="O3209" s="5" t="str">
        <f t="shared" si="5"/>
        <v>1 year 5 months in role and company</v>
      </c>
      <c r="P3209" s="5" t="str">
        <f t="shared" si="6"/>
        <v>Chicago</v>
      </c>
      <c r="Q3209" s="5" t="str">
        <f t="shared" si="7"/>
        <v>Illinois</v>
      </c>
      <c r="R3209" s="5" t="str">
        <f t="shared" si="8"/>
        <v>United States</v>
      </c>
    </row>
    <row r="3210">
      <c r="A3210" s="8" t="s">
        <v>2992</v>
      </c>
      <c r="B3210" s="5" t="s">
        <v>2989</v>
      </c>
      <c r="C3210" s="5" t="s">
        <v>2990</v>
      </c>
      <c r="D3210" s="6" t="s">
        <v>13</v>
      </c>
      <c r="E3210" s="5" t="s">
        <v>2991</v>
      </c>
      <c r="F3210" s="5" t="s">
        <v>268</v>
      </c>
      <c r="G3210" s="5" t="s">
        <v>377</v>
      </c>
      <c r="H3210" s="5" t="s">
        <v>378</v>
      </c>
      <c r="I3210" s="5" t="s">
        <v>18</v>
      </c>
      <c r="J3210" s="9" t="str">
        <f>IFERROR(__xludf.DUMMYFUNCTION("""COMPUTED_VALUE"""),"https://www.google.com/search?newwindow=1&amp;ei=2MT0XrvGGM-vytMP1OyDgAY&amp;q=site%3Alinkedin.com+Maeve+O'Connor+Senior+Campus+Recruiter+RSM+US+LLP")</f>
        <v>https://www.google.com/search?newwindow=1&amp;ei=2MT0XrvGGM-vytMP1OyDgAY&amp;q=site%3Alinkedin.com+Maeve+O'Connor+Senior+Campus+Recruiter+RSM+US+LLP</v>
      </c>
      <c r="K3210" s="5" t="str">
        <f t="shared" si="1"/>
        <v>Maeve O'Connor</v>
      </c>
      <c r="L3210" s="5" t="str">
        <f t="shared" si="2"/>
        <v>Senior Campus Recruiter</v>
      </c>
      <c r="M3210" s="5" t="str">
        <f t="shared" si="3"/>
        <v> </v>
      </c>
      <c r="N3210" s="5" t="str">
        <f t="shared" si="4"/>
        <v>RSM US LLP</v>
      </c>
      <c r="O3210" s="5" t="str">
        <f t="shared" si="5"/>
        <v>9 months in role and company</v>
      </c>
      <c r="P3210" s="5" t="str">
        <f t="shared" si="6"/>
        <v>Cincinnati</v>
      </c>
      <c r="Q3210" s="5" t="str">
        <f t="shared" si="7"/>
        <v>Ohio</v>
      </c>
      <c r="R3210" s="5" t="str">
        <f t="shared" si="8"/>
        <v>United States</v>
      </c>
    </row>
    <row r="3211">
      <c r="A3211" s="8" t="s">
        <v>2995</v>
      </c>
      <c r="B3211" s="5" t="s">
        <v>2993</v>
      </c>
      <c r="C3211" s="5" t="s">
        <v>2994</v>
      </c>
      <c r="D3211" s="6" t="s">
        <v>13</v>
      </c>
      <c r="E3211" s="5" t="s">
        <v>2991</v>
      </c>
      <c r="F3211" s="5" t="s">
        <v>268</v>
      </c>
      <c r="G3211" s="5" t="s">
        <v>377</v>
      </c>
      <c r="H3211" s="5" t="s">
        <v>378</v>
      </c>
      <c r="I3211" s="5" t="s">
        <v>18</v>
      </c>
      <c r="J3211" s="9" t="str">
        <f>IFERROR(__xludf.DUMMYFUNCTION("""COMPUTED_VALUE"""),"https://www.google.com/search?newwindow=1&amp;ei=2MT0XrvGGM-vytMP1OyDgAY&amp;q=site%3Alinkedin.com+Raymond+Reyes+Sr.+Campus+Recruiter+RSM+US+LLP")</f>
        <v>https://www.google.com/search?newwindow=1&amp;ei=2MT0XrvGGM-vytMP1OyDgAY&amp;q=site%3Alinkedin.com+Raymond+Reyes+Sr.+Campus+Recruiter+RSM+US+LLP</v>
      </c>
      <c r="K3211" s="5" t="str">
        <f t="shared" si="1"/>
        <v>Raymond Reyes</v>
      </c>
      <c r="L3211" s="5" t="str">
        <f t="shared" si="2"/>
        <v>Sr. Campus Recruiter</v>
      </c>
      <c r="M3211" s="5" t="str">
        <f t="shared" si="3"/>
        <v> </v>
      </c>
      <c r="N3211" s="5" t="str">
        <f t="shared" si="4"/>
        <v>RSM US LLP</v>
      </c>
      <c r="O3211" s="5" t="str">
        <f t="shared" si="5"/>
        <v>9 months in role and company</v>
      </c>
      <c r="P3211" s="5" t="str">
        <f t="shared" si="6"/>
        <v>Denver</v>
      </c>
      <c r="Q3211" s="5" t="str">
        <f t="shared" si="7"/>
        <v>Colorado</v>
      </c>
      <c r="R3211" s="5" t="str">
        <f t="shared" si="8"/>
        <v>United States</v>
      </c>
    </row>
    <row r="3212">
      <c r="A3212" s="7" t="s">
        <v>2997</v>
      </c>
      <c r="B3212" s="5" t="s">
        <v>2996</v>
      </c>
      <c r="C3212" s="5" t="s">
        <v>25</v>
      </c>
      <c r="D3212" s="6" t="s">
        <v>13</v>
      </c>
      <c r="E3212" s="5" t="s">
        <v>2991</v>
      </c>
      <c r="F3212" s="5" t="s">
        <v>165</v>
      </c>
      <c r="G3212" s="5" t="s">
        <v>377</v>
      </c>
      <c r="H3212" s="5" t="s">
        <v>378</v>
      </c>
      <c r="I3212" s="5" t="s">
        <v>18</v>
      </c>
      <c r="J3212" s="9" t="str">
        <f>IFERROR(__xludf.DUMMYFUNCTION("""COMPUTED_VALUE"""),"https://www.google.com/search?newwindow=1&amp;ei=2MT0XrvGGM-vytMP1OyDgAY&amp;q=site%3Alinkedin.com+Allison+Cenci+Campus+Recruiter+RSM+US+LLP")</f>
        <v>https://www.google.com/search?newwindow=1&amp;ei=2MT0XrvGGM-vytMP1OyDgAY&amp;q=site%3Alinkedin.com+Allison+Cenci+Campus+Recruiter+RSM+US+LLP</v>
      </c>
      <c r="K3212" s="5" t="str">
        <f t="shared" si="1"/>
        <v>Allison Cenci</v>
      </c>
      <c r="L3212" s="5" t="str">
        <f t="shared" si="2"/>
        <v>Campus Recruiter</v>
      </c>
      <c r="M3212" s="5" t="str">
        <f t="shared" si="3"/>
        <v> </v>
      </c>
      <c r="N3212" s="5" t="str">
        <f t="shared" si="4"/>
        <v>RSM US LLP</v>
      </c>
      <c r="O3212" s="5" t="str">
        <f t="shared" si="5"/>
        <v>12 years 4 months in role and company</v>
      </c>
      <c r="P3212" s="5" t="str">
        <f t="shared" si="6"/>
        <v>Greensboro</v>
      </c>
      <c r="Q3212" s="5" t="str">
        <f t="shared" si="7"/>
        <v>North Carolina</v>
      </c>
      <c r="R3212" s="5" t="str">
        <f t="shared" si="8"/>
        <v>United States</v>
      </c>
    </row>
    <row r="3213">
      <c r="A3213" s="8" t="s">
        <v>3000</v>
      </c>
      <c r="B3213" s="5" t="s">
        <v>2998</v>
      </c>
      <c r="C3213" s="5" t="s">
        <v>2999</v>
      </c>
      <c r="D3213" s="6" t="s">
        <v>13</v>
      </c>
      <c r="E3213" s="5" t="s">
        <v>2991</v>
      </c>
      <c r="F3213" s="5" t="s">
        <v>666</v>
      </c>
      <c r="G3213" s="5" t="s">
        <v>377</v>
      </c>
      <c r="H3213" s="5" t="s">
        <v>378</v>
      </c>
      <c r="I3213" s="5" t="s">
        <v>18</v>
      </c>
      <c r="J3213" s="9" t="str">
        <f>IFERROR(__xludf.DUMMYFUNCTION("""COMPUTED_VALUE"""),"https://www.google.com/search?newwindow=1&amp;ei=2MT0XrvGGM-vytMP1OyDgAY&amp;q=site%3Alinkedin.com+Makenzie+Kate+Kocurek+Campus+Recruiter+RSM+US+LLP")</f>
        <v>https://www.google.com/search?newwindow=1&amp;ei=2MT0XrvGGM-vytMP1OyDgAY&amp;q=site%3Alinkedin.com+Makenzie+Kate+Kocurek+Campus+Recruiter+RSM+US+LLP</v>
      </c>
      <c r="K3213" s="5" t="str">
        <f t="shared" si="1"/>
        <v>Makenzie Kate Kocurek</v>
      </c>
      <c r="L3213" s="5" t="str">
        <f t="shared" si="2"/>
        <v>Campus Recruiter</v>
      </c>
      <c r="M3213" s="5" t="str">
        <f t="shared" si="3"/>
        <v> </v>
      </c>
      <c r="N3213" s="5" t="str">
        <f t="shared" si="4"/>
        <v>RSM US LLP</v>
      </c>
      <c r="O3213" s="5" t="str">
        <f t="shared" si="5"/>
        <v>3 years  in role and company</v>
      </c>
      <c r="P3213" s="5" t="str">
        <f t="shared" si="6"/>
        <v>Houston</v>
      </c>
      <c r="Q3213" s="5" t="str">
        <f t="shared" si="7"/>
        <v>Texas</v>
      </c>
      <c r="R3213" s="5" t="str">
        <f t="shared" si="8"/>
        <v>United States</v>
      </c>
    </row>
    <row r="3214">
      <c r="A3214" s="7" t="s">
        <v>3003</v>
      </c>
      <c r="B3214" s="5" t="s">
        <v>3001</v>
      </c>
      <c r="C3214" s="5" t="s">
        <v>32</v>
      </c>
      <c r="D3214" s="6" t="s">
        <v>13</v>
      </c>
      <c r="E3214" s="5" t="s">
        <v>2991</v>
      </c>
      <c r="F3214" s="5" t="s">
        <v>3002</v>
      </c>
      <c r="G3214" s="5" t="s">
        <v>377</v>
      </c>
      <c r="H3214" s="5" t="s">
        <v>378</v>
      </c>
      <c r="I3214" s="5" t="s">
        <v>18</v>
      </c>
      <c r="J3214" s="9" t="str">
        <f>IFERROR(__xludf.DUMMYFUNCTION("""COMPUTED_VALUE"""),"https://www.google.com/search?newwindow=1&amp;ei=2MT0XrvGGM-vytMP1OyDgAY&amp;q=site%3Alinkedin.com+Erika+DiGuilio+Senior+Campus+Recruiter+RSM+US+LLP")</f>
        <v>https://www.google.com/search?newwindow=1&amp;ei=2MT0XrvGGM-vytMP1OyDgAY&amp;q=site%3Alinkedin.com+Erika+DiGuilio+Senior+Campus+Recruiter+RSM+US+LLP</v>
      </c>
      <c r="K3214" s="5" t="str">
        <f t="shared" si="1"/>
        <v>Erika DiGuilio</v>
      </c>
      <c r="L3214" s="5" t="str">
        <f t="shared" si="2"/>
        <v>Senior Campus Recruiter</v>
      </c>
      <c r="M3214" s="5" t="str">
        <f t="shared" si="3"/>
        <v> </v>
      </c>
      <c r="N3214" s="5" t="str">
        <f t="shared" si="4"/>
        <v>RSM US LLP</v>
      </c>
      <c r="O3214" s="5" t="str">
        <f t="shared" si="5"/>
        <v>1 year 4 months in role and company</v>
      </c>
      <c r="P3214" s="5" t="str">
        <f t="shared" si="6"/>
        <v>Indianapolis</v>
      </c>
      <c r="Q3214" s="5" t="str">
        <f t="shared" si="7"/>
        <v>Indiana</v>
      </c>
      <c r="R3214" s="5" t="str">
        <f t="shared" si="8"/>
        <v>United States</v>
      </c>
    </row>
    <row r="3215">
      <c r="A3215" s="7" t="s">
        <v>3005</v>
      </c>
      <c r="B3215" s="5" t="s">
        <v>3004</v>
      </c>
      <c r="C3215" s="5" t="s">
        <v>32</v>
      </c>
      <c r="D3215" s="6" t="s">
        <v>13</v>
      </c>
      <c r="E3215" s="5" t="s">
        <v>2991</v>
      </c>
      <c r="F3215" s="5" t="s">
        <v>94</v>
      </c>
      <c r="G3215" s="5" t="s">
        <v>377</v>
      </c>
      <c r="H3215" s="5" t="s">
        <v>378</v>
      </c>
      <c r="I3215" s="5" t="s">
        <v>18</v>
      </c>
      <c r="J3215" s="9" t="str">
        <f>IFERROR(__xludf.DUMMYFUNCTION("""COMPUTED_VALUE"""),"https://www.google.com/search?newwindow=1&amp;ei=2MT0XrvGGM-vytMP1OyDgAY&amp;q=site%3Alinkedin.com+Shalyce+Adamson+Senior+Campus+Recruiter+RSM+US+LLP")</f>
        <v>https://www.google.com/search?newwindow=1&amp;ei=2MT0XrvGGM-vytMP1OyDgAY&amp;q=site%3Alinkedin.com+Shalyce+Adamson+Senior+Campus+Recruiter+RSM+US+LLP</v>
      </c>
      <c r="K3215" s="5" t="str">
        <f t="shared" si="1"/>
        <v>Shalyce Adamson</v>
      </c>
      <c r="L3215" s="5" t="str">
        <f t="shared" si="2"/>
        <v>Senior Campus Recruiter</v>
      </c>
      <c r="M3215" s="5" t="str">
        <f t="shared" si="3"/>
        <v> </v>
      </c>
      <c r="N3215" s="5" t="str">
        <f t="shared" si="4"/>
        <v>RSM US LLP</v>
      </c>
      <c r="O3215" s="5" t="str">
        <f t="shared" si="5"/>
        <v>1 year 1 month in role and company</v>
      </c>
      <c r="P3215" s="5" t="str">
        <f t="shared" si="6"/>
        <v>Lees Summit</v>
      </c>
      <c r="Q3215" s="5" t="str">
        <f t="shared" si="7"/>
        <v>Missouri</v>
      </c>
      <c r="R3215" s="5" t="str">
        <f t="shared" si="8"/>
        <v>United States</v>
      </c>
    </row>
    <row r="3216">
      <c r="A3216" s="7" t="s">
        <v>3007</v>
      </c>
      <c r="B3216" s="5" t="s">
        <v>3006</v>
      </c>
      <c r="C3216" s="5" t="s">
        <v>25</v>
      </c>
      <c r="D3216" s="6" t="s">
        <v>13</v>
      </c>
      <c r="E3216" s="5" t="s">
        <v>2991</v>
      </c>
      <c r="F3216" s="5" t="s">
        <v>29</v>
      </c>
      <c r="G3216" s="6" t="s">
        <v>377</v>
      </c>
      <c r="H3216" s="6" t="s">
        <v>378</v>
      </c>
      <c r="I3216" s="5" t="s">
        <v>18</v>
      </c>
      <c r="J3216" s="9" t="str">
        <f>IFERROR(__xludf.DUMMYFUNCTION("""COMPUTED_VALUE"""),"https://www.google.com/search?newwindow=1&amp;ei=2MT0XrvGGM-vytMP1OyDgAY&amp;q=site%3Alinkedin.com+Selam+Solomon+Senior+Campus+Recruiter+RSM+US+LLP")</f>
        <v>https://www.google.com/search?newwindow=1&amp;ei=2MT0XrvGGM-vytMP1OyDgAY&amp;q=site%3Alinkedin.com+Selam+Solomon+Senior+Campus+Recruiter+RSM+US+LLP</v>
      </c>
      <c r="K3216" s="5" t="str">
        <f t="shared" si="1"/>
        <v>Selam Solomon</v>
      </c>
      <c r="L3216" s="5" t="str">
        <f t="shared" si="2"/>
        <v>Senior Campus Recruiter</v>
      </c>
      <c r="M3216" s="5" t="str">
        <f t="shared" si="3"/>
        <v> </v>
      </c>
      <c r="N3216" s="5" t="str">
        <f t="shared" si="4"/>
        <v>RSM US LLP</v>
      </c>
      <c r="O3216" s="5" t="str">
        <f t="shared" si="5"/>
        <v>8 months in role and company</v>
      </c>
      <c r="P3216" s="5" t="str">
        <f t="shared" si="6"/>
        <v>Los Angeles</v>
      </c>
      <c r="Q3216" s="5" t="str">
        <f t="shared" si="7"/>
        <v>California</v>
      </c>
      <c r="R3216" s="5" t="str">
        <f t="shared" si="8"/>
        <v>United States</v>
      </c>
    </row>
    <row r="3217">
      <c r="A3217" s="8" t="s">
        <v>3009</v>
      </c>
      <c r="B3217" s="5" t="s">
        <v>3008</v>
      </c>
      <c r="C3217" s="5" t="s">
        <v>32</v>
      </c>
      <c r="D3217" s="6" t="s">
        <v>13</v>
      </c>
      <c r="E3217" s="5" t="s">
        <v>2991</v>
      </c>
      <c r="F3217" s="5" t="s">
        <v>192</v>
      </c>
      <c r="G3217" s="6" t="s">
        <v>377</v>
      </c>
      <c r="H3217" s="6" t="s">
        <v>378</v>
      </c>
      <c r="I3217" s="5" t="s">
        <v>18</v>
      </c>
      <c r="J3217" s="9" t="str">
        <f>IFERROR(__xludf.DUMMYFUNCTION("""COMPUTED_VALUE"""),"https://www.google.com/search?newwindow=1&amp;ei=2MT0XrvGGM-vytMP1OyDgAY&amp;q=site%3Alinkedin.com+Aviva+Werde+Senior+Campus+Recruiter+-+Talent+Acquisition,+Tax+++Audit+RSM+US+LLP")</f>
        <v>https://www.google.com/search?newwindow=1&amp;ei=2MT0XrvGGM-vytMP1OyDgAY&amp;q=site%3Alinkedin.com+Aviva+Werde+Senior+Campus+Recruiter+-+Talent+Acquisition,+Tax+++Audit+RSM+US+LLP</v>
      </c>
      <c r="K3217" s="5" t="str">
        <f t="shared" si="1"/>
        <v>Aviva Werde</v>
      </c>
      <c r="L3217" s="5" t="str">
        <f t="shared" si="2"/>
        <v>Senior Campus Recruiter - Talent Acquisition, Tax + Audit</v>
      </c>
      <c r="M3217" s="5" t="str">
        <f t="shared" si="3"/>
        <v> </v>
      </c>
      <c r="N3217" s="5" t="str">
        <f t="shared" si="4"/>
        <v>RSM US LLP</v>
      </c>
      <c r="O3217" s="5" t="str">
        <f t="shared" si="5"/>
        <v>1 year 11 months in role and company</v>
      </c>
      <c r="P3217" s="5" t="str">
        <f t="shared" si="6"/>
        <v>Miami</v>
      </c>
      <c r="Q3217" s="5" t="str">
        <f t="shared" si="7"/>
        <v>Florida</v>
      </c>
      <c r="R3217" s="5" t="str">
        <f t="shared" si="8"/>
        <v>United States</v>
      </c>
    </row>
    <row r="3218">
      <c r="A3218" s="7" t="s">
        <v>3012</v>
      </c>
      <c r="B3218" s="5" t="s">
        <v>3010</v>
      </c>
      <c r="C3218" s="5" t="s">
        <v>3011</v>
      </c>
      <c r="D3218" s="6" t="s">
        <v>13</v>
      </c>
      <c r="E3218" s="5" t="s">
        <v>2991</v>
      </c>
      <c r="F3218" s="5" t="s">
        <v>351</v>
      </c>
      <c r="G3218" s="6" t="s">
        <v>377</v>
      </c>
      <c r="H3218" s="6" t="s">
        <v>378</v>
      </c>
      <c r="I3218" s="5" t="s">
        <v>18</v>
      </c>
      <c r="J3218" s="9" t="str">
        <f>IFERROR(__xludf.DUMMYFUNCTION("""COMPUTED_VALUE"""),"https://www.google.com/search?newwindow=1&amp;ei=2MT0XrvGGM-vytMP1OyDgAY&amp;q=site%3Alinkedin.com+Jenny+Wild+Senior+Campus+Recruiter+RSM+US+LLP")</f>
        <v>https://www.google.com/search?newwindow=1&amp;ei=2MT0XrvGGM-vytMP1OyDgAY&amp;q=site%3Alinkedin.com+Jenny+Wild+Senior+Campus+Recruiter+RSM+US+LLP</v>
      </c>
      <c r="K3218" s="5" t="str">
        <f t="shared" si="1"/>
        <v>Jenny Wild</v>
      </c>
      <c r="L3218" s="5" t="str">
        <f t="shared" si="2"/>
        <v>Senior Campus Recruiter</v>
      </c>
      <c r="M3218" s="5" t="str">
        <f t="shared" si="3"/>
        <v> </v>
      </c>
      <c r="N3218" s="5" t="str">
        <f t="shared" si="4"/>
        <v>RSM US LLP</v>
      </c>
      <c r="O3218" s="5" t="str">
        <f t="shared" si="5"/>
        <v>1 year 5 months in role and company</v>
      </c>
      <c r="P3218" s="5" t="str">
        <f t="shared" si="6"/>
        <v>Milwaukee</v>
      </c>
      <c r="Q3218" s="5" t="str">
        <f t="shared" si="7"/>
        <v>Wisconsin</v>
      </c>
      <c r="R3218" s="5" t="str">
        <f t="shared" si="8"/>
        <v>United States</v>
      </c>
    </row>
    <row r="3219">
      <c r="A3219" s="8" t="s">
        <v>3015</v>
      </c>
      <c r="B3219" s="5" t="s">
        <v>3013</v>
      </c>
      <c r="C3219" s="5" t="s">
        <v>3014</v>
      </c>
      <c r="D3219" s="6" t="s">
        <v>13</v>
      </c>
      <c r="E3219" s="5" t="s">
        <v>2991</v>
      </c>
      <c r="F3219" s="5" t="s">
        <v>257</v>
      </c>
      <c r="G3219" s="6" t="s">
        <v>64</v>
      </c>
      <c r="H3219" s="6" t="s">
        <v>65</v>
      </c>
      <c r="I3219" s="5" t="s">
        <v>18</v>
      </c>
      <c r="J3219" s="9" t="str">
        <f>IFERROR(__xludf.DUMMYFUNCTION("""COMPUTED_VALUE"""),"https://www.google.com/search?newwindow=1&amp;ei=2MT0XrvGGM-vytMP1OyDgAY&amp;q=site%3Alinkedin.com+Kelly+Briody+Talent+Acquisition-+Senior+Campus+Recruiter+RSM+US+LLP")</f>
        <v>https://www.google.com/search?newwindow=1&amp;ei=2MT0XrvGGM-vytMP1OyDgAY&amp;q=site%3Alinkedin.com+Kelly+Briody+Talent+Acquisition-+Senior+Campus+Recruiter+RSM+US+LLP</v>
      </c>
      <c r="K3219" s="5" t="str">
        <f t="shared" si="1"/>
        <v>Kelly Briody</v>
      </c>
      <c r="L3219" s="5" t="str">
        <f t="shared" si="2"/>
        <v>Talent Acquisition- Senior Campus Recruiter</v>
      </c>
      <c r="M3219" s="5" t="str">
        <f t="shared" si="3"/>
        <v> </v>
      </c>
      <c r="N3219" s="5" t="str">
        <f t="shared" si="4"/>
        <v>RSM US LLP</v>
      </c>
      <c r="O3219" s="5" t="str">
        <f t="shared" si="5"/>
        <v>1 year 4 months in role and company</v>
      </c>
      <c r="P3219" s="5" t="str">
        <f t="shared" si="6"/>
        <v>Minneapolis</v>
      </c>
      <c r="Q3219" s="5" t="str">
        <f t="shared" si="7"/>
        <v>Minnesota</v>
      </c>
      <c r="R3219" s="5" t="str">
        <f t="shared" si="8"/>
        <v>United States</v>
      </c>
    </row>
    <row r="3220">
      <c r="A3220" s="8" t="s">
        <v>3018</v>
      </c>
      <c r="B3220" s="5" t="s">
        <v>3016</v>
      </c>
      <c r="C3220" s="5" t="s">
        <v>3017</v>
      </c>
      <c r="D3220" s="6" t="s">
        <v>13</v>
      </c>
      <c r="E3220" s="5" t="s">
        <v>2991</v>
      </c>
      <c r="F3220" s="5" t="s">
        <v>958</v>
      </c>
      <c r="G3220" s="5" t="s">
        <v>1274</v>
      </c>
      <c r="H3220" s="5" t="s">
        <v>76</v>
      </c>
      <c r="I3220" s="5" t="s">
        <v>18</v>
      </c>
      <c r="J3220" s="9" t="str">
        <f>IFERROR(__xludf.DUMMYFUNCTION("""COMPUTED_VALUE"""),"https://www.google.com/search?newwindow=1&amp;ei=2MT0XrvGGM-vytMP1OyDgAY&amp;q=site%3Alinkedin.com+Deana+Welsch,+MSEd.+Talent+Acquisition+Manager+-+Campus+Recruiting+RSM+US+LLP")</f>
        <v>https://www.google.com/search?newwindow=1&amp;ei=2MT0XrvGGM-vytMP1OyDgAY&amp;q=site%3Alinkedin.com+Deana+Welsch,+MSEd.+Talent+Acquisition+Manager+-+Campus+Recruiting+RSM+US+LLP</v>
      </c>
      <c r="K3220" s="5" t="str">
        <f t="shared" si="1"/>
        <v>Deana Welsch, MSEd.</v>
      </c>
      <c r="L3220" s="5" t="str">
        <f t="shared" si="2"/>
        <v>Talent Acquisition Manager - Campus Recruiting</v>
      </c>
      <c r="M3220" s="5" t="str">
        <f t="shared" si="3"/>
        <v> </v>
      </c>
      <c r="N3220" s="5" t="str">
        <f t="shared" si="4"/>
        <v>RSM US LLP</v>
      </c>
      <c r="O3220" s="5" t="str">
        <f t="shared" si="5"/>
        <v>1 year 10 months in role and company</v>
      </c>
      <c r="P3220" s="5" t="str">
        <f t="shared" si="6"/>
        <v>New York</v>
      </c>
      <c r="Q3220" s="5" t="str">
        <f t="shared" si="7"/>
        <v>New York</v>
      </c>
      <c r="R3220" s="5" t="str">
        <f t="shared" si="8"/>
        <v>United States</v>
      </c>
    </row>
    <row r="3221">
      <c r="A3221" s="7" t="s">
        <v>3021</v>
      </c>
      <c r="B3221" s="5" t="s">
        <v>3019</v>
      </c>
      <c r="C3221" s="5" t="s">
        <v>3020</v>
      </c>
      <c r="D3221" s="6" t="s">
        <v>13</v>
      </c>
      <c r="E3221" s="5" t="s">
        <v>2991</v>
      </c>
      <c r="F3221" s="5" t="s">
        <v>257</v>
      </c>
      <c r="G3221" s="5" t="s">
        <v>80</v>
      </c>
      <c r="H3221" s="5" t="s">
        <v>38</v>
      </c>
      <c r="I3221" s="5" t="s">
        <v>18</v>
      </c>
      <c r="J3221" s="9" t="str">
        <f>IFERROR(__xludf.DUMMYFUNCTION("""COMPUTED_VALUE"""),"https://www.google.com/search?newwindow=1&amp;ei=2MT0XrvGGM-vytMP1OyDgAY&amp;q=site%3Alinkedin.com+Kasey+Noble+Campus+Recruiter,+Senior+Associate+RSM+US+LLP")</f>
        <v>https://www.google.com/search?newwindow=1&amp;ei=2MT0XrvGGM-vytMP1OyDgAY&amp;q=site%3Alinkedin.com+Kasey+Noble+Campus+Recruiter,+Senior+Associate+RSM+US+LLP</v>
      </c>
      <c r="K3221" s="5" t="str">
        <f t="shared" si="1"/>
        <v>Kasey Noble</v>
      </c>
      <c r="L3221" s="5" t="str">
        <f t="shared" si="2"/>
        <v>Campus Recruiter, Senior Associate</v>
      </c>
      <c r="M3221" s="5" t="str">
        <f t="shared" si="3"/>
        <v> </v>
      </c>
      <c r="N3221" s="5" t="str">
        <f t="shared" si="4"/>
        <v>RSM US LLP</v>
      </c>
      <c r="O3221" s="5" t="str">
        <f t="shared" si="5"/>
        <v>1 year 6 months in role</v>
      </c>
      <c r="P3221" s="5" t="str">
        <f t="shared" si="6"/>
        <v>Orange County</v>
      </c>
      <c r="Q3221" s="5" t="str">
        <f t="shared" si="7"/>
        <v>California</v>
      </c>
      <c r="R3221" s="5" t="str">
        <f t="shared" si="8"/>
        <v>United States</v>
      </c>
    </row>
    <row r="3222">
      <c r="A3222" s="7" t="s">
        <v>3023</v>
      </c>
      <c r="B3222" s="5" t="s">
        <v>1223</v>
      </c>
      <c r="C3222" s="5" t="s">
        <v>25</v>
      </c>
      <c r="D3222" s="6" t="s">
        <v>13</v>
      </c>
      <c r="E3222" s="5" t="s">
        <v>2991</v>
      </c>
      <c r="F3222" s="5" t="s">
        <v>3022</v>
      </c>
      <c r="G3222" s="5" t="s">
        <v>112</v>
      </c>
      <c r="H3222" s="5" t="s">
        <v>38</v>
      </c>
      <c r="I3222" s="5" t="s">
        <v>18</v>
      </c>
      <c r="J3222" s="9" t="str">
        <f>IFERROR(__xludf.DUMMYFUNCTION("""COMPUTED_VALUE"""),"https://www.google.com/search?newwindow=1&amp;ei=2MT0XrvGGM-vytMP1OyDgAY&amp;q=site%3Alinkedin.com+Meera+Desai+Senior+Campus+Recruiter+RSM+US+LLP")</f>
        <v>https://www.google.com/search?newwindow=1&amp;ei=2MT0XrvGGM-vytMP1OyDgAY&amp;q=site%3Alinkedin.com+Meera+Desai+Senior+Campus+Recruiter+RSM+US+LLP</v>
      </c>
      <c r="K3222" s="5" t="str">
        <f t="shared" si="1"/>
        <v>Meera Desai</v>
      </c>
      <c r="L3222" s="5" t="str">
        <f t="shared" si="2"/>
        <v>Senior Campus Recruiter</v>
      </c>
      <c r="M3222" s="5" t="str">
        <f t="shared" si="3"/>
        <v> </v>
      </c>
      <c r="N3222" s="5" t="str">
        <f t="shared" si="4"/>
        <v>RSM US LLP</v>
      </c>
      <c r="O3222" s="5" t="str">
        <f t="shared" si="5"/>
        <v>10 months in role and company</v>
      </c>
      <c r="P3222" s="5" t="str">
        <f t="shared" si="6"/>
        <v>Philadelphia</v>
      </c>
      <c r="Q3222" s="5" t="str">
        <f t="shared" si="7"/>
        <v>Pennsylvania</v>
      </c>
      <c r="R3222" s="5" t="str">
        <f t="shared" si="8"/>
        <v>United States</v>
      </c>
    </row>
    <row r="3223">
      <c r="A3223" s="8" t="s">
        <v>3025</v>
      </c>
      <c r="B3223" s="5" t="s">
        <v>3024</v>
      </c>
      <c r="C3223" s="5" t="s">
        <v>25</v>
      </c>
      <c r="D3223" s="6" t="s">
        <v>13</v>
      </c>
      <c r="E3223" s="5" t="s">
        <v>2991</v>
      </c>
      <c r="F3223" s="5" t="s">
        <v>15</v>
      </c>
      <c r="G3223" s="5" t="s">
        <v>112</v>
      </c>
      <c r="H3223" s="5" t="s">
        <v>38</v>
      </c>
      <c r="I3223" s="5" t="s">
        <v>18</v>
      </c>
      <c r="J3223" s="9" t="str">
        <f>IFERROR(__xludf.DUMMYFUNCTION("""COMPUTED_VALUE"""),"https://www.google.com/search?newwindow=1&amp;ei=2MT0XrvGGM-vytMP1OyDgAY&amp;q=site%3Alinkedin.com+Vivian+Chen+Senior+Campus+Recruiter+-+Audit+&amp;+Tax+RSM+US+LLP")</f>
        <v>https://www.google.com/search?newwindow=1&amp;ei=2MT0XrvGGM-vytMP1OyDgAY&amp;q=site%3Alinkedin.com+Vivian+Chen+Senior+Campus+Recruiter+-+Audit+&amp;+Tax+RSM+US+LLP</v>
      </c>
      <c r="K3223" s="5" t="str">
        <f t="shared" si="1"/>
        <v>Vivian Chen</v>
      </c>
      <c r="L3223" s="5" t="str">
        <f t="shared" si="2"/>
        <v>Senior Campus Recruiter - Audit &amp; Tax</v>
      </c>
      <c r="M3223" s="5" t="str">
        <f t="shared" si="3"/>
        <v> </v>
      </c>
      <c r="N3223" s="5" t="str">
        <f t="shared" si="4"/>
        <v>RSM US LLP</v>
      </c>
      <c r="O3223" s="5" t="str">
        <f t="shared" si="5"/>
        <v>1 year 2 months in role and company</v>
      </c>
      <c r="P3223" s="5" t="str">
        <f t="shared" si="6"/>
        <v>Plano</v>
      </c>
      <c r="Q3223" s="5" t="str">
        <f t="shared" si="7"/>
        <v>Texas</v>
      </c>
      <c r="R3223" s="5" t="str">
        <f t="shared" si="8"/>
        <v>United States</v>
      </c>
    </row>
    <row r="3224">
      <c r="A3224" s="8" t="s">
        <v>3027</v>
      </c>
      <c r="B3224" s="5" t="s">
        <v>3026</v>
      </c>
      <c r="C3224" s="5" t="s">
        <v>2155</v>
      </c>
      <c r="D3224" s="6" t="s">
        <v>13</v>
      </c>
      <c r="E3224" s="5" t="s">
        <v>2991</v>
      </c>
      <c r="F3224" s="5" t="s">
        <v>1629</v>
      </c>
      <c r="G3224" s="5" t="s">
        <v>122</v>
      </c>
      <c r="H3224" s="5" t="s">
        <v>44</v>
      </c>
      <c r="I3224" s="5" t="s">
        <v>18</v>
      </c>
      <c r="J3224" s="9" t="str">
        <f>IFERROR(__xludf.DUMMYFUNCTION("""COMPUTED_VALUE"""),"https://www.google.com/search?newwindow=1&amp;ei=2MT0XrvGGM-vytMP1OyDgAY&amp;q=site%3Alinkedin.com+Nicolo+Enriquez+Campus+Recruiter+RSM+US+LLP")</f>
        <v>https://www.google.com/search?newwindow=1&amp;ei=2MT0XrvGGM-vytMP1OyDgAY&amp;q=site%3Alinkedin.com+Nicolo+Enriquez+Campus+Recruiter+RSM+US+LLP</v>
      </c>
      <c r="K3224" s="5" t="str">
        <f t="shared" si="1"/>
        <v>Nicolo Enriquez</v>
      </c>
      <c r="L3224" s="5" t="str">
        <f t="shared" si="2"/>
        <v>Campus Recruiter</v>
      </c>
      <c r="M3224" s="5" t="str">
        <f t="shared" si="3"/>
        <v> </v>
      </c>
      <c r="N3224" s="5" t="str">
        <f t="shared" si="4"/>
        <v>RSM US LLP</v>
      </c>
      <c r="O3224" s="5" t="str">
        <f t="shared" si="5"/>
        <v>1 year 3 months in role and company</v>
      </c>
      <c r="P3224" s="5" t="str">
        <f t="shared" si="6"/>
        <v>San Francisco</v>
      </c>
      <c r="Q3224" s="5" t="str">
        <f t="shared" si="7"/>
        <v>California</v>
      </c>
      <c r="R3224" s="5" t="str">
        <f t="shared" si="8"/>
        <v>United States</v>
      </c>
    </row>
    <row r="3225">
      <c r="A3225" s="7" t="s">
        <v>3029</v>
      </c>
      <c r="B3225" s="5" t="s">
        <v>3028</v>
      </c>
      <c r="C3225" s="5" t="s">
        <v>32</v>
      </c>
      <c r="D3225" s="6" t="s">
        <v>13</v>
      </c>
      <c r="E3225" s="5" t="s">
        <v>2991</v>
      </c>
      <c r="F3225" s="5" t="s">
        <v>53</v>
      </c>
      <c r="G3225" s="5" t="s">
        <v>122</v>
      </c>
      <c r="H3225" s="5" t="s">
        <v>44</v>
      </c>
      <c r="I3225" s="5" t="s">
        <v>18</v>
      </c>
      <c r="J3225" s="9" t="str">
        <f>IFERROR(__xludf.DUMMYFUNCTION("""COMPUTED_VALUE"""),"https://www.google.com/search?newwindow=1&amp;ei=2MT0XrvGGM-vytMP1OyDgAY&amp;q=site%3Alinkedin.com+Alexandra+Shillinglaw+Senior+Campus+Recruiter+RSM+US+LLP")</f>
        <v>https://www.google.com/search?newwindow=1&amp;ei=2MT0XrvGGM-vytMP1OyDgAY&amp;q=site%3Alinkedin.com+Alexandra+Shillinglaw+Senior+Campus+Recruiter+RSM+US+LLP</v>
      </c>
      <c r="K3225" s="5" t="str">
        <f t="shared" si="1"/>
        <v>Alexandra Shillinglaw</v>
      </c>
      <c r="L3225" s="5" t="str">
        <f t="shared" si="2"/>
        <v>Senior Campus Recruiter</v>
      </c>
      <c r="M3225" s="5" t="str">
        <f t="shared" si="3"/>
        <v> </v>
      </c>
      <c r="N3225" s="5" t="str">
        <f t="shared" si="4"/>
        <v>RSM US LLP</v>
      </c>
      <c r="O3225" s="5" t="str">
        <f t="shared" si="5"/>
        <v>4 years 3 months in role and company</v>
      </c>
      <c r="P3225" s="5" t="str">
        <f t="shared" si="6"/>
        <v>Tampa</v>
      </c>
      <c r="Q3225" s="5" t="str">
        <f t="shared" si="7"/>
        <v>Florida</v>
      </c>
      <c r="R3225" s="5" t="str">
        <f t="shared" si="8"/>
        <v>United States</v>
      </c>
    </row>
    <row r="3226">
      <c r="A3226" s="7" t="s">
        <v>3029</v>
      </c>
      <c r="B3226" s="5" t="s">
        <v>3028</v>
      </c>
      <c r="C3226" s="5" t="s">
        <v>32</v>
      </c>
      <c r="D3226" s="6" t="s">
        <v>13</v>
      </c>
      <c r="E3226" s="5" t="s">
        <v>2991</v>
      </c>
      <c r="F3226" s="5" t="s">
        <v>53</v>
      </c>
      <c r="G3226" s="5" t="s">
        <v>122</v>
      </c>
      <c r="H3226" s="5" t="s">
        <v>44</v>
      </c>
      <c r="I3226" s="5" t="s">
        <v>18</v>
      </c>
      <c r="J3226" s="9" t="str">
        <f>IFERROR(__xludf.DUMMYFUNCTION("""COMPUTED_VALUE"""),"https://www.google.com/search?newwindow=1&amp;ei=2MT0XrvGGM-vytMP1OyDgAY&amp;q=site%3Alinkedin.com+Sean+Callahan-Dinish+Senior+University+Recruiter+Salesforce")</f>
        <v>https://www.google.com/search?newwindow=1&amp;ei=2MT0XrvGGM-vytMP1OyDgAY&amp;q=site%3Alinkedin.com+Sean+Callahan-Dinish+Senior+University+Recruiter+Salesforce</v>
      </c>
      <c r="K3226" s="5" t="str">
        <f t="shared" si="1"/>
        <v>Sean Callahan-Dinish</v>
      </c>
      <c r="L3226" s="5" t="str">
        <f t="shared" si="2"/>
        <v>Senior University Recruiter</v>
      </c>
      <c r="M3226" s="5" t="str">
        <f t="shared" si="3"/>
        <v> </v>
      </c>
      <c r="N3226" s="5" t="str">
        <f t="shared" si="4"/>
        <v>Salesforce</v>
      </c>
      <c r="O3226" s="5" t="str">
        <f t="shared" si="5"/>
        <v>10 months in role and company</v>
      </c>
      <c r="P3226" s="5" t="str">
        <f t="shared" si="6"/>
        <v>Atlanta</v>
      </c>
      <c r="Q3226" s="5" t="str">
        <f t="shared" si="7"/>
        <v>Georgia</v>
      </c>
      <c r="R3226" s="5" t="str">
        <f t="shared" si="8"/>
        <v>United States</v>
      </c>
    </row>
    <row r="3227">
      <c r="A3227" s="8" t="s">
        <v>3033</v>
      </c>
      <c r="B3227" s="5" t="s">
        <v>3030</v>
      </c>
      <c r="C3227" s="5" t="s">
        <v>3031</v>
      </c>
      <c r="D3227" s="6" t="s">
        <v>13</v>
      </c>
      <c r="E3227" s="5" t="s">
        <v>2991</v>
      </c>
      <c r="F3227" s="5" t="s">
        <v>213</v>
      </c>
      <c r="G3227" s="5" t="s">
        <v>3032</v>
      </c>
      <c r="H3227" s="5" t="s">
        <v>378</v>
      </c>
      <c r="I3227" s="5" t="s">
        <v>18</v>
      </c>
      <c r="J3227" s="9" t="str">
        <f>IFERROR(__xludf.DUMMYFUNCTION("""COMPUTED_VALUE"""),"https://www.google.com/search?newwindow=1&amp;ei=2MT0XrvGGM-vytMP1OyDgAY&amp;q=site%3Alinkedin.com+Sarah+Reid+Senior+University+Tech+Recruiter,+Futureforce+Salesforce")</f>
        <v>https://www.google.com/search?newwindow=1&amp;ei=2MT0XrvGGM-vytMP1OyDgAY&amp;q=site%3Alinkedin.com+Sarah+Reid+Senior+University+Tech+Recruiter,+Futureforce+Salesforce</v>
      </c>
      <c r="K3227" s="5" t="str">
        <f t="shared" si="1"/>
        <v>Sarah Reid</v>
      </c>
      <c r="L3227" s="5" t="str">
        <f t="shared" si="2"/>
        <v>Senior University Tech Recruiter, Futureforce</v>
      </c>
      <c r="M3227" s="5" t="str">
        <f t="shared" si="3"/>
        <v> </v>
      </c>
      <c r="N3227" s="5" t="str">
        <f t="shared" si="4"/>
        <v>Salesforce</v>
      </c>
      <c r="O3227" s="5" t="str">
        <f t="shared" si="5"/>
        <v>10 months in role and company</v>
      </c>
      <c r="P3227" s="5" t="str">
        <f t="shared" si="6"/>
        <v>Atlanta</v>
      </c>
      <c r="Q3227" s="5" t="str">
        <f t="shared" si="7"/>
        <v>Georgia</v>
      </c>
      <c r="R3227" s="5" t="str">
        <f t="shared" si="8"/>
        <v>United States</v>
      </c>
    </row>
    <row r="3228">
      <c r="A3228" s="7" t="s">
        <v>3035</v>
      </c>
      <c r="B3228" s="5" t="s">
        <v>3034</v>
      </c>
      <c r="C3228" s="5" t="s">
        <v>25</v>
      </c>
      <c r="D3228" s="6" t="s">
        <v>13</v>
      </c>
      <c r="E3228" s="5" t="s">
        <v>2991</v>
      </c>
      <c r="F3228" s="5" t="s">
        <v>217</v>
      </c>
      <c r="G3228" s="5" t="s">
        <v>1852</v>
      </c>
      <c r="H3228" s="5" t="s">
        <v>38</v>
      </c>
      <c r="I3228" s="5" t="s">
        <v>18</v>
      </c>
      <c r="J3228" s="9" t="str">
        <f>IFERROR(__xludf.DUMMYFUNCTION("""COMPUTED_VALUE"""),"https://www.google.com/search?newwindow=1&amp;ei=2MT0XrvGGM-vytMP1OyDgAY&amp;q=site%3Alinkedin.com+Ben+Amerault+Senior+Campus+Recruiting+Talent+Scout+[Recruiter]+Salesforce")</f>
        <v>https://www.google.com/search?newwindow=1&amp;ei=2MT0XrvGGM-vytMP1OyDgAY&amp;q=site%3Alinkedin.com+Ben+Amerault+Senior+Campus+Recruiting+Talent+Scout+[Recruiter]+Salesforce</v>
      </c>
      <c r="K3228" s="5" t="str">
        <f t="shared" si="1"/>
        <v>Ben Amerault</v>
      </c>
      <c r="L3228" s="5" t="str">
        <f t="shared" si="2"/>
        <v>Senior Campus Recruiting Talent Scout [Recruiter]</v>
      </c>
      <c r="M3228" s="5" t="str">
        <f t="shared" si="3"/>
        <v> </v>
      </c>
      <c r="N3228" s="5" t="str">
        <f t="shared" si="4"/>
        <v>Salesforce</v>
      </c>
      <c r="O3228" s="5" t="str">
        <f t="shared" si="5"/>
        <v>10 months in role</v>
      </c>
      <c r="P3228" s="5" t="str">
        <f t="shared" si="6"/>
        <v>Boston</v>
      </c>
      <c r="Q3228" s="5" t="str">
        <f t="shared" si="7"/>
        <v>Massachusetts</v>
      </c>
      <c r="R3228" s="5" t="str">
        <f t="shared" si="8"/>
        <v>United States</v>
      </c>
    </row>
    <row r="3229">
      <c r="A3229" s="7" t="s">
        <v>3039</v>
      </c>
      <c r="B3229" s="5" t="s">
        <v>3036</v>
      </c>
      <c r="C3229" s="5" t="s">
        <v>371</v>
      </c>
      <c r="D3229" s="6" t="s">
        <v>13</v>
      </c>
      <c r="E3229" s="5" t="s">
        <v>2991</v>
      </c>
      <c r="F3229" s="5" t="s">
        <v>523</v>
      </c>
      <c r="G3229" s="5" t="s">
        <v>3037</v>
      </c>
      <c r="H3229" s="5" t="s">
        <v>3038</v>
      </c>
      <c r="I3229" s="5" t="s">
        <v>18</v>
      </c>
      <c r="J3229" s="9" t="str">
        <f>IFERROR(__xludf.DUMMYFUNCTION("""COMPUTED_VALUE"""),"https://www.google.com/search?newwindow=1&amp;ei=2MT0XrvGGM-vytMP1OyDgAY&amp;q=site%3Alinkedin.com+Bobby+Nerbonne+University+Recruiter+(Futureforce)+Salesforce")</f>
        <v>https://www.google.com/search?newwindow=1&amp;ei=2MT0XrvGGM-vytMP1OyDgAY&amp;q=site%3Alinkedin.com+Bobby+Nerbonne+University+Recruiter+(Futureforce)+Salesforce</v>
      </c>
      <c r="K3229" s="5" t="str">
        <f t="shared" si="1"/>
        <v>Bobby Nerbonne</v>
      </c>
      <c r="L3229" s="5" t="str">
        <f t="shared" si="2"/>
        <v>University Recruiter (Futureforce)</v>
      </c>
      <c r="M3229" s="5" t="str">
        <f t="shared" si="3"/>
        <v> </v>
      </c>
      <c r="N3229" s="5" t="str">
        <f t="shared" si="4"/>
        <v>Salesforce</v>
      </c>
      <c r="O3229" s="5" t="str">
        <f t="shared" si="5"/>
        <v>1 year 8 months in role and company</v>
      </c>
      <c r="P3229" s="5" t="str">
        <f t="shared" si="6"/>
        <v>Boston</v>
      </c>
      <c r="Q3229" s="5" t="str">
        <f t="shared" si="7"/>
        <v>Massachusetts</v>
      </c>
      <c r="R3229" s="5" t="str">
        <f t="shared" si="8"/>
        <v>United States</v>
      </c>
    </row>
    <row r="3230">
      <c r="A3230" s="7" t="s">
        <v>3041</v>
      </c>
      <c r="B3230" s="5" t="s">
        <v>3040</v>
      </c>
      <c r="C3230" s="5" t="s">
        <v>361</v>
      </c>
      <c r="D3230" s="6" t="s">
        <v>13</v>
      </c>
      <c r="E3230" s="5" t="s">
        <v>2991</v>
      </c>
      <c r="F3230" s="5" t="s">
        <v>1300</v>
      </c>
      <c r="G3230" s="5" t="s">
        <v>3037</v>
      </c>
      <c r="H3230" s="5" t="s">
        <v>3038</v>
      </c>
      <c r="I3230" s="5" t="s">
        <v>18</v>
      </c>
      <c r="J3230" s="9" t="str">
        <f>IFERROR(__xludf.DUMMYFUNCTION("""COMPUTED_VALUE"""),"https://www.google.com/search?newwindow=1&amp;ei=2MT0XrvGGM-vytMP1OyDgAY&amp;q=site%3Alinkedin.com+Katherine+Schwartz+Farah+Senior+Recruiter+Salesforce")</f>
        <v>https://www.google.com/search?newwindow=1&amp;ei=2MT0XrvGGM-vytMP1OyDgAY&amp;q=site%3Alinkedin.com+Katherine+Schwartz+Farah+Senior+Recruiter+Salesforce</v>
      </c>
      <c r="K3230" s="5" t="str">
        <f t="shared" si="1"/>
        <v>Katherine Schwartz Farah</v>
      </c>
      <c r="L3230" s="5" t="str">
        <f t="shared" si="2"/>
        <v>Senior Recruiter</v>
      </c>
      <c r="M3230" s="5" t="str">
        <f t="shared" si="3"/>
        <v> </v>
      </c>
      <c r="N3230" s="5" t="str">
        <f t="shared" si="4"/>
        <v>Salesforce</v>
      </c>
      <c r="O3230" s="5" t="str">
        <f t="shared" si="5"/>
        <v>1 year 10 months in role</v>
      </c>
      <c r="P3230" s="5" t="str">
        <f t="shared" si="6"/>
        <v>Concord</v>
      </c>
      <c r="Q3230" s="5" t="str">
        <f t="shared" si="7"/>
        <v>California</v>
      </c>
      <c r="R3230" s="5" t="str">
        <f t="shared" si="8"/>
        <v>United States</v>
      </c>
    </row>
    <row r="3231">
      <c r="A3231" s="7" t="s">
        <v>3043</v>
      </c>
      <c r="B3231" s="5" t="s">
        <v>3042</v>
      </c>
      <c r="C3231" s="5" t="s">
        <v>32</v>
      </c>
      <c r="D3231" s="6" t="s">
        <v>13</v>
      </c>
      <c r="E3231" s="5" t="s">
        <v>2991</v>
      </c>
      <c r="F3231" s="5" t="s">
        <v>523</v>
      </c>
      <c r="G3231" s="5" t="s">
        <v>3037</v>
      </c>
      <c r="H3231" s="5" t="s">
        <v>3038</v>
      </c>
      <c r="I3231" s="5" t="s">
        <v>18</v>
      </c>
      <c r="J3231" s="9" t="str">
        <f>IFERROR(__xludf.DUMMYFUNCTION("""COMPUTED_VALUE"""),"https://www.google.com/search?newwindow=1&amp;ei=2MT0XrvGGM-vytMP1OyDgAY&amp;q=site%3Alinkedin.com+Kaitlyn+Partridge+Senior+Technical+Recruiter,+Futureforce+University+Recruiting+Salesforce")</f>
        <v>https://www.google.com/search?newwindow=1&amp;ei=2MT0XrvGGM-vytMP1OyDgAY&amp;q=site%3Alinkedin.com+Kaitlyn+Partridge+Senior+Technical+Recruiter,+Futureforce+University+Recruiting+Salesforce</v>
      </c>
      <c r="K3231" s="5" t="str">
        <f t="shared" si="1"/>
        <v>Kaitlyn Partridge</v>
      </c>
      <c r="L3231" s="5" t="str">
        <f t="shared" si="2"/>
        <v>Senior Technical Recruiter, Futureforce University Recruiting</v>
      </c>
      <c r="M3231" s="5" t="str">
        <f t="shared" si="3"/>
        <v> </v>
      </c>
      <c r="N3231" s="5" t="str">
        <f t="shared" si="4"/>
        <v>Salesforce</v>
      </c>
      <c r="O3231" s="5" t="str">
        <f t="shared" si="5"/>
        <v>9 months in role</v>
      </c>
      <c r="P3231" s="5" t="str">
        <f t="shared" si="6"/>
        <v>Dallas</v>
      </c>
      <c r="Q3231" s="5" t="str">
        <f t="shared" si="7"/>
        <v>Texas</v>
      </c>
      <c r="R3231" s="5" t="str">
        <f t="shared" si="8"/>
        <v>United States</v>
      </c>
    </row>
    <row r="3232">
      <c r="A3232" s="7" t="s">
        <v>3046</v>
      </c>
      <c r="B3232" s="5" t="s">
        <v>3044</v>
      </c>
      <c r="C3232" s="5" t="s">
        <v>25</v>
      </c>
      <c r="D3232" s="6" t="s">
        <v>13</v>
      </c>
      <c r="E3232" s="5" t="s">
        <v>2991</v>
      </c>
      <c r="F3232" s="5" t="s">
        <v>36</v>
      </c>
      <c r="G3232" s="5" t="s">
        <v>3045</v>
      </c>
      <c r="H3232" s="5" t="s">
        <v>378</v>
      </c>
      <c r="I3232" s="5" t="s">
        <v>18</v>
      </c>
      <c r="J3232" s="9" t="str">
        <f>IFERROR(__xludf.DUMMYFUNCTION("""COMPUTED_VALUE"""),"https://www.google.com/search?newwindow=1&amp;ei=2MT0XrvGGM-vytMP1OyDgAY&amp;q=site%3Alinkedin.com+Emily+Shockley+Senior+University+Recruiter+Salesforce")</f>
        <v>https://www.google.com/search?newwindow=1&amp;ei=2MT0XrvGGM-vytMP1OyDgAY&amp;q=site%3Alinkedin.com+Emily+Shockley+Senior+University+Recruiter+Salesforce</v>
      </c>
      <c r="K3232" s="5" t="str">
        <f t="shared" si="1"/>
        <v>Emily Shockley</v>
      </c>
      <c r="L3232" s="5" t="str">
        <f t="shared" si="2"/>
        <v>Senior University Recruiter</v>
      </c>
      <c r="M3232" s="5" t="str">
        <f t="shared" si="3"/>
        <v> </v>
      </c>
      <c r="N3232" s="5" t="str">
        <f t="shared" si="4"/>
        <v>Salesforce</v>
      </c>
      <c r="O3232" s="5" t="str">
        <f t="shared" si="5"/>
        <v>4 years  in role</v>
      </c>
      <c r="P3232" s="5" t="str">
        <f t="shared" si="6"/>
        <v>Indianapolis</v>
      </c>
      <c r="Q3232" s="5" t="str">
        <f t="shared" si="7"/>
        <v>Indiana</v>
      </c>
      <c r="R3232" s="5" t="str">
        <f t="shared" si="8"/>
        <v>United States</v>
      </c>
    </row>
    <row r="3233">
      <c r="A3233" s="7" t="s">
        <v>3049</v>
      </c>
      <c r="B3233" s="5" t="s">
        <v>3047</v>
      </c>
      <c r="C3233" s="5" t="s">
        <v>25</v>
      </c>
      <c r="D3233" s="6" t="s">
        <v>13</v>
      </c>
      <c r="E3233" s="5" t="s">
        <v>2991</v>
      </c>
      <c r="F3233" s="5" t="s">
        <v>121</v>
      </c>
      <c r="G3233" s="5" t="s">
        <v>3048</v>
      </c>
      <c r="H3233" s="5" t="s">
        <v>378</v>
      </c>
      <c r="I3233" s="5" t="s">
        <v>18</v>
      </c>
      <c r="J3233" s="9" t="str">
        <f>IFERROR(__xludf.DUMMYFUNCTION("""COMPUTED_VALUE"""),"https://www.google.com/search?newwindow=1&amp;ei=2MT0XrvGGM-vytMP1OyDgAY&amp;q=site%3Alinkedin.com+Stacy+Schall+Senior+University+Recruiter+-+Futureforce+Salesforce")</f>
        <v>https://www.google.com/search?newwindow=1&amp;ei=2MT0XrvGGM-vytMP1OyDgAY&amp;q=site%3Alinkedin.com+Stacy+Schall+Senior+University+Recruiter+-+Futureforce+Salesforce</v>
      </c>
      <c r="K3233" s="5" t="str">
        <f t="shared" si="1"/>
        <v>Stacy Schall</v>
      </c>
      <c r="L3233" s="5" t="str">
        <f t="shared" si="2"/>
        <v>Senior University Recruiter - Futureforce</v>
      </c>
      <c r="M3233" s="5" t="str">
        <f t="shared" si="3"/>
        <v> </v>
      </c>
      <c r="N3233" s="5" t="str">
        <f t="shared" si="4"/>
        <v>Salesforce</v>
      </c>
      <c r="O3233" s="5" t="str">
        <f t="shared" si="5"/>
        <v>1 year 3 months in role and company</v>
      </c>
      <c r="P3233" s="5" t="str">
        <f t="shared" si="6"/>
        <v>Seattle</v>
      </c>
      <c r="Q3233" s="5" t="str">
        <f t="shared" si="7"/>
        <v>Washington</v>
      </c>
      <c r="R3233" s="5" t="str">
        <f t="shared" si="8"/>
        <v>United States</v>
      </c>
    </row>
    <row r="3234">
      <c r="A3234" s="8" t="s">
        <v>3052</v>
      </c>
      <c r="B3234" s="5" t="s">
        <v>3050</v>
      </c>
      <c r="C3234" s="5" t="s">
        <v>3051</v>
      </c>
      <c r="D3234" s="6" t="s">
        <v>13</v>
      </c>
      <c r="E3234" s="5" t="s">
        <v>2991</v>
      </c>
      <c r="F3234" s="5" t="s">
        <v>365</v>
      </c>
      <c r="G3234" s="5" t="s">
        <v>3048</v>
      </c>
      <c r="H3234" s="5" t="s">
        <v>378</v>
      </c>
      <c r="I3234" s="5" t="s">
        <v>18</v>
      </c>
      <c r="J3234" s="9" t="str">
        <f>IFERROR(__xludf.DUMMYFUNCTION("""COMPUTED_VALUE"""),"https://www.google.com/search?newwindow=1&amp;ei=2MT0XrvGGM-vytMP1OyDgAY&amp;q=site%3Alinkedin.com+Molly+M.+Holt+University+Recruiter+(Talent+Scout)+-+Futureforce+Salesforce")</f>
        <v>https://www.google.com/search?newwindow=1&amp;ei=2MT0XrvGGM-vytMP1OyDgAY&amp;q=site%3Alinkedin.com+Molly+M.+Holt+University+Recruiter+(Talent+Scout)+-+Futureforce+Salesforce</v>
      </c>
      <c r="K3234" s="5" t="str">
        <f t="shared" si="1"/>
        <v>Molly M. Holt</v>
      </c>
      <c r="L3234" s="5" t="str">
        <f t="shared" si="2"/>
        <v>University Recruiter (Talent Scout) - Futureforce</v>
      </c>
      <c r="M3234" s="5" t="str">
        <f t="shared" si="3"/>
        <v> </v>
      </c>
      <c r="N3234" s="5" t="str">
        <f t="shared" si="4"/>
        <v>Salesforce</v>
      </c>
      <c r="O3234" s="5" t="str">
        <f t="shared" si="5"/>
        <v>1 year 3 months in role and company</v>
      </c>
      <c r="P3234" s="5" t="str">
        <f t="shared" si="6"/>
        <v>Seattle</v>
      </c>
      <c r="Q3234" s="5" t="str">
        <f t="shared" si="7"/>
        <v>Washington</v>
      </c>
      <c r="R3234" s="5" t="str">
        <f t="shared" si="8"/>
        <v>United States</v>
      </c>
    </row>
    <row r="3235">
      <c r="A3235" s="7" t="s">
        <v>3005</v>
      </c>
      <c r="B3235" s="5" t="s">
        <v>3004</v>
      </c>
      <c r="C3235" s="5" t="s">
        <v>32</v>
      </c>
      <c r="D3235" s="6" t="s">
        <v>13</v>
      </c>
      <c r="E3235" s="5" t="s">
        <v>2991</v>
      </c>
      <c r="G3235" s="5" t="s">
        <v>3053</v>
      </c>
      <c r="H3235" s="5" t="s">
        <v>378</v>
      </c>
      <c r="I3235" s="5" t="s">
        <v>18</v>
      </c>
      <c r="J3235" s="9" t="str">
        <f>IFERROR(__xludf.DUMMYFUNCTION("""COMPUTED_VALUE"""),"https://www.google.com/search?newwindow=1&amp;ei=2MT0XrvGGM-vytMP1OyDgAY&amp;q=site%3Alinkedin.com+Eric+Mata+University+Recruiter+Sanofi")</f>
        <v>https://www.google.com/search?newwindow=1&amp;ei=2MT0XrvGGM-vytMP1OyDgAY&amp;q=site%3Alinkedin.com+Eric+Mata+University+Recruiter+Sanofi</v>
      </c>
      <c r="K3235" s="5" t="str">
        <f t="shared" si="1"/>
        <v>Eric Mata</v>
      </c>
      <c r="L3235" s="5" t="str">
        <f t="shared" si="2"/>
        <v>University Recruiter</v>
      </c>
      <c r="M3235" s="5" t="str">
        <f t="shared" si="3"/>
        <v> </v>
      </c>
      <c r="N3235" s="5" t="str">
        <f t="shared" si="4"/>
        <v>Sanofi</v>
      </c>
      <c r="O3235" s="5" t="str">
        <f t="shared" si="5"/>
        <v>11 months in role</v>
      </c>
      <c r="P3235" s="5" t="str">
        <f t="shared" si="6"/>
        <v>Milwaukee</v>
      </c>
      <c r="Q3235" s="5" t="str">
        <f t="shared" si="7"/>
        <v>Wisconsin</v>
      </c>
      <c r="R3235" s="5" t="str">
        <f t="shared" si="8"/>
        <v>United States</v>
      </c>
    </row>
    <row r="3236">
      <c r="A3236" s="7" t="s">
        <v>3056</v>
      </c>
      <c r="B3236" s="5" t="s">
        <v>3054</v>
      </c>
      <c r="C3236" s="5" t="s">
        <v>32</v>
      </c>
      <c r="D3236" s="6" t="s">
        <v>13</v>
      </c>
      <c r="E3236" s="5" t="s">
        <v>3055</v>
      </c>
      <c r="F3236" s="5" t="s">
        <v>1637</v>
      </c>
      <c r="G3236" s="5" t="s">
        <v>1353</v>
      </c>
      <c r="H3236" s="5" t="s">
        <v>1354</v>
      </c>
      <c r="I3236" s="5" t="s">
        <v>18</v>
      </c>
      <c r="J3236" s="9" t="str">
        <f>IFERROR(__xludf.DUMMYFUNCTION("""COMPUTED_VALUE"""),"https://www.google.com/search?newwindow=1&amp;ei=2MT0XrvGGM-vytMP1OyDgAY&amp;q=site%3Alinkedin.com+Jennifer+Bassett-Abel+University+Recruiter+Sanofi")</f>
        <v>https://www.google.com/search?newwindow=1&amp;ei=2MT0XrvGGM-vytMP1OyDgAY&amp;q=site%3Alinkedin.com+Jennifer+Bassett-Abel+University+Recruiter+Sanofi</v>
      </c>
      <c r="K3236" s="5" t="str">
        <f t="shared" si="1"/>
        <v>Jennifer Bassett-Abel</v>
      </c>
      <c r="L3236" s="5" t="str">
        <f t="shared" si="2"/>
        <v>University Recruiter</v>
      </c>
      <c r="M3236" s="5" t="str">
        <f t="shared" si="3"/>
        <v> </v>
      </c>
      <c r="N3236" s="5" t="str">
        <f t="shared" si="4"/>
        <v>Sanofi</v>
      </c>
      <c r="O3236" s="5" t="str">
        <f t="shared" si="5"/>
        <v>1 year 7 months in role and company</v>
      </c>
      <c r="P3236" s="5" t="str">
        <f t="shared" si="6"/>
        <v>Pittsburgh</v>
      </c>
      <c r="Q3236" s="5" t="str">
        <f t="shared" si="7"/>
        <v>Pennsylvania</v>
      </c>
      <c r="R3236" s="5" t="str">
        <f t="shared" si="8"/>
        <v>United States</v>
      </c>
    </row>
    <row r="3237">
      <c r="A3237" s="8" t="s">
        <v>3059</v>
      </c>
      <c r="B3237" s="5" t="s">
        <v>3057</v>
      </c>
      <c r="C3237" s="5" t="s">
        <v>3058</v>
      </c>
      <c r="D3237" s="6" t="s">
        <v>13</v>
      </c>
      <c r="E3237" s="5" t="s">
        <v>3055</v>
      </c>
      <c r="F3237" s="5" t="s">
        <v>694</v>
      </c>
      <c r="G3237" s="5" t="s">
        <v>166</v>
      </c>
      <c r="H3237" s="5" t="s">
        <v>44</v>
      </c>
      <c r="I3237" s="5" t="s">
        <v>18</v>
      </c>
      <c r="J3237" s="9" t="str">
        <f>IFERROR(__xludf.DUMMYFUNCTION("""COMPUTED_VALUE"""),"https://www.google.com/search?newwindow=1&amp;ei=2MT0XrvGGM-vytMP1OyDgAY&amp;q=site%3Alinkedin.com+Jermel+Green+University+Recruiter+SAP")</f>
        <v>https://www.google.com/search?newwindow=1&amp;ei=2MT0XrvGGM-vytMP1OyDgAY&amp;q=site%3Alinkedin.com+Jermel+Green+University+Recruiter+SAP</v>
      </c>
      <c r="K3237" s="5" t="str">
        <f t="shared" si="1"/>
        <v>Jermel Green</v>
      </c>
      <c r="L3237" s="5" t="str">
        <f t="shared" si="2"/>
        <v>University Recruiter</v>
      </c>
      <c r="M3237" s="5" t="str">
        <f t="shared" si="3"/>
        <v> </v>
      </c>
      <c r="N3237" s="5" t="str">
        <f t="shared" si="4"/>
        <v>SAP</v>
      </c>
      <c r="O3237" s="5" t="str">
        <f t="shared" si="5"/>
        <v>8 months in role and company</v>
      </c>
      <c r="P3237" s="5" t="str">
        <f t="shared" si="6"/>
        <v>Elkins Park</v>
      </c>
      <c r="Q3237" s="5" t="str">
        <f t="shared" si="7"/>
        <v>Pennsylvania</v>
      </c>
      <c r="R3237" s="5" t="str">
        <f t="shared" si="8"/>
        <v>United States</v>
      </c>
    </row>
    <row r="3238">
      <c r="A3238" s="7" t="s">
        <v>3061</v>
      </c>
      <c r="B3238" s="5" t="s">
        <v>3060</v>
      </c>
      <c r="C3238" s="5" t="s">
        <v>25</v>
      </c>
      <c r="D3238" s="6" t="s">
        <v>13</v>
      </c>
      <c r="E3238" s="5" t="s">
        <v>3055</v>
      </c>
      <c r="F3238" s="5" t="s">
        <v>144</v>
      </c>
      <c r="G3238" s="5" t="s">
        <v>166</v>
      </c>
      <c r="H3238" s="5" t="s">
        <v>44</v>
      </c>
      <c r="I3238" s="5" t="s">
        <v>18</v>
      </c>
      <c r="J3238" s="9" t="str">
        <f>IFERROR(__xludf.DUMMYFUNCTION("""COMPUTED_VALUE"""),"https://www.google.com/search?newwindow=1&amp;ei=2MT0XrvGGM-vytMP1OyDgAY&amp;q=site%3Alinkedin.com+Brianne+Sullivan+University+&amp;+Diversity+Recruiter+SAP")</f>
        <v>https://www.google.com/search?newwindow=1&amp;ei=2MT0XrvGGM-vytMP1OyDgAY&amp;q=site%3Alinkedin.com+Brianne+Sullivan+University+&amp;+Diversity+Recruiter+SAP</v>
      </c>
      <c r="K3238" s="5" t="str">
        <f t="shared" si="1"/>
        <v>Brianne Sullivan</v>
      </c>
      <c r="L3238" s="5" t="str">
        <f t="shared" si="2"/>
        <v>University &amp; Diversity Recruiter</v>
      </c>
      <c r="M3238" s="5" t="str">
        <f t="shared" si="3"/>
        <v> </v>
      </c>
      <c r="N3238" s="5" t="str">
        <f t="shared" si="4"/>
        <v>SAP</v>
      </c>
      <c r="O3238" s="5" t="str">
        <f t="shared" si="5"/>
        <v/>
      </c>
      <c r="P3238" s="5" t="str">
        <f t="shared" si="6"/>
        <v>Springfield Township</v>
      </c>
      <c r="Q3238" s="5" t="str">
        <f t="shared" si="7"/>
        <v>Pennsylvania</v>
      </c>
      <c r="R3238" s="5" t="str">
        <f t="shared" si="8"/>
        <v>United States</v>
      </c>
    </row>
    <row r="3239">
      <c r="A3239" s="7" t="s">
        <v>3064</v>
      </c>
      <c r="B3239" s="5" t="s">
        <v>3062</v>
      </c>
      <c r="C3239" s="5" t="s">
        <v>3063</v>
      </c>
      <c r="D3239" s="6" t="s">
        <v>13</v>
      </c>
      <c r="E3239" s="5" t="s">
        <v>3055</v>
      </c>
      <c r="F3239" s="5" t="s">
        <v>36</v>
      </c>
      <c r="G3239" s="5" t="s">
        <v>166</v>
      </c>
      <c r="H3239" s="5" t="s">
        <v>44</v>
      </c>
      <c r="I3239" s="5" t="s">
        <v>18</v>
      </c>
      <c r="J3239" s="9" t="str">
        <f>IFERROR(__xludf.DUMMYFUNCTION("""COMPUTED_VALUE"""),"https://www.google.com/search?newwindow=1&amp;ei=2MT0XrvGGM-vytMP1OyDgAY&amp;q=site%3Alinkedin.com+Leigh+Desai+University+Recruiter+SAP+Concur")</f>
        <v>https://www.google.com/search?newwindow=1&amp;ei=2MT0XrvGGM-vytMP1OyDgAY&amp;q=site%3Alinkedin.com+Leigh+Desai+University+Recruiter+SAP+Concur</v>
      </c>
      <c r="K3239" s="5" t="str">
        <f t="shared" si="1"/>
        <v>Leigh Desai</v>
      </c>
      <c r="L3239" s="5" t="str">
        <f t="shared" si="2"/>
        <v>University Recruiter</v>
      </c>
      <c r="M3239" s="5" t="str">
        <f t="shared" si="3"/>
        <v> </v>
      </c>
      <c r="N3239" s="5" t="str">
        <f t="shared" si="4"/>
        <v>SAP</v>
      </c>
      <c r="O3239" s="5" t="str">
        <f t="shared" si="5"/>
        <v>2 years 9 months in role and company</v>
      </c>
      <c r="P3239" s="5" t="str">
        <f t="shared" si="6"/>
        <v>Austin</v>
      </c>
      <c r="Q3239" s="5" t="str">
        <f t="shared" si="7"/>
        <v>Texas</v>
      </c>
      <c r="R3239" s="5" t="str">
        <f t="shared" si="8"/>
        <v>United States</v>
      </c>
    </row>
    <row r="3240">
      <c r="A3240" s="8" t="s">
        <v>3067</v>
      </c>
      <c r="B3240" s="5" t="s">
        <v>3065</v>
      </c>
      <c r="C3240" s="5" t="s">
        <v>3066</v>
      </c>
      <c r="D3240" s="6" t="s">
        <v>13</v>
      </c>
      <c r="E3240" s="5" t="s">
        <v>3055</v>
      </c>
      <c r="F3240" s="5" t="s">
        <v>283</v>
      </c>
      <c r="G3240" s="5" t="s">
        <v>166</v>
      </c>
      <c r="H3240" s="5" t="s">
        <v>44</v>
      </c>
      <c r="I3240" s="5" t="s">
        <v>18</v>
      </c>
      <c r="J3240" s="9" t="str">
        <f>IFERROR(__xludf.DUMMYFUNCTION("""COMPUTED_VALUE"""),"https://www.google.com/search?newwindow=1&amp;ei=2MT0XrvGGM-vytMP1OyDgAY&amp;q=site%3Alinkedin.com+Juliana+Oliver+SAP+University+Recruiter+&amp;+iXp+Program+Partner+SAP+Concur")</f>
        <v>https://www.google.com/search?newwindow=1&amp;ei=2MT0XrvGGM-vytMP1OyDgAY&amp;q=site%3Alinkedin.com+Juliana+Oliver+SAP+University+Recruiter+&amp;+iXp+Program+Partner+SAP+Concur</v>
      </c>
      <c r="K3240" s="5" t="str">
        <f t="shared" si="1"/>
        <v>Juliana Oliver</v>
      </c>
      <c r="L3240" s="5" t="str">
        <f t="shared" si="2"/>
        <v>SAP University Recruiter &amp; iXp Program Partner</v>
      </c>
      <c r="M3240" s="5" t="str">
        <f t="shared" si="3"/>
        <v> </v>
      </c>
      <c r="N3240" s="5" t="str">
        <f t="shared" si="4"/>
        <v>SAP</v>
      </c>
      <c r="O3240" s="5" t="str">
        <f t="shared" si="5"/>
        <v>7 months in role and company</v>
      </c>
      <c r="P3240" s="5" t="str">
        <f t="shared" si="6"/>
        <v>Palo Alto</v>
      </c>
      <c r="Q3240" s="5" t="str">
        <f t="shared" si="7"/>
        <v>California</v>
      </c>
      <c r="R3240" s="5" t="str">
        <f t="shared" si="8"/>
        <v>United States</v>
      </c>
    </row>
    <row r="3241">
      <c r="A3241" s="8" t="s">
        <v>3070</v>
      </c>
      <c r="B3241" s="5" t="s">
        <v>3068</v>
      </c>
      <c r="C3241" s="5" t="s">
        <v>3069</v>
      </c>
      <c r="D3241" s="6" t="s">
        <v>13</v>
      </c>
      <c r="E3241" s="5" t="s">
        <v>3055</v>
      </c>
      <c r="F3241" s="5" t="s">
        <v>188</v>
      </c>
      <c r="G3241" s="5" t="s">
        <v>166</v>
      </c>
      <c r="H3241" s="5" t="s">
        <v>44</v>
      </c>
      <c r="I3241" s="5" t="s">
        <v>18</v>
      </c>
      <c r="J3241" s="9" t="str">
        <f>IFERROR(__xludf.DUMMYFUNCTION("""COMPUTED_VALUE"""),"https://www.google.com/search?newwindow=1&amp;ei=2MT0XrvGGM-vytMP1OyDgAY&amp;q=site%3Alinkedin.com+Madison+Cooley+SAP+iXp+University+Recruiter+SAP+Concur")</f>
        <v>https://www.google.com/search?newwindow=1&amp;ei=2MT0XrvGGM-vytMP1OyDgAY&amp;q=site%3Alinkedin.com+Madison+Cooley+SAP+iXp+University+Recruiter+SAP+Concur</v>
      </c>
      <c r="K3241" s="5" t="str">
        <f t="shared" si="1"/>
        <v>Madison Cooley</v>
      </c>
      <c r="L3241" s="5" t="str">
        <f t="shared" si="2"/>
        <v>SAP iXp University Recruiter</v>
      </c>
      <c r="M3241" s="5" t="str">
        <f t="shared" si="3"/>
        <v> </v>
      </c>
      <c r="N3241" s="5" t="str">
        <f t="shared" si="4"/>
        <v>SAP</v>
      </c>
      <c r="O3241" s="5" t="str">
        <f t="shared" si="5"/>
        <v>2 years 10 months in role and company</v>
      </c>
      <c r="P3241" s="5" t="str">
        <f t="shared" si="6"/>
        <v>Seattle</v>
      </c>
      <c r="Q3241" s="5" t="str">
        <f t="shared" si="7"/>
        <v>Washington</v>
      </c>
      <c r="R3241" s="5" t="str">
        <f t="shared" si="8"/>
        <v>United States</v>
      </c>
    </row>
    <row r="3242">
      <c r="A3242" s="8" t="s">
        <v>3073</v>
      </c>
      <c r="B3242" s="5" t="s">
        <v>3071</v>
      </c>
      <c r="C3242" s="5" t="s">
        <v>3072</v>
      </c>
      <c r="D3242" s="6" t="s">
        <v>13</v>
      </c>
      <c r="E3242" s="5" t="s">
        <v>3055</v>
      </c>
      <c r="F3242" s="5" t="s">
        <v>822</v>
      </c>
      <c r="G3242" s="5" t="s">
        <v>166</v>
      </c>
      <c r="H3242" s="5" t="s">
        <v>44</v>
      </c>
      <c r="I3242" s="5" t="s">
        <v>18</v>
      </c>
      <c r="J3242" s="9" t="str">
        <f>IFERROR(__xludf.DUMMYFUNCTION("""COMPUTED_VALUE"""),"https://www.google.com/search?newwindow=1&amp;ei=2MT0XrvGGM-vytMP1OyDgAY&amp;q=site%3Alinkedin.com+Lindsay+Whitfield+University+Recruiter+SAS")</f>
        <v>https://www.google.com/search?newwindow=1&amp;ei=2MT0XrvGGM-vytMP1OyDgAY&amp;q=site%3Alinkedin.com+Lindsay+Whitfield+University+Recruiter+SAS</v>
      </c>
      <c r="K3242" s="5" t="str">
        <f t="shared" si="1"/>
        <v>Lindsay Whitfield</v>
      </c>
      <c r="L3242" s="5" t="str">
        <f t="shared" si="2"/>
        <v>University Recruiter</v>
      </c>
      <c r="M3242" s="5" t="str">
        <f t="shared" si="3"/>
        <v> </v>
      </c>
      <c r="N3242" s="5" t="str">
        <f t="shared" si="4"/>
        <v>SAS</v>
      </c>
      <c r="O3242" s="5" t="str">
        <f t="shared" si="5"/>
        <v>5 years 3 months in role and company</v>
      </c>
      <c r="P3242" s="5" t="str">
        <f t="shared" si="6"/>
        <v>Cary</v>
      </c>
      <c r="Q3242" s="5" t="str">
        <f t="shared" si="7"/>
        <v>North Carolina</v>
      </c>
      <c r="R3242" s="5" t="str">
        <f t="shared" si="8"/>
        <v>United States</v>
      </c>
    </row>
    <row r="3243">
      <c r="A3243" s="7" t="s">
        <v>3075</v>
      </c>
      <c r="B3243" s="5" t="s">
        <v>3074</v>
      </c>
      <c r="C3243" s="5" t="s">
        <v>25</v>
      </c>
      <c r="D3243" s="6" t="s">
        <v>13</v>
      </c>
      <c r="E3243" s="5" t="s">
        <v>3055</v>
      </c>
      <c r="F3243" s="5" t="s">
        <v>121</v>
      </c>
      <c r="G3243" s="5" t="s">
        <v>166</v>
      </c>
      <c r="H3243" s="5" t="s">
        <v>44</v>
      </c>
      <c r="I3243" s="5" t="s">
        <v>18</v>
      </c>
      <c r="J3243" s="9" t="str">
        <f>IFERROR(__xludf.DUMMYFUNCTION("""COMPUTED_VALUE"""),"https://www.google.com/search?newwindow=1&amp;ei=2MT0XrvGGM-vytMP1OyDgAY&amp;q=site%3Alinkedin.com+Travis+Knapp+Sr.+Associate+University+Recruiter+SAS")</f>
        <v>https://www.google.com/search?newwindow=1&amp;ei=2MT0XrvGGM-vytMP1OyDgAY&amp;q=site%3Alinkedin.com+Travis+Knapp+Sr.+Associate+University+Recruiter+SAS</v>
      </c>
      <c r="K3243" s="5" t="str">
        <f t="shared" si="1"/>
        <v>Travis Knapp</v>
      </c>
      <c r="L3243" s="5" t="str">
        <f t="shared" si="2"/>
        <v>Sr. Associate University Recruiter</v>
      </c>
      <c r="M3243" s="5" t="str">
        <f t="shared" si="3"/>
        <v> </v>
      </c>
      <c r="N3243" s="5" t="str">
        <f t="shared" si="4"/>
        <v>SAS</v>
      </c>
      <c r="O3243" s="5" t="str">
        <f t="shared" si="5"/>
        <v>3 years  in role and company</v>
      </c>
      <c r="P3243" s="5" t="str">
        <f t="shared" si="6"/>
        <v>Cary</v>
      </c>
      <c r="Q3243" s="5" t="str">
        <f t="shared" si="7"/>
        <v>North Carolina</v>
      </c>
      <c r="R3243" s="5" t="str">
        <f t="shared" si="8"/>
        <v>United States</v>
      </c>
    </row>
    <row r="3244">
      <c r="A3244" s="7" t="s">
        <v>3077</v>
      </c>
      <c r="B3244" s="5" t="s">
        <v>3071</v>
      </c>
      <c r="C3244" s="5" t="s">
        <v>3076</v>
      </c>
      <c r="D3244" s="6" t="s">
        <v>13</v>
      </c>
      <c r="E3244" s="5" t="s">
        <v>3055</v>
      </c>
      <c r="F3244" s="5" t="s">
        <v>36</v>
      </c>
      <c r="G3244" s="5" t="s">
        <v>166</v>
      </c>
      <c r="H3244" s="5" t="s">
        <v>44</v>
      </c>
      <c r="I3244" s="5" t="s">
        <v>18</v>
      </c>
      <c r="J3244" s="9" t="str">
        <f>IFERROR(__xludf.DUMMYFUNCTION("""COMPUTED_VALUE"""),"https://www.google.com/search?newwindow=1&amp;ei=2MT0XrvGGM-vytMP1OyDgAY&amp;q=site%3Alinkedin.com+Jennifer+Bufalini+Senior+Recruiter+Shell")</f>
        <v>https://www.google.com/search?newwindow=1&amp;ei=2MT0XrvGGM-vytMP1OyDgAY&amp;q=site%3Alinkedin.com+Jennifer+Bufalini+Senior+Recruiter+Shell</v>
      </c>
      <c r="K3244" s="5" t="str">
        <f t="shared" si="1"/>
        <v>Jennifer Bufalini</v>
      </c>
      <c r="L3244" s="5" t="str">
        <f t="shared" si="2"/>
        <v>Senior Recruiter</v>
      </c>
      <c r="M3244" s="5" t="str">
        <f t="shared" si="3"/>
        <v> </v>
      </c>
      <c r="N3244" s="5" t="str">
        <f t="shared" si="4"/>
        <v>Shell</v>
      </c>
      <c r="O3244" s="5" t="str">
        <f t="shared" si="5"/>
        <v>2 years 7 months in role</v>
      </c>
      <c r="P3244" s="5" t="str">
        <f t="shared" si="6"/>
        <v>Grand Rapids</v>
      </c>
      <c r="Q3244" s="5" t="str">
        <f t="shared" si="7"/>
        <v>Michigan</v>
      </c>
      <c r="R3244" s="5" t="str">
        <f t="shared" si="8"/>
        <v>United States</v>
      </c>
    </row>
    <row r="3245">
      <c r="A3245" s="7" t="s">
        <v>3079</v>
      </c>
      <c r="B3245" s="5" t="s">
        <v>3078</v>
      </c>
      <c r="C3245" s="5" t="s">
        <v>25</v>
      </c>
      <c r="D3245" s="6" t="s">
        <v>13</v>
      </c>
      <c r="E3245" s="5" t="s">
        <v>3055</v>
      </c>
      <c r="F3245" s="5" t="s">
        <v>182</v>
      </c>
      <c r="G3245" s="5" t="s">
        <v>166</v>
      </c>
      <c r="H3245" s="5" t="s">
        <v>44</v>
      </c>
      <c r="I3245" s="5" t="s">
        <v>18</v>
      </c>
      <c r="J3245" s="9" t="str">
        <f>IFERROR(__xludf.DUMMYFUNCTION("""COMPUTED_VALUE"""),"https://www.google.com/search?newwindow=1&amp;ei=2MT0XrvGGM-vytMP1OyDgAY&amp;q=site%3Alinkedin.com+Leandra+Grant,+MBA+Lead+Procurement+Manager+Shell")</f>
        <v>https://www.google.com/search?newwindow=1&amp;ei=2MT0XrvGGM-vytMP1OyDgAY&amp;q=site%3Alinkedin.com+Leandra+Grant,+MBA+Lead+Procurement+Manager+Shell</v>
      </c>
      <c r="K3245" s="5" t="str">
        <f t="shared" si="1"/>
        <v>Leandra Grant, MBA</v>
      </c>
      <c r="L3245" s="5" t="str">
        <f t="shared" si="2"/>
        <v>Lead Procurement Manager</v>
      </c>
      <c r="M3245" s="5" t="str">
        <f t="shared" si="3"/>
        <v> </v>
      </c>
      <c r="N3245" s="5" t="str">
        <f t="shared" si="4"/>
        <v>Shell</v>
      </c>
      <c r="O3245" s="5" t="str">
        <f t="shared" si="5"/>
        <v>6 months in role</v>
      </c>
      <c r="P3245" s="5" t="str">
        <f t="shared" si="6"/>
        <v>Houston</v>
      </c>
      <c r="Q3245" s="5" t="str">
        <f t="shared" si="7"/>
        <v>Texas</v>
      </c>
      <c r="R3245" s="5" t="str">
        <f t="shared" si="8"/>
        <v>United States</v>
      </c>
    </row>
    <row r="3246">
      <c r="A3246" s="7" t="s">
        <v>3082</v>
      </c>
      <c r="B3246" s="5" t="s">
        <v>3080</v>
      </c>
      <c r="C3246" s="5" t="s">
        <v>3081</v>
      </c>
      <c r="D3246" s="6" t="s">
        <v>13</v>
      </c>
      <c r="E3246" s="5" t="s">
        <v>3055</v>
      </c>
      <c r="F3246" s="5" t="s">
        <v>890</v>
      </c>
      <c r="G3246" s="5" t="s">
        <v>166</v>
      </c>
      <c r="H3246" s="5" t="s">
        <v>44</v>
      </c>
      <c r="I3246" s="5" t="s">
        <v>18</v>
      </c>
      <c r="J3246" s="9" t="str">
        <f>IFERROR(__xludf.DUMMYFUNCTION("""COMPUTED_VALUE"""),"https://www.google.com/search?newwindow=1&amp;ei=2MT0XrvGGM-vytMP1OyDgAY&amp;q=site%3Alinkedin.com+Andrea+McDade+University+Recruiter+Shell")</f>
        <v>https://www.google.com/search?newwindow=1&amp;ei=2MT0XrvGGM-vytMP1OyDgAY&amp;q=site%3Alinkedin.com+Andrea+McDade+University+Recruiter+Shell</v>
      </c>
      <c r="K3246" s="5" t="str">
        <f t="shared" si="1"/>
        <v>Andrea McDade</v>
      </c>
      <c r="L3246" s="5" t="str">
        <f t="shared" si="2"/>
        <v>University Recruiter</v>
      </c>
      <c r="M3246" s="5" t="str">
        <f t="shared" si="3"/>
        <v> </v>
      </c>
      <c r="N3246" s="5" t="str">
        <f t="shared" si="4"/>
        <v>Shell</v>
      </c>
      <c r="O3246" s="5" t="str">
        <f t="shared" si="5"/>
        <v/>
      </c>
      <c r="P3246" s="5" t="str">
        <f t="shared" si="6"/>
        <v>Houston</v>
      </c>
      <c r="Q3246" s="5" t="str">
        <f t="shared" si="7"/>
        <v>Texas</v>
      </c>
      <c r="R3246" s="5" t="str">
        <f t="shared" si="8"/>
        <v>United States</v>
      </c>
    </row>
    <row r="3247">
      <c r="A3247" s="8" t="s">
        <v>3085</v>
      </c>
      <c r="B3247" s="5" t="s">
        <v>3083</v>
      </c>
      <c r="C3247" s="5" t="s">
        <v>3084</v>
      </c>
      <c r="D3247" s="6" t="s">
        <v>13</v>
      </c>
      <c r="E3247" s="5" t="s">
        <v>3055</v>
      </c>
      <c r="F3247" s="5" t="s">
        <v>890</v>
      </c>
      <c r="G3247" s="5" t="s">
        <v>169</v>
      </c>
      <c r="H3247" s="5" t="s">
        <v>44</v>
      </c>
      <c r="I3247" s="5" t="s">
        <v>18</v>
      </c>
      <c r="J3247" s="9" t="str">
        <f>IFERROR(__xludf.DUMMYFUNCTION("""COMPUTED_VALUE"""),"https://www.google.com/search?newwindow=1&amp;ei=2MT0XrvGGM-vytMP1OyDgAY&amp;q=site%3Alinkedin.com+Candice+Mitchell,+MBA,+SHRM-CP+University+Recruiter+Shell")</f>
        <v>https://www.google.com/search?newwindow=1&amp;ei=2MT0XrvGGM-vytMP1OyDgAY&amp;q=site%3Alinkedin.com+Candice+Mitchell,+MBA,+SHRM-CP+University+Recruiter+Shell</v>
      </c>
      <c r="K3247" s="5" t="str">
        <f t="shared" si="1"/>
        <v>Candice Mitchell, MBA, SHRM-CP</v>
      </c>
      <c r="L3247" s="5" t="str">
        <f t="shared" si="2"/>
        <v>University Recruiter</v>
      </c>
      <c r="M3247" s="5" t="str">
        <f t="shared" si="3"/>
        <v> </v>
      </c>
      <c r="N3247" s="5" t="str">
        <f t="shared" si="4"/>
        <v>Shell</v>
      </c>
      <c r="O3247" s="5" t="str">
        <f t="shared" si="5"/>
        <v>2 years 1 month in role and company</v>
      </c>
      <c r="P3247" s="5" t="str">
        <f t="shared" si="6"/>
        <v>Houston</v>
      </c>
      <c r="Q3247" s="5" t="str">
        <f t="shared" si="7"/>
        <v>Texas</v>
      </c>
      <c r="R3247" s="5" t="str">
        <f t="shared" si="8"/>
        <v>United States</v>
      </c>
    </row>
    <row r="3248">
      <c r="A3248" s="8" t="s">
        <v>3088</v>
      </c>
      <c r="B3248" s="5" t="s">
        <v>3086</v>
      </c>
      <c r="C3248" s="5" t="s">
        <v>3087</v>
      </c>
      <c r="D3248" s="6" t="s">
        <v>13</v>
      </c>
      <c r="E3248" s="5" t="s">
        <v>3055</v>
      </c>
      <c r="F3248" s="5" t="s">
        <v>1065</v>
      </c>
      <c r="G3248" s="5" t="s">
        <v>468</v>
      </c>
      <c r="H3248" s="5" t="s">
        <v>44</v>
      </c>
      <c r="I3248" s="5" t="s">
        <v>18</v>
      </c>
      <c r="J3248" s="9" t="str">
        <f>IFERROR(__xludf.DUMMYFUNCTION("""COMPUTED_VALUE"""),"https://www.google.com/search?newwindow=1&amp;ei=2MT0XrvGGM-vytMP1OyDgAY&amp;q=site%3Alinkedin.com+Mary+Slater+Business+Excellence+Manager,+Shell+TechWorks+Shell")</f>
        <v>https://www.google.com/search?newwindow=1&amp;ei=2MT0XrvGGM-vytMP1OyDgAY&amp;q=site%3Alinkedin.com+Mary+Slater+Business+Excellence+Manager,+Shell+TechWorks+Shell</v>
      </c>
      <c r="K3248" s="5" t="str">
        <f t="shared" si="1"/>
        <v>Mary Slater</v>
      </c>
      <c r="L3248" s="5" t="str">
        <f t="shared" si="2"/>
        <v>Business Excellence Manager, Shell TechWorks</v>
      </c>
      <c r="M3248" s="5" t="str">
        <f t="shared" si="3"/>
        <v> </v>
      </c>
      <c r="N3248" s="5" t="str">
        <f t="shared" si="4"/>
        <v>Shell</v>
      </c>
      <c r="O3248" s="5" t="str">
        <f t="shared" si="5"/>
        <v>11 months in role</v>
      </c>
      <c r="P3248" s="5" t="str">
        <f t="shared" si="6"/>
        <v>Houston</v>
      </c>
      <c r="Q3248" s="5" t="str">
        <f t="shared" si="7"/>
        <v>Texas</v>
      </c>
      <c r="R3248" s="5" t="str">
        <f t="shared" si="8"/>
        <v>United States</v>
      </c>
    </row>
    <row r="3249">
      <c r="A3249" s="7" t="s">
        <v>3091</v>
      </c>
      <c r="B3249" s="5" t="s">
        <v>3089</v>
      </c>
      <c r="C3249" s="5" t="s">
        <v>480</v>
      </c>
      <c r="D3249" s="6" t="s">
        <v>13</v>
      </c>
      <c r="E3249" s="5" t="s">
        <v>3090</v>
      </c>
      <c r="G3249" s="5" t="s">
        <v>229</v>
      </c>
      <c r="H3249" s="5" t="s">
        <v>86</v>
      </c>
      <c r="I3249" s="5" t="s">
        <v>18</v>
      </c>
      <c r="J3249" s="9" t="str">
        <f>IFERROR(__xludf.DUMMYFUNCTION("""COMPUTED_VALUE"""),"https://www.google.com/search?newwindow=1&amp;ei=2MT0XrvGGM-vytMP1OyDgAY&amp;q=site%3Alinkedin.com+Ralph+Faxel+Texas+A&amp;M+CHEN+Campus+Recruiter+Shell")</f>
        <v>https://www.google.com/search?newwindow=1&amp;ei=2MT0XrvGGM-vytMP1OyDgAY&amp;q=site%3Alinkedin.com+Ralph+Faxel+Texas+A&amp;M+CHEN+Campus+Recruiter+Shell</v>
      </c>
      <c r="K3249" s="5" t="str">
        <f t="shared" si="1"/>
        <v>Ralph Faxel</v>
      </c>
      <c r="L3249" s="5" t="str">
        <f t="shared" si="2"/>
        <v>Texas A&amp;M CHEN Campus Recruiter</v>
      </c>
      <c r="M3249" s="5" t="str">
        <f t="shared" si="3"/>
        <v> </v>
      </c>
      <c r="N3249" s="5" t="str">
        <f t="shared" si="4"/>
        <v>Shell</v>
      </c>
      <c r="O3249" s="5" t="str">
        <f t="shared" si="5"/>
        <v>19 years 3 months in role</v>
      </c>
      <c r="P3249" s="5" t="str">
        <f t="shared" si="6"/>
        <v>Houston</v>
      </c>
      <c r="Q3249" s="5" t="str">
        <f t="shared" si="7"/>
        <v>Texas</v>
      </c>
      <c r="R3249" s="5" t="str">
        <f t="shared" si="8"/>
        <v>United States</v>
      </c>
    </row>
    <row r="3250">
      <c r="A3250" s="7" t="s">
        <v>3093</v>
      </c>
      <c r="B3250" s="5" t="s">
        <v>3092</v>
      </c>
      <c r="C3250" s="5" t="s">
        <v>480</v>
      </c>
      <c r="D3250" s="6" t="s">
        <v>13</v>
      </c>
      <c r="E3250" s="5" t="s">
        <v>3090</v>
      </c>
      <c r="F3250" s="5" t="s">
        <v>192</v>
      </c>
      <c r="G3250" s="5" t="s">
        <v>1638</v>
      </c>
      <c r="H3250" s="5" t="s">
        <v>1639</v>
      </c>
      <c r="I3250" s="5" t="s">
        <v>18</v>
      </c>
      <c r="J3250" s="9" t="str">
        <f>IFERROR(__xludf.DUMMYFUNCTION("""COMPUTED_VALUE"""),"https://www.google.com/search?newwindow=1&amp;ei=2MT0XrvGGM-vytMP1OyDgAY&amp;q=site%3Alinkedin.com+Briana+Raasio+MBA,+PMP+College+Recruiter+Siemens")</f>
        <v>https://www.google.com/search?newwindow=1&amp;ei=2MT0XrvGGM-vytMP1OyDgAY&amp;q=site%3Alinkedin.com+Briana+Raasio+MBA,+PMP+College+Recruiter+Siemens</v>
      </c>
      <c r="K3250" s="5" t="str">
        <f t="shared" si="1"/>
        <v>Briana Raasio MBA, PMP</v>
      </c>
      <c r="L3250" s="5" t="str">
        <f t="shared" si="2"/>
        <v>College Recruiter</v>
      </c>
      <c r="M3250" s="5" t="str">
        <f t="shared" si="3"/>
        <v> </v>
      </c>
      <c r="N3250" s="5" t="str">
        <f t="shared" si="4"/>
        <v>Siemens</v>
      </c>
      <c r="O3250" s="5" t="str">
        <f t="shared" si="5"/>
        <v>3 years 10 months in role</v>
      </c>
      <c r="P3250" s="5" t="str">
        <f t="shared" si="6"/>
        <v>Grand Rapids</v>
      </c>
      <c r="Q3250" s="5" t="str">
        <f t="shared" si="7"/>
        <v>Michigan</v>
      </c>
      <c r="R3250" s="5" t="str">
        <f t="shared" si="8"/>
        <v>United States</v>
      </c>
    </row>
    <row r="3251">
      <c r="A3251" s="7" t="s">
        <v>3096</v>
      </c>
      <c r="B3251" s="5" t="s">
        <v>3094</v>
      </c>
      <c r="C3251" s="5" t="s">
        <v>25</v>
      </c>
      <c r="D3251" s="6" t="s">
        <v>13</v>
      </c>
      <c r="E3251" s="5" t="s">
        <v>3090</v>
      </c>
      <c r="F3251" s="5" t="s">
        <v>1240</v>
      </c>
      <c r="G3251" s="5" t="s">
        <v>3095</v>
      </c>
      <c r="H3251" s="5" t="s">
        <v>102</v>
      </c>
      <c r="I3251" s="5" t="s">
        <v>18</v>
      </c>
      <c r="J3251" s="9" t="str">
        <f>IFERROR(__xludf.DUMMYFUNCTION("""COMPUTED_VALUE"""),"https://www.google.com/search?newwindow=1&amp;ei=2MT0XrvGGM-vytMP1OyDgAY&amp;q=site%3Alinkedin.com+Jillian+Rozek+University+Recruiting+Manager+Siemens")</f>
        <v>https://www.google.com/search?newwindow=1&amp;ei=2MT0XrvGGM-vytMP1OyDgAY&amp;q=site%3Alinkedin.com+Jillian+Rozek+University+Recruiting+Manager+Siemens</v>
      </c>
      <c r="K3251" s="5" t="str">
        <f t="shared" si="1"/>
        <v>Jillian Rozek</v>
      </c>
      <c r="L3251" s="5" t="str">
        <f t="shared" si="2"/>
        <v>University Recruiting Manager</v>
      </c>
      <c r="M3251" s="5" t="str">
        <f t="shared" si="3"/>
        <v> </v>
      </c>
      <c r="N3251" s="5" t="str">
        <f t="shared" si="4"/>
        <v>Siemens</v>
      </c>
      <c r="O3251" s="5" t="str">
        <f t="shared" si="5"/>
        <v>2 years 6 months in role</v>
      </c>
      <c r="P3251" s="5" t="str">
        <f t="shared" si="6"/>
        <v>New York</v>
      </c>
      <c r="Q3251" s="5" t="str">
        <f t="shared" si="7"/>
        <v>New York</v>
      </c>
      <c r="R3251" s="5" t="str">
        <f t="shared" si="8"/>
        <v>United States</v>
      </c>
    </row>
    <row r="3252">
      <c r="A3252" s="8" t="s">
        <v>3100</v>
      </c>
      <c r="B3252" s="5" t="s">
        <v>3097</v>
      </c>
      <c r="C3252" s="5" t="s">
        <v>3098</v>
      </c>
      <c r="D3252" s="6" t="s">
        <v>13</v>
      </c>
      <c r="E3252" s="5" t="s">
        <v>3090</v>
      </c>
      <c r="F3252" s="5" t="s">
        <v>512</v>
      </c>
      <c r="G3252" s="5" t="s">
        <v>3099</v>
      </c>
      <c r="H3252" s="5" t="s">
        <v>154</v>
      </c>
      <c r="I3252" s="5" t="s">
        <v>18</v>
      </c>
      <c r="J3252" s="9" t="str">
        <f>IFERROR(__xludf.DUMMYFUNCTION("""COMPUTED_VALUE"""),"https://www.google.com/search?newwindow=1&amp;ei=2MT0XrvGGM-vytMP1OyDgAY&amp;q=site%3Alinkedin.com+Jessica+Buchberger+University+Relations+Recruiter+Siemens+Digital+Industries+Software")</f>
        <v>https://www.google.com/search?newwindow=1&amp;ei=2MT0XrvGGM-vytMP1OyDgAY&amp;q=site%3Alinkedin.com+Jessica+Buchberger+University+Relations+Recruiter+Siemens+Digital+Industries+Software</v>
      </c>
      <c r="K3252" s="5" t="str">
        <f t="shared" si="1"/>
        <v>Jessica Buchberger</v>
      </c>
      <c r="L3252" s="5" t="str">
        <f t="shared" si="2"/>
        <v>University Relations Recruiter</v>
      </c>
      <c r="M3252" s="5" t="str">
        <f t="shared" si="3"/>
        <v> </v>
      </c>
      <c r="N3252" s="5" t="str">
        <f t="shared" si="4"/>
        <v>Siemens</v>
      </c>
      <c r="O3252" s="5" t="str">
        <f t="shared" si="5"/>
        <v>2 years 6 months in role and company</v>
      </c>
      <c r="P3252" s="5" t="str">
        <f t="shared" si="6"/>
        <v>Cincinnati</v>
      </c>
      <c r="Q3252" s="5" t="str">
        <f t="shared" si="7"/>
        <v>Ohio</v>
      </c>
      <c r="R3252" s="5" t="str">
        <f t="shared" si="8"/>
        <v>United States</v>
      </c>
    </row>
    <row r="3253">
      <c r="A3253" s="8" t="s">
        <v>3103</v>
      </c>
      <c r="B3253" s="5" t="s">
        <v>3101</v>
      </c>
      <c r="C3253" s="5" t="s">
        <v>3102</v>
      </c>
      <c r="D3253" s="6" t="s">
        <v>13</v>
      </c>
      <c r="E3253" s="5" t="s">
        <v>3090</v>
      </c>
      <c r="F3253" s="5" t="s">
        <v>339</v>
      </c>
      <c r="G3253" s="5" t="s">
        <v>85</v>
      </c>
      <c r="H3253" s="5" t="s">
        <v>86</v>
      </c>
      <c r="I3253" s="5" t="s">
        <v>18</v>
      </c>
      <c r="J3253" s="9" t="str">
        <f>IFERROR(__xludf.DUMMYFUNCTION("""COMPUTED_VALUE"""),"https://www.google.com/search?newwindow=1&amp;ei=2MT0XrvGGM-vytMP1OyDgAY&amp;q=site%3Alinkedin.com+Rina+Kotak+University+Relations+Recruiter+Siemens+Digital+Industries+Software")</f>
        <v>https://www.google.com/search?newwindow=1&amp;ei=2MT0XrvGGM-vytMP1OyDgAY&amp;q=site%3Alinkedin.com+Rina+Kotak+University+Relations+Recruiter+Siemens+Digital+Industries+Software</v>
      </c>
      <c r="K3253" s="5" t="str">
        <f t="shared" si="1"/>
        <v>Rina Kotak</v>
      </c>
      <c r="L3253" s="5" t="str">
        <f t="shared" si="2"/>
        <v>University Relations Recruiter</v>
      </c>
      <c r="M3253" s="5" t="str">
        <f t="shared" si="3"/>
        <v> </v>
      </c>
      <c r="N3253" s="5" t="str">
        <f t="shared" si="4"/>
        <v>Siemens</v>
      </c>
      <c r="O3253" s="5" t="str">
        <f t="shared" si="5"/>
        <v>3 years 9 months in role and company</v>
      </c>
      <c r="P3253" s="5" t="str">
        <f t="shared" si="6"/>
        <v>Orange County</v>
      </c>
      <c r="Q3253" s="5" t="str">
        <f t="shared" si="7"/>
        <v>California</v>
      </c>
      <c r="R3253" s="5" t="str">
        <f t="shared" si="8"/>
        <v>United States</v>
      </c>
    </row>
    <row r="3254">
      <c r="A3254" s="7" t="s">
        <v>3105</v>
      </c>
      <c r="B3254" s="5" t="s">
        <v>3104</v>
      </c>
      <c r="C3254" s="5" t="s">
        <v>110</v>
      </c>
      <c r="D3254" s="6" t="s">
        <v>13</v>
      </c>
      <c r="E3254" s="5" t="s">
        <v>3090</v>
      </c>
      <c r="F3254" s="5" t="s">
        <v>222</v>
      </c>
      <c r="G3254" s="5" t="s">
        <v>85</v>
      </c>
      <c r="H3254" s="5" t="s">
        <v>86</v>
      </c>
      <c r="I3254" s="5" t="s">
        <v>18</v>
      </c>
      <c r="J3254" s="9" t="str">
        <f>IFERROR(__xludf.DUMMYFUNCTION("""COMPUTED_VALUE"""),"https://www.google.com/search?newwindow=1&amp;ei=2MT0XrvGGM-vytMP1OyDgAY&amp;q=site%3Alinkedin.com+Claudia+Guzman+University+Recruiter+Siemens+Healthineers")</f>
        <v>https://www.google.com/search?newwindow=1&amp;ei=2MT0XrvGGM-vytMP1OyDgAY&amp;q=site%3Alinkedin.com+Claudia+Guzman+University+Recruiter+Siemens+Healthineers</v>
      </c>
      <c r="K3254" s="5" t="str">
        <f t="shared" si="1"/>
        <v>Claudia Guzman</v>
      </c>
      <c r="L3254" s="5" t="str">
        <f t="shared" si="2"/>
        <v>University Recruiter</v>
      </c>
      <c r="M3254" s="5" t="str">
        <f t="shared" si="3"/>
        <v> </v>
      </c>
      <c r="N3254" s="5" t="str">
        <f t="shared" si="4"/>
        <v>Siemens</v>
      </c>
      <c r="O3254" s="5" t="str">
        <f t="shared" si="5"/>
        <v>11 months in role</v>
      </c>
      <c r="P3254" s="5" t="str">
        <f t="shared" si="6"/>
        <v>Raleigh</v>
      </c>
      <c r="Q3254" s="5" t="str">
        <f t="shared" si="7"/>
        <v>North Carolina</v>
      </c>
      <c r="R3254" s="5" t="str">
        <f t="shared" si="8"/>
        <v>United States</v>
      </c>
    </row>
    <row r="3255">
      <c r="A3255" s="7" t="s">
        <v>3108</v>
      </c>
      <c r="B3255" s="5" t="s">
        <v>3106</v>
      </c>
      <c r="C3255" s="5" t="s">
        <v>3107</v>
      </c>
      <c r="D3255" s="6" t="s">
        <v>13</v>
      </c>
      <c r="E3255" s="5" t="s">
        <v>3090</v>
      </c>
      <c r="F3255" s="5" t="s">
        <v>365</v>
      </c>
      <c r="G3255" s="5" t="s">
        <v>2814</v>
      </c>
      <c r="H3255" s="5" t="s">
        <v>154</v>
      </c>
      <c r="I3255" s="5" t="s">
        <v>18</v>
      </c>
      <c r="J3255" s="9" t="str">
        <f>IFERROR(__xludf.DUMMYFUNCTION("""COMPUTED_VALUE"""),"https://www.google.com/search?newwindow=1&amp;ei=2MT0XrvGGM-vytMP1OyDgAY&amp;q=site%3Alinkedin.com+Cooper+Kennard+College+Recruiter+State+Farm")</f>
        <v>https://www.google.com/search?newwindow=1&amp;ei=2MT0XrvGGM-vytMP1OyDgAY&amp;q=site%3Alinkedin.com+Cooper+Kennard+College+Recruiter+State+Farm</v>
      </c>
      <c r="K3255" s="5" t="str">
        <f t="shared" si="1"/>
        <v>Cooper Kennard</v>
      </c>
      <c r="L3255" s="5" t="str">
        <f t="shared" si="2"/>
        <v>College Recruiter</v>
      </c>
      <c r="M3255" s="5" t="str">
        <f t="shared" si="3"/>
        <v> </v>
      </c>
      <c r="N3255" s="5" t="str">
        <f t="shared" si="4"/>
        <v>State Farm</v>
      </c>
      <c r="O3255" s="5" t="str">
        <f t="shared" si="5"/>
        <v/>
      </c>
      <c r="P3255" s="5" t="str">
        <f t="shared" si="6"/>
        <v>Potwin</v>
      </c>
      <c r="Q3255" s="5" t="str">
        <f t="shared" si="7"/>
        <v>Kansas</v>
      </c>
      <c r="R3255" s="5" t="str">
        <f t="shared" si="8"/>
        <v>United States</v>
      </c>
    </row>
    <row r="3256">
      <c r="A3256" s="7" t="s">
        <v>3112</v>
      </c>
      <c r="B3256" s="5" t="s">
        <v>3109</v>
      </c>
      <c r="C3256" s="5" t="s">
        <v>480</v>
      </c>
      <c r="D3256" s="6" t="s">
        <v>13</v>
      </c>
      <c r="E3256" s="5" t="s">
        <v>3090</v>
      </c>
      <c r="F3256" s="5" t="s">
        <v>3110</v>
      </c>
      <c r="G3256" s="5" t="s">
        <v>3111</v>
      </c>
      <c r="H3256" s="5" t="s">
        <v>184</v>
      </c>
      <c r="I3256" s="5" t="s">
        <v>18</v>
      </c>
      <c r="J3256" s="9" t="str">
        <f>IFERROR(__xludf.DUMMYFUNCTION("""COMPUTED_VALUE"""),"https://www.google.com/search?newwindow=1&amp;ei=2MT0XrvGGM-vytMP1OyDgAY&amp;q=site%3Alinkedin.com+Cody+Walls+Information+Technology+Recruiter+-+University+of+Georgia+State+Farm+®")</f>
        <v>https://www.google.com/search?newwindow=1&amp;ei=2MT0XrvGGM-vytMP1OyDgAY&amp;q=site%3Alinkedin.com+Cody+Walls+Information+Technology+Recruiter+-+University+of+Georgia+State+Farm+®</v>
      </c>
      <c r="K3256" s="5" t="str">
        <f t="shared" si="1"/>
        <v>Cody Walls</v>
      </c>
      <c r="L3256" s="5" t="str">
        <f t="shared" si="2"/>
        <v>Information Technology Recruiter - University of Georgia</v>
      </c>
      <c r="M3256" s="5" t="str">
        <f t="shared" si="3"/>
        <v> </v>
      </c>
      <c r="N3256" s="5" t="str">
        <f t="shared" si="4"/>
        <v>State Farm</v>
      </c>
      <c r="O3256" s="5" t="str">
        <f t="shared" si="5"/>
        <v>3 years 4 months in role and company</v>
      </c>
      <c r="P3256" s="5" t="str">
        <f t="shared" si="6"/>
        <v>Athens</v>
      </c>
      <c r="Q3256" s="5" t="str">
        <f t="shared" si="7"/>
        <v>Georgia</v>
      </c>
      <c r="R3256" s="5" t="str">
        <f t="shared" si="8"/>
        <v>United States</v>
      </c>
    </row>
    <row r="3257">
      <c r="A3257" s="7" t="s">
        <v>3114</v>
      </c>
      <c r="B3257" s="5" t="s">
        <v>3113</v>
      </c>
      <c r="C3257" s="5" t="s">
        <v>25</v>
      </c>
      <c r="D3257" s="6" t="s">
        <v>13</v>
      </c>
      <c r="E3257" s="5" t="s">
        <v>3090</v>
      </c>
      <c r="F3257" s="5" t="s">
        <v>22</v>
      </c>
      <c r="G3257" s="5" t="s">
        <v>2698</v>
      </c>
      <c r="H3257" s="5" t="s">
        <v>38</v>
      </c>
      <c r="I3257" s="5" t="s">
        <v>18</v>
      </c>
      <c r="J3257" s="9" t="str">
        <f>IFERROR(__xludf.DUMMYFUNCTION("""COMPUTED_VALUE"""),"https://www.google.com/search?newwindow=1&amp;ei=2MT0XrvGGM-vytMP1OyDgAY&amp;q=site%3Alinkedin.com+Alexander+Kahn+NAU+College+Recruiter+State+Farm+®")</f>
        <v>https://www.google.com/search?newwindow=1&amp;ei=2MT0XrvGGM-vytMP1OyDgAY&amp;q=site%3Alinkedin.com+Alexander+Kahn+NAU+College+Recruiter+State+Farm+®</v>
      </c>
      <c r="K3257" s="5" t="str">
        <f t="shared" si="1"/>
        <v>Alexander Kahn</v>
      </c>
      <c r="L3257" s="5" t="str">
        <f t="shared" si="2"/>
        <v>NAU College Recruiter</v>
      </c>
      <c r="M3257" s="5" t="str">
        <f t="shared" si="3"/>
        <v> </v>
      </c>
      <c r="N3257" s="5" t="str">
        <f t="shared" si="4"/>
        <v>State Farm</v>
      </c>
      <c r="O3257" s="5" t="str">
        <f t="shared" si="5"/>
        <v>2 years 2 months in role and company</v>
      </c>
      <c r="P3257" s="5" t="str">
        <f t="shared" si="6"/>
        <v>Tempe</v>
      </c>
      <c r="Q3257" s="5" t="str">
        <f t="shared" si="7"/>
        <v>Arizona</v>
      </c>
      <c r="R3257" s="5" t="str">
        <f t="shared" si="8"/>
        <v>United States</v>
      </c>
    </row>
    <row r="3258">
      <c r="A3258" s="8" t="s">
        <v>3117</v>
      </c>
      <c r="B3258" s="5" t="s">
        <v>3115</v>
      </c>
      <c r="C3258" s="5" t="s">
        <v>480</v>
      </c>
      <c r="D3258" s="6" t="s">
        <v>13</v>
      </c>
      <c r="E3258" s="5" t="s">
        <v>3090</v>
      </c>
      <c r="F3258" s="5" t="s">
        <v>15</v>
      </c>
      <c r="G3258" s="5" t="s">
        <v>3116</v>
      </c>
      <c r="H3258" s="5" t="s">
        <v>1305</v>
      </c>
      <c r="I3258" s="5" t="s">
        <v>18</v>
      </c>
      <c r="J3258" s="9" t="str">
        <f>IFERROR(__xludf.DUMMYFUNCTION("""COMPUTED_VALUE"""),"https://www.google.com/search?newwindow=1&amp;ei=2MT0XrvGGM-vytMP1OyDgAY&amp;q=site%3Alinkedin.com+Ron+Pittman,+CLU®+College+Relations+Recruiter+State+Farm+Insurance")</f>
        <v>https://www.google.com/search?newwindow=1&amp;ei=2MT0XrvGGM-vytMP1OyDgAY&amp;q=site%3Alinkedin.com+Ron+Pittman,+CLU®+College+Relations+Recruiter+State+Farm+Insurance</v>
      </c>
      <c r="K3258" s="5" t="str">
        <f t="shared" si="1"/>
        <v>Ron Pittman, CLU®</v>
      </c>
      <c r="L3258" s="5" t="str">
        <f t="shared" si="2"/>
        <v>College Relations Recruiter</v>
      </c>
      <c r="M3258" s="5" t="str">
        <f t="shared" si="3"/>
        <v> </v>
      </c>
      <c r="N3258" s="5" t="str">
        <f t="shared" si="4"/>
        <v>State Farm</v>
      </c>
      <c r="O3258" s="5" t="str">
        <f t="shared" si="5"/>
        <v>19 years 7 months in role</v>
      </c>
      <c r="P3258" s="5" t="str">
        <f t="shared" si="6"/>
        <v>Winter Haven</v>
      </c>
      <c r="Q3258" s="5" t="str">
        <f t="shared" si="7"/>
        <v>Florida</v>
      </c>
      <c r="R3258" s="5" t="str">
        <f t="shared" si="8"/>
        <v>United States</v>
      </c>
    </row>
    <row r="3259">
      <c r="A3259" s="7" t="s">
        <v>3120</v>
      </c>
      <c r="B3259" s="5" t="s">
        <v>3118</v>
      </c>
      <c r="C3259" s="5" t="s">
        <v>25</v>
      </c>
      <c r="D3259" s="6" t="s">
        <v>13</v>
      </c>
      <c r="E3259" s="5" t="s">
        <v>3090</v>
      </c>
      <c r="F3259" s="5" t="s">
        <v>144</v>
      </c>
      <c r="G3259" s="5" t="s">
        <v>3119</v>
      </c>
      <c r="H3259" s="5" t="s">
        <v>154</v>
      </c>
      <c r="I3259" s="5" t="s">
        <v>18</v>
      </c>
      <c r="J3259" s="9" t="str">
        <f>IFERROR(__xludf.DUMMYFUNCTION("""COMPUTED_VALUE"""),"https://www.google.com/search?newwindow=1&amp;ei=2MT0XrvGGM-vytMP1OyDgAY&amp;q=site%3Alinkedin.com+Sydney+Gayton+Campus+Recruiter+&amp;+HR+Coordinator+Steelcase")</f>
        <v>https://www.google.com/search?newwindow=1&amp;ei=2MT0XrvGGM-vytMP1OyDgAY&amp;q=site%3Alinkedin.com+Sydney+Gayton+Campus+Recruiter+&amp;+HR+Coordinator+Steelcase</v>
      </c>
      <c r="K3259" s="5" t="str">
        <f t="shared" si="1"/>
        <v>Sydney Gayton</v>
      </c>
      <c r="L3259" s="5" t="str">
        <f t="shared" si="2"/>
        <v>Campus Recruiter &amp; HR Coordinator</v>
      </c>
      <c r="M3259" s="5" t="str">
        <f t="shared" si="3"/>
        <v> </v>
      </c>
      <c r="N3259" s="5" t="str">
        <f t="shared" si="4"/>
        <v>Steelcase</v>
      </c>
      <c r="O3259" s="5" t="str">
        <f t="shared" si="5"/>
        <v>1 year 2 months in role and company</v>
      </c>
      <c r="P3259" s="5" t="str">
        <f t="shared" si="6"/>
        <v>Ann Arbor</v>
      </c>
      <c r="Q3259" s="5" t="str">
        <f t="shared" si="7"/>
        <v>Michigan</v>
      </c>
      <c r="R3259" s="5" t="str">
        <f t="shared" si="8"/>
        <v>United States</v>
      </c>
    </row>
    <row r="3260">
      <c r="A3260" s="7" t="s">
        <v>3123</v>
      </c>
      <c r="B3260" s="5" t="s">
        <v>3121</v>
      </c>
      <c r="C3260" s="5" t="s">
        <v>480</v>
      </c>
      <c r="D3260" s="6" t="s">
        <v>13</v>
      </c>
      <c r="E3260" s="5" t="s">
        <v>3090</v>
      </c>
      <c r="F3260" s="5" t="s">
        <v>15</v>
      </c>
      <c r="G3260" s="5" t="s">
        <v>3122</v>
      </c>
      <c r="H3260" s="5" t="s">
        <v>137</v>
      </c>
      <c r="I3260" s="5" t="s">
        <v>18</v>
      </c>
      <c r="J3260" s="9" t="str">
        <f>IFERROR(__xludf.DUMMYFUNCTION("""COMPUTED_VALUE"""),"https://www.google.com/search?newwindow=1&amp;ei=2MT0XrvGGM-vytMP1OyDgAY&amp;q=site%3Alinkedin.com+Amy+L.+Talent+Acquisition-+Lead+Campus+Recruiter+Steelcase")</f>
        <v>https://www.google.com/search?newwindow=1&amp;ei=2MT0XrvGGM-vytMP1OyDgAY&amp;q=site%3Alinkedin.com+Amy+L.+Talent+Acquisition-+Lead+Campus+Recruiter+Steelcase</v>
      </c>
      <c r="K3260" s="5" t="str">
        <f t="shared" si="1"/>
        <v>Amy L.</v>
      </c>
      <c r="L3260" s="5" t="str">
        <f t="shared" si="2"/>
        <v>Talent Acquisition- Lead Campus Recruiter</v>
      </c>
      <c r="M3260" s="5" t="str">
        <f t="shared" si="3"/>
        <v> </v>
      </c>
      <c r="N3260" s="5" t="str">
        <f t="shared" si="4"/>
        <v>Steelcase</v>
      </c>
      <c r="O3260" s="5" t="str">
        <f t="shared" si="5"/>
        <v>4 years 8 months in role and company</v>
      </c>
      <c r="P3260" s="5" t="str">
        <f t="shared" si="6"/>
        <v>Grand Rapids</v>
      </c>
      <c r="Q3260" s="5" t="str">
        <f t="shared" si="7"/>
        <v>Michigan</v>
      </c>
      <c r="R3260" s="5" t="str">
        <f t="shared" si="8"/>
        <v>United States</v>
      </c>
    </row>
    <row r="3261">
      <c r="A3261" s="7" t="s">
        <v>3125</v>
      </c>
      <c r="B3261" s="5" t="s">
        <v>3124</v>
      </c>
      <c r="C3261" s="5" t="s">
        <v>25</v>
      </c>
      <c r="D3261" s="6" t="s">
        <v>13</v>
      </c>
      <c r="E3261" s="5" t="s">
        <v>3090</v>
      </c>
      <c r="F3261" s="5" t="s">
        <v>2288</v>
      </c>
      <c r="G3261" s="5" t="s">
        <v>122</v>
      </c>
      <c r="H3261" s="5" t="s">
        <v>44</v>
      </c>
      <c r="I3261" s="5" t="s">
        <v>18</v>
      </c>
      <c r="J3261" s="9" t="str">
        <f>IFERROR(__xludf.DUMMYFUNCTION("""COMPUTED_VALUE"""),"https://www.google.com/search?newwindow=1&amp;ei=2MT0XrvGGM-vytMP1OyDgAY&amp;q=site%3Alinkedin.com+Malissa+Moore+Campus+Recruiter+Steelcase")</f>
        <v>https://www.google.com/search?newwindow=1&amp;ei=2MT0XrvGGM-vytMP1OyDgAY&amp;q=site%3Alinkedin.com+Malissa+Moore+Campus+Recruiter+Steelcase</v>
      </c>
      <c r="K3261" s="5" t="str">
        <f t="shared" si="1"/>
        <v>Malissa Moore</v>
      </c>
      <c r="L3261" s="5" t="str">
        <f t="shared" si="2"/>
        <v>Campus Recruiter</v>
      </c>
      <c r="M3261" s="5" t="str">
        <f t="shared" si="3"/>
        <v> </v>
      </c>
      <c r="N3261" s="5" t="str">
        <f t="shared" si="4"/>
        <v>Steelcase</v>
      </c>
      <c r="O3261" s="5" t="str">
        <f t="shared" si="5"/>
        <v>4 years 3 months in role and company</v>
      </c>
      <c r="P3261" s="5" t="str">
        <f t="shared" si="6"/>
        <v>Grand Rapids</v>
      </c>
      <c r="Q3261" s="5" t="str">
        <f t="shared" si="7"/>
        <v>Michigan</v>
      </c>
      <c r="R3261" s="5" t="str">
        <f t="shared" si="8"/>
        <v>United States</v>
      </c>
    </row>
    <row r="3262">
      <c r="A3262" s="7" t="s">
        <v>3127</v>
      </c>
      <c r="B3262" s="5" t="s">
        <v>3126</v>
      </c>
      <c r="C3262" s="5" t="s">
        <v>480</v>
      </c>
      <c r="D3262" s="6" t="s">
        <v>13</v>
      </c>
      <c r="E3262" s="5" t="s">
        <v>3090</v>
      </c>
      <c r="F3262" s="5" t="s">
        <v>512</v>
      </c>
      <c r="G3262" s="5" t="s">
        <v>1437</v>
      </c>
      <c r="H3262" s="5" t="s">
        <v>203</v>
      </c>
      <c r="I3262" s="5" t="s">
        <v>18</v>
      </c>
      <c r="J3262" s="9" t="str">
        <f>IFERROR(__xludf.DUMMYFUNCTION("""COMPUTED_VALUE"""),"https://www.google.com/search?newwindow=1&amp;ei=2MT0XrvGGM-vytMP1OyDgAY&amp;q=site%3Alinkedin.com+Lauren+Williams+University+Recruiter+Stripe")</f>
        <v>https://www.google.com/search?newwindow=1&amp;ei=2MT0XrvGGM-vytMP1OyDgAY&amp;q=site%3Alinkedin.com+Lauren+Williams+University+Recruiter+Stripe</v>
      </c>
      <c r="K3262" s="5" t="str">
        <f t="shared" si="1"/>
        <v>Lauren Williams</v>
      </c>
      <c r="L3262" s="5" t="str">
        <f t="shared" si="2"/>
        <v>University Recruiter</v>
      </c>
      <c r="M3262" s="5" t="str">
        <f t="shared" si="3"/>
        <v> </v>
      </c>
      <c r="N3262" s="5" t="str">
        <f t="shared" si="4"/>
        <v>Stripe</v>
      </c>
      <c r="O3262" s="5" t="str">
        <f t="shared" si="5"/>
        <v>4 months in role and company</v>
      </c>
      <c r="P3262" s="5" t="str">
        <f t="shared" si="6"/>
        <v>San Francisco</v>
      </c>
      <c r="Q3262" s="5" t="str">
        <f t="shared" si="7"/>
        <v>California</v>
      </c>
      <c r="R3262" s="5" t="str">
        <f t="shared" si="8"/>
        <v>United States</v>
      </c>
    </row>
    <row r="3263">
      <c r="A3263" s="7" t="s">
        <v>3130</v>
      </c>
      <c r="B3263" s="5" t="s">
        <v>3128</v>
      </c>
      <c r="C3263" s="5" t="s">
        <v>3129</v>
      </c>
      <c r="D3263" s="6" t="s">
        <v>13</v>
      </c>
      <c r="E3263" s="5" t="s">
        <v>3090</v>
      </c>
      <c r="F3263" s="5" t="s">
        <v>579</v>
      </c>
      <c r="G3263" s="5" t="s">
        <v>153</v>
      </c>
      <c r="H3263" s="5" t="s">
        <v>154</v>
      </c>
      <c r="I3263" s="5" t="s">
        <v>18</v>
      </c>
      <c r="J3263" s="9" t="str">
        <f>IFERROR(__xludf.DUMMYFUNCTION("""COMPUTED_VALUE"""),"https://www.google.com/search?newwindow=1&amp;ei=2MT0XrvGGM-vytMP1OyDgAY&amp;q=site%3Alinkedin.com+Amy+Hassan+University+Recruiter+Stripe")</f>
        <v>https://www.google.com/search?newwindow=1&amp;ei=2MT0XrvGGM-vytMP1OyDgAY&amp;q=site%3Alinkedin.com+Amy+Hassan+University+Recruiter+Stripe</v>
      </c>
      <c r="K3263" s="5" t="str">
        <f t="shared" si="1"/>
        <v>Amy Hassan</v>
      </c>
      <c r="L3263" s="5" t="str">
        <f t="shared" si="2"/>
        <v>University Recruiter</v>
      </c>
      <c r="M3263" s="5" t="str">
        <f t="shared" si="3"/>
        <v> </v>
      </c>
      <c r="N3263" s="5" t="str">
        <f t="shared" si="4"/>
        <v>Stripe</v>
      </c>
      <c r="O3263" s="5" t="str">
        <f t="shared" si="5"/>
        <v>1 year 5 months in role and company</v>
      </c>
      <c r="P3263" s="5" t="str">
        <f t="shared" si="6"/>
        <v>San Francisco</v>
      </c>
      <c r="Q3263" s="5" t="str">
        <f t="shared" si="7"/>
        <v>California</v>
      </c>
      <c r="R3263" s="5" t="str">
        <f t="shared" si="8"/>
        <v>United States</v>
      </c>
    </row>
    <row r="3264">
      <c r="A3264" s="7" t="s">
        <v>3133</v>
      </c>
      <c r="B3264" s="5" t="s">
        <v>3131</v>
      </c>
      <c r="C3264" s="5" t="s">
        <v>3132</v>
      </c>
      <c r="D3264" s="6" t="s">
        <v>13</v>
      </c>
      <c r="E3264" s="5" t="s">
        <v>3090</v>
      </c>
      <c r="F3264" s="5" t="s">
        <v>36</v>
      </c>
      <c r="G3264" s="5" t="s">
        <v>153</v>
      </c>
      <c r="H3264" s="5" t="s">
        <v>154</v>
      </c>
      <c r="I3264" s="5" t="s">
        <v>18</v>
      </c>
      <c r="J3264" s="9" t="str">
        <f>IFERROR(__xludf.DUMMYFUNCTION("""COMPUTED_VALUE"""),"https://www.google.com/search?newwindow=1&amp;ei=2MT0XrvGGM-vytMP1OyDgAY&amp;q=site%3Alinkedin.com+Eilís+Kennedy+Technical+Recruiter+(University)+-+North+America+Stripe")</f>
        <v>https://www.google.com/search?newwindow=1&amp;ei=2MT0XrvGGM-vytMP1OyDgAY&amp;q=site%3Alinkedin.com+Eilís+Kennedy+Technical+Recruiter+(University)+-+North+America+Stripe</v>
      </c>
      <c r="K3264" s="5" t="str">
        <f t="shared" si="1"/>
        <v>Eilís Kennedy</v>
      </c>
      <c r="L3264" s="5" t="str">
        <f t="shared" si="2"/>
        <v>Technical Recruiter (University) - North America</v>
      </c>
      <c r="M3264" s="5" t="str">
        <f t="shared" si="3"/>
        <v> </v>
      </c>
      <c r="N3264" s="5" t="str">
        <f t="shared" si="4"/>
        <v>Stripe</v>
      </c>
      <c r="O3264" s="5" t="str">
        <f t="shared" si="5"/>
        <v>2 years 3 months in role</v>
      </c>
      <c r="P3264" s="5" t="str">
        <f t="shared" si="6"/>
        <v>San Francisco</v>
      </c>
      <c r="Q3264" s="5" t="str">
        <f t="shared" si="7"/>
        <v>California</v>
      </c>
      <c r="R3264" s="5" t="str">
        <f t="shared" si="8"/>
        <v>United States</v>
      </c>
    </row>
    <row r="3265">
      <c r="A3265" s="7" t="s">
        <v>3136</v>
      </c>
      <c r="B3265" s="5" t="s">
        <v>3134</v>
      </c>
      <c r="C3265" s="5" t="s">
        <v>480</v>
      </c>
      <c r="D3265" s="6" t="s">
        <v>13</v>
      </c>
      <c r="E3265" s="5" t="s">
        <v>3090</v>
      </c>
      <c r="F3265" s="5" t="s">
        <v>165</v>
      </c>
      <c r="G3265" s="5" t="s">
        <v>3135</v>
      </c>
      <c r="H3265" s="5" t="s">
        <v>154</v>
      </c>
      <c r="I3265" s="5" t="s">
        <v>18</v>
      </c>
      <c r="J3265" s="9" t="str">
        <f>IFERROR(__xludf.DUMMYFUNCTION("""COMPUTED_VALUE"""),"https://www.google.com/search?newwindow=1&amp;ei=2MT0XrvGGM-vytMP1OyDgAY&amp;q=site%3Alinkedin.com+Amy+Meckes+University+Sales+Recruiter+Stryker")</f>
        <v>https://www.google.com/search?newwindow=1&amp;ei=2MT0XrvGGM-vytMP1OyDgAY&amp;q=site%3Alinkedin.com+Amy+Meckes+University+Sales+Recruiter+Stryker</v>
      </c>
      <c r="K3265" s="5" t="str">
        <f t="shared" si="1"/>
        <v>Amy Meckes</v>
      </c>
      <c r="L3265" s="5" t="str">
        <f t="shared" si="2"/>
        <v>University Sales Recruiter</v>
      </c>
      <c r="M3265" s="5" t="str">
        <f t="shared" si="3"/>
        <v> </v>
      </c>
      <c r="N3265" s="5" t="str">
        <f t="shared" si="4"/>
        <v>Stryker</v>
      </c>
      <c r="O3265" s="5" t="str">
        <f t="shared" si="5"/>
        <v>9 months in role and company</v>
      </c>
      <c r="P3265" s="5" t="str">
        <f t="shared" si="6"/>
        <v>Columbus</v>
      </c>
      <c r="Q3265" s="5" t="str">
        <f t="shared" si="7"/>
        <v>Ohio</v>
      </c>
      <c r="R3265" s="5" t="str">
        <f t="shared" si="8"/>
        <v>United States</v>
      </c>
    </row>
    <row r="3266">
      <c r="A3266" s="7" t="s">
        <v>3138</v>
      </c>
      <c r="B3266" s="5" t="s">
        <v>3137</v>
      </c>
      <c r="C3266" s="5" t="s">
        <v>25</v>
      </c>
      <c r="D3266" s="6" t="s">
        <v>13</v>
      </c>
      <c r="E3266" s="5" t="s">
        <v>3090</v>
      </c>
      <c r="F3266" s="5" t="s">
        <v>188</v>
      </c>
      <c r="G3266" s="5" t="s">
        <v>295</v>
      </c>
      <c r="H3266" s="5" t="s">
        <v>154</v>
      </c>
      <c r="I3266" s="5" t="s">
        <v>18</v>
      </c>
      <c r="J3266" s="9" t="str">
        <f>IFERROR(__xludf.DUMMYFUNCTION("""COMPUTED_VALUE"""),"https://www.google.com/search?newwindow=1&amp;ei=2MT0XrvGGM-vytMP1OyDgAY&amp;q=site%3Alinkedin.com+Danielle+Iacobelli+Senior+University+Recruiter+Stryker")</f>
        <v>https://www.google.com/search?newwindow=1&amp;ei=2MT0XrvGGM-vytMP1OyDgAY&amp;q=site%3Alinkedin.com+Danielle+Iacobelli+Senior+University+Recruiter+Stryker</v>
      </c>
      <c r="K3266" s="5" t="str">
        <f t="shared" si="1"/>
        <v>Danielle Iacobelli</v>
      </c>
      <c r="L3266" s="5" t="str">
        <f t="shared" si="2"/>
        <v>Senior University Recruiter</v>
      </c>
      <c r="M3266" s="5" t="str">
        <f t="shared" si="3"/>
        <v> </v>
      </c>
      <c r="N3266" s="5" t="str">
        <f t="shared" si="4"/>
        <v>Stryker</v>
      </c>
      <c r="O3266" s="5" t="str">
        <f t="shared" si="5"/>
        <v>1 year 8 months in role</v>
      </c>
      <c r="P3266" s="5" t="str">
        <f t="shared" si="6"/>
        <v>New York</v>
      </c>
      <c r="Q3266" s="5" t="str">
        <f t="shared" si="7"/>
        <v>New York</v>
      </c>
      <c r="R3266" s="5" t="str">
        <f t="shared" si="8"/>
        <v>United States</v>
      </c>
    </row>
    <row r="3267">
      <c r="A3267" s="7" t="s">
        <v>3141</v>
      </c>
      <c r="B3267" s="5" t="s">
        <v>3139</v>
      </c>
      <c r="C3267" s="5" t="s">
        <v>3140</v>
      </c>
      <c r="D3267" s="6" t="s">
        <v>13</v>
      </c>
      <c r="E3267" s="5" t="s">
        <v>3090</v>
      </c>
      <c r="F3267" s="5" t="s">
        <v>60</v>
      </c>
      <c r="G3267" s="5" t="s">
        <v>2339</v>
      </c>
      <c r="H3267" s="5" t="s">
        <v>781</v>
      </c>
      <c r="I3267" s="5" t="s">
        <v>18</v>
      </c>
      <c r="J3267" s="9" t="str">
        <f>IFERROR(__xludf.DUMMYFUNCTION("""COMPUTED_VALUE"""),"https://www.google.com/search?newwindow=1&amp;ei=2MT0XrvGGM-vytMP1OyDgAY&amp;q=site%3Alinkedin.com+Jill+Pearrow,+SHRM-CP+University+Recruiter+Stryker")</f>
        <v>https://www.google.com/search?newwindow=1&amp;ei=2MT0XrvGGM-vytMP1OyDgAY&amp;q=site%3Alinkedin.com+Jill+Pearrow,+SHRM-CP+University+Recruiter+Stryker</v>
      </c>
      <c r="K3267" s="5" t="str">
        <f t="shared" si="1"/>
        <v>Jill Pearrow, SHRM-CP</v>
      </c>
      <c r="L3267" s="5" t="str">
        <f t="shared" si="2"/>
        <v>University Recruiter</v>
      </c>
      <c r="M3267" s="5" t="str">
        <f t="shared" si="3"/>
        <v> </v>
      </c>
      <c r="N3267" s="5" t="str">
        <f t="shared" si="4"/>
        <v>Stryker</v>
      </c>
      <c r="O3267" s="5" t="str">
        <f t="shared" si="5"/>
        <v>2 years 2 months in role</v>
      </c>
      <c r="P3267" s="5" t="str">
        <f t="shared" si="6"/>
        <v>Portage</v>
      </c>
      <c r="Q3267" s="5" t="str">
        <f t="shared" si="7"/>
        <v>Michigan</v>
      </c>
      <c r="R3267" s="5" t="str">
        <f t="shared" si="8"/>
        <v>United States</v>
      </c>
    </row>
    <row r="3268">
      <c r="A3268" s="7" t="s">
        <v>3145</v>
      </c>
      <c r="B3268" s="5" t="s">
        <v>3142</v>
      </c>
      <c r="C3268" s="5" t="s">
        <v>3143</v>
      </c>
      <c r="D3268" s="6" t="s">
        <v>13</v>
      </c>
      <c r="E3268" s="5" t="s">
        <v>3090</v>
      </c>
      <c r="F3268" s="5" t="s">
        <v>94</v>
      </c>
      <c r="G3268" s="5" t="s">
        <v>3144</v>
      </c>
      <c r="H3268" s="5" t="s">
        <v>184</v>
      </c>
      <c r="I3268" s="5" t="s">
        <v>18</v>
      </c>
      <c r="J3268" s="9" t="str">
        <f>IFERROR(__xludf.DUMMYFUNCTION("""COMPUTED_VALUE"""),"https://www.google.com/search?newwindow=1&amp;ei=2MT0XrvGGM-vytMP1OyDgAY&amp;q=site%3Alinkedin.com+Chris+Cook+University+Recruiter+Stryker")</f>
        <v>https://www.google.com/search?newwindow=1&amp;ei=2MT0XrvGGM-vytMP1OyDgAY&amp;q=site%3Alinkedin.com+Chris+Cook+University+Recruiter+Stryker</v>
      </c>
      <c r="K3268" s="5" t="str">
        <f t="shared" si="1"/>
        <v>Chris Cook</v>
      </c>
      <c r="L3268" s="5" t="str">
        <f t="shared" si="2"/>
        <v>University Recruiter</v>
      </c>
      <c r="M3268" s="5" t="str">
        <f t="shared" si="3"/>
        <v> </v>
      </c>
      <c r="N3268" s="5" t="str">
        <f t="shared" si="4"/>
        <v>Stryker</v>
      </c>
      <c r="O3268" s="5" t="str">
        <f t="shared" si="5"/>
        <v>2 years 1 month in role</v>
      </c>
      <c r="P3268" s="5" t="str">
        <f t="shared" si="6"/>
        <v>Portage</v>
      </c>
      <c r="Q3268" s="5" t="str">
        <f t="shared" si="7"/>
        <v>Michigan</v>
      </c>
      <c r="R3268" s="5" t="str">
        <f t="shared" si="8"/>
        <v>United States</v>
      </c>
    </row>
    <row r="3269">
      <c r="A3269" s="7" t="s">
        <v>3149</v>
      </c>
      <c r="B3269" s="5" t="s">
        <v>3146</v>
      </c>
      <c r="C3269" s="5" t="s">
        <v>3147</v>
      </c>
      <c r="D3269" s="6" t="s">
        <v>13</v>
      </c>
      <c r="E3269" s="5" t="s">
        <v>3090</v>
      </c>
      <c r="F3269" s="5" t="s">
        <v>277</v>
      </c>
      <c r="G3269" s="5" t="s">
        <v>3148</v>
      </c>
      <c r="H3269" s="5" t="s">
        <v>1639</v>
      </c>
      <c r="I3269" s="5" t="s">
        <v>18</v>
      </c>
      <c r="J3269" s="9" t="str">
        <f>IFERROR(__xludf.DUMMYFUNCTION("""COMPUTED_VALUE"""),"https://www.google.com/search?newwindow=1&amp;ei=2MT0XrvGGM-vytMP1OyDgAY&amp;q=site%3Alinkedin.com+Ashley+Bothman+Sr.+University+Recruiter+Stryker")</f>
        <v>https://www.google.com/search?newwindow=1&amp;ei=2MT0XrvGGM-vytMP1OyDgAY&amp;q=site%3Alinkedin.com+Ashley+Bothman+Sr.+University+Recruiter+Stryker</v>
      </c>
      <c r="K3269" s="5" t="str">
        <f t="shared" si="1"/>
        <v>Ashley Bothman</v>
      </c>
      <c r="L3269" s="5" t="str">
        <f t="shared" si="2"/>
        <v>Sr. University Recruiter</v>
      </c>
      <c r="M3269" s="5" t="str">
        <f t="shared" si="3"/>
        <v> </v>
      </c>
      <c r="N3269" s="5" t="str">
        <f t="shared" si="4"/>
        <v>Stryker</v>
      </c>
      <c r="O3269" s="5" t="str">
        <f t="shared" si="5"/>
        <v>1 year 5 months in role</v>
      </c>
      <c r="P3269" s="5" t="str">
        <f t="shared" si="6"/>
        <v>San Jose</v>
      </c>
      <c r="Q3269" s="5" t="str">
        <f t="shared" si="7"/>
        <v>California</v>
      </c>
      <c r="R3269" s="5" t="str">
        <f t="shared" si="8"/>
        <v>United States</v>
      </c>
    </row>
    <row r="3270">
      <c r="A3270" s="7" t="s">
        <v>3153</v>
      </c>
      <c r="B3270" s="5" t="s">
        <v>3150</v>
      </c>
      <c r="C3270" s="5" t="s">
        <v>3151</v>
      </c>
      <c r="D3270" s="6" t="s">
        <v>13</v>
      </c>
      <c r="E3270" s="5" t="s">
        <v>3090</v>
      </c>
      <c r="F3270" s="5" t="s">
        <v>421</v>
      </c>
      <c r="G3270" s="5" t="s">
        <v>3152</v>
      </c>
      <c r="H3270" s="6" t="s">
        <v>264</v>
      </c>
      <c r="I3270" s="5" t="s">
        <v>18</v>
      </c>
      <c r="J3270" s="9" t="str">
        <f>IFERROR(__xludf.DUMMYFUNCTION("""COMPUTED_VALUE"""),"https://www.google.com/search?newwindow=1&amp;ei=2MT0XrvGGM-vytMP1OyDgAY&amp;q=site%3Alinkedin.com+Calli+Conti+Senior+Recruiter+Stryker+Corporation")</f>
        <v>https://www.google.com/search?newwindow=1&amp;ei=2MT0XrvGGM-vytMP1OyDgAY&amp;q=site%3Alinkedin.com+Calli+Conti+Senior+Recruiter+Stryker+Corporation</v>
      </c>
      <c r="K3270" s="5" t="str">
        <f t="shared" si="1"/>
        <v>Calli Conti</v>
      </c>
      <c r="L3270" s="5" t="str">
        <f t="shared" si="2"/>
        <v>Senior Recruiter</v>
      </c>
      <c r="M3270" s="5" t="str">
        <f t="shared" si="3"/>
        <v> </v>
      </c>
      <c r="N3270" s="5" t="str">
        <f t="shared" si="4"/>
        <v>Stryker</v>
      </c>
      <c r="O3270" s="5" t="str">
        <f t="shared" si="5"/>
        <v>2 years 10 months in role and company</v>
      </c>
      <c r="P3270" s="5" t="str">
        <f t="shared" si="6"/>
        <v>Denver</v>
      </c>
      <c r="Q3270" s="5" t="str">
        <f t="shared" si="7"/>
        <v>Colorado</v>
      </c>
      <c r="R3270" s="5" t="str">
        <f t="shared" si="8"/>
        <v>United States</v>
      </c>
    </row>
    <row r="3271">
      <c r="A3271" s="7" t="s">
        <v>3156</v>
      </c>
      <c r="B3271" s="5" t="s">
        <v>3154</v>
      </c>
      <c r="C3271" s="5" t="s">
        <v>25</v>
      </c>
      <c r="D3271" s="6" t="s">
        <v>13</v>
      </c>
      <c r="E3271" s="5" t="s">
        <v>3090</v>
      </c>
      <c r="F3271" s="5" t="s">
        <v>136</v>
      </c>
      <c r="G3271" s="5" t="s">
        <v>3155</v>
      </c>
      <c r="H3271" s="5" t="s">
        <v>763</v>
      </c>
      <c r="I3271" s="5" t="s">
        <v>18</v>
      </c>
      <c r="J3271" s="9" t="str">
        <f>IFERROR(__xludf.DUMMYFUNCTION("""COMPUTED_VALUE"""),"https://www.google.com/search?newwindow=1&amp;ei=2MT0XrvGGM-vytMP1OyDgAY&amp;q=site%3Alinkedin.com+Sarah+Deiter+Senior+University+Recruiter+T-Mobile")</f>
        <v>https://www.google.com/search?newwindow=1&amp;ei=2MT0XrvGGM-vytMP1OyDgAY&amp;q=site%3Alinkedin.com+Sarah+Deiter+Senior+University+Recruiter+T-Mobile</v>
      </c>
      <c r="K3271" s="5" t="str">
        <f t="shared" si="1"/>
        <v>Sarah Deiter</v>
      </c>
      <c r="L3271" s="5" t="str">
        <f t="shared" si="2"/>
        <v>Senior University Recruiter</v>
      </c>
      <c r="M3271" s="5" t="str">
        <f t="shared" si="3"/>
        <v> </v>
      </c>
      <c r="N3271" s="5" t="str">
        <f t="shared" si="4"/>
        <v>T-Mobile</v>
      </c>
      <c r="O3271" s="5" t="str">
        <f t="shared" si="5"/>
        <v>7 months in role and company</v>
      </c>
      <c r="P3271" s="5" t="str">
        <f t="shared" si="6"/>
        <v>Overland Park</v>
      </c>
      <c r="Q3271" s="5" t="str">
        <f t="shared" si="7"/>
        <v>Kansas</v>
      </c>
      <c r="R3271" s="5" t="str">
        <f t="shared" si="8"/>
        <v>United States</v>
      </c>
    </row>
    <row r="3272">
      <c r="A3272" s="7" t="s">
        <v>3158</v>
      </c>
      <c r="B3272" s="5" t="s">
        <v>3157</v>
      </c>
      <c r="C3272" s="5" t="s">
        <v>25</v>
      </c>
      <c r="D3272" s="6" t="s">
        <v>13</v>
      </c>
      <c r="E3272" s="5" t="s">
        <v>3090</v>
      </c>
      <c r="F3272" s="5" t="s">
        <v>63</v>
      </c>
      <c r="G3272" s="5" t="s">
        <v>102</v>
      </c>
      <c r="H3272" s="5" t="s">
        <v>172</v>
      </c>
      <c r="I3272" s="5" t="s">
        <v>18</v>
      </c>
      <c r="J3272" s="9" t="str">
        <f>IFERROR(__xludf.DUMMYFUNCTION("""COMPUTED_VALUE"""),"https://www.google.com/search?newwindow=1&amp;ei=2MT0XrvGGM-vytMP1OyDgAY&amp;q=site%3Alinkedin.com+Brandee+Waddell+College+and+Military+Recruiter+T-Mobile")</f>
        <v>https://www.google.com/search?newwindow=1&amp;ei=2MT0XrvGGM-vytMP1OyDgAY&amp;q=site%3Alinkedin.com+Brandee+Waddell+College+and+Military+Recruiter+T-Mobile</v>
      </c>
      <c r="K3272" s="5" t="str">
        <f t="shared" si="1"/>
        <v>Brandee Waddell</v>
      </c>
      <c r="L3272" s="5" t="str">
        <f t="shared" si="2"/>
        <v>College and Military Recruiter</v>
      </c>
      <c r="M3272" s="5" t="str">
        <f t="shared" si="3"/>
        <v> </v>
      </c>
      <c r="N3272" s="5" t="str">
        <f t="shared" si="4"/>
        <v>T-Mobile</v>
      </c>
      <c r="O3272" s="5" t="str">
        <f t="shared" si="5"/>
        <v/>
      </c>
      <c r="P3272" s="5" t="str">
        <f t="shared" si="6"/>
        <v>Overland Park</v>
      </c>
      <c r="Q3272" s="5" t="str">
        <f t="shared" si="7"/>
        <v>Kansas</v>
      </c>
      <c r="R3272" s="5" t="str">
        <f t="shared" si="8"/>
        <v>United States</v>
      </c>
    </row>
    <row r="3273">
      <c r="A3273" s="8" t="s">
        <v>3161</v>
      </c>
      <c r="B3273" s="5" t="s">
        <v>3159</v>
      </c>
      <c r="C3273" s="5" t="s">
        <v>3160</v>
      </c>
      <c r="D3273" s="6" t="s">
        <v>13</v>
      </c>
      <c r="E3273" s="5" t="s">
        <v>3090</v>
      </c>
      <c r="F3273" s="5" t="s">
        <v>165</v>
      </c>
      <c r="G3273" s="5" t="s">
        <v>102</v>
      </c>
      <c r="H3273" s="5" t="s">
        <v>172</v>
      </c>
      <c r="I3273" s="5" t="s">
        <v>18</v>
      </c>
      <c r="J3273" s="9" t="str">
        <f>IFERROR(__xludf.DUMMYFUNCTION("""COMPUTED_VALUE"""),"https://www.google.com/search?newwindow=1&amp;ei=2MT0XrvGGM-vytMP1OyDgAY&amp;q=site%3Alinkedin.com+Remy+Crespo+Viewed+T-Mobile")</f>
        <v>https://www.google.com/search?newwindow=1&amp;ei=2MT0XrvGGM-vytMP1OyDgAY&amp;q=site%3Alinkedin.com+Remy+Crespo+Viewed+T-Mobile</v>
      </c>
      <c r="K3273" s="5" t="str">
        <f t="shared" si="1"/>
        <v>Remy Crespo</v>
      </c>
      <c r="L3273" s="5" t="str">
        <f t="shared" si="2"/>
        <v>Viewed</v>
      </c>
      <c r="M3273" s="5" t="str">
        <f t="shared" si="3"/>
        <v> </v>
      </c>
      <c r="N3273" s="5" t="str">
        <f t="shared" si="4"/>
        <v>T-Mobile</v>
      </c>
      <c r="O3273" s="5" t="str">
        <f t="shared" si="5"/>
        <v>7 months in role and company</v>
      </c>
      <c r="P3273" s="5" t="str">
        <f t="shared" si="6"/>
        <v>Seattle</v>
      </c>
      <c r="Q3273" s="5" t="str">
        <f t="shared" si="7"/>
        <v>Washington</v>
      </c>
      <c r="R3273" s="5" t="str">
        <f t="shared" si="8"/>
        <v>United States</v>
      </c>
    </row>
    <row r="3274">
      <c r="A3274" s="7" t="s">
        <v>3163</v>
      </c>
      <c r="B3274" s="5" t="s">
        <v>3162</v>
      </c>
      <c r="C3274" s="5" t="s">
        <v>25</v>
      </c>
      <c r="D3274" s="6" t="s">
        <v>13</v>
      </c>
      <c r="E3274" s="5" t="s">
        <v>3090</v>
      </c>
      <c r="F3274" s="5" t="s">
        <v>192</v>
      </c>
      <c r="G3274" s="5" t="s">
        <v>102</v>
      </c>
      <c r="H3274" s="5" t="s">
        <v>172</v>
      </c>
      <c r="I3274" s="5" t="s">
        <v>18</v>
      </c>
      <c r="J3274" s="9" t="str">
        <f>IFERROR(__xludf.DUMMYFUNCTION("""COMPUTED_VALUE"""),"https://www.google.com/search?newwindow=1&amp;ei=2MT0XrvGGM-vytMP1OyDgAY&amp;q=site%3Alinkedin.com+Greg+Pare+Lead+Campus+Recruiter+Target")</f>
        <v>https://www.google.com/search?newwindow=1&amp;ei=2MT0XrvGGM-vytMP1OyDgAY&amp;q=site%3Alinkedin.com+Greg+Pare+Lead+Campus+Recruiter+Target</v>
      </c>
      <c r="K3274" s="5" t="str">
        <f t="shared" si="1"/>
        <v>Greg Pare</v>
      </c>
      <c r="L3274" s="5" t="str">
        <f t="shared" si="2"/>
        <v>Lead Campus Recruiter</v>
      </c>
      <c r="M3274" s="5" t="str">
        <f t="shared" si="3"/>
        <v> </v>
      </c>
      <c r="N3274" s="5" t="str">
        <f t="shared" si="4"/>
        <v>Target</v>
      </c>
      <c r="O3274" s="5" t="str">
        <f t="shared" si="5"/>
        <v>1 year 8 months in role</v>
      </c>
      <c r="P3274" s="5" t="str">
        <f t="shared" si="6"/>
        <v>Boston</v>
      </c>
      <c r="Q3274" s="5" t="str">
        <f t="shared" si="7"/>
        <v>Massachusetts</v>
      </c>
      <c r="R3274" s="5" t="str">
        <f t="shared" si="8"/>
        <v>United States</v>
      </c>
    </row>
    <row r="3275">
      <c r="A3275" s="7" t="s">
        <v>3166</v>
      </c>
      <c r="B3275" s="5" t="s">
        <v>3164</v>
      </c>
      <c r="C3275" s="5" t="s">
        <v>480</v>
      </c>
      <c r="D3275" s="6" t="s">
        <v>13</v>
      </c>
      <c r="E3275" s="5" t="s">
        <v>3090</v>
      </c>
      <c r="F3275" s="5" t="s">
        <v>144</v>
      </c>
      <c r="G3275" s="5" t="s">
        <v>3165</v>
      </c>
      <c r="H3275" s="5" t="s">
        <v>154</v>
      </c>
      <c r="I3275" s="5" t="s">
        <v>18</v>
      </c>
      <c r="J3275" s="9" t="str">
        <f>IFERROR(__xludf.DUMMYFUNCTION("""COMPUTED_VALUE"""),"https://www.google.com/search?newwindow=1&amp;ei=2MT0XrvGGM-vytMP1OyDgAY&amp;q=site%3Alinkedin.com+Amy+Blake+Group+Campus+Recruiter+Target")</f>
        <v>https://www.google.com/search?newwindow=1&amp;ei=2MT0XrvGGM-vytMP1OyDgAY&amp;q=site%3Alinkedin.com+Amy+Blake+Group+Campus+Recruiter+Target</v>
      </c>
      <c r="K3275" s="5" t="str">
        <f t="shared" si="1"/>
        <v>Amy Blake</v>
      </c>
      <c r="L3275" s="5" t="str">
        <f t="shared" si="2"/>
        <v>Group Campus Recruiter</v>
      </c>
      <c r="M3275" s="5" t="str">
        <f t="shared" si="3"/>
        <v> </v>
      </c>
      <c r="N3275" s="5" t="str">
        <f t="shared" si="4"/>
        <v>Target</v>
      </c>
      <c r="O3275" s="5" t="str">
        <f t="shared" si="5"/>
        <v>14 years 10 months in role and company</v>
      </c>
      <c r="P3275" s="5" t="str">
        <f t="shared" si="6"/>
        <v>Buffalo</v>
      </c>
      <c r="Q3275" s="5" t="str">
        <f t="shared" si="7"/>
        <v>New York</v>
      </c>
      <c r="R3275" s="5" t="str">
        <f t="shared" si="8"/>
        <v>United States</v>
      </c>
    </row>
    <row r="3276">
      <c r="A3276" s="7" t="s">
        <v>3169</v>
      </c>
      <c r="B3276" s="5" t="s">
        <v>3167</v>
      </c>
      <c r="C3276" s="5" t="s">
        <v>1028</v>
      </c>
      <c r="D3276" s="6" t="s">
        <v>13</v>
      </c>
      <c r="E3276" s="5" t="s">
        <v>3168</v>
      </c>
      <c r="F3276" s="5" t="s">
        <v>455</v>
      </c>
      <c r="G3276" s="5" t="s">
        <v>166</v>
      </c>
      <c r="H3276" s="5" t="s">
        <v>44</v>
      </c>
      <c r="I3276" s="5" t="s">
        <v>18</v>
      </c>
      <c r="J3276" s="9" t="str">
        <f>IFERROR(__xludf.DUMMYFUNCTION("""COMPUTED_VALUE"""),"https://www.google.com/search?newwindow=1&amp;ei=2MT0XrvGGM-vytMP1OyDgAY&amp;q=site%3Alinkedin.com+Craig+Sedoris+Campus+Recruiter+Target")</f>
        <v>https://www.google.com/search?newwindow=1&amp;ei=2MT0XrvGGM-vytMP1OyDgAY&amp;q=site%3Alinkedin.com+Craig+Sedoris+Campus+Recruiter+Target</v>
      </c>
      <c r="K3276" s="5" t="str">
        <f t="shared" si="1"/>
        <v>Craig Sedoris</v>
      </c>
      <c r="L3276" s="5" t="str">
        <f t="shared" si="2"/>
        <v>Campus Recruiter</v>
      </c>
      <c r="M3276" s="5" t="str">
        <f t="shared" si="3"/>
        <v> </v>
      </c>
      <c r="N3276" s="5" t="str">
        <f t="shared" si="4"/>
        <v>Target</v>
      </c>
      <c r="O3276" s="5" t="str">
        <f t="shared" si="5"/>
        <v>6 years 9 months in role and company</v>
      </c>
      <c r="P3276" s="5" t="str">
        <f t="shared" si="6"/>
        <v>Bullhead City</v>
      </c>
      <c r="Q3276" s="5" t="str">
        <f t="shared" si="7"/>
        <v>Arizona</v>
      </c>
      <c r="R3276" s="5" t="str">
        <f t="shared" si="8"/>
        <v>United States</v>
      </c>
    </row>
    <row r="3277">
      <c r="A3277" s="7" t="s">
        <v>3171</v>
      </c>
      <c r="B3277" s="5" t="s">
        <v>3170</v>
      </c>
      <c r="C3277" s="5" t="s">
        <v>110</v>
      </c>
      <c r="D3277" s="6" t="s">
        <v>13</v>
      </c>
      <c r="E3277" s="5" t="s">
        <v>3168</v>
      </c>
      <c r="G3277" s="5" t="s">
        <v>166</v>
      </c>
      <c r="H3277" s="5" t="s">
        <v>44</v>
      </c>
      <c r="I3277" s="5" t="s">
        <v>18</v>
      </c>
      <c r="J3277" s="9" t="str">
        <f>IFERROR(__xludf.DUMMYFUNCTION("""COMPUTED_VALUE"""),"https://www.google.com/search?newwindow=1&amp;ei=2MT0XrvGGM-vytMP1OyDgAY&amp;q=site%3Alinkedin.com+MaRyia+Jones+Campus+Recruiter/Business+College+Leader+Target")</f>
        <v>https://www.google.com/search?newwindow=1&amp;ei=2MT0XrvGGM-vytMP1OyDgAY&amp;q=site%3Alinkedin.com+MaRyia+Jones+Campus+Recruiter/Business+College+Leader+Target</v>
      </c>
      <c r="K3277" s="5" t="str">
        <f t="shared" si="1"/>
        <v>MaRyia Jones</v>
      </c>
      <c r="L3277" s="5" t="str">
        <f t="shared" si="2"/>
        <v>Campus Recruiter/Business College Leader</v>
      </c>
      <c r="M3277" s="5" t="str">
        <f t="shared" si="3"/>
        <v> </v>
      </c>
      <c r="N3277" s="5" t="str">
        <f t="shared" si="4"/>
        <v>Target</v>
      </c>
      <c r="O3277" s="5" t="str">
        <f t="shared" si="5"/>
        <v>20 years 10 months in role and company</v>
      </c>
      <c r="P3277" s="5" t="str">
        <f t="shared" si="6"/>
        <v>Chaska</v>
      </c>
      <c r="Q3277" s="5" t="str">
        <f t="shared" si="7"/>
        <v>Minnesota</v>
      </c>
      <c r="R3277" s="5" t="str">
        <f t="shared" si="8"/>
        <v>United States</v>
      </c>
    </row>
    <row r="3278">
      <c r="A3278" s="7" t="s">
        <v>3174</v>
      </c>
      <c r="B3278" s="5" t="s">
        <v>3172</v>
      </c>
      <c r="C3278" s="5" t="s">
        <v>3173</v>
      </c>
      <c r="D3278" s="6" t="s">
        <v>13</v>
      </c>
      <c r="E3278" s="5" t="s">
        <v>3168</v>
      </c>
      <c r="G3278" s="5" t="s">
        <v>166</v>
      </c>
      <c r="H3278" s="5" t="s">
        <v>44</v>
      </c>
      <c r="I3278" s="5" t="s">
        <v>18</v>
      </c>
      <c r="J3278" s="9" t="str">
        <f>IFERROR(__xludf.DUMMYFUNCTION("""COMPUTED_VALUE"""),"https://www.google.com/search?newwindow=1&amp;ei=2MT0XrvGGM-vytMP1OyDgAY&amp;q=site%3Alinkedin.com+Ashley+Miller+Lead+Executive+Campus+Recruiter+Target")</f>
        <v>https://www.google.com/search?newwindow=1&amp;ei=2MT0XrvGGM-vytMP1OyDgAY&amp;q=site%3Alinkedin.com+Ashley+Miller+Lead+Executive+Campus+Recruiter+Target</v>
      </c>
      <c r="K3278" s="5" t="str">
        <f t="shared" si="1"/>
        <v>Ashley Miller</v>
      </c>
      <c r="L3278" s="5" t="str">
        <f t="shared" si="2"/>
        <v>Lead Executive Campus Recruiter</v>
      </c>
      <c r="M3278" s="5" t="str">
        <f t="shared" si="3"/>
        <v> </v>
      </c>
      <c r="N3278" s="5" t="str">
        <f t="shared" si="4"/>
        <v>Target</v>
      </c>
      <c r="O3278" s="5" t="str">
        <f t="shared" si="5"/>
        <v>6 years 4 months in role</v>
      </c>
      <c r="P3278" s="5" t="str">
        <f t="shared" si="6"/>
        <v>Cincinnati</v>
      </c>
      <c r="Q3278" s="5" t="str">
        <f t="shared" si="7"/>
        <v>Ohio</v>
      </c>
      <c r="R3278" s="5" t="str">
        <f t="shared" si="8"/>
        <v>United States</v>
      </c>
    </row>
    <row r="3279">
      <c r="A3279" s="7" t="s">
        <v>3178</v>
      </c>
      <c r="B3279" s="5" t="s">
        <v>3175</v>
      </c>
      <c r="C3279" s="5" t="s">
        <v>3176</v>
      </c>
      <c r="D3279" s="6" t="s">
        <v>13</v>
      </c>
      <c r="E3279" s="5" t="s">
        <v>3177</v>
      </c>
      <c r="F3279" s="5" t="s">
        <v>512</v>
      </c>
      <c r="G3279" s="5" t="s">
        <v>137</v>
      </c>
      <c r="H3279" s="5" t="s">
        <v>137</v>
      </c>
      <c r="I3279" s="5" t="s">
        <v>18</v>
      </c>
      <c r="J3279" s="9" t="str">
        <f>IFERROR(__xludf.DUMMYFUNCTION("""COMPUTED_VALUE"""),"https://www.google.com/search?newwindow=1&amp;ei=2MT0XrvGGM-vytMP1OyDgAY&amp;q=site%3Alinkedin.com+Kathryn+Kusa+Campus+Recruiter+Target")</f>
        <v>https://www.google.com/search?newwindow=1&amp;ei=2MT0XrvGGM-vytMP1OyDgAY&amp;q=site%3Alinkedin.com+Kathryn+Kusa+Campus+Recruiter+Target</v>
      </c>
      <c r="K3279" s="5" t="str">
        <f t="shared" si="1"/>
        <v>Kathryn Kusa</v>
      </c>
      <c r="L3279" s="5" t="str">
        <f t="shared" si="2"/>
        <v>Campus Recruiter</v>
      </c>
      <c r="M3279" s="5" t="str">
        <f t="shared" si="3"/>
        <v> </v>
      </c>
      <c r="N3279" s="5" t="str">
        <f t="shared" si="4"/>
        <v>Target</v>
      </c>
      <c r="O3279" s="5" t="str">
        <f t="shared" si="5"/>
        <v>5 years 6 months in role</v>
      </c>
      <c r="P3279" s="5" t="str">
        <f t="shared" si="6"/>
        <v>Cleveland</v>
      </c>
      <c r="Q3279" s="5" t="str">
        <f t="shared" si="7"/>
        <v>Ohio</v>
      </c>
      <c r="R3279" s="5" t="str">
        <f t="shared" si="8"/>
        <v>United States</v>
      </c>
    </row>
    <row r="3280">
      <c r="A3280" s="7" t="s">
        <v>3181</v>
      </c>
      <c r="B3280" s="5" t="s">
        <v>3179</v>
      </c>
      <c r="C3280" s="5" t="s">
        <v>3180</v>
      </c>
      <c r="D3280" s="6" t="s">
        <v>13</v>
      </c>
      <c r="E3280" s="5" t="s">
        <v>3177</v>
      </c>
      <c r="F3280" s="5" t="s">
        <v>100</v>
      </c>
      <c r="G3280" s="5" t="s">
        <v>1131</v>
      </c>
      <c r="H3280" s="5" t="s">
        <v>203</v>
      </c>
      <c r="I3280" s="5" t="s">
        <v>18</v>
      </c>
      <c r="J3280" s="9" t="str">
        <f>IFERROR(__xludf.DUMMYFUNCTION("""COMPUTED_VALUE"""),"https://www.google.com/search?newwindow=1&amp;ei=2MT0XrvGGM-vytMP1OyDgAY&amp;q=site%3Alinkedin.com+Beth+Bonarrigo+Sr.+Field+Campus+Recruiter+I+Trainer+I+HR+Business+Partner+Target")</f>
        <v>https://www.google.com/search?newwindow=1&amp;ei=2MT0XrvGGM-vytMP1OyDgAY&amp;q=site%3Alinkedin.com+Beth+Bonarrigo+Sr.+Field+Campus+Recruiter+I+Trainer+I+HR+Business+Partner+Target</v>
      </c>
      <c r="K3280" s="5" t="str">
        <f t="shared" si="1"/>
        <v>Beth Bonarrigo</v>
      </c>
      <c r="L3280" s="5" t="str">
        <f t="shared" si="2"/>
        <v>Sr. Field Campus Recruiter I Trainer I HR Business Partner</v>
      </c>
      <c r="M3280" s="5" t="str">
        <f t="shared" si="3"/>
        <v> </v>
      </c>
      <c r="N3280" s="5" t="str">
        <f t="shared" si="4"/>
        <v>Target</v>
      </c>
      <c r="O3280" s="5" t="str">
        <f t="shared" si="5"/>
        <v>9 years 9 months in role</v>
      </c>
      <c r="P3280" s="5" t="str">
        <f t="shared" si="6"/>
        <v>Columbus</v>
      </c>
      <c r="Q3280" s="5" t="str">
        <f t="shared" si="7"/>
        <v>Ohio</v>
      </c>
      <c r="R3280" s="5" t="str">
        <f t="shared" si="8"/>
        <v>United States</v>
      </c>
    </row>
    <row r="3281">
      <c r="A3281" s="7" t="s">
        <v>3185</v>
      </c>
      <c r="B3281" s="5" t="s">
        <v>3182</v>
      </c>
      <c r="C3281" s="5" t="s">
        <v>3183</v>
      </c>
      <c r="D3281" s="6" t="s">
        <v>13</v>
      </c>
      <c r="E3281" s="5" t="s">
        <v>3184</v>
      </c>
      <c r="F3281" s="5" t="s">
        <v>48</v>
      </c>
      <c r="G3281" s="5" t="s">
        <v>85</v>
      </c>
      <c r="H3281" s="5" t="s">
        <v>86</v>
      </c>
      <c r="I3281" s="5" t="s">
        <v>18</v>
      </c>
      <c r="J3281" s="9" t="str">
        <f>IFERROR(__xludf.DUMMYFUNCTION("""COMPUTED_VALUE"""),"https://www.google.com/search?newwindow=1&amp;ei=2MT0XrvGGM-vytMP1OyDgAY&amp;q=site%3Alinkedin.com+Vanessa+Kramer+Campus+Recruiter+Target")</f>
        <v>https://www.google.com/search?newwindow=1&amp;ei=2MT0XrvGGM-vytMP1OyDgAY&amp;q=site%3Alinkedin.com+Vanessa+Kramer+Campus+Recruiter+Target</v>
      </c>
      <c r="K3281" s="5" t="str">
        <f t="shared" si="1"/>
        <v>Vanessa Kramer</v>
      </c>
      <c r="L3281" s="5" t="str">
        <f t="shared" si="2"/>
        <v>Campus Recruiter</v>
      </c>
      <c r="M3281" s="5" t="str">
        <f t="shared" si="3"/>
        <v> </v>
      </c>
      <c r="N3281" s="5" t="str">
        <f t="shared" si="4"/>
        <v>Target</v>
      </c>
      <c r="O3281" s="5" t="str">
        <f t="shared" si="5"/>
        <v>5 years 10 months in role</v>
      </c>
      <c r="P3281" s="5" t="str">
        <f t="shared" si="6"/>
        <v>Dallas</v>
      </c>
      <c r="Q3281" s="5" t="str">
        <f t="shared" si="7"/>
        <v>Texas</v>
      </c>
      <c r="R3281" s="5" t="str">
        <f t="shared" si="8"/>
        <v>United States</v>
      </c>
    </row>
    <row r="3282">
      <c r="A3282" s="8" t="s">
        <v>3188</v>
      </c>
      <c r="B3282" s="5" t="s">
        <v>3186</v>
      </c>
      <c r="C3282" s="5" t="s">
        <v>3187</v>
      </c>
      <c r="D3282" s="6" t="s">
        <v>13</v>
      </c>
      <c r="E3282" s="5" t="s">
        <v>3184</v>
      </c>
      <c r="F3282" s="5" t="s">
        <v>399</v>
      </c>
      <c r="G3282" s="5" t="s">
        <v>122</v>
      </c>
      <c r="H3282" s="5" t="s">
        <v>44</v>
      </c>
      <c r="I3282" s="5" t="s">
        <v>18</v>
      </c>
      <c r="J3282" s="9" t="str">
        <f>IFERROR(__xludf.DUMMYFUNCTION("""COMPUTED_VALUE"""),"https://www.google.com/search?newwindow=1&amp;ei=2MT0XrvGGM-vytMP1OyDgAY&amp;q=site%3Alinkedin.com+Andrea+Herrald+Lead+Executive+Campus+Recruiter-Supply+Chain+Target")</f>
        <v>https://www.google.com/search?newwindow=1&amp;ei=2MT0XrvGGM-vytMP1OyDgAY&amp;q=site%3Alinkedin.com+Andrea+Herrald+Lead+Executive+Campus+Recruiter-Supply+Chain+Target</v>
      </c>
      <c r="K3282" s="5" t="str">
        <f t="shared" si="1"/>
        <v>Andrea Herrald</v>
      </c>
      <c r="L3282" s="5" t="str">
        <f t="shared" si="2"/>
        <v>Lead Executive Campus Recruiter-Supply Chain</v>
      </c>
      <c r="M3282" s="5" t="str">
        <f t="shared" si="3"/>
        <v> </v>
      </c>
      <c r="N3282" s="5" t="str">
        <f t="shared" si="4"/>
        <v>Target</v>
      </c>
      <c r="O3282" s="5" t="str">
        <f t="shared" si="5"/>
        <v>1 year 4 months in role</v>
      </c>
      <c r="P3282" s="5" t="str">
        <f t="shared" si="6"/>
        <v>De Kalb</v>
      </c>
      <c r="Q3282" s="5" t="str">
        <f t="shared" si="7"/>
        <v>Illinois</v>
      </c>
      <c r="R3282" s="5" t="str">
        <f t="shared" si="8"/>
        <v>United States</v>
      </c>
    </row>
    <row r="3283">
      <c r="A3283" s="7" t="s">
        <v>3191</v>
      </c>
      <c r="B3283" s="5" t="s">
        <v>3189</v>
      </c>
      <c r="C3283" s="5" t="s">
        <v>3190</v>
      </c>
      <c r="D3283" s="6" t="s">
        <v>13</v>
      </c>
      <c r="E3283" s="5" t="s">
        <v>3184</v>
      </c>
      <c r="F3283" s="5" t="s">
        <v>2544</v>
      </c>
      <c r="G3283" s="5" t="s">
        <v>953</v>
      </c>
      <c r="H3283" s="5" t="s">
        <v>954</v>
      </c>
      <c r="I3283" s="5" t="s">
        <v>18</v>
      </c>
      <c r="J3283" s="9" t="str">
        <f>IFERROR(__xludf.DUMMYFUNCTION("""COMPUTED_VALUE"""),"https://www.google.com/search?newwindow=1&amp;ei=2MT0XrvGGM-vytMP1OyDgAY&amp;q=site%3Alinkedin.com+John+Walsh+Campus+Recruiter+Target")</f>
        <v>https://www.google.com/search?newwindow=1&amp;ei=2MT0XrvGGM-vytMP1OyDgAY&amp;q=site%3Alinkedin.com+John+Walsh+Campus+Recruiter+Target</v>
      </c>
      <c r="K3283" s="5" t="str">
        <f t="shared" si="1"/>
        <v>John Walsh</v>
      </c>
      <c r="L3283" s="5" t="str">
        <f t="shared" si="2"/>
        <v>Campus Recruiter</v>
      </c>
      <c r="M3283" s="5" t="str">
        <f t="shared" si="3"/>
        <v> </v>
      </c>
      <c r="N3283" s="5" t="str">
        <f t="shared" si="4"/>
        <v>Target</v>
      </c>
      <c r="O3283" s="5" t="str">
        <f t="shared" si="5"/>
        <v>9 years 7 months in role</v>
      </c>
      <c r="P3283" s="5" t="str">
        <f t="shared" si="6"/>
        <v>Fort Collins</v>
      </c>
      <c r="Q3283" s="5" t="str">
        <f t="shared" si="7"/>
        <v>Colorado</v>
      </c>
      <c r="R3283" s="5" t="str">
        <f t="shared" si="8"/>
        <v>United States</v>
      </c>
    </row>
    <row r="3284">
      <c r="A3284" s="8" t="s">
        <v>3194</v>
      </c>
      <c r="B3284" s="5" t="s">
        <v>3192</v>
      </c>
      <c r="C3284" s="5" t="s">
        <v>3193</v>
      </c>
      <c r="D3284" s="6" t="s">
        <v>13</v>
      </c>
      <c r="E3284" s="5" t="s">
        <v>3184</v>
      </c>
      <c r="F3284" s="5" t="s">
        <v>36</v>
      </c>
      <c r="G3284" s="5" t="s">
        <v>953</v>
      </c>
      <c r="H3284" s="5" t="s">
        <v>954</v>
      </c>
      <c r="I3284" s="5" t="s">
        <v>18</v>
      </c>
      <c r="J3284" s="9" t="str">
        <f>IFERROR(__xludf.DUMMYFUNCTION("""COMPUTED_VALUE"""),"https://www.google.com/search?newwindow=1&amp;ei=2MT0XrvGGM-vytMP1OyDgAY&amp;q=site%3Alinkedin.com+sara+moghadam+Group+Campus+Recruiter+Target")</f>
        <v>https://www.google.com/search?newwindow=1&amp;ei=2MT0XrvGGM-vytMP1OyDgAY&amp;q=site%3Alinkedin.com+sara+moghadam+Group+Campus+Recruiter+Target</v>
      </c>
      <c r="K3284" s="5" t="str">
        <f t="shared" si="1"/>
        <v>sara moghadam</v>
      </c>
      <c r="L3284" s="5" t="str">
        <f t="shared" si="2"/>
        <v>Group Campus Recruiter</v>
      </c>
      <c r="M3284" s="5" t="str">
        <f t="shared" si="3"/>
        <v> </v>
      </c>
      <c r="N3284" s="5" t="str">
        <f t="shared" si="4"/>
        <v>Target</v>
      </c>
      <c r="O3284" s="5" t="str">
        <f t="shared" si="5"/>
        <v/>
      </c>
      <c r="P3284" s="5" t="str">
        <f t="shared" si="6"/>
        <v>Fremont</v>
      </c>
      <c r="Q3284" s="5" t="str">
        <f t="shared" si="7"/>
        <v>California</v>
      </c>
      <c r="R3284" s="5" t="str">
        <f t="shared" si="8"/>
        <v>United States</v>
      </c>
    </row>
    <row r="3285">
      <c r="A3285" s="7" t="s">
        <v>3198</v>
      </c>
      <c r="B3285" s="5" t="s">
        <v>3195</v>
      </c>
      <c r="C3285" s="5" t="s">
        <v>3196</v>
      </c>
      <c r="D3285" s="6" t="s">
        <v>13</v>
      </c>
      <c r="E3285" s="5" t="s">
        <v>3184</v>
      </c>
      <c r="F3285" s="5" t="s">
        <v>574</v>
      </c>
      <c r="G3285" s="5" t="s">
        <v>3197</v>
      </c>
      <c r="H3285" s="5" t="s">
        <v>954</v>
      </c>
      <c r="I3285" s="5" t="s">
        <v>18</v>
      </c>
      <c r="J3285" s="9" t="str">
        <f>IFERROR(__xludf.DUMMYFUNCTION("""COMPUTED_VALUE"""),"https://www.google.com/search?newwindow=1&amp;ei=2MT0XrvGGM-vytMP1OyDgAY&amp;q=site%3Alinkedin.com+Amy+Hayes+Executive+Team+Leader-+Logistics/Campus+Recruiter+D446+Target")</f>
        <v>https://www.google.com/search?newwindow=1&amp;ei=2MT0XrvGGM-vytMP1OyDgAY&amp;q=site%3Alinkedin.com+Amy+Hayes+Executive+Team+Leader-+Logistics/Campus+Recruiter+D446+Target</v>
      </c>
      <c r="K3285" s="5" t="str">
        <f t="shared" si="1"/>
        <v>Amy Hayes</v>
      </c>
      <c r="L3285" s="5" t="str">
        <f t="shared" si="2"/>
        <v>Executive Team Leader- Logistics/Campus Recruiter D446</v>
      </c>
      <c r="M3285" s="5" t="str">
        <f t="shared" si="3"/>
        <v> </v>
      </c>
      <c r="N3285" s="5" t="str">
        <f t="shared" si="4"/>
        <v>Target</v>
      </c>
      <c r="O3285" s="5" t="str">
        <f t="shared" si="5"/>
        <v>6 years 5 months in role</v>
      </c>
      <c r="P3285" s="5" t="str">
        <f t="shared" si="6"/>
        <v>Hoboken</v>
      </c>
      <c r="Q3285" s="5" t="str">
        <f t="shared" si="7"/>
        <v>New Jersey</v>
      </c>
      <c r="R3285" s="5" t="str">
        <f t="shared" si="8"/>
        <v>United States</v>
      </c>
    </row>
    <row r="3286">
      <c r="A3286" s="7" t="s">
        <v>3201</v>
      </c>
      <c r="B3286" s="5" t="s">
        <v>3199</v>
      </c>
      <c r="C3286" s="5" t="s">
        <v>371</v>
      </c>
      <c r="D3286" s="6" t="s">
        <v>13</v>
      </c>
      <c r="E3286" s="5" t="s">
        <v>3200</v>
      </c>
      <c r="F3286" s="5" t="s">
        <v>351</v>
      </c>
      <c r="G3286" s="5" t="s">
        <v>85</v>
      </c>
      <c r="H3286" s="5" t="s">
        <v>86</v>
      </c>
      <c r="I3286" s="5" t="s">
        <v>18</v>
      </c>
      <c r="J3286" s="9" t="str">
        <f>IFERROR(__xludf.DUMMYFUNCTION("""COMPUTED_VALUE"""),"https://www.google.com/search?newwindow=1&amp;ei=2MT0XrvGGM-vytMP1OyDgAY&amp;q=site%3Alinkedin.com+April+Voigt+Campus+and+Experienced+Recruiter+Target")</f>
        <v>https://www.google.com/search?newwindow=1&amp;ei=2MT0XrvGGM-vytMP1OyDgAY&amp;q=site%3Alinkedin.com+April+Voigt+Campus+and+Experienced+Recruiter+Target</v>
      </c>
      <c r="K3286" s="5" t="str">
        <f t="shared" si="1"/>
        <v>April Voigt</v>
      </c>
      <c r="L3286" s="5" t="str">
        <f t="shared" si="2"/>
        <v>Campus and Experienced Recruiter</v>
      </c>
      <c r="M3286" s="5" t="str">
        <f t="shared" si="3"/>
        <v> </v>
      </c>
      <c r="N3286" s="5" t="str">
        <f t="shared" si="4"/>
        <v>Target</v>
      </c>
      <c r="O3286" s="5" t="str">
        <f t="shared" si="5"/>
        <v>10 years  in role and company</v>
      </c>
      <c r="P3286" s="5" t="str">
        <f t="shared" si="6"/>
        <v>Holmen</v>
      </c>
      <c r="Q3286" s="5" t="str">
        <f t="shared" si="7"/>
        <v>Wisconsin</v>
      </c>
      <c r="R3286" s="5" t="str">
        <f t="shared" si="8"/>
        <v>United States</v>
      </c>
    </row>
    <row r="3287">
      <c r="A3287" s="7" t="s">
        <v>3203</v>
      </c>
      <c r="B3287" s="5" t="s">
        <v>3202</v>
      </c>
      <c r="C3287" s="5" t="s">
        <v>371</v>
      </c>
      <c r="D3287" s="6" t="s">
        <v>13</v>
      </c>
      <c r="E3287" s="5" t="s">
        <v>3200</v>
      </c>
      <c r="F3287" s="5" t="s">
        <v>233</v>
      </c>
      <c r="G3287" s="5" t="s">
        <v>102</v>
      </c>
      <c r="H3287" s="5" t="s">
        <v>172</v>
      </c>
      <c r="I3287" s="5" t="s">
        <v>18</v>
      </c>
      <c r="J3287" s="9" t="str">
        <f>IFERROR(__xludf.DUMMYFUNCTION("""COMPUTED_VALUE"""),"https://www.google.com/search?newwindow=1&amp;ei=2MT0XrvGGM-vytMP1OyDgAY&amp;q=site%3Alinkedin.com+Zavier+Lewis+Executive+Recruiter+Target")</f>
        <v>https://www.google.com/search?newwindow=1&amp;ei=2MT0XrvGGM-vytMP1OyDgAY&amp;q=site%3Alinkedin.com+Zavier+Lewis+Executive+Recruiter+Target</v>
      </c>
      <c r="K3287" s="5" t="str">
        <f t="shared" si="1"/>
        <v>Zavier Lewis</v>
      </c>
      <c r="L3287" s="5" t="str">
        <f t="shared" si="2"/>
        <v>Executive Recruiter</v>
      </c>
      <c r="M3287" s="5" t="str">
        <f t="shared" si="3"/>
        <v> </v>
      </c>
      <c r="N3287" s="5" t="str">
        <f t="shared" si="4"/>
        <v>Target</v>
      </c>
      <c r="O3287" s="5" t="str">
        <f t="shared" si="5"/>
        <v>1 year 10 months in role</v>
      </c>
      <c r="P3287" s="5" t="str">
        <f t="shared" si="6"/>
        <v>Houston</v>
      </c>
      <c r="Q3287" s="5" t="str">
        <f t="shared" si="7"/>
        <v>Texas</v>
      </c>
      <c r="R3287" s="5" t="str">
        <f t="shared" si="8"/>
        <v>United States</v>
      </c>
    </row>
    <row r="3288">
      <c r="A3288" s="7" t="s">
        <v>3205</v>
      </c>
      <c r="B3288" s="5" t="s">
        <v>3204</v>
      </c>
      <c r="C3288" s="5" t="s">
        <v>371</v>
      </c>
      <c r="D3288" s="6" t="s">
        <v>13</v>
      </c>
      <c r="E3288" s="5" t="s">
        <v>3200</v>
      </c>
      <c r="F3288" s="5" t="s">
        <v>277</v>
      </c>
      <c r="G3288" s="5" t="s">
        <v>102</v>
      </c>
      <c r="H3288" s="5" t="s">
        <v>172</v>
      </c>
      <c r="I3288" s="5" t="s">
        <v>18</v>
      </c>
      <c r="J3288" s="9" t="str">
        <f>IFERROR(__xludf.DUMMYFUNCTION("""COMPUTED_VALUE"""),"https://www.google.com/search?newwindow=1&amp;ei=2MT0XrvGGM-vytMP1OyDgAY&amp;q=site%3Alinkedin.com+Andi+Christenson+Lead+Executive+Recruiter+Target")</f>
        <v>https://www.google.com/search?newwindow=1&amp;ei=2MT0XrvGGM-vytMP1OyDgAY&amp;q=site%3Alinkedin.com+Andi+Christenson+Lead+Executive+Recruiter+Target</v>
      </c>
      <c r="K3288" s="5" t="str">
        <f t="shared" si="1"/>
        <v>Andi Christenson</v>
      </c>
      <c r="L3288" s="5" t="str">
        <f t="shared" si="2"/>
        <v>Lead Executive Recruiter</v>
      </c>
      <c r="M3288" s="5" t="str">
        <f t="shared" si="3"/>
        <v> </v>
      </c>
      <c r="N3288" s="5" t="str">
        <f t="shared" si="4"/>
        <v>Target</v>
      </c>
      <c r="O3288" s="5" t="str">
        <f t="shared" si="5"/>
        <v>2 years 1 month in role</v>
      </c>
      <c r="P3288" s="5" t="str">
        <f t="shared" si="6"/>
        <v>Kansas City</v>
      </c>
      <c r="Q3288" s="5" t="str">
        <f t="shared" si="7"/>
        <v>Missouri</v>
      </c>
      <c r="R3288" s="5" t="str">
        <f t="shared" si="8"/>
        <v>United States</v>
      </c>
    </row>
    <row r="3289">
      <c r="A3289" s="7" t="s">
        <v>3210</v>
      </c>
      <c r="B3289" s="5" t="s">
        <v>3206</v>
      </c>
      <c r="C3289" s="5" t="s">
        <v>3207</v>
      </c>
      <c r="D3289" s="6" t="s">
        <v>13</v>
      </c>
      <c r="E3289" s="5" t="s">
        <v>3208</v>
      </c>
      <c r="F3289" s="5" t="s">
        <v>651</v>
      </c>
      <c r="G3289" s="5" t="s">
        <v>3209</v>
      </c>
      <c r="H3289" s="5" t="s">
        <v>102</v>
      </c>
      <c r="I3289" s="5" t="s">
        <v>18</v>
      </c>
      <c r="J3289" s="9" t="str">
        <f>IFERROR(__xludf.DUMMYFUNCTION("""COMPUTED_VALUE"""),"https://www.google.com/search?newwindow=1&amp;ei=2MT0XrvGGM-vytMP1OyDgAY&amp;q=site%3Alinkedin.com+Amanda+Luu+Senior+Campus+Recruiter+Target")</f>
        <v>https://www.google.com/search?newwindow=1&amp;ei=2MT0XrvGGM-vytMP1OyDgAY&amp;q=site%3Alinkedin.com+Amanda+Luu+Senior+Campus+Recruiter+Target</v>
      </c>
      <c r="K3289" s="5" t="str">
        <f t="shared" si="1"/>
        <v>Amanda Luu</v>
      </c>
      <c r="L3289" s="5" t="str">
        <f t="shared" si="2"/>
        <v>Senior Campus Recruiter</v>
      </c>
      <c r="M3289" s="5" t="str">
        <f t="shared" si="3"/>
        <v> </v>
      </c>
      <c r="N3289" s="5" t="str">
        <f t="shared" si="4"/>
        <v>Target</v>
      </c>
      <c r="O3289" s="5" t="str">
        <f t="shared" si="5"/>
        <v>3 years 3 months in role</v>
      </c>
      <c r="P3289" s="5" t="str">
        <f t="shared" si="6"/>
        <v>Los Angeles</v>
      </c>
      <c r="Q3289" s="5" t="str">
        <f t="shared" si="7"/>
        <v>California</v>
      </c>
      <c r="R3289" s="5" t="str">
        <f t="shared" si="8"/>
        <v>United States</v>
      </c>
    </row>
    <row r="3290">
      <c r="A3290" s="7" t="s">
        <v>3212</v>
      </c>
      <c r="B3290" s="5" t="s">
        <v>3211</v>
      </c>
      <c r="C3290" s="5" t="s">
        <v>110</v>
      </c>
      <c r="D3290" s="6" t="s">
        <v>13</v>
      </c>
      <c r="E3290" s="5" t="s">
        <v>3208</v>
      </c>
      <c r="F3290" s="5" t="s">
        <v>228</v>
      </c>
      <c r="G3290" s="5" t="s">
        <v>3209</v>
      </c>
      <c r="H3290" s="5" t="s">
        <v>102</v>
      </c>
      <c r="I3290" s="5" t="s">
        <v>18</v>
      </c>
      <c r="J3290" s="9" t="str">
        <f>IFERROR(__xludf.DUMMYFUNCTION("""COMPUTED_VALUE"""),"https://www.google.com/search?newwindow=1&amp;ei=2MT0XrvGGM-vytMP1OyDgAY&amp;q=site%3Alinkedin.com+David+Wyant+Lead+Recruiter+-+Campus+Target")</f>
        <v>https://www.google.com/search?newwindow=1&amp;ei=2MT0XrvGGM-vytMP1OyDgAY&amp;q=site%3Alinkedin.com+David+Wyant+Lead+Recruiter+-+Campus+Target</v>
      </c>
      <c r="K3290" s="5" t="str">
        <f t="shared" si="1"/>
        <v>David Wyant</v>
      </c>
      <c r="L3290" s="5" t="str">
        <f t="shared" si="2"/>
        <v>Lead Recruiter - Campus</v>
      </c>
      <c r="M3290" s="5" t="str">
        <f t="shared" si="3"/>
        <v> </v>
      </c>
      <c r="N3290" s="5" t="str">
        <f t="shared" si="4"/>
        <v>Target</v>
      </c>
      <c r="O3290" s="5" t="str">
        <f t="shared" si="5"/>
        <v>1 year 8 months in role</v>
      </c>
      <c r="P3290" s="5" t="str">
        <f t="shared" si="6"/>
        <v>Mechanicsville</v>
      </c>
      <c r="Q3290" s="5" t="str">
        <f t="shared" si="7"/>
        <v>Virginia</v>
      </c>
      <c r="R3290" s="5" t="str">
        <f t="shared" si="8"/>
        <v>United States</v>
      </c>
    </row>
    <row r="3291">
      <c r="A3291" s="7" t="s">
        <v>3215</v>
      </c>
      <c r="B3291" s="5" t="s">
        <v>3213</v>
      </c>
      <c r="C3291" s="5" t="s">
        <v>110</v>
      </c>
      <c r="D3291" s="6" t="s">
        <v>13</v>
      </c>
      <c r="E3291" s="5" t="s">
        <v>3208</v>
      </c>
      <c r="F3291" s="5" t="s">
        <v>3214</v>
      </c>
      <c r="G3291" s="5" t="s">
        <v>3209</v>
      </c>
      <c r="H3291" s="5" t="s">
        <v>102</v>
      </c>
      <c r="I3291" s="5" t="s">
        <v>18</v>
      </c>
      <c r="J3291" s="9" t="str">
        <f>IFERROR(__xludf.DUMMYFUNCTION("""COMPUTED_VALUE"""),"https://www.google.com/search?newwindow=1&amp;ei=2MT0XrvGGM-vytMP1OyDgAY&amp;q=site%3Alinkedin.com+Darielle+Gengler-Hanson+Lead+Executive+Recruiter+Target")</f>
        <v>https://www.google.com/search?newwindow=1&amp;ei=2MT0XrvGGM-vytMP1OyDgAY&amp;q=site%3Alinkedin.com+Darielle+Gengler-Hanson+Lead+Executive+Recruiter+Target</v>
      </c>
      <c r="K3291" s="5" t="str">
        <f t="shared" si="1"/>
        <v>Darielle Gengler-Hanson</v>
      </c>
      <c r="L3291" s="5" t="str">
        <f t="shared" si="2"/>
        <v>Lead Executive Recruiter</v>
      </c>
      <c r="M3291" s="5" t="str">
        <f t="shared" si="3"/>
        <v> </v>
      </c>
      <c r="N3291" s="5" t="str">
        <f t="shared" si="4"/>
        <v>Target</v>
      </c>
      <c r="O3291" s="5" t="str">
        <f t="shared" si="5"/>
        <v>2 years 1 month in role and company</v>
      </c>
      <c r="P3291" s="5" t="str">
        <f t="shared" si="6"/>
        <v>Minneapolis</v>
      </c>
      <c r="Q3291" s="5" t="str">
        <f t="shared" si="7"/>
        <v>Minnesota</v>
      </c>
      <c r="R3291" s="5" t="str">
        <f t="shared" si="8"/>
        <v>United States</v>
      </c>
    </row>
    <row r="3292">
      <c r="A3292" s="7" t="s">
        <v>3217</v>
      </c>
      <c r="B3292" s="5" t="s">
        <v>3216</v>
      </c>
      <c r="C3292" s="5" t="s">
        <v>110</v>
      </c>
      <c r="D3292" s="6" t="s">
        <v>13</v>
      </c>
      <c r="E3292" s="5" t="s">
        <v>3208</v>
      </c>
      <c r="F3292" s="5" t="s">
        <v>63</v>
      </c>
      <c r="G3292" s="5" t="s">
        <v>3209</v>
      </c>
      <c r="H3292" s="5" t="s">
        <v>102</v>
      </c>
      <c r="I3292" s="5" t="s">
        <v>18</v>
      </c>
      <c r="J3292" s="9" t="str">
        <f>IFERROR(__xludf.DUMMYFUNCTION("""COMPUTED_VALUE"""),"https://www.google.com/search?newwindow=1&amp;ei=2MT0XrvGGM-vytMP1OyDgAY&amp;q=site%3Alinkedin.com+Ellen+Meeks+Lead+Executive+Campus+Recruiter+-+Supply+Chain+Target")</f>
        <v>https://www.google.com/search?newwindow=1&amp;ei=2MT0XrvGGM-vytMP1OyDgAY&amp;q=site%3Alinkedin.com+Ellen+Meeks+Lead+Executive+Campus+Recruiter+-+Supply+Chain+Target</v>
      </c>
      <c r="K3292" s="5" t="str">
        <f t="shared" si="1"/>
        <v>Ellen Meeks</v>
      </c>
      <c r="L3292" s="5" t="str">
        <f t="shared" si="2"/>
        <v>Lead Executive Campus Recruiter - Supply Chain</v>
      </c>
      <c r="M3292" s="5" t="str">
        <f t="shared" si="3"/>
        <v> </v>
      </c>
      <c r="N3292" s="5" t="str">
        <f t="shared" si="4"/>
        <v>Target</v>
      </c>
      <c r="O3292" s="5" t="str">
        <f t="shared" si="5"/>
        <v>7 months in role</v>
      </c>
      <c r="P3292" s="5" t="str">
        <f t="shared" si="6"/>
        <v>Minneapolis</v>
      </c>
      <c r="Q3292" s="5" t="str">
        <f t="shared" si="7"/>
        <v>Minnesota</v>
      </c>
      <c r="R3292" s="5" t="str">
        <f t="shared" si="8"/>
        <v>United States</v>
      </c>
    </row>
    <row r="3293">
      <c r="A3293" s="7" t="s">
        <v>3220</v>
      </c>
      <c r="B3293" s="5" t="s">
        <v>3218</v>
      </c>
      <c r="C3293" s="5" t="s">
        <v>3219</v>
      </c>
      <c r="D3293" s="6" t="s">
        <v>13</v>
      </c>
      <c r="E3293" s="5" t="s">
        <v>3208</v>
      </c>
      <c r="F3293" s="5" t="s">
        <v>523</v>
      </c>
      <c r="G3293" s="5" t="s">
        <v>3209</v>
      </c>
      <c r="H3293" s="5" t="s">
        <v>102</v>
      </c>
      <c r="I3293" s="5" t="s">
        <v>18</v>
      </c>
      <c r="J3293" s="9" t="str">
        <f>IFERROR(__xludf.DUMMYFUNCTION("""COMPUTED_VALUE"""),"https://www.google.com/search?newwindow=1&amp;ei=2MT0XrvGGM-vytMP1OyDgAY&amp;q=site%3Alinkedin.com+Miranda+Wolfe+Sr.+Campus+Recruiter+Target")</f>
        <v>https://www.google.com/search?newwindow=1&amp;ei=2MT0XrvGGM-vytMP1OyDgAY&amp;q=site%3Alinkedin.com+Miranda+Wolfe+Sr.+Campus+Recruiter+Target</v>
      </c>
      <c r="K3293" s="5" t="str">
        <f t="shared" si="1"/>
        <v>Miranda Wolfe</v>
      </c>
      <c r="L3293" s="5" t="str">
        <f t="shared" si="2"/>
        <v>Sr. Campus Recruiter</v>
      </c>
      <c r="M3293" s="5" t="str">
        <f t="shared" si="3"/>
        <v> </v>
      </c>
      <c r="N3293" s="5" t="str">
        <f t="shared" si="4"/>
        <v>Target</v>
      </c>
      <c r="O3293" s="5" t="str">
        <f t="shared" si="5"/>
        <v>1 year 11 months in role and company</v>
      </c>
      <c r="P3293" s="5" t="str">
        <f t="shared" si="6"/>
        <v>Minneapolis</v>
      </c>
      <c r="Q3293" s="5" t="str">
        <f t="shared" si="7"/>
        <v>Minnesota</v>
      </c>
      <c r="R3293" s="5" t="str">
        <f t="shared" si="8"/>
        <v>United States</v>
      </c>
    </row>
    <row r="3294">
      <c r="A3294" s="7" t="s">
        <v>3222</v>
      </c>
      <c r="B3294" s="5" t="s">
        <v>3221</v>
      </c>
      <c r="C3294" s="5" t="s">
        <v>110</v>
      </c>
      <c r="D3294" s="6" t="s">
        <v>13</v>
      </c>
      <c r="E3294" s="5" t="s">
        <v>3208</v>
      </c>
      <c r="F3294" s="5" t="s">
        <v>691</v>
      </c>
      <c r="G3294" s="5" t="s">
        <v>3209</v>
      </c>
      <c r="H3294" s="5" t="s">
        <v>102</v>
      </c>
      <c r="I3294" s="5" t="s">
        <v>18</v>
      </c>
      <c r="J3294" s="9" t="str">
        <f>IFERROR(__xludf.DUMMYFUNCTION("""COMPUTED_VALUE"""),"https://www.google.com/search?newwindow=1&amp;ei=2MT0XrvGGM-vytMP1OyDgAY&amp;q=site%3Alinkedin.com+Maya+Moss+Senior+Campus+Recruiter+Target")</f>
        <v>https://www.google.com/search?newwindow=1&amp;ei=2MT0XrvGGM-vytMP1OyDgAY&amp;q=site%3Alinkedin.com+Maya+Moss+Senior+Campus+Recruiter+Target</v>
      </c>
      <c r="K3294" s="5" t="str">
        <f t="shared" si="1"/>
        <v>Maya Moss</v>
      </c>
      <c r="L3294" s="5" t="str">
        <f t="shared" si="2"/>
        <v>Senior Campus Recruiter</v>
      </c>
      <c r="M3294" s="5" t="str">
        <f t="shared" si="3"/>
        <v> </v>
      </c>
      <c r="N3294" s="5" t="str">
        <f t="shared" si="4"/>
        <v>Target</v>
      </c>
      <c r="O3294" s="5" t="str">
        <f t="shared" si="5"/>
        <v>1 month in role</v>
      </c>
      <c r="P3294" s="5" t="str">
        <f t="shared" si="6"/>
        <v>Minneapolis</v>
      </c>
      <c r="Q3294" s="5" t="str">
        <f t="shared" si="7"/>
        <v>Minnesota</v>
      </c>
      <c r="R3294" s="5" t="str">
        <f t="shared" si="8"/>
        <v>United States</v>
      </c>
    </row>
    <row r="3295">
      <c r="A3295" s="7" t="s">
        <v>3225</v>
      </c>
      <c r="B3295" s="5" t="s">
        <v>3223</v>
      </c>
      <c r="C3295" s="5" t="s">
        <v>110</v>
      </c>
      <c r="D3295" s="6" t="s">
        <v>13</v>
      </c>
      <c r="E3295" s="5" t="s">
        <v>3208</v>
      </c>
      <c r="F3295" s="5" t="s">
        <v>15</v>
      </c>
      <c r="G3295" s="5" t="s">
        <v>3224</v>
      </c>
      <c r="H3295" s="5" t="s">
        <v>102</v>
      </c>
      <c r="I3295" s="5" t="s">
        <v>18</v>
      </c>
      <c r="J3295" s="9" t="str">
        <f>IFERROR(__xludf.DUMMYFUNCTION("""COMPUTED_VALUE"""),"https://www.google.com/search?newwindow=1&amp;ei=2MT0XrvGGM-vytMP1OyDgAY&amp;q=site%3Alinkedin.com+Jennifer+Castrodale+Sr.+Recruiter,+Campus+Supply+Chain+Target")</f>
        <v>https://www.google.com/search?newwindow=1&amp;ei=2MT0XrvGGM-vytMP1OyDgAY&amp;q=site%3Alinkedin.com+Jennifer+Castrodale+Sr.+Recruiter,+Campus+Supply+Chain+Target</v>
      </c>
      <c r="K3295" s="5" t="str">
        <f t="shared" si="1"/>
        <v>Jennifer Castrodale</v>
      </c>
      <c r="L3295" s="5" t="str">
        <f t="shared" si="2"/>
        <v>Sr. Recruiter, Campus Supply Chain</v>
      </c>
      <c r="M3295" s="5" t="str">
        <f t="shared" si="3"/>
        <v> </v>
      </c>
      <c r="N3295" s="5" t="str">
        <f t="shared" si="4"/>
        <v>Target</v>
      </c>
      <c r="O3295" s="5" t="str">
        <f t="shared" si="5"/>
        <v>1 year 6 months in role</v>
      </c>
      <c r="P3295" s="5" t="str">
        <f t="shared" si="6"/>
        <v>Minneapolis</v>
      </c>
      <c r="Q3295" s="5" t="str">
        <f t="shared" si="7"/>
        <v>Minnesota</v>
      </c>
      <c r="R3295" s="5" t="str">
        <f t="shared" si="8"/>
        <v>United States</v>
      </c>
    </row>
    <row r="3296">
      <c r="A3296" s="7" t="s">
        <v>3227</v>
      </c>
      <c r="B3296" s="5" t="s">
        <v>3226</v>
      </c>
      <c r="C3296" s="5" t="s">
        <v>110</v>
      </c>
      <c r="D3296" s="6" t="s">
        <v>13</v>
      </c>
      <c r="E3296" s="5" t="s">
        <v>3208</v>
      </c>
      <c r="F3296" s="5" t="s">
        <v>94</v>
      </c>
      <c r="G3296" s="5" t="s">
        <v>112</v>
      </c>
      <c r="H3296" s="5" t="s">
        <v>38</v>
      </c>
      <c r="I3296" s="5" t="s">
        <v>18</v>
      </c>
      <c r="J3296" s="9" t="str">
        <f>IFERROR(__xludf.DUMMYFUNCTION("""COMPUTED_VALUE"""),"https://www.google.com/search?newwindow=1&amp;ei=2MT0XrvGGM-vytMP1OyDgAY&amp;q=site%3Alinkedin.com+Pamela+McClaney+Lead+Executive+Recruiter+-+Field+Campus+Target")</f>
        <v>https://www.google.com/search?newwindow=1&amp;ei=2MT0XrvGGM-vytMP1OyDgAY&amp;q=site%3Alinkedin.com+Pamela+McClaney+Lead+Executive+Recruiter+-+Field+Campus+Target</v>
      </c>
      <c r="K3296" s="5" t="str">
        <f t="shared" si="1"/>
        <v>Pamela McClaney</v>
      </c>
      <c r="L3296" s="5" t="str">
        <f t="shared" si="2"/>
        <v>Lead Executive Recruiter - Field Campus</v>
      </c>
      <c r="M3296" s="5" t="str">
        <f t="shared" si="3"/>
        <v> </v>
      </c>
      <c r="N3296" s="5" t="str">
        <f t="shared" si="4"/>
        <v>Target</v>
      </c>
      <c r="O3296" s="5" t="str">
        <f t="shared" si="5"/>
        <v>1 year 4 months in role</v>
      </c>
      <c r="P3296" s="5" t="str">
        <f t="shared" si="6"/>
        <v>Minneapolis</v>
      </c>
      <c r="Q3296" s="5" t="str">
        <f t="shared" si="7"/>
        <v>Minnesota</v>
      </c>
      <c r="R3296" s="5" t="str">
        <f t="shared" si="8"/>
        <v>United States</v>
      </c>
    </row>
    <row r="3297">
      <c r="A3297" s="8" t="s">
        <v>3231</v>
      </c>
      <c r="B3297" s="5" t="s">
        <v>3228</v>
      </c>
      <c r="C3297" s="5" t="s">
        <v>3229</v>
      </c>
      <c r="D3297" s="6" t="s">
        <v>13</v>
      </c>
      <c r="E3297" s="5" t="s">
        <v>3208</v>
      </c>
      <c r="F3297" s="5" t="s">
        <v>574</v>
      </c>
      <c r="G3297" s="5" t="s">
        <v>3230</v>
      </c>
      <c r="H3297" s="5" t="s">
        <v>102</v>
      </c>
      <c r="I3297" s="5" t="s">
        <v>18</v>
      </c>
      <c r="J3297" s="9" t="str">
        <f>IFERROR(__xludf.DUMMYFUNCTION("""COMPUTED_VALUE"""),"https://www.google.com/search?newwindow=1&amp;ei=2MT0XrvGGM-vytMP1OyDgAY&amp;q=site%3Alinkedin.com+Anna+Davis+Sr.+Field+Campus+Recruiter+Target")</f>
        <v>https://www.google.com/search?newwindow=1&amp;ei=2MT0XrvGGM-vytMP1OyDgAY&amp;q=site%3Alinkedin.com+Anna+Davis+Sr.+Field+Campus+Recruiter+Target</v>
      </c>
      <c r="K3297" s="5" t="str">
        <f t="shared" si="1"/>
        <v>Anna Davis</v>
      </c>
      <c r="L3297" s="5" t="str">
        <f t="shared" si="2"/>
        <v>Sr. Field Campus Recruiter</v>
      </c>
      <c r="M3297" s="5" t="str">
        <f t="shared" si="3"/>
        <v> </v>
      </c>
      <c r="N3297" s="5" t="str">
        <f t="shared" si="4"/>
        <v>Target</v>
      </c>
      <c r="O3297" s="5" t="str">
        <f t="shared" si="5"/>
        <v>6 years 6 months in role</v>
      </c>
      <c r="P3297" s="5" t="str">
        <f t="shared" si="6"/>
        <v>Minneapolis</v>
      </c>
      <c r="Q3297" s="5" t="str">
        <f t="shared" si="7"/>
        <v>Minnesota</v>
      </c>
      <c r="R3297" s="5" t="str">
        <f t="shared" si="8"/>
        <v>United States</v>
      </c>
    </row>
    <row r="3298">
      <c r="A3298" s="7" t="s">
        <v>3233</v>
      </c>
      <c r="B3298" s="5" t="s">
        <v>3232</v>
      </c>
      <c r="C3298" s="5" t="s">
        <v>110</v>
      </c>
      <c r="D3298" s="6" t="s">
        <v>13</v>
      </c>
      <c r="E3298" s="5" t="s">
        <v>3208</v>
      </c>
      <c r="F3298" s="5" t="s">
        <v>1809</v>
      </c>
      <c r="G3298" s="5" t="s">
        <v>3230</v>
      </c>
      <c r="H3298" s="5" t="s">
        <v>102</v>
      </c>
      <c r="I3298" s="5" t="s">
        <v>18</v>
      </c>
      <c r="J3298" s="9" t="str">
        <f>IFERROR(__xludf.DUMMYFUNCTION("""COMPUTED_VALUE"""),"https://www.google.com/search?newwindow=1&amp;ei=2MT0XrvGGM-vytMP1OyDgAY&amp;q=site%3Alinkedin.com+Kyle+Bender+Lead+Executive+Campus+Recruiter+Target")</f>
        <v>https://www.google.com/search?newwindow=1&amp;ei=2MT0XrvGGM-vytMP1OyDgAY&amp;q=site%3Alinkedin.com+Kyle+Bender+Lead+Executive+Campus+Recruiter+Target</v>
      </c>
      <c r="K3298" s="5" t="str">
        <f t="shared" si="1"/>
        <v>Kyle Bender</v>
      </c>
      <c r="L3298" s="5" t="str">
        <f t="shared" si="2"/>
        <v>Lead Executive Campus Recruiter</v>
      </c>
      <c r="M3298" s="5" t="str">
        <f t="shared" si="3"/>
        <v> </v>
      </c>
      <c r="N3298" s="5" t="str">
        <f t="shared" si="4"/>
        <v>Target</v>
      </c>
      <c r="O3298" s="5" t="str">
        <f t="shared" si="5"/>
        <v>7 months in role</v>
      </c>
      <c r="P3298" s="5" t="str">
        <f t="shared" si="6"/>
        <v>Minneapolis</v>
      </c>
      <c r="Q3298" s="5" t="str">
        <f t="shared" si="7"/>
        <v>Minnesota</v>
      </c>
      <c r="R3298" s="5" t="str">
        <f t="shared" si="8"/>
        <v>United States</v>
      </c>
    </row>
    <row r="3299">
      <c r="A3299" s="7" t="s">
        <v>3235</v>
      </c>
      <c r="B3299" s="5" t="s">
        <v>3234</v>
      </c>
      <c r="C3299" s="5" t="s">
        <v>110</v>
      </c>
      <c r="D3299" s="6" t="s">
        <v>13</v>
      </c>
      <c r="E3299" s="5" t="s">
        <v>3208</v>
      </c>
      <c r="F3299" s="5" t="s">
        <v>574</v>
      </c>
      <c r="G3299" s="5" t="s">
        <v>2390</v>
      </c>
      <c r="H3299" s="5" t="s">
        <v>102</v>
      </c>
      <c r="I3299" s="5" t="s">
        <v>18</v>
      </c>
      <c r="J3299" s="9" t="str">
        <f>IFERROR(__xludf.DUMMYFUNCTION("""COMPUTED_VALUE"""),"https://www.google.com/search?newwindow=1&amp;ei=2MT0XrvGGM-vytMP1OyDgAY&amp;q=site%3Alinkedin.com+Iryonna+Scruggs+Field+Campus+recruiter+Target")</f>
        <v>https://www.google.com/search?newwindow=1&amp;ei=2MT0XrvGGM-vytMP1OyDgAY&amp;q=site%3Alinkedin.com+Iryonna+Scruggs+Field+Campus+recruiter+Target</v>
      </c>
      <c r="K3299" s="5" t="str">
        <f t="shared" si="1"/>
        <v>Iryonna Scruggs</v>
      </c>
      <c r="L3299" s="5" t="str">
        <f t="shared" si="2"/>
        <v>Field Campus recruiter</v>
      </c>
      <c r="M3299" s="5" t="str">
        <f t="shared" si="3"/>
        <v> </v>
      </c>
      <c r="N3299" s="5" t="str">
        <f t="shared" si="4"/>
        <v>Target</v>
      </c>
      <c r="O3299" s="5" t="str">
        <f t="shared" si="5"/>
        <v>5 years 3 months in role and company</v>
      </c>
      <c r="P3299" s="5" t="str">
        <f t="shared" si="6"/>
        <v>New Alexandria</v>
      </c>
      <c r="Q3299" s="5" t="str">
        <f t="shared" si="7"/>
        <v>Virginia</v>
      </c>
      <c r="R3299" s="5" t="str">
        <f t="shared" si="8"/>
        <v>United States</v>
      </c>
    </row>
    <row r="3300">
      <c r="A3300" s="7" t="s">
        <v>3237</v>
      </c>
      <c r="B3300" s="5" t="s">
        <v>3236</v>
      </c>
      <c r="C3300" s="5" t="s">
        <v>110</v>
      </c>
      <c r="D3300" s="6" t="s">
        <v>13</v>
      </c>
      <c r="E3300" s="5" t="s">
        <v>3208</v>
      </c>
      <c r="F3300" s="5" t="s">
        <v>1809</v>
      </c>
      <c r="G3300" s="5" t="s">
        <v>2390</v>
      </c>
      <c r="H3300" s="5" t="s">
        <v>102</v>
      </c>
      <c r="I3300" s="5" t="s">
        <v>18</v>
      </c>
      <c r="J3300" s="9" t="str">
        <f>IFERROR(__xludf.DUMMYFUNCTION("""COMPUTED_VALUE"""),"https://www.google.com/search?newwindow=1&amp;ei=2MT0XrvGGM-vytMP1OyDgAY&amp;q=site%3Alinkedin.com+James+P.+Muldoon+Campus+Recruiter+Target")</f>
        <v>https://www.google.com/search?newwindow=1&amp;ei=2MT0XrvGGM-vytMP1OyDgAY&amp;q=site%3Alinkedin.com+James+P.+Muldoon+Campus+Recruiter+Target</v>
      </c>
      <c r="K3300" s="5" t="str">
        <f t="shared" si="1"/>
        <v>James P. Muldoon</v>
      </c>
      <c r="L3300" s="5" t="str">
        <f t="shared" si="2"/>
        <v>Campus Recruiter</v>
      </c>
      <c r="M3300" s="5" t="str">
        <f t="shared" si="3"/>
        <v> </v>
      </c>
      <c r="N3300" s="5" t="str">
        <f t="shared" si="4"/>
        <v>Target</v>
      </c>
      <c r="O3300" s="5" t="str">
        <f t="shared" si="5"/>
        <v>5 years 7 months in role and company</v>
      </c>
      <c r="P3300" s="5" t="str">
        <f t="shared" si="6"/>
        <v>New York</v>
      </c>
      <c r="Q3300" s="5" t="str">
        <f t="shared" si="7"/>
        <v>New York</v>
      </c>
      <c r="R3300" s="5" t="str">
        <f t="shared" si="8"/>
        <v>United States</v>
      </c>
    </row>
    <row r="3301">
      <c r="A3301" s="7" t="s">
        <v>3239</v>
      </c>
      <c r="B3301" s="5" t="s">
        <v>3238</v>
      </c>
      <c r="C3301" s="5" t="s">
        <v>110</v>
      </c>
      <c r="D3301" s="6" t="s">
        <v>13</v>
      </c>
      <c r="E3301" s="5" t="s">
        <v>3208</v>
      </c>
      <c r="F3301" s="5" t="s">
        <v>1759</v>
      </c>
      <c r="G3301" s="5" t="s">
        <v>2390</v>
      </c>
      <c r="H3301" s="5" t="s">
        <v>102</v>
      </c>
      <c r="I3301" s="5" t="s">
        <v>18</v>
      </c>
      <c r="J3301" s="9" t="str">
        <f>IFERROR(__xludf.DUMMYFUNCTION("""COMPUTED_VALUE"""),"https://www.google.com/search?newwindow=1&amp;ei=2MT0XrvGGM-vytMP1OyDgAY&amp;q=site%3Alinkedin.com+Parker+Dunbar+Temple+University+Campus+Recruiter+Target")</f>
        <v>https://www.google.com/search?newwindow=1&amp;ei=2MT0XrvGGM-vytMP1OyDgAY&amp;q=site%3Alinkedin.com+Parker+Dunbar+Temple+University+Campus+Recruiter+Target</v>
      </c>
      <c r="K3301" s="5" t="str">
        <f t="shared" si="1"/>
        <v>Parker Dunbar</v>
      </c>
      <c r="L3301" s="5" t="str">
        <f t="shared" si="2"/>
        <v>Temple University Campus Recruiter</v>
      </c>
      <c r="M3301" s="5" t="str">
        <f t="shared" si="3"/>
        <v> </v>
      </c>
      <c r="N3301" s="5" t="str">
        <f t="shared" si="4"/>
        <v>Target</v>
      </c>
      <c r="O3301" s="5" t="str">
        <f t="shared" si="5"/>
        <v>4 years 9 months in role and company</v>
      </c>
      <c r="P3301" s="5" t="str">
        <f t="shared" si="6"/>
        <v>Philadelphia</v>
      </c>
      <c r="Q3301" s="5" t="str">
        <f t="shared" si="7"/>
        <v>Pennsylvania</v>
      </c>
      <c r="R3301" s="5" t="str">
        <f t="shared" si="8"/>
        <v>United States</v>
      </c>
    </row>
    <row r="3302">
      <c r="A3302" s="8" t="s">
        <v>3242</v>
      </c>
      <c r="B3302" s="5" t="s">
        <v>3240</v>
      </c>
      <c r="C3302" s="5" t="s">
        <v>3241</v>
      </c>
      <c r="D3302" s="6" t="s">
        <v>13</v>
      </c>
      <c r="E3302" s="5" t="s">
        <v>3208</v>
      </c>
      <c r="F3302" s="5" t="s">
        <v>149</v>
      </c>
      <c r="G3302" s="5" t="s">
        <v>122</v>
      </c>
      <c r="H3302" s="5" t="s">
        <v>44</v>
      </c>
      <c r="I3302" s="5" t="s">
        <v>18</v>
      </c>
      <c r="J3302" s="9" t="str">
        <f>IFERROR(__xludf.DUMMYFUNCTION("""COMPUTED_VALUE"""),"https://www.google.com/search?newwindow=1&amp;ei=2MT0XrvGGM-vytMP1OyDgAY&amp;q=site%3Alinkedin.com+Victorya+Curcuro+Senior+Campus+Recruiter+Target")</f>
        <v>https://www.google.com/search?newwindow=1&amp;ei=2MT0XrvGGM-vytMP1OyDgAY&amp;q=site%3Alinkedin.com+Victorya+Curcuro+Senior+Campus+Recruiter+Target</v>
      </c>
      <c r="K3302" s="5" t="str">
        <f t="shared" si="1"/>
        <v>Victorya Curcuro</v>
      </c>
      <c r="L3302" s="5" t="str">
        <f t="shared" si="2"/>
        <v>Senior Campus Recruiter</v>
      </c>
      <c r="M3302" s="5" t="str">
        <f t="shared" si="3"/>
        <v> </v>
      </c>
      <c r="N3302" s="5" t="str">
        <f t="shared" si="4"/>
        <v>Target</v>
      </c>
      <c r="O3302" s="5" t="str">
        <f t="shared" si="5"/>
        <v>1 year 9 months in role</v>
      </c>
      <c r="P3302" s="5" t="str">
        <f t="shared" si="6"/>
        <v>San Diego</v>
      </c>
      <c r="Q3302" s="5" t="str">
        <f t="shared" si="7"/>
        <v>California</v>
      </c>
      <c r="R3302" s="5" t="str">
        <f t="shared" si="8"/>
        <v>United States</v>
      </c>
    </row>
    <row r="3303">
      <c r="A3303" s="7" t="s">
        <v>3245</v>
      </c>
      <c r="B3303" s="5" t="s">
        <v>3243</v>
      </c>
      <c r="C3303" s="5" t="s">
        <v>110</v>
      </c>
      <c r="D3303" s="6" t="s">
        <v>13</v>
      </c>
      <c r="E3303" s="5" t="s">
        <v>3208</v>
      </c>
      <c r="F3303" s="5" t="s">
        <v>15</v>
      </c>
      <c r="G3303" s="5" t="s">
        <v>3244</v>
      </c>
      <c r="H3303" s="5" t="s">
        <v>102</v>
      </c>
      <c r="I3303" s="5" t="s">
        <v>18</v>
      </c>
      <c r="J3303" s="9" t="str">
        <f>IFERROR(__xludf.DUMMYFUNCTION("""COMPUTED_VALUE"""),"https://www.google.com/search?newwindow=1&amp;ei=2MT0XrvGGM-vytMP1OyDgAY&amp;q=site%3Alinkedin.com+Jenn.Bass+(T1400)+Pharmacy+College+Recruiter,+Pharmacist+Target")</f>
        <v>https://www.google.com/search?newwindow=1&amp;ei=2MT0XrvGGM-vytMP1OyDgAY&amp;q=site%3Alinkedin.com+Jenn.Bass+(T1400)+Pharmacy+College+Recruiter,+Pharmacist+Target</v>
      </c>
      <c r="K3303" s="5" t="str">
        <f t="shared" si="1"/>
        <v>Jenn.Bass (T1400)</v>
      </c>
      <c r="L3303" s="5" t="str">
        <f t="shared" si="2"/>
        <v>Pharmacy College Recruiter, Pharmacist</v>
      </c>
      <c r="M3303" s="5" t="str">
        <f t="shared" si="3"/>
        <v> </v>
      </c>
      <c r="N3303" s="5" t="str">
        <f t="shared" si="4"/>
        <v>Target</v>
      </c>
      <c r="O3303" s="5" t="str">
        <f t="shared" si="5"/>
        <v/>
      </c>
      <c r="P3303" s="5" t="str">
        <f t="shared" si="6"/>
        <v>Smyrna</v>
      </c>
      <c r="Q3303" s="5" t="str">
        <f t="shared" si="7"/>
        <v>Georgia</v>
      </c>
      <c r="R3303" s="5" t="str">
        <f t="shared" si="8"/>
        <v>United States</v>
      </c>
    </row>
    <row r="3304">
      <c r="A3304" s="7" t="s">
        <v>3247</v>
      </c>
      <c r="B3304" s="5" t="s">
        <v>3246</v>
      </c>
      <c r="C3304" s="5" t="s">
        <v>25</v>
      </c>
      <c r="D3304" s="6" t="s">
        <v>13</v>
      </c>
      <c r="E3304" s="5" t="s">
        <v>3208</v>
      </c>
      <c r="F3304" s="5" t="s">
        <v>1105</v>
      </c>
      <c r="G3304" s="5" t="s">
        <v>953</v>
      </c>
      <c r="H3304" s="5" t="s">
        <v>954</v>
      </c>
      <c r="I3304" s="5" t="s">
        <v>18</v>
      </c>
      <c r="J3304" s="9" t="str">
        <f>IFERROR(__xludf.DUMMYFUNCTION("""COMPUTED_VALUE"""),"https://www.google.com/search?newwindow=1&amp;ei=2MT0XrvGGM-vytMP1OyDgAY&amp;q=site%3Alinkedin.com+Danielle+Mork+Sr+Campus+Recruiter+-+Supply+Chain+Target")</f>
        <v>https://www.google.com/search?newwindow=1&amp;ei=2MT0XrvGGM-vytMP1OyDgAY&amp;q=site%3Alinkedin.com+Danielle+Mork+Sr+Campus+Recruiter+-+Supply+Chain+Target</v>
      </c>
      <c r="K3304" s="5" t="str">
        <f t="shared" si="1"/>
        <v>Danielle Mork</v>
      </c>
      <c r="L3304" s="5" t="str">
        <f t="shared" si="2"/>
        <v>Sr Campus Recruiter - Supply Chain</v>
      </c>
      <c r="M3304" s="5" t="str">
        <f t="shared" si="3"/>
        <v> </v>
      </c>
      <c r="N3304" s="5" t="str">
        <f t="shared" si="4"/>
        <v>Target</v>
      </c>
      <c r="O3304" s="5" t="str">
        <f t="shared" si="5"/>
        <v>4 months in role</v>
      </c>
      <c r="P3304" s="5" t="str">
        <f t="shared" si="6"/>
        <v>St Paul</v>
      </c>
      <c r="Q3304" s="5" t="str">
        <f t="shared" si="7"/>
        <v>Minnesota</v>
      </c>
      <c r="R3304" s="5" t="str">
        <f t="shared" si="8"/>
        <v>United States</v>
      </c>
    </row>
    <row r="3305">
      <c r="A3305" s="7" t="s">
        <v>3250</v>
      </c>
      <c r="B3305" s="5" t="s">
        <v>3248</v>
      </c>
      <c r="C3305" s="5" t="s">
        <v>110</v>
      </c>
      <c r="D3305" s="6" t="s">
        <v>13</v>
      </c>
      <c r="E3305" s="5" t="s">
        <v>3208</v>
      </c>
      <c r="F3305" s="5" t="s">
        <v>774</v>
      </c>
      <c r="G3305" s="5" t="s">
        <v>3249</v>
      </c>
      <c r="H3305" s="5" t="s">
        <v>102</v>
      </c>
      <c r="I3305" s="5" t="s">
        <v>18</v>
      </c>
      <c r="J3305" s="9" t="str">
        <f>IFERROR(__xludf.DUMMYFUNCTION("""COMPUTED_VALUE"""),"https://www.google.com/search?newwindow=1&amp;ei=2MT0XrvGGM-vytMP1OyDgAY&amp;q=site%3Alinkedin.com+Sarah+Fairchild+Human+Resources+Representative/Executive+and+Campus+Recruiter+Target+Corporation")</f>
        <v>https://www.google.com/search?newwindow=1&amp;ei=2MT0XrvGGM-vytMP1OyDgAY&amp;q=site%3Alinkedin.com+Sarah+Fairchild+Human+Resources+Representative/Executive+and+Campus+Recruiter+Target+Corporation</v>
      </c>
      <c r="K3305" s="5" t="str">
        <f t="shared" si="1"/>
        <v>Sarah Fairchild</v>
      </c>
      <c r="L3305" s="5" t="str">
        <f t="shared" si="2"/>
        <v>Human Resources Representative/Executive and Campus Recruiter</v>
      </c>
      <c r="M3305" s="5" t="str">
        <f t="shared" si="3"/>
        <v> </v>
      </c>
      <c r="N3305" s="5" t="str">
        <f t="shared" si="4"/>
        <v>Target</v>
      </c>
      <c r="O3305" s="5" t="str">
        <f t="shared" si="5"/>
        <v>16 years 10 months in role and company</v>
      </c>
      <c r="P3305" s="5" t="str">
        <f t="shared" si="6"/>
        <v>Topeka</v>
      </c>
      <c r="Q3305" s="5" t="str">
        <f t="shared" si="7"/>
        <v>Kansas</v>
      </c>
      <c r="R3305" s="5" t="str">
        <f t="shared" si="8"/>
        <v>United States</v>
      </c>
    </row>
    <row r="3306">
      <c r="A3306" s="7" t="s">
        <v>3254</v>
      </c>
      <c r="B3306" s="5" t="s">
        <v>3251</v>
      </c>
      <c r="C3306" s="5" t="s">
        <v>3252</v>
      </c>
      <c r="D3306" s="6" t="s">
        <v>13</v>
      </c>
      <c r="E3306" s="5" t="s">
        <v>3208</v>
      </c>
      <c r="F3306" s="5" t="s">
        <v>149</v>
      </c>
      <c r="G3306" s="5" t="s">
        <v>3253</v>
      </c>
      <c r="H3306" s="5" t="s">
        <v>86</v>
      </c>
      <c r="I3306" s="5" t="s">
        <v>18</v>
      </c>
      <c r="J3306" s="9" t="str">
        <f>IFERROR(__xludf.DUMMYFUNCTION("""COMPUTED_VALUE"""),"https://www.google.com/search?newwindow=1&amp;ei=2MT0XrvGGM-vytMP1OyDgAY&amp;q=site%3Alinkedin.com+Sara+Lopez+Campus+Recruiter+Target+Headquarters")</f>
        <v>https://www.google.com/search?newwindow=1&amp;ei=2MT0XrvGGM-vytMP1OyDgAY&amp;q=site%3Alinkedin.com+Sara+Lopez+Campus+Recruiter+Target+Headquarters</v>
      </c>
      <c r="K3306" s="5" t="str">
        <f t="shared" si="1"/>
        <v>Sara Lopez</v>
      </c>
      <c r="L3306" s="5" t="str">
        <f t="shared" si="2"/>
        <v>Campus Recruiter</v>
      </c>
      <c r="M3306" s="5" t="str">
        <f t="shared" si="3"/>
        <v> </v>
      </c>
      <c r="N3306" s="5" t="str">
        <f t="shared" si="4"/>
        <v>Target</v>
      </c>
      <c r="O3306" s="5" t="str">
        <f t="shared" si="5"/>
        <v/>
      </c>
      <c r="P3306" s="5" t="str">
        <f t="shared" si="6"/>
        <v>Minneapolis</v>
      </c>
      <c r="Q3306" s="5" t="str">
        <f t="shared" si="7"/>
        <v>Minnesota</v>
      </c>
      <c r="R3306" s="5" t="str">
        <f t="shared" si="8"/>
        <v>United States</v>
      </c>
    </row>
    <row r="3307">
      <c r="A3307" s="7" t="s">
        <v>3256</v>
      </c>
      <c r="B3307" s="5" t="s">
        <v>3255</v>
      </c>
      <c r="C3307" s="5" t="s">
        <v>110</v>
      </c>
      <c r="D3307" s="6" t="s">
        <v>13</v>
      </c>
      <c r="E3307" s="5" t="s">
        <v>3208</v>
      </c>
      <c r="F3307" s="5" t="s">
        <v>106</v>
      </c>
      <c r="G3307" s="5" t="s">
        <v>2419</v>
      </c>
      <c r="H3307" s="5" t="s">
        <v>102</v>
      </c>
      <c r="I3307" s="5" t="s">
        <v>18</v>
      </c>
      <c r="J3307" s="9" t="str">
        <f>IFERROR(__xludf.DUMMYFUNCTION("""COMPUTED_VALUE"""),"https://www.google.com/search?newwindow=1&amp;ei=2MT0XrvGGM-vytMP1OyDgAY&amp;q=site%3Alinkedin.com+Madhuri+Gadkari+Campus+Recruiter+Tata+Consultancy+Services")</f>
        <v>https://www.google.com/search?newwindow=1&amp;ei=2MT0XrvGGM-vytMP1OyDgAY&amp;q=site%3Alinkedin.com+Madhuri+Gadkari+Campus+Recruiter+Tata+Consultancy+Services</v>
      </c>
      <c r="K3307" s="5" t="str">
        <f t="shared" si="1"/>
        <v>Madhuri Gadkari</v>
      </c>
      <c r="L3307" s="5" t="str">
        <f t="shared" si="2"/>
        <v>Campus Recruiter</v>
      </c>
      <c r="M3307" s="5" t="str">
        <f t="shared" si="3"/>
        <v> </v>
      </c>
      <c r="N3307" s="5" t="str">
        <f t="shared" si="4"/>
        <v>Tata Consultancy Services</v>
      </c>
      <c r="O3307" s="5" t="str">
        <f t="shared" si="5"/>
        <v>4 years 10 months in role and company</v>
      </c>
      <c r="P3307" s="5" t="str">
        <f t="shared" si="6"/>
        <v>New York</v>
      </c>
      <c r="Q3307" s="5" t="str">
        <f t="shared" si="7"/>
        <v>New York</v>
      </c>
      <c r="R3307" s="5" t="str">
        <f t="shared" si="8"/>
        <v>United States</v>
      </c>
    </row>
    <row r="3308">
      <c r="A3308" s="7" t="s">
        <v>3258</v>
      </c>
      <c r="B3308" s="5" t="s">
        <v>3257</v>
      </c>
      <c r="C3308" s="5" t="s">
        <v>110</v>
      </c>
      <c r="D3308" s="6" t="s">
        <v>13</v>
      </c>
      <c r="E3308" s="5" t="s">
        <v>3208</v>
      </c>
      <c r="F3308" s="5" t="s">
        <v>585</v>
      </c>
      <c r="G3308" s="5" t="s">
        <v>2419</v>
      </c>
      <c r="H3308" s="5" t="s">
        <v>102</v>
      </c>
      <c r="I3308" s="5" t="s">
        <v>18</v>
      </c>
      <c r="J3308" s="9" t="str">
        <f>IFERROR(__xludf.DUMMYFUNCTION("""COMPUTED_VALUE"""),"https://www.google.com/search?newwindow=1&amp;ei=2MT0XrvGGM-vytMP1OyDgAY&amp;q=site%3Alinkedin.com+Tyler+George+Mathurin+Campus+Recruiter+Tata+Consultancy+Services")</f>
        <v>https://www.google.com/search?newwindow=1&amp;ei=2MT0XrvGGM-vytMP1OyDgAY&amp;q=site%3Alinkedin.com+Tyler+George+Mathurin+Campus+Recruiter+Tata+Consultancy+Services</v>
      </c>
      <c r="K3308" s="5" t="str">
        <f t="shared" si="1"/>
        <v>Tyler George Mathurin</v>
      </c>
      <c r="L3308" s="5" t="str">
        <f t="shared" si="2"/>
        <v>Campus Recruiter</v>
      </c>
      <c r="M3308" s="5" t="str">
        <f t="shared" si="3"/>
        <v> </v>
      </c>
      <c r="N3308" s="5" t="str">
        <f t="shared" si="4"/>
        <v>Tata Consultancy Services</v>
      </c>
      <c r="O3308" s="5" t="str">
        <f t="shared" si="5"/>
        <v/>
      </c>
      <c r="P3308" s="5" t="str">
        <f t="shared" si="6"/>
        <v>New York</v>
      </c>
      <c r="Q3308" s="5" t="str">
        <f t="shared" si="7"/>
        <v>New York</v>
      </c>
      <c r="R3308" s="5" t="str">
        <f t="shared" si="8"/>
        <v>United States</v>
      </c>
    </row>
    <row r="3309">
      <c r="A3309" s="7" t="s">
        <v>3261</v>
      </c>
      <c r="B3309" s="5" t="s">
        <v>3259</v>
      </c>
      <c r="C3309" s="5" t="s">
        <v>3260</v>
      </c>
      <c r="D3309" s="6" t="s">
        <v>13</v>
      </c>
      <c r="E3309" s="5" t="s">
        <v>3208</v>
      </c>
      <c r="F3309" s="5" t="s">
        <v>2265</v>
      </c>
      <c r="G3309" s="5" t="s">
        <v>2419</v>
      </c>
      <c r="H3309" s="5" t="s">
        <v>102</v>
      </c>
      <c r="I3309" s="5" t="s">
        <v>18</v>
      </c>
      <c r="J3309" s="9" t="str">
        <f>IFERROR(__xludf.DUMMYFUNCTION("""COMPUTED_VALUE"""),"https://www.google.com/search?newwindow=1&amp;ei=2MT0XrvGGM-vytMP1OyDgAY&amp;q=site%3Alinkedin.com+Joe+Leos,+Jr.,+PHR,+SHRM+CP+Campus+Recruiter+Tata+Consultancy+Services")</f>
        <v>https://www.google.com/search?newwindow=1&amp;ei=2MT0XrvGGM-vytMP1OyDgAY&amp;q=site%3Alinkedin.com+Joe+Leos,+Jr.,+PHR,+SHRM+CP+Campus+Recruiter+Tata+Consultancy+Services</v>
      </c>
      <c r="K3309" s="5" t="str">
        <f t="shared" si="1"/>
        <v>Joe Leos, Jr., PHR, SHRM CP</v>
      </c>
      <c r="L3309" s="5" t="str">
        <f t="shared" si="2"/>
        <v>Campus Recruiter</v>
      </c>
      <c r="M3309" s="5" t="str">
        <f t="shared" si="3"/>
        <v> </v>
      </c>
      <c r="N3309" s="5" t="str">
        <f t="shared" si="4"/>
        <v>Tata Consultancy Services</v>
      </c>
      <c r="O3309" s="5" t="str">
        <f t="shared" si="5"/>
        <v>2 years 7 months in role and company</v>
      </c>
      <c r="P3309" s="5" t="str">
        <f t="shared" si="6"/>
        <v>San Francisco</v>
      </c>
      <c r="Q3309" s="5" t="str">
        <f t="shared" si="7"/>
        <v>California</v>
      </c>
      <c r="R3309" s="5" t="str">
        <f t="shared" si="8"/>
        <v>United States</v>
      </c>
    </row>
    <row r="3310">
      <c r="A3310" s="7" t="s">
        <v>3263</v>
      </c>
      <c r="B3310" s="5" t="s">
        <v>3262</v>
      </c>
      <c r="C3310" s="5" t="s">
        <v>110</v>
      </c>
      <c r="D3310" s="6" t="s">
        <v>13</v>
      </c>
      <c r="E3310" s="5" t="s">
        <v>3208</v>
      </c>
      <c r="F3310" s="5" t="s">
        <v>182</v>
      </c>
      <c r="G3310" s="5" t="s">
        <v>2419</v>
      </c>
      <c r="H3310" s="5" t="s">
        <v>102</v>
      </c>
      <c r="I3310" s="5" t="s">
        <v>18</v>
      </c>
      <c r="J3310" s="9" t="str">
        <f>IFERROR(__xludf.DUMMYFUNCTION("""COMPUTED_VALUE"""),"https://www.google.com/search?newwindow=1&amp;ei=2MT0XrvGGM-vytMP1OyDgAY&amp;q=site%3Alinkedin.com+Lauren+Peters+Senior+University+Relations+Recruiter+TEKsystems")</f>
        <v>https://www.google.com/search?newwindow=1&amp;ei=2MT0XrvGGM-vytMP1OyDgAY&amp;q=site%3Alinkedin.com+Lauren+Peters+Senior+University+Relations+Recruiter+TEKsystems</v>
      </c>
      <c r="K3310" s="5" t="str">
        <f t="shared" si="1"/>
        <v>Lauren Peters</v>
      </c>
      <c r="L3310" s="5" t="str">
        <f t="shared" si="2"/>
        <v>Senior University Relations Recruiter</v>
      </c>
      <c r="M3310" s="5" t="str">
        <f t="shared" si="3"/>
        <v> </v>
      </c>
      <c r="N3310" s="5" t="str">
        <f t="shared" si="4"/>
        <v>TEKsystems</v>
      </c>
      <c r="O3310" s="5" t="str">
        <f t="shared" si="5"/>
        <v>6 years 6 months in role</v>
      </c>
      <c r="P3310" s="5" t="str">
        <f t="shared" si="6"/>
        <v>Chicago</v>
      </c>
      <c r="Q3310" s="5" t="str">
        <f t="shared" si="7"/>
        <v>Illinois</v>
      </c>
      <c r="R3310" s="5" t="str">
        <f t="shared" si="8"/>
        <v>United States</v>
      </c>
    </row>
    <row r="3311">
      <c r="A3311" s="7" t="s">
        <v>3265</v>
      </c>
      <c r="B3311" s="5" t="s">
        <v>3264</v>
      </c>
      <c r="C3311" s="5" t="s">
        <v>2418</v>
      </c>
      <c r="D3311" s="6" t="s">
        <v>13</v>
      </c>
      <c r="E3311" s="5" t="s">
        <v>3208</v>
      </c>
      <c r="F3311" s="5" t="s">
        <v>1300</v>
      </c>
      <c r="G3311" s="5" t="s">
        <v>2419</v>
      </c>
      <c r="H3311" s="5" t="s">
        <v>102</v>
      </c>
      <c r="I3311" s="5" t="s">
        <v>18</v>
      </c>
      <c r="J3311" s="9" t="str">
        <f>IFERROR(__xludf.DUMMYFUNCTION("""COMPUTED_VALUE"""),"https://www.google.com/search?newwindow=1&amp;ei=2MT0XrvGGM-vytMP1OyDgAY&amp;q=site%3Alinkedin.com+Teron+Foster+University+Relations+Recruiter+TEKsystems")</f>
        <v>https://www.google.com/search?newwindow=1&amp;ei=2MT0XrvGGM-vytMP1OyDgAY&amp;q=site%3Alinkedin.com+Teron+Foster+University+Relations+Recruiter+TEKsystems</v>
      </c>
      <c r="K3311" s="5" t="str">
        <f t="shared" si="1"/>
        <v>Teron Foster</v>
      </c>
      <c r="L3311" s="5" t="str">
        <f t="shared" si="2"/>
        <v>University Relations Recruiter</v>
      </c>
      <c r="M3311" s="5" t="str">
        <f t="shared" si="3"/>
        <v> </v>
      </c>
      <c r="N3311" s="5" t="str">
        <f t="shared" si="4"/>
        <v>TEKsystems</v>
      </c>
      <c r="O3311" s="5" t="str">
        <f t="shared" si="5"/>
        <v>2 years 10 months in role</v>
      </c>
      <c r="P3311" s="5" t="str">
        <f t="shared" si="6"/>
        <v>Greensboro</v>
      </c>
      <c r="Q3311" s="5" t="str">
        <f t="shared" si="7"/>
        <v>North Carolina</v>
      </c>
      <c r="R3311" s="5" t="str">
        <f t="shared" si="8"/>
        <v>United States</v>
      </c>
    </row>
    <row r="3312">
      <c r="A3312" s="7" t="s">
        <v>3267</v>
      </c>
      <c r="B3312" s="5" t="s">
        <v>3266</v>
      </c>
      <c r="C3312" s="5" t="s">
        <v>3207</v>
      </c>
      <c r="D3312" s="6" t="s">
        <v>13</v>
      </c>
      <c r="E3312" s="5" t="s">
        <v>3208</v>
      </c>
      <c r="F3312" s="5" t="s">
        <v>182</v>
      </c>
      <c r="G3312" s="5" t="s">
        <v>2419</v>
      </c>
      <c r="H3312" s="5" t="s">
        <v>102</v>
      </c>
      <c r="I3312" s="5" t="s">
        <v>18</v>
      </c>
      <c r="J3312" s="9" t="str">
        <f>IFERROR(__xludf.DUMMYFUNCTION("""COMPUTED_VALUE"""),"https://www.google.com/search?newwindow=1&amp;ei=2MT0XrvGGM-vytMP1OyDgAY&amp;q=site%3Alinkedin.com+Se'Ron+Leary+Intern+IT+Recruiter+TEKsystems")</f>
        <v>https://www.google.com/search?newwindow=1&amp;ei=2MT0XrvGGM-vytMP1OyDgAY&amp;q=site%3Alinkedin.com+Se'Ron+Leary+Intern+IT+Recruiter+TEKsystems</v>
      </c>
      <c r="K3312" s="5" t="str">
        <f t="shared" si="1"/>
        <v>Se'Ron Leary</v>
      </c>
      <c r="L3312" s="5" t="str">
        <f t="shared" si="2"/>
        <v>Intern IT Recruiter</v>
      </c>
      <c r="M3312" s="5" t="str">
        <f t="shared" si="3"/>
        <v> </v>
      </c>
      <c r="N3312" s="5" t="str">
        <f t="shared" si="4"/>
        <v>TEKsystems</v>
      </c>
      <c r="O3312" s="5" t="str">
        <f t="shared" si="5"/>
        <v>4 years 5 months in role and company</v>
      </c>
      <c r="P3312" s="5" t="str">
        <f t="shared" si="6"/>
        <v>Greensboro</v>
      </c>
      <c r="Q3312" s="5" t="str">
        <f t="shared" si="7"/>
        <v>North Carolina</v>
      </c>
      <c r="R3312" s="5" t="str">
        <f t="shared" si="8"/>
        <v>United States</v>
      </c>
    </row>
    <row r="3313">
      <c r="A3313" s="7" t="s">
        <v>3269</v>
      </c>
      <c r="B3313" s="5" t="s">
        <v>3268</v>
      </c>
      <c r="C3313" s="5" t="s">
        <v>110</v>
      </c>
      <c r="D3313" s="6" t="s">
        <v>13</v>
      </c>
      <c r="E3313" s="5" t="s">
        <v>3208</v>
      </c>
      <c r="G3313" s="5" t="s">
        <v>2419</v>
      </c>
      <c r="H3313" s="5" t="s">
        <v>102</v>
      </c>
      <c r="I3313" s="5" t="s">
        <v>18</v>
      </c>
      <c r="J3313" s="9" t="str">
        <f>IFERROR(__xludf.DUMMYFUNCTION("""COMPUTED_VALUE"""),"https://www.google.com/search?newwindow=1&amp;ei=2MT0XrvGGM-vytMP1OyDgAY&amp;q=site%3Alinkedin.com+Maggie+Loya+University+Relations+Recruiter+TEKsystems")</f>
        <v>https://www.google.com/search?newwindow=1&amp;ei=2MT0XrvGGM-vytMP1OyDgAY&amp;q=site%3Alinkedin.com+Maggie+Loya+University+Relations+Recruiter+TEKsystems</v>
      </c>
      <c r="K3313" s="5" t="str">
        <f t="shared" si="1"/>
        <v>Maggie Loya</v>
      </c>
      <c r="L3313" s="5" t="str">
        <f t="shared" si="2"/>
        <v>University Relations Recruiter</v>
      </c>
      <c r="M3313" s="5" t="str">
        <f t="shared" si="3"/>
        <v> </v>
      </c>
      <c r="N3313" s="5" t="str">
        <f t="shared" si="4"/>
        <v>TEKsystems</v>
      </c>
      <c r="O3313" s="5" t="str">
        <f t="shared" si="5"/>
        <v>1 year 7 months in role</v>
      </c>
      <c r="P3313" s="5" t="str">
        <f t="shared" si="6"/>
        <v>Pittsburgh</v>
      </c>
      <c r="Q3313" s="5" t="str">
        <f t="shared" si="7"/>
        <v>Pennsylvania</v>
      </c>
      <c r="R3313" s="5" t="str">
        <f t="shared" si="8"/>
        <v>United States</v>
      </c>
    </row>
    <row r="3314">
      <c r="A3314" s="7" t="s">
        <v>3272</v>
      </c>
      <c r="B3314" s="5" t="s">
        <v>3270</v>
      </c>
      <c r="C3314" s="5" t="s">
        <v>3271</v>
      </c>
      <c r="D3314" s="6" t="s">
        <v>13</v>
      </c>
      <c r="E3314" s="5" t="s">
        <v>3208</v>
      </c>
      <c r="F3314" s="5" t="s">
        <v>622</v>
      </c>
      <c r="G3314" s="5" t="s">
        <v>2419</v>
      </c>
      <c r="H3314" s="5" t="s">
        <v>102</v>
      </c>
      <c r="I3314" s="5" t="s">
        <v>18</v>
      </c>
      <c r="J3314" s="9" t="str">
        <f>IFERROR(__xludf.DUMMYFUNCTION("""COMPUTED_VALUE"""),"https://www.google.com/search?newwindow=1&amp;ei=2MT0XrvGGM-vytMP1OyDgAY&amp;q=site%3Alinkedin.com+Taylor+Petersen+University+Relations+Recruiter+TEKsystems")</f>
        <v>https://www.google.com/search?newwindow=1&amp;ei=2MT0XrvGGM-vytMP1OyDgAY&amp;q=site%3Alinkedin.com+Taylor+Petersen+University+Relations+Recruiter+TEKsystems</v>
      </c>
      <c r="K3314" s="5" t="str">
        <f t="shared" si="1"/>
        <v>Taylor Petersen</v>
      </c>
      <c r="L3314" s="5" t="str">
        <f t="shared" si="2"/>
        <v>University Relations Recruiter</v>
      </c>
      <c r="M3314" s="5" t="str">
        <f t="shared" si="3"/>
        <v> </v>
      </c>
      <c r="N3314" s="5" t="str">
        <f t="shared" si="4"/>
        <v>TEKsystems</v>
      </c>
      <c r="O3314" s="5" t="str">
        <f t="shared" si="5"/>
        <v>10 months in role</v>
      </c>
      <c r="P3314" s="5" t="str">
        <f t="shared" si="6"/>
        <v>Portland</v>
      </c>
      <c r="Q3314" s="5" t="str">
        <f t="shared" si="7"/>
        <v>Oregon</v>
      </c>
      <c r="R3314" s="5" t="str">
        <f t="shared" si="8"/>
        <v>United States</v>
      </c>
    </row>
    <row r="3315">
      <c r="A3315" s="7" t="s">
        <v>3275</v>
      </c>
      <c r="B3315" s="5" t="s">
        <v>3273</v>
      </c>
      <c r="C3315" s="5" t="s">
        <v>1028</v>
      </c>
      <c r="D3315" s="6" t="s">
        <v>13</v>
      </c>
      <c r="E3315" s="5" t="s">
        <v>3208</v>
      </c>
      <c r="F3315" s="5" t="s">
        <v>233</v>
      </c>
      <c r="G3315" s="5" t="s">
        <v>3274</v>
      </c>
      <c r="H3315" s="5" t="s">
        <v>137</v>
      </c>
      <c r="I3315" s="5" t="s">
        <v>18</v>
      </c>
      <c r="J3315" s="9" t="str">
        <f>IFERROR(__xludf.DUMMYFUNCTION("""COMPUTED_VALUE"""),"https://www.google.com/search?newwindow=1&amp;ei=2MT0XrvGGM-vytMP1OyDgAY&amp;q=site%3Alinkedin.com+Kaitlin+Garcia+University+Relations+Recruiter+TEKsystems")</f>
        <v>https://www.google.com/search?newwindow=1&amp;ei=2MT0XrvGGM-vytMP1OyDgAY&amp;q=site%3Alinkedin.com+Kaitlin+Garcia+University+Relations+Recruiter+TEKsystems</v>
      </c>
      <c r="K3315" s="5" t="str">
        <f t="shared" si="1"/>
        <v>Kaitlin Garcia</v>
      </c>
      <c r="L3315" s="5" t="str">
        <f t="shared" si="2"/>
        <v>University Relations Recruiter</v>
      </c>
      <c r="M3315" s="5" t="str">
        <f t="shared" si="3"/>
        <v> </v>
      </c>
      <c r="N3315" s="5" t="str">
        <f t="shared" si="4"/>
        <v>TEKsystems</v>
      </c>
      <c r="O3315" s="5" t="str">
        <f t="shared" si="5"/>
        <v>10 months in role</v>
      </c>
      <c r="P3315" s="5" t="str">
        <f t="shared" si="6"/>
        <v>San Jose</v>
      </c>
      <c r="Q3315" s="5" t="str">
        <f t="shared" si="7"/>
        <v>California</v>
      </c>
      <c r="R3315" s="5" t="str">
        <f t="shared" si="8"/>
        <v>United States</v>
      </c>
    </row>
    <row r="3316">
      <c r="A3316" s="7" t="s">
        <v>3278</v>
      </c>
      <c r="B3316" s="5" t="s">
        <v>1006</v>
      </c>
      <c r="C3316" s="5" t="s">
        <v>3276</v>
      </c>
      <c r="D3316" s="6" t="s">
        <v>13</v>
      </c>
      <c r="E3316" s="5" t="s">
        <v>3208</v>
      </c>
      <c r="F3316" s="5" t="s">
        <v>79</v>
      </c>
      <c r="G3316" s="5" t="s">
        <v>3277</v>
      </c>
      <c r="H3316" s="5" t="s">
        <v>44</v>
      </c>
      <c r="I3316" s="5" t="s">
        <v>18</v>
      </c>
      <c r="J3316" s="9" t="str">
        <f>IFERROR(__xludf.DUMMYFUNCTION("""COMPUTED_VALUE"""),"https://www.google.com/search?newwindow=1&amp;ei=2MT0XrvGGM-vytMP1OyDgAY&amp;q=site%3Alinkedin.com+Don+Dapkus+Applications+Engineering+Manager+Texas+Instruments")</f>
        <v>https://www.google.com/search?newwindow=1&amp;ei=2MT0XrvGGM-vytMP1OyDgAY&amp;q=site%3Alinkedin.com+Don+Dapkus+Applications+Engineering+Manager+Texas+Instruments</v>
      </c>
      <c r="K3316" s="5" t="str">
        <f t="shared" si="1"/>
        <v>Don Dapkus</v>
      </c>
      <c r="L3316" s="5" t="str">
        <f t="shared" si="2"/>
        <v>Applications Engineering Manager</v>
      </c>
      <c r="M3316" s="5" t="str">
        <f t="shared" si="3"/>
        <v> </v>
      </c>
      <c r="N3316" s="5" t="str">
        <f t="shared" si="4"/>
        <v>Texas Instruments</v>
      </c>
      <c r="O3316" s="5" t="str">
        <f t="shared" si="5"/>
        <v>3 years 3 months in role</v>
      </c>
      <c r="P3316" s="5" t="str">
        <f t="shared" si="6"/>
        <v>Dallas</v>
      </c>
      <c r="Q3316" s="5" t="str">
        <f t="shared" si="7"/>
        <v>Texas</v>
      </c>
      <c r="R3316" s="5" t="str">
        <f t="shared" si="8"/>
        <v>United States</v>
      </c>
    </row>
    <row r="3317">
      <c r="A3317" s="7" t="s">
        <v>3280</v>
      </c>
      <c r="B3317" s="5" t="s">
        <v>3279</v>
      </c>
      <c r="C3317" s="5" t="s">
        <v>110</v>
      </c>
      <c r="D3317" s="6" t="s">
        <v>13</v>
      </c>
      <c r="E3317" s="5" t="s">
        <v>3208</v>
      </c>
      <c r="F3317" s="5" t="s">
        <v>233</v>
      </c>
      <c r="G3317" s="5" t="s">
        <v>311</v>
      </c>
      <c r="H3317" s="5" t="s">
        <v>102</v>
      </c>
      <c r="I3317" s="5" t="s">
        <v>18</v>
      </c>
      <c r="J3317" s="9" t="str">
        <f>IFERROR(__xludf.DUMMYFUNCTION("""COMPUTED_VALUE"""),"https://www.google.com/search?newwindow=1&amp;ei=2MT0XrvGGM-vytMP1OyDgAY&amp;q=site%3Alinkedin.com+Brian+Park+Strategic+Account+Manager+Texas+Instruments")</f>
        <v>https://www.google.com/search?newwindow=1&amp;ei=2MT0XrvGGM-vytMP1OyDgAY&amp;q=site%3Alinkedin.com+Brian+Park+Strategic+Account+Manager+Texas+Instruments</v>
      </c>
      <c r="K3317" s="5" t="str">
        <f t="shared" si="1"/>
        <v>Brian Park</v>
      </c>
      <c r="L3317" s="5" t="str">
        <f t="shared" si="2"/>
        <v>Strategic Account Manager</v>
      </c>
      <c r="M3317" s="5" t="str">
        <f t="shared" si="3"/>
        <v> </v>
      </c>
      <c r="N3317" s="5" t="str">
        <f t="shared" si="4"/>
        <v>Texas Instruments</v>
      </c>
      <c r="O3317" s="5" t="str">
        <f t="shared" si="5"/>
        <v>9 years 1 month in role and company</v>
      </c>
      <c r="P3317" s="5" t="str">
        <f t="shared" si="6"/>
        <v>Irvine</v>
      </c>
      <c r="Q3317" s="5" t="str">
        <f t="shared" si="7"/>
        <v>California</v>
      </c>
      <c r="R3317" s="5" t="str">
        <f t="shared" si="8"/>
        <v>United States</v>
      </c>
    </row>
    <row r="3318">
      <c r="A3318" s="7" t="s">
        <v>3282</v>
      </c>
      <c r="B3318" s="5" t="s">
        <v>3281</v>
      </c>
      <c r="C3318" s="5" t="s">
        <v>110</v>
      </c>
      <c r="D3318" s="6" t="s">
        <v>13</v>
      </c>
      <c r="E3318" s="5" t="s">
        <v>3208</v>
      </c>
      <c r="F3318" s="5" t="s">
        <v>79</v>
      </c>
      <c r="G3318" s="5" t="s">
        <v>311</v>
      </c>
      <c r="H3318" s="5" t="s">
        <v>102</v>
      </c>
      <c r="I3318" s="5" t="s">
        <v>18</v>
      </c>
      <c r="J3318" s="9" t="str">
        <f>IFERROR(__xludf.DUMMYFUNCTION("""COMPUTED_VALUE"""),"https://www.google.com/search?newwindow=1&amp;ei=2MT0XrvGGM-vytMP1OyDgAY&amp;q=site%3Alinkedin.com+Terry+La+Fleur+University+of+Michigan+Recruiter+Texas+Instruments")</f>
        <v>https://www.google.com/search?newwindow=1&amp;ei=2MT0XrvGGM-vytMP1OyDgAY&amp;q=site%3Alinkedin.com+Terry+La+Fleur+University+of+Michigan+Recruiter+Texas+Instruments</v>
      </c>
      <c r="K3318" s="5" t="str">
        <f t="shared" si="1"/>
        <v>Terry La Fleur</v>
      </c>
      <c r="L3318" s="5" t="str">
        <f t="shared" si="2"/>
        <v>University of Michigan Recruiter</v>
      </c>
      <c r="M3318" s="5" t="str">
        <f t="shared" si="3"/>
        <v> </v>
      </c>
      <c r="N3318" s="5" t="str">
        <f t="shared" si="4"/>
        <v>Texas Instruments</v>
      </c>
      <c r="O3318" s="5" t="str">
        <f t="shared" si="5"/>
        <v>7 years 6 months in role</v>
      </c>
      <c r="P3318" s="5" t="str">
        <f t="shared" si="6"/>
        <v>Richmond</v>
      </c>
      <c r="Q3318" s="5" t="str">
        <f t="shared" si="7"/>
        <v>Texas</v>
      </c>
      <c r="R3318" s="5" t="str">
        <f t="shared" si="8"/>
        <v>United States</v>
      </c>
    </row>
    <row r="3319">
      <c r="A3319" s="7" t="s">
        <v>3284</v>
      </c>
      <c r="B3319" s="5" t="s">
        <v>3283</v>
      </c>
      <c r="C3319" s="5" t="s">
        <v>110</v>
      </c>
      <c r="D3319" s="6" t="s">
        <v>13</v>
      </c>
      <c r="E3319" s="5" t="s">
        <v>3208</v>
      </c>
      <c r="F3319" s="5" t="s">
        <v>233</v>
      </c>
      <c r="G3319" s="5" t="s">
        <v>311</v>
      </c>
      <c r="H3319" s="5" t="s">
        <v>102</v>
      </c>
      <c r="I3319" s="5" t="s">
        <v>18</v>
      </c>
      <c r="J3319" s="9" t="str">
        <f>IFERROR(__xludf.DUMMYFUNCTION("""COMPUTED_VALUE"""),"https://www.google.com/search?newwindow=1&amp;ei=2MT0XrvGGM-vytMP1OyDgAY&amp;q=site%3Alinkedin.com+Kalie+Dyer+Area+Manager+and+Campus+Recruiter+The+Buckle")</f>
        <v>https://www.google.com/search?newwindow=1&amp;ei=2MT0XrvGGM-vytMP1OyDgAY&amp;q=site%3Alinkedin.com+Kalie+Dyer+Area+Manager+and+Campus+Recruiter+The+Buckle</v>
      </c>
      <c r="K3319" s="5" t="str">
        <f t="shared" si="1"/>
        <v>Kalie Dyer</v>
      </c>
      <c r="L3319" s="5" t="str">
        <f t="shared" si="2"/>
        <v>Area Manager and Campus Recruiter</v>
      </c>
      <c r="M3319" s="5" t="str">
        <f t="shared" si="3"/>
        <v> </v>
      </c>
      <c r="N3319" s="5" t="str">
        <f t="shared" si="4"/>
        <v>The Buckle</v>
      </c>
      <c r="O3319" s="5" t="str">
        <f t="shared" si="5"/>
        <v>19 years 4 months in role and company</v>
      </c>
      <c r="P3319" s="5" t="str">
        <f t="shared" si="6"/>
        <v>Indianapolis</v>
      </c>
      <c r="Q3319" s="5" t="str">
        <f t="shared" si="7"/>
        <v>Indiana</v>
      </c>
      <c r="R3319" s="5" t="str">
        <f t="shared" si="8"/>
        <v>United States</v>
      </c>
    </row>
    <row r="3320">
      <c r="A3320" s="7" t="s">
        <v>3286</v>
      </c>
      <c r="B3320" s="5" t="s">
        <v>3285</v>
      </c>
      <c r="C3320" s="5" t="s">
        <v>1028</v>
      </c>
      <c r="D3320" s="6" t="s">
        <v>13</v>
      </c>
      <c r="E3320" s="5" t="s">
        <v>3208</v>
      </c>
      <c r="F3320" s="5" t="s">
        <v>237</v>
      </c>
      <c r="G3320" s="5" t="s">
        <v>311</v>
      </c>
      <c r="H3320" s="5" t="s">
        <v>102</v>
      </c>
      <c r="I3320" s="5" t="s">
        <v>18</v>
      </c>
      <c r="J3320" s="9" t="str">
        <f>IFERROR(__xludf.DUMMYFUNCTION("""COMPUTED_VALUE"""),"https://www.google.com/search?newwindow=1&amp;ei=2MT0XrvGGM-vytMP1OyDgAY&amp;q=site%3Alinkedin.com+Abby+Anderson+Store+Manager/Campus+Recruiter+The+Buckle")</f>
        <v>https://www.google.com/search?newwindow=1&amp;ei=2MT0XrvGGM-vytMP1OyDgAY&amp;q=site%3Alinkedin.com+Abby+Anderson+Store+Manager/Campus+Recruiter+The+Buckle</v>
      </c>
      <c r="K3320" s="5" t="str">
        <f t="shared" si="1"/>
        <v>Abby Anderson</v>
      </c>
      <c r="L3320" s="5" t="str">
        <f t="shared" si="2"/>
        <v>Store Manager/Campus Recruiter</v>
      </c>
      <c r="M3320" s="5" t="str">
        <f t="shared" si="3"/>
        <v> </v>
      </c>
      <c r="N3320" s="5" t="str">
        <f t="shared" si="4"/>
        <v>The Buckle</v>
      </c>
      <c r="O3320" s="5" t="str">
        <f t="shared" si="5"/>
        <v>10 years 4 months in role</v>
      </c>
      <c r="P3320" s="5" t="str">
        <f t="shared" si="6"/>
        <v>Minneapolis</v>
      </c>
      <c r="Q3320" s="5" t="str">
        <f t="shared" si="7"/>
        <v>Minnesota</v>
      </c>
      <c r="R3320" s="5" t="str">
        <f t="shared" si="8"/>
        <v>United States</v>
      </c>
    </row>
    <row r="3321">
      <c r="A3321" s="7" t="s">
        <v>3289</v>
      </c>
      <c r="B3321" s="5" t="s">
        <v>3287</v>
      </c>
      <c r="C3321" s="5" t="s">
        <v>3288</v>
      </c>
      <c r="D3321" s="6" t="s">
        <v>13</v>
      </c>
      <c r="E3321" s="5" t="s">
        <v>3208</v>
      </c>
      <c r="F3321" s="5" t="s">
        <v>1123</v>
      </c>
      <c r="G3321" s="5" t="s">
        <v>311</v>
      </c>
      <c r="H3321" s="5" t="s">
        <v>102</v>
      </c>
      <c r="I3321" s="5" t="s">
        <v>18</v>
      </c>
      <c r="J3321" s="9" t="str">
        <f>IFERROR(__xludf.DUMMYFUNCTION("""COMPUTED_VALUE"""),"https://www.google.com/search?newwindow=1&amp;ei=2MT0XrvGGM-vytMP1OyDgAY&amp;q=site%3Alinkedin.com+Brooke+Fair+Manager+and+Campus+Recruiter+The+Buckle")</f>
        <v>https://www.google.com/search?newwindow=1&amp;ei=2MT0XrvGGM-vytMP1OyDgAY&amp;q=site%3Alinkedin.com+Brooke+Fair+Manager+and+Campus+Recruiter+The+Buckle</v>
      </c>
      <c r="K3321" s="5" t="str">
        <f t="shared" si="1"/>
        <v>Brooke Fair</v>
      </c>
      <c r="L3321" s="5" t="str">
        <f t="shared" si="2"/>
        <v>Manager and Campus Recruiter</v>
      </c>
      <c r="M3321" s="5" t="str">
        <f t="shared" si="3"/>
        <v> </v>
      </c>
      <c r="N3321" s="5" t="str">
        <f t="shared" si="4"/>
        <v>The Buckle</v>
      </c>
      <c r="O3321" s="5" t="str">
        <f t="shared" si="5"/>
        <v>7 years 1 month in role and company</v>
      </c>
      <c r="P3321" s="5" t="str">
        <f t="shared" si="6"/>
        <v>Noblesville</v>
      </c>
      <c r="Q3321" s="5" t="str">
        <f t="shared" si="7"/>
        <v>Indiana</v>
      </c>
      <c r="R3321" s="5" t="str">
        <f t="shared" si="8"/>
        <v>United States</v>
      </c>
    </row>
    <row r="3322">
      <c r="A3322" s="7" t="s">
        <v>3292</v>
      </c>
      <c r="B3322" s="5" t="s">
        <v>3290</v>
      </c>
      <c r="C3322" s="5" t="s">
        <v>3291</v>
      </c>
      <c r="D3322" s="6" t="s">
        <v>13</v>
      </c>
      <c r="E3322" s="5" t="s">
        <v>3208</v>
      </c>
      <c r="F3322" s="5" t="s">
        <v>1282</v>
      </c>
      <c r="G3322" s="5" t="s">
        <v>311</v>
      </c>
      <c r="H3322" s="5" t="s">
        <v>102</v>
      </c>
      <c r="I3322" s="5" t="s">
        <v>18</v>
      </c>
      <c r="J3322" s="9" t="str">
        <f>IFERROR(__xludf.DUMMYFUNCTION("""COMPUTED_VALUE"""),"https://www.google.com/search?newwindow=1&amp;ei=2MT0XrvGGM-vytMP1OyDgAY&amp;q=site%3Alinkedin.com+Brittany+Barnes+Manager/Campus+Recruiter+The+Buckle")</f>
        <v>https://www.google.com/search?newwindow=1&amp;ei=2MT0XrvGGM-vytMP1OyDgAY&amp;q=site%3Alinkedin.com+Brittany+Barnes+Manager/Campus+Recruiter+The+Buckle</v>
      </c>
      <c r="K3322" s="5" t="str">
        <f t="shared" si="1"/>
        <v>Brittany Barnes</v>
      </c>
      <c r="L3322" s="5" t="str">
        <f t="shared" si="2"/>
        <v>Manager/Campus Recruiter</v>
      </c>
      <c r="M3322" s="5" t="str">
        <f t="shared" si="3"/>
        <v> </v>
      </c>
      <c r="N3322" s="5" t="str">
        <f t="shared" si="4"/>
        <v>The Buckle</v>
      </c>
      <c r="O3322" s="5" t="str">
        <f t="shared" si="5"/>
        <v>19 years 7 months in role and company</v>
      </c>
      <c r="P3322" s="5" t="str">
        <f t="shared" si="6"/>
        <v>Provo</v>
      </c>
      <c r="Q3322" s="5" t="str">
        <f t="shared" si="7"/>
        <v>Utah</v>
      </c>
      <c r="R3322" s="5" t="str">
        <f t="shared" si="8"/>
        <v>United States</v>
      </c>
    </row>
    <row r="3323">
      <c r="A3323" s="7" t="s">
        <v>3294</v>
      </c>
      <c r="B3323" s="5" t="s">
        <v>3293</v>
      </c>
      <c r="C3323" s="5" t="s">
        <v>110</v>
      </c>
      <c r="D3323" s="6" t="s">
        <v>13</v>
      </c>
      <c r="E3323" s="5" t="s">
        <v>3208</v>
      </c>
      <c r="F3323" s="5" t="s">
        <v>822</v>
      </c>
      <c r="G3323" s="5" t="s">
        <v>311</v>
      </c>
      <c r="H3323" s="5" t="s">
        <v>102</v>
      </c>
      <c r="I3323" s="5" t="s">
        <v>18</v>
      </c>
      <c r="J3323" s="9" t="str">
        <f>IFERROR(__xludf.DUMMYFUNCTION("""COMPUTED_VALUE"""),"https://www.google.com/search?newwindow=1&amp;ei=2MT0XrvGGM-vytMP1OyDgAY&amp;q=site%3Alinkedin.com+Courtney+McKenzie+Area+Manager+and+Campus+Recruiter+The+Buckle,+Inc.")</f>
        <v>https://www.google.com/search?newwindow=1&amp;ei=2MT0XrvGGM-vytMP1OyDgAY&amp;q=site%3Alinkedin.com+Courtney+McKenzie+Area+Manager+and+Campus+Recruiter+The+Buckle,+Inc.</v>
      </c>
      <c r="K3323" s="5" t="str">
        <f t="shared" si="1"/>
        <v>Courtney McKenzie</v>
      </c>
      <c r="L3323" s="5" t="str">
        <f t="shared" si="2"/>
        <v>Area Manager and Campus Recruiter</v>
      </c>
      <c r="M3323" s="5" t="str">
        <f t="shared" si="3"/>
        <v> </v>
      </c>
      <c r="N3323" s="5" t="str">
        <f t="shared" si="4"/>
        <v>The Buckle</v>
      </c>
      <c r="O3323" s="5" t="str">
        <f t="shared" si="5"/>
        <v>16 years 7 months in role and company</v>
      </c>
      <c r="P3323" s="5" t="str">
        <f t="shared" si="6"/>
        <v>College Station</v>
      </c>
      <c r="Q3323" s="5" t="str">
        <f t="shared" si="7"/>
        <v>Texas</v>
      </c>
      <c r="R3323" s="5" t="str">
        <f t="shared" si="8"/>
        <v>United States</v>
      </c>
    </row>
    <row r="3324">
      <c r="A3324" s="7" t="s">
        <v>3296</v>
      </c>
      <c r="B3324" s="5" t="s">
        <v>3295</v>
      </c>
      <c r="C3324" s="5" t="s">
        <v>110</v>
      </c>
      <c r="D3324" s="6" t="s">
        <v>13</v>
      </c>
      <c r="E3324" s="5" t="s">
        <v>3208</v>
      </c>
      <c r="F3324" s="5" t="s">
        <v>574</v>
      </c>
      <c r="G3324" s="5" t="s">
        <v>311</v>
      </c>
      <c r="H3324" s="5" t="s">
        <v>102</v>
      </c>
      <c r="I3324" s="5" t="s">
        <v>18</v>
      </c>
      <c r="J3324" s="9" t="str">
        <f>IFERROR(__xludf.DUMMYFUNCTION("""COMPUTED_VALUE"""),"https://www.google.com/search?newwindow=1&amp;ei=2MT0XrvGGM-vytMP1OyDgAY&amp;q=site%3Alinkedin.com+Joel+Custer+Area+Manager+and+Regional+Campus+Recruiter+The+Buckle,+Inc.")</f>
        <v>https://www.google.com/search?newwindow=1&amp;ei=2MT0XrvGGM-vytMP1OyDgAY&amp;q=site%3Alinkedin.com+Joel+Custer+Area+Manager+and+Regional+Campus+Recruiter+The+Buckle,+Inc.</v>
      </c>
      <c r="K3324" s="5" t="str">
        <f t="shared" si="1"/>
        <v>Joel Custer</v>
      </c>
      <c r="L3324" s="5" t="str">
        <f t="shared" si="2"/>
        <v>Area Manager and Regional Campus Recruiter</v>
      </c>
      <c r="M3324" s="5" t="str">
        <f t="shared" si="3"/>
        <v> </v>
      </c>
      <c r="N3324" s="5" t="str">
        <f t="shared" si="4"/>
        <v>The Buckle</v>
      </c>
      <c r="O3324" s="5" t="str">
        <f t="shared" si="5"/>
        <v>13 years 1 month in role and company</v>
      </c>
      <c r="P3324" s="5" t="str">
        <f t="shared" si="6"/>
        <v>Columbus</v>
      </c>
      <c r="Q3324" s="5" t="str">
        <f t="shared" si="7"/>
        <v>Ohio</v>
      </c>
      <c r="R3324" s="5" t="str">
        <f t="shared" si="8"/>
        <v>United States</v>
      </c>
    </row>
    <row r="3325">
      <c r="A3325" s="7" t="s">
        <v>3298</v>
      </c>
      <c r="B3325" s="5" t="s">
        <v>3297</v>
      </c>
      <c r="C3325" s="5" t="s">
        <v>110</v>
      </c>
      <c r="D3325" s="6" t="s">
        <v>13</v>
      </c>
      <c r="E3325" s="5" t="s">
        <v>3208</v>
      </c>
      <c r="F3325" s="5" t="s">
        <v>237</v>
      </c>
      <c r="G3325" s="5" t="s">
        <v>311</v>
      </c>
      <c r="H3325" s="5" t="s">
        <v>102</v>
      </c>
      <c r="I3325" s="5" t="s">
        <v>18</v>
      </c>
      <c r="J3325" s="9" t="str">
        <f>IFERROR(__xludf.DUMMYFUNCTION("""COMPUTED_VALUE"""),"https://www.google.com/search?newwindow=1&amp;ei=2MT0XrvGGM-vytMP1OyDgAY&amp;q=site%3Alinkedin.com+Andrea+Simmons+Area+Manager,+Campus+recruiter+,Buckle+select+stylist+The+Buckle,+Inc.")</f>
        <v>https://www.google.com/search?newwindow=1&amp;ei=2MT0XrvGGM-vytMP1OyDgAY&amp;q=site%3Alinkedin.com+Andrea+Simmons+Area+Manager,+Campus+recruiter+,Buckle+select+stylist+The+Buckle,+Inc.</v>
      </c>
      <c r="K3325" s="5" t="str">
        <f t="shared" si="1"/>
        <v>Andrea Simmons</v>
      </c>
      <c r="L3325" s="5" t="str">
        <f t="shared" si="2"/>
        <v>Area Manager, Campus recruiter ,Buckle select stylist</v>
      </c>
      <c r="M3325" s="5" t="str">
        <f t="shared" si="3"/>
        <v> </v>
      </c>
      <c r="N3325" s="5" t="str">
        <f t="shared" si="4"/>
        <v>The Buckle</v>
      </c>
      <c r="O3325" s="5" t="str">
        <f t="shared" si="5"/>
        <v>15 years  in role and company</v>
      </c>
      <c r="P3325" s="5" t="str">
        <f t="shared" si="6"/>
        <v>Dallas</v>
      </c>
      <c r="Q3325" s="5" t="str">
        <f t="shared" si="7"/>
        <v>Texas</v>
      </c>
      <c r="R3325" s="5" t="str">
        <f t="shared" si="8"/>
        <v>United States</v>
      </c>
    </row>
    <row r="3326">
      <c r="A3326" s="7" t="s">
        <v>3300</v>
      </c>
      <c r="B3326" s="5" t="s">
        <v>3299</v>
      </c>
      <c r="C3326" s="5" t="s">
        <v>110</v>
      </c>
      <c r="D3326" s="6" t="s">
        <v>13</v>
      </c>
      <c r="E3326" s="5" t="s">
        <v>3208</v>
      </c>
      <c r="F3326" s="5" t="s">
        <v>233</v>
      </c>
      <c r="G3326" s="5" t="s">
        <v>311</v>
      </c>
      <c r="H3326" s="5" t="s">
        <v>102</v>
      </c>
      <c r="I3326" s="5" t="s">
        <v>18</v>
      </c>
      <c r="J3326" s="9" t="str">
        <f>IFERROR(__xludf.DUMMYFUNCTION("""COMPUTED_VALUE"""),"https://www.google.com/search?newwindow=1&amp;ei=2MT0XrvGGM-vytMP1OyDgAY&amp;q=site%3Alinkedin.com+Taylor+Scruggs+UNT+Campus+Recruiter+The+Buckle,+Inc.")</f>
        <v>https://www.google.com/search?newwindow=1&amp;ei=2MT0XrvGGM-vytMP1OyDgAY&amp;q=site%3Alinkedin.com+Taylor+Scruggs+UNT+Campus+Recruiter+The+Buckle,+Inc.</v>
      </c>
      <c r="K3326" s="5" t="str">
        <f t="shared" si="1"/>
        <v>Taylor Scruggs</v>
      </c>
      <c r="L3326" s="5" t="str">
        <f t="shared" si="2"/>
        <v>UNT Campus Recruiter</v>
      </c>
      <c r="M3326" s="5" t="str">
        <f t="shared" si="3"/>
        <v> </v>
      </c>
      <c r="N3326" s="5" t="str">
        <f t="shared" si="4"/>
        <v>The Buckle</v>
      </c>
      <c r="O3326" s="5" t="str">
        <f t="shared" si="5"/>
        <v>5 years 10 months in role</v>
      </c>
      <c r="P3326" s="5" t="str">
        <f t="shared" si="6"/>
        <v>Dallas</v>
      </c>
      <c r="Q3326" s="5" t="str">
        <f t="shared" si="7"/>
        <v>Texas</v>
      </c>
      <c r="R3326" s="5" t="str">
        <f t="shared" si="8"/>
        <v>United States</v>
      </c>
    </row>
    <row r="3327">
      <c r="A3327" s="7" t="s">
        <v>3302</v>
      </c>
      <c r="B3327" s="5" t="s">
        <v>3301</v>
      </c>
      <c r="C3327" s="5" t="s">
        <v>110</v>
      </c>
      <c r="D3327" s="6" t="s">
        <v>13</v>
      </c>
      <c r="E3327" s="5" t="s">
        <v>3208</v>
      </c>
      <c r="F3327" s="5" t="s">
        <v>100</v>
      </c>
      <c r="G3327" s="5" t="s">
        <v>311</v>
      </c>
      <c r="H3327" s="5" t="s">
        <v>102</v>
      </c>
      <c r="I3327" s="5" t="s">
        <v>18</v>
      </c>
      <c r="J3327" s="9" t="str">
        <f>IFERROR(__xludf.DUMMYFUNCTION("""COMPUTED_VALUE"""),"https://www.google.com/search?newwindow=1&amp;ei=2MT0XrvGGM-vytMP1OyDgAY&amp;q=site%3Alinkedin.com+Tori+Taylor+Sales+Manager+and+Campus+Recruiter+-+Dallas+The+Buckle,+Inc.")</f>
        <v>https://www.google.com/search?newwindow=1&amp;ei=2MT0XrvGGM-vytMP1OyDgAY&amp;q=site%3Alinkedin.com+Tori+Taylor+Sales+Manager+and+Campus+Recruiter+-+Dallas+The+Buckle,+Inc.</v>
      </c>
      <c r="K3327" s="5" t="str">
        <f t="shared" si="1"/>
        <v>Tori Taylor</v>
      </c>
      <c r="L3327" s="5" t="str">
        <f t="shared" si="2"/>
        <v>Sales Manager and Campus Recruiter - Dallas</v>
      </c>
      <c r="M3327" s="5" t="str">
        <f t="shared" si="3"/>
        <v> </v>
      </c>
      <c r="N3327" s="5" t="str">
        <f t="shared" si="4"/>
        <v>The Buckle</v>
      </c>
      <c r="O3327" s="5" t="str">
        <f t="shared" si="5"/>
        <v>10 months in role</v>
      </c>
      <c r="P3327" s="5" t="str">
        <f t="shared" si="6"/>
        <v>Dallas</v>
      </c>
      <c r="Q3327" s="5" t="str">
        <f t="shared" si="7"/>
        <v>Texas</v>
      </c>
      <c r="R3327" s="5" t="str">
        <f t="shared" si="8"/>
        <v>United States</v>
      </c>
    </row>
    <row r="3328">
      <c r="A3328" s="7" t="s">
        <v>3304</v>
      </c>
      <c r="B3328" s="5" t="s">
        <v>3303</v>
      </c>
      <c r="C3328" s="5" t="s">
        <v>110</v>
      </c>
      <c r="D3328" s="6" t="s">
        <v>13</v>
      </c>
      <c r="E3328" s="5" t="s">
        <v>3208</v>
      </c>
      <c r="F3328" s="5" t="s">
        <v>277</v>
      </c>
      <c r="G3328" s="5" t="s">
        <v>311</v>
      </c>
      <c r="H3328" s="5" t="s">
        <v>102</v>
      </c>
      <c r="I3328" s="5" t="s">
        <v>18</v>
      </c>
      <c r="J3328" s="9" t="str">
        <f>IFERROR(__xludf.DUMMYFUNCTION("""COMPUTED_VALUE"""),"https://www.google.com/search?newwindow=1&amp;ei=2MT0XrvGGM-vytMP1OyDgAY&amp;q=site%3Alinkedin.com+Wade+Harville+Store+Manager+++Campus+Recruiter+(Denton,+Texas)+The+Buckle,+Inc.")</f>
        <v>https://www.google.com/search?newwindow=1&amp;ei=2MT0XrvGGM-vytMP1OyDgAY&amp;q=site%3Alinkedin.com+Wade+Harville+Store+Manager+++Campus+Recruiter+(Denton,+Texas)+The+Buckle,+Inc.</v>
      </c>
      <c r="K3328" s="5" t="str">
        <f t="shared" si="1"/>
        <v>Wade Harville</v>
      </c>
      <c r="L3328" s="5" t="str">
        <f t="shared" si="2"/>
        <v>Store Manager + Campus Recruiter (Denton, Texas)</v>
      </c>
      <c r="M3328" s="5" t="str">
        <f t="shared" si="3"/>
        <v> </v>
      </c>
      <c r="N3328" s="5" t="str">
        <f t="shared" si="4"/>
        <v>The Buckle</v>
      </c>
      <c r="O3328" s="5" t="str">
        <f t="shared" si="5"/>
        <v>4 years 5 months in role and company</v>
      </c>
      <c r="P3328" s="5" t="str">
        <f t="shared" si="6"/>
        <v>Dallas</v>
      </c>
      <c r="Q3328" s="5" t="str">
        <f t="shared" si="7"/>
        <v>Texas</v>
      </c>
      <c r="R3328" s="5" t="str">
        <f t="shared" si="8"/>
        <v>United States</v>
      </c>
    </row>
    <row r="3329">
      <c r="A3329" s="7" t="s">
        <v>3307</v>
      </c>
      <c r="B3329" s="5" t="s">
        <v>3305</v>
      </c>
      <c r="C3329" s="5" t="s">
        <v>3306</v>
      </c>
      <c r="D3329" s="6" t="s">
        <v>13</v>
      </c>
      <c r="E3329" s="5" t="s">
        <v>3208</v>
      </c>
      <c r="F3329" s="5" t="s">
        <v>233</v>
      </c>
      <c r="G3329" s="5" t="s">
        <v>311</v>
      </c>
      <c r="H3329" s="5" t="s">
        <v>102</v>
      </c>
      <c r="I3329" s="5" t="s">
        <v>18</v>
      </c>
      <c r="J3329" s="9" t="str">
        <f>IFERROR(__xludf.DUMMYFUNCTION("""COMPUTED_VALUE"""),"https://www.google.com/search?newwindow=1&amp;ei=2MT0XrvGGM-vytMP1OyDgAY&amp;q=site%3Alinkedin.com+Natasha+Gutierrez+Co+Manager+The+Buckle,+Inc.")</f>
        <v>https://www.google.com/search?newwindow=1&amp;ei=2MT0XrvGGM-vytMP1OyDgAY&amp;q=site%3Alinkedin.com+Natasha+Gutierrez+Co+Manager+The+Buckle,+Inc.</v>
      </c>
      <c r="K3329" s="5" t="str">
        <f t="shared" si="1"/>
        <v>Natasha Gutierrez</v>
      </c>
      <c r="L3329" s="5" t="str">
        <f t="shared" si="2"/>
        <v>Co Manager</v>
      </c>
      <c r="M3329" s="5" t="str">
        <f t="shared" si="3"/>
        <v> </v>
      </c>
      <c r="N3329" s="5" t="str">
        <f t="shared" si="4"/>
        <v>The Buckle</v>
      </c>
      <c r="O3329" s="5" t="str">
        <f t="shared" si="5"/>
        <v>4 months in role</v>
      </c>
      <c r="P3329" s="5" t="str">
        <f t="shared" si="6"/>
        <v>Indianapolis</v>
      </c>
      <c r="Q3329" s="5" t="str">
        <f t="shared" si="7"/>
        <v>Indiana</v>
      </c>
      <c r="R3329" s="5" t="str">
        <f t="shared" si="8"/>
        <v>United States</v>
      </c>
    </row>
    <row r="3330">
      <c r="A3330" s="7" t="s">
        <v>3310</v>
      </c>
      <c r="B3330" s="5" t="s">
        <v>3308</v>
      </c>
      <c r="C3330" s="5" t="s">
        <v>3309</v>
      </c>
      <c r="D3330" s="6" t="s">
        <v>4</v>
      </c>
      <c r="E3330" s="5" t="s">
        <v>3208</v>
      </c>
      <c r="F3330" s="5" t="s">
        <v>651</v>
      </c>
      <c r="G3330" s="5" t="s">
        <v>311</v>
      </c>
      <c r="H3330" s="5" t="s">
        <v>102</v>
      </c>
      <c r="I3330" s="5" t="s">
        <v>18</v>
      </c>
      <c r="J3330" s="9" t="str">
        <f>IFERROR(__xludf.DUMMYFUNCTION("""COMPUTED_VALUE"""),"https://www.google.com/search?newwindow=1&amp;ei=2MT0XrvGGM-vytMP1OyDgAY&amp;q=site%3Alinkedin.com+Tawnya+Boelter+Campus+Recruiter+The+Buckle,+Inc.")</f>
        <v>https://www.google.com/search?newwindow=1&amp;ei=2MT0XrvGGM-vytMP1OyDgAY&amp;q=site%3Alinkedin.com+Tawnya+Boelter+Campus+Recruiter+The+Buckle,+Inc.</v>
      </c>
      <c r="K3330" s="5" t="str">
        <f t="shared" si="1"/>
        <v>Tawnya Boelter</v>
      </c>
      <c r="L3330" s="5" t="str">
        <f t="shared" si="2"/>
        <v>Campus Recruiter</v>
      </c>
      <c r="M3330" s="5" t="str">
        <f t="shared" si="3"/>
        <v> </v>
      </c>
      <c r="N3330" s="5" t="str">
        <f t="shared" si="4"/>
        <v>The Buckle</v>
      </c>
      <c r="O3330" s="5" t="str">
        <f t="shared" si="5"/>
        <v>10 years 5 months in role and company</v>
      </c>
      <c r="P3330" s="5" t="str">
        <f t="shared" si="6"/>
        <v>Minneapolis</v>
      </c>
      <c r="Q3330" s="5" t="str">
        <f t="shared" si="7"/>
        <v>Minnesota</v>
      </c>
      <c r="R3330" s="5" t="str">
        <f t="shared" si="8"/>
        <v>United States</v>
      </c>
    </row>
    <row r="3331">
      <c r="A3331" s="8" t="s">
        <v>3313</v>
      </c>
      <c r="B3331" s="5" t="s">
        <v>3311</v>
      </c>
      <c r="C3331" s="5" t="s">
        <v>3312</v>
      </c>
      <c r="D3331" s="6" t="s">
        <v>13</v>
      </c>
      <c r="E3331" s="5" t="s">
        <v>3208</v>
      </c>
      <c r="F3331" s="5" t="s">
        <v>523</v>
      </c>
      <c r="G3331" s="5" t="s">
        <v>311</v>
      </c>
      <c r="H3331" s="5" t="s">
        <v>102</v>
      </c>
      <c r="I3331" s="5" t="s">
        <v>18</v>
      </c>
      <c r="J3331" s="9" t="str">
        <f>IFERROR(__xludf.DUMMYFUNCTION("""COMPUTED_VALUE"""),"https://www.google.com/search?newwindow=1&amp;ei=2MT0XrvGGM-vytMP1OyDgAY&amp;q=site%3Alinkedin.com+Jessica+Kaelin+Store+Manager/+Area+Manager/+Campus+Recruiter+The+Buckle,+Inc.")</f>
        <v>https://www.google.com/search?newwindow=1&amp;ei=2MT0XrvGGM-vytMP1OyDgAY&amp;q=site%3Alinkedin.com+Jessica+Kaelin+Store+Manager/+Area+Manager/+Campus+Recruiter+The+Buckle,+Inc.</v>
      </c>
      <c r="K3331" s="5" t="str">
        <f t="shared" si="1"/>
        <v>Jessica Kaelin</v>
      </c>
      <c r="L3331" s="5" t="str">
        <f t="shared" si="2"/>
        <v>Store Manager/ Area Manager/ Campus Recruiter</v>
      </c>
      <c r="M3331" s="5" t="str">
        <f t="shared" si="3"/>
        <v> </v>
      </c>
      <c r="N3331" s="5" t="str">
        <f t="shared" si="4"/>
        <v>The Buckle</v>
      </c>
      <c r="O3331" s="5" t="str">
        <f t="shared" si="5"/>
        <v>13 years 4 months in role and company</v>
      </c>
      <c r="P3331" s="5" t="str">
        <f t="shared" si="6"/>
        <v>Muncie</v>
      </c>
      <c r="Q3331" s="5" t="str">
        <f t="shared" si="7"/>
        <v>Indiana</v>
      </c>
      <c r="R3331" s="5" t="str">
        <f t="shared" si="8"/>
        <v>United States</v>
      </c>
    </row>
    <row r="3332">
      <c r="A3332" s="7" t="s">
        <v>3315</v>
      </c>
      <c r="B3332" s="5" t="s">
        <v>3314</v>
      </c>
      <c r="C3332" s="5" t="s">
        <v>110</v>
      </c>
      <c r="D3332" s="6" t="s">
        <v>13</v>
      </c>
      <c r="E3332" s="5" t="s">
        <v>3208</v>
      </c>
      <c r="F3332" s="5" t="s">
        <v>188</v>
      </c>
      <c r="G3332" s="5" t="s">
        <v>311</v>
      </c>
      <c r="H3332" s="5" t="s">
        <v>102</v>
      </c>
      <c r="I3332" s="5" t="s">
        <v>18</v>
      </c>
      <c r="J3332" s="9" t="str">
        <f>IFERROR(__xludf.DUMMYFUNCTION("""COMPUTED_VALUE"""),"https://www.google.com/search?newwindow=1&amp;ei=2MT0XrvGGM-vytMP1OyDgAY&amp;q=site%3Alinkedin.com+Amy+Sanchez+Sr.+Recruiter,+Campus+Recruitment+The+Walt+Disney+Company")</f>
        <v>https://www.google.com/search?newwindow=1&amp;ei=2MT0XrvGGM-vytMP1OyDgAY&amp;q=site%3Alinkedin.com+Amy+Sanchez+Sr.+Recruiter,+Campus+Recruitment+The+Walt+Disney+Company</v>
      </c>
      <c r="K3332" s="5" t="str">
        <f t="shared" si="1"/>
        <v>Amy Sanchez</v>
      </c>
      <c r="L3332" s="5" t="str">
        <f t="shared" si="2"/>
        <v>Sr. Recruiter, Campus Recruitment</v>
      </c>
      <c r="M3332" s="5" t="str">
        <f t="shared" si="3"/>
        <v> </v>
      </c>
      <c r="N3332" s="5" t="str">
        <f t="shared" si="4"/>
        <v>The Walt Disney Company</v>
      </c>
      <c r="O3332" s="5" t="str">
        <f t="shared" si="5"/>
        <v>2 years 4 months in role and company</v>
      </c>
      <c r="P3332" s="5" t="str">
        <f t="shared" si="6"/>
        <v>Burbank</v>
      </c>
      <c r="Q3332" s="5" t="str">
        <f t="shared" si="7"/>
        <v>California</v>
      </c>
      <c r="R3332" s="5" t="str">
        <f t="shared" si="8"/>
        <v>United States</v>
      </c>
    </row>
    <row r="3333">
      <c r="A3333" s="7" t="s">
        <v>3317</v>
      </c>
      <c r="B3333" s="5" t="s">
        <v>3316</v>
      </c>
      <c r="C3333" s="5" t="s">
        <v>110</v>
      </c>
      <c r="D3333" s="6" t="s">
        <v>13</v>
      </c>
      <c r="E3333" s="5" t="s">
        <v>3208</v>
      </c>
      <c r="F3333" s="5" t="s">
        <v>192</v>
      </c>
      <c r="G3333" s="5" t="s">
        <v>311</v>
      </c>
      <c r="H3333" s="5" t="s">
        <v>102</v>
      </c>
      <c r="I3333" s="5" t="s">
        <v>18</v>
      </c>
      <c r="J3333" s="9" t="str">
        <f>IFERROR(__xludf.DUMMYFUNCTION("""COMPUTED_VALUE"""),"https://www.google.com/search?newwindow=1&amp;ei=2MT0XrvGGM-vytMP1OyDgAY&amp;q=site%3Alinkedin.com+Jamie+O.+Recruiter,+College+Recruiting,+Manager+on+Duty,+Point+of+Contact+The+Walt+Disney+Company")</f>
        <v>https://www.google.com/search?newwindow=1&amp;ei=2MT0XrvGGM-vytMP1OyDgAY&amp;q=site%3Alinkedin.com+Jamie+O.+Recruiter,+College+Recruiting,+Manager+on+Duty,+Point+of+Contact+The+Walt+Disney+Company</v>
      </c>
      <c r="K3333" s="5" t="str">
        <f t="shared" si="1"/>
        <v>Jamie O.</v>
      </c>
      <c r="L3333" s="5" t="str">
        <f t="shared" si="2"/>
        <v>Recruiter, College Recruiting, Manager on Duty, Point of Contact</v>
      </c>
      <c r="M3333" s="5" t="str">
        <f t="shared" si="3"/>
        <v> </v>
      </c>
      <c r="N3333" s="5" t="str">
        <f t="shared" si="4"/>
        <v>The Walt Disney Company</v>
      </c>
      <c r="O3333" s="5" t="str">
        <f t="shared" si="5"/>
        <v>13 years 10 months in role and company</v>
      </c>
      <c r="P3333" s="5" t="str">
        <f t="shared" si="6"/>
        <v>Denver</v>
      </c>
      <c r="Q3333" s="5" t="str">
        <f t="shared" si="7"/>
        <v>Colorado</v>
      </c>
      <c r="R3333" s="5" t="str">
        <f t="shared" si="8"/>
        <v>United States</v>
      </c>
    </row>
    <row r="3334">
      <c r="A3334" s="7" t="s">
        <v>3320</v>
      </c>
      <c r="B3334" s="5" t="s">
        <v>3318</v>
      </c>
      <c r="C3334" s="5" t="s">
        <v>3319</v>
      </c>
      <c r="D3334" s="6" t="s">
        <v>13</v>
      </c>
      <c r="E3334" s="5" t="s">
        <v>3208</v>
      </c>
      <c r="F3334" s="5" t="s">
        <v>283</v>
      </c>
      <c r="G3334" s="5" t="s">
        <v>311</v>
      </c>
      <c r="H3334" s="5" t="s">
        <v>102</v>
      </c>
      <c r="I3334" s="5" t="s">
        <v>18</v>
      </c>
      <c r="J3334" s="9" t="str">
        <f>IFERROR(__xludf.DUMMYFUNCTION("""COMPUTED_VALUE"""),"https://www.google.com/search?newwindow=1&amp;ei=2MT0XrvGGM-vytMP1OyDgAY&amp;q=site%3Alinkedin.com+Charisse+Trotman+Campus+Recruiter+Technology+The+Walt+Disney+Company")</f>
        <v>https://www.google.com/search?newwindow=1&amp;ei=2MT0XrvGGM-vytMP1OyDgAY&amp;q=site%3Alinkedin.com+Charisse+Trotman+Campus+Recruiter+Technology+The+Walt+Disney+Company</v>
      </c>
      <c r="K3334" s="5" t="str">
        <f t="shared" si="1"/>
        <v>Charisse Trotman</v>
      </c>
      <c r="L3334" s="5" t="str">
        <f t="shared" si="2"/>
        <v>Campus Recruiter Technology</v>
      </c>
      <c r="M3334" s="5" t="str">
        <f t="shared" si="3"/>
        <v> </v>
      </c>
      <c r="N3334" s="5" t="str">
        <f t="shared" si="4"/>
        <v>The Walt Disney Company</v>
      </c>
      <c r="O3334" s="5" t="str">
        <f t="shared" si="5"/>
        <v>3 years  in role and company</v>
      </c>
      <c r="P3334" s="5" t="str">
        <f t="shared" si="6"/>
        <v>Hartford</v>
      </c>
      <c r="Q3334" s="5" t="str">
        <f t="shared" si="7"/>
        <v>Connecticut</v>
      </c>
      <c r="R3334" s="5" t="str">
        <f t="shared" si="8"/>
        <v>United States</v>
      </c>
    </row>
    <row r="3335">
      <c r="A3335" s="7" t="s">
        <v>3322</v>
      </c>
      <c r="B3335" s="5" t="s">
        <v>3321</v>
      </c>
      <c r="C3335" s="5" t="s">
        <v>2418</v>
      </c>
      <c r="D3335" s="6" t="s">
        <v>13</v>
      </c>
      <c r="E3335" s="5" t="s">
        <v>3208</v>
      </c>
      <c r="F3335" s="5" t="s">
        <v>585</v>
      </c>
      <c r="G3335" s="5" t="s">
        <v>311</v>
      </c>
      <c r="H3335" s="5" t="s">
        <v>102</v>
      </c>
      <c r="I3335" s="5" t="s">
        <v>18</v>
      </c>
      <c r="J3335" s="9" t="str">
        <f>IFERROR(__xludf.DUMMYFUNCTION("""COMPUTED_VALUE"""),"https://www.google.com/search?newwindow=1&amp;ei=2MT0XrvGGM-vytMP1OyDgAY&amp;q=site%3Alinkedin.com+Stephanie+Lyon+Interview+Partner/Recruiter+-+College+Programs+and+Interships+The+Walt+Disney+Company")</f>
        <v>https://www.google.com/search?newwindow=1&amp;ei=2MT0XrvGGM-vytMP1OyDgAY&amp;q=site%3Alinkedin.com+Stephanie+Lyon+Interview+Partner/Recruiter+-+College+Programs+and+Interships+The+Walt+Disney+Company</v>
      </c>
      <c r="K3335" s="5" t="str">
        <f t="shared" si="1"/>
        <v>Stephanie Lyon</v>
      </c>
      <c r="L3335" s="5" t="str">
        <f t="shared" si="2"/>
        <v>Interview Partner/Recruiter - College Programs and Interships</v>
      </c>
      <c r="M3335" s="5" t="str">
        <f t="shared" si="3"/>
        <v> </v>
      </c>
      <c r="N3335" s="5" t="str">
        <f t="shared" si="4"/>
        <v>The Walt Disney Company</v>
      </c>
      <c r="O3335" s="5" t="str">
        <f t="shared" si="5"/>
        <v>3 years 2 months in role and company</v>
      </c>
      <c r="P3335" s="5" t="str">
        <f t="shared" si="6"/>
        <v>Irvine</v>
      </c>
      <c r="Q3335" s="5" t="str">
        <f t="shared" si="7"/>
        <v>California</v>
      </c>
      <c r="R3335" s="5" t="str">
        <f t="shared" si="8"/>
        <v>United States</v>
      </c>
    </row>
    <row r="3336">
      <c r="A3336" s="7" t="s">
        <v>3324</v>
      </c>
      <c r="B3336" s="5" t="s">
        <v>3323</v>
      </c>
      <c r="C3336" s="5" t="s">
        <v>110</v>
      </c>
      <c r="D3336" s="6" t="s">
        <v>13</v>
      </c>
      <c r="E3336" s="5" t="s">
        <v>3208</v>
      </c>
      <c r="F3336" s="5" t="s">
        <v>387</v>
      </c>
      <c r="G3336" s="5" t="s">
        <v>311</v>
      </c>
      <c r="H3336" s="5" t="s">
        <v>102</v>
      </c>
      <c r="I3336" s="5" t="s">
        <v>18</v>
      </c>
      <c r="J3336" s="9" t="str">
        <f>IFERROR(__xludf.DUMMYFUNCTION("""COMPUTED_VALUE"""),"https://www.google.com/search?newwindow=1&amp;ei=2MT0XrvGGM-vytMP1OyDgAY&amp;q=site%3Alinkedin.com+Melanie+Sebastian+Associate+Recruiter,+Campus+Programs+The+Walt+Disney+Company")</f>
        <v>https://www.google.com/search?newwindow=1&amp;ei=2MT0XrvGGM-vytMP1OyDgAY&amp;q=site%3Alinkedin.com+Melanie+Sebastian+Associate+Recruiter,+Campus+Programs+The+Walt+Disney+Company</v>
      </c>
      <c r="K3336" s="5" t="str">
        <f t="shared" si="1"/>
        <v>Melanie Sebastian</v>
      </c>
      <c r="L3336" s="5" t="str">
        <f t="shared" si="2"/>
        <v>Associate Recruiter, Campus Programs</v>
      </c>
      <c r="M3336" s="5" t="str">
        <f t="shared" si="3"/>
        <v> </v>
      </c>
      <c r="N3336" s="5" t="str">
        <f t="shared" si="4"/>
        <v>The Walt Disney Company</v>
      </c>
      <c r="O3336" s="5" t="str">
        <f t="shared" si="5"/>
        <v>1 year 8 months in role and company</v>
      </c>
      <c r="P3336" s="5" t="str">
        <f t="shared" si="6"/>
        <v>Los Angeles</v>
      </c>
      <c r="Q3336" s="5" t="str">
        <f t="shared" si="7"/>
        <v>California</v>
      </c>
      <c r="R3336" s="5" t="str">
        <f t="shared" si="8"/>
        <v>United States</v>
      </c>
    </row>
    <row r="3337">
      <c r="A3337" s="7" t="s">
        <v>3326</v>
      </c>
      <c r="B3337" s="5" t="s">
        <v>3325</v>
      </c>
      <c r="C3337" s="5" t="s">
        <v>110</v>
      </c>
      <c r="D3337" s="6" t="s">
        <v>13</v>
      </c>
      <c r="E3337" s="5" t="s">
        <v>3208</v>
      </c>
      <c r="F3337" s="5" t="s">
        <v>100</v>
      </c>
      <c r="G3337" s="5" t="s">
        <v>311</v>
      </c>
      <c r="H3337" s="5" t="s">
        <v>102</v>
      </c>
      <c r="I3337" s="5" t="s">
        <v>18</v>
      </c>
      <c r="J3337" s="9" t="str">
        <f>IFERROR(__xludf.DUMMYFUNCTION("""COMPUTED_VALUE"""),"https://www.google.com/search?newwindow=1&amp;ei=2MT0XrvGGM-vytMP1OyDgAY&amp;q=site%3Alinkedin.com+Stephanie+Magana+Tech+Campus+Recruiter+The+Walt+Disney+Company")</f>
        <v>https://www.google.com/search?newwindow=1&amp;ei=2MT0XrvGGM-vytMP1OyDgAY&amp;q=site%3Alinkedin.com+Stephanie+Magana+Tech+Campus+Recruiter+The+Walt+Disney+Company</v>
      </c>
      <c r="K3337" s="5" t="str">
        <f t="shared" si="1"/>
        <v>Stephanie Magana</v>
      </c>
      <c r="L3337" s="5" t="str">
        <f t="shared" si="2"/>
        <v>Tech Campus Recruiter</v>
      </c>
      <c r="M3337" s="5" t="str">
        <f t="shared" si="3"/>
        <v> </v>
      </c>
      <c r="N3337" s="5" t="str">
        <f t="shared" si="4"/>
        <v>The Walt Disney Company</v>
      </c>
      <c r="O3337" s="5" t="str">
        <f t="shared" si="5"/>
        <v>1 year 2 months in role and company</v>
      </c>
      <c r="P3337" s="5" t="str">
        <f t="shared" si="6"/>
        <v>Los Angeles</v>
      </c>
      <c r="Q3337" s="5" t="str">
        <f t="shared" si="7"/>
        <v>California</v>
      </c>
      <c r="R3337" s="5" t="str">
        <f t="shared" si="8"/>
        <v>United States</v>
      </c>
    </row>
    <row r="3338">
      <c r="A3338" s="7" t="s">
        <v>3328</v>
      </c>
      <c r="B3338" s="5" t="s">
        <v>3327</v>
      </c>
      <c r="C3338" s="5" t="s">
        <v>1028</v>
      </c>
      <c r="D3338" s="6" t="s">
        <v>13</v>
      </c>
      <c r="E3338" s="5" t="s">
        <v>3208</v>
      </c>
      <c r="F3338" s="5" t="s">
        <v>691</v>
      </c>
      <c r="G3338" s="5" t="s">
        <v>311</v>
      </c>
      <c r="H3338" s="5" t="s">
        <v>102</v>
      </c>
      <c r="I3338" s="5" t="s">
        <v>18</v>
      </c>
      <c r="J3338" s="9" t="str">
        <f>IFERROR(__xludf.DUMMYFUNCTION("""COMPUTED_VALUE"""),"https://www.google.com/search?newwindow=1&amp;ei=2MT0XrvGGM-vytMP1OyDgAY&amp;q=site%3Alinkedin.com+Dani+Michael+Sr.+Technical+Recruiter,+Disney+Campus+Recruitment+The+Walt+Disney+Company")</f>
        <v>https://www.google.com/search?newwindow=1&amp;ei=2MT0XrvGGM-vytMP1OyDgAY&amp;q=site%3Alinkedin.com+Dani+Michael+Sr.+Technical+Recruiter,+Disney+Campus+Recruitment+The+Walt+Disney+Company</v>
      </c>
      <c r="K3338" s="5" t="str">
        <f t="shared" si="1"/>
        <v>Dani Michael</v>
      </c>
      <c r="L3338" s="5" t="str">
        <f t="shared" si="2"/>
        <v>Sr. Technical Recruiter, Disney Campus Recruitment</v>
      </c>
      <c r="M3338" s="5" t="str">
        <f t="shared" si="3"/>
        <v> </v>
      </c>
      <c r="N3338" s="5" t="str">
        <f t="shared" si="4"/>
        <v>The Walt Disney Company</v>
      </c>
      <c r="O3338" s="5" t="str">
        <f t="shared" si="5"/>
        <v>5 years 2 months in role</v>
      </c>
      <c r="P3338" s="5" t="str">
        <f t="shared" si="6"/>
        <v>Los Angeles</v>
      </c>
      <c r="Q3338" s="5" t="str">
        <f t="shared" si="7"/>
        <v>California</v>
      </c>
      <c r="R3338" s="5" t="str">
        <f t="shared" si="8"/>
        <v>United States</v>
      </c>
    </row>
    <row r="3339">
      <c r="A3339" s="7" t="s">
        <v>3330</v>
      </c>
      <c r="B3339" s="5" t="s">
        <v>3329</v>
      </c>
      <c r="C3339" s="5" t="s">
        <v>110</v>
      </c>
      <c r="D3339" s="6" t="s">
        <v>13</v>
      </c>
      <c r="E3339" s="5" t="s">
        <v>3208</v>
      </c>
      <c r="F3339" s="5" t="s">
        <v>686</v>
      </c>
      <c r="G3339" s="5" t="s">
        <v>311</v>
      </c>
      <c r="H3339" s="5" t="s">
        <v>102</v>
      </c>
      <c r="I3339" s="5" t="s">
        <v>18</v>
      </c>
      <c r="J3339" s="9" t="str">
        <f>IFERROR(__xludf.DUMMYFUNCTION("""COMPUTED_VALUE"""),"https://www.google.com/search?newwindow=1&amp;ei=2MT0XrvGGM-vytMP1OyDgAY&amp;q=site%3Alinkedin.com+Elaine+Dillard+Senior+Recruiter,+Disney+Campus+Recruitment+The+Walt+Disney+Company")</f>
        <v>https://www.google.com/search?newwindow=1&amp;ei=2MT0XrvGGM-vytMP1OyDgAY&amp;q=site%3Alinkedin.com+Elaine+Dillard+Senior+Recruiter,+Disney+Campus+Recruitment+The+Walt+Disney+Company</v>
      </c>
      <c r="K3339" s="5" t="str">
        <f t="shared" si="1"/>
        <v>Elaine Dillard</v>
      </c>
      <c r="L3339" s="5" t="str">
        <f t="shared" si="2"/>
        <v>Senior Recruiter, Disney Campus Recruitment</v>
      </c>
      <c r="M3339" s="5" t="str">
        <f t="shared" si="3"/>
        <v> </v>
      </c>
      <c r="N3339" s="5" t="str">
        <f t="shared" si="4"/>
        <v>The Walt Disney Company</v>
      </c>
      <c r="O3339" s="5" t="str">
        <f t="shared" si="5"/>
        <v>14 years 10 months in role</v>
      </c>
      <c r="P3339" s="5" t="str">
        <f t="shared" si="6"/>
        <v>Mount Dora</v>
      </c>
      <c r="Q3339" s="5" t="str">
        <f t="shared" si="7"/>
        <v>Florida</v>
      </c>
      <c r="R3339" s="5" t="str">
        <f t="shared" si="8"/>
        <v>United States</v>
      </c>
    </row>
    <row r="3340">
      <c r="A3340" s="7" t="s">
        <v>3332</v>
      </c>
      <c r="B3340" s="5" t="s">
        <v>3331</v>
      </c>
      <c r="C3340" s="5" t="s">
        <v>110</v>
      </c>
      <c r="D3340" s="6" t="s">
        <v>13</v>
      </c>
      <c r="E3340" s="5" t="s">
        <v>3208</v>
      </c>
      <c r="F3340" s="5" t="s">
        <v>188</v>
      </c>
      <c r="G3340" s="5" t="s">
        <v>311</v>
      </c>
      <c r="H3340" s="5" t="s">
        <v>102</v>
      </c>
      <c r="I3340" s="5" t="s">
        <v>18</v>
      </c>
      <c r="J3340" s="9" t="str">
        <f>IFERROR(__xludf.DUMMYFUNCTION("""COMPUTED_VALUE"""),"https://www.google.com/search?newwindow=1&amp;ei=2MT0XrvGGM-vytMP1OyDgAY&amp;q=site%3Alinkedin.com+Suzanna+Camacho+Recruiter,+Campus+Recruitment+The+Walt+Disney+Company")</f>
        <v>https://www.google.com/search?newwindow=1&amp;ei=2MT0XrvGGM-vytMP1OyDgAY&amp;q=site%3Alinkedin.com+Suzanna+Camacho+Recruiter,+Campus+Recruitment+The+Walt+Disney+Company</v>
      </c>
      <c r="K3340" s="5" t="str">
        <f t="shared" si="1"/>
        <v>Suzanna Camacho</v>
      </c>
      <c r="L3340" s="5" t="str">
        <f t="shared" si="2"/>
        <v>Recruiter, Campus Recruitment</v>
      </c>
      <c r="M3340" s="5" t="str">
        <f t="shared" si="3"/>
        <v> </v>
      </c>
      <c r="N3340" s="5" t="str">
        <f t="shared" si="4"/>
        <v>The Walt Disney Company</v>
      </c>
      <c r="O3340" s="5" t="str">
        <f t="shared" si="5"/>
        <v>2 years 9 months in role</v>
      </c>
      <c r="P3340" s="5" t="str">
        <f t="shared" si="6"/>
        <v>New York</v>
      </c>
      <c r="Q3340" s="5" t="str">
        <f t="shared" si="7"/>
        <v>New York</v>
      </c>
      <c r="R3340" s="5" t="str">
        <f t="shared" si="8"/>
        <v>United States</v>
      </c>
    </row>
    <row r="3341">
      <c r="A3341" s="7" t="s">
        <v>3335</v>
      </c>
      <c r="B3341" s="5" t="s">
        <v>3333</v>
      </c>
      <c r="C3341" s="5" t="s">
        <v>3334</v>
      </c>
      <c r="D3341" s="6" t="s">
        <v>13</v>
      </c>
      <c r="E3341" s="5" t="s">
        <v>3208</v>
      </c>
      <c r="F3341" s="5" t="s">
        <v>822</v>
      </c>
      <c r="G3341" s="5" t="s">
        <v>311</v>
      </c>
      <c r="H3341" s="5" t="s">
        <v>102</v>
      </c>
      <c r="I3341" s="5" t="s">
        <v>18</v>
      </c>
      <c r="J3341" s="9" t="str">
        <f>IFERROR(__xludf.DUMMYFUNCTION("""COMPUTED_VALUE"""),"https://www.google.com/search?newwindow=1&amp;ei=2MT0XrvGGM-vytMP1OyDgAY&amp;q=site%3Alinkedin.com+Amy+Bennett+Senior+Recruiter,+Campus+Recruitment+The+Walt+Disney+Company")</f>
        <v>https://www.google.com/search?newwindow=1&amp;ei=2MT0XrvGGM-vytMP1OyDgAY&amp;q=site%3Alinkedin.com+Amy+Bennett+Senior+Recruiter,+Campus+Recruitment+The+Walt+Disney+Company</v>
      </c>
      <c r="K3341" s="5" t="str">
        <f t="shared" si="1"/>
        <v>Amy Bennett</v>
      </c>
      <c r="L3341" s="5" t="str">
        <f t="shared" si="2"/>
        <v>Senior Recruiter, Campus Recruitment</v>
      </c>
      <c r="M3341" s="5" t="str">
        <f t="shared" si="3"/>
        <v> </v>
      </c>
      <c r="N3341" s="5" t="str">
        <f t="shared" si="4"/>
        <v>The Walt Disney Company</v>
      </c>
      <c r="O3341" s="5" t="str">
        <f t="shared" si="5"/>
        <v>5 years 1 month in role</v>
      </c>
      <c r="P3341" s="5" t="str">
        <f t="shared" si="6"/>
        <v>Norfolk</v>
      </c>
      <c r="Q3341" s="5" t="str">
        <f t="shared" si="7"/>
        <v>Virginia</v>
      </c>
      <c r="R3341" s="5" t="str">
        <f t="shared" si="8"/>
        <v>United States</v>
      </c>
    </row>
    <row r="3342">
      <c r="A3342" s="7" t="s">
        <v>3337</v>
      </c>
      <c r="B3342" s="5" t="s">
        <v>3336</v>
      </c>
      <c r="C3342" s="5" t="s">
        <v>110</v>
      </c>
      <c r="D3342" s="6" t="s">
        <v>13</v>
      </c>
      <c r="E3342" s="5" t="s">
        <v>3208</v>
      </c>
      <c r="F3342" s="5" t="s">
        <v>79</v>
      </c>
      <c r="G3342" s="5" t="s">
        <v>311</v>
      </c>
      <c r="H3342" s="5" t="s">
        <v>102</v>
      </c>
      <c r="I3342" s="5" t="s">
        <v>18</v>
      </c>
      <c r="J3342" s="9" t="str">
        <f>IFERROR(__xludf.DUMMYFUNCTION("""COMPUTED_VALUE"""),"https://www.google.com/search?newwindow=1&amp;ei=2MT0XrvGGM-vytMP1OyDgAY&amp;q=site%3Alinkedin.com+Tricia+Cooke+Campus+Recruiter+The+Walt+Disney+Company")</f>
        <v>https://www.google.com/search?newwindow=1&amp;ei=2MT0XrvGGM-vytMP1OyDgAY&amp;q=site%3Alinkedin.com+Tricia+Cooke+Campus+Recruiter+The+Walt+Disney+Company</v>
      </c>
      <c r="K3342" s="5" t="str">
        <f t="shared" si="1"/>
        <v>Tricia Cooke</v>
      </c>
      <c r="L3342" s="5" t="str">
        <f t="shared" si="2"/>
        <v>Campus Recruiter</v>
      </c>
      <c r="M3342" s="5" t="str">
        <f t="shared" si="3"/>
        <v> </v>
      </c>
      <c r="N3342" s="5" t="str">
        <f t="shared" si="4"/>
        <v>The Walt Disney Company</v>
      </c>
      <c r="O3342" s="5" t="str">
        <f t="shared" si="5"/>
        <v>2 years  in role and company</v>
      </c>
      <c r="P3342" s="5" t="str">
        <f t="shared" si="6"/>
        <v>Orlando</v>
      </c>
      <c r="Q3342" s="5" t="str">
        <f t="shared" si="7"/>
        <v>Florida</v>
      </c>
      <c r="R3342" s="5" t="str">
        <f t="shared" si="8"/>
        <v>United States</v>
      </c>
    </row>
    <row r="3343">
      <c r="A3343" s="7" t="s">
        <v>3339</v>
      </c>
      <c r="B3343" s="5" t="s">
        <v>3338</v>
      </c>
      <c r="C3343" s="5" t="s">
        <v>110</v>
      </c>
      <c r="D3343" s="6" t="s">
        <v>13</v>
      </c>
      <c r="E3343" s="5" t="s">
        <v>3208</v>
      </c>
      <c r="F3343" s="5" t="s">
        <v>144</v>
      </c>
      <c r="G3343" s="5" t="s">
        <v>311</v>
      </c>
      <c r="H3343" s="5" t="s">
        <v>102</v>
      </c>
      <c r="I3343" s="5" t="s">
        <v>18</v>
      </c>
      <c r="J3343" s="9" t="str">
        <f>IFERROR(__xludf.DUMMYFUNCTION("""COMPUTED_VALUE"""),"https://www.google.com/search?newwindow=1&amp;ei=2MT0XrvGGM-vytMP1OyDgAY&amp;q=site%3Alinkedin.com+Kate+Perrine+Recruiter,+Disney+Campus+Recruitment+The+Walt+Disney+Company")</f>
        <v>https://www.google.com/search?newwindow=1&amp;ei=2MT0XrvGGM-vytMP1OyDgAY&amp;q=site%3Alinkedin.com+Kate+Perrine+Recruiter,+Disney+Campus+Recruitment+The+Walt+Disney+Company</v>
      </c>
      <c r="K3343" s="5" t="str">
        <f t="shared" si="1"/>
        <v>Kate Perrine</v>
      </c>
      <c r="L3343" s="5" t="str">
        <f t="shared" si="2"/>
        <v>Recruiter, Disney Campus Recruitment</v>
      </c>
      <c r="M3343" s="5" t="str">
        <f t="shared" si="3"/>
        <v> </v>
      </c>
      <c r="N3343" s="5" t="str">
        <f t="shared" si="4"/>
        <v>The Walt Disney Company</v>
      </c>
      <c r="O3343" s="5" t="str">
        <f t="shared" si="5"/>
        <v>2 years  in role and company</v>
      </c>
      <c r="P3343" s="5" t="str">
        <f t="shared" si="6"/>
        <v>Orlando</v>
      </c>
      <c r="Q3343" s="5" t="str">
        <f t="shared" si="7"/>
        <v>Florida</v>
      </c>
      <c r="R3343" s="5" t="str">
        <f t="shared" si="8"/>
        <v>United States</v>
      </c>
    </row>
    <row r="3344">
      <c r="A3344" s="7" t="s">
        <v>3341</v>
      </c>
      <c r="B3344" s="5" t="s">
        <v>3340</v>
      </c>
      <c r="C3344" s="5" t="s">
        <v>110</v>
      </c>
      <c r="D3344" s="6" t="s">
        <v>13</v>
      </c>
      <c r="E3344" s="5" t="s">
        <v>3208</v>
      </c>
      <c r="F3344" s="5" t="s">
        <v>651</v>
      </c>
      <c r="G3344" s="5" t="s">
        <v>311</v>
      </c>
      <c r="H3344" s="5" t="s">
        <v>102</v>
      </c>
      <c r="I3344" s="5" t="s">
        <v>18</v>
      </c>
      <c r="J3344" s="9" t="str">
        <f>IFERROR(__xludf.DUMMYFUNCTION("""COMPUTED_VALUE"""),"https://www.google.com/search?newwindow=1&amp;ei=2MT0XrvGGM-vytMP1OyDgAY&amp;q=site%3Alinkedin.com+Cathy+O'Brien+SHRM-CP,+PHR,+CIR+Sr.+Recruiter,+Disney+Campus+Recruitment+The+Walt+Disney+Company")</f>
        <v>https://www.google.com/search?newwindow=1&amp;ei=2MT0XrvGGM-vytMP1OyDgAY&amp;q=site%3Alinkedin.com+Cathy+O'Brien+SHRM-CP,+PHR,+CIR+Sr.+Recruiter,+Disney+Campus+Recruitment+The+Walt+Disney+Company</v>
      </c>
      <c r="K3344" s="5" t="str">
        <f t="shared" si="1"/>
        <v>Cathy O'Brien SHRM-CP, PHR, CIR</v>
      </c>
      <c r="L3344" s="5" t="str">
        <f t="shared" si="2"/>
        <v>Sr. Recruiter, Disney Campus Recruitment</v>
      </c>
      <c r="M3344" s="5" t="str">
        <f t="shared" si="3"/>
        <v> </v>
      </c>
      <c r="N3344" s="5" t="str">
        <f t="shared" si="4"/>
        <v>The Walt Disney Company</v>
      </c>
      <c r="O3344" s="5" t="str">
        <f t="shared" si="5"/>
        <v>6 years 1 month in role</v>
      </c>
      <c r="P3344" s="5" t="str">
        <f t="shared" si="6"/>
        <v>Orlando</v>
      </c>
      <c r="Q3344" s="5" t="str">
        <f t="shared" si="7"/>
        <v>Florida</v>
      </c>
      <c r="R3344" s="5" t="str">
        <f t="shared" si="8"/>
        <v>United States</v>
      </c>
    </row>
    <row r="3345">
      <c r="A3345" s="7" t="s">
        <v>3343</v>
      </c>
      <c r="B3345" s="5" t="s">
        <v>3342</v>
      </c>
      <c r="C3345" s="5" t="s">
        <v>1028</v>
      </c>
      <c r="D3345" s="6" t="s">
        <v>13</v>
      </c>
      <c r="E3345" s="5" t="s">
        <v>3208</v>
      </c>
      <c r="F3345" s="5" t="s">
        <v>848</v>
      </c>
      <c r="G3345" s="5" t="s">
        <v>311</v>
      </c>
      <c r="H3345" s="5" t="s">
        <v>102</v>
      </c>
      <c r="I3345" s="5" t="s">
        <v>18</v>
      </c>
      <c r="J3345" s="9" t="str">
        <f>IFERROR(__xludf.DUMMYFUNCTION("""COMPUTED_VALUE"""),"https://www.google.com/search?newwindow=1&amp;ei=2MT0XrvGGM-vytMP1OyDgAY&amp;q=site%3Alinkedin.com+Danielle+Smith+Recruiter,+Disney+College+Program+The+Walt+Disney+Company")</f>
        <v>https://www.google.com/search?newwindow=1&amp;ei=2MT0XrvGGM-vytMP1OyDgAY&amp;q=site%3Alinkedin.com+Danielle+Smith+Recruiter,+Disney+College+Program+The+Walt+Disney+Company</v>
      </c>
      <c r="K3345" s="5" t="str">
        <f t="shared" si="1"/>
        <v>Danielle Smith</v>
      </c>
      <c r="L3345" s="5" t="str">
        <f t="shared" si="2"/>
        <v>Recruiter, Disney College Program</v>
      </c>
      <c r="M3345" s="5" t="str">
        <f t="shared" si="3"/>
        <v> </v>
      </c>
      <c r="N3345" s="5" t="str">
        <f t="shared" si="4"/>
        <v>The Walt Disney Company</v>
      </c>
      <c r="O3345" s="5" t="str">
        <f t="shared" si="5"/>
        <v>1 year 10 months in role and company</v>
      </c>
      <c r="P3345" s="5" t="str">
        <f t="shared" si="6"/>
        <v>Orlando</v>
      </c>
      <c r="Q3345" s="5" t="str">
        <f t="shared" si="7"/>
        <v>Florida</v>
      </c>
      <c r="R3345" s="5" t="str">
        <f t="shared" si="8"/>
        <v>United States</v>
      </c>
    </row>
    <row r="3346">
      <c r="A3346" s="7" t="s">
        <v>3345</v>
      </c>
      <c r="B3346" s="5" t="s">
        <v>3344</v>
      </c>
      <c r="C3346" s="5" t="s">
        <v>110</v>
      </c>
      <c r="D3346" s="6" t="s">
        <v>13</v>
      </c>
      <c r="E3346" s="5" t="s">
        <v>3208</v>
      </c>
      <c r="F3346" s="5" t="s">
        <v>822</v>
      </c>
      <c r="G3346" s="5" t="s">
        <v>311</v>
      </c>
      <c r="H3346" s="5" t="s">
        <v>102</v>
      </c>
      <c r="I3346" s="5" t="s">
        <v>18</v>
      </c>
      <c r="J3346" s="9" t="str">
        <f>IFERROR(__xludf.DUMMYFUNCTION("""COMPUTED_VALUE"""),"https://www.google.com/search?newwindow=1&amp;ei=2MT0XrvGGM-vytMP1OyDgAY&amp;q=site%3Alinkedin.com+Claire+G.+Bradley+College+Recruiter;+Event+Management+Professional;+Community+Outreach+in+the+Recruiting+Field+The+Walt+Disney+Company")</f>
        <v>https://www.google.com/search?newwindow=1&amp;ei=2MT0XrvGGM-vytMP1OyDgAY&amp;q=site%3Alinkedin.com+Claire+G.+Bradley+College+Recruiter;+Event+Management+Professional;+Community+Outreach+in+the+Recruiting+Field+The+Walt+Disney+Company</v>
      </c>
      <c r="K3346" s="5" t="str">
        <f t="shared" si="1"/>
        <v>Claire G. Bradley</v>
      </c>
      <c r="L3346" s="5" t="str">
        <f t="shared" si="2"/>
        <v>College Recruiter; Event Management Professional; Community Outreach in the Recruiting Field</v>
      </c>
      <c r="M3346" s="5" t="str">
        <f t="shared" si="3"/>
        <v> </v>
      </c>
      <c r="N3346" s="5" t="str">
        <f t="shared" si="4"/>
        <v>The Walt Disney Company</v>
      </c>
      <c r="O3346" s="5" t="str">
        <f t="shared" si="5"/>
        <v>24 years 10 months in role and company</v>
      </c>
      <c r="P3346" s="5" t="str">
        <f t="shared" si="6"/>
        <v>Orlando</v>
      </c>
      <c r="Q3346" s="5" t="str">
        <f t="shared" si="7"/>
        <v>Florida</v>
      </c>
      <c r="R3346" s="5" t="str">
        <f t="shared" si="8"/>
        <v>United States</v>
      </c>
    </row>
    <row r="3347">
      <c r="A3347" s="7" t="s">
        <v>3348</v>
      </c>
      <c r="B3347" s="5" t="s">
        <v>3346</v>
      </c>
      <c r="C3347" s="5" t="s">
        <v>3347</v>
      </c>
      <c r="D3347" s="6" t="s">
        <v>13</v>
      </c>
      <c r="E3347" s="5" t="s">
        <v>3208</v>
      </c>
      <c r="F3347" s="5" t="s">
        <v>651</v>
      </c>
      <c r="G3347" s="5" t="s">
        <v>311</v>
      </c>
      <c r="H3347" s="5" t="s">
        <v>102</v>
      </c>
      <c r="I3347" s="5" t="s">
        <v>18</v>
      </c>
      <c r="J3347" s="9" t="str">
        <f>IFERROR(__xludf.DUMMYFUNCTION("""COMPUTED_VALUE"""),"https://www.google.com/search?newwindow=1&amp;ei=2MT0XrvGGM-vytMP1OyDgAY&amp;q=site%3Alinkedin.com+Sandra+Almond,+SHRM-SCP+Campus+Recruiter+The+Walt+Disney+Company")</f>
        <v>https://www.google.com/search?newwindow=1&amp;ei=2MT0XrvGGM-vytMP1OyDgAY&amp;q=site%3Alinkedin.com+Sandra+Almond,+SHRM-SCP+Campus+Recruiter+The+Walt+Disney+Company</v>
      </c>
      <c r="K3347" s="5" t="str">
        <f t="shared" si="1"/>
        <v>Sandra Almond, SHRM-SCP</v>
      </c>
      <c r="L3347" s="5" t="str">
        <f t="shared" si="2"/>
        <v>Campus Recruiter</v>
      </c>
      <c r="M3347" s="5" t="str">
        <f t="shared" si="3"/>
        <v> </v>
      </c>
      <c r="N3347" s="5" t="str">
        <f t="shared" si="4"/>
        <v>The Walt Disney Company</v>
      </c>
      <c r="O3347" s="5" t="str">
        <f t="shared" si="5"/>
        <v>1 year 10 months in role</v>
      </c>
      <c r="P3347" s="5" t="str">
        <f t="shared" si="6"/>
        <v>Palm Bay</v>
      </c>
      <c r="Q3347" s="5" t="str">
        <f t="shared" si="7"/>
        <v>Florida</v>
      </c>
      <c r="R3347" s="5" t="str">
        <f t="shared" si="8"/>
        <v>United States</v>
      </c>
    </row>
    <row r="3348">
      <c r="A3348" s="8" t="s">
        <v>3351</v>
      </c>
      <c r="B3348" s="5" t="s">
        <v>3349</v>
      </c>
      <c r="C3348" s="5" t="s">
        <v>3350</v>
      </c>
      <c r="D3348" s="6" t="s">
        <v>13</v>
      </c>
      <c r="E3348" s="5" t="s">
        <v>3208</v>
      </c>
      <c r="F3348" s="5" t="s">
        <v>1880</v>
      </c>
      <c r="G3348" s="5" t="s">
        <v>311</v>
      </c>
      <c r="H3348" s="5" t="s">
        <v>102</v>
      </c>
      <c r="I3348" s="5" t="s">
        <v>18</v>
      </c>
      <c r="J3348" s="9" t="str">
        <f>IFERROR(__xludf.DUMMYFUNCTION("""COMPUTED_VALUE"""),"https://www.google.com/search?newwindow=1&amp;ei=2MT0XrvGGM-vytMP1OyDgAY&amp;q=site%3Alinkedin.com+Yoshi+Takamura+Campus+Recruitment+Recruiter+-+Technology+The+Walt+Disney+Company")</f>
        <v>https://www.google.com/search?newwindow=1&amp;ei=2MT0XrvGGM-vytMP1OyDgAY&amp;q=site%3Alinkedin.com+Yoshi+Takamura+Campus+Recruitment+Recruiter+-+Technology+The+Walt+Disney+Company</v>
      </c>
      <c r="K3348" s="5" t="str">
        <f t="shared" si="1"/>
        <v>Yoshi Takamura</v>
      </c>
      <c r="L3348" s="5" t="str">
        <f t="shared" si="2"/>
        <v>Campus Recruitment Recruiter - Technology</v>
      </c>
      <c r="M3348" s="5" t="str">
        <f t="shared" si="3"/>
        <v> </v>
      </c>
      <c r="N3348" s="5" t="str">
        <f t="shared" si="4"/>
        <v>The Walt Disney Company</v>
      </c>
      <c r="O3348" s="5" t="str">
        <f t="shared" si="5"/>
        <v>2 years 4 months in role and company</v>
      </c>
      <c r="P3348" s="5" t="str">
        <f t="shared" si="6"/>
        <v>Windermere</v>
      </c>
      <c r="Q3348" s="5" t="str">
        <f t="shared" si="7"/>
        <v>Florida</v>
      </c>
      <c r="R3348" s="5" t="str">
        <f t="shared" si="8"/>
        <v>United States</v>
      </c>
    </row>
    <row r="3349">
      <c r="A3349" s="8" t="s">
        <v>3354</v>
      </c>
      <c r="B3349" s="5" t="s">
        <v>3352</v>
      </c>
      <c r="C3349" s="5" t="s">
        <v>3353</v>
      </c>
      <c r="D3349" s="6" t="s">
        <v>13</v>
      </c>
      <c r="E3349" s="5" t="s">
        <v>3208</v>
      </c>
      <c r="F3349" s="5" t="s">
        <v>79</v>
      </c>
      <c r="G3349" s="5" t="s">
        <v>311</v>
      </c>
      <c r="H3349" s="5" t="s">
        <v>102</v>
      </c>
      <c r="I3349" s="5" t="s">
        <v>18</v>
      </c>
      <c r="J3349" s="9" t="str">
        <f>IFERROR(__xludf.DUMMYFUNCTION("""COMPUTED_VALUE"""),"https://www.google.com/search?newwindow=1&amp;ei=2MT0XrvGGM-vytMP1OyDgAY&amp;q=site%3Alinkedin.com+Khalifah+Nailor+Recruiter,+Disney+Campus+Recruitment+The+Walt+Disney+Company")</f>
        <v>https://www.google.com/search?newwindow=1&amp;ei=2MT0XrvGGM-vytMP1OyDgAY&amp;q=site%3Alinkedin.com+Khalifah+Nailor+Recruiter,+Disney+Campus+Recruitment+The+Walt+Disney+Company</v>
      </c>
      <c r="K3349" s="5" t="str">
        <f t="shared" si="1"/>
        <v>Khalifah Nailor</v>
      </c>
      <c r="L3349" s="5" t="str">
        <f t="shared" si="2"/>
        <v>Recruiter, Disney Campus Recruitment</v>
      </c>
      <c r="M3349" s="5" t="str">
        <f t="shared" si="3"/>
        <v> </v>
      </c>
      <c r="N3349" s="5" t="str">
        <f t="shared" si="4"/>
        <v>The Walt Disney Company</v>
      </c>
      <c r="O3349" s="5" t="str">
        <f t="shared" si="5"/>
        <v>1 year 5 months in role and company</v>
      </c>
      <c r="P3349" s="5" t="str">
        <f t="shared" si="6"/>
        <v>Windermere</v>
      </c>
      <c r="Q3349" s="5" t="str">
        <f t="shared" si="7"/>
        <v>Florida</v>
      </c>
      <c r="R3349" s="5" t="str">
        <f t="shared" si="8"/>
        <v>United States</v>
      </c>
    </row>
    <row r="3350">
      <c r="A3350" s="7" t="s">
        <v>3356</v>
      </c>
      <c r="B3350" s="5" t="s">
        <v>3355</v>
      </c>
      <c r="C3350" s="5" t="s">
        <v>110</v>
      </c>
      <c r="D3350" s="6" t="s">
        <v>13</v>
      </c>
      <c r="E3350" s="5" t="s">
        <v>3208</v>
      </c>
      <c r="F3350" s="5" t="s">
        <v>387</v>
      </c>
      <c r="G3350" s="5" t="s">
        <v>311</v>
      </c>
      <c r="H3350" s="5" t="s">
        <v>102</v>
      </c>
      <c r="I3350" s="5" t="s">
        <v>18</v>
      </c>
      <c r="J3350" s="9" t="str">
        <f>IFERROR(__xludf.DUMMYFUNCTION("""COMPUTED_VALUE"""),"https://www.google.com/search?newwindow=1&amp;ei=2MT0XrvGGM-vytMP1OyDgAY&amp;q=site%3Alinkedin.com+Sarah+Blair+Associate+Recruiter,+Campus+Recruitment+The+Walt+Disney+Company")</f>
        <v>https://www.google.com/search?newwindow=1&amp;ei=2MT0XrvGGM-vytMP1OyDgAY&amp;q=site%3Alinkedin.com+Sarah+Blair+Associate+Recruiter,+Campus+Recruitment+The+Walt+Disney+Company</v>
      </c>
      <c r="K3350" s="5" t="str">
        <f t="shared" si="1"/>
        <v>Sarah Blair</v>
      </c>
      <c r="L3350" s="5" t="str">
        <f t="shared" si="2"/>
        <v>Associate Recruiter, Campus Recruitment</v>
      </c>
      <c r="M3350" s="5" t="str">
        <f t="shared" si="3"/>
        <v> </v>
      </c>
      <c r="N3350" s="5" t="str">
        <f t="shared" si="4"/>
        <v>The Walt Disney Company</v>
      </c>
      <c r="O3350" s="5" t="str">
        <f t="shared" si="5"/>
        <v>1 year 2 months in role</v>
      </c>
      <c r="P3350" s="5" t="str">
        <f t="shared" si="6"/>
        <v>Winter Garden</v>
      </c>
      <c r="Q3350" s="5" t="str">
        <f t="shared" si="7"/>
        <v>Florida</v>
      </c>
      <c r="R3350" s="5" t="str">
        <f t="shared" si="8"/>
        <v>United States</v>
      </c>
    </row>
    <row r="3351">
      <c r="A3351" s="7" t="s">
        <v>3359</v>
      </c>
      <c r="B3351" s="5" t="s">
        <v>3357</v>
      </c>
      <c r="C3351" s="5" t="s">
        <v>3358</v>
      </c>
      <c r="D3351" s="6" t="s">
        <v>13</v>
      </c>
      <c r="E3351" s="5" t="s">
        <v>3208</v>
      </c>
      <c r="F3351" s="5" t="s">
        <v>2288</v>
      </c>
      <c r="G3351" s="5" t="s">
        <v>311</v>
      </c>
      <c r="H3351" s="5" t="s">
        <v>102</v>
      </c>
      <c r="I3351" s="5" t="s">
        <v>18</v>
      </c>
      <c r="J3351" s="9" t="str">
        <f>IFERROR(__xludf.DUMMYFUNCTION("""COMPUTED_VALUE"""),"https://www.google.com/search?newwindow=1&amp;ei=2MT0XrvGGM-vytMP1OyDgAY&amp;q=site%3Alinkedin.com+Tessa+Miller+Disney+College+Program+Campus+Recruiter+Walt+Disney+Company")</f>
        <v>https://www.google.com/search?newwindow=1&amp;ei=2MT0XrvGGM-vytMP1OyDgAY&amp;q=site%3Alinkedin.com+Tessa+Miller+Disney+College+Program+Campus+Recruiter+Walt+Disney+Company</v>
      </c>
      <c r="K3351" s="5" t="str">
        <f t="shared" si="1"/>
        <v>Tessa Miller</v>
      </c>
      <c r="L3351" s="5" t="str">
        <f t="shared" si="2"/>
        <v>Disney College Program Campus Recruiter</v>
      </c>
      <c r="M3351" s="5" t="str">
        <f t="shared" si="3"/>
        <v> </v>
      </c>
      <c r="N3351" s="5" t="str">
        <f t="shared" si="4"/>
        <v>The Walt Disney Company</v>
      </c>
      <c r="O3351" s="5" t="str">
        <f t="shared" si="5"/>
        <v>10 years 3 months in role and company</v>
      </c>
      <c r="P3351" s="5" t="str">
        <f t="shared" si="6"/>
        <v>Philadelphia</v>
      </c>
      <c r="Q3351" s="5" t="str">
        <f t="shared" si="7"/>
        <v>Pennsylvania</v>
      </c>
      <c r="R3351" s="5" t="str">
        <f t="shared" si="8"/>
        <v>United States</v>
      </c>
    </row>
    <row r="3352">
      <c r="A3352" s="7" t="s">
        <v>3361</v>
      </c>
      <c r="B3352" s="5" t="s">
        <v>3360</v>
      </c>
      <c r="C3352" s="5" t="s">
        <v>110</v>
      </c>
      <c r="D3352" s="6" t="s">
        <v>13</v>
      </c>
      <c r="E3352" s="5" t="s">
        <v>3208</v>
      </c>
      <c r="F3352" s="5" t="s">
        <v>418</v>
      </c>
      <c r="G3352" s="5" t="s">
        <v>311</v>
      </c>
      <c r="H3352" s="5" t="s">
        <v>102</v>
      </c>
      <c r="I3352" s="5" t="s">
        <v>18</v>
      </c>
      <c r="J3352" s="9" t="str">
        <f>IFERROR(__xludf.DUMMYFUNCTION("""COMPUTED_VALUE"""),"https://www.google.com/search?newwindow=1&amp;ei=2MT0XrvGGM-vytMP1OyDgAY&amp;q=site%3Alinkedin.com+Melissa+Coggins+Sr.+Campus+Recruiter,+University+Relations+Truist")</f>
        <v>https://www.google.com/search?newwindow=1&amp;ei=2MT0XrvGGM-vytMP1OyDgAY&amp;q=site%3Alinkedin.com+Melissa+Coggins+Sr.+Campus+Recruiter,+University+Relations+Truist</v>
      </c>
      <c r="K3352" s="5" t="str">
        <f t="shared" si="1"/>
        <v>Melissa Coggins</v>
      </c>
      <c r="L3352" s="5" t="str">
        <f t="shared" si="2"/>
        <v>Sr. Campus Recruiter, University Relations</v>
      </c>
      <c r="M3352" s="5" t="str">
        <f t="shared" si="3"/>
        <v> </v>
      </c>
      <c r="N3352" s="5" t="str">
        <f t="shared" si="4"/>
        <v>Truist</v>
      </c>
      <c r="O3352" s="5" t="str">
        <f t="shared" si="5"/>
        <v>7 months in role</v>
      </c>
      <c r="P3352" s="5" t="str">
        <f t="shared" si="6"/>
        <v>Atlanta</v>
      </c>
      <c r="Q3352" s="5" t="str">
        <f t="shared" si="7"/>
        <v>Georgia</v>
      </c>
      <c r="R3352" s="5" t="str">
        <f t="shared" si="8"/>
        <v>United States</v>
      </c>
    </row>
    <row r="3353">
      <c r="A3353" s="8" t="s">
        <v>3364</v>
      </c>
      <c r="B3353" s="5" t="s">
        <v>3362</v>
      </c>
      <c r="C3353" s="5" t="s">
        <v>3363</v>
      </c>
      <c r="D3353" s="6" t="s">
        <v>13</v>
      </c>
      <c r="E3353" s="5" t="s">
        <v>3208</v>
      </c>
      <c r="F3353" s="5" t="s">
        <v>192</v>
      </c>
      <c r="G3353" s="5" t="s">
        <v>311</v>
      </c>
      <c r="H3353" s="5" t="s">
        <v>102</v>
      </c>
      <c r="I3353" s="5" t="s">
        <v>18</v>
      </c>
      <c r="J3353" s="9" t="str">
        <f>IFERROR(__xludf.DUMMYFUNCTION("""COMPUTED_VALUE"""),"https://www.google.com/search?newwindow=1&amp;ei=2MT0XrvGGM-vytMP1OyDgAY&amp;q=site%3Alinkedin.com+Sheria+Richardson+(She/Her)+University+Relations+Recruiter+Truist")</f>
        <v>https://www.google.com/search?newwindow=1&amp;ei=2MT0XrvGGM-vytMP1OyDgAY&amp;q=site%3Alinkedin.com+Sheria+Richardson+(She/Her)+University+Relations+Recruiter+Truist</v>
      </c>
      <c r="K3353" s="5" t="str">
        <f t="shared" si="1"/>
        <v>Sheria Richardson (She/Her)</v>
      </c>
      <c r="L3353" s="5" t="str">
        <f t="shared" si="2"/>
        <v>University Relations Recruiter</v>
      </c>
      <c r="M3353" s="5" t="str">
        <f t="shared" si="3"/>
        <v> </v>
      </c>
      <c r="N3353" s="5" t="str">
        <f t="shared" si="4"/>
        <v>Truist</v>
      </c>
      <c r="O3353" s="5" t="str">
        <f t="shared" si="5"/>
        <v>2 years 3 months in role and company</v>
      </c>
      <c r="P3353" s="5" t="str">
        <f t="shared" si="6"/>
        <v>Charlotte</v>
      </c>
      <c r="Q3353" s="5" t="str">
        <f t="shared" si="7"/>
        <v>North Carolina</v>
      </c>
      <c r="R3353" s="5" t="str">
        <f t="shared" si="8"/>
        <v>United States</v>
      </c>
    </row>
    <row r="3354">
      <c r="A3354" s="7" t="s">
        <v>3367</v>
      </c>
      <c r="B3354" s="5" t="s">
        <v>3365</v>
      </c>
      <c r="C3354" s="5" t="s">
        <v>3366</v>
      </c>
      <c r="D3354" s="6" t="s">
        <v>13</v>
      </c>
      <c r="E3354" s="5" t="s">
        <v>3208</v>
      </c>
      <c r="F3354" s="5" t="s">
        <v>100</v>
      </c>
      <c r="G3354" s="5" t="s">
        <v>311</v>
      </c>
      <c r="H3354" s="5" t="s">
        <v>102</v>
      </c>
      <c r="I3354" s="5" t="s">
        <v>18</v>
      </c>
      <c r="J3354" s="9" t="str">
        <f>IFERROR(__xludf.DUMMYFUNCTION("""COMPUTED_VALUE"""),"https://www.google.com/search?newwindow=1&amp;ei=2MT0XrvGGM-vytMP1OyDgAY&amp;q=site%3Alinkedin.com+Lindsay+Joyner+University+Relations+Recruiting+Manager+at+Truist+Truist")</f>
        <v>https://www.google.com/search?newwindow=1&amp;ei=2MT0XrvGGM-vytMP1OyDgAY&amp;q=site%3Alinkedin.com+Lindsay+Joyner+University+Relations+Recruiting+Manager+at+Truist+Truist</v>
      </c>
      <c r="K3354" s="5" t="str">
        <f t="shared" si="1"/>
        <v>Lindsay Joyner</v>
      </c>
      <c r="L3354" s="5" t="str">
        <f t="shared" si="2"/>
        <v>University Relations Recruiting Manager at Truist</v>
      </c>
      <c r="M3354" s="5" t="str">
        <f t="shared" si="3"/>
        <v> </v>
      </c>
      <c r="N3354" s="5" t="str">
        <f t="shared" si="4"/>
        <v>Truist</v>
      </c>
      <c r="O3354" s="5" t="str">
        <f t="shared" si="5"/>
        <v>11 months in role and company</v>
      </c>
      <c r="P3354" s="5" t="str">
        <f t="shared" si="6"/>
        <v>Charlotte</v>
      </c>
      <c r="Q3354" s="5" t="str">
        <f t="shared" si="7"/>
        <v>North Carolina</v>
      </c>
      <c r="R3354" s="5" t="str">
        <f t="shared" si="8"/>
        <v>United States</v>
      </c>
    </row>
    <row r="3355">
      <c r="A3355" s="7" t="s">
        <v>3369</v>
      </c>
      <c r="B3355" s="5" t="s">
        <v>3368</v>
      </c>
      <c r="C3355" s="5" t="s">
        <v>110</v>
      </c>
      <c r="D3355" s="6" t="s">
        <v>13</v>
      </c>
      <c r="E3355" s="5" t="s">
        <v>3208</v>
      </c>
      <c r="F3355" s="5" t="s">
        <v>79</v>
      </c>
      <c r="G3355" s="5" t="s">
        <v>311</v>
      </c>
      <c r="H3355" s="5" t="s">
        <v>102</v>
      </c>
      <c r="I3355" s="5" t="s">
        <v>18</v>
      </c>
      <c r="J3355" s="9" t="str">
        <f>IFERROR(__xludf.DUMMYFUNCTION("""COMPUTED_VALUE"""),"https://www.google.com/search?newwindow=1&amp;ei=2MT0XrvGGM-vytMP1OyDgAY&amp;q=site%3Alinkedin.com+Letitia+Bethel-White+University+Relations+Recruiter+Truist")</f>
        <v>https://www.google.com/search?newwindow=1&amp;ei=2MT0XrvGGM-vytMP1OyDgAY&amp;q=site%3Alinkedin.com+Letitia+Bethel-White+University+Relations+Recruiter+Truist</v>
      </c>
      <c r="K3355" s="5" t="str">
        <f t="shared" si="1"/>
        <v>Letitia Bethel-White</v>
      </c>
      <c r="L3355" s="5" t="str">
        <f t="shared" si="2"/>
        <v>University Relations Recruiter</v>
      </c>
      <c r="M3355" s="5" t="str">
        <f t="shared" si="3"/>
        <v> </v>
      </c>
      <c r="N3355" s="5" t="str">
        <f t="shared" si="4"/>
        <v>Truist</v>
      </c>
      <c r="O3355" s="5" t="str">
        <f t="shared" si="5"/>
        <v>2 months in role</v>
      </c>
      <c r="P3355" s="5" t="str">
        <f t="shared" si="6"/>
        <v>Duluth</v>
      </c>
      <c r="Q3355" s="5" t="str">
        <f t="shared" si="7"/>
        <v>Georgia</v>
      </c>
      <c r="R3355" s="5" t="str">
        <f t="shared" si="8"/>
        <v>United States</v>
      </c>
    </row>
    <row r="3356">
      <c r="A3356" s="7" t="s">
        <v>3372</v>
      </c>
      <c r="B3356" s="5" t="s">
        <v>3370</v>
      </c>
      <c r="C3356" s="5" t="s">
        <v>3371</v>
      </c>
      <c r="D3356" s="6" t="s">
        <v>13</v>
      </c>
      <c r="E3356" s="5" t="s">
        <v>3208</v>
      </c>
      <c r="F3356" s="5" t="s">
        <v>446</v>
      </c>
      <c r="G3356" s="5" t="s">
        <v>311</v>
      </c>
      <c r="H3356" s="5" t="s">
        <v>102</v>
      </c>
      <c r="I3356" s="5" t="s">
        <v>18</v>
      </c>
      <c r="J3356" s="9" t="str">
        <f>IFERROR(__xludf.DUMMYFUNCTION("""COMPUTED_VALUE"""),"https://www.google.com/search?newwindow=1&amp;ei=2MT0XrvGGM-vytMP1OyDgAY&amp;q=site%3Alinkedin.com+Luana+Hill+University+Recruiter+Truist")</f>
        <v>https://www.google.com/search?newwindow=1&amp;ei=2MT0XrvGGM-vytMP1OyDgAY&amp;q=site%3Alinkedin.com+Luana+Hill+University+Recruiter+Truist</v>
      </c>
      <c r="K3356" s="5" t="str">
        <f t="shared" si="1"/>
        <v>Luana Hill</v>
      </c>
      <c r="L3356" s="5" t="str">
        <f t="shared" si="2"/>
        <v>University Recruiter</v>
      </c>
      <c r="M3356" s="5" t="str">
        <f t="shared" si="3"/>
        <v> </v>
      </c>
      <c r="N3356" s="5" t="str">
        <f t="shared" si="4"/>
        <v>Truist</v>
      </c>
      <c r="O3356" s="5" t="str">
        <f t="shared" si="5"/>
        <v>3 years 4 months in role and company</v>
      </c>
      <c r="P3356" s="5" t="str">
        <f t="shared" si="6"/>
        <v>Greensboro</v>
      </c>
      <c r="Q3356" s="5" t="str">
        <f t="shared" si="7"/>
        <v>North Carolina</v>
      </c>
      <c r="R3356" s="5" t="str">
        <f t="shared" si="8"/>
        <v>United States</v>
      </c>
    </row>
    <row r="3357">
      <c r="A3357" s="7" t="s">
        <v>3376</v>
      </c>
      <c r="B3357" s="5" t="s">
        <v>3373</v>
      </c>
      <c r="C3357" s="5" t="s">
        <v>3374</v>
      </c>
      <c r="D3357" s="6" t="s">
        <v>13</v>
      </c>
      <c r="E3357" s="5" t="s">
        <v>3208</v>
      </c>
      <c r="F3357" s="5" t="s">
        <v>345</v>
      </c>
      <c r="G3357" s="5" t="s">
        <v>3375</v>
      </c>
      <c r="H3357" s="5" t="s">
        <v>184</v>
      </c>
      <c r="I3357" s="5" t="s">
        <v>18</v>
      </c>
      <c r="J3357" s="9" t="str">
        <f>IFERROR(__xludf.DUMMYFUNCTION("""COMPUTED_VALUE"""),"https://www.google.com/search?newwindow=1&amp;ei=2MT0XrvGGM-vytMP1OyDgAY&amp;q=site%3Alinkedin.com+Colin+McCurry,+M.A.+University+Relations+Recruiter+Truist")</f>
        <v>https://www.google.com/search?newwindow=1&amp;ei=2MT0XrvGGM-vytMP1OyDgAY&amp;q=site%3Alinkedin.com+Colin+McCurry,+M.A.+University+Relations+Recruiter+Truist</v>
      </c>
      <c r="K3357" s="5" t="str">
        <f t="shared" si="1"/>
        <v>Colin McCurry, M.A.</v>
      </c>
      <c r="L3357" s="5" t="str">
        <f t="shared" si="2"/>
        <v>University Relations Recruiter</v>
      </c>
      <c r="M3357" s="5" t="str">
        <f t="shared" si="3"/>
        <v> </v>
      </c>
      <c r="N3357" s="5" t="str">
        <f t="shared" si="4"/>
        <v>Truist</v>
      </c>
      <c r="O3357" s="5" t="str">
        <f t="shared" si="5"/>
        <v>11 months in role and company</v>
      </c>
      <c r="P3357" s="5" t="str">
        <f t="shared" si="6"/>
        <v>Winston-Salem</v>
      </c>
      <c r="Q3357" s="5" t="str">
        <f t="shared" si="7"/>
        <v>North Carolina</v>
      </c>
      <c r="R3357" s="5" t="str">
        <f t="shared" si="8"/>
        <v>United States</v>
      </c>
    </row>
    <row r="3358">
      <c r="A3358" s="8" t="s">
        <v>3379</v>
      </c>
      <c r="B3358" s="5" t="s">
        <v>3377</v>
      </c>
      <c r="C3358" s="5" t="s">
        <v>2155</v>
      </c>
      <c r="D3358" s="6" t="s">
        <v>13</v>
      </c>
      <c r="E3358" s="5" t="s">
        <v>3378</v>
      </c>
      <c r="F3358" s="5" t="s">
        <v>192</v>
      </c>
      <c r="G3358" s="5" t="s">
        <v>137</v>
      </c>
      <c r="H3358" s="5" t="s">
        <v>137</v>
      </c>
      <c r="I3358" s="5" t="s">
        <v>18</v>
      </c>
      <c r="J3358" s="9" t="str">
        <f>IFERROR(__xludf.DUMMYFUNCTION("""COMPUTED_VALUE"""),"https://www.google.com/search?newwindow=1&amp;ei=2MT0XrvGGM-vytMP1OyDgAY&amp;q=site%3Alinkedin.com+Julie+R.+University+Recruiter+Twitter")</f>
        <v>https://www.google.com/search?newwindow=1&amp;ei=2MT0XrvGGM-vytMP1OyDgAY&amp;q=site%3Alinkedin.com+Julie+R.+University+Recruiter+Twitter</v>
      </c>
      <c r="K3358" s="5" t="str">
        <f t="shared" si="1"/>
        <v>Julie R.</v>
      </c>
      <c r="L3358" s="5" t="str">
        <f t="shared" si="2"/>
        <v>University Recruiter</v>
      </c>
      <c r="M3358" s="5" t="str">
        <f t="shared" si="3"/>
        <v> </v>
      </c>
      <c r="N3358" s="5" t="str">
        <f t="shared" si="4"/>
        <v>Twitter</v>
      </c>
      <c r="O3358" s="5" t="str">
        <f t="shared" si="5"/>
        <v>2 years 4 months in role and company</v>
      </c>
      <c r="P3358" s="5" t="str">
        <f t="shared" si="6"/>
        <v>New York</v>
      </c>
      <c r="Q3358" s="5" t="str">
        <f t="shared" si="7"/>
        <v>New York</v>
      </c>
      <c r="R3358" s="5" t="str">
        <f t="shared" si="8"/>
        <v>United States</v>
      </c>
    </row>
    <row r="3359">
      <c r="A3359" s="7" t="s">
        <v>3381</v>
      </c>
      <c r="B3359" s="5" t="s">
        <v>3380</v>
      </c>
      <c r="C3359" s="5" t="s">
        <v>25</v>
      </c>
      <c r="D3359" s="6" t="s">
        <v>13</v>
      </c>
      <c r="E3359" s="5" t="s">
        <v>3378</v>
      </c>
      <c r="F3359" s="5" t="s">
        <v>574</v>
      </c>
      <c r="G3359" s="5" t="s">
        <v>137</v>
      </c>
      <c r="H3359" s="5" t="s">
        <v>137</v>
      </c>
      <c r="I3359" s="5" t="s">
        <v>18</v>
      </c>
      <c r="J3359" s="9" t="str">
        <f>IFERROR(__xludf.DUMMYFUNCTION("""COMPUTED_VALUE"""),"https://www.google.com/search?newwindow=1&amp;ei=2MT0XrvGGM-vytMP1OyDgAY&amp;q=site%3Alinkedin.com+Rheana+De+La+Cruz+University+Recruiter+Twitter")</f>
        <v>https://www.google.com/search?newwindow=1&amp;ei=2MT0XrvGGM-vytMP1OyDgAY&amp;q=site%3Alinkedin.com+Rheana+De+La+Cruz+University+Recruiter+Twitter</v>
      </c>
      <c r="K3359" s="5" t="str">
        <f t="shared" si="1"/>
        <v>Rheana De La Cruz</v>
      </c>
      <c r="L3359" s="5" t="str">
        <f t="shared" si="2"/>
        <v>University Recruiter</v>
      </c>
      <c r="M3359" s="5" t="str">
        <f t="shared" si="3"/>
        <v> </v>
      </c>
      <c r="N3359" s="5" t="str">
        <f t="shared" si="4"/>
        <v>Twitter</v>
      </c>
      <c r="O3359" s="5" t="str">
        <f t="shared" si="5"/>
        <v>1 year 3 months in role and company</v>
      </c>
      <c r="P3359" s="5" t="str">
        <f t="shared" si="6"/>
        <v>Sacramento</v>
      </c>
      <c r="Q3359" s="5" t="str">
        <f t="shared" si="7"/>
        <v>California</v>
      </c>
      <c r="R3359" s="5" t="str">
        <f t="shared" si="8"/>
        <v>United States</v>
      </c>
    </row>
    <row r="3360">
      <c r="A3360" s="7" t="s">
        <v>3383</v>
      </c>
      <c r="B3360" s="5" t="s">
        <v>3382</v>
      </c>
      <c r="C3360" s="5" t="s">
        <v>32</v>
      </c>
      <c r="D3360" s="6" t="s">
        <v>13</v>
      </c>
      <c r="E3360" s="5" t="s">
        <v>3378</v>
      </c>
      <c r="F3360" s="5" t="s">
        <v>192</v>
      </c>
      <c r="G3360" s="5" t="s">
        <v>137</v>
      </c>
      <c r="H3360" s="5" t="s">
        <v>137</v>
      </c>
      <c r="I3360" s="5" t="s">
        <v>18</v>
      </c>
      <c r="J3360" s="9" t="str">
        <f>IFERROR(__xludf.DUMMYFUNCTION("""COMPUTED_VALUE"""),"https://www.google.com/search?newwindow=1&amp;ei=2MT0XrvGGM-vytMP1OyDgAY&amp;q=site%3Alinkedin.com+Lauren+Zabel+University+Recruiter+|+Engineering,+Product,+Design,+and+Research+Twitter")</f>
        <v>https://www.google.com/search?newwindow=1&amp;ei=2MT0XrvGGM-vytMP1OyDgAY&amp;q=site%3Alinkedin.com+Lauren+Zabel+University+Recruiter+|+Engineering,+Product,+Design,+and+Research+Twitter</v>
      </c>
      <c r="K3360" s="5" t="str">
        <f t="shared" si="1"/>
        <v>Lauren Zabel</v>
      </c>
      <c r="L3360" s="5" t="str">
        <f t="shared" si="2"/>
        <v>University Recruiter | Engineering, Product, Design, and Research</v>
      </c>
      <c r="M3360" s="5" t="str">
        <f t="shared" si="3"/>
        <v> </v>
      </c>
      <c r="N3360" s="5" t="str">
        <f t="shared" si="4"/>
        <v>Twitter</v>
      </c>
      <c r="O3360" s="5" t="str">
        <f t="shared" si="5"/>
        <v>2 years 10 months in role</v>
      </c>
      <c r="P3360" s="5" t="str">
        <f t="shared" si="6"/>
        <v>San Francisco</v>
      </c>
      <c r="Q3360" s="5" t="str">
        <f t="shared" si="7"/>
        <v>California</v>
      </c>
      <c r="R3360" s="5" t="str">
        <f t="shared" si="8"/>
        <v>United States</v>
      </c>
    </row>
    <row r="3361">
      <c r="A3361" s="7" t="s">
        <v>3385</v>
      </c>
      <c r="B3361" s="5" t="s">
        <v>3384</v>
      </c>
      <c r="C3361" s="5" t="s">
        <v>25</v>
      </c>
      <c r="D3361" s="6" t="s">
        <v>13</v>
      </c>
      <c r="E3361" s="5" t="s">
        <v>3378</v>
      </c>
      <c r="F3361" s="5" t="s">
        <v>228</v>
      </c>
      <c r="G3361" s="5" t="s">
        <v>137</v>
      </c>
      <c r="H3361" s="5" t="s">
        <v>137</v>
      </c>
      <c r="I3361" s="5" t="s">
        <v>18</v>
      </c>
      <c r="J3361" s="9" t="str">
        <f>IFERROR(__xludf.DUMMYFUNCTION("""COMPUTED_VALUE"""),"https://www.google.com/search?newwindow=1&amp;ei=2MT0XrvGGM-vytMP1OyDgAY&amp;q=site%3Alinkedin.com+Shay+Billeci+University+Recruiter+|+Non-Eng+&amp;+MBA+Twitter")</f>
        <v>https://www.google.com/search?newwindow=1&amp;ei=2MT0XrvGGM-vytMP1OyDgAY&amp;q=site%3Alinkedin.com+Shay+Billeci+University+Recruiter+|+Non-Eng+&amp;+MBA+Twitter</v>
      </c>
      <c r="K3361" s="5" t="str">
        <f t="shared" si="1"/>
        <v>Shay Billeci</v>
      </c>
      <c r="L3361" s="5" t="str">
        <f t="shared" si="2"/>
        <v>University Recruiter | Non-Eng &amp; MBA</v>
      </c>
      <c r="M3361" s="5" t="str">
        <f t="shared" si="3"/>
        <v>MBA</v>
      </c>
      <c r="N3361" s="5" t="str">
        <f t="shared" si="4"/>
        <v>Twitter</v>
      </c>
      <c r="O3361" s="5" t="str">
        <f t="shared" si="5"/>
        <v>1 year 7 months in role</v>
      </c>
      <c r="P3361" s="5" t="str">
        <f t="shared" si="6"/>
        <v>San Francisco</v>
      </c>
      <c r="Q3361" s="5" t="str">
        <f t="shared" si="7"/>
        <v>California</v>
      </c>
      <c r="R3361" s="5" t="str">
        <f t="shared" si="8"/>
        <v>United States</v>
      </c>
    </row>
    <row r="3362">
      <c r="A3362" s="7" t="s">
        <v>3387</v>
      </c>
      <c r="B3362" s="5" t="s">
        <v>3386</v>
      </c>
      <c r="C3362" s="5" t="s">
        <v>25</v>
      </c>
      <c r="D3362" s="6" t="s">
        <v>13</v>
      </c>
      <c r="E3362" s="5" t="s">
        <v>3378</v>
      </c>
      <c r="F3362" s="5" t="s">
        <v>144</v>
      </c>
      <c r="G3362" s="5" t="s">
        <v>1135</v>
      </c>
      <c r="H3362" s="5" t="s">
        <v>96</v>
      </c>
      <c r="I3362" s="5" t="s">
        <v>18</v>
      </c>
      <c r="J3362" s="9" t="str">
        <f>IFERROR(__xludf.DUMMYFUNCTION("""COMPUTED_VALUE"""),"https://www.google.com/search?newwindow=1&amp;ei=2MT0XrvGGM-vytMP1OyDgAY&amp;q=site%3Alinkedin.com+Thandar+Peña+Campus+Recruiting+Manager,+Quantitative+Research+Two+Sigma")</f>
        <v>https://www.google.com/search?newwindow=1&amp;ei=2MT0XrvGGM-vytMP1OyDgAY&amp;q=site%3Alinkedin.com+Thandar+Peña+Campus+Recruiting+Manager,+Quantitative+Research+Two+Sigma</v>
      </c>
      <c r="K3362" s="5" t="str">
        <f t="shared" si="1"/>
        <v>Thandar Peña</v>
      </c>
      <c r="L3362" s="5" t="str">
        <f t="shared" si="2"/>
        <v>Campus Recruiting Manager, Quantitative Research</v>
      </c>
      <c r="M3362" s="5" t="str">
        <f t="shared" si="3"/>
        <v> </v>
      </c>
      <c r="N3362" s="5" t="str">
        <f t="shared" si="4"/>
        <v>Two Sigma</v>
      </c>
      <c r="O3362" s="5" t="str">
        <f t="shared" si="5"/>
        <v>3 years 5 months in role</v>
      </c>
      <c r="P3362" s="5" t="str">
        <f t="shared" si="6"/>
        <v>New York</v>
      </c>
      <c r="Q3362" s="5" t="str">
        <f t="shared" si="7"/>
        <v>New York</v>
      </c>
      <c r="R3362" s="5" t="str">
        <f t="shared" si="8"/>
        <v>United States</v>
      </c>
    </row>
    <row r="3363">
      <c r="A3363" s="7" t="s">
        <v>3390</v>
      </c>
      <c r="B3363" s="5" t="s">
        <v>3388</v>
      </c>
      <c r="C3363" s="5" t="s">
        <v>25</v>
      </c>
      <c r="D3363" s="6" t="s">
        <v>13</v>
      </c>
      <c r="E3363" s="5" t="s">
        <v>3389</v>
      </c>
      <c r="F3363" s="5" t="s">
        <v>1950</v>
      </c>
      <c r="G3363" s="5" t="s">
        <v>1638</v>
      </c>
      <c r="H3363" s="5" t="s">
        <v>1639</v>
      </c>
      <c r="I3363" s="5" t="s">
        <v>18</v>
      </c>
      <c r="J3363" s="9" t="str">
        <f>IFERROR(__xludf.DUMMYFUNCTION("""COMPUTED_VALUE"""),"https://www.google.com/search?newwindow=1&amp;ei=2MT0XrvGGM-vytMP1OyDgAY&amp;q=site%3Alinkedin.com+Lisa+Vance+Campus+Recruiter+&amp;+Program+Manager+Two+Sigma")</f>
        <v>https://www.google.com/search?newwindow=1&amp;ei=2MT0XrvGGM-vytMP1OyDgAY&amp;q=site%3Alinkedin.com+Lisa+Vance+Campus+Recruiter+&amp;+Program+Manager+Two+Sigma</v>
      </c>
      <c r="K3363" s="5" t="str">
        <f t="shared" si="1"/>
        <v>Lisa Vance</v>
      </c>
      <c r="L3363" s="5" t="str">
        <f t="shared" si="2"/>
        <v>Campus Recruiter &amp; Program Manager</v>
      </c>
      <c r="M3363" s="5" t="str">
        <f t="shared" si="3"/>
        <v> </v>
      </c>
      <c r="N3363" s="5" t="str">
        <f t="shared" si="4"/>
        <v>Two Sigma</v>
      </c>
      <c r="O3363" s="5" t="str">
        <f t="shared" si="5"/>
        <v>6 months in role</v>
      </c>
      <c r="P3363" s="5" t="str">
        <f t="shared" si="6"/>
        <v>New York</v>
      </c>
      <c r="Q3363" s="5" t="str">
        <f t="shared" si="7"/>
        <v>New York</v>
      </c>
      <c r="R3363" s="5" t="str">
        <f t="shared" si="8"/>
        <v>United States</v>
      </c>
    </row>
    <row r="3364">
      <c r="A3364" s="7" t="s">
        <v>3392</v>
      </c>
      <c r="B3364" s="5" t="s">
        <v>3391</v>
      </c>
      <c r="C3364" s="5" t="s">
        <v>25</v>
      </c>
      <c r="D3364" s="6" t="s">
        <v>13</v>
      </c>
      <c r="E3364" s="5" t="s">
        <v>3389</v>
      </c>
      <c r="F3364" s="5" t="s">
        <v>207</v>
      </c>
      <c r="G3364" s="5" t="s">
        <v>1638</v>
      </c>
      <c r="H3364" s="5" t="s">
        <v>1639</v>
      </c>
      <c r="I3364" s="5" t="s">
        <v>18</v>
      </c>
      <c r="J3364" s="9" t="str">
        <f>IFERROR(__xludf.DUMMYFUNCTION("""COMPUTED_VALUE"""),"https://www.google.com/search?newwindow=1&amp;ei=2MT0XrvGGM-vytMP1OyDgAY&amp;q=site%3Alinkedin.com+Haley+(Baxter)+Mandell+Software+Engineering+Campus+Recruiter+&amp;+Program+Manager+Two+Sigma")</f>
        <v>https://www.google.com/search?newwindow=1&amp;ei=2MT0XrvGGM-vytMP1OyDgAY&amp;q=site%3Alinkedin.com+Haley+(Baxter)+Mandell+Software+Engineering+Campus+Recruiter+&amp;+Program+Manager+Two+Sigma</v>
      </c>
      <c r="K3364" s="5" t="str">
        <f t="shared" si="1"/>
        <v>Haley (Baxter) Mandell</v>
      </c>
      <c r="L3364" s="5" t="str">
        <f t="shared" si="2"/>
        <v>Software Engineering Campus Recruiter &amp; Program Manager</v>
      </c>
      <c r="M3364" s="5" t="str">
        <f t="shared" si="3"/>
        <v> </v>
      </c>
      <c r="N3364" s="5" t="str">
        <f t="shared" si="4"/>
        <v>Two Sigma</v>
      </c>
      <c r="O3364" s="5" t="str">
        <f t="shared" si="5"/>
        <v>2 years 2 months in role and company</v>
      </c>
      <c r="P3364" s="5" t="str">
        <f t="shared" si="6"/>
        <v>New York</v>
      </c>
      <c r="Q3364" s="5" t="str">
        <f t="shared" si="7"/>
        <v>New York</v>
      </c>
      <c r="R3364" s="5" t="str">
        <f t="shared" si="8"/>
        <v>United States</v>
      </c>
    </row>
    <row r="3365">
      <c r="A3365" s="7" t="s">
        <v>3396</v>
      </c>
      <c r="B3365" s="5" t="s">
        <v>3393</v>
      </c>
      <c r="C3365" s="5" t="s">
        <v>3394</v>
      </c>
      <c r="D3365" s="6" t="s">
        <v>13</v>
      </c>
      <c r="E3365" s="5" t="s">
        <v>3389</v>
      </c>
      <c r="F3365" s="5" t="s">
        <v>1460</v>
      </c>
      <c r="G3365" s="5" t="s">
        <v>3395</v>
      </c>
      <c r="H3365" s="5" t="s">
        <v>137</v>
      </c>
      <c r="I3365" s="5" t="s">
        <v>18</v>
      </c>
      <c r="J3365" s="9" t="str">
        <f>IFERROR(__xludf.DUMMYFUNCTION("""COMPUTED_VALUE"""),"https://www.google.com/search?newwindow=1&amp;ei=2MT0XrvGGM-vytMP1OyDgAY&amp;q=site%3Alinkedin.com+Bradley+Goodloe+Sr.+Campus+Recruiter/Internship+Program+Manager+U.S.+Bank")</f>
        <v>https://www.google.com/search?newwindow=1&amp;ei=2MT0XrvGGM-vytMP1OyDgAY&amp;q=site%3Alinkedin.com+Bradley+Goodloe+Sr.+Campus+Recruiter/Internship+Program+Manager+U.S.+Bank</v>
      </c>
      <c r="K3365" s="5" t="str">
        <f t="shared" si="1"/>
        <v>Bradley Goodloe</v>
      </c>
      <c r="L3365" s="5" t="str">
        <f t="shared" si="2"/>
        <v>Sr. Campus Recruiter/Internship Program Manager</v>
      </c>
      <c r="M3365" s="5" t="str">
        <f t="shared" si="3"/>
        <v> </v>
      </c>
      <c r="N3365" s="5" t="str">
        <f t="shared" si="4"/>
        <v>U.S. Bank</v>
      </c>
      <c r="O3365" s="5" t="str">
        <f t="shared" si="5"/>
        <v>1 year 5 months in role and company</v>
      </c>
      <c r="P3365" s="5" t="str">
        <f t="shared" si="6"/>
        <v>Atlanta</v>
      </c>
      <c r="Q3365" s="5" t="str">
        <f t="shared" si="7"/>
        <v>Georgia</v>
      </c>
      <c r="R3365" s="5" t="str">
        <f t="shared" si="8"/>
        <v>United States</v>
      </c>
    </row>
    <row r="3366">
      <c r="A3366" s="8" t="s">
        <v>3399</v>
      </c>
      <c r="B3366" s="5" t="s">
        <v>3397</v>
      </c>
      <c r="C3366" s="5" t="s">
        <v>3398</v>
      </c>
      <c r="D3366" s="6" t="s">
        <v>13</v>
      </c>
      <c r="E3366" s="5" t="s">
        <v>3389</v>
      </c>
      <c r="F3366" s="5" t="s">
        <v>48</v>
      </c>
      <c r="G3366" s="5" t="s">
        <v>137</v>
      </c>
      <c r="H3366" s="5" t="s">
        <v>137</v>
      </c>
      <c r="I3366" s="5" t="s">
        <v>18</v>
      </c>
      <c r="J3366" s="9" t="str">
        <f>IFERROR(__xludf.DUMMYFUNCTION("""COMPUTED_VALUE"""),"https://www.google.com/search?newwindow=1&amp;ei=2MT0XrvGGM-vytMP1OyDgAY&amp;q=site%3Alinkedin.com+Julian+Jordan+Campus+Recruiter+/+Internship+Program+Manager+U.S.+Bank")</f>
        <v>https://www.google.com/search?newwindow=1&amp;ei=2MT0XrvGGM-vytMP1OyDgAY&amp;q=site%3Alinkedin.com+Julian+Jordan+Campus+Recruiter+/+Internship+Program+Manager+U.S.+Bank</v>
      </c>
      <c r="K3366" s="5" t="str">
        <f t="shared" si="1"/>
        <v>Julian Jordan</v>
      </c>
      <c r="L3366" s="5" t="str">
        <f t="shared" si="2"/>
        <v>Campus Recruiter / Internship Program Manager</v>
      </c>
      <c r="M3366" s="5" t="str">
        <f t="shared" si="3"/>
        <v> </v>
      </c>
      <c r="N3366" s="5" t="str">
        <f t="shared" si="4"/>
        <v>U.S. Bank</v>
      </c>
      <c r="O3366" s="5" t="str">
        <f t="shared" si="5"/>
        <v>7 months in role and company</v>
      </c>
      <c r="P3366" s="5" t="str">
        <f t="shared" si="6"/>
        <v>Cincinnati</v>
      </c>
      <c r="Q3366" s="5" t="str">
        <f t="shared" si="7"/>
        <v>Ohio</v>
      </c>
      <c r="R3366" s="5" t="str">
        <f t="shared" si="8"/>
        <v>United States</v>
      </c>
    </row>
    <row r="3367">
      <c r="A3367" s="8" t="s">
        <v>3402</v>
      </c>
      <c r="B3367" s="5" t="s">
        <v>3400</v>
      </c>
      <c r="C3367" s="5" t="s">
        <v>3401</v>
      </c>
      <c r="D3367" s="6" t="s">
        <v>13</v>
      </c>
      <c r="E3367" s="5" t="s">
        <v>3389</v>
      </c>
      <c r="F3367" s="5" t="s">
        <v>339</v>
      </c>
      <c r="G3367" s="5" t="s">
        <v>137</v>
      </c>
      <c r="H3367" s="5" t="s">
        <v>137</v>
      </c>
      <c r="I3367" s="5" t="s">
        <v>18</v>
      </c>
      <c r="J3367" s="9" t="str">
        <f>IFERROR(__xludf.DUMMYFUNCTION("""COMPUTED_VALUE"""),"https://www.google.com/search?newwindow=1&amp;ei=2MT0XrvGGM-vytMP1OyDgAY&amp;q=site%3Alinkedin.com+Kelly+Verstat+AVP-+Senior+Campus+Recruiter+/+Internship+Program+Manager+U.S.+Bank")</f>
        <v>https://www.google.com/search?newwindow=1&amp;ei=2MT0XrvGGM-vytMP1OyDgAY&amp;q=site%3Alinkedin.com+Kelly+Verstat+AVP-+Senior+Campus+Recruiter+/+Internship+Program+Manager+U.S.+Bank</v>
      </c>
      <c r="K3367" s="5" t="str">
        <f t="shared" si="1"/>
        <v>Kelly Verstat</v>
      </c>
      <c r="L3367" s="5" t="str">
        <f t="shared" si="2"/>
        <v>AVP- Senior Campus Recruiter / Internship Program Manager</v>
      </c>
      <c r="M3367" s="5" t="str">
        <f t="shared" si="3"/>
        <v> </v>
      </c>
      <c r="N3367" s="5" t="str">
        <f t="shared" si="4"/>
        <v>U.S. Bank</v>
      </c>
      <c r="O3367" s="5" t="str">
        <f t="shared" si="5"/>
        <v>2 years 4 months in role and company</v>
      </c>
      <c r="P3367" s="5" t="str">
        <f t="shared" si="6"/>
        <v>Milwaukee</v>
      </c>
      <c r="Q3367" s="5" t="str">
        <f t="shared" si="7"/>
        <v>Wisconsin</v>
      </c>
      <c r="R3367" s="5" t="str">
        <f t="shared" si="8"/>
        <v>United States</v>
      </c>
    </row>
    <row r="3368">
      <c r="A3368" s="8" t="s">
        <v>3405</v>
      </c>
      <c r="B3368" s="5" t="s">
        <v>3403</v>
      </c>
      <c r="C3368" s="5" t="s">
        <v>3404</v>
      </c>
      <c r="D3368" s="6" t="s">
        <v>4</v>
      </c>
      <c r="E3368" s="5" t="s">
        <v>3389</v>
      </c>
      <c r="F3368" s="5" t="s">
        <v>182</v>
      </c>
      <c r="G3368" s="5" t="s">
        <v>137</v>
      </c>
      <c r="H3368" s="5" t="s">
        <v>137</v>
      </c>
      <c r="I3368" s="5" t="s">
        <v>18</v>
      </c>
      <c r="J3368" s="9" t="str">
        <f>IFERROR(__xludf.DUMMYFUNCTION("""COMPUTED_VALUE"""),"https://www.google.com/search?newwindow=1&amp;ei=2MT0XrvGGM-vytMP1OyDgAY&amp;q=site%3Alinkedin.com+Vicky+Hidalgo+Senior+Manager+-+Campus+Recruiting+U.S.+Bank")</f>
        <v>https://www.google.com/search?newwindow=1&amp;ei=2MT0XrvGGM-vytMP1OyDgAY&amp;q=site%3Alinkedin.com+Vicky+Hidalgo+Senior+Manager+-+Campus+Recruiting+U.S.+Bank</v>
      </c>
      <c r="K3368" s="5" t="str">
        <f t="shared" si="1"/>
        <v>Vicky Hidalgo</v>
      </c>
      <c r="L3368" s="5" t="str">
        <f t="shared" si="2"/>
        <v>Senior Manager - Campus Recruiting</v>
      </c>
      <c r="M3368" s="5" t="str">
        <f t="shared" si="3"/>
        <v> </v>
      </c>
      <c r="N3368" s="5" t="str">
        <f t="shared" si="4"/>
        <v>U.S. Bank</v>
      </c>
      <c r="O3368" s="5" t="str">
        <f t="shared" si="5"/>
        <v>1 year 7 months in role</v>
      </c>
      <c r="P3368" s="5" t="str">
        <f t="shared" si="6"/>
        <v>Minneapolis</v>
      </c>
      <c r="Q3368" s="5" t="str">
        <f t="shared" si="7"/>
        <v>Minnesota</v>
      </c>
      <c r="R3368" s="5" t="str">
        <f t="shared" si="8"/>
        <v>United States</v>
      </c>
    </row>
    <row r="3369">
      <c r="A3369" s="8" t="s">
        <v>3408</v>
      </c>
      <c r="B3369" s="5" t="s">
        <v>3406</v>
      </c>
      <c r="C3369" s="5" t="s">
        <v>3407</v>
      </c>
      <c r="D3369" s="6" t="s">
        <v>13</v>
      </c>
      <c r="E3369" s="5" t="s">
        <v>3389</v>
      </c>
      <c r="F3369" s="5" t="s">
        <v>523</v>
      </c>
      <c r="G3369" s="5" t="s">
        <v>137</v>
      </c>
      <c r="H3369" s="5" t="s">
        <v>137</v>
      </c>
      <c r="I3369" s="5" t="s">
        <v>18</v>
      </c>
      <c r="J3369" s="9" t="str">
        <f>IFERROR(__xludf.DUMMYFUNCTION("""COMPUTED_VALUE"""),"https://www.google.com/search?newwindow=1&amp;ei=2MT0XrvGGM-vytMP1OyDgAY&amp;q=site%3Alinkedin.com+Evan+Wise+Project+Manager+&amp;+Campus+Recruiter+U.S.+Bank")</f>
        <v>https://www.google.com/search?newwindow=1&amp;ei=2MT0XrvGGM-vytMP1OyDgAY&amp;q=site%3Alinkedin.com+Evan+Wise+Project+Manager+&amp;+Campus+Recruiter+U.S.+Bank</v>
      </c>
      <c r="K3369" s="5" t="str">
        <f t="shared" si="1"/>
        <v>Evan Wise</v>
      </c>
      <c r="L3369" s="5" t="str">
        <f t="shared" si="2"/>
        <v>Project Manager &amp; Campus Recruiter</v>
      </c>
      <c r="M3369" s="5" t="str">
        <f t="shared" si="3"/>
        <v> </v>
      </c>
      <c r="N3369" s="5" t="str">
        <f t="shared" si="4"/>
        <v>U.S. Bank</v>
      </c>
      <c r="O3369" s="5" t="str">
        <f t="shared" si="5"/>
        <v>1 year 6 months in role</v>
      </c>
      <c r="P3369" s="5" t="str">
        <f t="shared" si="6"/>
        <v>Minneapolis</v>
      </c>
      <c r="Q3369" s="5" t="str">
        <f t="shared" si="7"/>
        <v>Minnesota</v>
      </c>
      <c r="R3369" s="5" t="str">
        <f t="shared" si="8"/>
        <v>United States</v>
      </c>
    </row>
    <row r="3370">
      <c r="A3370" s="8" t="s">
        <v>3410</v>
      </c>
      <c r="B3370" s="5" t="s">
        <v>3409</v>
      </c>
      <c r="C3370" s="5" t="s">
        <v>2155</v>
      </c>
      <c r="D3370" s="6" t="s">
        <v>13</v>
      </c>
      <c r="E3370" s="5" t="s">
        <v>3389</v>
      </c>
      <c r="F3370" s="5" t="s">
        <v>512</v>
      </c>
      <c r="G3370" s="5" t="s">
        <v>137</v>
      </c>
      <c r="H3370" s="5" t="s">
        <v>137</v>
      </c>
      <c r="I3370" s="5" t="s">
        <v>18</v>
      </c>
      <c r="J3370" s="9" t="str">
        <f>IFERROR(__xludf.DUMMYFUNCTION("""COMPUTED_VALUE"""),"https://www.google.com/search?newwindow=1&amp;ei=2MT0XrvGGM-vytMP1OyDgAY&amp;q=site%3Alinkedin.com+Cindy+Kuehl+Officer,+Campus+Recruiter+&amp;+Internship+Program+Manager+U.S.+Bank")</f>
        <v>https://www.google.com/search?newwindow=1&amp;ei=2MT0XrvGGM-vytMP1OyDgAY&amp;q=site%3Alinkedin.com+Cindy+Kuehl+Officer,+Campus+Recruiter+&amp;+Internship+Program+Manager+U.S.+Bank</v>
      </c>
      <c r="K3370" s="5" t="str">
        <f t="shared" si="1"/>
        <v>Cindy Kuehl</v>
      </c>
      <c r="L3370" s="5" t="str">
        <f t="shared" si="2"/>
        <v>Officer, Campus Recruiter &amp; Internship Program Manager</v>
      </c>
      <c r="M3370" s="5" t="str">
        <f t="shared" si="3"/>
        <v> </v>
      </c>
      <c r="N3370" s="5" t="str">
        <f t="shared" si="4"/>
        <v>U.S. Bank</v>
      </c>
      <c r="O3370" s="5" t="str">
        <f t="shared" si="5"/>
        <v>9 months in role</v>
      </c>
      <c r="P3370" s="5" t="str">
        <f t="shared" si="6"/>
        <v>Minneapolis</v>
      </c>
      <c r="Q3370" s="5" t="str">
        <f t="shared" si="7"/>
        <v>Minnesota</v>
      </c>
      <c r="R3370" s="5" t="str">
        <f t="shared" si="8"/>
        <v>United States</v>
      </c>
    </row>
    <row r="3371">
      <c r="A3371" s="8" t="s">
        <v>3412</v>
      </c>
      <c r="B3371" s="5" t="s">
        <v>3411</v>
      </c>
      <c r="C3371" s="5" t="s">
        <v>2155</v>
      </c>
      <c r="D3371" s="6" t="s">
        <v>13</v>
      </c>
      <c r="E3371" s="5" t="s">
        <v>3389</v>
      </c>
      <c r="F3371" s="5" t="s">
        <v>3110</v>
      </c>
      <c r="G3371" s="5" t="s">
        <v>137</v>
      </c>
      <c r="H3371" s="5" t="s">
        <v>137</v>
      </c>
      <c r="I3371" s="5" t="s">
        <v>18</v>
      </c>
      <c r="J3371" s="9" t="str">
        <f>IFERROR(__xludf.DUMMYFUNCTION("""COMPUTED_VALUE"""),"https://www.google.com/search?newwindow=1&amp;ei=2MT0XrvGGM-vytMP1OyDgAY&amp;q=site%3Alinkedin.com+Hailey+Reed+Senior+Project+Manager+-+Campus+Recruiting+-+Non+Profit+Partners+U.S.+Bank")</f>
        <v>https://www.google.com/search?newwindow=1&amp;ei=2MT0XrvGGM-vytMP1OyDgAY&amp;q=site%3Alinkedin.com+Hailey+Reed+Senior+Project+Manager+-+Campus+Recruiting+-+Non+Profit+Partners+U.S.+Bank</v>
      </c>
      <c r="K3371" s="5" t="str">
        <f t="shared" si="1"/>
        <v>Hailey Reed</v>
      </c>
      <c r="L3371" s="5" t="str">
        <f t="shared" si="2"/>
        <v>Senior Project Manager - Campus Recruiting - Non Profit Partners</v>
      </c>
      <c r="M3371" s="5" t="str">
        <f t="shared" si="3"/>
        <v> </v>
      </c>
      <c r="N3371" s="5" t="str">
        <f t="shared" si="4"/>
        <v>U.S. Bank</v>
      </c>
      <c r="O3371" s="5" t="str">
        <f t="shared" si="5"/>
        <v>10 months in role</v>
      </c>
      <c r="P3371" s="5" t="str">
        <f t="shared" si="6"/>
        <v>Minneapolis</v>
      </c>
      <c r="Q3371" s="5" t="str">
        <f t="shared" si="7"/>
        <v>Minnesota</v>
      </c>
      <c r="R3371" s="5" t="str">
        <f t="shared" si="8"/>
        <v>United States</v>
      </c>
    </row>
    <row r="3372">
      <c r="A3372" s="8" t="s">
        <v>3415</v>
      </c>
      <c r="B3372" s="5" t="s">
        <v>3413</v>
      </c>
      <c r="C3372" s="5" t="s">
        <v>3414</v>
      </c>
      <c r="D3372" s="6" t="s">
        <v>13</v>
      </c>
      <c r="E3372" s="5" t="s">
        <v>3389</v>
      </c>
      <c r="F3372" s="5" t="s">
        <v>106</v>
      </c>
      <c r="G3372" s="5" t="s">
        <v>137</v>
      </c>
      <c r="H3372" s="5" t="s">
        <v>137</v>
      </c>
      <c r="I3372" s="5" t="s">
        <v>18</v>
      </c>
      <c r="J3372" s="9" t="str">
        <f>IFERROR(__xludf.DUMMYFUNCTION("""COMPUTED_VALUE"""),"https://www.google.com/search?newwindow=1&amp;ei=2MT0XrvGGM-vytMP1OyDgAY&amp;q=site%3Alinkedin.com+Jessica+Chisholm+Sr.+Campus+Recruiter/Internship+Program+Manager+U.S.+Bank")</f>
        <v>https://www.google.com/search?newwindow=1&amp;ei=2MT0XrvGGM-vytMP1OyDgAY&amp;q=site%3Alinkedin.com+Jessica+Chisholm+Sr.+Campus+Recruiter/Internship+Program+Manager+U.S.+Bank</v>
      </c>
      <c r="K3372" s="5" t="str">
        <f t="shared" si="1"/>
        <v>Jessica Chisholm</v>
      </c>
      <c r="L3372" s="5" t="str">
        <f t="shared" si="2"/>
        <v>Sr. Campus Recruiter/Internship Program Manager</v>
      </c>
      <c r="M3372" s="5" t="str">
        <f t="shared" si="3"/>
        <v> </v>
      </c>
      <c r="N3372" s="5" t="str">
        <f t="shared" si="4"/>
        <v>U.S. Bank</v>
      </c>
      <c r="O3372" s="5" t="str">
        <f t="shared" si="5"/>
        <v>2 years 1 month in role and company</v>
      </c>
      <c r="P3372" s="5" t="str">
        <f t="shared" si="6"/>
        <v>Portland</v>
      </c>
      <c r="Q3372" s="5" t="str">
        <f t="shared" si="7"/>
        <v>Oregon</v>
      </c>
      <c r="R3372" s="5" t="str">
        <f t="shared" si="8"/>
        <v>United States</v>
      </c>
    </row>
    <row r="3373">
      <c r="A3373" s="8" t="s">
        <v>3417</v>
      </c>
      <c r="B3373" s="5" t="s">
        <v>3416</v>
      </c>
      <c r="C3373" s="5" t="s">
        <v>2155</v>
      </c>
      <c r="D3373" s="6" t="s">
        <v>13</v>
      </c>
      <c r="E3373" s="5" t="s">
        <v>3389</v>
      </c>
      <c r="F3373" s="5" t="s">
        <v>26</v>
      </c>
      <c r="G3373" s="5" t="s">
        <v>137</v>
      </c>
      <c r="H3373" s="5" t="s">
        <v>137</v>
      </c>
      <c r="I3373" s="5" t="s">
        <v>18</v>
      </c>
      <c r="J3373" s="9" t="str">
        <f>IFERROR(__xludf.DUMMYFUNCTION("""COMPUTED_VALUE"""),"https://www.google.com/search?newwindow=1&amp;ei=2MT0XrvGGM-vytMP1OyDgAY&amp;q=site%3Alinkedin.com+Wendy+Blocker,+CDR+AVP,+Senior+Campus+Recruiting+Manager+U.S.+Bank")</f>
        <v>https://www.google.com/search?newwindow=1&amp;ei=2MT0XrvGGM-vytMP1OyDgAY&amp;q=site%3Alinkedin.com+Wendy+Blocker,+CDR+AVP,+Senior+Campus+Recruiting+Manager+U.S.+Bank</v>
      </c>
      <c r="K3373" s="5" t="str">
        <f t="shared" si="1"/>
        <v>Wendy Blocker, CDR</v>
      </c>
      <c r="L3373" s="5" t="str">
        <f t="shared" si="2"/>
        <v>AVP, Senior Campus Recruiting Manager</v>
      </c>
      <c r="M3373" s="5" t="str">
        <f t="shared" si="3"/>
        <v> </v>
      </c>
      <c r="N3373" s="5" t="str">
        <f t="shared" si="4"/>
        <v>U.S. Bank</v>
      </c>
      <c r="O3373" s="5" t="str">
        <f t="shared" si="5"/>
        <v>2 years 7 months in role</v>
      </c>
      <c r="P3373" s="5" t="str">
        <f t="shared" si="6"/>
        <v>St Louis</v>
      </c>
      <c r="Q3373" s="5" t="str">
        <f t="shared" si="7"/>
        <v>Missouri</v>
      </c>
      <c r="R3373" s="5" t="str">
        <f t="shared" si="8"/>
        <v>United States</v>
      </c>
    </row>
    <row r="3374">
      <c r="A3374" s="7" t="s">
        <v>3420</v>
      </c>
      <c r="B3374" s="5" t="s">
        <v>3418</v>
      </c>
      <c r="C3374" s="5" t="s">
        <v>3419</v>
      </c>
      <c r="D3374" s="6" t="s">
        <v>13</v>
      </c>
      <c r="E3374" s="5" t="s">
        <v>3389</v>
      </c>
      <c r="F3374" s="5" t="s">
        <v>121</v>
      </c>
      <c r="G3374" s="5" t="s">
        <v>137</v>
      </c>
      <c r="H3374" s="5" t="s">
        <v>137</v>
      </c>
      <c r="I3374" s="5" t="s">
        <v>18</v>
      </c>
      <c r="J3374" s="9" t="str">
        <f>IFERROR(__xludf.DUMMYFUNCTION("""COMPUTED_VALUE"""),"https://www.google.com/search?newwindow=1&amp;ei=2MT0XrvGGM-vytMP1OyDgAY&amp;q=site%3Alinkedin.com+Rachel+Schroeder+Campus+Recruiter/Internship+Program+Specialist+U.S.+Bank")</f>
        <v>https://www.google.com/search?newwindow=1&amp;ei=2MT0XrvGGM-vytMP1OyDgAY&amp;q=site%3Alinkedin.com+Rachel+Schroeder+Campus+Recruiter/Internship+Program+Specialist+U.S.+Bank</v>
      </c>
      <c r="K3374" s="5" t="str">
        <f t="shared" si="1"/>
        <v>Rachel Schroeder</v>
      </c>
      <c r="L3374" s="5" t="str">
        <f t="shared" si="2"/>
        <v>Campus Recruiter/Internship Program Specialist</v>
      </c>
      <c r="M3374" s="5" t="str">
        <f t="shared" si="3"/>
        <v> </v>
      </c>
      <c r="N3374" s="5" t="str">
        <f t="shared" si="4"/>
        <v>U.S. Bank</v>
      </c>
      <c r="O3374" s="5" t="str">
        <f t="shared" si="5"/>
        <v>3 years 10 months in role and company</v>
      </c>
      <c r="P3374" s="5" t="str">
        <f t="shared" si="6"/>
        <v>St Louis</v>
      </c>
      <c r="Q3374" s="5" t="str">
        <f t="shared" si="7"/>
        <v>Missouri</v>
      </c>
      <c r="R3374" s="5" t="str">
        <f t="shared" si="8"/>
        <v>United States</v>
      </c>
    </row>
    <row r="3375">
      <c r="A3375" s="7" t="s">
        <v>3422</v>
      </c>
      <c r="B3375" s="5" t="s">
        <v>3421</v>
      </c>
      <c r="C3375" s="5" t="s">
        <v>25</v>
      </c>
      <c r="D3375" s="6" t="s">
        <v>13</v>
      </c>
      <c r="E3375" s="5" t="s">
        <v>3389</v>
      </c>
      <c r="F3375" s="5" t="s">
        <v>1460</v>
      </c>
      <c r="G3375" s="5" t="s">
        <v>137</v>
      </c>
      <c r="H3375" s="5" t="s">
        <v>137</v>
      </c>
      <c r="I3375" s="5" t="s">
        <v>18</v>
      </c>
      <c r="J3375" s="9" t="str">
        <f>IFERROR(__xludf.DUMMYFUNCTION("""COMPUTED_VALUE"""),"https://www.google.com/search?newwindow=1&amp;ei=2MT0XrvGGM-vytMP1OyDgAY&amp;q=site%3Alinkedin.com+Julie+Filonuk+Sr.+University+Recruiter+Uber")</f>
        <v>https://www.google.com/search?newwindow=1&amp;ei=2MT0XrvGGM-vytMP1OyDgAY&amp;q=site%3Alinkedin.com+Julie+Filonuk+Sr.+University+Recruiter+Uber</v>
      </c>
      <c r="K3375" s="5" t="str">
        <f t="shared" si="1"/>
        <v>Julie Filonuk</v>
      </c>
      <c r="L3375" s="5" t="str">
        <f t="shared" si="2"/>
        <v>Sr. University Recruiter</v>
      </c>
      <c r="M3375" s="5" t="str">
        <f t="shared" si="3"/>
        <v> </v>
      </c>
      <c r="N3375" s="5" t="str">
        <f t="shared" si="4"/>
        <v>Uber</v>
      </c>
      <c r="O3375" s="5" t="str">
        <f t="shared" si="5"/>
        <v>1 year 8 months in role and company</v>
      </c>
      <c r="P3375" s="5" t="str">
        <f t="shared" si="6"/>
        <v>Pittsburgh</v>
      </c>
      <c r="Q3375" s="5" t="str">
        <f t="shared" si="7"/>
        <v>Pennsylvania</v>
      </c>
      <c r="R3375" s="5" t="str">
        <f t="shared" si="8"/>
        <v>United States</v>
      </c>
    </row>
    <row r="3376">
      <c r="A3376" s="7" t="s">
        <v>3425</v>
      </c>
      <c r="B3376" s="5" t="s">
        <v>3423</v>
      </c>
      <c r="C3376" s="5" t="s">
        <v>3424</v>
      </c>
      <c r="D3376" s="6" t="s">
        <v>13</v>
      </c>
      <c r="E3376" s="5" t="s">
        <v>3389</v>
      </c>
      <c r="F3376" s="5" t="s">
        <v>585</v>
      </c>
      <c r="G3376" s="5" t="s">
        <v>137</v>
      </c>
      <c r="H3376" s="5" t="s">
        <v>137</v>
      </c>
      <c r="I3376" s="5" t="s">
        <v>18</v>
      </c>
      <c r="J3376" s="9" t="str">
        <f>IFERROR(__xludf.DUMMYFUNCTION("""COMPUTED_VALUE"""),"https://www.google.com/search?newwindow=1&amp;ei=2MT0XrvGGM-vytMP1OyDgAY&amp;q=site%3Alinkedin.com+Tiffany+Tan+Senior+University+Recruiter+Uber")</f>
        <v>https://www.google.com/search?newwindow=1&amp;ei=2MT0XrvGGM-vytMP1OyDgAY&amp;q=site%3Alinkedin.com+Tiffany+Tan+Senior+University+Recruiter+Uber</v>
      </c>
      <c r="K3376" s="5" t="str">
        <f t="shared" si="1"/>
        <v>Tiffany Tan</v>
      </c>
      <c r="L3376" s="5" t="str">
        <f t="shared" si="2"/>
        <v>Senior University Recruiter</v>
      </c>
      <c r="M3376" s="5" t="str">
        <f t="shared" si="3"/>
        <v> </v>
      </c>
      <c r="N3376" s="5" t="str">
        <f t="shared" si="4"/>
        <v>Uber</v>
      </c>
      <c r="O3376" s="5" t="str">
        <f t="shared" si="5"/>
        <v>4 years 2 months in role and company</v>
      </c>
      <c r="P3376" s="5" t="str">
        <f t="shared" si="6"/>
        <v>San Francisco</v>
      </c>
      <c r="Q3376" s="5" t="str">
        <f t="shared" si="7"/>
        <v>California</v>
      </c>
      <c r="R3376" s="5" t="str">
        <f t="shared" si="8"/>
        <v>United States</v>
      </c>
    </row>
    <row r="3377">
      <c r="A3377" s="7" t="s">
        <v>3427</v>
      </c>
      <c r="B3377" s="5" t="s">
        <v>3426</v>
      </c>
      <c r="C3377" s="5" t="s">
        <v>25</v>
      </c>
      <c r="D3377" s="6" t="s">
        <v>13</v>
      </c>
      <c r="E3377" s="5" t="s">
        <v>3389</v>
      </c>
      <c r="F3377" s="5" t="s">
        <v>455</v>
      </c>
      <c r="G3377" s="5" t="s">
        <v>137</v>
      </c>
      <c r="H3377" s="5" t="s">
        <v>137</v>
      </c>
      <c r="I3377" s="5" t="s">
        <v>18</v>
      </c>
      <c r="J3377" s="9" t="str">
        <f>IFERROR(__xludf.DUMMYFUNCTION("""COMPUTED_VALUE"""),"https://www.google.com/search?newwindow=1&amp;ei=2MT0XrvGGM-vytMP1OyDgAY&amp;q=site%3Alinkedin.com+Angie+Luo+Senior+University+Recruiter,+Uber+ATG+Uber")</f>
        <v>https://www.google.com/search?newwindow=1&amp;ei=2MT0XrvGGM-vytMP1OyDgAY&amp;q=site%3Alinkedin.com+Angie+Luo+Senior+University+Recruiter,+Uber+ATG+Uber</v>
      </c>
      <c r="K3377" s="5" t="str">
        <f t="shared" si="1"/>
        <v>Angie Luo</v>
      </c>
      <c r="L3377" s="5" t="str">
        <f t="shared" si="2"/>
        <v>Senior University Recruiter, Uber ATG</v>
      </c>
      <c r="M3377" s="5" t="str">
        <f t="shared" si="3"/>
        <v> </v>
      </c>
      <c r="N3377" s="5" t="str">
        <f t="shared" si="4"/>
        <v>Uber</v>
      </c>
      <c r="O3377" s="5" t="str">
        <f t="shared" si="5"/>
        <v>1 year 7 months in role and company</v>
      </c>
      <c r="P3377" s="5" t="str">
        <f t="shared" si="6"/>
        <v>San Francisco</v>
      </c>
      <c r="Q3377" s="5" t="str">
        <f t="shared" si="7"/>
        <v>California</v>
      </c>
      <c r="R3377" s="5" t="str">
        <f t="shared" si="8"/>
        <v>United States</v>
      </c>
    </row>
    <row r="3378">
      <c r="A3378" s="7" t="s">
        <v>3430</v>
      </c>
      <c r="B3378" s="5" t="s">
        <v>3428</v>
      </c>
      <c r="C3378" s="5" t="s">
        <v>206</v>
      </c>
      <c r="D3378" s="6" t="s">
        <v>13</v>
      </c>
      <c r="E3378" s="5" t="s">
        <v>3389</v>
      </c>
      <c r="F3378" s="5" t="s">
        <v>3429</v>
      </c>
      <c r="G3378" s="5" t="s">
        <v>137</v>
      </c>
      <c r="H3378" s="5" t="s">
        <v>137</v>
      </c>
      <c r="I3378" s="5" t="s">
        <v>18</v>
      </c>
      <c r="J3378" s="9" t="str">
        <f>IFERROR(__xludf.DUMMYFUNCTION("""COMPUTED_VALUE"""),"https://www.google.com/search?newwindow=1&amp;ei=2MT0XrvGGM-vytMP1OyDgAY&amp;q=site%3Alinkedin.com+Heather+Henderson+Sr.+University+Recruiter+Uber")</f>
        <v>https://www.google.com/search?newwindow=1&amp;ei=2MT0XrvGGM-vytMP1OyDgAY&amp;q=site%3Alinkedin.com+Heather+Henderson+Sr.+University+Recruiter+Uber</v>
      </c>
      <c r="K3378" s="5" t="str">
        <f t="shared" si="1"/>
        <v>Heather Henderson</v>
      </c>
      <c r="L3378" s="5" t="str">
        <f t="shared" si="2"/>
        <v>Sr. University Recruiter</v>
      </c>
      <c r="M3378" s="5" t="str">
        <f t="shared" si="3"/>
        <v> </v>
      </c>
      <c r="N3378" s="5" t="str">
        <f t="shared" si="4"/>
        <v>Uber</v>
      </c>
      <c r="O3378" s="5" t="str">
        <f t="shared" si="5"/>
        <v>1 year 4 months in role and company</v>
      </c>
      <c r="P3378" s="5" t="str">
        <f t="shared" si="6"/>
        <v>San Francisco</v>
      </c>
      <c r="Q3378" s="5" t="str">
        <f t="shared" si="7"/>
        <v>California</v>
      </c>
      <c r="R3378" s="5" t="str">
        <f t="shared" si="8"/>
        <v>United States</v>
      </c>
    </row>
    <row r="3379">
      <c r="A3379" s="8" t="s">
        <v>3433</v>
      </c>
      <c r="B3379" s="5" t="s">
        <v>3431</v>
      </c>
      <c r="C3379" s="5" t="s">
        <v>3432</v>
      </c>
      <c r="D3379" s="6" t="s">
        <v>13</v>
      </c>
      <c r="E3379" s="5" t="s">
        <v>3389</v>
      </c>
      <c r="F3379" s="5" t="s">
        <v>121</v>
      </c>
      <c r="G3379" s="5" t="s">
        <v>137</v>
      </c>
      <c r="H3379" s="5" t="s">
        <v>137</v>
      </c>
      <c r="I3379" s="5" t="s">
        <v>18</v>
      </c>
      <c r="J3379" s="9" t="str">
        <f>IFERROR(__xludf.DUMMYFUNCTION("""COMPUTED_VALUE"""),"https://www.google.com/search?newwindow=1&amp;ei=2MT0XrvGGM-vytMP1OyDgAY&amp;q=site%3Alinkedin.com+Emily+Sawyer+Senior+University+PhD+Recruiter+Uber")</f>
        <v>https://www.google.com/search?newwindow=1&amp;ei=2MT0XrvGGM-vytMP1OyDgAY&amp;q=site%3Alinkedin.com+Emily+Sawyer+Senior+University+PhD+Recruiter+Uber</v>
      </c>
      <c r="K3379" s="5" t="str">
        <f t="shared" si="1"/>
        <v>Emily Sawyer</v>
      </c>
      <c r="L3379" s="5" t="str">
        <f t="shared" si="2"/>
        <v>Senior University PhD Recruiter</v>
      </c>
      <c r="M3379" s="5" t="str">
        <f t="shared" si="3"/>
        <v> </v>
      </c>
      <c r="N3379" s="5" t="str">
        <f t="shared" si="4"/>
        <v>Uber</v>
      </c>
      <c r="O3379" s="5" t="str">
        <f t="shared" si="5"/>
        <v>1 year 4 months in role and company</v>
      </c>
      <c r="P3379" s="5" t="str">
        <f t="shared" si="6"/>
        <v>San Francisco</v>
      </c>
      <c r="Q3379" s="5" t="str">
        <f t="shared" si="7"/>
        <v>California</v>
      </c>
      <c r="R3379" s="5" t="str">
        <f t="shared" si="8"/>
        <v>United States</v>
      </c>
    </row>
    <row r="3380">
      <c r="A3380" s="8" t="s">
        <v>3433</v>
      </c>
      <c r="B3380" s="5" t="s">
        <v>3431</v>
      </c>
      <c r="C3380" s="5" t="s">
        <v>3432</v>
      </c>
      <c r="D3380" s="6" t="s">
        <v>13</v>
      </c>
      <c r="E3380" s="5" t="s">
        <v>3389</v>
      </c>
      <c r="F3380" s="5" t="s">
        <v>121</v>
      </c>
      <c r="G3380" s="5" t="s">
        <v>137</v>
      </c>
      <c r="H3380" s="5" t="s">
        <v>137</v>
      </c>
      <c r="I3380" s="5" t="s">
        <v>18</v>
      </c>
      <c r="J3380" s="9" t="str">
        <f>IFERROR(__xludf.DUMMYFUNCTION("""COMPUTED_VALUE"""),"https://www.google.com/search?newwindow=1&amp;ei=2MT0XrvGGM-vytMP1OyDgAY&amp;q=site%3Alinkedin.com+Ali+R.+Senior+Technical+University+Recruiter+Uber")</f>
        <v>https://www.google.com/search?newwindow=1&amp;ei=2MT0XrvGGM-vytMP1OyDgAY&amp;q=site%3Alinkedin.com+Ali+R.+Senior+Technical+University+Recruiter+Uber</v>
      </c>
      <c r="K3380" s="5" t="str">
        <f t="shared" si="1"/>
        <v>Ali R.</v>
      </c>
      <c r="L3380" s="5" t="str">
        <f t="shared" si="2"/>
        <v>Senior Technical University Recruiter</v>
      </c>
      <c r="M3380" s="5" t="str">
        <f t="shared" si="3"/>
        <v> </v>
      </c>
      <c r="N3380" s="5" t="str">
        <f t="shared" si="4"/>
        <v>Uber</v>
      </c>
      <c r="O3380" s="5" t="str">
        <f t="shared" si="5"/>
        <v>5 years 5 months in role and company</v>
      </c>
      <c r="P3380" s="5" t="str">
        <f t="shared" si="6"/>
        <v>San Francisco</v>
      </c>
      <c r="Q3380" s="5" t="str">
        <f t="shared" si="7"/>
        <v>California</v>
      </c>
      <c r="R3380" s="5" t="str">
        <f t="shared" si="8"/>
        <v>United States</v>
      </c>
    </row>
    <row r="3381">
      <c r="A3381" s="7" t="s">
        <v>3435</v>
      </c>
      <c r="B3381" s="5" t="s">
        <v>3434</v>
      </c>
      <c r="C3381" s="5" t="s">
        <v>25</v>
      </c>
      <c r="D3381" s="6" t="s">
        <v>13</v>
      </c>
      <c r="E3381" s="5" t="s">
        <v>3389</v>
      </c>
      <c r="F3381" s="5" t="s">
        <v>182</v>
      </c>
      <c r="G3381" s="5" t="s">
        <v>137</v>
      </c>
      <c r="H3381" s="5" t="s">
        <v>137</v>
      </c>
      <c r="I3381" s="5" t="s">
        <v>18</v>
      </c>
      <c r="J3381" s="9" t="str">
        <f>IFERROR(__xludf.DUMMYFUNCTION("""COMPUTED_VALUE"""),"https://www.google.com/search?newwindow=1&amp;ei=2MT0XrvGGM-vytMP1OyDgAY&amp;q=site%3Alinkedin.com+Meryssa+Riley+Uber+University+Recruiter+Uber")</f>
        <v>https://www.google.com/search?newwindow=1&amp;ei=2MT0XrvGGM-vytMP1OyDgAY&amp;q=site%3Alinkedin.com+Meryssa+Riley+Uber+University+Recruiter+Uber</v>
      </c>
      <c r="K3381" s="5" t="str">
        <f t="shared" si="1"/>
        <v>Meryssa Riley</v>
      </c>
      <c r="L3381" s="5" t="str">
        <f t="shared" si="2"/>
        <v>Uber University Recruiter</v>
      </c>
      <c r="M3381" s="5" t="str">
        <f t="shared" si="3"/>
        <v> </v>
      </c>
      <c r="N3381" s="5" t="str">
        <f t="shared" si="4"/>
        <v>Uber</v>
      </c>
      <c r="O3381" s="5" t="str">
        <f t="shared" si="5"/>
        <v>2 years 3 months in role and company</v>
      </c>
      <c r="P3381" s="5" t="str">
        <f t="shared" si="6"/>
        <v>San Francisco</v>
      </c>
      <c r="Q3381" s="5" t="str">
        <f t="shared" si="7"/>
        <v>California</v>
      </c>
      <c r="R3381" s="5" t="str">
        <f t="shared" si="8"/>
        <v>United States</v>
      </c>
    </row>
    <row r="3382">
      <c r="A3382" s="7" t="s">
        <v>3437</v>
      </c>
      <c r="B3382" s="5" t="s">
        <v>3436</v>
      </c>
      <c r="C3382" s="5" t="s">
        <v>25</v>
      </c>
      <c r="D3382" s="6" t="s">
        <v>13</v>
      </c>
      <c r="E3382" s="5" t="s">
        <v>3389</v>
      </c>
      <c r="F3382" s="5" t="s">
        <v>430</v>
      </c>
      <c r="G3382" s="5" t="s">
        <v>153</v>
      </c>
      <c r="H3382" s="5" t="s">
        <v>154</v>
      </c>
      <c r="I3382" s="5" t="s">
        <v>18</v>
      </c>
      <c r="J3382" s="9" t="str">
        <f>IFERROR(__xludf.DUMMYFUNCTION("""COMPUTED_VALUE"""),"https://www.google.com/search?newwindow=1&amp;ei=2MT0XrvGGM-vytMP1OyDgAY&amp;q=site%3Alinkedin.com+Alexandra+Muller+University+Recruiter+Uber")</f>
        <v>https://www.google.com/search?newwindow=1&amp;ei=2MT0XrvGGM-vytMP1OyDgAY&amp;q=site%3Alinkedin.com+Alexandra+Muller+University+Recruiter+Uber</v>
      </c>
      <c r="K3382" s="5" t="str">
        <f t="shared" si="1"/>
        <v>Alexandra Muller</v>
      </c>
      <c r="L3382" s="5" t="str">
        <f t="shared" si="2"/>
        <v>University Recruiter</v>
      </c>
      <c r="M3382" s="5" t="str">
        <f t="shared" si="3"/>
        <v> </v>
      </c>
      <c r="N3382" s="5" t="str">
        <f t="shared" si="4"/>
        <v>Uber</v>
      </c>
      <c r="O3382" s="5" t="str">
        <f t="shared" si="5"/>
        <v>1 year 4 months in role and company</v>
      </c>
      <c r="P3382" s="5" t="str">
        <f t="shared" si="6"/>
        <v>San Francisco</v>
      </c>
      <c r="Q3382" s="5" t="str">
        <f t="shared" si="7"/>
        <v>California</v>
      </c>
      <c r="R3382" s="5" t="str">
        <f t="shared" si="8"/>
        <v>United States</v>
      </c>
    </row>
    <row r="3383">
      <c r="A3383" s="7" t="s">
        <v>3440</v>
      </c>
      <c r="B3383" s="5" t="s">
        <v>3438</v>
      </c>
      <c r="C3383" s="5" t="s">
        <v>25</v>
      </c>
      <c r="D3383" s="6" t="s">
        <v>13</v>
      </c>
      <c r="E3383" s="5" t="s">
        <v>3439</v>
      </c>
      <c r="F3383" s="5" t="s">
        <v>106</v>
      </c>
      <c r="G3383" s="5" t="s">
        <v>85</v>
      </c>
      <c r="H3383" s="5" t="s">
        <v>86</v>
      </c>
      <c r="I3383" s="5" t="s">
        <v>18</v>
      </c>
      <c r="J3383" s="9" t="str">
        <f>IFERROR(__xludf.DUMMYFUNCTION("""COMPUTED_VALUE"""),"https://www.google.com/search?newwindow=1&amp;ei=2MT0XrvGGM-vytMP1OyDgAY&amp;q=site%3Alinkedin.com+Anna+O'Keefe+Campus+Recruiting+Coordinator/Junior+Recruiter+UBS")</f>
        <v>https://www.google.com/search?newwindow=1&amp;ei=2MT0XrvGGM-vytMP1OyDgAY&amp;q=site%3Alinkedin.com+Anna+O'Keefe+Campus+Recruiting+Coordinator/Junior+Recruiter+UBS</v>
      </c>
      <c r="K3383" s="5" t="str">
        <f t="shared" si="1"/>
        <v>Anna O'Keefe</v>
      </c>
      <c r="L3383" s="5" t="str">
        <f t="shared" si="2"/>
        <v>Campus Recruiting Coordinator/Junior Recruiter</v>
      </c>
      <c r="M3383" s="5" t="str">
        <f t="shared" si="3"/>
        <v> </v>
      </c>
      <c r="N3383" s="5" t="str">
        <f t="shared" si="4"/>
        <v>UBS</v>
      </c>
      <c r="O3383" s="5" t="str">
        <f t="shared" si="5"/>
        <v>5 months in role and company</v>
      </c>
      <c r="P3383" s="5" t="str">
        <f t="shared" si="6"/>
        <v>New York</v>
      </c>
      <c r="Q3383" s="5" t="str">
        <f t="shared" si="7"/>
        <v>New York</v>
      </c>
      <c r="R3383" s="5" t="str">
        <f t="shared" si="8"/>
        <v>United States</v>
      </c>
    </row>
    <row r="3384">
      <c r="A3384" s="7" t="s">
        <v>3442</v>
      </c>
      <c r="B3384" s="5" t="s">
        <v>3441</v>
      </c>
      <c r="C3384" s="5" t="s">
        <v>25</v>
      </c>
      <c r="D3384" s="6" t="s">
        <v>13</v>
      </c>
      <c r="E3384" s="5" t="s">
        <v>3439</v>
      </c>
      <c r="F3384" s="5" t="s">
        <v>188</v>
      </c>
      <c r="G3384" s="5" t="s">
        <v>122</v>
      </c>
      <c r="H3384" s="5" t="s">
        <v>44</v>
      </c>
      <c r="I3384" s="5" t="s">
        <v>18</v>
      </c>
      <c r="J3384" s="9" t="str">
        <f>IFERROR(__xludf.DUMMYFUNCTION("""COMPUTED_VALUE"""),"https://www.google.com/search?newwindow=1&amp;ei=2MT0XrvGGM-vytMP1OyDgAY&amp;q=site%3Alinkedin.com+Annie+Clay+Campus+Recruiter+UBS")</f>
        <v>https://www.google.com/search?newwindow=1&amp;ei=2MT0XrvGGM-vytMP1OyDgAY&amp;q=site%3Alinkedin.com+Annie+Clay+Campus+Recruiter+UBS</v>
      </c>
      <c r="K3384" s="5" t="str">
        <f t="shared" si="1"/>
        <v>Annie Clay</v>
      </c>
      <c r="L3384" s="5" t="str">
        <f t="shared" si="2"/>
        <v>Campus Recruiter</v>
      </c>
      <c r="M3384" s="5" t="str">
        <f t="shared" si="3"/>
        <v> </v>
      </c>
      <c r="N3384" s="5" t="str">
        <f t="shared" si="4"/>
        <v>UBS</v>
      </c>
      <c r="O3384" s="5" t="str">
        <f t="shared" si="5"/>
        <v>1 year 3 months in role</v>
      </c>
      <c r="P3384" s="5" t="str">
        <f t="shared" si="6"/>
        <v>Pelham</v>
      </c>
      <c r="Q3384" s="5" t="str">
        <f t="shared" si="7"/>
        <v>New York</v>
      </c>
      <c r="R3384" s="5" t="str">
        <f t="shared" si="8"/>
        <v>United States</v>
      </c>
    </row>
    <row r="3385">
      <c r="A3385" s="7" t="s">
        <v>3444</v>
      </c>
      <c r="B3385" s="5" t="s">
        <v>3443</v>
      </c>
      <c r="C3385" s="5" t="s">
        <v>1281</v>
      </c>
      <c r="D3385" s="6" t="s">
        <v>13</v>
      </c>
      <c r="E3385" s="5" t="s">
        <v>3439</v>
      </c>
      <c r="F3385" s="5" t="s">
        <v>1950</v>
      </c>
      <c r="G3385" s="5" t="s">
        <v>223</v>
      </c>
      <c r="H3385" s="5" t="s">
        <v>224</v>
      </c>
      <c r="I3385" s="5" t="s">
        <v>18</v>
      </c>
      <c r="J3385" s="9" t="str">
        <f>IFERROR(__xludf.DUMMYFUNCTION("""COMPUTED_VALUE"""),"https://www.google.com/search?newwindow=1&amp;ei=2MT0XrvGGM-vytMP1OyDgAY&amp;q=site%3Alinkedin.com+Gabrielle+Kaufman+Campus+Recruiter+UBS+Financial+Services")</f>
        <v>https://www.google.com/search?newwindow=1&amp;ei=2MT0XrvGGM-vytMP1OyDgAY&amp;q=site%3Alinkedin.com+Gabrielle+Kaufman+Campus+Recruiter+UBS+Financial+Services</v>
      </c>
      <c r="K3385" s="5" t="str">
        <f t="shared" si="1"/>
        <v>Gabrielle Kaufman</v>
      </c>
      <c r="L3385" s="5" t="str">
        <f t="shared" si="2"/>
        <v>Campus Recruiter</v>
      </c>
      <c r="M3385" s="5" t="str">
        <f t="shared" si="3"/>
        <v> </v>
      </c>
      <c r="N3385" s="5" t="str">
        <f t="shared" si="4"/>
        <v>UBS</v>
      </c>
      <c r="O3385" s="5" t="str">
        <f t="shared" si="5"/>
        <v/>
      </c>
      <c r="P3385" s="5" t="str">
        <f t="shared" si="6"/>
        <v>Hoboken</v>
      </c>
      <c r="Q3385" s="5" t="str">
        <f t="shared" si="7"/>
        <v>New Jersey</v>
      </c>
      <c r="R3385" s="5" t="str">
        <f t="shared" si="8"/>
        <v>United States</v>
      </c>
    </row>
    <row r="3386">
      <c r="A3386" s="7" t="s">
        <v>3446</v>
      </c>
      <c r="B3386" s="5" t="s">
        <v>3445</v>
      </c>
      <c r="C3386" s="5" t="s">
        <v>25</v>
      </c>
      <c r="D3386" s="6" t="s">
        <v>13</v>
      </c>
      <c r="E3386" s="5" t="s">
        <v>3439</v>
      </c>
      <c r="F3386" s="5" t="s">
        <v>100</v>
      </c>
      <c r="G3386" s="5" t="s">
        <v>1353</v>
      </c>
      <c r="H3386" s="5" t="s">
        <v>1354</v>
      </c>
      <c r="I3386" s="5" t="s">
        <v>18</v>
      </c>
      <c r="J3386" s="9" t="str">
        <f>IFERROR(__xludf.DUMMYFUNCTION("""COMPUTED_VALUE"""),"https://www.google.com/search?newwindow=1&amp;ei=2MT0XrvGGM-vytMP1OyDgAY&amp;q=site%3Alinkedin.com+Lauren+DeBowes+Assistant+Campus+Recruiter+UBS+Investment+Bank")</f>
        <v>https://www.google.com/search?newwindow=1&amp;ei=2MT0XrvGGM-vytMP1OyDgAY&amp;q=site%3Alinkedin.com+Lauren+DeBowes+Assistant+Campus+Recruiter+UBS+Investment+Bank</v>
      </c>
      <c r="K3386" s="5" t="str">
        <f t="shared" si="1"/>
        <v>Lauren DeBowes</v>
      </c>
      <c r="L3386" s="5" t="str">
        <f t="shared" si="2"/>
        <v>Assistant Campus Recruiter</v>
      </c>
      <c r="M3386" s="5" t="str">
        <f t="shared" si="3"/>
        <v> </v>
      </c>
      <c r="N3386" s="5" t="str">
        <f t="shared" si="4"/>
        <v>UBS</v>
      </c>
      <c r="O3386" s="5" t="str">
        <f t="shared" si="5"/>
        <v/>
      </c>
      <c r="P3386" s="5" t="str">
        <f t="shared" si="6"/>
        <v>Stamford</v>
      </c>
      <c r="Q3386" s="5" t="str">
        <f t="shared" si="7"/>
        <v>Connecticut</v>
      </c>
      <c r="R3386" s="5" t="str">
        <f t="shared" si="8"/>
        <v>United States</v>
      </c>
    </row>
    <row r="3387">
      <c r="A3387" s="7" t="s">
        <v>3449</v>
      </c>
      <c r="B3387" s="5" t="s">
        <v>3447</v>
      </c>
      <c r="C3387" s="5" t="s">
        <v>371</v>
      </c>
      <c r="D3387" s="6" t="s">
        <v>13</v>
      </c>
      <c r="E3387" s="5" t="s">
        <v>3439</v>
      </c>
      <c r="F3387" s="5" t="s">
        <v>980</v>
      </c>
      <c r="G3387" s="5" t="s">
        <v>3448</v>
      </c>
      <c r="H3387" s="5" t="s">
        <v>44</v>
      </c>
      <c r="I3387" s="5" t="s">
        <v>18</v>
      </c>
      <c r="J3387" s="9" t="str">
        <f>IFERROR(__xludf.DUMMYFUNCTION("""COMPUTED_VALUE"""),"https://www.google.com/search?newwindow=1&amp;ei=2MT0XrvGGM-vytMP1OyDgAY&amp;q=site%3Alinkedin.com+Jill+Westberg+Associate+Director,+Early+Careers+Recruitment+&amp;+Campus+Engagement+UnitedHealth+Group")</f>
        <v>https://www.google.com/search?newwindow=1&amp;ei=2MT0XrvGGM-vytMP1OyDgAY&amp;q=site%3Alinkedin.com+Jill+Westberg+Associate+Director,+Early+Careers+Recruitment+&amp;+Campus+Engagement+UnitedHealth+Group</v>
      </c>
      <c r="K3387" s="5" t="str">
        <f t="shared" si="1"/>
        <v>Jill Westberg</v>
      </c>
      <c r="L3387" s="5" t="str">
        <f t="shared" si="2"/>
        <v>Associate Director, Early Careers Recruitment &amp; Campus Engagement</v>
      </c>
      <c r="M3387" s="5" t="str">
        <f t="shared" si="3"/>
        <v> </v>
      </c>
      <c r="N3387" s="5" t="str">
        <f t="shared" si="4"/>
        <v>UnitedHealth Group</v>
      </c>
      <c r="O3387" s="5" t="str">
        <f t="shared" si="5"/>
        <v>1 year 9 months in role</v>
      </c>
      <c r="P3387" s="5" t="str">
        <f t="shared" si="6"/>
        <v>Fort Myers</v>
      </c>
      <c r="Q3387" s="5" t="str">
        <f t="shared" si="7"/>
        <v>Florida</v>
      </c>
      <c r="R3387" s="5" t="str">
        <f t="shared" si="8"/>
        <v>United States</v>
      </c>
    </row>
    <row r="3388">
      <c r="A3388" s="7" t="s">
        <v>3452</v>
      </c>
      <c r="B3388" s="5" t="s">
        <v>3450</v>
      </c>
      <c r="C3388" s="5" t="s">
        <v>3451</v>
      </c>
      <c r="D3388" s="6" t="s">
        <v>13</v>
      </c>
      <c r="E3388" s="5" t="s">
        <v>3439</v>
      </c>
      <c r="F3388" s="5" t="s">
        <v>106</v>
      </c>
      <c r="G3388" s="5" t="s">
        <v>166</v>
      </c>
      <c r="H3388" s="5" t="s">
        <v>44</v>
      </c>
      <c r="I3388" s="5" t="s">
        <v>18</v>
      </c>
      <c r="J3388" s="9" t="str">
        <f>IFERROR(__xludf.DUMMYFUNCTION("""COMPUTED_VALUE"""),"https://www.google.com/search?newwindow=1&amp;ei=2MT0XrvGGM-vytMP1OyDgAY&amp;q=site%3Alinkedin.com+Anna+Muhovich,+M.A.+College+Recruiter+UnitedHealth+Group")</f>
        <v>https://www.google.com/search?newwindow=1&amp;ei=2MT0XrvGGM-vytMP1OyDgAY&amp;q=site%3Alinkedin.com+Anna+Muhovich,+M.A.+College+Recruiter+UnitedHealth+Group</v>
      </c>
      <c r="K3388" s="5" t="str">
        <f t="shared" si="1"/>
        <v>Anna Muhovich, M.A.</v>
      </c>
      <c r="L3388" s="5" t="str">
        <f t="shared" si="2"/>
        <v>College Recruiter</v>
      </c>
      <c r="M3388" s="5" t="str">
        <f t="shared" si="3"/>
        <v> </v>
      </c>
      <c r="N3388" s="5" t="str">
        <f t="shared" si="4"/>
        <v>UnitedHealth Group</v>
      </c>
      <c r="O3388" s="5" t="str">
        <f t="shared" si="5"/>
        <v>1 year 1 month in role and company</v>
      </c>
      <c r="P3388" s="5" t="str">
        <f t="shared" si="6"/>
        <v>Minneapolis</v>
      </c>
      <c r="Q3388" s="5" t="str">
        <f t="shared" si="7"/>
        <v>Minnesota</v>
      </c>
      <c r="R3388" s="5" t="str">
        <f t="shared" si="8"/>
        <v>United States</v>
      </c>
    </row>
    <row r="3389">
      <c r="A3389" s="7" t="s">
        <v>3454</v>
      </c>
      <c r="B3389" s="5" t="s">
        <v>3453</v>
      </c>
      <c r="C3389" s="5" t="s">
        <v>32</v>
      </c>
      <c r="D3389" s="6" t="s">
        <v>13</v>
      </c>
      <c r="E3389" s="5" t="s">
        <v>3439</v>
      </c>
      <c r="F3389" s="5" t="s">
        <v>399</v>
      </c>
      <c r="G3389" s="5" t="s">
        <v>166</v>
      </c>
      <c r="H3389" s="5" t="s">
        <v>44</v>
      </c>
      <c r="I3389" s="5" t="s">
        <v>18</v>
      </c>
      <c r="J3389" s="9" t="str">
        <f>IFERROR(__xludf.DUMMYFUNCTION("""COMPUTED_VALUE"""),"https://www.google.com/search?newwindow=1&amp;ei=2MT0XrvGGM-vytMP1OyDgAY&amp;q=site%3Alinkedin.com+Gao+Lee+College+Recruiter+UnitedHealth+Group")</f>
        <v>https://www.google.com/search?newwindow=1&amp;ei=2MT0XrvGGM-vytMP1OyDgAY&amp;q=site%3Alinkedin.com+Gao+Lee+College+Recruiter+UnitedHealth+Group</v>
      </c>
      <c r="K3389" s="5" t="str">
        <f t="shared" si="1"/>
        <v>Gao Lee</v>
      </c>
      <c r="L3389" s="5" t="str">
        <f t="shared" si="2"/>
        <v>College Recruiter</v>
      </c>
      <c r="M3389" s="5" t="str">
        <f t="shared" si="3"/>
        <v> </v>
      </c>
      <c r="N3389" s="5" t="str">
        <f t="shared" si="4"/>
        <v>UnitedHealth Group</v>
      </c>
      <c r="O3389" s="5" t="str">
        <f t="shared" si="5"/>
        <v>4 years 6 months in role and company</v>
      </c>
      <c r="P3389" s="5" t="str">
        <f t="shared" si="6"/>
        <v>Minneapolis</v>
      </c>
      <c r="Q3389" s="5" t="str">
        <f t="shared" si="7"/>
        <v>Minnesota</v>
      </c>
      <c r="R3389" s="5" t="str">
        <f t="shared" si="8"/>
        <v>United States</v>
      </c>
    </row>
    <row r="3390">
      <c r="A3390" s="7" t="s">
        <v>3456</v>
      </c>
      <c r="B3390" s="5" t="s">
        <v>3455</v>
      </c>
      <c r="C3390" s="5" t="s">
        <v>32</v>
      </c>
      <c r="D3390" s="6" t="s">
        <v>13</v>
      </c>
      <c r="E3390" s="5" t="s">
        <v>3439</v>
      </c>
      <c r="F3390" s="5" t="s">
        <v>554</v>
      </c>
      <c r="G3390" s="5" t="s">
        <v>166</v>
      </c>
      <c r="H3390" s="5" t="s">
        <v>44</v>
      </c>
      <c r="I3390" s="5" t="s">
        <v>18</v>
      </c>
      <c r="J3390" s="9" t="str">
        <f>IFERROR(__xludf.DUMMYFUNCTION("""COMPUTED_VALUE"""),"https://www.google.com/search?newwindow=1&amp;ei=2MT0XrvGGM-vytMP1OyDgAY&amp;q=site%3Alinkedin.com+Annie+Kennedy+Senior+College+Recruiter+UnitedHealth+Group")</f>
        <v>https://www.google.com/search?newwindow=1&amp;ei=2MT0XrvGGM-vytMP1OyDgAY&amp;q=site%3Alinkedin.com+Annie+Kennedy+Senior+College+Recruiter+UnitedHealth+Group</v>
      </c>
      <c r="K3390" s="5" t="str">
        <f t="shared" si="1"/>
        <v>Annie Kennedy</v>
      </c>
      <c r="L3390" s="5" t="str">
        <f t="shared" si="2"/>
        <v>Senior College Recruiter</v>
      </c>
      <c r="M3390" s="5" t="str">
        <f t="shared" si="3"/>
        <v> </v>
      </c>
      <c r="N3390" s="5" t="str">
        <f t="shared" si="4"/>
        <v>UnitedHealth Group</v>
      </c>
      <c r="O3390" s="5" t="str">
        <f t="shared" si="5"/>
        <v>1 year 2 months in role</v>
      </c>
      <c r="P3390" s="5" t="str">
        <f t="shared" si="6"/>
        <v>Richmond</v>
      </c>
      <c r="Q3390" s="5" t="str">
        <f t="shared" si="7"/>
        <v>Virginia</v>
      </c>
      <c r="R3390" s="5" t="str">
        <f t="shared" si="8"/>
        <v>United States</v>
      </c>
    </row>
    <row r="3391">
      <c r="A3391" s="7" t="s">
        <v>3458</v>
      </c>
      <c r="B3391" s="5" t="s">
        <v>3457</v>
      </c>
      <c r="C3391" s="5" t="s">
        <v>371</v>
      </c>
      <c r="D3391" s="6" t="s">
        <v>13</v>
      </c>
      <c r="E3391" s="5" t="s">
        <v>3439</v>
      </c>
      <c r="F3391" s="5" t="s">
        <v>94</v>
      </c>
      <c r="G3391" s="5" t="s">
        <v>311</v>
      </c>
      <c r="H3391" s="5" t="s">
        <v>102</v>
      </c>
      <c r="I3391" s="5" t="s">
        <v>18</v>
      </c>
      <c r="J3391" s="9" t="str">
        <f>IFERROR(__xludf.DUMMYFUNCTION("""COMPUTED_VALUE"""),"https://www.google.com/search?newwindow=1&amp;ei=2MT0XrvGGM-vytMP1OyDgAY&amp;q=site%3Alinkedin.com+Stacie+Carpenter+Senior+College+Recruiter,+Early+Careers+Recruitment+&amp;+Campus+Engagement+UnitedHealth+Group")</f>
        <v>https://www.google.com/search?newwindow=1&amp;ei=2MT0XrvGGM-vytMP1OyDgAY&amp;q=site%3Alinkedin.com+Stacie+Carpenter+Senior+College+Recruiter,+Early+Careers+Recruitment+&amp;+Campus+Engagement+UnitedHealth+Group</v>
      </c>
      <c r="K3391" s="5" t="str">
        <f t="shared" si="1"/>
        <v>Stacie Carpenter</v>
      </c>
      <c r="L3391" s="5" t="str">
        <f t="shared" si="2"/>
        <v>Senior College Recruiter, Early Careers Recruitment &amp; Campus Engagement</v>
      </c>
      <c r="M3391" s="5" t="str">
        <f t="shared" si="3"/>
        <v> </v>
      </c>
      <c r="N3391" s="5" t="str">
        <f t="shared" si="4"/>
        <v>UnitedHealth Group</v>
      </c>
      <c r="O3391" s="5" t="str">
        <f t="shared" si="5"/>
        <v>2 years 4 months in role and company</v>
      </c>
      <c r="P3391" s="5" t="str">
        <f t="shared" si="6"/>
        <v>St Paul</v>
      </c>
      <c r="Q3391" s="5" t="str">
        <f t="shared" si="7"/>
        <v>Minnesota</v>
      </c>
      <c r="R3391" s="5" t="str">
        <f t="shared" si="8"/>
        <v>United States</v>
      </c>
    </row>
    <row r="3392">
      <c r="A3392" s="7" t="s">
        <v>3460</v>
      </c>
      <c r="B3392" s="5" t="s">
        <v>3459</v>
      </c>
      <c r="C3392" s="5" t="s">
        <v>25</v>
      </c>
      <c r="D3392" s="6" t="s">
        <v>13</v>
      </c>
      <c r="E3392" s="5" t="s">
        <v>3439</v>
      </c>
      <c r="F3392" s="5" t="s">
        <v>63</v>
      </c>
      <c r="G3392" s="5" t="s">
        <v>311</v>
      </c>
      <c r="H3392" s="5" t="s">
        <v>102</v>
      </c>
      <c r="I3392" s="5" t="s">
        <v>18</v>
      </c>
      <c r="J3392" s="9" t="str">
        <f>IFERROR(__xludf.DUMMYFUNCTION("""COMPUTED_VALUE"""),"https://www.google.com/search?newwindow=1&amp;ei=2MT0XrvGGM-vytMP1OyDgAY&amp;q=site%3Alinkedin.com+Jennifer+Coleman+University+Recruiter+Unity+Technologies")</f>
        <v>https://www.google.com/search?newwindow=1&amp;ei=2MT0XrvGGM-vytMP1OyDgAY&amp;q=site%3Alinkedin.com+Jennifer+Coleman+University+Recruiter+Unity+Technologies</v>
      </c>
      <c r="K3392" s="5" t="str">
        <f t="shared" si="1"/>
        <v>Jennifer Coleman</v>
      </c>
      <c r="L3392" s="5" t="str">
        <f t="shared" si="2"/>
        <v>University Recruiter</v>
      </c>
      <c r="M3392" s="5" t="str">
        <f t="shared" si="3"/>
        <v> </v>
      </c>
      <c r="N3392" s="5" t="str">
        <f t="shared" si="4"/>
        <v>Unity Technologies</v>
      </c>
      <c r="O3392" s="5" t="str">
        <f t="shared" si="5"/>
        <v>5 months in role and company</v>
      </c>
      <c r="P3392" s="5" t="str">
        <f t="shared" si="6"/>
        <v>Raleigh</v>
      </c>
      <c r="Q3392" s="5" t="str">
        <f t="shared" si="7"/>
        <v>North Carolina</v>
      </c>
      <c r="R3392" s="5" t="str">
        <f t="shared" si="8"/>
        <v>United States</v>
      </c>
    </row>
    <row r="3393">
      <c r="A3393" s="7" t="s">
        <v>3462</v>
      </c>
      <c r="B3393" s="5" t="s">
        <v>3461</v>
      </c>
      <c r="C3393" s="5" t="s">
        <v>32</v>
      </c>
      <c r="D3393" s="6" t="s">
        <v>13</v>
      </c>
      <c r="E3393" s="5" t="s">
        <v>3439</v>
      </c>
      <c r="F3393" s="5" t="s">
        <v>60</v>
      </c>
      <c r="G3393" s="5" t="s">
        <v>311</v>
      </c>
      <c r="H3393" s="5" t="s">
        <v>102</v>
      </c>
      <c r="I3393" s="5" t="s">
        <v>18</v>
      </c>
      <c r="J3393" s="9" t="str">
        <f>IFERROR(__xludf.DUMMYFUNCTION("""COMPUTED_VALUE"""),"https://www.google.com/search?newwindow=1&amp;ei=2MT0XrvGGM-vytMP1OyDgAY&amp;q=site%3Alinkedin.com+Claire+Skelly+University+Recruiter+Unity+Technologies")</f>
        <v>https://www.google.com/search?newwindow=1&amp;ei=2MT0XrvGGM-vytMP1OyDgAY&amp;q=site%3Alinkedin.com+Claire+Skelly+University+Recruiter+Unity+Technologies</v>
      </c>
      <c r="K3393" s="5" t="str">
        <f t="shared" si="1"/>
        <v>Claire Skelly</v>
      </c>
      <c r="L3393" s="5" t="str">
        <f t="shared" si="2"/>
        <v>University Recruiter</v>
      </c>
      <c r="M3393" s="5" t="str">
        <f t="shared" si="3"/>
        <v> </v>
      </c>
      <c r="N3393" s="5" t="str">
        <f t="shared" si="4"/>
        <v>Unity Technologies</v>
      </c>
      <c r="O3393" s="5" t="str">
        <f t="shared" si="5"/>
        <v>1 year 4 months in role</v>
      </c>
      <c r="P3393" s="5" t="str">
        <f t="shared" si="6"/>
        <v>San Francisco</v>
      </c>
      <c r="Q3393" s="5" t="str">
        <f t="shared" si="7"/>
        <v>California</v>
      </c>
      <c r="R3393" s="5" t="str">
        <f t="shared" si="8"/>
        <v>United States</v>
      </c>
    </row>
    <row r="3394">
      <c r="A3394" s="7" t="s">
        <v>3458</v>
      </c>
      <c r="B3394" s="5" t="s">
        <v>3457</v>
      </c>
      <c r="C3394" s="5" t="s">
        <v>371</v>
      </c>
      <c r="D3394" s="6" t="s">
        <v>13</v>
      </c>
      <c r="E3394" s="5" t="s">
        <v>3439</v>
      </c>
      <c r="F3394" s="5" t="s">
        <v>94</v>
      </c>
      <c r="G3394" s="5" t="s">
        <v>311</v>
      </c>
      <c r="H3394" s="5" t="s">
        <v>102</v>
      </c>
      <c r="I3394" s="5" t="s">
        <v>18</v>
      </c>
      <c r="J3394" s="9" t="str">
        <f>IFERROR(__xludf.DUMMYFUNCTION("""COMPUTED_VALUE"""),"https://www.google.com/search?newwindow=1&amp;ei=2MT0XrvGGM-vytMP1OyDgAY&amp;q=site%3Alinkedin.com+Christopher+Mellis+Campus+Recruiter+Verizon")</f>
        <v>https://www.google.com/search?newwindow=1&amp;ei=2MT0XrvGGM-vytMP1OyDgAY&amp;q=site%3Alinkedin.com+Christopher+Mellis+Campus+Recruiter+Verizon</v>
      </c>
      <c r="K3394" s="5" t="str">
        <f t="shared" si="1"/>
        <v>Christopher Mellis</v>
      </c>
      <c r="L3394" s="5" t="str">
        <f t="shared" si="2"/>
        <v>Campus Recruiter</v>
      </c>
      <c r="M3394" s="5" t="str">
        <f t="shared" si="3"/>
        <v> </v>
      </c>
      <c r="N3394" s="5" t="str">
        <f t="shared" si="4"/>
        <v>Verizon</v>
      </c>
      <c r="O3394" s="5" t="str">
        <f t="shared" si="5"/>
        <v>1 year  in role</v>
      </c>
      <c r="P3394" s="5" t="str">
        <f t="shared" si="6"/>
        <v>New York</v>
      </c>
      <c r="Q3394" s="5" t="str">
        <f t="shared" si="7"/>
        <v>New York</v>
      </c>
      <c r="R3394" s="5" t="str">
        <f t="shared" si="8"/>
        <v>United States</v>
      </c>
    </row>
    <row r="3395">
      <c r="A3395" s="7" t="s">
        <v>3464</v>
      </c>
      <c r="B3395" s="5" t="s">
        <v>3463</v>
      </c>
      <c r="C3395" s="5" t="s">
        <v>371</v>
      </c>
      <c r="D3395" s="6" t="s">
        <v>13</v>
      </c>
      <c r="E3395" s="5" t="s">
        <v>3439</v>
      </c>
      <c r="F3395" s="5" t="s">
        <v>106</v>
      </c>
      <c r="G3395" s="5" t="s">
        <v>122</v>
      </c>
      <c r="H3395" s="5" t="s">
        <v>44</v>
      </c>
      <c r="I3395" s="5" t="s">
        <v>18</v>
      </c>
      <c r="J3395" s="9" t="str">
        <f>IFERROR(__xludf.DUMMYFUNCTION("""COMPUTED_VALUE"""),"https://www.google.com/search?newwindow=1&amp;ei=2MT0XrvGGM-vytMP1OyDgAY&amp;q=site%3Alinkedin.com+Derek+Penzort+Campus+Recruiter+Verizon")</f>
        <v>https://www.google.com/search?newwindow=1&amp;ei=2MT0XrvGGM-vytMP1OyDgAY&amp;q=site%3Alinkedin.com+Derek+Penzort+Campus+Recruiter+Verizon</v>
      </c>
      <c r="K3395" s="5" t="str">
        <f t="shared" si="1"/>
        <v>Derek Penzort</v>
      </c>
      <c r="L3395" s="5" t="str">
        <f t="shared" si="2"/>
        <v>Campus Recruiter</v>
      </c>
      <c r="M3395" s="5" t="str">
        <f t="shared" si="3"/>
        <v> </v>
      </c>
      <c r="N3395" s="5" t="str">
        <f t="shared" si="4"/>
        <v>Verizon</v>
      </c>
      <c r="O3395" s="5" t="str">
        <f t="shared" si="5"/>
        <v>1 year  in role</v>
      </c>
      <c r="P3395" s="5" t="str">
        <f t="shared" si="6"/>
        <v>New York</v>
      </c>
      <c r="Q3395" s="5" t="str">
        <f t="shared" si="7"/>
        <v>New York</v>
      </c>
      <c r="R3395" s="5" t="str">
        <f t="shared" si="8"/>
        <v>United States</v>
      </c>
    </row>
    <row r="3396">
      <c r="A3396" s="7" t="s">
        <v>3467</v>
      </c>
      <c r="B3396" s="5" t="s">
        <v>3465</v>
      </c>
      <c r="C3396" s="5" t="s">
        <v>3466</v>
      </c>
      <c r="D3396" s="6" t="s">
        <v>13</v>
      </c>
      <c r="E3396" s="5" t="s">
        <v>3439</v>
      </c>
      <c r="F3396" s="5" t="s">
        <v>2818</v>
      </c>
      <c r="G3396" s="5" t="s">
        <v>122</v>
      </c>
      <c r="H3396" s="5" t="s">
        <v>44</v>
      </c>
      <c r="I3396" s="5" t="s">
        <v>18</v>
      </c>
      <c r="J3396" s="9" t="str">
        <f>IFERROR(__xludf.DUMMYFUNCTION("""COMPUTED_VALUE"""),"https://www.google.com/search?newwindow=1&amp;ei=2MT0XrvGGM-vytMP1OyDgAY&amp;q=site%3Alinkedin.com+Al+Jackson+Campus+Recruiter+-+Talent+Acquisition+Verizon")</f>
        <v>https://www.google.com/search?newwindow=1&amp;ei=2MT0XrvGGM-vytMP1OyDgAY&amp;q=site%3Alinkedin.com+Al+Jackson+Campus+Recruiter+-+Talent+Acquisition+Verizon</v>
      </c>
      <c r="K3396" s="5" t="str">
        <f t="shared" si="1"/>
        <v>Al Jackson</v>
      </c>
      <c r="L3396" s="5" t="str">
        <f t="shared" si="2"/>
        <v>Campus Recruiter - Talent Acquisition</v>
      </c>
      <c r="M3396" s="5" t="str">
        <f t="shared" si="3"/>
        <v> </v>
      </c>
      <c r="N3396" s="5" t="str">
        <f t="shared" si="4"/>
        <v>Verizon</v>
      </c>
      <c r="O3396" s="5" t="str">
        <f t="shared" si="5"/>
        <v>1 year 3 months in role</v>
      </c>
      <c r="P3396" s="5" t="str">
        <f t="shared" si="6"/>
        <v>New York</v>
      </c>
      <c r="Q3396" s="5" t="str">
        <f t="shared" si="7"/>
        <v>New York</v>
      </c>
      <c r="R3396" s="5" t="str">
        <f t="shared" si="8"/>
        <v>United States</v>
      </c>
    </row>
    <row r="3397">
      <c r="A3397" s="7" t="s">
        <v>3469</v>
      </c>
      <c r="B3397" s="5" t="s">
        <v>3468</v>
      </c>
      <c r="C3397" s="5" t="s">
        <v>371</v>
      </c>
      <c r="D3397" s="6" t="s">
        <v>13</v>
      </c>
      <c r="E3397" s="5" t="s">
        <v>3439</v>
      </c>
      <c r="F3397" s="5" t="s">
        <v>716</v>
      </c>
      <c r="G3397" s="5" t="s">
        <v>311</v>
      </c>
      <c r="H3397" s="5" t="s">
        <v>102</v>
      </c>
      <c r="I3397" s="5" t="s">
        <v>18</v>
      </c>
      <c r="J3397" s="9" t="str">
        <f>IFERROR(__xludf.DUMMYFUNCTION("""COMPUTED_VALUE"""),"https://www.google.com/search?newwindow=1&amp;ei=2MT0XrvGGM-vytMP1OyDgAY&amp;q=site%3Alinkedin.com+Kaitlynn+Moctezuma+Campus+Recruiter+Verizon")</f>
        <v>https://www.google.com/search?newwindow=1&amp;ei=2MT0XrvGGM-vytMP1OyDgAY&amp;q=site%3Alinkedin.com+Kaitlynn+Moctezuma+Campus+Recruiter+Verizon</v>
      </c>
      <c r="K3397" s="5" t="str">
        <f t="shared" si="1"/>
        <v>Kaitlynn Moctezuma</v>
      </c>
      <c r="L3397" s="5" t="str">
        <f t="shared" si="2"/>
        <v>Campus Recruiter</v>
      </c>
      <c r="M3397" s="5" t="str">
        <f t="shared" si="3"/>
        <v> </v>
      </c>
      <c r="N3397" s="5" t="str">
        <f t="shared" si="4"/>
        <v>Verizon</v>
      </c>
      <c r="O3397" s="5" t="str">
        <f t="shared" si="5"/>
        <v>2 years 3 months in role and company</v>
      </c>
      <c r="P3397" s="5" t="str">
        <f t="shared" si="6"/>
        <v>New York</v>
      </c>
      <c r="Q3397" s="5" t="str">
        <f t="shared" si="7"/>
        <v>New York</v>
      </c>
      <c r="R3397" s="5" t="str">
        <f t="shared" si="8"/>
        <v>United States</v>
      </c>
    </row>
    <row r="3398">
      <c r="A3398" s="7" t="s">
        <v>3472</v>
      </c>
      <c r="B3398" s="5" t="s">
        <v>3470</v>
      </c>
      <c r="C3398" s="5" t="s">
        <v>25</v>
      </c>
      <c r="D3398" s="6" t="s">
        <v>13</v>
      </c>
      <c r="E3398" s="5" t="s">
        <v>3439</v>
      </c>
      <c r="F3398" s="5" t="s">
        <v>1993</v>
      </c>
      <c r="G3398" s="5" t="s">
        <v>3471</v>
      </c>
      <c r="H3398" s="5" t="s">
        <v>102</v>
      </c>
      <c r="I3398" s="5" t="s">
        <v>18</v>
      </c>
      <c r="J3398" s="9" t="str">
        <f>IFERROR(__xludf.DUMMYFUNCTION("""COMPUTED_VALUE"""),"https://www.google.com/search?newwindow=1&amp;ei=2MT0XrvGGM-vytMP1OyDgAY&amp;q=site%3Alinkedin.com+Marlyn+Jasso+Sr.+Analyst,+Talent+Acquisition-+Campus+Recruiter+Verizon")</f>
        <v>https://www.google.com/search?newwindow=1&amp;ei=2MT0XrvGGM-vytMP1OyDgAY&amp;q=site%3Alinkedin.com+Marlyn+Jasso+Sr.+Analyst,+Talent+Acquisition-+Campus+Recruiter+Verizon</v>
      </c>
      <c r="K3398" s="5" t="str">
        <f t="shared" si="1"/>
        <v>Marlyn Jasso</v>
      </c>
      <c r="L3398" s="5" t="str">
        <f t="shared" si="2"/>
        <v>Sr. Analyst, Talent Acquisition- Campus Recruiter</v>
      </c>
      <c r="M3398" s="5" t="str">
        <f t="shared" si="3"/>
        <v> </v>
      </c>
      <c r="N3398" s="5" t="str">
        <f t="shared" si="4"/>
        <v>Verizon</v>
      </c>
      <c r="O3398" s="5" t="str">
        <f t="shared" si="5"/>
        <v>2 years 2 months in role</v>
      </c>
      <c r="P3398" s="5" t="str">
        <f t="shared" si="6"/>
        <v>Tulsa</v>
      </c>
      <c r="Q3398" s="5" t="str">
        <f t="shared" si="7"/>
        <v>Oklahoma</v>
      </c>
      <c r="R3398" s="5" t="str">
        <f t="shared" si="8"/>
        <v>United States</v>
      </c>
    </row>
    <row r="3399">
      <c r="A3399" s="8" t="s">
        <v>3474</v>
      </c>
      <c r="B3399" s="5" t="s">
        <v>3473</v>
      </c>
      <c r="C3399" s="5" t="s">
        <v>32</v>
      </c>
      <c r="D3399" s="6" t="s">
        <v>13</v>
      </c>
      <c r="E3399" s="5" t="s">
        <v>3439</v>
      </c>
      <c r="F3399" s="5" t="s">
        <v>1360</v>
      </c>
      <c r="G3399" s="5" t="s">
        <v>1867</v>
      </c>
      <c r="H3399" s="5" t="s">
        <v>44</v>
      </c>
      <c r="I3399" s="5" t="s">
        <v>18</v>
      </c>
      <c r="J3399" s="9" t="str">
        <f>IFERROR(__xludf.DUMMYFUNCTION("""COMPUTED_VALUE"""),"https://www.google.com/search?newwindow=1&amp;ei=2MT0XrvGGM-vytMP1OyDgAY&amp;q=site%3Alinkedin.com+Aliyah+Deiz+Talent+Acquisition+Senior+Analyst,+University+Recruiter+Verizon+Media")</f>
        <v>https://www.google.com/search?newwindow=1&amp;ei=2MT0XrvGGM-vytMP1OyDgAY&amp;q=site%3Alinkedin.com+Aliyah+Deiz+Talent+Acquisition+Senior+Analyst,+University+Recruiter+Verizon+Media</v>
      </c>
      <c r="K3399" s="5" t="str">
        <f t="shared" si="1"/>
        <v>Aliyah Deiz</v>
      </c>
      <c r="L3399" s="5" t="str">
        <f t="shared" si="2"/>
        <v>Talent Acquisition Senior Analyst, University Recruiter</v>
      </c>
      <c r="M3399" s="5" t="str">
        <f t="shared" si="3"/>
        <v> </v>
      </c>
      <c r="N3399" s="5" t="str">
        <f t="shared" si="4"/>
        <v>Verizon</v>
      </c>
      <c r="O3399" s="5" t="str">
        <f t="shared" si="5"/>
        <v>11 months in role and company</v>
      </c>
      <c r="P3399" s="5" t="str">
        <f t="shared" si="6"/>
        <v>Los Angeles</v>
      </c>
      <c r="Q3399" s="5" t="str">
        <f t="shared" si="7"/>
        <v>California</v>
      </c>
      <c r="R3399" s="5" t="str">
        <f t="shared" si="8"/>
        <v>United States</v>
      </c>
    </row>
    <row r="3400">
      <c r="A3400" s="8" t="s">
        <v>3478</v>
      </c>
      <c r="B3400" s="5" t="s">
        <v>3475</v>
      </c>
      <c r="C3400" s="5" t="s">
        <v>3476</v>
      </c>
      <c r="D3400" s="6" t="s">
        <v>13</v>
      </c>
      <c r="E3400" s="6" t="s">
        <v>3477</v>
      </c>
      <c r="F3400" s="5" t="s">
        <v>1846</v>
      </c>
      <c r="G3400" s="5" t="s">
        <v>122</v>
      </c>
      <c r="H3400" s="5" t="s">
        <v>44</v>
      </c>
      <c r="I3400" s="5" t="s">
        <v>18</v>
      </c>
      <c r="J3400" s="9" t="str">
        <f>IFERROR(__xludf.DUMMYFUNCTION("""COMPUTED_VALUE"""),"https://www.google.com/search?newwindow=1&amp;ei=2MT0XrvGGM-vytMP1OyDgAY&amp;q=site%3Alinkedin.com+Christina+D.+Talent+Acquisition,+University+Recruiter+Verizon+Media")</f>
        <v>https://www.google.com/search?newwindow=1&amp;ei=2MT0XrvGGM-vytMP1OyDgAY&amp;q=site%3Alinkedin.com+Christina+D.+Talent+Acquisition,+University+Recruiter+Verizon+Media</v>
      </c>
      <c r="K3400" s="5" t="str">
        <f t="shared" si="1"/>
        <v>Christina D.</v>
      </c>
      <c r="L3400" s="5" t="str">
        <f t="shared" si="2"/>
        <v>Talent Acquisition, University Recruiter</v>
      </c>
      <c r="M3400" s="5" t="str">
        <f t="shared" si="3"/>
        <v> </v>
      </c>
      <c r="N3400" s="5" t="str">
        <f t="shared" si="4"/>
        <v>Verizon</v>
      </c>
      <c r="O3400" s="5" t="str">
        <f t="shared" si="5"/>
        <v>1 year 2 months in role and company</v>
      </c>
      <c r="P3400" s="5" t="str">
        <f t="shared" si="6"/>
        <v>San Francisco</v>
      </c>
      <c r="Q3400" s="5" t="str">
        <f t="shared" si="7"/>
        <v>California</v>
      </c>
      <c r="R3400" s="5" t="str">
        <f t="shared" si="8"/>
        <v>United States</v>
      </c>
    </row>
    <row r="3401">
      <c r="A3401" s="8" t="s">
        <v>3480</v>
      </c>
      <c r="B3401" s="5" t="s">
        <v>3479</v>
      </c>
      <c r="C3401" s="5" t="s">
        <v>3476</v>
      </c>
      <c r="D3401" s="6" t="s">
        <v>13</v>
      </c>
      <c r="E3401" s="6" t="s">
        <v>3477</v>
      </c>
      <c r="F3401" s="5" t="s">
        <v>125</v>
      </c>
      <c r="G3401" s="5" t="s">
        <v>137</v>
      </c>
      <c r="H3401" s="5" t="s">
        <v>137</v>
      </c>
      <c r="I3401" s="5" t="s">
        <v>18</v>
      </c>
      <c r="J3401" s="9" t="str">
        <f>IFERROR(__xludf.DUMMYFUNCTION("""COMPUTED_VALUE"""),"https://www.google.com/search?newwindow=1&amp;ei=2MT0XrvGGM-vytMP1OyDgAY&amp;q=site%3Alinkedin.com+Sonya+Harris+Talent+Acquisition+Campus+Recruiter+Verizon+Telematics+Inc.")</f>
        <v>https://www.google.com/search?newwindow=1&amp;ei=2MT0XrvGGM-vytMP1OyDgAY&amp;q=site%3Alinkedin.com+Sonya+Harris+Talent+Acquisition+Campus+Recruiter+Verizon+Telematics+Inc.</v>
      </c>
      <c r="K3401" s="5" t="str">
        <f t="shared" si="1"/>
        <v>Sonya Harris</v>
      </c>
      <c r="L3401" s="5" t="str">
        <f t="shared" si="2"/>
        <v>Talent Acquisition Campus Recruiter</v>
      </c>
      <c r="M3401" s="5" t="str">
        <f t="shared" si="3"/>
        <v> </v>
      </c>
      <c r="N3401" s="5" t="str">
        <f t="shared" si="4"/>
        <v>Verizon</v>
      </c>
      <c r="O3401" s="5" t="str">
        <f t="shared" si="5"/>
        <v>3 years 2 months in role and company</v>
      </c>
      <c r="P3401" s="5" t="str">
        <f t="shared" si="6"/>
        <v>Atlanta</v>
      </c>
      <c r="Q3401" s="5" t="str">
        <f t="shared" si="7"/>
        <v>Georgia</v>
      </c>
      <c r="R3401" s="5" t="str">
        <f t="shared" si="8"/>
        <v>United States</v>
      </c>
    </row>
    <row r="3402">
      <c r="A3402" s="8" t="s">
        <v>3483</v>
      </c>
      <c r="B3402" s="5" t="s">
        <v>3481</v>
      </c>
      <c r="C3402" s="5" t="s">
        <v>3482</v>
      </c>
      <c r="D3402" s="6" t="s">
        <v>13</v>
      </c>
      <c r="E3402" s="6" t="s">
        <v>3477</v>
      </c>
      <c r="F3402" s="5" t="s">
        <v>441</v>
      </c>
      <c r="G3402" s="5" t="s">
        <v>137</v>
      </c>
      <c r="H3402" s="5" t="s">
        <v>137</v>
      </c>
      <c r="I3402" s="5" t="s">
        <v>18</v>
      </c>
      <c r="J3402" s="9" t="str">
        <f>IFERROR(__xludf.DUMMYFUNCTION("""COMPUTED_VALUE"""),"https://www.google.com/search?newwindow=1&amp;ei=2MT0XrvGGM-vytMP1OyDgAY&amp;q=site%3Alinkedin.com+Layne+P.+Campus+Recruiter+Verizon+Wireless")</f>
        <v>https://www.google.com/search?newwindow=1&amp;ei=2MT0XrvGGM-vytMP1OyDgAY&amp;q=site%3Alinkedin.com+Layne+P.+Campus+Recruiter+Verizon+Wireless</v>
      </c>
      <c r="K3402" s="5" t="str">
        <f t="shared" si="1"/>
        <v>Layne P.</v>
      </c>
      <c r="L3402" s="5" t="str">
        <f t="shared" si="2"/>
        <v>Campus Recruiter</v>
      </c>
      <c r="M3402" s="5" t="str">
        <f t="shared" si="3"/>
        <v> </v>
      </c>
      <c r="N3402" s="5" t="str">
        <f t="shared" si="4"/>
        <v>Verizon</v>
      </c>
      <c r="O3402" s="5" t="str">
        <f t="shared" si="5"/>
        <v>3 years 3 months in role and company</v>
      </c>
      <c r="P3402" s="5" t="str">
        <f t="shared" si="6"/>
        <v>New York</v>
      </c>
      <c r="Q3402" s="5" t="str">
        <f t="shared" si="7"/>
        <v>New York</v>
      </c>
      <c r="R3402" s="5" t="str">
        <f t="shared" si="8"/>
        <v>United States</v>
      </c>
    </row>
    <row r="3403">
      <c r="A3403" s="8" t="s">
        <v>3486</v>
      </c>
      <c r="B3403" s="5" t="s">
        <v>3484</v>
      </c>
      <c r="C3403" s="5" t="s">
        <v>25</v>
      </c>
      <c r="D3403" s="6" t="s">
        <v>13</v>
      </c>
      <c r="E3403" s="6" t="s">
        <v>3477</v>
      </c>
      <c r="F3403" s="5" t="s">
        <v>125</v>
      </c>
      <c r="G3403" s="5" t="s">
        <v>3485</v>
      </c>
      <c r="H3403" s="5" t="s">
        <v>137</v>
      </c>
      <c r="I3403" s="5" t="s">
        <v>18</v>
      </c>
      <c r="J3403" s="9" t="str">
        <f>IFERROR(__xludf.DUMMYFUNCTION("""COMPUTED_VALUE"""),"https://www.google.com/search?newwindow=1&amp;ei=2MT0XrvGGM-vytMP1OyDgAY&amp;q=site%3Alinkedin.com+Rachel+Gardinier+University+Relations+Specialist+Viasat+Inc.")</f>
        <v>https://www.google.com/search?newwindow=1&amp;ei=2MT0XrvGGM-vytMP1OyDgAY&amp;q=site%3Alinkedin.com+Rachel+Gardinier+University+Relations+Specialist+Viasat+Inc.</v>
      </c>
      <c r="K3403" s="5" t="str">
        <f t="shared" si="1"/>
        <v>Rachel Gardinier</v>
      </c>
      <c r="L3403" s="5" t="str">
        <f t="shared" si="2"/>
        <v>University Relations Specialist</v>
      </c>
      <c r="M3403" s="5" t="str">
        <f t="shared" si="3"/>
        <v> </v>
      </c>
      <c r="N3403" s="5" t="str">
        <f t="shared" si="4"/>
        <v>Viasat Inc.</v>
      </c>
      <c r="O3403" s="5" t="str">
        <f t="shared" si="5"/>
        <v>1 year 6 months in role</v>
      </c>
      <c r="P3403" s="5" t="str">
        <f t="shared" si="6"/>
        <v>Atlanta</v>
      </c>
      <c r="Q3403" s="5" t="str">
        <f t="shared" si="7"/>
        <v>Georgia</v>
      </c>
      <c r="R3403" s="5" t="str">
        <f t="shared" si="8"/>
        <v>United States</v>
      </c>
    </row>
    <row r="3404">
      <c r="A3404" s="7" t="s">
        <v>3489</v>
      </c>
      <c r="B3404" s="5" t="s">
        <v>3487</v>
      </c>
      <c r="C3404" s="5" t="s">
        <v>25</v>
      </c>
      <c r="D3404" s="6" t="s">
        <v>13</v>
      </c>
      <c r="E3404" s="5" t="s">
        <v>3488</v>
      </c>
      <c r="F3404" s="5" t="s">
        <v>283</v>
      </c>
      <c r="G3404" s="5" t="s">
        <v>635</v>
      </c>
      <c r="H3404" s="5" t="s">
        <v>76</v>
      </c>
      <c r="I3404" s="5" t="s">
        <v>18</v>
      </c>
      <c r="J3404" s="9" t="str">
        <f>IFERROR(__xludf.DUMMYFUNCTION("""COMPUTED_VALUE"""),"https://www.google.com/search?newwindow=1&amp;ei=2MT0XrvGGM-vytMP1OyDgAY&amp;q=site%3Alinkedin.com+Brandon+Lobb+Talent+Acquisition,+University+Recruiter+-+Campus+Specialist+Viasat+Inc.")</f>
        <v>https://www.google.com/search?newwindow=1&amp;ei=2MT0XrvGGM-vytMP1OyDgAY&amp;q=site%3Alinkedin.com+Brandon+Lobb+Talent+Acquisition,+University+Recruiter+-+Campus+Specialist+Viasat+Inc.</v>
      </c>
      <c r="K3404" s="5" t="str">
        <f t="shared" si="1"/>
        <v>Brandon Lobb</v>
      </c>
      <c r="L3404" s="5" t="str">
        <f t="shared" si="2"/>
        <v>Talent Acquisition, University Recruiter - Campus Specialist</v>
      </c>
      <c r="M3404" s="5" t="str">
        <f t="shared" si="3"/>
        <v> </v>
      </c>
      <c r="N3404" s="5" t="str">
        <f t="shared" si="4"/>
        <v>Viasat Inc.</v>
      </c>
      <c r="O3404" s="5" t="str">
        <f t="shared" si="5"/>
        <v>2 years 3 months in role and company</v>
      </c>
      <c r="P3404" s="5" t="str">
        <f t="shared" si="6"/>
        <v>San Diego</v>
      </c>
      <c r="Q3404" s="5" t="str">
        <f t="shared" si="7"/>
        <v>California</v>
      </c>
      <c r="R3404" s="5" t="str">
        <f t="shared" si="8"/>
        <v>United States</v>
      </c>
    </row>
    <row r="3405">
      <c r="A3405" s="7" t="s">
        <v>3491</v>
      </c>
      <c r="B3405" s="5" t="s">
        <v>3490</v>
      </c>
      <c r="C3405" s="5" t="s">
        <v>25</v>
      </c>
      <c r="D3405" s="6" t="s">
        <v>13</v>
      </c>
      <c r="E3405" s="5" t="s">
        <v>3488</v>
      </c>
      <c r="F3405" s="5" t="s">
        <v>727</v>
      </c>
      <c r="G3405" s="5" t="s">
        <v>102</v>
      </c>
      <c r="H3405" s="5" t="s">
        <v>172</v>
      </c>
      <c r="I3405" s="5" t="s">
        <v>18</v>
      </c>
      <c r="J3405" s="9" t="str">
        <f>IFERROR(__xludf.DUMMYFUNCTION("""COMPUTED_VALUE"""),"https://www.google.com/search?newwindow=1&amp;ei=2MT0XrvGGM-vytMP1OyDgAY&amp;q=site%3Alinkedin.com+Emily+Allen+University+Relations+Recruiter+Viasat+Inc.")</f>
        <v>https://www.google.com/search?newwindow=1&amp;ei=2MT0XrvGGM-vytMP1OyDgAY&amp;q=site%3Alinkedin.com+Emily+Allen+University+Relations+Recruiter+Viasat+Inc.</v>
      </c>
      <c r="K3405" s="5" t="str">
        <f t="shared" si="1"/>
        <v>Emily Allen</v>
      </c>
      <c r="L3405" s="5" t="str">
        <f t="shared" si="2"/>
        <v>University Relations Recruiter</v>
      </c>
      <c r="M3405" s="5" t="str">
        <f t="shared" si="3"/>
        <v> </v>
      </c>
      <c r="N3405" s="5" t="str">
        <f t="shared" si="4"/>
        <v>Viasat Inc.</v>
      </c>
      <c r="O3405" s="5" t="str">
        <f t="shared" si="5"/>
        <v>1 year  in role</v>
      </c>
      <c r="P3405" s="5" t="str">
        <f t="shared" si="6"/>
        <v>San Diego County</v>
      </c>
      <c r="Q3405" s="5" t="str">
        <f t="shared" si="7"/>
        <v>California</v>
      </c>
      <c r="R3405" s="5" t="str">
        <f t="shared" si="8"/>
        <v>United States</v>
      </c>
    </row>
    <row r="3406">
      <c r="A3406" s="7" t="s">
        <v>3494</v>
      </c>
      <c r="B3406" s="5" t="s">
        <v>3492</v>
      </c>
      <c r="C3406" s="5" t="s">
        <v>25</v>
      </c>
      <c r="D3406" s="6" t="s">
        <v>13</v>
      </c>
      <c r="E3406" s="5" t="s">
        <v>3488</v>
      </c>
      <c r="F3406" s="5" t="s">
        <v>188</v>
      </c>
      <c r="G3406" s="5" t="s">
        <v>3493</v>
      </c>
      <c r="H3406" s="5" t="s">
        <v>154</v>
      </c>
      <c r="I3406" s="5" t="s">
        <v>18</v>
      </c>
      <c r="J3406" s="9" t="str">
        <f>IFERROR(__xludf.DUMMYFUNCTION("""COMPUTED_VALUE"""),"https://www.google.com/search?newwindow=1&amp;ei=2MT0XrvGGM-vytMP1OyDgAY&amp;q=site%3Alinkedin.com+Christina+Garvey,+CDR+University+Relations,+Recruiter+Visa")</f>
        <v>https://www.google.com/search?newwindow=1&amp;ei=2MT0XrvGGM-vytMP1OyDgAY&amp;q=site%3Alinkedin.com+Christina+Garvey,+CDR+University+Relations,+Recruiter+Visa</v>
      </c>
      <c r="K3406" s="5" t="str">
        <f t="shared" si="1"/>
        <v>Christina Garvey, CDR</v>
      </c>
      <c r="L3406" s="5" t="str">
        <f t="shared" si="2"/>
        <v>University Relations, Recruiter</v>
      </c>
      <c r="M3406" s="5" t="str">
        <f t="shared" si="3"/>
        <v> </v>
      </c>
      <c r="N3406" s="5" t="str">
        <f t="shared" si="4"/>
        <v>Visa</v>
      </c>
      <c r="O3406" s="5" t="str">
        <f t="shared" si="5"/>
        <v>2 months in role</v>
      </c>
      <c r="P3406" s="5" t="str">
        <f t="shared" si="6"/>
        <v>Austin</v>
      </c>
      <c r="Q3406" s="5" t="str">
        <f t="shared" si="7"/>
        <v>Texas</v>
      </c>
      <c r="R3406" s="5" t="str">
        <f t="shared" si="8"/>
        <v>United States</v>
      </c>
    </row>
    <row r="3407">
      <c r="A3407" s="7" t="s">
        <v>3499</v>
      </c>
      <c r="B3407" s="5" t="s">
        <v>3495</v>
      </c>
      <c r="C3407" s="5" t="s">
        <v>3496</v>
      </c>
      <c r="D3407" s="6" t="s">
        <v>13</v>
      </c>
      <c r="E3407" s="5" t="s">
        <v>3497</v>
      </c>
      <c r="F3407" s="5" t="s">
        <v>980</v>
      </c>
      <c r="G3407" s="5" t="s">
        <v>3498</v>
      </c>
      <c r="H3407" s="5" t="s">
        <v>203</v>
      </c>
      <c r="I3407" s="5" t="s">
        <v>18</v>
      </c>
      <c r="J3407" s="9" t="str">
        <f>IFERROR(__xludf.DUMMYFUNCTION("""COMPUTED_VALUE"""),"https://www.google.com/search?newwindow=1&amp;ei=2MT0XrvGGM-vytMP1OyDgAY&amp;q=site%3Alinkedin.com+Casey+Medina+University+Recruiter+Visa")</f>
        <v>https://www.google.com/search?newwindow=1&amp;ei=2MT0XrvGGM-vytMP1OyDgAY&amp;q=site%3Alinkedin.com+Casey+Medina+University+Recruiter+Visa</v>
      </c>
      <c r="K3407" s="5" t="str">
        <f t="shared" si="1"/>
        <v>Casey Medina</v>
      </c>
      <c r="L3407" s="5" t="str">
        <f t="shared" si="2"/>
        <v>University Recruiter</v>
      </c>
      <c r="M3407" s="5" t="str">
        <f t="shared" si="3"/>
        <v> </v>
      </c>
      <c r="N3407" s="5" t="str">
        <f t="shared" si="4"/>
        <v>Visa</v>
      </c>
      <c r="O3407" s="5" t="str">
        <f t="shared" si="5"/>
        <v>3 years 9 months in role and company</v>
      </c>
      <c r="P3407" s="5" t="str">
        <f t="shared" si="6"/>
        <v>Austin</v>
      </c>
      <c r="Q3407" s="5" t="str">
        <f t="shared" si="7"/>
        <v>Texas</v>
      </c>
      <c r="R3407" s="5" t="str">
        <f t="shared" si="8"/>
        <v>United States</v>
      </c>
    </row>
    <row r="3408">
      <c r="A3408" s="8" t="s">
        <v>3501</v>
      </c>
      <c r="B3408" s="5" t="s">
        <v>3500</v>
      </c>
      <c r="C3408" s="5" t="s">
        <v>25</v>
      </c>
      <c r="D3408" s="6" t="s">
        <v>13</v>
      </c>
      <c r="E3408" s="5" t="s">
        <v>3497</v>
      </c>
      <c r="F3408" s="5" t="s">
        <v>63</v>
      </c>
      <c r="G3408" s="5" t="s">
        <v>102</v>
      </c>
      <c r="H3408" s="5" t="s">
        <v>172</v>
      </c>
      <c r="I3408" s="5" t="s">
        <v>18</v>
      </c>
      <c r="J3408" s="9" t="str">
        <f>IFERROR(__xludf.DUMMYFUNCTION("""COMPUTED_VALUE"""),"https://www.google.com/search?newwindow=1&amp;ei=2MT0XrvGGM-vytMP1OyDgAY&amp;q=site%3Alinkedin.com+Emily+Busse+University+Recruiter+Visa")</f>
        <v>https://www.google.com/search?newwindow=1&amp;ei=2MT0XrvGGM-vytMP1OyDgAY&amp;q=site%3Alinkedin.com+Emily+Busse+University+Recruiter+Visa</v>
      </c>
      <c r="K3408" s="5" t="str">
        <f t="shared" si="1"/>
        <v>Emily Busse</v>
      </c>
      <c r="L3408" s="5" t="str">
        <f t="shared" si="2"/>
        <v>University Recruiter</v>
      </c>
      <c r="M3408" s="5" t="str">
        <f t="shared" si="3"/>
        <v> </v>
      </c>
      <c r="N3408" s="5" t="str">
        <f t="shared" si="4"/>
        <v>Visa</v>
      </c>
      <c r="O3408" s="5" t="str">
        <f t="shared" si="5"/>
        <v>1 year 4 months in role and company</v>
      </c>
      <c r="P3408" s="5" t="str">
        <f t="shared" si="6"/>
        <v>Austin</v>
      </c>
      <c r="Q3408" s="5" t="str">
        <f t="shared" si="7"/>
        <v>Texas</v>
      </c>
      <c r="R3408" s="5" t="str">
        <f t="shared" si="8"/>
        <v>United States</v>
      </c>
    </row>
    <row r="3409">
      <c r="A3409" s="7" t="s">
        <v>3504</v>
      </c>
      <c r="B3409" s="5" t="s">
        <v>3502</v>
      </c>
      <c r="C3409" s="5" t="s">
        <v>404</v>
      </c>
      <c r="D3409" s="6" t="s">
        <v>13</v>
      </c>
      <c r="E3409" s="5" t="s">
        <v>3497</v>
      </c>
      <c r="F3409" s="5" t="s">
        <v>56</v>
      </c>
      <c r="G3409" s="5" t="s">
        <v>3503</v>
      </c>
      <c r="H3409" s="5" t="s">
        <v>203</v>
      </c>
      <c r="I3409" s="5" t="s">
        <v>18</v>
      </c>
      <c r="J3409" s="9" t="str">
        <f>IFERROR(__xludf.DUMMYFUNCTION("""COMPUTED_VALUE"""),"https://www.google.com/search?newwindow=1&amp;ei=2MT0XrvGGM-vytMP1OyDgAY&amp;q=site%3Alinkedin.com+Menelik+Bekele+Technical+University+Recruiter+Visa")</f>
        <v>https://www.google.com/search?newwindow=1&amp;ei=2MT0XrvGGM-vytMP1OyDgAY&amp;q=site%3Alinkedin.com+Menelik+Bekele+Technical+University+Recruiter+Visa</v>
      </c>
      <c r="K3409" s="5" t="str">
        <f t="shared" si="1"/>
        <v>Menelik Bekele</v>
      </c>
      <c r="L3409" s="5" t="str">
        <f t="shared" si="2"/>
        <v>Technical University Recruiter</v>
      </c>
      <c r="M3409" s="5" t="str">
        <f t="shared" si="3"/>
        <v> </v>
      </c>
      <c r="N3409" s="5" t="str">
        <f t="shared" si="4"/>
        <v>Visa</v>
      </c>
      <c r="O3409" s="5" t="str">
        <f t="shared" si="5"/>
        <v>1 year  in role and company</v>
      </c>
      <c r="P3409" s="5" t="str">
        <f t="shared" si="6"/>
        <v>Bellevue</v>
      </c>
      <c r="Q3409" s="5" t="str">
        <f t="shared" si="7"/>
        <v>Washington</v>
      </c>
      <c r="R3409" s="5" t="str">
        <f t="shared" si="8"/>
        <v>United States</v>
      </c>
    </row>
    <row r="3410">
      <c r="A3410" s="7" t="s">
        <v>3506</v>
      </c>
      <c r="B3410" s="5" t="s">
        <v>3505</v>
      </c>
      <c r="C3410" s="5" t="s">
        <v>404</v>
      </c>
      <c r="D3410" s="6" t="s">
        <v>13</v>
      </c>
      <c r="E3410" s="5" t="s">
        <v>3497</v>
      </c>
      <c r="F3410" s="5" t="s">
        <v>716</v>
      </c>
      <c r="G3410" s="5" t="s">
        <v>1437</v>
      </c>
      <c r="H3410" s="5" t="s">
        <v>203</v>
      </c>
      <c r="I3410" s="5" t="s">
        <v>18</v>
      </c>
      <c r="J3410" s="9" t="str">
        <f>IFERROR(__xludf.DUMMYFUNCTION("""COMPUTED_VALUE"""),"https://www.google.com/search?newwindow=1&amp;ei=2MT0XrvGGM-vytMP1OyDgAY&amp;q=site%3Alinkedin.com+Grace+Wu+Technical+University+Recruiter+Visa")</f>
        <v>https://www.google.com/search?newwindow=1&amp;ei=2MT0XrvGGM-vytMP1OyDgAY&amp;q=site%3Alinkedin.com+Grace+Wu+Technical+University+Recruiter+Visa</v>
      </c>
      <c r="K3410" s="5" t="str">
        <f t="shared" si="1"/>
        <v>Grace Wu</v>
      </c>
      <c r="L3410" s="5" t="str">
        <f t="shared" si="2"/>
        <v>Technical University Recruiter</v>
      </c>
      <c r="M3410" s="5" t="str">
        <f t="shared" si="3"/>
        <v> </v>
      </c>
      <c r="N3410" s="5" t="str">
        <f t="shared" si="4"/>
        <v>Visa</v>
      </c>
      <c r="O3410" s="5" t="str">
        <f t="shared" si="5"/>
        <v>1 year 10 months in role and company</v>
      </c>
      <c r="P3410" s="5" t="str">
        <f t="shared" si="6"/>
        <v>San Francisco</v>
      </c>
      <c r="Q3410" s="5" t="str">
        <f t="shared" si="7"/>
        <v>California</v>
      </c>
      <c r="R3410" s="5" t="str">
        <f t="shared" si="8"/>
        <v>United States</v>
      </c>
    </row>
    <row r="3411">
      <c r="A3411" s="7" t="s">
        <v>3508</v>
      </c>
      <c r="B3411" s="5" t="s">
        <v>3507</v>
      </c>
      <c r="C3411" s="5" t="s">
        <v>480</v>
      </c>
      <c r="D3411" s="6" t="s">
        <v>13</v>
      </c>
      <c r="E3411" s="5" t="s">
        <v>3497</v>
      </c>
      <c r="F3411" s="5" t="s">
        <v>1244</v>
      </c>
      <c r="G3411" s="5" t="s">
        <v>1867</v>
      </c>
      <c r="H3411" s="5" t="s">
        <v>44</v>
      </c>
      <c r="I3411" s="5" t="s">
        <v>18</v>
      </c>
      <c r="J3411" s="9" t="str">
        <f>IFERROR(__xludf.DUMMYFUNCTION("""COMPUTED_VALUE"""),"https://www.google.com/search?newwindow=1&amp;ei=2MT0XrvGGM-vytMP1OyDgAY&amp;q=site%3Alinkedin.com+Mackenzie+Fuller+Straume+University+Recruiter+Visa")</f>
        <v>https://www.google.com/search?newwindow=1&amp;ei=2MT0XrvGGM-vytMP1OyDgAY&amp;q=site%3Alinkedin.com+Mackenzie+Fuller+Straume+University+Recruiter+Visa</v>
      </c>
      <c r="K3411" s="5" t="str">
        <f t="shared" si="1"/>
        <v>Mackenzie Fuller Straume</v>
      </c>
      <c r="L3411" s="5" t="str">
        <f t="shared" si="2"/>
        <v>University Recruiter</v>
      </c>
      <c r="M3411" s="5" t="str">
        <f t="shared" si="3"/>
        <v> </v>
      </c>
      <c r="N3411" s="5" t="str">
        <f t="shared" si="4"/>
        <v>Visa</v>
      </c>
      <c r="O3411" s="5" t="str">
        <f t="shared" si="5"/>
        <v>1 year  in role and company</v>
      </c>
      <c r="P3411" s="5" t="str">
        <f t="shared" si="6"/>
        <v>Seattle</v>
      </c>
      <c r="Q3411" s="5" t="str">
        <f t="shared" si="7"/>
        <v>Washington</v>
      </c>
      <c r="R3411" s="5" t="str">
        <f t="shared" si="8"/>
        <v>United States</v>
      </c>
    </row>
    <row r="3412">
      <c r="A3412" s="7" t="s">
        <v>3511</v>
      </c>
      <c r="B3412" s="5" t="s">
        <v>3509</v>
      </c>
      <c r="C3412" s="5" t="s">
        <v>800</v>
      </c>
      <c r="D3412" s="6" t="s">
        <v>13</v>
      </c>
      <c r="E3412" s="5" t="s">
        <v>3510</v>
      </c>
      <c r="F3412" s="5" t="s">
        <v>237</v>
      </c>
      <c r="G3412" s="5" t="s">
        <v>37</v>
      </c>
      <c r="H3412" s="5" t="s">
        <v>38</v>
      </c>
      <c r="I3412" s="5" t="s">
        <v>18</v>
      </c>
      <c r="J3412" s="9" t="str">
        <f>IFERROR(__xludf.DUMMYFUNCTION("""COMPUTED_VALUE"""),"https://www.google.com/search?newwindow=1&amp;ei=2MT0XrvGGM-vytMP1OyDgAY&amp;q=site%3Alinkedin.com+Melissa+Mickleboro+Talent+Acquisition+Manager,+University+Talent+VMware")</f>
        <v>https://www.google.com/search?newwindow=1&amp;ei=2MT0XrvGGM-vytMP1OyDgAY&amp;q=site%3Alinkedin.com+Melissa+Mickleboro+Talent+Acquisition+Manager,+University+Talent+VMware</v>
      </c>
      <c r="K3412" s="5" t="str">
        <f t="shared" si="1"/>
        <v>Melissa Mickleboro</v>
      </c>
      <c r="L3412" s="5" t="str">
        <f t="shared" si="2"/>
        <v>Talent Acquisition Manager, University Talent</v>
      </c>
      <c r="M3412" s="5" t="str">
        <f t="shared" si="3"/>
        <v> </v>
      </c>
      <c r="N3412" s="5" t="str">
        <f t="shared" si="4"/>
        <v>VMware</v>
      </c>
      <c r="O3412" s="5" t="str">
        <f t="shared" si="5"/>
        <v>6 months in role</v>
      </c>
      <c r="P3412" s="5" t="str">
        <f t="shared" si="6"/>
        <v>Atlanta</v>
      </c>
      <c r="Q3412" s="5" t="str">
        <f t="shared" si="7"/>
        <v>Georgia</v>
      </c>
      <c r="R3412" s="5" t="str">
        <f t="shared" si="8"/>
        <v>United States</v>
      </c>
    </row>
    <row r="3413">
      <c r="A3413" s="7" t="s">
        <v>3513</v>
      </c>
      <c r="B3413" s="5" t="s">
        <v>3512</v>
      </c>
      <c r="C3413" s="5" t="s">
        <v>110</v>
      </c>
      <c r="D3413" s="6" t="s">
        <v>13</v>
      </c>
      <c r="E3413" s="5" t="s">
        <v>3510</v>
      </c>
      <c r="F3413" s="5" t="s">
        <v>2035</v>
      </c>
      <c r="G3413" s="5" t="s">
        <v>433</v>
      </c>
      <c r="H3413" s="5" t="s">
        <v>44</v>
      </c>
      <c r="I3413" s="5" t="s">
        <v>18</v>
      </c>
      <c r="J3413" s="9" t="str">
        <f>IFERROR(__xludf.DUMMYFUNCTION("""COMPUTED_VALUE"""),"https://www.google.com/search?newwindow=1&amp;ei=2MT0XrvGGM-vytMP1OyDgAY&amp;q=site%3Alinkedin.com+Kristen+Taylor+University+Recruiter+VMware")</f>
        <v>https://www.google.com/search?newwindow=1&amp;ei=2MT0XrvGGM-vytMP1OyDgAY&amp;q=site%3Alinkedin.com+Kristen+Taylor+University+Recruiter+VMware</v>
      </c>
      <c r="K3413" s="5" t="str">
        <f t="shared" si="1"/>
        <v>Kristen Taylor</v>
      </c>
      <c r="L3413" s="5" t="str">
        <f t="shared" si="2"/>
        <v>University Recruiter</v>
      </c>
      <c r="M3413" s="5" t="str">
        <f t="shared" si="3"/>
        <v> </v>
      </c>
      <c r="N3413" s="5" t="str">
        <f t="shared" si="4"/>
        <v>VMware</v>
      </c>
      <c r="O3413" s="5" t="str">
        <f t="shared" si="5"/>
        <v>2 years 4 months in role</v>
      </c>
      <c r="P3413" s="5" t="str">
        <f t="shared" si="6"/>
        <v>Austin</v>
      </c>
      <c r="Q3413" s="5" t="str">
        <f t="shared" si="7"/>
        <v>Texas</v>
      </c>
      <c r="R3413" s="5" t="str">
        <f t="shared" si="8"/>
        <v>United States</v>
      </c>
    </row>
    <row r="3414">
      <c r="A3414" s="7" t="s">
        <v>3515</v>
      </c>
      <c r="B3414" s="5" t="s">
        <v>3514</v>
      </c>
      <c r="C3414" s="5" t="s">
        <v>371</v>
      </c>
      <c r="D3414" s="6" t="s">
        <v>13</v>
      </c>
      <c r="E3414" s="5" t="s">
        <v>3510</v>
      </c>
      <c r="F3414" s="5" t="s">
        <v>233</v>
      </c>
      <c r="G3414" s="5" t="s">
        <v>166</v>
      </c>
      <c r="H3414" s="5" t="s">
        <v>44</v>
      </c>
      <c r="I3414" s="5" t="s">
        <v>18</v>
      </c>
      <c r="J3414" s="9" t="str">
        <f>IFERROR(__xludf.DUMMYFUNCTION("""COMPUTED_VALUE"""),"https://www.google.com/search?newwindow=1&amp;ei=2MT0XrvGGM-vytMP1OyDgAY&amp;q=site%3Alinkedin.com+Jessica+Hoyt+University+Recruiter+VMware")</f>
        <v>https://www.google.com/search?newwindow=1&amp;ei=2MT0XrvGGM-vytMP1OyDgAY&amp;q=site%3Alinkedin.com+Jessica+Hoyt+University+Recruiter+VMware</v>
      </c>
      <c r="K3414" s="5" t="str">
        <f t="shared" si="1"/>
        <v>Jessica Hoyt</v>
      </c>
      <c r="L3414" s="5" t="str">
        <f t="shared" si="2"/>
        <v>University Recruiter</v>
      </c>
      <c r="M3414" s="5" t="str">
        <f t="shared" si="3"/>
        <v> </v>
      </c>
      <c r="N3414" s="5" t="str">
        <f t="shared" si="4"/>
        <v>VMware</v>
      </c>
      <c r="O3414" s="5" t="str">
        <f t="shared" si="5"/>
        <v>1 month in role and company</v>
      </c>
      <c r="P3414" s="5" t="str">
        <f t="shared" si="6"/>
        <v>Boston</v>
      </c>
      <c r="Q3414" s="5" t="str">
        <f t="shared" si="7"/>
        <v>Massachusetts</v>
      </c>
      <c r="R3414" s="5" t="str">
        <f t="shared" si="8"/>
        <v>United States</v>
      </c>
    </row>
    <row r="3415">
      <c r="A3415" s="7" t="s">
        <v>3517</v>
      </c>
      <c r="B3415" s="5" t="s">
        <v>3516</v>
      </c>
      <c r="C3415" s="5" t="s">
        <v>110</v>
      </c>
      <c r="D3415" s="6" t="s">
        <v>13</v>
      </c>
      <c r="E3415" s="5" t="s">
        <v>3510</v>
      </c>
      <c r="F3415" s="5" t="s">
        <v>257</v>
      </c>
      <c r="G3415" s="5" t="s">
        <v>166</v>
      </c>
      <c r="H3415" s="5" t="s">
        <v>44</v>
      </c>
      <c r="I3415" s="5" t="s">
        <v>18</v>
      </c>
      <c r="J3415" s="9" t="str">
        <f>IFERROR(__xludf.DUMMYFUNCTION("""COMPUTED_VALUE"""),"https://www.google.com/search?newwindow=1&amp;ei=2MT0XrvGGM-vytMP1OyDgAY&amp;q=site%3Alinkedin.com+Daniel+Kim+Sr.+Technical+University+Recruiter+VMware")</f>
        <v>https://www.google.com/search?newwindow=1&amp;ei=2MT0XrvGGM-vytMP1OyDgAY&amp;q=site%3Alinkedin.com+Daniel+Kim+Sr.+Technical+University+Recruiter+VMware</v>
      </c>
      <c r="K3415" s="5" t="str">
        <f t="shared" si="1"/>
        <v>Daniel Kim</v>
      </c>
      <c r="L3415" s="5" t="str">
        <f t="shared" si="2"/>
        <v>Sr. Technical University Recruiter</v>
      </c>
      <c r="M3415" s="5" t="str">
        <f t="shared" si="3"/>
        <v> </v>
      </c>
      <c r="N3415" s="5" t="str">
        <f t="shared" si="4"/>
        <v>VMware</v>
      </c>
      <c r="O3415" s="5" t="str">
        <f t="shared" si="5"/>
        <v>3 years 3 months in role and company</v>
      </c>
      <c r="P3415" s="5" t="str">
        <f t="shared" si="6"/>
        <v>Daly City</v>
      </c>
      <c r="Q3415" s="5" t="str">
        <f t="shared" si="7"/>
        <v>California</v>
      </c>
      <c r="R3415" s="5" t="str">
        <f t="shared" si="8"/>
        <v>United States</v>
      </c>
    </row>
    <row r="3416">
      <c r="A3416" s="7" t="s">
        <v>3519</v>
      </c>
      <c r="B3416" s="5" t="s">
        <v>3518</v>
      </c>
      <c r="C3416" s="5" t="s">
        <v>110</v>
      </c>
      <c r="D3416" s="6" t="s">
        <v>13</v>
      </c>
      <c r="E3416" s="5" t="s">
        <v>3510</v>
      </c>
      <c r="F3416" s="5" t="s">
        <v>165</v>
      </c>
      <c r="G3416" s="5" t="s">
        <v>166</v>
      </c>
      <c r="H3416" s="5" t="s">
        <v>44</v>
      </c>
      <c r="I3416" s="5" t="s">
        <v>18</v>
      </c>
      <c r="J3416" s="9" t="str">
        <f>IFERROR(__xludf.DUMMYFUNCTION("""COMPUTED_VALUE"""),"https://www.google.com/search?newwindow=1&amp;ei=2MT0XrvGGM-vytMP1OyDgAY&amp;q=site%3Alinkedin.com+Cam+Bowman+Campus+Recruiter+VMware")</f>
        <v>https://www.google.com/search?newwindow=1&amp;ei=2MT0XrvGGM-vytMP1OyDgAY&amp;q=site%3Alinkedin.com+Cam+Bowman+Campus+Recruiter+VMware</v>
      </c>
      <c r="K3416" s="5" t="str">
        <f t="shared" si="1"/>
        <v>Cam Bowman</v>
      </c>
      <c r="L3416" s="5" t="str">
        <f t="shared" si="2"/>
        <v>Campus Recruiter</v>
      </c>
      <c r="M3416" s="5" t="str">
        <f t="shared" si="3"/>
        <v> </v>
      </c>
      <c r="N3416" s="5" t="str">
        <f t="shared" si="4"/>
        <v>VMware</v>
      </c>
      <c r="O3416" s="5" t="str">
        <f t="shared" si="5"/>
        <v/>
      </c>
      <c r="P3416" s="5" t="str">
        <f t="shared" si="6"/>
        <v>Menlo Park</v>
      </c>
      <c r="Q3416" s="5" t="str">
        <f t="shared" si="7"/>
        <v>California</v>
      </c>
      <c r="R3416" s="5" t="str">
        <f t="shared" si="8"/>
        <v>United States</v>
      </c>
    </row>
    <row r="3417">
      <c r="A3417" s="7" t="s">
        <v>3521</v>
      </c>
      <c r="B3417" s="5" t="s">
        <v>3520</v>
      </c>
      <c r="C3417" s="5" t="s">
        <v>800</v>
      </c>
      <c r="D3417" s="6" t="s">
        <v>13</v>
      </c>
      <c r="E3417" s="5" t="s">
        <v>3510</v>
      </c>
      <c r="F3417" s="5" t="s">
        <v>472</v>
      </c>
      <c r="G3417" s="5" t="s">
        <v>166</v>
      </c>
      <c r="H3417" s="5" t="s">
        <v>44</v>
      </c>
      <c r="I3417" s="5" t="s">
        <v>18</v>
      </c>
      <c r="J3417" s="9" t="str">
        <f>IFERROR(__xludf.DUMMYFUNCTION("""COMPUTED_VALUE"""),"https://www.google.com/search?newwindow=1&amp;ei=2MT0XrvGGM-vytMP1OyDgAY&amp;q=site%3Alinkedin.com+Andrew+Kim+University+Recruiter+VMware")</f>
        <v>https://www.google.com/search?newwindow=1&amp;ei=2MT0XrvGGM-vytMP1OyDgAY&amp;q=site%3Alinkedin.com+Andrew+Kim+University+Recruiter+VMware</v>
      </c>
      <c r="K3417" s="5" t="str">
        <f t="shared" si="1"/>
        <v>Andrew Kim</v>
      </c>
      <c r="L3417" s="5" t="str">
        <f t="shared" si="2"/>
        <v>University Recruiter</v>
      </c>
      <c r="M3417" s="5" t="str">
        <f t="shared" si="3"/>
        <v> </v>
      </c>
      <c r="N3417" s="5" t="str">
        <f t="shared" si="4"/>
        <v>VMware</v>
      </c>
      <c r="O3417" s="5" t="str">
        <f t="shared" si="5"/>
        <v>5 years 2 months in role and company</v>
      </c>
      <c r="P3417" s="5" t="str">
        <f t="shared" si="6"/>
        <v>Palo Alto</v>
      </c>
      <c r="Q3417" s="5" t="str">
        <f t="shared" si="7"/>
        <v>California</v>
      </c>
      <c r="R3417" s="5" t="str">
        <f t="shared" si="8"/>
        <v>United States</v>
      </c>
    </row>
    <row r="3418">
      <c r="A3418" s="7" t="s">
        <v>3523</v>
      </c>
      <c r="B3418" s="5" t="s">
        <v>3522</v>
      </c>
      <c r="C3418" s="5" t="s">
        <v>110</v>
      </c>
      <c r="D3418" s="6" t="s">
        <v>13</v>
      </c>
      <c r="E3418" s="5" t="s">
        <v>3510</v>
      </c>
      <c r="F3418" s="5" t="s">
        <v>339</v>
      </c>
      <c r="G3418" s="5" t="s">
        <v>169</v>
      </c>
      <c r="H3418" s="5" t="s">
        <v>44</v>
      </c>
      <c r="I3418" s="5" t="s">
        <v>18</v>
      </c>
      <c r="J3418" s="9" t="str">
        <f>IFERROR(__xludf.DUMMYFUNCTION("""COMPUTED_VALUE"""),"https://www.google.com/search?newwindow=1&amp;ei=2MT0XrvGGM-vytMP1OyDgAY&amp;q=site%3Alinkedin.com+Stephanie+Ruiz-Schlesinger+Senior+Recruiter+VMware")</f>
        <v>https://www.google.com/search?newwindow=1&amp;ei=2MT0XrvGGM-vytMP1OyDgAY&amp;q=site%3Alinkedin.com+Stephanie+Ruiz-Schlesinger+Senior+Recruiter+VMware</v>
      </c>
      <c r="K3418" s="5" t="str">
        <f t="shared" si="1"/>
        <v>Stephanie Ruiz-Schlesinger</v>
      </c>
      <c r="L3418" s="5" t="str">
        <f t="shared" si="2"/>
        <v>Senior Recruiter</v>
      </c>
      <c r="M3418" s="5" t="str">
        <f t="shared" si="3"/>
        <v> </v>
      </c>
      <c r="N3418" s="5" t="str">
        <f t="shared" si="4"/>
        <v>VMware</v>
      </c>
      <c r="O3418" s="5" t="str">
        <f t="shared" si="5"/>
        <v>5 months in role</v>
      </c>
      <c r="P3418" s="5" t="str">
        <f t="shared" si="6"/>
        <v>San Antonio</v>
      </c>
      <c r="Q3418" s="5" t="str">
        <f t="shared" si="7"/>
        <v>Texas</v>
      </c>
      <c r="R3418" s="5" t="str">
        <f t="shared" si="8"/>
        <v>United States</v>
      </c>
    </row>
    <row r="3419">
      <c r="A3419" s="8" t="s">
        <v>3526</v>
      </c>
      <c r="B3419" s="5" t="s">
        <v>3524</v>
      </c>
      <c r="C3419" s="5" t="s">
        <v>3525</v>
      </c>
      <c r="D3419" s="6" t="s">
        <v>13</v>
      </c>
      <c r="E3419" s="5" t="s">
        <v>3510</v>
      </c>
      <c r="F3419" s="5" t="s">
        <v>585</v>
      </c>
      <c r="G3419" s="5" t="s">
        <v>169</v>
      </c>
      <c r="H3419" s="5" t="s">
        <v>44</v>
      </c>
      <c r="I3419" s="5" t="s">
        <v>18</v>
      </c>
      <c r="J3419" s="9" t="str">
        <f>IFERROR(__xludf.DUMMYFUNCTION("""COMPUTED_VALUE"""),"https://www.google.com/search?newwindow=1&amp;ei=2MT0XrvGGM-vytMP1OyDgAY&amp;q=site%3Alinkedin.com+Brooke+Bricker+University+Talent+Senior+Recruiter+VMware")</f>
        <v>https://www.google.com/search?newwindow=1&amp;ei=2MT0XrvGGM-vytMP1OyDgAY&amp;q=site%3Alinkedin.com+Brooke+Bricker+University+Talent+Senior+Recruiter+VMware</v>
      </c>
      <c r="K3419" s="5" t="str">
        <f t="shared" si="1"/>
        <v>Brooke Bricker</v>
      </c>
      <c r="L3419" s="5" t="str">
        <f t="shared" si="2"/>
        <v>University Talent Senior Recruiter</v>
      </c>
      <c r="M3419" s="5" t="str">
        <f t="shared" si="3"/>
        <v> </v>
      </c>
      <c r="N3419" s="5" t="str">
        <f t="shared" si="4"/>
        <v>VMware</v>
      </c>
      <c r="O3419" s="5" t="str">
        <f t="shared" si="5"/>
        <v>2 months in role and company</v>
      </c>
      <c r="P3419" s="5" t="str">
        <f t="shared" si="6"/>
        <v>St Louis</v>
      </c>
      <c r="Q3419" s="5" t="str">
        <f t="shared" si="7"/>
        <v>Missouri</v>
      </c>
      <c r="R3419" s="5" t="str">
        <f t="shared" si="8"/>
        <v>United States</v>
      </c>
    </row>
    <row r="3420">
      <c r="A3420" s="8" t="s">
        <v>3529</v>
      </c>
      <c r="B3420" s="5" t="s">
        <v>3527</v>
      </c>
      <c r="C3420" s="5" t="s">
        <v>3528</v>
      </c>
      <c r="D3420" s="6" t="s">
        <v>13</v>
      </c>
      <c r="E3420" s="5" t="s">
        <v>3510</v>
      </c>
      <c r="F3420" s="5" t="s">
        <v>144</v>
      </c>
      <c r="G3420" s="5" t="s">
        <v>169</v>
      </c>
      <c r="H3420" s="5" t="s">
        <v>44</v>
      </c>
      <c r="I3420" s="5" t="s">
        <v>18</v>
      </c>
      <c r="J3420" s="9" t="str">
        <f>IFERROR(__xludf.DUMMYFUNCTION("""COMPUTED_VALUE"""),"https://www.google.com/search?newwindow=1&amp;ei=2MT0XrvGGM-vytMP1OyDgAY&amp;q=site%3Alinkedin.com+Renee+MacCabe+Campus+Relations+Recruiter+Wal-Mart")</f>
        <v>https://www.google.com/search?newwindow=1&amp;ei=2MT0XrvGGM-vytMP1OyDgAY&amp;q=site%3Alinkedin.com+Renee+MacCabe+Campus+Relations+Recruiter+Wal-Mart</v>
      </c>
      <c r="K3420" s="5" t="str">
        <f t="shared" si="1"/>
        <v>Renee MacCabe</v>
      </c>
      <c r="L3420" s="5" t="str">
        <f t="shared" si="2"/>
        <v>Campus Relations Recruiter</v>
      </c>
      <c r="M3420" s="5" t="str">
        <f t="shared" si="3"/>
        <v> </v>
      </c>
      <c r="N3420" s="5" t="str">
        <f t="shared" si="4"/>
        <v>Walmart</v>
      </c>
      <c r="O3420" s="5" t="str">
        <f t="shared" si="5"/>
        <v>12 years 6 months in role</v>
      </c>
      <c r="P3420" s="5" t="str">
        <f t="shared" si="6"/>
        <v>Bentonville</v>
      </c>
      <c r="Q3420" s="5" t="str">
        <f t="shared" si="7"/>
        <v>Arkansas</v>
      </c>
      <c r="R3420" s="5" t="str">
        <f t="shared" si="8"/>
        <v>United States</v>
      </c>
    </row>
    <row r="3421">
      <c r="A3421" s="7" t="s">
        <v>3531</v>
      </c>
      <c r="B3421" s="5" t="s">
        <v>3530</v>
      </c>
      <c r="C3421" s="5" t="s">
        <v>110</v>
      </c>
      <c r="D3421" s="6" t="s">
        <v>13</v>
      </c>
      <c r="E3421" s="5" t="s">
        <v>3510</v>
      </c>
      <c r="F3421" s="5" t="s">
        <v>1123</v>
      </c>
      <c r="G3421" s="5" t="s">
        <v>2047</v>
      </c>
      <c r="H3421" s="5" t="s">
        <v>44</v>
      </c>
      <c r="I3421" s="5" t="s">
        <v>18</v>
      </c>
      <c r="J3421" s="9" t="str">
        <f>IFERROR(__xludf.DUMMYFUNCTION("""COMPUTED_VALUE"""),"https://www.google.com/search?newwindow=1&amp;ei=2MT0XrvGGM-vytMP1OyDgAY&amp;q=site%3Alinkedin.com+Jason+Hudson+Campus+Recruiter+Wal-Mart+Stores,+Inc.")</f>
        <v>https://www.google.com/search?newwindow=1&amp;ei=2MT0XrvGGM-vytMP1OyDgAY&amp;q=site%3Alinkedin.com+Jason+Hudson+Campus+Recruiter+Wal-Mart+Stores,+Inc.</v>
      </c>
      <c r="K3421" s="5" t="str">
        <f t="shared" si="1"/>
        <v>Jason Hudson</v>
      </c>
      <c r="L3421" s="5" t="str">
        <f t="shared" si="2"/>
        <v>Campus Recruiter</v>
      </c>
      <c r="M3421" s="5" t="str">
        <f t="shared" si="3"/>
        <v> </v>
      </c>
      <c r="N3421" s="5" t="str">
        <f t="shared" si="4"/>
        <v>Walmart</v>
      </c>
      <c r="O3421" s="5" t="str">
        <f t="shared" si="5"/>
        <v>16 years 8 months in role and company</v>
      </c>
      <c r="P3421" s="5" t="str">
        <f t="shared" si="6"/>
        <v>Springdale</v>
      </c>
      <c r="Q3421" s="5" t="str">
        <f t="shared" si="7"/>
        <v>Arkansas</v>
      </c>
      <c r="R3421" s="5" t="str">
        <f t="shared" si="8"/>
        <v>United States</v>
      </c>
    </row>
    <row r="3422">
      <c r="A3422" s="7" t="s">
        <v>3533</v>
      </c>
      <c r="B3422" s="5" t="s">
        <v>3532</v>
      </c>
      <c r="C3422" s="5" t="s">
        <v>110</v>
      </c>
      <c r="D3422" s="6" t="s">
        <v>13</v>
      </c>
      <c r="E3422" s="5" t="s">
        <v>3510</v>
      </c>
      <c r="F3422" s="5" t="s">
        <v>131</v>
      </c>
      <c r="G3422" s="5" t="s">
        <v>2047</v>
      </c>
      <c r="H3422" s="5" t="s">
        <v>44</v>
      </c>
      <c r="I3422" s="5" t="s">
        <v>18</v>
      </c>
      <c r="J3422" s="9" t="str">
        <f>IFERROR(__xludf.DUMMYFUNCTION("""COMPUTED_VALUE"""),"https://www.google.com/search?newwindow=1&amp;ei=2MT0XrvGGM-vytMP1OyDgAY&amp;q=site%3Alinkedin.com+Diane+Cook,+PMP+Project+Manager+II,+Campus+Recruiting+Walmart")</f>
        <v>https://www.google.com/search?newwindow=1&amp;ei=2MT0XrvGGM-vytMP1OyDgAY&amp;q=site%3Alinkedin.com+Diane+Cook,+PMP+Project+Manager+II,+Campus+Recruiting+Walmart</v>
      </c>
      <c r="K3422" s="5" t="str">
        <f t="shared" si="1"/>
        <v>Diane Cook, PMP</v>
      </c>
      <c r="L3422" s="5" t="str">
        <f t="shared" si="2"/>
        <v>Project Manager II, Campus Recruiting</v>
      </c>
      <c r="M3422" s="5" t="str">
        <f t="shared" si="3"/>
        <v> </v>
      </c>
      <c r="N3422" s="5" t="str">
        <f t="shared" si="4"/>
        <v>Walmart</v>
      </c>
      <c r="O3422" s="5" t="str">
        <f t="shared" si="5"/>
        <v>2 years 9 months in role</v>
      </c>
      <c r="P3422" s="5" t="str">
        <f t="shared" si="6"/>
        <v>Bentonville</v>
      </c>
      <c r="Q3422" s="5" t="str">
        <f t="shared" si="7"/>
        <v>Arkansas</v>
      </c>
      <c r="R3422" s="5" t="str">
        <f t="shared" si="8"/>
        <v>United States</v>
      </c>
    </row>
    <row r="3423">
      <c r="A3423" s="7" t="s">
        <v>3536</v>
      </c>
      <c r="B3423" s="5" t="s">
        <v>3534</v>
      </c>
      <c r="C3423" s="5" t="s">
        <v>3535</v>
      </c>
      <c r="D3423" s="6" t="s">
        <v>13</v>
      </c>
      <c r="E3423" s="5" t="s">
        <v>3510</v>
      </c>
      <c r="F3423" s="5" t="s">
        <v>354</v>
      </c>
      <c r="G3423" s="5" t="s">
        <v>2047</v>
      </c>
      <c r="H3423" s="5" t="s">
        <v>44</v>
      </c>
      <c r="I3423" s="5" t="s">
        <v>18</v>
      </c>
      <c r="J3423" s="9" t="str">
        <f>IFERROR(__xludf.DUMMYFUNCTION("""COMPUTED_VALUE"""),"https://www.google.com/search?newwindow=1&amp;ei=2MT0XrvGGM-vytMP1OyDgAY&amp;q=site%3Alinkedin.com+Monica+Hutchinson+Campus+Recruiter+Walmart")</f>
        <v>https://www.google.com/search?newwindow=1&amp;ei=2MT0XrvGGM-vytMP1OyDgAY&amp;q=site%3Alinkedin.com+Monica+Hutchinson+Campus+Recruiter+Walmart</v>
      </c>
      <c r="K3423" s="5" t="str">
        <f t="shared" si="1"/>
        <v>Monica Hutchinson</v>
      </c>
      <c r="L3423" s="5" t="str">
        <f t="shared" si="2"/>
        <v>Campus Recruiter</v>
      </c>
      <c r="M3423" s="5" t="str">
        <f t="shared" si="3"/>
        <v> </v>
      </c>
      <c r="N3423" s="5" t="str">
        <f t="shared" si="4"/>
        <v>Walmart</v>
      </c>
      <c r="O3423" s="5" t="str">
        <f t="shared" si="5"/>
        <v>2 years 5 months in role and company</v>
      </c>
      <c r="P3423" s="5" t="str">
        <f t="shared" si="6"/>
        <v>Bentonville</v>
      </c>
      <c r="Q3423" s="5" t="str">
        <f t="shared" si="7"/>
        <v>Arkansas</v>
      </c>
      <c r="R3423" s="5" t="str">
        <f t="shared" si="8"/>
        <v>United States</v>
      </c>
    </row>
    <row r="3424">
      <c r="A3424" s="7" t="s">
        <v>3538</v>
      </c>
      <c r="B3424" s="5" t="s">
        <v>3537</v>
      </c>
      <c r="C3424" s="5" t="s">
        <v>110</v>
      </c>
      <c r="D3424" s="6" t="s">
        <v>13</v>
      </c>
      <c r="E3424" s="5" t="s">
        <v>3510</v>
      </c>
      <c r="G3424" s="5" t="s">
        <v>2047</v>
      </c>
      <c r="H3424" s="5" t="s">
        <v>44</v>
      </c>
      <c r="I3424" s="5" t="s">
        <v>18</v>
      </c>
      <c r="J3424" s="9" t="str">
        <f>IFERROR(__xludf.DUMMYFUNCTION("""COMPUTED_VALUE"""),"https://www.google.com/search?newwindow=1&amp;ei=2MT0XrvGGM-vytMP1OyDgAY&amp;q=site%3Alinkedin.com+Kristin+McCarter+Campus+Recruiter+Walmart")</f>
        <v>https://www.google.com/search?newwindow=1&amp;ei=2MT0XrvGGM-vytMP1OyDgAY&amp;q=site%3Alinkedin.com+Kristin+McCarter+Campus+Recruiter+Walmart</v>
      </c>
      <c r="K3424" s="5" t="str">
        <f t="shared" si="1"/>
        <v>Kristin McCarter</v>
      </c>
      <c r="L3424" s="5" t="str">
        <f t="shared" si="2"/>
        <v>Campus Recruiter</v>
      </c>
      <c r="M3424" s="5" t="str">
        <f t="shared" si="3"/>
        <v> </v>
      </c>
      <c r="N3424" s="5" t="str">
        <f t="shared" si="4"/>
        <v>Walmart</v>
      </c>
      <c r="O3424" s="5" t="str">
        <f t="shared" si="5"/>
        <v>4 years 6 months in role and company</v>
      </c>
      <c r="P3424" s="5" t="str">
        <f t="shared" si="6"/>
        <v>Bentonville</v>
      </c>
      <c r="Q3424" s="5" t="str">
        <f t="shared" si="7"/>
        <v>Arkansas</v>
      </c>
      <c r="R3424" s="5" t="str">
        <f t="shared" si="8"/>
        <v>United States</v>
      </c>
    </row>
    <row r="3425">
      <c r="A3425" s="7" t="s">
        <v>3541</v>
      </c>
      <c r="B3425" s="5" t="s">
        <v>3539</v>
      </c>
      <c r="C3425" s="5" t="s">
        <v>32</v>
      </c>
      <c r="D3425" s="6" t="s">
        <v>13</v>
      </c>
      <c r="E3425" s="5" t="s">
        <v>3540</v>
      </c>
      <c r="F3425" s="5" t="s">
        <v>848</v>
      </c>
      <c r="G3425" s="5" t="s">
        <v>80</v>
      </c>
      <c r="H3425" s="5" t="s">
        <v>38</v>
      </c>
      <c r="I3425" s="5" t="s">
        <v>18</v>
      </c>
      <c r="J3425" s="9" t="str">
        <f>IFERROR(__xludf.DUMMYFUNCTION("""COMPUTED_VALUE"""),"https://www.google.com/search?newwindow=1&amp;ei=2MT0XrvGGM-vytMP1OyDgAY&amp;q=site%3Alinkedin.com+Deanne+Smith+Regional+Manager,+Healthcare+Recruiting+&amp;+Campus+Relations+Walmart")</f>
        <v>https://www.google.com/search?newwindow=1&amp;ei=2MT0XrvGGM-vytMP1OyDgAY&amp;q=site%3Alinkedin.com+Deanne+Smith+Regional+Manager,+Healthcare+Recruiting+&amp;+Campus+Relations+Walmart</v>
      </c>
      <c r="K3425" s="5" t="str">
        <f t="shared" si="1"/>
        <v>Deanne Smith</v>
      </c>
      <c r="L3425" s="5" t="str">
        <f t="shared" si="2"/>
        <v>Regional Manager, Healthcare Recruiting &amp; Campus Relations</v>
      </c>
      <c r="M3425" s="5" t="str">
        <f t="shared" si="3"/>
        <v> </v>
      </c>
      <c r="N3425" s="5" t="str">
        <f t="shared" si="4"/>
        <v>Walmart</v>
      </c>
      <c r="O3425" s="5" t="str">
        <f t="shared" si="5"/>
        <v>14 years 5 months in role and company</v>
      </c>
      <c r="P3425" s="5" t="str">
        <f t="shared" si="6"/>
        <v>Edmond</v>
      </c>
      <c r="Q3425" s="5" t="str">
        <f t="shared" si="7"/>
        <v>Oklahoma</v>
      </c>
      <c r="R3425" s="5" t="str">
        <f t="shared" si="8"/>
        <v>United States</v>
      </c>
    </row>
    <row r="3426">
      <c r="A3426" s="7" t="s">
        <v>3543</v>
      </c>
      <c r="B3426" s="5" t="s">
        <v>3542</v>
      </c>
      <c r="C3426" s="5" t="s">
        <v>25</v>
      </c>
      <c r="D3426" s="6" t="s">
        <v>13</v>
      </c>
      <c r="E3426" s="5" t="s">
        <v>3540</v>
      </c>
      <c r="F3426" s="5" t="s">
        <v>651</v>
      </c>
      <c r="G3426" s="5" t="s">
        <v>137</v>
      </c>
      <c r="H3426" s="5" t="s">
        <v>137</v>
      </c>
      <c r="I3426" s="5" t="s">
        <v>18</v>
      </c>
      <c r="J3426" s="9" t="str">
        <f>IFERROR(__xludf.DUMMYFUNCTION("""COMPUTED_VALUE"""),"https://www.google.com/search?newwindow=1&amp;ei=2MT0XrvGGM-vytMP1OyDgAY&amp;q=site%3Alinkedin.com+Allison+Atwell+Program+Manager,+Campus+Recruiting,+Diversity+Initiatives+Walmart")</f>
        <v>https://www.google.com/search?newwindow=1&amp;ei=2MT0XrvGGM-vytMP1OyDgAY&amp;q=site%3Alinkedin.com+Allison+Atwell+Program+Manager,+Campus+Recruiting,+Diversity+Initiatives+Walmart</v>
      </c>
      <c r="K3426" s="5" t="str">
        <f t="shared" si="1"/>
        <v>Allison Atwell</v>
      </c>
      <c r="L3426" s="5" t="str">
        <f t="shared" si="2"/>
        <v>Program Manager, Campus Recruiting, Diversity Initiatives</v>
      </c>
      <c r="M3426" s="5" t="str">
        <f t="shared" si="3"/>
        <v> </v>
      </c>
      <c r="N3426" s="5" t="str">
        <f t="shared" si="4"/>
        <v>Walmart</v>
      </c>
      <c r="O3426" s="5" t="str">
        <f t="shared" si="5"/>
        <v/>
      </c>
      <c r="P3426" s="5" t="str">
        <f t="shared" si="6"/>
        <v>Fayetteville</v>
      </c>
      <c r="Q3426" s="5" t="str">
        <f t="shared" si="7"/>
        <v>Arkansas</v>
      </c>
      <c r="R3426" s="5" t="str">
        <f t="shared" si="8"/>
        <v>United States</v>
      </c>
    </row>
    <row r="3427">
      <c r="A3427" s="7" t="s">
        <v>3547</v>
      </c>
      <c r="B3427" s="5" t="s">
        <v>3544</v>
      </c>
      <c r="C3427" s="5" t="s">
        <v>480</v>
      </c>
      <c r="D3427" s="6" t="s">
        <v>13</v>
      </c>
      <c r="E3427" s="5" t="s">
        <v>3545</v>
      </c>
      <c r="F3427" s="5" t="s">
        <v>1809</v>
      </c>
      <c r="G3427" s="5" t="s">
        <v>3546</v>
      </c>
      <c r="H3427" s="5" t="s">
        <v>184</v>
      </c>
      <c r="I3427" s="5" t="s">
        <v>18</v>
      </c>
      <c r="J3427" s="9" t="str">
        <f>IFERROR(__xludf.DUMMYFUNCTION("""COMPUTED_VALUE"""),"https://www.google.com/search?newwindow=1&amp;ei=2MT0XrvGGM-vytMP1OyDgAY&amp;q=site%3Alinkedin.com+Kevin+Rose+Senior+Manager,+Campus+Recruiting+Walmart")</f>
        <v>https://www.google.com/search?newwindow=1&amp;ei=2MT0XrvGGM-vytMP1OyDgAY&amp;q=site%3Alinkedin.com+Kevin+Rose+Senior+Manager,+Campus+Recruiting+Walmart</v>
      </c>
      <c r="K3427" s="5" t="str">
        <f t="shared" si="1"/>
        <v>Kevin Rose</v>
      </c>
      <c r="L3427" s="5" t="str">
        <f t="shared" si="2"/>
        <v>Senior Manager, Campus Recruiting</v>
      </c>
      <c r="M3427" s="5" t="str">
        <f t="shared" si="3"/>
        <v> </v>
      </c>
      <c r="N3427" s="5" t="str">
        <f t="shared" si="4"/>
        <v>Walmart</v>
      </c>
      <c r="O3427" s="5" t="str">
        <f t="shared" si="5"/>
        <v>3 years 1 month in role and company</v>
      </c>
      <c r="P3427" s="5" t="str">
        <f t="shared" si="6"/>
        <v>New York</v>
      </c>
      <c r="Q3427" s="5" t="str">
        <f t="shared" si="7"/>
        <v>New York</v>
      </c>
      <c r="R3427" s="5" t="str">
        <f t="shared" si="8"/>
        <v>United States</v>
      </c>
    </row>
    <row r="3428">
      <c r="A3428" s="7" t="s">
        <v>3549</v>
      </c>
      <c r="B3428" s="5" t="s">
        <v>3548</v>
      </c>
      <c r="C3428" s="5" t="s">
        <v>25</v>
      </c>
      <c r="D3428" s="6" t="s">
        <v>13</v>
      </c>
      <c r="E3428" s="5" t="s">
        <v>3545</v>
      </c>
      <c r="F3428" s="5" t="s">
        <v>1357</v>
      </c>
      <c r="G3428" s="5" t="s">
        <v>37</v>
      </c>
      <c r="H3428" s="5" t="s">
        <v>38</v>
      </c>
      <c r="I3428" s="5" t="s">
        <v>18</v>
      </c>
      <c r="J3428" s="9" t="str">
        <f>IFERROR(__xludf.DUMMYFUNCTION("""COMPUTED_VALUE"""),"https://www.google.com/search?newwindow=1&amp;ei=2MT0XrvGGM-vytMP1OyDgAY&amp;q=site%3Alinkedin.com+Jessica+Lockard+Campus+Recruiting+Manager+Walmart")</f>
        <v>https://www.google.com/search?newwindow=1&amp;ei=2MT0XrvGGM-vytMP1OyDgAY&amp;q=site%3Alinkedin.com+Jessica+Lockard+Campus+Recruiting+Manager+Walmart</v>
      </c>
      <c r="K3428" s="5" t="str">
        <f t="shared" si="1"/>
        <v>Jessica Lockard</v>
      </c>
      <c r="L3428" s="5" t="str">
        <f t="shared" si="2"/>
        <v>Campus Recruiting Manager</v>
      </c>
      <c r="M3428" s="5" t="str">
        <f t="shared" si="3"/>
        <v> </v>
      </c>
      <c r="N3428" s="5" t="str">
        <f t="shared" si="4"/>
        <v>Walmart</v>
      </c>
      <c r="O3428" s="5" t="str">
        <f t="shared" si="5"/>
        <v>2 years 1 month in role and company</v>
      </c>
      <c r="P3428" s="5" t="str">
        <f t="shared" si="6"/>
        <v>New York</v>
      </c>
      <c r="Q3428" s="5" t="str">
        <f t="shared" si="7"/>
        <v>New York</v>
      </c>
      <c r="R3428" s="5" t="str">
        <f t="shared" si="8"/>
        <v>United States</v>
      </c>
    </row>
    <row r="3429">
      <c r="A3429" s="7" t="s">
        <v>3551</v>
      </c>
      <c r="B3429" s="5" t="s">
        <v>3550</v>
      </c>
      <c r="C3429" s="5" t="s">
        <v>25</v>
      </c>
      <c r="D3429" s="6" t="s">
        <v>13</v>
      </c>
      <c r="E3429" s="5" t="s">
        <v>3545</v>
      </c>
      <c r="F3429" s="5" t="s">
        <v>421</v>
      </c>
      <c r="G3429" s="5" t="s">
        <v>37</v>
      </c>
      <c r="H3429" s="5" t="s">
        <v>38</v>
      </c>
      <c r="I3429" s="5" t="s">
        <v>18</v>
      </c>
      <c r="J3429" s="9" t="str">
        <f>IFERROR(__xludf.DUMMYFUNCTION("""COMPUTED_VALUE"""),"https://www.google.com/search?newwindow=1&amp;ei=2MT0XrvGGM-vytMP1OyDgAY&amp;q=site%3Alinkedin.com+Hayley+Biason+Campus+Recruiter+Walmart+eCommerce")</f>
        <v>https://www.google.com/search?newwindow=1&amp;ei=2MT0XrvGGM-vytMP1OyDgAY&amp;q=site%3Alinkedin.com+Hayley+Biason+Campus+Recruiter+Walmart+eCommerce</v>
      </c>
      <c r="K3429" s="5" t="str">
        <f t="shared" si="1"/>
        <v>Hayley Biason</v>
      </c>
      <c r="L3429" s="5" t="str">
        <f t="shared" si="2"/>
        <v>Campus Recruiter</v>
      </c>
      <c r="M3429" s="5" t="str">
        <f t="shared" si="3"/>
        <v> </v>
      </c>
      <c r="N3429" s="5" t="str">
        <f t="shared" si="4"/>
        <v>Walmart</v>
      </c>
      <c r="O3429" s="5" t="str">
        <f t="shared" si="5"/>
        <v>6 months in role</v>
      </c>
      <c r="P3429" s="5" t="str">
        <f t="shared" si="6"/>
        <v>Clifton</v>
      </c>
      <c r="Q3429" s="5" t="str">
        <f t="shared" si="7"/>
        <v>New Jersey</v>
      </c>
      <c r="R3429" s="5" t="str">
        <f t="shared" si="8"/>
        <v>United States</v>
      </c>
    </row>
    <row r="3430">
      <c r="A3430" s="7" t="s">
        <v>3553</v>
      </c>
      <c r="B3430" s="5" t="s">
        <v>3552</v>
      </c>
      <c r="C3430" s="5" t="s">
        <v>991</v>
      </c>
      <c r="D3430" s="6" t="s">
        <v>13</v>
      </c>
      <c r="E3430" s="5" t="s">
        <v>3545</v>
      </c>
      <c r="F3430" s="5" t="s">
        <v>136</v>
      </c>
      <c r="G3430" s="5" t="s">
        <v>3209</v>
      </c>
      <c r="H3430" s="5" t="s">
        <v>102</v>
      </c>
      <c r="I3430" s="5" t="s">
        <v>18</v>
      </c>
      <c r="J3430" s="9" t="str">
        <f>IFERROR(__xludf.DUMMYFUNCTION("""COMPUTED_VALUE"""),"https://www.google.com/search?newwindow=1&amp;ei=2MT0XrvGGM-vytMP1OyDgAY&amp;q=site%3Alinkedin.com+Nicole+Nunno+Campus+Recruiter+Walmart+eCommerce")</f>
        <v>https://www.google.com/search?newwindow=1&amp;ei=2MT0XrvGGM-vytMP1OyDgAY&amp;q=site%3Alinkedin.com+Nicole+Nunno+Campus+Recruiter+Walmart+eCommerce</v>
      </c>
      <c r="K3430" s="5" t="str">
        <f t="shared" si="1"/>
        <v>Nicole Nunno</v>
      </c>
      <c r="L3430" s="5" t="str">
        <f t="shared" si="2"/>
        <v>Campus Recruiter</v>
      </c>
      <c r="M3430" s="5" t="str">
        <f t="shared" si="3"/>
        <v> </v>
      </c>
      <c r="N3430" s="5" t="str">
        <f t="shared" si="4"/>
        <v>Walmart</v>
      </c>
      <c r="O3430" s="5" t="str">
        <f t="shared" si="5"/>
        <v>2 years 2 months in role and company</v>
      </c>
      <c r="P3430" s="5" t="str">
        <f t="shared" si="6"/>
        <v>New York</v>
      </c>
      <c r="Q3430" s="5" t="str">
        <f t="shared" si="7"/>
        <v>New York</v>
      </c>
      <c r="R3430" s="5" t="str">
        <f t="shared" si="8"/>
        <v>United States</v>
      </c>
    </row>
    <row r="3431">
      <c r="A3431" s="7" t="s">
        <v>3555</v>
      </c>
      <c r="B3431" s="5" t="s">
        <v>3554</v>
      </c>
      <c r="C3431" s="5" t="s">
        <v>480</v>
      </c>
      <c r="D3431" s="6" t="s">
        <v>13</v>
      </c>
      <c r="E3431" s="5" t="s">
        <v>3545</v>
      </c>
      <c r="F3431" s="5" t="s">
        <v>207</v>
      </c>
      <c r="G3431" s="5" t="s">
        <v>377</v>
      </c>
      <c r="H3431" s="5" t="s">
        <v>378</v>
      </c>
      <c r="I3431" s="5" t="s">
        <v>18</v>
      </c>
      <c r="J3431" s="9" t="str">
        <f>IFERROR(__xludf.DUMMYFUNCTION("""COMPUTED_VALUE"""),"https://www.google.com/search?newwindow=1&amp;ei=2MT0XrvGGM-vytMP1OyDgAY&amp;q=site%3Alinkedin.com+Lauren+Graham+Campus,+Diversity+and+Inclusion+Programs+Recruiter+Walmart+eCommerce")</f>
        <v>https://www.google.com/search?newwindow=1&amp;ei=2MT0XrvGGM-vytMP1OyDgAY&amp;q=site%3Alinkedin.com+Lauren+Graham+Campus,+Diversity+and+Inclusion+Programs+Recruiter+Walmart+eCommerce</v>
      </c>
      <c r="K3431" s="5" t="str">
        <f t="shared" si="1"/>
        <v>Lauren Graham</v>
      </c>
      <c r="L3431" s="5" t="str">
        <f t="shared" si="2"/>
        <v>Campus, Diversity and Inclusion Programs Recruiter</v>
      </c>
      <c r="M3431" s="5" t="str">
        <f t="shared" si="3"/>
        <v> </v>
      </c>
      <c r="N3431" s="5" t="str">
        <f t="shared" si="4"/>
        <v>Walmart</v>
      </c>
      <c r="O3431" s="5" t="str">
        <f t="shared" si="5"/>
        <v>4 months in role</v>
      </c>
      <c r="P3431" s="5" t="str">
        <f t="shared" si="6"/>
        <v>Overland Park</v>
      </c>
      <c r="Q3431" s="5" t="str">
        <f t="shared" si="7"/>
        <v>Kansas</v>
      </c>
      <c r="R3431" s="5" t="str">
        <f t="shared" si="8"/>
        <v>United States</v>
      </c>
    </row>
    <row r="3432">
      <c r="A3432" s="7" t="s">
        <v>3557</v>
      </c>
      <c r="B3432" s="5" t="s">
        <v>3556</v>
      </c>
      <c r="C3432" s="5" t="s">
        <v>25</v>
      </c>
      <c r="D3432" s="6" t="s">
        <v>13</v>
      </c>
      <c r="E3432" s="5" t="s">
        <v>3545</v>
      </c>
      <c r="F3432" s="5" t="s">
        <v>523</v>
      </c>
      <c r="G3432" s="6" t="s">
        <v>377</v>
      </c>
      <c r="H3432" s="6" t="s">
        <v>378</v>
      </c>
      <c r="I3432" s="5" t="s">
        <v>18</v>
      </c>
      <c r="J3432" s="9" t="str">
        <f>IFERROR(__xludf.DUMMYFUNCTION("""COMPUTED_VALUE"""),"https://www.google.com/search?newwindow=1&amp;ei=2MT0XrvGGM-vytMP1OyDgAY&amp;q=site%3Alinkedin.com+Bipasa+Singh+University+Recruiter+Walmart+eCommerce")</f>
        <v>https://www.google.com/search?newwindow=1&amp;ei=2MT0XrvGGM-vytMP1OyDgAY&amp;q=site%3Alinkedin.com+Bipasa+Singh+University+Recruiter+Walmart+eCommerce</v>
      </c>
      <c r="K3432" s="5" t="str">
        <f t="shared" si="1"/>
        <v>Bipasa Singh</v>
      </c>
      <c r="L3432" s="5" t="str">
        <f t="shared" si="2"/>
        <v>University Recruiter</v>
      </c>
      <c r="M3432" s="5" t="str">
        <f t="shared" si="3"/>
        <v> </v>
      </c>
      <c r="N3432" s="5" t="str">
        <f t="shared" si="4"/>
        <v>Walmart</v>
      </c>
      <c r="O3432" s="5" t="str">
        <f t="shared" si="5"/>
        <v>1 year  in role and company</v>
      </c>
      <c r="P3432" s="5" t="str">
        <f t="shared" si="6"/>
        <v>San Francisco</v>
      </c>
      <c r="Q3432" s="5" t="str">
        <f t="shared" si="7"/>
        <v>California</v>
      </c>
      <c r="R3432" s="5" t="str">
        <f t="shared" si="8"/>
        <v>United States</v>
      </c>
    </row>
    <row r="3433">
      <c r="A3433" s="7" t="s">
        <v>3560</v>
      </c>
      <c r="B3433" s="5" t="s">
        <v>3558</v>
      </c>
      <c r="C3433" s="5" t="s">
        <v>480</v>
      </c>
      <c r="D3433" s="6" t="s">
        <v>13</v>
      </c>
      <c r="E3433" s="5" t="s">
        <v>3545</v>
      </c>
      <c r="F3433" s="5" t="s">
        <v>3559</v>
      </c>
      <c r="G3433" s="6" t="s">
        <v>64</v>
      </c>
      <c r="H3433" s="6" t="s">
        <v>65</v>
      </c>
      <c r="I3433" s="5" t="s">
        <v>18</v>
      </c>
      <c r="J3433" s="9" t="str">
        <f>IFERROR(__xludf.DUMMYFUNCTION("""COMPUTED_VALUE"""),"https://www.google.com/search?newwindow=1&amp;ei=2MT0XrvGGM-vytMP1OyDgAY&amp;q=site%3Alinkedin.com+Allison+D.+Williams+University+Relations+Recruiter+WarnerMedia")</f>
        <v>https://www.google.com/search?newwindow=1&amp;ei=2MT0XrvGGM-vytMP1OyDgAY&amp;q=site%3Alinkedin.com+Allison+D.+Williams+University+Relations+Recruiter+WarnerMedia</v>
      </c>
      <c r="K3433" s="5" t="str">
        <f t="shared" si="1"/>
        <v>Allison D. Williams</v>
      </c>
      <c r="L3433" s="5" t="str">
        <f t="shared" si="2"/>
        <v>University Relations Recruiter</v>
      </c>
      <c r="M3433" s="5" t="str">
        <f t="shared" si="3"/>
        <v> </v>
      </c>
      <c r="N3433" s="5" t="str">
        <f t="shared" si="4"/>
        <v>WarnerMedia</v>
      </c>
      <c r="O3433" s="5" t="str">
        <f t="shared" si="5"/>
        <v>1 year 5 months in role and company</v>
      </c>
      <c r="P3433" s="5" t="str">
        <f t="shared" si="6"/>
        <v>Atlanta</v>
      </c>
      <c r="Q3433" s="5" t="str">
        <f t="shared" si="7"/>
        <v>Georgia</v>
      </c>
      <c r="R3433" s="5" t="str">
        <f t="shared" si="8"/>
        <v>United States</v>
      </c>
    </row>
    <row r="3434">
      <c r="A3434" s="7" t="s">
        <v>3563</v>
      </c>
      <c r="B3434" s="5" t="s">
        <v>3561</v>
      </c>
      <c r="C3434" s="5" t="s">
        <v>480</v>
      </c>
      <c r="D3434" s="6" t="s">
        <v>13</v>
      </c>
      <c r="E3434" s="5" t="s">
        <v>3545</v>
      </c>
      <c r="F3434" s="5" t="s">
        <v>691</v>
      </c>
      <c r="G3434" s="5" t="s">
        <v>3562</v>
      </c>
      <c r="H3434" s="5" t="s">
        <v>44</v>
      </c>
      <c r="I3434" s="5" t="s">
        <v>18</v>
      </c>
      <c r="J3434" s="9" t="str">
        <f>IFERROR(__xludf.DUMMYFUNCTION("""COMPUTED_VALUE"""),"https://www.google.com/search?newwindow=1&amp;ei=2MT0XrvGGM-vytMP1OyDgAY&amp;q=site%3Alinkedin.com+Kameren+Waln+Campus+Recruiter+WarnerMedia")</f>
        <v>https://www.google.com/search?newwindow=1&amp;ei=2MT0XrvGGM-vytMP1OyDgAY&amp;q=site%3Alinkedin.com+Kameren+Waln+Campus+Recruiter+WarnerMedia</v>
      </c>
      <c r="K3434" s="5" t="str">
        <f t="shared" si="1"/>
        <v>Kameren Waln</v>
      </c>
      <c r="L3434" s="5" t="str">
        <f t="shared" si="2"/>
        <v>Campus Recruiter</v>
      </c>
      <c r="M3434" s="5" t="str">
        <f t="shared" si="3"/>
        <v> </v>
      </c>
      <c r="N3434" s="5" t="str">
        <f t="shared" si="4"/>
        <v>WarnerMedia</v>
      </c>
      <c r="O3434" s="5" t="str">
        <f t="shared" si="5"/>
        <v>9 months in role and company</v>
      </c>
      <c r="P3434" s="5" t="str">
        <f t="shared" si="6"/>
        <v>Atlanta</v>
      </c>
      <c r="Q3434" s="5" t="str">
        <f t="shared" si="7"/>
        <v>Georgia</v>
      </c>
      <c r="R3434" s="5" t="str">
        <f t="shared" si="8"/>
        <v>United States</v>
      </c>
    </row>
    <row r="3435">
      <c r="A3435" s="7" t="s">
        <v>3565</v>
      </c>
      <c r="B3435" s="5" t="s">
        <v>3564</v>
      </c>
      <c r="C3435" s="5" t="s">
        <v>110</v>
      </c>
      <c r="D3435" s="6" t="s">
        <v>13</v>
      </c>
      <c r="E3435" s="5" t="s">
        <v>3545</v>
      </c>
      <c r="F3435" s="5" t="s">
        <v>125</v>
      </c>
      <c r="G3435" s="5" t="s">
        <v>80</v>
      </c>
      <c r="H3435" s="5" t="s">
        <v>38</v>
      </c>
      <c r="I3435" s="5" t="s">
        <v>18</v>
      </c>
      <c r="J3435" s="9" t="str">
        <f>IFERROR(__xludf.DUMMYFUNCTION("""COMPUTED_VALUE"""),"https://www.google.com/search?newwindow=1&amp;ei=2MT0XrvGGM-vytMP1OyDgAY&amp;q=site%3Alinkedin.com+Lauren+O'Byrne+Campus+Program+Recruiter+WarnerMedia")</f>
        <v>https://www.google.com/search?newwindow=1&amp;ei=2MT0XrvGGM-vytMP1OyDgAY&amp;q=site%3Alinkedin.com+Lauren+O'Byrne+Campus+Program+Recruiter+WarnerMedia</v>
      </c>
      <c r="K3435" s="5" t="str">
        <f t="shared" si="1"/>
        <v>Lauren O'Byrne</v>
      </c>
      <c r="L3435" s="5" t="str">
        <f t="shared" si="2"/>
        <v>Campus Program Recruiter</v>
      </c>
      <c r="M3435" s="5" t="str">
        <f t="shared" si="3"/>
        <v> </v>
      </c>
      <c r="N3435" s="5" t="str">
        <f t="shared" si="4"/>
        <v>WarnerMedia</v>
      </c>
      <c r="O3435" s="5" t="str">
        <f t="shared" si="5"/>
        <v>2 years 8 months in role and company</v>
      </c>
      <c r="P3435" s="5" t="str">
        <f t="shared" si="6"/>
        <v>Atlanta</v>
      </c>
      <c r="Q3435" s="5" t="str">
        <f t="shared" si="7"/>
        <v>Georgia</v>
      </c>
      <c r="R3435" s="5" t="str">
        <f t="shared" si="8"/>
        <v>United States</v>
      </c>
    </row>
    <row r="3436">
      <c r="A3436" s="7" t="s">
        <v>3567</v>
      </c>
      <c r="B3436" s="5" t="s">
        <v>3566</v>
      </c>
      <c r="C3436" s="5" t="s">
        <v>480</v>
      </c>
      <c r="D3436" s="6" t="s">
        <v>13</v>
      </c>
      <c r="E3436" s="5" t="s">
        <v>3545</v>
      </c>
      <c r="F3436" s="5" t="s">
        <v>585</v>
      </c>
      <c r="G3436" s="5" t="s">
        <v>80</v>
      </c>
      <c r="H3436" s="5" t="s">
        <v>38</v>
      </c>
      <c r="I3436" s="5" t="s">
        <v>18</v>
      </c>
      <c r="J3436" s="9" t="str">
        <f>IFERROR(__xludf.DUMMYFUNCTION("""COMPUTED_VALUE"""),"https://www.google.com/search?newwindow=1&amp;ei=2MT0XrvGGM-vytMP1OyDgAY&amp;q=site%3Alinkedin.com+Cynthia+Gomez+Recruiter,+Diversity+Outreach,+Talent+Acquisition+(Communications+&amp;+Marketing)+WarnerMedia")</f>
        <v>https://www.google.com/search?newwindow=1&amp;ei=2MT0XrvGGM-vytMP1OyDgAY&amp;q=site%3Alinkedin.com+Cynthia+Gomez+Recruiter,+Diversity+Outreach,+Talent+Acquisition+(Communications+&amp;+Marketing)+WarnerMedia</v>
      </c>
      <c r="K3436" s="5" t="str">
        <f t="shared" si="1"/>
        <v>Cynthia Gomez</v>
      </c>
      <c r="L3436" s="5" t="str">
        <f t="shared" si="2"/>
        <v>Recruiter, Diversity Outreach, Talent Acquisition (Communications &amp; Marketing)</v>
      </c>
      <c r="M3436" s="5" t="str">
        <f t="shared" si="3"/>
        <v> </v>
      </c>
      <c r="N3436" s="5" t="str">
        <f t="shared" si="4"/>
        <v>WarnerMedia</v>
      </c>
      <c r="O3436" s="5" t="str">
        <f t="shared" si="5"/>
        <v>5 months in role and company</v>
      </c>
      <c r="P3436" s="5" t="str">
        <f t="shared" si="6"/>
        <v>Briarcliff Manor</v>
      </c>
      <c r="Q3436" s="5" t="str">
        <f t="shared" si="7"/>
        <v>New York</v>
      </c>
      <c r="R3436" s="5" t="str">
        <f t="shared" si="8"/>
        <v>United States</v>
      </c>
    </row>
    <row r="3437">
      <c r="A3437" s="7" t="s">
        <v>3569</v>
      </c>
      <c r="B3437" s="5" t="s">
        <v>3568</v>
      </c>
      <c r="C3437" s="5" t="s">
        <v>480</v>
      </c>
      <c r="D3437" s="6" t="s">
        <v>13</v>
      </c>
      <c r="E3437" s="5" t="s">
        <v>3545</v>
      </c>
      <c r="F3437" s="5" t="s">
        <v>774</v>
      </c>
      <c r="G3437" s="5" t="s">
        <v>112</v>
      </c>
      <c r="H3437" s="5" t="s">
        <v>38</v>
      </c>
      <c r="I3437" s="5" t="s">
        <v>18</v>
      </c>
      <c r="J3437" s="9" t="str">
        <f>IFERROR(__xludf.DUMMYFUNCTION("""COMPUTED_VALUE"""),"https://www.google.com/search?newwindow=1&amp;ei=2MT0XrvGGM-vytMP1OyDgAY&amp;q=site%3Alinkedin.com+Dionna+Walker+Recruiter,+University+Relations+WarnerMedia")</f>
        <v>https://www.google.com/search?newwindow=1&amp;ei=2MT0XrvGGM-vytMP1OyDgAY&amp;q=site%3Alinkedin.com+Dionna+Walker+Recruiter,+University+Relations+WarnerMedia</v>
      </c>
      <c r="K3437" s="5" t="str">
        <f t="shared" si="1"/>
        <v>Dionna Walker</v>
      </c>
      <c r="L3437" s="5" t="str">
        <f t="shared" si="2"/>
        <v>Recruiter, University Relations</v>
      </c>
      <c r="M3437" s="5" t="str">
        <f t="shared" si="3"/>
        <v> </v>
      </c>
      <c r="N3437" s="5" t="str">
        <f t="shared" si="4"/>
        <v>WarnerMedia</v>
      </c>
      <c r="O3437" s="5" t="str">
        <f t="shared" si="5"/>
        <v>1 year  in role and company</v>
      </c>
      <c r="P3437" s="5" t="str">
        <f t="shared" si="6"/>
        <v>Los Angeles</v>
      </c>
      <c r="Q3437" s="5" t="str">
        <f t="shared" si="7"/>
        <v>California</v>
      </c>
      <c r="R3437" s="5" t="str">
        <f t="shared" si="8"/>
        <v>United States</v>
      </c>
    </row>
    <row r="3438">
      <c r="A3438" s="7" t="s">
        <v>3573</v>
      </c>
      <c r="B3438" s="5" t="s">
        <v>3570</v>
      </c>
      <c r="C3438" s="5" t="s">
        <v>480</v>
      </c>
      <c r="D3438" s="6" t="s">
        <v>13</v>
      </c>
      <c r="E3438" s="5" t="s">
        <v>3545</v>
      </c>
      <c r="F3438" s="5" t="s">
        <v>63</v>
      </c>
      <c r="G3438" s="5" t="s">
        <v>3571</v>
      </c>
      <c r="H3438" s="5" t="s">
        <v>3572</v>
      </c>
      <c r="I3438" s="5" t="s">
        <v>18</v>
      </c>
      <c r="J3438" s="9" t="str">
        <f>IFERROR(__xludf.DUMMYFUNCTION("""COMPUTED_VALUE"""),"https://www.google.com/search?newwindow=1&amp;ei=2MT0XrvGGM-vytMP1OyDgAY&amp;q=site%3Alinkedin.com+Molly+Kemper+Recruiter,+University+Relations+WarnerMedia")</f>
        <v>https://www.google.com/search?newwindow=1&amp;ei=2MT0XrvGGM-vytMP1OyDgAY&amp;q=site%3Alinkedin.com+Molly+Kemper+Recruiter,+University+Relations+WarnerMedia</v>
      </c>
      <c r="K3438" s="5" t="str">
        <f t="shared" si="1"/>
        <v>Molly Kemper</v>
      </c>
      <c r="L3438" s="5" t="str">
        <f t="shared" si="2"/>
        <v>Recruiter, University Relations</v>
      </c>
      <c r="M3438" s="5" t="str">
        <f t="shared" si="3"/>
        <v> </v>
      </c>
      <c r="N3438" s="5" t="str">
        <f t="shared" si="4"/>
        <v>WarnerMedia</v>
      </c>
      <c r="O3438" s="5" t="str">
        <f t="shared" si="5"/>
        <v>10 months in role and company</v>
      </c>
      <c r="P3438" s="5" t="str">
        <f t="shared" si="6"/>
        <v>Santa Monica</v>
      </c>
      <c r="Q3438" s="5" t="str">
        <f t="shared" si="7"/>
        <v>California</v>
      </c>
      <c r="R3438" s="5" t="str">
        <f t="shared" si="8"/>
        <v>United States</v>
      </c>
    </row>
    <row r="3439">
      <c r="A3439" s="7" t="s">
        <v>3575</v>
      </c>
      <c r="B3439" s="5" t="s">
        <v>3574</v>
      </c>
      <c r="C3439" s="5" t="s">
        <v>480</v>
      </c>
      <c r="D3439" s="6" t="s">
        <v>13</v>
      </c>
      <c r="E3439" s="5" t="s">
        <v>3545</v>
      </c>
      <c r="F3439" s="5" t="s">
        <v>554</v>
      </c>
      <c r="G3439" s="5" t="s">
        <v>122</v>
      </c>
      <c r="H3439" s="5" t="s">
        <v>44</v>
      </c>
      <c r="I3439" s="5" t="s">
        <v>18</v>
      </c>
      <c r="J3439" s="9" t="str">
        <f>IFERROR(__xludf.DUMMYFUNCTION("""COMPUTED_VALUE"""),"https://www.google.com/search?newwindow=1&amp;ei=2MT0XrvGGM-vytMP1OyDgAY&amp;q=site%3Alinkedin.com+Maureen+Gilroy+Campus+Recruiting+Manager+Wayfair")</f>
        <v>https://www.google.com/search?newwindow=1&amp;ei=2MT0XrvGGM-vytMP1OyDgAY&amp;q=site%3Alinkedin.com+Maureen+Gilroy+Campus+Recruiting+Manager+Wayfair</v>
      </c>
      <c r="K3439" s="5" t="str">
        <f t="shared" si="1"/>
        <v>Maureen Gilroy</v>
      </c>
      <c r="L3439" s="5" t="str">
        <f t="shared" si="2"/>
        <v>Campus Recruiting Manager</v>
      </c>
      <c r="M3439" s="5" t="str">
        <f t="shared" si="3"/>
        <v> </v>
      </c>
      <c r="N3439" s="5" t="str">
        <f t="shared" si="4"/>
        <v>Wayfair</v>
      </c>
      <c r="O3439" s="5" t="str">
        <f t="shared" si="5"/>
        <v>1 year 2 months in role and company</v>
      </c>
      <c r="P3439" s="5" t="str">
        <f t="shared" si="6"/>
        <v>Boston</v>
      </c>
      <c r="Q3439" s="5" t="str">
        <f t="shared" si="7"/>
        <v>Massachusetts</v>
      </c>
      <c r="R3439" s="5" t="str">
        <f t="shared" si="8"/>
        <v>United States</v>
      </c>
    </row>
    <row r="3440">
      <c r="A3440" s="7" t="s">
        <v>3580</v>
      </c>
      <c r="B3440" s="5" t="s">
        <v>3576</v>
      </c>
      <c r="C3440" s="5" t="s">
        <v>3577</v>
      </c>
      <c r="D3440" s="6" t="s">
        <v>13</v>
      </c>
      <c r="E3440" s="5" t="s">
        <v>3545</v>
      </c>
      <c r="F3440" s="5" t="s">
        <v>3578</v>
      </c>
      <c r="G3440" s="5" t="s">
        <v>3579</v>
      </c>
      <c r="H3440" s="5" t="s">
        <v>378</v>
      </c>
      <c r="I3440" s="5" t="s">
        <v>18</v>
      </c>
      <c r="J3440" s="9" t="str">
        <f>IFERROR(__xludf.DUMMYFUNCTION("""COMPUTED_VALUE"""),"https://www.google.com/search?newwindow=1&amp;ei=2MT0XrvGGM-vytMP1OyDgAY&amp;q=site%3Alinkedin.com+Monica+Baldwin+Recruiting+Manager,+Campus+&amp;+Programmatic+Hiring+(Manager-Level+Hiring)+Wayfair")</f>
        <v>https://www.google.com/search?newwindow=1&amp;ei=2MT0XrvGGM-vytMP1OyDgAY&amp;q=site%3Alinkedin.com+Monica+Baldwin+Recruiting+Manager,+Campus+&amp;+Programmatic+Hiring+(Manager-Level+Hiring)+Wayfair</v>
      </c>
      <c r="K3440" s="5" t="str">
        <f t="shared" si="1"/>
        <v>Monica Baldwin</v>
      </c>
      <c r="L3440" s="5" t="str">
        <f t="shared" si="2"/>
        <v>Recruiting Manager, Campus &amp; Programmatic Hiring (Manager-Level Hiring)</v>
      </c>
      <c r="M3440" s="5" t="str">
        <f t="shared" si="3"/>
        <v> </v>
      </c>
      <c r="N3440" s="5" t="str">
        <f t="shared" si="4"/>
        <v>Wayfair</v>
      </c>
      <c r="O3440" s="5" t="str">
        <f t="shared" si="5"/>
        <v>2 years 2 months in role and company</v>
      </c>
      <c r="P3440" s="5" t="str">
        <f t="shared" si="6"/>
        <v>Boston</v>
      </c>
      <c r="Q3440" s="5" t="str">
        <f t="shared" si="7"/>
        <v>Massachusetts</v>
      </c>
      <c r="R3440" s="5" t="str">
        <f t="shared" si="8"/>
        <v>United States</v>
      </c>
    </row>
    <row r="3441">
      <c r="A3441" s="7" t="s">
        <v>3582</v>
      </c>
      <c r="B3441" s="5" t="s">
        <v>3581</v>
      </c>
      <c r="C3441" s="5" t="s">
        <v>110</v>
      </c>
      <c r="D3441" s="6" t="s">
        <v>13</v>
      </c>
      <c r="E3441" s="5" t="s">
        <v>3545</v>
      </c>
      <c r="F3441" s="5" t="s">
        <v>365</v>
      </c>
      <c r="G3441" s="5" t="s">
        <v>1859</v>
      </c>
      <c r="H3441" s="5" t="s">
        <v>44</v>
      </c>
      <c r="I3441" s="5" t="s">
        <v>18</v>
      </c>
      <c r="J3441" s="9" t="str">
        <f>IFERROR(__xludf.DUMMYFUNCTION("""COMPUTED_VALUE"""),"https://www.google.com/search?newwindow=1&amp;ei=2MT0XrvGGM-vytMP1OyDgAY&amp;q=site%3Alinkedin.com+Catherine+Martin+Senior+Campus+Recruiter+Wayfair")</f>
        <v>https://www.google.com/search?newwindow=1&amp;ei=2MT0XrvGGM-vytMP1OyDgAY&amp;q=site%3Alinkedin.com+Catherine+Martin+Senior+Campus+Recruiter+Wayfair</v>
      </c>
      <c r="K3441" s="5" t="str">
        <f t="shared" si="1"/>
        <v>Catherine Martin</v>
      </c>
      <c r="L3441" s="5" t="str">
        <f t="shared" si="2"/>
        <v>Senior Campus Recruiter</v>
      </c>
      <c r="M3441" s="5" t="str">
        <f t="shared" si="3"/>
        <v> </v>
      </c>
      <c r="N3441" s="5" t="str">
        <f t="shared" si="4"/>
        <v>Wayfair</v>
      </c>
      <c r="O3441" s="5" t="str">
        <f t="shared" si="5"/>
        <v>3 months in role</v>
      </c>
      <c r="P3441" s="5" t="str">
        <f t="shared" si="6"/>
        <v>Boston</v>
      </c>
      <c r="Q3441" s="5" t="str">
        <f t="shared" si="7"/>
        <v>Massachusetts</v>
      </c>
      <c r="R3441" s="5" t="str">
        <f t="shared" si="8"/>
        <v>United States</v>
      </c>
    </row>
    <row r="3442">
      <c r="A3442" s="8" t="s">
        <v>3586</v>
      </c>
      <c r="B3442" s="5" t="s">
        <v>3583</v>
      </c>
      <c r="C3442" s="5" t="s">
        <v>3584</v>
      </c>
      <c r="D3442" s="6" t="s">
        <v>13</v>
      </c>
      <c r="E3442" s="5" t="s">
        <v>3585</v>
      </c>
      <c r="F3442" s="5" t="s">
        <v>418</v>
      </c>
      <c r="G3442" s="5" t="s">
        <v>37</v>
      </c>
      <c r="H3442" s="5" t="s">
        <v>38</v>
      </c>
      <c r="I3442" s="5" t="s">
        <v>18</v>
      </c>
      <c r="J3442" s="9" t="str">
        <f>IFERROR(__xludf.DUMMYFUNCTION("""COMPUTED_VALUE"""),"https://www.google.com/search?newwindow=1&amp;ei=2MT0XrvGGM-vytMP1OyDgAY&amp;q=site%3Alinkedin.com+Ali+Bradley+Campus+Recruiter+Wayfair")</f>
        <v>https://www.google.com/search?newwindow=1&amp;ei=2MT0XrvGGM-vytMP1OyDgAY&amp;q=site%3Alinkedin.com+Ali+Bradley+Campus+Recruiter+Wayfair</v>
      </c>
      <c r="K3442" s="5" t="str">
        <f t="shared" si="1"/>
        <v>Ali Bradley</v>
      </c>
      <c r="L3442" s="5" t="str">
        <f t="shared" si="2"/>
        <v>Campus Recruiter</v>
      </c>
      <c r="M3442" s="5" t="str">
        <f t="shared" si="3"/>
        <v> </v>
      </c>
      <c r="N3442" s="5" t="str">
        <f t="shared" si="4"/>
        <v>Wayfair</v>
      </c>
      <c r="O3442" s="5" t="str">
        <f t="shared" si="5"/>
        <v>1 year 3 months in role and company</v>
      </c>
      <c r="P3442" s="5" t="str">
        <f t="shared" si="6"/>
        <v>Boston</v>
      </c>
      <c r="Q3442" s="5" t="str">
        <f t="shared" si="7"/>
        <v>Massachusetts</v>
      </c>
      <c r="R3442" s="5" t="str">
        <f t="shared" si="8"/>
        <v>United States</v>
      </c>
    </row>
    <row r="3443">
      <c r="A3443" s="7" t="s">
        <v>3588</v>
      </c>
      <c r="B3443" s="5" t="s">
        <v>3587</v>
      </c>
      <c r="C3443" s="5" t="s">
        <v>110</v>
      </c>
      <c r="D3443" s="6" t="s">
        <v>13</v>
      </c>
      <c r="E3443" s="5" t="s">
        <v>3585</v>
      </c>
      <c r="F3443" s="5" t="s">
        <v>441</v>
      </c>
      <c r="G3443" s="5" t="s">
        <v>166</v>
      </c>
      <c r="H3443" s="5" t="s">
        <v>44</v>
      </c>
      <c r="I3443" s="5" t="s">
        <v>18</v>
      </c>
      <c r="J3443" s="9" t="str">
        <f>IFERROR(__xludf.DUMMYFUNCTION("""COMPUTED_VALUE"""),"https://www.google.com/search?newwindow=1&amp;ei=2MT0XrvGGM-vytMP1OyDgAY&amp;q=site%3Alinkedin.com+Lila+Haffey+MBA+Campus+Recruiter+Wayfair")</f>
        <v>https://www.google.com/search?newwindow=1&amp;ei=2MT0XrvGGM-vytMP1OyDgAY&amp;q=site%3Alinkedin.com+Lila+Haffey+MBA+Campus+Recruiter+Wayfair</v>
      </c>
      <c r="K3443" s="5" t="str">
        <f t="shared" si="1"/>
        <v>Lila Haffey</v>
      </c>
      <c r="L3443" s="5" t="str">
        <f t="shared" si="2"/>
        <v>MBA Campus Recruiter</v>
      </c>
      <c r="M3443" s="5" t="str">
        <f t="shared" si="3"/>
        <v>MBA</v>
      </c>
      <c r="N3443" s="5" t="str">
        <f t="shared" si="4"/>
        <v>Wayfair</v>
      </c>
      <c r="O3443" s="5" t="str">
        <f t="shared" si="5"/>
        <v>10 months in role</v>
      </c>
      <c r="P3443" s="5" t="str">
        <f t="shared" si="6"/>
        <v>Boston</v>
      </c>
      <c r="Q3443" s="5" t="str">
        <f t="shared" si="7"/>
        <v>Massachusetts</v>
      </c>
      <c r="R3443" s="5" t="str">
        <f t="shared" si="8"/>
        <v>United States</v>
      </c>
    </row>
    <row r="3444">
      <c r="A3444" s="7" t="s">
        <v>3590</v>
      </c>
      <c r="B3444" s="5" t="s">
        <v>3589</v>
      </c>
      <c r="C3444" s="5" t="s">
        <v>110</v>
      </c>
      <c r="D3444" s="6" t="s">
        <v>13</v>
      </c>
      <c r="E3444" s="5" t="s">
        <v>3585</v>
      </c>
      <c r="F3444" s="5" t="s">
        <v>651</v>
      </c>
      <c r="G3444" s="5" t="s">
        <v>166</v>
      </c>
      <c r="H3444" s="5" t="s">
        <v>44</v>
      </c>
      <c r="I3444" s="5" t="s">
        <v>18</v>
      </c>
      <c r="J3444" s="9" t="str">
        <f>IFERROR(__xludf.DUMMYFUNCTION("""COMPUTED_VALUE"""),"https://www.google.com/search?newwindow=1&amp;ei=2MT0XrvGGM-vytMP1OyDgAY&amp;q=site%3Alinkedin.com+Carrie+Palmer+Campus+Recruiting+Program+Manager+Wayfair")</f>
        <v>https://www.google.com/search?newwindow=1&amp;ei=2MT0XrvGGM-vytMP1OyDgAY&amp;q=site%3Alinkedin.com+Carrie+Palmer+Campus+Recruiting+Program+Manager+Wayfair</v>
      </c>
      <c r="K3444" s="5" t="str">
        <f t="shared" si="1"/>
        <v>Carrie Palmer</v>
      </c>
      <c r="L3444" s="5" t="str">
        <f t="shared" si="2"/>
        <v>Campus Recruiting Program Manager</v>
      </c>
      <c r="M3444" s="5" t="str">
        <f t="shared" si="3"/>
        <v> </v>
      </c>
      <c r="N3444" s="5" t="str">
        <f t="shared" si="4"/>
        <v>Wayfair</v>
      </c>
      <c r="O3444" s="5" t="str">
        <f t="shared" si="5"/>
        <v>7 months in role and company</v>
      </c>
      <c r="P3444" s="5" t="str">
        <f t="shared" si="6"/>
        <v>Boston</v>
      </c>
      <c r="Q3444" s="5" t="str">
        <f t="shared" si="7"/>
        <v>Massachusetts</v>
      </c>
      <c r="R3444" s="5" t="str">
        <f t="shared" si="8"/>
        <v>United States</v>
      </c>
    </row>
    <row r="3445">
      <c r="A3445" s="7" t="s">
        <v>3592</v>
      </c>
      <c r="B3445" s="5" t="s">
        <v>3591</v>
      </c>
      <c r="C3445" s="5" t="s">
        <v>110</v>
      </c>
      <c r="D3445" s="6" t="s">
        <v>13</v>
      </c>
      <c r="E3445" s="5" t="s">
        <v>3585</v>
      </c>
      <c r="F3445" s="5" t="s">
        <v>441</v>
      </c>
      <c r="G3445" s="5" t="s">
        <v>169</v>
      </c>
      <c r="H3445" s="5" t="s">
        <v>44</v>
      </c>
      <c r="I3445" s="5" t="s">
        <v>18</v>
      </c>
      <c r="J3445" s="9" t="str">
        <f>IFERROR(__xludf.DUMMYFUNCTION("""COMPUTED_VALUE"""),"https://www.google.com/search?newwindow=1&amp;ei=2MT0XrvGGM-vytMP1OyDgAY&amp;q=site%3Alinkedin.com+Fallon+Stewart+Campus+Recruiter+Wayfair")</f>
        <v>https://www.google.com/search?newwindow=1&amp;ei=2MT0XrvGGM-vytMP1OyDgAY&amp;q=site%3Alinkedin.com+Fallon+Stewart+Campus+Recruiter+Wayfair</v>
      </c>
      <c r="K3445" s="5" t="str">
        <f t="shared" si="1"/>
        <v>Fallon Stewart</v>
      </c>
      <c r="L3445" s="5" t="str">
        <f t="shared" si="2"/>
        <v>Campus Recruiter</v>
      </c>
      <c r="M3445" s="5" t="str">
        <f t="shared" si="3"/>
        <v> </v>
      </c>
      <c r="N3445" s="5" t="str">
        <f t="shared" si="4"/>
        <v>Wayfair</v>
      </c>
      <c r="O3445" s="5" t="str">
        <f t="shared" si="5"/>
        <v>2 months in role and company</v>
      </c>
      <c r="P3445" s="5" t="str">
        <f t="shared" si="6"/>
        <v>Boston</v>
      </c>
      <c r="Q3445" s="5" t="str">
        <f t="shared" si="7"/>
        <v>Massachusetts</v>
      </c>
      <c r="R3445" s="5" t="str">
        <f t="shared" si="8"/>
        <v>United States</v>
      </c>
    </row>
    <row r="3446">
      <c r="A3446" s="7" t="s">
        <v>3596</v>
      </c>
      <c r="B3446" s="5" t="s">
        <v>3593</v>
      </c>
      <c r="C3446" s="5" t="s">
        <v>3594</v>
      </c>
      <c r="D3446" s="6" t="s">
        <v>13</v>
      </c>
      <c r="E3446" s="5" t="s">
        <v>3595</v>
      </c>
      <c r="F3446" s="5" t="s">
        <v>651</v>
      </c>
      <c r="G3446" s="6" t="s">
        <v>377</v>
      </c>
      <c r="H3446" s="6" t="s">
        <v>378</v>
      </c>
      <c r="I3446" s="5" t="s">
        <v>18</v>
      </c>
      <c r="J3446" s="9" t="str">
        <f>IFERROR(__xludf.DUMMYFUNCTION("""COMPUTED_VALUE"""),"https://www.google.com/search?newwindow=1&amp;ei=2MT0XrvGGM-vytMP1OyDgAY&amp;q=site%3Alinkedin.com+Ryan+Cantwell+Campus+Recruiter+Wayfair")</f>
        <v>https://www.google.com/search?newwindow=1&amp;ei=2MT0XrvGGM-vytMP1OyDgAY&amp;q=site%3Alinkedin.com+Ryan+Cantwell+Campus+Recruiter+Wayfair</v>
      </c>
      <c r="K3446" s="5" t="str">
        <f t="shared" si="1"/>
        <v>Ryan Cantwell</v>
      </c>
      <c r="L3446" s="5" t="str">
        <f t="shared" si="2"/>
        <v>Campus Recruiter</v>
      </c>
      <c r="M3446" s="5" t="str">
        <f t="shared" si="3"/>
        <v> </v>
      </c>
      <c r="N3446" s="5" t="str">
        <f t="shared" si="4"/>
        <v>Wayfair</v>
      </c>
      <c r="O3446" s="5" t="str">
        <f t="shared" si="5"/>
        <v>1 year 7 months in role</v>
      </c>
      <c r="P3446" s="5" t="str">
        <f t="shared" si="6"/>
        <v>Boston</v>
      </c>
      <c r="Q3446" s="5" t="str">
        <f t="shared" si="7"/>
        <v>Massachusetts</v>
      </c>
      <c r="R3446" s="5" t="str">
        <f t="shared" si="8"/>
        <v>United States</v>
      </c>
    </row>
    <row r="3447">
      <c r="A3447" s="7" t="s">
        <v>3599</v>
      </c>
      <c r="B3447" s="5" t="s">
        <v>3597</v>
      </c>
      <c r="C3447" s="5" t="s">
        <v>25</v>
      </c>
      <c r="D3447" s="6" t="s">
        <v>13</v>
      </c>
      <c r="E3447" s="5" t="s">
        <v>3595</v>
      </c>
      <c r="F3447" s="5" t="s">
        <v>1289</v>
      </c>
      <c r="G3447" s="5" t="s">
        <v>3598</v>
      </c>
      <c r="H3447" s="5" t="s">
        <v>378</v>
      </c>
      <c r="I3447" s="5" t="s">
        <v>18</v>
      </c>
      <c r="J3447" s="9" t="str">
        <f>IFERROR(__xludf.DUMMYFUNCTION("""COMPUTED_VALUE"""),"https://www.google.com/search?newwindow=1&amp;ei=2MT0XrvGGM-vytMP1OyDgAY&amp;q=site%3Alinkedin.com+Erica+Matos+Campus+Recruiter+Wayfair")</f>
        <v>https://www.google.com/search?newwindow=1&amp;ei=2MT0XrvGGM-vytMP1OyDgAY&amp;q=site%3Alinkedin.com+Erica+Matos+Campus+Recruiter+Wayfair</v>
      </c>
      <c r="K3447" s="5" t="str">
        <f t="shared" si="1"/>
        <v>Erica Matos</v>
      </c>
      <c r="L3447" s="5" t="str">
        <f t="shared" si="2"/>
        <v>Campus Recruiter</v>
      </c>
      <c r="M3447" s="5" t="str">
        <f t="shared" si="3"/>
        <v> </v>
      </c>
      <c r="N3447" s="5" t="str">
        <f t="shared" si="4"/>
        <v>Wayfair</v>
      </c>
      <c r="O3447" s="5" t="str">
        <f t="shared" si="5"/>
        <v>1 year 3 months in role and company</v>
      </c>
      <c r="P3447" s="5" t="str">
        <f t="shared" si="6"/>
        <v>Boston</v>
      </c>
      <c r="Q3447" s="5" t="str">
        <f t="shared" si="7"/>
        <v>Massachusetts</v>
      </c>
      <c r="R3447" s="5" t="str">
        <f t="shared" si="8"/>
        <v>United States</v>
      </c>
    </row>
    <row r="3448">
      <c r="A3448" s="7" t="s">
        <v>3601</v>
      </c>
      <c r="B3448" s="5" t="s">
        <v>3600</v>
      </c>
      <c r="C3448" s="5" t="s">
        <v>25</v>
      </c>
      <c r="D3448" s="6" t="s">
        <v>13</v>
      </c>
      <c r="E3448" s="5" t="s">
        <v>3595</v>
      </c>
      <c r="F3448" s="5" t="s">
        <v>585</v>
      </c>
      <c r="G3448" s="5" t="s">
        <v>311</v>
      </c>
      <c r="H3448" s="5" t="s">
        <v>102</v>
      </c>
      <c r="I3448" s="5" t="s">
        <v>18</v>
      </c>
      <c r="J3448" s="9" t="str">
        <f>IFERROR(__xludf.DUMMYFUNCTION("""COMPUTED_VALUE"""),"https://www.google.com/search?newwindow=1&amp;ei=2MT0XrvGGM-vytMP1OyDgAY&amp;q=site%3Alinkedin.com+Katie+Jones+Campus+Recruiter+II+Wayfair")</f>
        <v>https://www.google.com/search?newwindow=1&amp;ei=2MT0XrvGGM-vytMP1OyDgAY&amp;q=site%3Alinkedin.com+Katie+Jones+Campus+Recruiter+II+Wayfair</v>
      </c>
      <c r="K3448" s="5" t="str">
        <f t="shared" si="1"/>
        <v>Katie Jones</v>
      </c>
      <c r="L3448" s="5" t="str">
        <f t="shared" si="2"/>
        <v>Campus Recruiter II</v>
      </c>
      <c r="M3448" s="5" t="str">
        <f t="shared" si="3"/>
        <v> </v>
      </c>
      <c r="N3448" s="5" t="str">
        <f t="shared" si="4"/>
        <v>Wayfair</v>
      </c>
      <c r="O3448" s="5" t="str">
        <f t="shared" si="5"/>
        <v>1 year 3 months in role</v>
      </c>
      <c r="P3448" s="5" t="str">
        <f t="shared" si="6"/>
        <v>Boston</v>
      </c>
      <c r="Q3448" s="5" t="str">
        <f t="shared" si="7"/>
        <v>Massachusetts</v>
      </c>
      <c r="R3448" s="5" t="str">
        <f t="shared" si="8"/>
        <v>United States</v>
      </c>
    </row>
    <row r="3449">
      <c r="A3449" s="7" t="s">
        <v>3604</v>
      </c>
      <c r="B3449" s="5" t="s">
        <v>3602</v>
      </c>
      <c r="C3449" s="5" t="s">
        <v>3603</v>
      </c>
      <c r="D3449" s="6" t="s">
        <v>13</v>
      </c>
      <c r="E3449" s="5" t="s">
        <v>3595</v>
      </c>
      <c r="F3449" s="5" t="s">
        <v>425</v>
      </c>
      <c r="G3449" s="5" t="s">
        <v>112</v>
      </c>
      <c r="H3449" s="5" t="s">
        <v>38</v>
      </c>
      <c r="I3449" s="5" t="s">
        <v>18</v>
      </c>
      <c r="J3449" s="9" t="str">
        <f>IFERROR(__xludf.DUMMYFUNCTION("""COMPUTED_VALUE"""),"https://www.google.com/search?newwindow=1&amp;ei=2MT0XrvGGM-vytMP1OyDgAY&amp;q=site%3Alinkedin.com+Megan+Williams+Campus+Recruiter+II+Wayfair")</f>
        <v>https://www.google.com/search?newwindow=1&amp;ei=2MT0XrvGGM-vytMP1OyDgAY&amp;q=site%3Alinkedin.com+Megan+Williams+Campus+Recruiter+II+Wayfair</v>
      </c>
      <c r="K3449" s="5" t="str">
        <f t="shared" si="1"/>
        <v>Megan Williams</v>
      </c>
      <c r="L3449" s="5" t="str">
        <f t="shared" si="2"/>
        <v>Campus Recruiter II</v>
      </c>
      <c r="M3449" s="5" t="str">
        <f t="shared" si="3"/>
        <v> </v>
      </c>
      <c r="N3449" s="5" t="str">
        <f t="shared" si="4"/>
        <v>Wayfair</v>
      </c>
      <c r="O3449" s="5" t="str">
        <f t="shared" si="5"/>
        <v>8 months in role</v>
      </c>
      <c r="P3449" s="5" t="str">
        <f t="shared" si="6"/>
        <v>Boston</v>
      </c>
      <c r="Q3449" s="5" t="str">
        <f t="shared" si="7"/>
        <v>Massachusetts</v>
      </c>
      <c r="R3449" s="5" t="str">
        <f t="shared" si="8"/>
        <v>United States</v>
      </c>
    </row>
    <row r="3450">
      <c r="A3450" s="7" t="s">
        <v>3607</v>
      </c>
      <c r="B3450" s="5" t="s">
        <v>3605</v>
      </c>
      <c r="C3450" s="5" t="s">
        <v>3606</v>
      </c>
      <c r="D3450" s="6" t="s">
        <v>13</v>
      </c>
      <c r="E3450" s="5" t="s">
        <v>3595</v>
      </c>
      <c r="F3450" s="5" t="s">
        <v>484</v>
      </c>
      <c r="G3450" s="5" t="s">
        <v>112</v>
      </c>
      <c r="H3450" s="5" t="s">
        <v>38</v>
      </c>
      <c r="I3450" s="5" t="s">
        <v>18</v>
      </c>
      <c r="J3450" s="9" t="str">
        <f>IFERROR(__xludf.DUMMYFUNCTION("""COMPUTED_VALUE"""),"https://www.google.com/search?newwindow=1&amp;ei=2MT0XrvGGM-vytMP1OyDgAY&amp;q=site%3Alinkedin.com+Chelsea+D.+Campus+Recruiter+Wayfair")</f>
        <v>https://www.google.com/search?newwindow=1&amp;ei=2MT0XrvGGM-vytMP1OyDgAY&amp;q=site%3Alinkedin.com+Chelsea+D.+Campus+Recruiter+Wayfair</v>
      </c>
      <c r="K3450" s="5" t="str">
        <f t="shared" si="1"/>
        <v>Chelsea D.</v>
      </c>
      <c r="L3450" s="5" t="str">
        <f t="shared" si="2"/>
        <v>Campus Recruiter</v>
      </c>
      <c r="M3450" s="5" t="str">
        <f t="shared" si="3"/>
        <v> </v>
      </c>
      <c r="N3450" s="5" t="str">
        <f t="shared" si="4"/>
        <v>Wayfair</v>
      </c>
      <c r="O3450" s="5" t="str">
        <f t="shared" si="5"/>
        <v>1 year 1 month in role and company</v>
      </c>
      <c r="P3450" s="5" t="str">
        <f t="shared" si="6"/>
        <v>Boston</v>
      </c>
      <c r="Q3450" s="5" t="str">
        <f t="shared" si="7"/>
        <v>Massachusetts</v>
      </c>
      <c r="R3450" s="5" t="str">
        <f t="shared" si="8"/>
        <v>United States</v>
      </c>
    </row>
    <row r="3451">
      <c r="A3451" s="7" t="s">
        <v>3611</v>
      </c>
      <c r="B3451" s="5" t="s">
        <v>3608</v>
      </c>
      <c r="C3451" s="5" t="s">
        <v>3609</v>
      </c>
      <c r="D3451" s="6" t="s">
        <v>13</v>
      </c>
      <c r="E3451" s="5" t="s">
        <v>3595</v>
      </c>
      <c r="F3451" s="5" t="s">
        <v>387</v>
      </c>
      <c r="G3451" s="6" t="s">
        <v>3610</v>
      </c>
      <c r="H3451" s="6" t="s">
        <v>954</v>
      </c>
      <c r="I3451" s="5" t="s">
        <v>18</v>
      </c>
      <c r="J3451" s="9" t="str">
        <f>IFERROR(__xludf.DUMMYFUNCTION("""COMPUTED_VALUE"""),"https://www.google.com/search?newwindow=1&amp;ei=2MT0XrvGGM-vytMP1OyDgAY&amp;q=site%3Alinkedin.com+Erin+Collins+Campus+Recruiter,+Technical+Campus+Recruiting+Wayfair")</f>
        <v>https://www.google.com/search?newwindow=1&amp;ei=2MT0XrvGGM-vytMP1OyDgAY&amp;q=site%3Alinkedin.com+Erin+Collins+Campus+Recruiter,+Technical+Campus+Recruiting+Wayfair</v>
      </c>
      <c r="K3451" s="5" t="str">
        <f t="shared" si="1"/>
        <v>Erin Collins</v>
      </c>
      <c r="L3451" s="5" t="str">
        <f t="shared" si="2"/>
        <v>Campus Recruiter, Technical Campus Recruiting</v>
      </c>
      <c r="M3451" s="5" t="str">
        <f t="shared" si="3"/>
        <v> </v>
      </c>
      <c r="N3451" s="5" t="str">
        <f t="shared" si="4"/>
        <v>Wayfair</v>
      </c>
      <c r="O3451" s="5" t="str">
        <f t="shared" si="5"/>
        <v>2 years 3 months in role and company</v>
      </c>
      <c r="P3451" s="5" t="str">
        <f t="shared" si="6"/>
        <v>Boston</v>
      </c>
      <c r="Q3451" s="5" t="str">
        <f t="shared" si="7"/>
        <v>Massachusetts</v>
      </c>
      <c r="R3451" s="5" t="str">
        <f t="shared" si="8"/>
        <v>United States</v>
      </c>
    </row>
    <row r="3452">
      <c r="A3452" s="7" t="s">
        <v>3614</v>
      </c>
      <c r="B3452" s="5" t="s">
        <v>3612</v>
      </c>
      <c r="C3452" s="5" t="s">
        <v>110</v>
      </c>
      <c r="D3452" s="6" t="s">
        <v>13</v>
      </c>
      <c r="E3452" s="5" t="s">
        <v>3613</v>
      </c>
      <c r="F3452" s="5" t="s">
        <v>165</v>
      </c>
      <c r="G3452" s="5" t="s">
        <v>166</v>
      </c>
      <c r="H3452" s="5" t="s">
        <v>44</v>
      </c>
      <c r="I3452" s="5" t="s">
        <v>18</v>
      </c>
      <c r="J3452" s="9" t="str">
        <f>IFERROR(__xludf.DUMMYFUNCTION("""COMPUTED_VALUE"""),"https://www.google.com/search?newwindow=1&amp;ei=2MT0XrvGGM-vytMP1OyDgAY&amp;q=site%3Alinkedin.com+Milena+Restrepo+MBA+Campus+Recruiter+Co-op+Wayfair")</f>
        <v>https://www.google.com/search?newwindow=1&amp;ei=2MT0XrvGGM-vytMP1OyDgAY&amp;q=site%3Alinkedin.com+Milena+Restrepo+MBA+Campus+Recruiter+Co-op+Wayfair</v>
      </c>
      <c r="K3452" s="5" t="str">
        <f t="shared" si="1"/>
        <v>Milena Restrepo</v>
      </c>
      <c r="L3452" s="5" t="str">
        <f t="shared" si="2"/>
        <v>MBA Campus Recruiter Co-op</v>
      </c>
      <c r="M3452" s="5" t="str">
        <f t="shared" si="3"/>
        <v>MBA</v>
      </c>
      <c r="N3452" s="5" t="str">
        <f t="shared" si="4"/>
        <v>Wayfair</v>
      </c>
      <c r="O3452" s="5" t="str">
        <f t="shared" si="5"/>
        <v>1 year 10 months in role and company</v>
      </c>
      <c r="P3452" s="5" t="str">
        <f t="shared" si="6"/>
        <v>Boston</v>
      </c>
      <c r="Q3452" s="5" t="str">
        <f t="shared" si="7"/>
        <v>Massachusetts</v>
      </c>
      <c r="R3452" s="5" t="str">
        <f t="shared" si="8"/>
        <v>United States</v>
      </c>
    </row>
    <row r="3453">
      <c r="A3453" s="7" t="s">
        <v>3616</v>
      </c>
      <c r="B3453" s="5" t="s">
        <v>3615</v>
      </c>
      <c r="C3453" s="5" t="s">
        <v>110</v>
      </c>
      <c r="D3453" s="6" t="s">
        <v>13</v>
      </c>
      <c r="E3453" s="5" t="s">
        <v>3613</v>
      </c>
      <c r="F3453" s="5" t="s">
        <v>165</v>
      </c>
      <c r="G3453" s="5" t="s">
        <v>166</v>
      </c>
      <c r="H3453" s="5" t="s">
        <v>44</v>
      </c>
      <c r="I3453" s="5" t="s">
        <v>18</v>
      </c>
      <c r="J3453" s="9" t="str">
        <f>IFERROR(__xludf.DUMMYFUNCTION("""COMPUTED_VALUE"""),"https://www.google.com/search?newwindow=1&amp;ei=2MT0XrvGGM-vytMP1OyDgAY&amp;q=site%3Alinkedin.com+Jennifer+Clerici+University+Recruiter-+Intern+Program+Specialists+Waymo")</f>
        <v>https://www.google.com/search?newwindow=1&amp;ei=2MT0XrvGGM-vytMP1OyDgAY&amp;q=site%3Alinkedin.com+Jennifer+Clerici+University+Recruiter-+Intern+Program+Specialists+Waymo</v>
      </c>
      <c r="K3453" s="5" t="str">
        <f t="shared" si="1"/>
        <v>Jennifer Clerici</v>
      </c>
      <c r="L3453" s="5" t="str">
        <f t="shared" si="2"/>
        <v>University Recruiter- Intern Program Specialists</v>
      </c>
      <c r="M3453" s="5" t="str">
        <f t="shared" si="3"/>
        <v> </v>
      </c>
      <c r="N3453" s="5" t="str">
        <f t="shared" si="4"/>
        <v>Waymo</v>
      </c>
      <c r="O3453" s="5" t="str">
        <f t="shared" si="5"/>
        <v>3 months in role and company</v>
      </c>
      <c r="P3453" s="5" t="str">
        <f t="shared" si="6"/>
        <v>San Francisco</v>
      </c>
      <c r="Q3453" s="5" t="str">
        <f t="shared" si="7"/>
        <v>California</v>
      </c>
      <c r="R3453" s="5" t="str">
        <f t="shared" si="8"/>
        <v>United States</v>
      </c>
    </row>
    <row r="3454">
      <c r="A3454" s="7" t="s">
        <v>3618</v>
      </c>
      <c r="B3454" s="5" t="s">
        <v>3617</v>
      </c>
      <c r="C3454" s="5" t="s">
        <v>110</v>
      </c>
      <c r="D3454" s="6" t="s">
        <v>13</v>
      </c>
      <c r="E3454" s="5" t="s">
        <v>3613</v>
      </c>
      <c r="F3454" s="5" t="s">
        <v>188</v>
      </c>
      <c r="G3454" s="5" t="s">
        <v>166</v>
      </c>
      <c r="H3454" s="5" t="s">
        <v>44</v>
      </c>
      <c r="I3454" s="5" t="s">
        <v>18</v>
      </c>
      <c r="J3454" s="9" t="str">
        <f>IFERROR(__xludf.DUMMYFUNCTION("""COMPUTED_VALUE"""),"https://www.google.com/search?newwindow=1&amp;ei=2MT0XrvGGM-vytMP1OyDgAY&amp;q=site%3Alinkedin.com+Linda+Ma+University+Recruiter/+Intern+Program+Specialist+Waymo")</f>
        <v>https://www.google.com/search?newwindow=1&amp;ei=2MT0XrvGGM-vytMP1OyDgAY&amp;q=site%3Alinkedin.com+Linda+Ma+University+Recruiter/+Intern+Program+Specialist+Waymo</v>
      </c>
      <c r="K3454" s="5" t="str">
        <f t="shared" si="1"/>
        <v>Linda Ma</v>
      </c>
      <c r="L3454" s="5" t="str">
        <f t="shared" si="2"/>
        <v>University Recruiter/ Intern Program Specialist</v>
      </c>
      <c r="M3454" s="5" t="str">
        <f t="shared" si="3"/>
        <v> </v>
      </c>
      <c r="N3454" s="5" t="str">
        <f t="shared" si="4"/>
        <v>Waymo</v>
      </c>
      <c r="O3454" s="5" t="str">
        <f t="shared" si="5"/>
        <v>1 month in role and company</v>
      </c>
      <c r="P3454" s="5" t="str">
        <f t="shared" si="6"/>
        <v>San Jose</v>
      </c>
      <c r="Q3454" s="5" t="str">
        <f t="shared" si="7"/>
        <v>California</v>
      </c>
      <c r="R3454" s="5" t="str">
        <f t="shared" si="8"/>
        <v>United States</v>
      </c>
    </row>
    <row r="3455">
      <c r="A3455" s="7" t="s">
        <v>3620</v>
      </c>
      <c r="B3455" s="5" t="s">
        <v>3619</v>
      </c>
      <c r="C3455" s="5" t="s">
        <v>110</v>
      </c>
      <c r="D3455" s="6" t="s">
        <v>13</v>
      </c>
      <c r="E3455" s="5" t="s">
        <v>3613</v>
      </c>
      <c r="F3455" s="5" t="s">
        <v>421</v>
      </c>
      <c r="G3455" s="5" t="s">
        <v>166</v>
      </c>
      <c r="H3455" s="5" t="s">
        <v>44</v>
      </c>
      <c r="I3455" s="5" t="s">
        <v>18</v>
      </c>
      <c r="J3455" s="9" t="str">
        <f>IFERROR(__xludf.DUMMYFUNCTION("""COMPUTED_VALUE"""),"https://www.google.com/search?newwindow=1&amp;ei=2MT0XrvGGM-vytMP1OyDgAY&amp;q=site%3Alinkedin.com+Brandon+Kayhes+Campus+Recruiter+Wells+Fargo")</f>
        <v>https://www.google.com/search?newwindow=1&amp;ei=2MT0XrvGGM-vytMP1OyDgAY&amp;q=site%3Alinkedin.com+Brandon+Kayhes+Campus+Recruiter+Wells+Fargo</v>
      </c>
      <c r="K3455" s="5" t="str">
        <f t="shared" si="1"/>
        <v>Brandon Kayhes</v>
      </c>
      <c r="L3455" s="5" t="str">
        <f t="shared" si="2"/>
        <v>Campus Recruiter</v>
      </c>
      <c r="M3455" s="5" t="str">
        <f t="shared" si="3"/>
        <v> </v>
      </c>
      <c r="N3455" s="5" t="str">
        <f t="shared" si="4"/>
        <v>Wells Fargo</v>
      </c>
      <c r="O3455" s="5" t="str">
        <f t="shared" si="5"/>
        <v>4 years 2 months in role and company</v>
      </c>
      <c r="P3455" s="5" t="str">
        <f t="shared" si="6"/>
        <v>Bronx</v>
      </c>
      <c r="Q3455" s="5" t="str">
        <f t="shared" si="7"/>
        <v>New York</v>
      </c>
      <c r="R3455" s="5" t="str">
        <f t="shared" si="8"/>
        <v>United States</v>
      </c>
    </row>
    <row r="3456">
      <c r="A3456" s="7" t="s">
        <v>3623</v>
      </c>
      <c r="B3456" s="5" t="s">
        <v>3621</v>
      </c>
      <c r="C3456" s="5" t="s">
        <v>3622</v>
      </c>
      <c r="D3456" s="6" t="s">
        <v>13</v>
      </c>
      <c r="E3456" s="5" t="s">
        <v>3613</v>
      </c>
      <c r="F3456" s="5" t="s">
        <v>144</v>
      </c>
      <c r="G3456" s="5" t="s">
        <v>1135</v>
      </c>
      <c r="H3456" s="5" t="s">
        <v>44</v>
      </c>
      <c r="I3456" s="5" t="s">
        <v>18</v>
      </c>
      <c r="J3456" s="9" t="str">
        <f>IFERROR(__xludf.DUMMYFUNCTION("""COMPUTED_VALUE"""),"https://www.google.com/search?newwindow=1&amp;ei=2MT0XrvGGM-vytMP1OyDgAY&amp;q=site%3Alinkedin.com+Christie+Kerr+Campus+Recruiting,+Project+Manager+Wells+Fargo")</f>
        <v>https://www.google.com/search?newwindow=1&amp;ei=2MT0XrvGGM-vytMP1OyDgAY&amp;q=site%3Alinkedin.com+Christie+Kerr+Campus+Recruiting,+Project+Manager+Wells+Fargo</v>
      </c>
      <c r="K3456" s="5" t="str">
        <f t="shared" si="1"/>
        <v>Christie Kerr</v>
      </c>
      <c r="L3456" s="5" t="str">
        <f t="shared" si="2"/>
        <v>Campus Recruiting, Project Manager</v>
      </c>
      <c r="M3456" s="5" t="str">
        <f t="shared" si="3"/>
        <v> </v>
      </c>
      <c r="N3456" s="5" t="str">
        <f t="shared" si="4"/>
        <v>Wells Fargo</v>
      </c>
      <c r="O3456" s="5" t="str">
        <f t="shared" si="5"/>
        <v>8 years 9 months in role</v>
      </c>
      <c r="P3456" s="5" t="str">
        <f t="shared" si="6"/>
        <v>Charlotte</v>
      </c>
      <c r="Q3456" s="5" t="str">
        <f t="shared" si="7"/>
        <v>North Carolina</v>
      </c>
      <c r="R3456" s="5" t="str">
        <f t="shared" si="8"/>
        <v>United States</v>
      </c>
    </row>
    <row r="3457">
      <c r="A3457" s="7" t="s">
        <v>3628</v>
      </c>
      <c r="B3457" s="5" t="s">
        <v>3624</v>
      </c>
      <c r="C3457" s="5" t="s">
        <v>3625</v>
      </c>
      <c r="D3457" s="6" t="s">
        <v>13</v>
      </c>
      <c r="E3457" s="5" t="s">
        <v>3626</v>
      </c>
      <c r="F3457" s="5" t="s">
        <v>2650</v>
      </c>
      <c r="G3457" s="5" t="s">
        <v>3627</v>
      </c>
      <c r="H3457" s="5" t="s">
        <v>76</v>
      </c>
      <c r="I3457" s="5" t="s">
        <v>18</v>
      </c>
      <c r="J3457" s="9" t="str">
        <f>IFERROR(__xludf.DUMMYFUNCTION("""COMPUTED_VALUE"""),"https://www.google.com/search?newwindow=1&amp;ei=2MT0XrvGGM-vytMP1OyDgAY&amp;q=site%3Alinkedin.com+Cathy+Amezcua+Nikrooz+Senior+Wholesale+Campus+Recruiter+Wells+Fargo")</f>
        <v>https://www.google.com/search?newwindow=1&amp;ei=2MT0XrvGGM-vytMP1OyDgAY&amp;q=site%3Alinkedin.com+Cathy+Amezcua+Nikrooz+Senior+Wholesale+Campus+Recruiter+Wells+Fargo</v>
      </c>
      <c r="K3457" s="5" t="str">
        <f t="shared" si="1"/>
        <v>Cathy Amezcua Nikrooz</v>
      </c>
      <c r="L3457" s="5" t="str">
        <f t="shared" si="2"/>
        <v>Senior Wholesale Campus Recruiter</v>
      </c>
      <c r="M3457" s="5" t="str">
        <f t="shared" si="3"/>
        <v> </v>
      </c>
      <c r="N3457" s="5" t="str">
        <f t="shared" si="4"/>
        <v>Wells Fargo</v>
      </c>
      <c r="O3457" s="5" t="str">
        <f t="shared" si="5"/>
        <v>14 years 1 month in role and company</v>
      </c>
      <c r="P3457" s="5" t="str">
        <f t="shared" si="6"/>
        <v>Charlotte</v>
      </c>
      <c r="Q3457" s="5" t="str">
        <f t="shared" si="7"/>
        <v>North Carolina</v>
      </c>
      <c r="R3457" s="5" t="str">
        <f t="shared" si="8"/>
        <v>United States</v>
      </c>
    </row>
    <row r="3458">
      <c r="A3458" s="7" t="s">
        <v>3631</v>
      </c>
      <c r="B3458" s="5" t="s">
        <v>3629</v>
      </c>
      <c r="C3458" s="5" t="s">
        <v>3630</v>
      </c>
      <c r="D3458" s="6" t="s">
        <v>13</v>
      </c>
      <c r="E3458" s="5" t="s">
        <v>3626</v>
      </c>
      <c r="F3458" s="5" t="s">
        <v>144</v>
      </c>
      <c r="G3458" s="5" t="s">
        <v>635</v>
      </c>
      <c r="H3458" s="5" t="s">
        <v>76</v>
      </c>
      <c r="I3458" s="5" t="s">
        <v>18</v>
      </c>
      <c r="J3458" s="9" t="str">
        <f>IFERROR(__xludf.DUMMYFUNCTION("""COMPUTED_VALUE"""),"https://www.google.com/search?newwindow=1&amp;ei=2MT0XrvGGM-vytMP1OyDgAY&amp;q=site%3Alinkedin.com+Allison+Hill+Campus+Recruiter+Wells+Fargo")</f>
        <v>https://www.google.com/search?newwindow=1&amp;ei=2MT0XrvGGM-vytMP1OyDgAY&amp;q=site%3Alinkedin.com+Allison+Hill+Campus+Recruiter+Wells+Fargo</v>
      </c>
      <c r="K3458" s="5" t="str">
        <f t="shared" si="1"/>
        <v>Allison Hill</v>
      </c>
      <c r="L3458" s="5" t="str">
        <f t="shared" si="2"/>
        <v>Campus Recruiter</v>
      </c>
      <c r="M3458" s="5" t="str">
        <f t="shared" si="3"/>
        <v> </v>
      </c>
      <c r="N3458" s="5" t="str">
        <f t="shared" si="4"/>
        <v>Wells Fargo</v>
      </c>
      <c r="O3458" s="5" t="str">
        <f t="shared" si="5"/>
        <v/>
      </c>
      <c r="P3458" s="5" t="str">
        <f t="shared" si="6"/>
        <v>Dallas</v>
      </c>
      <c r="Q3458" s="5" t="str">
        <f t="shared" si="7"/>
        <v>Texas</v>
      </c>
      <c r="R3458" s="5" t="str">
        <f t="shared" si="8"/>
        <v>United States</v>
      </c>
    </row>
    <row r="3459">
      <c r="A3459" s="7" t="s">
        <v>3633</v>
      </c>
      <c r="B3459" s="5" t="s">
        <v>3632</v>
      </c>
      <c r="C3459" s="5" t="s">
        <v>480</v>
      </c>
      <c r="D3459" s="6" t="s">
        <v>13</v>
      </c>
      <c r="E3459" s="5" t="s">
        <v>3626</v>
      </c>
      <c r="F3459" s="5" t="s">
        <v>48</v>
      </c>
      <c r="G3459" s="5" t="s">
        <v>635</v>
      </c>
      <c r="H3459" s="5" t="s">
        <v>76</v>
      </c>
      <c r="I3459" s="5" t="s">
        <v>18</v>
      </c>
      <c r="J3459" s="9" t="str">
        <f>IFERROR(__xludf.DUMMYFUNCTION("""COMPUTED_VALUE"""),"https://www.google.com/search?newwindow=1&amp;ei=2MT0XrvGGM-vytMP1OyDgAY&amp;q=site%3Alinkedin.com+Jane+Johnstone+Campus+Recruiter+Wells+Fargo")</f>
        <v>https://www.google.com/search?newwindow=1&amp;ei=2MT0XrvGGM-vytMP1OyDgAY&amp;q=site%3Alinkedin.com+Jane+Johnstone+Campus+Recruiter+Wells+Fargo</v>
      </c>
      <c r="K3459" s="5" t="str">
        <f t="shared" si="1"/>
        <v>Jane Johnstone</v>
      </c>
      <c r="L3459" s="5" t="str">
        <f t="shared" si="2"/>
        <v>Campus Recruiter</v>
      </c>
      <c r="M3459" s="5" t="str">
        <f t="shared" si="3"/>
        <v> </v>
      </c>
      <c r="N3459" s="5" t="str">
        <f t="shared" si="4"/>
        <v>Wells Fargo</v>
      </c>
      <c r="O3459" s="5" t="str">
        <f t="shared" si="5"/>
        <v>4 years 10 months in role and company</v>
      </c>
      <c r="P3459" s="5" t="str">
        <f t="shared" si="6"/>
        <v>Miami</v>
      </c>
      <c r="Q3459" s="5" t="str">
        <f t="shared" si="7"/>
        <v>Florida</v>
      </c>
      <c r="R3459" s="5" t="str">
        <f t="shared" si="8"/>
        <v>United States</v>
      </c>
    </row>
    <row r="3460">
      <c r="A3460" s="7" t="s">
        <v>3636</v>
      </c>
      <c r="B3460" s="5" t="s">
        <v>3634</v>
      </c>
      <c r="C3460" s="5" t="s">
        <v>3630</v>
      </c>
      <c r="D3460" s="6" t="s">
        <v>13</v>
      </c>
      <c r="E3460" s="5" t="s">
        <v>3626</v>
      </c>
      <c r="F3460" s="5" t="s">
        <v>26</v>
      </c>
      <c r="G3460" s="5" t="s">
        <v>3635</v>
      </c>
      <c r="H3460" s="5" t="s">
        <v>76</v>
      </c>
      <c r="I3460" s="5" t="s">
        <v>18</v>
      </c>
      <c r="J3460" s="9" t="str">
        <f>IFERROR(__xludf.DUMMYFUNCTION("""COMPUTED_VALUE"""),"https://www.google.com/search?newwindow=1&amp;ei=2MT0XrvGGM-vytMP1OyDgAY&amp;q=site%3Alinkedin.com+Leah+Stewart+Head+of+Campus+Recruiting+Wells+Fargo")</f>
        <v>https://www.google.com/search?newwindow=1&amp;ei=2MT0XrvGGM-vytMP1OyDgAY&amp;q=site%3Alinkedin.com+Leah+Stewart+Head+of+Campus+Recruiting+Wells+Fargo</v>
      </c>
      <c r="K3460" s="5" t="str">
        <f t="shared" si="1"/>
        <v>Leah Stewart</v>
      </c>
      <c r="L3460" s="5" t="str">
        <f t="shared" si="2"/>
        <v>Head of Campus Recruiting</v>
      </c>
      <c r="M3460" s="5" t="str">
        <f t="shared" si="3"/>
        <v> </v>
      </c>
      <c r="N3460" s="5" t="str">
        <f t="shared" si="4"/>
        <v>Wells Fargo</v>
      </c>
      <c r="O3460" s="5" t="str">
        <f t="shared" si="5"/>
        <v>2 years 1 month in role and company</v>
      </c>
      <c r="P3460" s="5" t="str">
        <f t="shared" si="6"/>
        <v>Nashville</v>
      </c>
      <c r="Q3460" s="5" t="str">
        <f t="shared" si="7"/>
        <v>Tennessee</v>
      </c>
      <c r="R3460" s="5" t="str">
        <f t="shared" si="8"/>
        <v>United States</v>
      </c>
    </row>
    <row r="3461">
      <c r="A3461" s="7" t="s">
        <v>3639</v>
      </c>
      <c r="B3461" s="5" t="s">
        <v>3637</v>
      </c>
      <c r="C3461" s="5" t="s">
        <v>371</v>
      </c>
      <c r="D3461" s="6" t="s">
        <v>13</v>
      </c>
      <c r="E3461" s="5" t="s">
        <v>3638</v>
      </c>
      <c r="F3461" s="5" t="s">
        <v>512</v>
      </c>
      <c r="G3461" s="5" t="s">
        <v>16</v>
      </c>
      <c r="H3461" s="5" t="s">
        <v>17</v>
      </c>
      <c r="I3461" s="5" t="s">
        <v>18</v>
      </c>
      <c r="J3461" s="9" t="str">
        <f>IFERROR(__xludf.DUMMYFUNCTION("""COMPUTED_VALUE"""),"https://www.google.com/search?newwindow=1&amp;ei=2MT0XrvGGM-vytMP1OyDgAY&amp;q=site%3Alinkedin.com+Dianah+May+Campus+Recruiter+Wells+Fargo")</f>
        <v>https://www.google.com/search?newwindow=1&amp;ei=2MT0XrvGGM-vytMP1OyDgAY&amp;q=site%3Alinkedin.com+Dianah+May+Campus+Recruiter+Wells+Fargo</v>
      </c>
      <c r="K3461" s="5" t="str">
        <f t="shared" si="1"/>
        <v>Dianah May</v>
      </c>
      <c r="L3461" s="5" t="str">
        <f t="shared" si="2"/>
        <v>Campus Recruiter</v>
      </c>
      <c r="M3461" s="5" t="str">
        <f t="shared" si="3"/>
        <v> </v>
      </c>
      <c r="N3461" s="5" t="str">
        <f t="shared" si="4"/>
        <v>Wells Fargo</v>
      </c>
      <c r="O3461" s="5" t="str">
        <f t="shared" si="5"/>
        <v>5 years 10 months in role and company</v>
      </c>
      <c r="P3461" s="5" t="str">
        <f t="shared" si="6"/>
        <v>Philadelphia</v>
      </c>
      <c r="Q3461" s="5" t="str">
        <f t="shared" si="7"/>
        <v>Pennsylvania</v>
      </c>
      <c r="R3461" s="5" t="str">
        <f t="shared" si="8"/>
        <v>United States</v>
      </c>
    </row>
    <row r="3462">
      <c r="A3462" s="7" t="s">
        <v>3641</v>
      </c>
      <c r="B3462" s="5" t="s">
        <v>3640</v>
      </c>
      <c r="C3462" s="5" t="s">
        <v>25</v>
      </c>
      <c r="D3462" s="6" t="s">
        <v>13</v>
      </c>
      <c r="E3462" s="5" t="s">
        <v>3638</v>
      </c>
      <c r="F3462" s="5" t="s">
        <v>136</v>
      </c>
      <c r="G3462" s="5" t="s">
        <v>112</v>
      </c>
      <c r="H3462" s="5" t="s">
        <v>38</v>
      </c>
      <c r="I3462" s="5" t="s">
        <v>18</v>
      </c>
      <c r="J3462" s="9" t="str">
        <f>IFERROR(__xludf.DUMMYFUNCTION("""COMPUTED_VALUE"""),"https://www.google.com/search?newwindow=1&amp;ei=2MT0XrvGGM-vytMP1OyDgAY&amp;q=site%3Alinkedin.com+Ryan+Ruiz+VP,+Campus+Recruiting+Manager+Wells+Fargo")</f>
        <v>https://www.google.com/search?newwindow=1&amp;ei=2MT0XrvGGM-vytMP1OyDgAY&amp;q=site%3Alinkedin.com+Ryan+Ruiz+VP,+Campus+Recruiting+Manager+Wells+Fargo</v>
      </c>
      <c r="K3462" s="5" t="str">
        <f t="shared" si="1"/>
        <v>Ryan Ruiz</v>
      </c>
      <c r="L3462" s="5" t="str">
        <f t="shared" si="2"/>
        <v>VP, Campus Recruiting Manager</v>
      </c>
      <c r="M3462" s="5" t="str">
        <f t="shared" si="3"/>
        <v> </v>
      </c>
      <c r="N3462" s="5" t="str">
        <f t="shared" si="4"/>
        <v>Wells Fargo</v>
      </c>
      <c r="O3462" s="5" t="str">
        <f t="shared" si="5"/>
        <v>6 years 6 months in role</v>
      </c>
      <c r="P3462" s="5" t="str">
        <f t="shared" si="6"/>
        <v>Richmond</v>
      </c>
      <c r="Q3462" s="5" t="str">
        <f t="shared" si="7"/>
        <v>Texas</v>
      </c>
      <c r="R3462" s="5" t="str">
        <f t="shared" si="8"/>
        <v>United States</v>
      </c>
    </row>
    <row r="3463">
      <c r="A3463" s="7" t="s">
        <v>3643</v>
      </c>
      <c r="B3463" s="5" t="s">
        <v>3642</v>
      </c>
      <c r="C3463" s="5" t="s">
        <v>371</v>
      </c>
      <c r="D3463" s="6" t="s">
        <v>13</v>
      </c>
      <c r="E3463" s="5" t="s">
        <v>3638</v>
      </c>
      <c r="F3463" s="5" t="s">
        <v>175</v>
      </c>
      <c r="G3463" s="5" t="s">
        <v>137</v>
      </c>
      <c r="H3463" s="5" t="s">
        <v>137</v>
      </c>
      <c r="I3463" s="5" t="s">
        <v>18</v>
      </c>
      <c r="J3463" s="9" t="str">
        <f>IFERROR(__xludf.DUMMYFUNCTION("""COMPUTED_VALUE"""),"https://www.google.com/search?newwindow=1&amp;ei=2MT0XrvGGM-vytMP1OyDgAY&amp;q=site%3Alinkedin.com+Marissa+Shimada+Campus+Recruiting+Consultant+Wells+Fargo")</f>
        <v>https://www.google.com/search?newwindow=1&amp;ei=2MT0XrvGGM-vytMP1OyDgAY&amp;q=site%3Alinkedin.com+Marissa+Shimada+Campus+Recruiting+Consultant+Wells+Fargo</v>
      </c>
      <c r="K3463" s="5" t="str">
        <f t="shared" si="1"/>
        <v>Marissa Shimada</v>
      </c>
      <c r="L3463" s="5" t="str">
        <f t="shared" si="2"/>
        <v>Campus Recruiting Consultant</v>
      </c>
      <c r="M3463" s="5" t="str">
        <f t="shared" si="3"/>
        <v> </v>
      </c>
      <c r="N3463" s="5" t="str">
        <f t="shared" si="4"/>
        <v>Wells Fargo</v>
      </c>
      <c r="O3463" s="5" t="str">
        <f t="shared" si="5"/>
        <v>2 years 10 months in role and company</v>
      </c>
      <c r="P3463" s="5" t="str">
        <f t="shared" si="6"/>
        <v>San Francisco</v>
      </c>
      <c r="Q3463" s="5" t="str">
        <f t="shared" si="7"/>
        <v>California</v>
      </c>
      <c r="R3463" s="5" t="str">
        <f t="shared" si="8"/>
        <v>United States</v>
      </c>
    </row>
    <row r="3464">
      <c r="A3464" s="7" t="s">
        <v>3644</v>
      </c>
      <c r="B3464" s="5" t="s">
        <v>2913</v>
      </c>
      <c r="C3464" s="5" t="s">
        <v>25</v>
      </c>
      <c r="D3464" s="6" t="s">
        <v>13</v>
      </c>
      <c r="E3464" s="5" t="s">
        <v>3638</v>
      </c>
      <c r="G3464" s="5" t="s">
        <v>153</v>
      </c>
      <c r="H3464" s="5" t="s">
        <v>154</v>
      </c>
      <c r="I3464" s="5" t="s">
        <v>18</v>
      </c>
      <c r="J3464" s="9" t="str">
        <f>IFERROR(__xludf.DUMMYFUNCTION("""COMPUTED_VALUE"""),"https://www.google.com/search?newwindow=1&amp;ei=2MT0XrvGGM-vytMP1OyDgAY&amp;q=site%3Alinkedin.com+Rachel+Bruce+Project+Manager,+Campus+Recruiting,+Talent+Acquisition+Wells+Fargo+Bank")</f>
        <v>https://www.google.com/search?newwindow=1&amp;ei=2MT0XrvGGM-vytMP1OyDgAY&amp;q=site%3Alinkedin.com+Rachel+Bruce+Project+Manager,+Campus+Recruiting,+Talent+Acquisition+Wells+Fargo+Bank</v>
      </c>
      <c r="K3464" s="5" t="str">
        <f t="shared" si="1"/>
        <v>Rachel Bruce</v>
      </c>
      <c r="L3464" s="5" t="str">
        <f t="shared" si="2"/>
        <v>Project Manager, Campus Recruiting, Talent Acquisition</v>
      </c>
      <c r="M3464" s="5" t="str">
        <f t="shared" si="3"/>
        <v> </v>
      </c>
      <c r="N3464" s="5" t="str">
        <f t="shared" si="4"/>
        <v>Wells Fargo</v>
      </c>
      <c r="O3464" s="5" t="str">
        <f t="shared" si="5"/>
        <v>9 years 11 months in role</v>
      </c>
      <c r="P3464" s="5" t="str">
        <f t="shared" si="6"/>
        <v>San Francisco</v>
      </c>
      <c r="Q3464" s="5" t="str">
        <f t="shared" si="7"/>
        <v>California</v>
      </c>
      <c r="R3464" s="5" t="str">
        <f t="shared" si="8"/>
        <v>United States</v>
      </c>
    </row>
    <row r="3465">
      <c r="A3465" s="8" t="s">
        <v>3646</v>
      </c>
      <c r="B3465" s="5" t="s">
        <v>3645</v>
      </c>
      <c r="C3465" s="5" t="s">
        <v>371</v>
      </c>
      <c r="D3465" s="6" t="s">
        <v>13</v>
      </c>
      <c r="E3465" s="5" t="s">
        <v>3638</v>
      </c>
      <c r="G3465" s="5" t="s">
        <v>112</v>
      </c>
      <c r="H3465" s="5" t="s">
        <v>38</v>
      </c>
      <c r="I3465" s="5" t="s">
        <v>18</v>
      </c>
      <c r="J3465" s="9" t="str">
        <f>IFERROR(__xludf.DUMMYFUNCTION("""COMPUTED_VALUE"""),"https://www.google.com/search?newwindow=1&amp;ei=2MT0XrvGGM-vytMP1OyDgAY&amp;q=site%3Alinkedin.com+Ruth+Armendariz,+MBA+Campus+Relationship+Manager+Wells+Fargo+Home+Mortgage")</f>
        <v>https://www.google.com/search?newwindow=1&amp;ei=2MT0XrvGGM-vytMP1OyDgAY&amp;q=site%3Alinkedin.com+Ruth+Armendariz,+MBA+Campus+Relationship+Manager+Wells+Fargo+Home+Mortgage</v>
      </c>
      <c r="K3465" s="5" t="str">
        <f t="shared" si="1"/>
        <v>Ruth Armendariz, MBA</v>
      </c>
      <c r="L3465" s="5" t="str">
        <f t="shared" si="2"/>
        <v>Campus Relationship Manager</v>
      </c>
      <c r="M3465" s="5" t="str">
        <f t="shared" si="3"/>
        <v> </v>
      </c>
      <c r="N3465" s="5" t="str">
        <f t="shared" si="4"/>
        <v>Wells Fargo</v>
      </c>
      <c r="O3465" s="5" t="str">
        <f t="shared" si="5"/>
        <v>6 years 7 months in role</v>
      </c>
      <c r="P3465" s="5" t="str">
        <f t="shared" si="6"/>
        <v>Laveen</v>
      </c>
      <c r="Q3465" s="5" t="str">
        <f t="shared" si="7"/>
        <v>Arizona</v>
      </c>
      <c r="R3465" s="5" t="str">
        <f t="shared" si="8"/>
        <v>United States</v>
      </c>
    </row>
    <row r="3466">
      <c r="A3466" s="8" t="s">
        <v>3650</v>
      </c>
      <c r="B3466" s="5" t="s">
        <v>3647</v>
      </c>
      <c r="C3466" s="5" t="s">
        <v>3648</v>
      </c>
      <c r="D3466" s="6" t="s">
        <v>13</v>
      </c>
      <c r="E3466" s="6" t="s">
        <v>3649</v>
      </c>
      <c r="F3466" s="5" t="s">
        <v>79</v>
      </c>
      <c r="G3466" s="5" t="s">
        <v>80</v>
      </c>
      <c r="H3466" s="5" t="s">
        <v>38</v>
      </c>
      <c r="I3466" s="5" t="s">
        <v>18</v>
      </c>
      <c r="J3466" s="9" t="str">
        <f>IFERROR(__xludf.DUMMYFUNCTION("""COMPUTED_VALUE"""),"https://www.google.com/search?newwindow=1&amp;ei=2MT0XrvGGM-vytMP1OyDgAY&amp;q=site%3Alinkedin.com+Jordan+McAdams+Recruiter+-+University+Programs+Wells+Fargo+Securities")</f>
        <v>https://www.google.com/search?newwindow=1&amp;ei=2MT0XrvGGM-vytMP1OyDgAY&amp;q=site%3Alinkedin.com+Jordan+McAdams+Recruiter+-+University+Programs+Wells+Fargo+Securities</v>
      </c>
      <c r="K3466" s="5" t="str">
        <f t="shared" si="1"/>
        <v>Jordan McAdams</v>
      </c>
      <c r="L3466" s="5" t="str">
        <f t="shared" si="2"/>
        <v>Recruiter - University Programs</v>
      </c>
      <c r="M3466" s="5" t="str">
        <f t="shared" si="3"/>
        <v> </v>
      </c>
      <c r="N3466" s="5" t="str">
        <f t="shared" si="4"/>
        <v>Wells Fargo</v>
      </c>
      <c r="O3466" s="5" t="str">
        <f t="shared" si="5"/>
        <v>7 years 7 months in role</v>
      </c>
      <c r="P3466" s="5" t="str">
        <f t="shared" si="6"/>
        <v>Charlotte</v>
      </c>
      <c r="Q3466" s="5" t="str">
        <f t="shared" si="7"/>
        <v>North Carolina</v>
      </c>
      <c r="R3466" s="5" t="str">
        <f t="shared" si="8"/>
        <v>United States</v>
      </c>
    </row>
    <row r="3467">
      <c r="A3467" s="7" t="s">
        <v>3653</v>
      </c>
      <c r="B3467" s="5" t="s">
        <v>3651</v>
      </c>
      <c r="C3467" s="5" t="s">
        <v>25</v>
      </c>
      <c r="D3467" s="6" t="s">
        <v>13</v>
      </c>
      <c r="E3467" s="6" t="s">
        <v>3649</v>
      </c>
      <c r="F3467" s="5" t="s">
        <v>3652</v>
      </c>
      <c r="G3467" s="5" t="s">
        <v>1304</v>
      </c>
      <c r="H3467" s="5" t="s">
        <v>1305</v>
      </c>
      <c r="I3467" s="5" t="s">
        <v>18</v>
      </c>
      <c r="J3467" s="9" t="str">
        <f>IFERROR(__xludf.DUMMYFUNCTION("""COMPUTED_VALUE"""),"https://www.google.com/search?newwindow=1&amp;ei=2MT0XrvGGM-vytMP1OyDgAY&amp;q=site%3Alinkedin.com+Rob+Shanks+Undergraduate+Campus+Recruiter+Wells+Fargo+Securities")</f>
        <v>https://www.google.com/search?newwindow=1&amp;ei=2MT0XrvGGM-vytMP1OyDgAY&amp;q=site%3Alinkedin.com+Rob+Shanks+Undergraduate+Campus+Recruiter+Wells+Fargo+Securities</v>
      </c>
      <c r="K3467" s="5" t="str">
        <f t="shared" si="1"/>
        <v>Rob Shanks</v>
      </c>
      <c r="L3467" s="5" t="str">
        <f t="shared" si="2"/>
        <v>Undergraduate Campus Recruiter</v>
      </c>
      <c r="M3467" s="5" t="str">
        <f t="shared" si="3"/>
        <v> </v>
      </c>
      <c r="N3467" s="5" t="str">
        <f t="shared" si="4"/>
        <v>Wells Fargo</v>
      </c>
      <c r="O3467" s="5" t="str">
        <f t="shared" si="5"/>
        <v>3 years 2 months in role</v>
      </c>
      <c r="P3467" s="5" t="str">
        <f t="shared" si="6"/>
        <v>Charlotte</v>
      </c>
      <c r="Q3467" s="5" t="str">
        <f t="shared" si="7"/>
        <v>North Carolina</v>
      </c>
      <c r="R3467" s="5" t="str">
        <f t="shared" si="8"/>
        <v>United States</v>
      </c>
    </row>
    <row r="3468">
      <c r="A3468" s="7" t="s">
        <v>3656</v>
      </c>
      <c r="B3468" s="5" t="s">
        <v>3654</v>
      </c>
      <c r="C3468" s="5" t="s">
        <v>371</v>
      </c>
      <c r="D3468" s="6" t="s">
        <v>13</v>
      </c>
      <c r="E3468" s="6" t="s">
        <v>3649</v>
      </c>
      <c r="F3468" s="5" t="s">
        <v>3655</v>
      </c>
      <c r="G3468" s="5" t="s">
        <v>112</v>
      </c>
      <c r="H3468" s="5" t="s">
        <v>38</v>
      </c>
      <c r="I3468" s="5" t="s">
        <v>18</v>
      </c>
      <c r="J3468" s="9" t="str">
        <f>IFERROR(__xludf.DUMMYFUNCTION("""COMPUTED_VALUE"""),"https://www.google.com/search?newwindow=1&amp;ei=2MT0XrvGGM-vytMP1OyDgAY&amp;q=site%3Alinkedin.com+Virginia+Edahl+Molan+Undergraduate+Campus+Recruiter+at+Wells+Fargo+Securities+Wells+Fargo+Securities")</f>
        <v>https://www.google.com/search?newwindow=1&amp;ei=2MT0XrvGGM-vytMP1OyDgAY&amp;q=site%3Alinkedin.com+Virginia+Edahl+Molan+Undergraduate+Campus+Recruiter+at+Wells+Fargo+Securities+Wells+Fargo+Securities</v>
      </c>
      <c r="K3468" s="5" t="str">
        <f t="shared" si="1"/>
        <v>Virginia Edahl Molan</v>
      </c>
      <c r="L3468" s="5" t="str">
        <f t="shared" si="2"/>
        <v>Undergraduate Campus Recruiter at Wells Fargo Securities</v>
      </c>
      <c r="M3468" s="5" t="str">
        <f t="shared" si="3"/>
        <v> </v>
      </c>
      <c r="N3468" s="5" t="str">
        <f t="shared" si="4"/>
        <v>Wells Fargo</v>
      </c>
      <c r="O3468" s="5" t="str">
        <f t="shared" si="5"/>
        <v>3 years 9 months in role and company</v>
      </c>
      <c r="P3468" s="5" t="str">
        <f t="shared" si="6"/>
        <v>Charlotte</v>
      </c>
      <c r="Q3468" s="5" t="str">
        <f t="shared" si="7"/>
        <v>North Carolina</v>
      </c>
      <c r="R3468" s="5" t="str">
        <f t="shared" si="8"/>
        <v>United States</v>
      </c>
    </row>
    <row r="3469">
      <c r="A3469" s="7" t="s">
        <v>3659</v>
      </c>
      <c r="B3469" s="5" t="s">
        <v>3657</v>
      </c>
      <c r="C3469" s="5" t="s">
        <v>3658</v>
      </c>
      <c r="D3469" s="6" t="s">
        <v>13</v>
      </c>
      <c r="E3469" s="6" t="s">
        <v>3649</v>
      </c>
      <c r="G3469" s="5" t="s">
        <v>1079</v>
      </c>
      <c r="H3469" s="5" t="s">
        <v>259</v>
      </c>
      <c r="I3469" s="5" t="s">
        <v>18</v>
      </c>
      <c r="J3469" s="9" t="str">
        <f>IFERROR(__xludf.DUMMYFUNCTION("""COMPUTED_VALUE"""),"https://www.google.com/search?newwindow=1&amp;ei=2MT0XrvGGM-vytMP1OyDgAY&amp;q=site%3Alinkedin.com+Katy+Grant+MBA+Recruiter+Wells+Fargo+Securities")</f>
        <v>https://www.google.com/search?newwindow=1&amp;ei=2MT0XrvGGM-vytMP1OyDgAY&amp;q=site%3Alinkedin.com+Katy+Grant+MBA+Recruiter+Wells+Fargo+Securities</v>
      </c>
      <c r="K3469" s="5" t="str">
        <f t="shared" si="1"/>
        <v>Katy Grant</v>
      </c>
      <c r="L3469" s="5" t="str">
        <f t="shared" si="2"/>
        <v>MBA Recruiter</v>
      </c>
      <c r="M3469" s="5" t="str">
        <f t="shared" si="3"/>
        <v>MBA</v>
      </c>
      <c r="N3469" s="5" t="str">
        <f t="shared" si="4"/>
        <v>Wells Fargo</v>
      </c>
      <c r="O3469" s="5" t="str">
        <f t="shared" si="5"/>
        <v>2 years 10 months in role</v>
      </c>
      <c r="P3469" s="5" t="str">
        <f t="shared" si="6"/>
        <v>Charlotte</v>
      </c>
      <c r="Q3469" s="5" t="str">
        <f t="shared" si="7"/>
        <v>North Carolina</v>
      </c>
      <c r="R3469" s="5" t="str">
        <f t="shared" si="8"/>
        <v>United States</v>
      </c>
    </row>
    <row r="3470">
      <c r="A3470" s="8" t="s">
        <v>3663</v>
      </c>
      <c r="B3470" s="5" t="s">
        <v>3660</v>
      </c>
      <c r="C3470" s="5" t="s">
        <v>371</v>
      </c>
      <c r="D3470" s="6" t="s">
        <v>13</v>
      </c>
      <c r="E3470" s="6" t="s">
        <v>3649</v>
      </c>
      <c r="F3470" s="5" t="s">
        <v>3661</v>
      </c>
      <c r="G3470" s="5" t="s">
        <v>3662</v>
      </c>
      <c r="H3470" s="5" t="s">
        <v>3572</v>
      </c>
      <c r="I3470" s="5" t="s">
        <v>18</v>
      </c>
      <c r="J3470" s="9" t="str">
        <f>IFERROR(__xludf.DUMMYFUNCTION("""COMPUTED_VALUE"""),"https://www.google.com/search?newwindow=1&amp;ei=2MT0XrvGGM-vytMP1OyDgAY&amp;q=site%3Alinkedin.com+David+Salgado+University+Business+Recruiter+Western+Digital")</f>
        <v>https://www.google.com/search?newwindow=1&amp;ei=2MT0XrvGGM-vytMP1OyDgAY&amp;q=site%3Alinkedin.com+David+Salgado+University+Business+Recruiter+Western+Digital</v>
      </c>
      <c r="K3470" s="5" t="str">
        <f t="shared" si="1"/>
        <v>David Salgado</v>
      </c>
      <c r="L3470" s="5" t="str">
        <f t="shared" si="2"/>
        <v>University Business Recruiter</v>
      </c>
      <c r="M3470" s="5" t="str">
        <f t="shared" si="3"/>
        <v> </v>
      </c>
      <c r="N3470" s="5" t="str">
        <f t="shared" si="4"/>
        <v>Western Digital</v>
      </c>
      <c r="O3470" s="5" t="str">
        <f t="shared" si="5"/>
        <v>10 months in role</v>
      </c>
      <c r="P3470" s="5" t="str">
        <f t="shared" si="6"/>
        <v>Antioch</v>
      </c>
      <c r="Q3470" s="5" t="str">
        <f t="shared" si="7"/>
        <v>California</v>
      </c>
      <c r="R3470" s="5" t="str">
        <f t="shared" si="8"/>
        <v>United States</v>
      </c>
    </row>
    <row r="3471">
      <c r="A3471" s="7" t="s">
        <v>3665</v>
      </c>
      <c r="B3471" s="5" t="s">
        <v>3664</v>
      </c>
      <c r="C3471" s="5" t="s">
        <v>371</v>
      </c>
      <c r="D3471" s="6" t="s">
        <v>13</v>
      </c>
      <c r="E3471" s="6" t="s">
        <v>3649</v>
      </c>
      <c r="G3471" s="5" t="s">
        <v>953</v>
      </c>
      <c r="H3471" s="5" t="s">
        <v>954</v>
      </c>
      <c r="I3471" s="5" t="s">
        <v>18</v>
      </c>
      <c r="J3471" s="9" t="str">
        <f>IFERROR(__xludf.DUMMYFUNCTION("""COMPUTED_VALUE"""),"https://www.google.com/search?newwindow=1&amp;ei=2MT0XrvGGM-vytMP1OyDgAY&amp;q=site%3Alinkedin.com+Vicky+Ho+University+Recruiter+Western+Digital")</f>
        <v>https://www.google.com/search?newwindow=1&amp;ei=2MT0XrvGGM-vytMP1OyDgAY&amp;q=site%3Alinkedin.com+Vicky+Ho+University+Recruiter+Western+Digital</v>
      </c>
      <c r="K3471" s="5" t="str">
        <f t="shared" si="1"/>
        <v>Vicky Ho</v>
      </c>
      <c r="L3471" s="5" t="str">
        <f t="shared" si="2"/>
        <v>University Recruiter</v>
      </c>
      <c r="M3471" s="5" t="str">
        <f t="shared" si="3"/>
        <v> </v>
      </c>
      <c r="N3471" s="5" t="str">
        <f t="shared" si="4"/>
        <v>Western Digital</v>
      </c>
      <c r="O3471" s="5" t="str">
        <f t="shared" si="5"/>
        <v>8 months in role and company</v>
      </c>
      <c r="P3471" s="5" t="str">
        <f t="shared" si="6"/>
        <v>Los Angeles</v>
      </c>
      <c r="Q3471" s="5" t="str">
        <f t="shared" si="7"/>
        <v>California</v>
      </c>
      <c r="R3471" s="5" t="str">
        <f t="shared" si="8"/>
        <v>United States</v>
      </c>
    </row>
    <row r="3472">
      <c r="A3472" s="7" t="s">
        <v>3668</v>
      </c>
      <c r="B3472" s="5" t="s">
        <v>3666</v>
      </c>
      <c r="C3472" s="5" t="s">
        <v>3667</v>
      </c>
      <c r="D3472" s="6" t="s">
        <v>13</v>
      </c>
      <c r="E3472" s="6" t="s">
        <v>3649</v>
      </c>
      <c r="G3472" s="5" t="s">
        <v>223</v>
      </c>
      <c r="H3472" s="5" t="s">
        <v>224</v>
      </c>
      <c r="I3472" s="5" t="s">
        <v>18</v>
      </c>
      <c r="J3472" s="9" t="str">
        <f>IFERROR(__xludf.DUMMYFUNCTION("""COMPUTED_VALUE"""),"https://www.google.com/search?newwindow=1&amp;ei=2MT0XrvGGM-vytMP1OyDgAY&amp;q=site%3Alinkedin.com+Kristin+Parker+Lead+University+Recruiter+Western+Digital")</f>
        <v>https://www.google.com/search?newwindow=1&amp;ei=2MT0XrvGGM-vytMP1OyDgAY&amp;q=site%3Alinkedin.com+Kristin+Parker+Lead+University+Recruiter+Western+Digital</v>
      </c>
      <c r="K3472" s="5" t="str">
        <f t="shared" si="1"/>
        <v>Kristin Parker</v>
      </c>
      <c r="L3472" s="5" t="str">
        <f t="shared" si="2"/>
        <v>Lead University Recruiter</v>
      </c>
      <c r="M3472" s="5" t="str">
        <f t="shared" si="3"/>
        <v> </v>
      </c>
      <c r="N3472" s="5" t="str">
        <f t="shared" si="4"/>
        <v>Western Digital</v>
      </c>
      <c r="O3472" s="5" t="str">
        <f t="shared" si="5"/>
        <v>1 year 3 months in role and company</v>
      </c>
      <c r="P3472" s="5" t="str">
        <f t="shared" si="6"/>
        <v>San Francisco</v>
      </c>
      <c r="Q3472" s="5" t="str">
        <f t="shared" si="7"/>
        <v>California</v>
      </c>
      <c r="R3472" s="5" t="str">
        <f t="shared" si="8"/>
        <v>United States</v>
      </c>
    </row>
    <row r="3473">
      <c r="A3473" s="7" t="s">
        <v>3671</v>
      </c>
      <c r="B3473" s="5" t="s">
        <v>3669</v>
      </c>
      <c r="C3473" s="5" t="s">
        <v>25</v>
      </c>
      <c r="D3473" s="6" t="s">
        <v>13</v>
      </c>
      <c r="E3473" s="6" t="s">
        <v>3649</v>
      </c>
      <c r="F3473" s="5" t="s">
        <v>3670</v>
      </c>
      <c r="G3473" s="5" t="s">
        <v>1022</v>
      </c>
      <c r="H3473" s="5" t="s">
        <v>264</v>
      </c>
      <c r="I3473" s="5" t="s">
        <v>18</v>
      </c>
      <c r="J3473" s="9" t="str">
        <f>IFERROR(__xludf.DUMMYFUNCTION("""COMPUTED_VALUE"""),"https://www.google.com/search?newwindow=1&amp;ei=2MT0XrvGGM-vytMP1OyDgAY&amp;q=site%3Alinkedin.com+Matthew+Kim+University+Recruiter+Western+Digital")</f>
        <v>https://www.google.com/search?newwindow=1&amp;ei=2MT0XrvGGM-vytMP1OyDgAY&amp;q=site%3Alinkedin.com+Matthew+Kim+University+Recruiter+Western+Digital</v>
      </c>
      <c r="K3473" s="5" t="str">
        <f t="shared" si="1"/>
        <v>Matthew Kim</v>
      </c>
      <c r="L3473" s="5" t="str">
        <f t="shared" si="2"/>
        <v>University Recruiter</v>
      </c>
      <c r="M3473" s="5" t="str">
        <f t="shared" si="3"/>
        <v> </v>
      </c>
      <c r="N3473" s="5" t="str">
        <f t="shared" si="4"/>
        <v>Western Digital</v>
      </c>
      <c r="O3473" s="5" t="str">
        <f t="shared" si="5"/>
        <v>8 months in role and company</v>
      </c>
      <c r="P3473" s="5" t="str">
        <f t="shared" si="6"/>
        <v>San Jose</v>
      </c>
      <c r="Q3473" s="5" t="str">
        <f t="shared" si="7"/>
        <v>California</v>
      </c>
      <c r="R3473" s="5" t="str">
        <f t="shared" si="8"/>
        <v>United States</v>
      </c>
    </row>
    <row r="3474">
      <c r="A3474" s="7" t="s">
        <v>3673</v>
      </c>
      <c r="B3474" s="5" t="s">
        <v>3672</v>
      </c>
      <c r="C3474" s="5" t="s">
        <v>371</v>
      </c>
      <c r="D3474" s="6" t="s">
        <v>13</v>
      </c>
      <c r="E3474" s="5" t="s">
        <v>3649</v>
      </c>
      <c r="F3474" s="5" t="s">
        <v>106</v>
      </c>
      <c r="G3474" s="5" t="s">
        <v>183</v>
      </c>
      <c r="H3474" s="5" t="s">
        <v>184</v>
      </c>
      <c r="I3474" s="5" t="s">
        <v>18</v>
      </c>
    </row>
    <row r="3475">
      <c r="A3475" s="7" t="s">
        <v>3675</v>
      </c>
      <c r="B3475" s="5" t="s">
        <v>3674</v>
      </c>
      <c r="C3475" s="5" t="s">
        <v>371</v>
      </c>
      <c r="D3475" s="6" t="s">
        <v>13</v>
      </c>
      <c r="E3475" s="5" t="s">
        <v>3649</v>
      </c>
      <c r="G3475" s="5" t="s">
        <v>37</v>
      </c>
      <c r="H3475" s="5" t="s">
        <v>38</v>
      </c>
      <c r="I3475" s="5" t="s">
        <v>18</v>
      </c>
    </row>
    <row r="3476">
      <c r="A3476" s="7" t="s">
        <v>3678</v>
      </c>
      <c r="B3476" s="5" t="s">
        <v>3676</v>
      </c>
      <c r="C3476" s="5" t="s">
        <v>3677</v>
      </c>
      <c r="D3476" s="6" t="s">
        <v>13</v>
      </c>
      <c r="E3476" s="5" t="s">
        <v>3649</v>
      </c>
      <c r="F3476" s="5" t="s">
        <v>958</v>
      </c>
      <c r="G3476" s="5" t="s">
        <v>377</v>
      </c>
      <c r="H3476" s="5" t="s">
        <v>378</v>
      </c>
      <c r="I3476" s="5" t="s">
        <v>18</v>
      </c>
    </row>
    <row r="3477">
      <c r="A3477" s="7" t="s">
        <v>3680</v>
      </c>
      <c r="B3477" s="5" t="s">
        <v>3679</v>
      </c>
      <c r="C3477" s="5" t="s">
        <v>371</v>
      </c>
      <c r="D3477" s="6" t="s">
        <v>13</v>
      </c>
      <c r="E3477" s="5" t="s">
        <v>3649</v>
      </c>
      <c r="F3477" s="5" t="s">
        <v>1398</v>
      </c>
      <c r="G3477" s="5" t="s">
        <v>1532</v>
      </c>
      <c r="H3477" s="5" t="s">
        <v>945</v>
      </c>
      <c r="I3477" s="5" t="s">
        <v>18</v>
      </c>
    </row>
    <row r="3478">
      <c r="A3478" s="7" t="s">
        <v>3682</v>
      </c>
      <c r="B3478" s="5" t="s">
        <v>3681</v>
      </c>
      <c r="C3478" s="5" t="s">
        <v>25</v>
      </c>
      <c r="D3478" s="6" t="s">
        <v>13</v>
      </c>
      <c r="E3478" s="5" t="s">
        <v>3649</v>
      </c>
      <c r="F3478" s="5" t="s">
        <v>2650</v>
      </c>
      <c r="G3478" s="5" t="s">
        <v>1532</v>
      </c>
      <c r="H3478" s="5" t="s">
        <v>945</v>
      </c>
      <c r="I3478" s="5" t="s">
        <v>18</v>
      </c>
    </row>
    <row r="3479">
      <c r="A3479" s="8" t="s">
        <v>3684</v>
      </c>
      <c r="B3479" s="5" t="s">
        <v>3683</v>
      </c>
      <c r="C3479" s="5" t="s">
        <v>2155</v>
      </c>
      <c r="D3479" s="6" t="s">
        <v>13</v>
      </c>
      <c r="E3479" s="5" t="s">
        <v>3649</v>
      </c>
      <c r="F3479" s="5" t="s">
        <v>574</v>
      </c>
      <c r="G3479" s="6" t="s">
        <v>64</v>
      </c>
      <c r="H3479" s="6" t="s">
        <v>65</v>
      </c>
      <c r="I3479" s="5" t="s">
        <v>18</v>
      </c>
    </row>
    <row r="3480">
      <c r="A3480" s="7" t="s">
        <v>3687</v>
      </c>
      <c r="B3480" s="5" t="s">
        <v>3685</v>
      </c>
      <c r="C3480" s="5" t="s">
        <v>371</v>
      </c>
      <c r="D3480" s="6" t="s">
        <v>13</v>
      </c>
      <c r="E3480" s="5" t="s">
        <v>3649</v>
      </c>
      <c r="F3480" s="5" t="s">
        <v>3686</v>
      </c>
      <c r="G3480" s="6" t="s">
        <v>64</v>
      </c>
      <c r="H3480" s="6" t="s">
        <v>65</v>
      </c>
      <c r="I3480" s="5" t="s">
        <v>18</v>
      </c>
    </row>
    <row r="3481">
      <c r="A3481" s="8" t="s">
        <v>3690</v>
      </c>
      <c r="B3481" s="5" t="s">
        <v>3688</v>
      </c>
      <c r="C3481" s="5" t="s">
        <v>3689</v>
      </c>
      <c r="D3481" s="6" t="s">
        <v>13</v>
      </c>
      <c r="E3481" s="5" t="s">
        <v>3649</v>
      </c>
      <c r="F3481" s="5" t="s">
        <v>526</v>
      </c>
      <c r="G3481" s="6" t="s">
        <v>64</v>
      </c>
      <c r="H3481" s="6" t="s">
        <v>65</v>
      </c>
      <c r="I3481" s="5" t="s">
        <v>18</v>
      </c>
    </row>
    <row r="3482">
      <c r="A3482" s="7" t="s">
        <v>3692</v>
      </c>
      <c r="B3482" s="5" t="s">
        <v>3691</v>
      </c>
      <c r="C3482" s="5" t="s">
        <v>25</v>
      </c>
      <c r="D3482" s="6" t="s">
        <v>13</v>
      </c>
      <c r="E3482" s="5" t="s">
        <v>3649</v>
      </c>
      <c r="G3482" s="6" t="s">
        <v>64</v>
      </c>
      <c r="H3482" s="6" t="s">
        <v>65</v>
      </c>
      <c r="I3482" s="5" t="s">
        <v>18</v>
      </c>
    </row>
    <row r="3483">
      <c r="A3483" s="7" t="s">
        <v>3695</v>
      </c>
      <c r="B3483" s="5" t="s">
        <v>3693</v>
      </c>
      <c r="C3483" s="5" t="s">
        <v>25</v>
      </c>
      <c r="D3483" s="6" t="s">
        <v>13</v>
      </c>
      <c r="E3483" s="5" t="s">
        <v>3649</v>
      </c>
      <c r="F3483" s="5" t="s">
        <v>3694</v>
      </c>
      <c r="G3483" s="5" t="s">
        <v>80</v>
      </c>
      <c r="H3483" s="5" t="s">
        <v>38</v>
      </c>
      <c r="I3483" s="5" t="s">
        <v>18</v>
      </c>
    </row>
    <row r="3484">
      <c r="A3484" s="7" t="s">
        <v>3698</v>
      </c>
      <c r="B3484" s="5" t="s">
        <v>3696</v>
      </c>
      <c r="C3484" s="5" t="s">
        <v>3697</v>
      </c>
      <c r="D3484" s="6" t="s">
        <v>13</v>
      </c>
      <c r="E3484" s="5" t="s">
        <v>3649</v>
      </c>
      <c r="F3484" s="5" t="s">
        <v>579</v>
      </c>
      <c r="G3484" s="5" t="s">
        <v>80</v>
      </c>
      <c r="H3484" s="5" t="s">
        <v>38</v>
      </c>
      <c r="I3484" s="5" t="s">
        <v>18</v>
      </c>
    </row>
    <row r="3485">
      <c r="A3485" s="7" t="s">
        <v>3701</v>
      </c>
      <c r="B3485" s="5" t="s">
        <v>3699</v>
      </c>
      <c r="C3485" s="5" t="s">
        <v>3700</v>
      </c>
      <c r="D3485" s="6" t="s">
        <v>13</v>
      </c>
      <c r="E3485" s="5" t="s">
        <v>3649</v>
      </c>
      <c r="F3485" s="5" t="s">
        <v>832</v>
      </c>
      <c r="G3485" s="5" t="s">
        <v>85</v>
      </c>
      <c r="H3485" s="5" t="s">
        <v>86</v>
      </c>
      <c r="I3485" s="5" t="s">
        <v>18</v>
      </c>
    </row>
    <row r="3486">
      <c r="A3486" s="7" t="s">
        <v>3704</v>
      </c>
      <c r="B3486" s="5" t="s">
        <v>3702</v>
      </c>
      <c r="C3486" s="5" t="s">
        <v>3703</v>
      </c>
      <c r="D3486" s="6" t="s">
        <v>13</v>
      </c>
      <c r="E3486" s="5" t="s">
        <v>3649</v>
      </c>
      <c r="F3486" s="5" t="s">
        <v>94</v>
      </c>
      <c r="G3486" s="5" t="s">
        <v>85</v>
      </c>
      <c r="H3486" s="5" t="s">
        <v>86</v>
      </c>
      <c r="I3486" s="5" t="s">
        <v>18</v>
      </c>
    </row>
    <row r="3487">
      <c r="A3487" s="7" t="s">
        <v>3704</v>
      </c>
      <c r="B3487" s="5" t="s">
        <v>3702</v>
      </c>
      <c r="C3487" s="5" t="s">
        <v>3703</v>
      </c>
      <c r="D3487" s="6" t="s">
        <v>13</v>
      </c>
      <c r="E3487" s="5" t="s">
        <v>3649</v>
      </c>
      <c r="F3487" s="5" t="s">
        <v>94</v>
      </c>
      <c r="G3487" s="5" t="s">
        <v>85</v>
      </c>
      <c r="H3487" s="5" t="s">
        <v>86</v>
      </c>
      <c r="I3487" s="5" t="s">
        <v>18</v>
      </c>
    </row>
    <row r="3488">
      <c r="A3488" s="7" t="s">
        <v>3706</v>
      </c>
      <c r="B3488" s="5" t="s">
        <v>3705</v>
      </c>
      <c r="C3488" s="5" t="s">
        <v>371</v>
      </c>
      <c r="D3488" s="6" t="s">
        <v>13</v>
      </c>
      <c r="E3488" s="5" t="s">
        <v>3649</v>
      </c>
      <c r="F3488" s="5" t="s">
        <v>222</v>
      </c>
      <c r="G3488" s="5" t="s">
        <v>1187</v>
      </c>
      <c r="H3488" s="5" t="s">
        <v>96</v>
      </c>
      <c r="I3488" s="5" t="s">
        <v>18</v>
      </c>
    </row>
    <row r="3489">
      <c r="A3489" s="8" t="s">
        <v>3709</v>
      </c>
      <c r="B3489" s="5" t="s">
        <v>3707</v>
      </c>
      <c r="C3489" s="5" t="s">
        <v>371</v>
      </c>
      <c r="D3489" s="6" t="s">
        <v>13</v>
      </c>
      <c r="E3489" s="5" t="s">
        <v>3649</v>
      </c>
      <c r="F3489" s="5" t="s">
        <v>2120</v>
      </c>
      <c r="G3489" s="5" t="s">
        <v>3708</v>
      </c>
      <c r="H3489" s="5" t="s">
        <v>954</v>
      </c>
      <c r="I3489" s="5" t="s">
        <v>18</v>
      </c>
    </row>
    <row r="3490">
      <c r="A3490" s="7" t="s">
        <v>3711</v>
      </c>
      <c r="B3490" s="5" t="s">
        <v>3710</v>
      </c>
      <c r="C3490" s="5" t="s">
        <v>25</v>
      </c>
      <c r="D3490" s="6" t="s">
        <v>13</v>
      </c>
      <c r="E3490" s="5" t="s">
        <v>3649</v>
      </c>
      <c r="G3490" s="5" t="s">
        <v>2100</v>
      </c>
      <c r="H3490" s="5" t="s">
        <v>264</v>
      </c>
      <c r="I3490" s="5" t="s">
        <v>18</v>
      </c>
    </row>
    <row r="3491">
      <c r="A3491" s="7" t="s">
        <v>3714</v>
      </c>
      <c r="B3491" s="5" t="s">
        <v>3712</v>
      </c>
      <c r="C3491" s="5" t="s">
        <v>3713</v>
      </c>
      <c r="D3491" s="6" t="s">
        <v>13</v>
      </c>
      <c r="E3491" s="5" t="s">
        <v>3649</v>
      </c>
      <c r="F3491" s="5" t="s">
        <v>648</v>
      </c>
      <c r="G3491" s="5" t="s">
        <v>122</v>
      </c>
      <c r="H3491" s="5" t="s">
        <v>44</v>
      </c>
      <c r="I3491" s="5" t="s">
        <v>18</v>
      </c>
    </row>
    <row r="3492">
      <c r="A3492" s="7" t="s">
        <v>3717</v>
      </c>
      <c r="B3492" s="5" t="s">
        <v>3715</v>
      </c>
      <c r="C3492" s="5" t="s">
        <v>2801</v>
      </c>
      <c r="D3492" s="6" t="s">
        <v>13</v>
      </c>
      <c r="E3492" s="5" t="s">
        <v>3649</v>
      </c>
      <c r="F3492" s="5" t="s">
        <v>165</v>
      </c>
      <c r="G3492" s="5" t="s">
        <v>3716</v>
      </c>
      <c r="H3492" s="5" t="s">
        <v>378</v>
      </c>
      <c r="I3492" s="5" t="s">
        <v>18</v>
      </c>
    </row>
    <row r="3493">
      <c r="A3493" s="7" t="s">
        <v>3719</v>
      </c>
      <c r="B3493" s="5" t="s">
        <v>3718</v>
      </c>
      <c r="C3493" s="5" t="s">
        <v>371</v>
      </c>
      <c r="D3493" s="6" t="s">
        <v>13</v>
      </c>
      <c r="E3493" s="5" t="s">
        <v>3649</v>
      </c>
      <c r="F3493" s="5" t="s">
        <v>648</v>
      </c>
      <c r="G3493" s="5" t="s">
        <v>388</v>
      </c>
      <c r="H3493" s="5" t="s">
        <v>203</v>
      </c>
      <c r="I3493" s="5" t="s">
        <v>18</v>
      </c>
    </row>
    <row r="3494">
      <c r="A3494" s="7" t="s">
        <v>3722</v>
      </c>
      <c r="B3494" s="5" t="s">
        <v>3720</v>
      </c>
      <c r="C3494" s="5" t="s">
        <v>3721</v>
      </c>
      <c r="D3494" s="6" t="s">
        <v>13</v>
      </c>
      <c r="E3494" s="5" t="s">
        <v>3649</v>
      </c>
      <c r="F3494" s="5" t="s">
        <v>1300</v>
      </c>
      <c r="G3494" s="5" t="s">
        <v>953</v>
      </c>
      <c r="H3494" s="5" t="s">
        <v>954</v>
      </c>
      <c r="I3494" s="5" t="s">
        <v>18</v>
      </c>
    </row>
    <row r="3495">
      <c r="A3495" s="7" t="s">
        <v>3725</v>
      </c>
      <c r="B3495" s="5" t="s">
        <v>3723</v>
      </c>
      <c r="C3495" s="5" t="s">
        <v>3724</v>
      </c>
      <c r="D3495" s="6" t="s">
        <v>13</v>
      </c>
      <c r="E3495" s="5" t="s">
        <v>3649</v>
      </c>
      <c r="F3495" s="5" t="s">
        <v>365</v>
      </c>
      <c r="G3495" s="5" t="s">
        <v>137</v>
      </c>
      <c r="H3495" s="5" t="s">
        <v>137</v>
      </c>
      <c r="I3495" s="5" t="s">
        <v>18</v>
      </c>
    </row>
    <row r="3496">
      <c r="A3496" s="7" t="s">
        <v>3727</v>
      </c>
      <c r="B3496" s="5" t="s">
        <v>3726</v>
      </c>
      <c r="C3496" s="5" t="s">
        <v>371</v>
      </c>
      <c r="D3496" s="6" t="s">
        <v>13</v>
      </c>
      <c r="E3496" s="5" t="s">
        <v>3649</v>
      </c>
      <c r="F3496" s="5" t="s">
        <v>339</v>
      </c>
      <c r="G3496" s="5" t="s">
        <v>137</v>
      </c>
      <c r="H3496" s="5" t="s">
        <v>137</v>
      </c>
      <c r="I3496" s="5" t="s">
        <v>18</v>
      </c>
    </row>
    <row r="3497">
      <c r="A3497" s="8" t="s">
        <v>3730</v>
      </c>
      <c r="B3497" s="5" t="s">
        <v>3728</v>
      </c>
      <c r="C3497" s="5" t="s">
        <v>3729</v>
      </c>
      <c r="D3497" s="6" t="s">
        <v>13</v>
      </c>
      <c r="E3497" s="5" t="s">
        <v>3649</v>
      </c>
      <c r="F3497" s="5" t="s">
        <v>365</v>
      </c>
      <c r="G3497" s="5" t="s">
        <v>153</v>
      </c>
      <c r="H3497" s="5" t="s">
        <v>154</v>
      </c>
      <c r="I3497" s="5" t="s">
        <v>18</v>
      </c>
    </row>
    <row r="3498">
      <c r="A3498" s="8" t="s">
        <v>3733</v>
      </c>
      <c r="B3498" s="5" t="s">
        <v>3731</v>
      </c>
      <c r="C3498" s="5" t="s">
        <v>3732</v>
      </c>
      <c r="D3498" s="6" t="s">
        <v>13</v>
      </c>
      <c r="E3498" s="5" t="s">
        <v>3649</v>
      </c>
      <c r="F3498" s="5" t="s">
        <v>1098</v>
      </c>
      <c r="G3498" s="5" t="s">
        <v>153</v>
      </c>
      <c r="H3498" s="5" t="s">
        <v>154</v>
      </c>
      <c r="I3498" s="5" t="s">
        <v>18</v>
      </c>
    </row>
    <row r="3499">
      <c r="A3499" s="7" t="s">
        <v>3735</v>
      </c>
      <c r="B3499" s="5" t="s">
        <v>3734</v>
      </c>
      <c r="C3499" s="5" t="s">
        <v>25</v>
      </c>
      <c r="D3499" s="6" t="s">
        <v>13</v>
      </c>
      <c r="E3499" s="5" t="s">
        <v>3649</v>
      </c>
      <c r="F3499" s="5" t="s">
        <v>1194</v>
      </c>
      <c r="G3499" s="5" t="s">
        <v>153</v>
      </c>
      <c r="H3499" s="5" t="s">
        <v>154</v>
      </c>
      <c r="I3499" s="5" t="s">
        <v>18</v>
      </c>
    </row>
    <row r="3500">
      <c r="A3500" s="7" t="s">
        <v>3738</v>
      </c>
      <c r="B3500" s="5" t="s">
        <v>3736</v>
      </c>
      <c r="C3500" s="5" t="s">
        <v>919</v>
      </c>
      <c r="D3500" s="6" t="s">
        <v>13</v>
      </c>
      <c r="E3500" s="5" t="s">
        <v>3649</v>
      </c>
      <c r="F3500" s="5" t="s">
        <v>832</v>
      </c>
      <c r="G3500" s="5" t="s">
        <v>3737</v>
      </c>
      <c r="H3500" s="5" t="s">
        <v>96</v>
      </c>
      <c r="I3500" s="5" t="s">
        <v>18</v>
      </c>
    </row>
    <row r="3501">
      <c r="A3501" s="8" t="s">
        <v>3742</v>
      </c>
      <c r="B3501" s="5" t="s">
        <v>3739</v>
      </c>
      <c r="C3501" s="5" t="s">
        <v>3740</v>
      </c>
      <c r="D3501" s="6" t="s">
        <v>13</v>
      </c>
      <c r="E3501" s="5" t="s">
        <v>3649</v>
      </c>
      <c r="F3501" s="5" t="s">
        <v>2890</v>
      </c>
      <c r="G3501" s="5" t="s">
        <v>3741</v>
      </c>
      <c r="H3501" s="5" t="s">
        <v>962</v>
      </c>
      <c r="I3501" s="5" t="s">
        <v>18</v>
      </c>
    </row>
    <row r="3502">
      <c r="A3502" s="7" t="s">
        <v>3744</v>
      </c>
      <c r="B3502" s="5" t="s">
        <v>3743</v>
      </c>
      <c r="C3502" s="5" t="s">
        <v>371</v>
      </c>
      <c r="D3502" s="6" t="s">
        <v>13</v>
      </c>
      <c r="E3502" s="5" t="s">
        <v>3649</v>
      </c>
      <c r="F3502" s="5" t="s">
        <v>1244</v>
      </c>
      <c r="G3502" s="5" t="s">
        <v>876</v>
      </c>
      <c r="H3502" s="5" t="s">
        <v>184</v>
      </c>
      <c r="I3502" s="5" t="s">
        <v>18</v>
      </c>
    </row>
    <row r="3503">
      <c r="A3503" s="7" t="s">
        <v>3745</v>
      </c>
      <c r="B3503" s="5" t="s">
        <v>3669</v>
      </c>
      <c r="C3503" s="5" t="s">
        <v>25</v>
      </c>
      <c r="D3503" s="6" t="s">
        <v>13</v>
      </c>
      <c r="E3503" s="5" t="s">
        <v>3649</v>
      </c>
      <c r="G3503" s="5" t="s">
        <v>1022</v>
      </c>
      <c r="H3503" s="5" t="s">
        <v>264</v>
      </c>
      <c r="I3503" s="5" t="s">
        <v>18</v>
      </c>
    </row>
    <row r="3504">
      <c r="A3504" s="7" t="s">
        <v>3748</v>
      </c>
      <c r="B3504" s="5" t="s">
        <v>3746</v>
      </c>
      <c r="C3504" s="5" t="s">
        <v>25</v>
      </c>
      <c r="D3504" s="6" t="s">
        <v>13</v>
      </c>
      <c r="E3504" s="5" t="s">
        <v>3649</v>
      </c>
      <c r="G3504" s="5" t="s">
        <v>3747</v>
      </c>
      <c r="H3504" s="5" t="s">
        <v>44</v>
      </c>
      <c r="I3504" s="5" t="s">
        <v>18</v>
      </c>
    </row>
    <row r="3505">
      <c r="A3505" s="7" t="s">
        <v>3750</v>
      </c>
      <c r="B3505" s="5" t="s">
        <v>3749</v>
      </c>
      <c r="C3505" s="5" t="s">
        <v>371</v>
      </c>
      <c r="D3505" s="6" t="s">
        <v>13</v>
      </c>
      <c r="E3505" s="5" t="s">
        <v>3649</v>
      </c>
      <c r="F3505" s="5" t="s">
        <v>121</v>
      </c>
      <c r="G3505" s="5" t="s">
        <v>102</v>
      </c>
      <c r="H3505" s="5" t="s">
        <v>172</v>
      </c>
      <c r="I3505" s="5" t="s">
        <v>18</v>
      </c>
    </row>
    <row r="3506">
      <c r="A3506" s="7" t="s">
        <v>3753</v>
      </c>
      <c r="B3506" s="5" t="s">
        <v>3751</v>
      </c>
      <c r="C3506" s="5" t="s">
        <v>110</v>
      </c>
      <c r="D3506" s="6" t="s">
        <v>13</v>
      </c>
      <c r="E3506" s="5" t="s">
        <v>3752</v>
      </c>
      <c r="F3506" s="5" t="s">
        <v>15</v>
      </c>
      <c r="G3506" s="5" t="s">
        <v>2339</v>
      </c>
      <c r="H3506" s="5" t="s">
        <v>781</v>
      </c>
      <c r="I3506" s="5" t="s">
        <v>18</v>
      </c>
    </row>
    <row r="3507">
      <c r="A3507" s="7" t="s">
        <v>3755</v>
      </c>
      <c r="B3507" s="5" t="s">
        <v>3754</v>
      </c>
      <c r="C3507" s="5" t="s">
        <v>1028</v>
      </c>
      <c r="D3507" s="6" t="s">
        <v>13</v>
      </c>
      <c r="E3507" s="5" t="s">
        <v>3752</v>
      </c>
      <c r="F3507" s="5" t="s">
        <v>3110</v>
      </c>
      <c r="G3507" s="5" t="s">
        <v>2339</v>
      </c>
      <c r="H3507" s="5" t="s">
        <v>781</v>
      </c>
      <c r="I3507" s="5" t="s">
        <v>18</v>
      </c>
    </row>
    <row r="3508">
      <c r="A3508" s="7" t="s">
        <v>3757</v>
      </c>
      <c r="B3508" s="5" t="s">
        <v>3756</v>
      </c>
      <c r="C3508" s="5" t="s">
        <v>110</v>
      </c>
      <c r="D3508" s="6" t="s">
        <v>13</v>
      </c>
      <c r="E3508" s="5" t="s">
        <v>3752</v>
      </c>
      <c r="F3508" s="5" t="s">
        <v>36</v>
      </c>
      <c r="G3508" s="5" t="s">
        <v>2339</v>
      </c>
      <c r="H3508" s="5" t="s">
        <v>781</v>
      </c>
      <c r="I3508" s="5" t="s">
        <v>18</v>
      </c>
    </row>
    <row r="3509">
      <c r="A3509" s="7" t="s">
        <v>3759</v>
      </c>
      <c r="B3509" s="5" t="s">
        <v>3758</v>
      </c>
      <c r="C3509" s="5" t="s">
        <v>1028</v>
      </c>
      <c r="D3509" s="6" t="s">
        <v>13</v>
      </c>
      <c r="E3509" s="5" t="s">
        <v>3752</v>
      </c>
      <c r="F3509" s="5" t="s">
        <v>268</v>
      </c>
      <c r="G3509" s="5" t="s">
        <v>311</v>
      </c>
      <c r="H3509" s="5" t="s">
        <v>102</v>
      </c>
      <c r="I3509" s="5" t="s">
        <v>18</v>
      </c>
    </row>
    <row r="3510">
      <c r="A3510" s="7" t="s">
        <v>3762</v>
      </c>
      <c r="B3510" s="5" t="s">
        <v>3760</v>
      </c>
      <c r="C3510" s="5" t="s">
        <v>2354</v>
      </c>
      <c r="D3510" s="6" t="s">
        <v>13</v>
      </c>
      <c r="E3510" s="5" t="s">
        <v>3761</v>
      </c>
      <c r="F3510" s="5" t="s">
        <v>217</v>
      </c>
      <c r="G3510" s="6" t="s">
        <v>377</v>
      </c>
      <c r="H3510" s="6" t="s">
        <v>378</v>
      </c>
      <c r="I3510" s="5" t="s">
        <v>18</v>
      </c>
    </row>
    <row r="3511">
      <c r="A3511" s="7" t="s">
        <v>3764</v>
      </c>
      <c r="B3511" s="5" t="s">
        <v>3763</v>
      </c>
      <c r="C3511" s="5" t="s">
        <v>2354</v>
      </c>
      <c r="D3511" s="6" t="s">
        <v>13</v>
      </c>
      <c r="E3511" s="5" t="s">
        <v>3761</v>
      </c>
      <c r="F3511" s="5" t="s">
        <v>694</v>
      </c>
      <c r="G3511" s="6" t="s">
        <v>377</v>
      </c>
      <c r="H3511" s="6" t="s">
        <v>378</v>
      </c>
      <c r="I3511" s="5" t="s">
        <v>18</v>
      </c>
    </row>
    <row r="3512">
      <c r="A3512" s="7" t="s">
        <v>3768</v>
      </c>
      <c r="B3512" s="5" t="s">
        <v>3765</v>
      </c>
      <c r="C3512" s="5" t="s">
        <v>115</v>
      </c>
      <c r="D3512" s="6" t="s">
        <v>13</v>
      </c>
      <c r="E3512" s="5" t="s">
        <v>3761</v>
      </c>
      <c r="F3512" s="5" t="s">
        <v>3766</v>
      </c>
      <c r="G3512" s="5" t="s">
        <v>3767</v>
      </c>
      <c r="H3512" s="5" t="s">
        <v>378</v>
      </c>
      <c r="I3512" s="5" t="s">
        <v>18</v>
      </c>
    </row>
    <row r="3513">
      <c r="A3513" s="7" t="s">
        <v>3770</v>
      </c>
      <c r="B3513" s="5" t="s">
        <v>3769</v>
      </c>
      <c r="C3513" s="5" t="s">
        <v>2354</v>
      </c>
      <c r="D3513" s="6" t="s">
        <v>13</v>
      </c>
      <c r="E3513" s="5" t="s">
        <v>3761</v>
      </c>
      <c r="F3513" s="5" t="s">
        <v>1921</v>
      </c>
      <c r="G3513" s="5" t="s">
        <v>85</v>
      </c>
      <c r="H3513" s="5" t="s">
        <v>86</v>
      </c>
      <c r="I3513" s="5" t="s">
        <v>18</v>
      </c>
    </row>
    <row r="3514">
      <c r="A3514" s="7" t="s">
        <v>3773</v>
      </c>
      <c r="B3514" s="5" t="s">
        <v>3771</v>
      </c>
      <c r="C3514" s="5" t="s">
        <v>1930</v>
      </c>
      <c r="D3514" s="6" t="s">
        <v>13</v>
      </c>
      <c r="E3514" s="5" t="s">
        <v>3761</v>
      </c>
      <c r="F3514" s="5" t="s">
        <v>365</v>
      </c>
      <c r="G3514" s="5" t="s">
        <v>3772</v>
      </c>
      <c r="H3514" s="5" t="s">
        <v>378</v>
      </c>
      <c r="I3514" s="5" t="s">
        <v>18</v>
      </c>
    </row>
    <row r="3515">
      <c r="A3515" s="7" t="s">
        <v>3776</v>
      </c>
      <c r="B3515" s="5" t="s">
        <v>3774</v>
      </c>
      <c r="C3515" s="5" t="s">
        <v>2354</v>
      </c>
      <c r="D3515" s="6" t="s">
        <v>13</v>
      </c>
      <c r="E3515" s="5" t="s">
        <v>3761</v>
      </c>
      <c r="F3515" s="5" t="s">
        <v>125</v>
      </c>
      <c r="G3515" s="5" t="s">
        <v>3775</v>
      </c>
      <c r="H3515" s="5" t="s">
        <v>44</v>
      </c>
      <c r="I3515" s="5" t="s">
        <v>18</v>
      </c>
    </row>
    <row r="3516">
      <c r="A3516" s="7" t="s">
        <v>3779</v>
      </c>
      <c r="B3516" s="5" t="s">
        <v>3777</v>
      </c>
      <c r="C3516" s="5" t="s">
        <v>2354</v>
      </c>
      <c r="D3516" s="6" t="s">
        <v>13</v>
      </c>
      <c r="E3516" s="5" t="s">
        <v>3761</v>
      </c>
      <c r="F3516" s="5" t="s">
        <v>26</v>
      </c>
      <c r="G3516" s="5" t="s">
        <v>3778</v>
      </c>
      <c r="H3516" s="5" t="s">
        <v>3038</v>
      </c>
      <c r="I3516" s="5" t="s">
        <v>18</v>
      </c>
    </row>
    <row r="3517">
      <c r="A3517" s="7" t="s">
        <v>3782</v>
      </c>
      <c r="B3517" s="5" t="s">
        <v>3780</v>
      </c>
      <c r="C3517" s="5" t="s">
        <v>2354</v>
      </c>
      <c r="D3517" s="6" t="s">
        <v>13</v>
      </c>
      <c r="E3517" s="5" t="s">
        <v>3761</v>
      </c>
      <c r="F3517" s="5" t="s">
        <v>1634</v>
      </c>
      <c r="G3517" s="5" t="s">
        <v>3781</v>
      </c>
      <c r="H3517" s="5" t="s">
        <v>184</v>
      </c>
      <c r="I3517" s="5" t="s">
        <v>18</v>
      </c>
    </row>
    <row r="3518">
      <c r="A3518" s="8" t="s">
        <v>3786</v>
      </c>
      <c r="B3518" s="5" t="s">
        <v>3783</v>
      </c>
      <c r="C3518" s="5" t="s">
        <v>3784</v>
      </c>
      <c r="D3518" s="6" t="s">
        <v>13</v>
      </c>
      <c r="E3518" s="5" t="s">
        <v>3761</v>
      </c>
      <c r="F3518" s="5" t="s">
        <v>222</v>
      </c>
      <c r="G3518" s="5" t="s">
        <v>3785</v>
      </c>
      <c r="H3518" s="5" t="s">
        <v>378</v>
      </c>
      <c r="I3518" s="5" t="s">
        <v>18</v>
      </c>
    </row>
    <row r="3519">
      <c r="A3519" s="7" t="s">
        <v>3789</v>
      </c>
      <c r="B3519" s="5" t="s">
        <v>3787</v>
      </c>
      <c r="C3519" s="5" t="s">
        <v>3788</v>
      </c>
      <c r="D3519" s="6" t="s">
        <v>13</v>
      </c>
      <c r="E3519" s="5" t="s">
        <v>3761</v>
      </c>
      <c r="F3519" s="5" t="s">
        <v>182</v>
      </c>
      <c r="G3519" s="5" t="s">
        <v>2282</v>
      </c>
      <c r="H3519" s="5" t="s">
        <v>224</v>
      </c>
      <c r="I3519" s="5" t="s">
        <v>18</v>
      </c>
    </row>
    <row r="3520">
      <c r="A3520" s="7" t="s">
        <v>3791</v>
      </c>
      <c r="B3520" s="5" t="s">
        <v>3790</v>
      </c>
      <c r="C3520" s="5" t="s">
        <v>2354</v>
      </c>
      <c r="D3520" s="6" t="s">
        <v>13</v>
      </c>
      <c r="E3520" s="5" t="s">
        <v>3761</v>
      </c>
      <c r="F3520" s="5" t="s">
        <v>651</v>
      </c>
      <c r="G3520" s="5" t="s">
        <v>1914</v>
      </c>
      <c r="H3520" s="5" t="s">
        <v>378</v>
      </c>
      <c r="I3520" s="5" t="s">
        <v>18</v>
      </c>
    </row>
    <row r="3521">
      <c r="A3521" s="7" t="s">
        <v>3794</v>
      </c>
      <c r="B3521" s="5" t="s">
        <v>3792</v>
      </c>
      <c r="C3521" s="5" t="s">
        <v>3793</v>
      </c>
      <c r="D3521" s="6" t="s">
        <v>13</v>
      </c>
      <c r="E3521" s="5" t="s">
        <v>3761</v>
      </c>
      <c r="F3521" s="5" t="s">
        <v>399</v>
      </c>
      <c r="G3521" s="5" t="s">
        <v>80</v>
      </c>
      <c r="H3521" s="5" t="s">
        <v>38</v>
      </c>
      <c r="I3521" s="5" t="s">
        <v>18</v>
      </c>
    </row>
    <row r="3522">
      <c r="A3522" s="7" t="s">
        <v>3796</v>
      </c>
      <c r="B3522" s="5" t="s">
        <v>3795</v>
      </c>
      <c r="C3522" s="5" t="s">
        <v>2354</v>
      </c>
      <c r="D3522" s="6" t="s">
        <v>13</v>
      </c>
      <c r="E3522" s="5" t="s">
        <v>3761</v>
      </c>
      <c r="F3522" s="5" t="s">
        <v>207</v>
      </c>
      <c r="G3522" s="5" t="s">
        <v>80</v>
      </c>
      <c r="H3522" s="5" t="s">
        <v>38</v>
      </c>
      <c r="I3522" s="5" t="s">
        <v>18</v>
      </c>
    </row>
    <row r="3523">
      <c r="A3523" s="7" t="s">
        <v>3799</v>
      </c>
      <c r="B3523" s="5" t="s">
        <v>3797</v>
      </c>
      <c r="C3523" s="5" t="s">
        <v>3798</v>
      </c>
      <c r="D3523" s="6" t="s">
        <v>13</v>
      </c>
      <c r="E3523" s="5" t="s">
        <v>3761</v>
      </c>
      <c r="F3523" s="5" t="s">
        <v>188</v>
      </c>
      <c r="G3523" s="5" t="s">
        <v>2282</v>
      </c>
      <c r="H3523" s="5" t="s">
        <v>224</v>
      </c>
      <c r="I3523" s="5" t="s">
        <v>18</v>
      </c>
    </row>
    <row r="3524">
      <c r="A3524" s="7" t="s">
        <v>3801</v>
      </c>
      <c r="B3524" s="5" t="s">
        <v>3800</v>
      </c>
      <c r="C3524" s="5" t="s">
        <v>2354</v>
      </c>
      <c r="D3524" s="6" t="s">
        <v>13</v>
      </c>
      <c r="E3524" s="5" t="s">
        <v>3761</v>
      </c>
      <c r="F3524" s="5" t="s">
        <v>42</v>
      </c>
      <c r="G3524" s="5" t="s">
        <v>2282</v>
      </c>
      <c r="H3524" s="5" t="s">
        <v>224</v>
      </c>
      <c r="I3524" s="5" t="s">
        <v>18</v>
      </c>
    </row>
    <row r="3525">
      <c r="A3525" s="7" t="s">
        <v>3805</v>
      </c>
      <c r="B3525" s="5" t="s">
        <v>3802</v>
      </c>
      <c r="C3525" s="5" t="s">
        <v>3803</v>
      </c>
      <c r="D3525" s="6" t="s">
        <v>13</v>
      </c>
      <c r="E3525" s="5" t="s">
        <v>3804</v>
      </c>
      <c r="F3525" s="5" t="s">
        <v>421</v>
      </c>
      <c r="G3525" s="5" t="s">
        <v>166</v>
      </c>
      <c r="H3525" s="5" t="s">
        <v>44</v>
      </c>
      <c r="I3525" s="5" t="s">
        <v>18</v>
      </c>
    </row>
    <row r="3526">
      <c r="A3526" s="7" t="s">
        <v>3807</v>
      </c>
      <c r="B3526" s="5" t="s">
        <v>3806</v>
      </c>
      <c r="C3526" s="5" t="s">
        <v>766</v>
      </c>
      <c r="D3526" s="6" t="s">
        <v>13</v>
      </c>
      <c r="E3526" s="5" t="s">
        <v>3804</v>
      </c>
      <c r="F3526" s="5" t="s">
        <v>399</v>
      </c>
      <c r="G3526" s="5" t="s">
        <v>166</v>
      </c>
      <c r="H3526" s="5" t="s">
        <v>44</v>
      </c>
      <c r="I3526" s="5" t="s">
        <v>18</v>
      </c>
    </row>
    <row r="3527">
      <c r="A3527" s="7" t="s">
        <v>3809</v>
      </c>
      <c r="B3527" s="5" t="s">
        <v>3808</v>
      </c>
      <c r="C3527" s="5" t="s">
        <v>110</v>
      </c>
      <c r="D3527" s="6" t="s">
        <v>13</v>
      </c>
      <c r="E3527" s="5" t="s">
        <v>3804</v>
      </c>
      <c r="F3527" s="5" t="s">
        <v>63</v>
      </c>
      <c r="G3527" s="5" t="s">
        <v>166</v>
      </c>
      <c r="H3527" s="5" t="s">
        <v>44</v>
      </c>
      <c r="I3527" s="5" t="s">
        <v>18</v>
      </c>
    </row>
    <row r="3528">
      <c r="A3528" s="7" t="s">
        <v>3811</v>
      </c>
      <c r="B3528" s="5" t="s">
        <v>3810</v>
      </c>
      <c r="C3528" s="5" t="s">
        <v>110</v>
      </c>
      <c r="D3528" s="6" t="s">
        <v>13</v>
      </c>
      <c r="E3528" s="5" t="s">
        <v>3804</v>
      </c>
      <c r="F3528" s="5" t="s">
        <v>100</v>
      </c>
      <c r="G3528" s="5" t="s">
        <v>166</v>
      </c>
      <c r="H3528" s="5" t="s">
        <v>44</v>
      </c>
      <c r="I3528" s="5" t="s">
        <v>18</v>
      </c>
    </row>
    <row r="3529">
      <c r="A3529" s="7" t="s">
        <v>3814</v>
      </c>
      <c r="B3529" s="5" t="s">
        <v>3812</v>
      </c>
      <c r="C3529" s="5" t="s">
        <v>32</v>
      </c>
      <c r="D3529" s="6" t="s">
        <v>13</v>
      </c>
      <c r="E3529" s="5" t="s">
        <v>3813</v>
      </c>
      <c r="F3529" s="5" t="s">
        <v>165</v>
      </c>
      <c r="G3529" s="5" t="s">
        <v>16</v>
      </c>
      <c r="H3529" s="5" t="s">
        <v>17</v>
      </c>
      <c r="I3529" s="5" t="s">
        <v>18</v>
      </c>
    </row>
    <row r="3530">
      <c r="A3530" s="7" t="s">
        <v>3817</v>
      </c>
      <c r="B3530" s="5" t="s">
        <v>3815</v>
      </c>
      <c r="C3530" s="5" t="s">
        <v>3816</v>
      </c>
      <c r="D3530" s="6" t="s">
        <v>13</v>
      </c>
      <c r="E3530" s="5" t="s">
        <v>3813</v>
      </c>
      <c r="F3530" s="5" t="s">
        <v>165</v>
      </c>
      <c r="G3530" s="5" t="s">
        <v>16</v>
      </c>
      <c r="H3530" s="5" t="s">
        <v>17</v>
      </c>
      <c r="I3530" s="5" t="s">
        <v>18</v>
      </c>
    </row>
    <row r="3531">
      <c r="A3531" s="7" t="s">
        <v>3820</v>
      </c>
      <c r="B3531" s="5" t="s">
        <v>3818</v>
      </c>
      <c r="C3531" s="5" t="s">
        <v>3819</v>
      </c>
      <c r="D3531" s="6" t="s">
        <v>13</v>
      </c>
      <c r="E3531" s="5" t="s">
        <v>3813</v>
      </c>
      <c r="F3531" s="5" t="s">
        <v>165</v>
      </c>
      <c r="G3531" s="5" t="s">
        <v>37</v>
      </c>
      <c r="H3531" s="5" t="s">
        <v>38</v>
      </c>
      <c r="I3531" s="5" t="s">
        <v>18</v>
      </c>
    </row>
    <row r="3532">
      <c r="A3532" s="7" t="s">
        <v>3823</v>
      </c>
      <c r="B3532" s="5" t="s">
        <v>3821</v>
      </c>
      <c r="C3532" s="5" t="s">
        <v>47</v>
      </c>
      <c r="D3532" s="6" t="s">
        <v>13</v>
      </c>
      <c r="E3532" s="5" t="s">
        <v>3813</v>
      </c>
      <c r="F3532" s="5" t="s">
        <v>165</v>
      </c>
      <c r="G3532" s="5" t="s">
        <v>3822</v>
      </c>
      <c r="H3532" s="5" t="s">
        <v>65</v>
      </c>
      <c r="I3532" s="5" t="s">
        <v>18</v>
      </c>
    </row>
    <row r="3533">
      <c r="A3533" s="7" t="s">
        <v>3825</v>
      </c>
      <c r="B3533" s="5" t="s">
        <v>3824</v>
      </c>
      <c r="C3533" s="5" t="s">
        <v>47</v>
      </c>
      <c r="D3533" s="6" t="s">
        <v>13</v>
      </c>
      <c r="E3533" s="5" t="s">
        <v>3813</v>
      </c>
      <c r="F3533" s="5" t="s">
        <v>165</v>
      </c>
      <c r="G3533" s="5" t="s">
        <v>377</v>
      </c>
      <c r="H3533" s="5" t="s">
        <v>378</v>
      </c>
      <c r="I3533" s="5" t="s">
        <v>18</v>
      </c>
    </row>
    <row r="3534">
      <c r="A3534" s="7" t="s">
        <v>3828</v>
      </c>
      <c r="B3534" s="5" t="s">
        <v>3826</v>
      </c>
      <c r="C3534" s="5" t="s">
        <v>3827</v>
      </c>
      <c r="D3534" s="6" t="s">
        <v>13</v>
      </c>
      <c r="E3534" s="5" t="s">
        <v>3813</v>
      </c>
      <c r="F3534" s="5" t="s">
        <v>1123</v>
      </c>
      <c r="G3534" s="5" t="s">
        <v>3095</v>
      </c>
      <c r="H3534" s="5" t="s">
        <v>102</v>
      </c>
      <c r="I3534" s="5" t="s">
        <v>18</v>
      </c>
    </row>
    <row r="3535">
      <c r="A3535" s="7" t="s">
        <v>3831</v>
      </c>
      <c r="B3535" s="5" t="s">
        <v>3829</v>
      </c>
      <c r="C3535" s="5" t="s">
        <v>32</v>
      </c>
      <c r="D3535" s="6" t="s">
        <v>13</v>
      </c>
      <c r="E3535" s="5" t="s">
        <v>3813</v>
      </c>
      <c r="F3535" s="5" t="s">
        <v>651</v>
      </c>
      <c r="G3535" s="5" t="s">
        <v>3830</v>
      </c>
      <c r="H3535" s="5" t="s">
        <v>949</v>
      </c>
      <c r="I3535" s="5" t="s">
        <v>18</v>
      </c>
    </row>
    <row r="3536">
      <c r="A3536" s="8" t="s">
        <v>3833</v>
      </c>
      <c r="B3536" s="5" t="s">
        <v>3832</v>
      </c>
      <c r="C3536" s="5" t="s">
        <v>32</v>
      </c>
      <c r="D3536" s="6" t="s">
        <v>13</v>
      </c>
      <c r="E3536" s="5" t="s">
        <v>3813</v>
      </c>
      <c r="F3536" s="5" t="s">
        <v>441</v>
      </c>
      <c r="G3536" s="5" t="s">
        <v>49</v>
      </c>
      <c r="H3536" s="5" t="s">
        <v>50</v>
      </c>
      <c r="I3536" s="5" t="s">
        <v>18</v>
      </c>
    </row>
    <row r="3537">
      <c r="A3537" s="7" t="s">
        <v>3835</v>
      </c>
      <c r="B3537" s="5" t="s">
        <v>3834</v>
      </c>
      <c r="C3537" s="5" t="s">
        <v>32</v>
      </c>
      <c r="D3537" s="6" t="s">
        <v>13</v>
      </c>
      <c r="E3537" s="5" t="s">
        <v>3813</v>
      </c>
      <c r="F3537" s="5" t="s">
        <v>15</v>
      </c>
      <c r="G3537" s="6" t="s">
        <v>64</v>
      </c>
      <c r="H3537" s="6" t="s">
        <v>65</v>
      </c>
      <c r="I3537" s="5" t="s">
        <v>18</v>
      </c>
    </row>
    <row r="3538">
      <c r="A3538" s="8" t="s">
        <v>3837</v>
      </c>
      <c r="B3538" s="5" t="s">
        <v>3836</v>
      </c>
      <c r="C3538" s="5" t="s">
        <v>32</v>
      </c>
      <c r="D3538" s="6" t="s">
        <v>13</v>
      </c>
      <c r="E3538" s="5" t="s">
        <v>3813</v>
      </c>
      <c r="F3538" s="5" t="s">
        <v>441</v>
      </c>
      <c r="G3538" s="5" t="s">
        <v>1274</v>
      </c>
      <c r="H3538" s="5" t="s">
        <v>76</v>
      </c>
      <c r="I3538" s="5" t="s">
        <v>18</v>
      </c>
    </row>
    <row r="3539">
      <c r="A3539" s="7" t="s">
        <v>3839</v>
      </c>
      <c r="B3539" s="5" t="s">
        <v>3838</v>
      </c>
      <c r="C3539" s="5" t="s">
        <v>47</v>
      </c>
      <c r="D3539" s="6" t="s">
        <v>13</v>
      </c>
      <c r="E3539" s="5" t="s">
        <v>3813</v>
      </c>
      <c r="F3539" s="5" t="s">
        <v>441</v>
      </c>
      <c r="G3539" s="5" t="s">
        <v>85</v>
      </c>
      <c r="H3539" s="5" t="s">
        <v>86</v>
      </c>
      <c r="I3539" s="5" t="s">
        <v>18</v>
      </c>
    </row>
    <row r="3540">
      <c r="A3540" s="7" t="s">
        <v>3842</v>
      </c>
      <c r="B3540" s="5" t="s">
        <v>3840</v>
      </c>
      <c r="C3540" s="5" t="s">
        <v>25</v>
      </c>
      <c r="D3540" s="6" t="s">
        <v>13</v>
      </c>
      <c r="E3540" s="5" t="s">
        <v>3813</v>
      </c>
      <c r="F3540" s="5" t="s">
        <v>3841</v>
      </c>
      <c r="G3540" s="5" t="s">
        <v>1473</v>
      </c>
      <c r="H3540" s="5" t="s">
        <v>50</v>
      </c>
      <c r="I3540" s="5" t="s">
        <v>18</v>
      </c>
    </row>
    <row r="3541">
      <c r="A3541" s="7" t="s">
        <v>3844</v>
      </c>
      <c r="B3541" s="5" t="s">
        <v>3843</v>
      </c>
      <c r="C3541" s="5" t="s">
        <v>25</v>
      </c>
      <c r="D3541" s="6" t="s">
        <v>13</v>
      </c>
      <c r="E3541" s="5" t="s">
        <v>3813</v>
      </c>
      <c r="F3541" s="5" t="s">
        <v>354</v>
      </c>
      <c r="G3541" s="5" t="s">
        <v>112</v>
      </c>
      <c r="H3541" s="5" t="s">
        <v>38</v>
      </c>
      <c r="I3541" s="5" t="s">
        <v>18</v>
      </c>
    </row>
    <row r="3542">
      <c r="A3542" s="7" t="s">
        <v>3846</v>
      </c>
      <c r="B3542" s="5" t="s">
        <v>3845</v>
      </c>
      <c r="C3542" s="5" t="s">
        <v>32</v>
      </c>
      <c r="D3542" s="6" t="s">
        <v>13</v>
      </c>
      <c r="E3542" s="5" t="s">
        <v>3813</v>
      </c>
      <c r="F3542" s="5" t="s">
        <v>651</v>
      </c>
      <c r="G3542" s="5" t="s">
        <v>1527</v>
      </c>
      <c r="H3542" s="5" t="s">
        <v>945</v>
      </c>
      <c r="I3542" s="5" t="s">
        <v>18</v>
      </c>
    </row>
    <row r="3543">
      <c r="A3543" s="7" t="s">
        <v>3849</v>
      </c>
      <c r="B3543" s="5" t="s">
        <v>3847</v>
      </c>
      <c r="C3543" s="5" t="s">
        <v>32</v>
      </c>
      <c r="D3543" s="6" t="s">
        <v>13</v>
      </c>
      <c r="E3543" s="5" t="s">
        <v>3813</v>
      </c>
      <c r="F3543" s="5" t="s">
        <v>188</v>
      </c>
      <c r="G3543" s="5" t="s">
        <v>3848</v>
      </c>
      <c r="H3543" s="5" t="s">
        <v>264</v>
      </c>
      <c r="I3543" s="5" t="s">
        <v>18</v>
      </c>
    </row>
    <row r="3544">
      <c r="A3544" s="7" t="s">
        <v>3851</v>
      </c>
      <c r="B3544" s="5" t="s">
        <v>3850</v>
      </c>
      <c r="C3544" s="5" t="s">
        <v>32</v>
      </c>
      <c r="D3544" s="6" t="s">
        <v>13</v>
      </c>
      <c r="E3544" s="5" t="s">
        <v>3813</v>
      </c>
      <c r="F3544" s="5" t="s">
        <v>222</v>
      </c>
      <c r="G3544" s="5" t="s">
        <v>122</v>
      </c>
      <c r="H3544" s="5" t="s">
        <v>44</v>
      </c>
      <c r="I3544" s="5" t="s">
        <v>18</v>
      </c>
    </row>
    <row r="3545">
      <c r="A3545" s="8" t="s">
        <v>3854</v>
      </c>
      <c r="B3545" s="5" t="s">
        <v>3852</v>
      </c>
      <c r="C3545" s="5" t="s">
        <v>3853</v>
      </c>
      <c r="D3545" s="6" t="s">
        <v>13</v>
      </c>
      <c r="E3545" s="5" t="s">
        <v>3813</v>
      </c>
      <c r="F3545" s="5" t="s">
        <v>3110</v>
      </c>
      <c r="G3545" s="5" t="s">
        <v>388</v>
      </c>
      <c r="H3545" s="5" t="s">
        <v>203</v>
      </c>
      <c r="I3545" s="5" t="s">
        <v>18</v>
      </c>
    </row>
    <row r="3546">
      <c r="A3546" s="7" t="s">
        <v>3856</v>
      </c>
      <c r="B3546" s="5" t="s">
        <v>3855</v>
      </c>
      <c r="C3546" s="5" t="s">
        <v>32</v>
      </c>
      <c r="D3546" s="6" t="s">
        <v>13</v>
      </c>
      <c r="E3546" s="5" t="s">
        <v>3813</v>
      </c>
      <c r="F3546" s="5" t="s">
        <v>15</v>
      </c>
      <c r="G3546" s="5" t="s">
        <v>218</v>
      </c>
      <c r="H3546" s="5" t="s">
        <v>219</v>
      </c>
      <c r="I3546" s="5" t="s">
        <v>18</v>
      </c>
    </row>
    <row r="3547">
      <c r="A3547" s="7" t="s">
        <v>3859</v>
      </c>
      <c r="B3547" s="5" t="s">
        <v>3857</v>
      </c>
      <c r="C3547" s="5" t="s">
        <v>3858</v>
      </c>
      <c r="D3547" s="6" t="s">
        <v>13</v>
      </c>
      <c r="E3547" s="5" t="s">
        <v>3813</v>
      </c>
      <c r="F3547" s="5" t="s">
        <v>651</v>
      </c>
      <c r="G3547" s="5" t="s">
        <v>953</v>
      </c>
      <c r="H3547" s="5" t="s">
        <v>954</v>
      </c>
      <c r="I3547" s="5" t="s">
        <v>18</v>
      </c>
    </row>
    <row r="3548">
      <c r="A3548" s="8" t="s">
        <v>3862</v>
      </c>
      <c r="B3548" s="5" t="s">
        <v>3860</v>
      </c>
      <c r="C3548" s="5" t="s">
        <v>3861</v>
      </c>
      <c r="D3548" s="6" t="s">
        <v>13</v>
      </c>
      <c r="E3548" s="5" t="s">
        <v>3813</v>
      </c>
      <c r="F3548" s="5" t="s">
        <v>63</v>
      </c>
      <c r="G3548" s="5" t="s">
        <v>137</v>
      </c>
      <c r="H3548" s="5" t="s">
        <v>137</v>
      </c>
      <c r="I3548" s="5" t="s">
        <v>18</v>
      </c>
    </row>
    <row r="3549">
      <c r="A3549" s="8" t="s">
        <v>3864</v>
      </c>
      <c r="B3549" s="5" t="s">
        <v>3863</v>
      </c>
      <c r="C3549" s="5" t="s">
        <v>1874</v>
      </c>
      <c r="D3549" s="6" t="s">
        <v>13</v>
      </c>
      <c r="E3549" s="5" t="s">
        <v>3813</v>
      </c>
      <c r="F3549" s="5" t="s">
        <v>217</v>
      </c>
      <c r="G3549" s="5" t="s">
        <v>2491</v>
      </c>
      <c r="H3549" s="5" t="s">
        <v>44</v>
      </c>
      <c r="I3549" s="5" t="s">
        <v>18</v>
      </c>
    </row>
    <row r="3550">
      <c r="A3550" s="7" t="s">
        <v>3866</v>
      </c>
      <c r="B3550" s="5" t="s">
        <v>3865</v>
      </c>
      <c r="C3550" s="5" t="s">
        <v>32</v>
      </c>
      <c r="D3550" s="6" t="s">
        <v>13</v>
      </c>
      <c r="E3550" s="5" t="s">
        <v>3813</v>
      </c>
      <c r="F3550" s="5" t="s">
        <v>165</v>
      </c>
      <c r="G3550" s="5" t="s">
        <v>153</v>
      </c>
      <c r="H3550" s="5" t="s">
        <v>154</v>
      </c>
      <c r="I3550" s="5" t="s">
        <v>18</v>
      </c>
    </row>
    <row r="3551">
      <c r="A3551" s="7" t="s">
        <v>3868</v>
      </c>
      <c r="B3551" s="5" t="s">
        <v>3167</v>
      </c>
      <c r="C3551" s="5" t="s">
        <v>3867</v>
      </c>
      <c r="D3551" s="6" t="s">
        <v>13</v>
      </c>
      <c r="E3551" s="5" t="s">
        <v>3813</v>
      </c>
      <c r="F3551" s="5" t="s">
        <v>144</v>
      </c>
      <c r="G3551" s="5" t="s">
        <v>1852</v>
      </c>
      <c r="H3551" s="5" t="s">
        <v>38</v>
      </c>
      <c r="I3551" s="5" t="s">
        <v>18</v>
      </c>
    </row>
    <row r="3552">
      <c r="A3552" s="7" t="s">
        <v>3870</v>
      </c>
      <c r="B3552" s="5" t="s">
        <v>3869</v>
      </c>
      <c r="C3552" s="5" t="s">
        <v>25</v>
      </c>
      <c r="D3552" s="6" t="s">
        <v>13</v>
      </c>
      <c r="E3552" s="5" t="s">
        <v>3813</v>
      </c>
      <c r="F3552" s="5" t="s">
        <v>79</v>
      </c>
      <c r="G3552" s="5" t="s">
        <v>166</v>
      </c>
      <c r="H3552" s="5" t="s">
        <v>44</v>
      </c>
      <c r="I3552" s="5" t="s">
        <v>18</v>
      </c>
    </row>
    <row r="3553">
      <c r="A3553" s="7" t="s">
        <v>3872</v>
      </c>
      <c r="B3553" s="5" t="s">
        <v>3871</v>
      </c>
      <c r="C3553" s="5" t="s">
        <v>32</v>
      </c>
      <c r="D3553" s="6" t="s">
        <v>13</v>
      </c>
      <c r="E3553" s="5" t="s">
        <v>3813</v>
      </c>
      <c r="F3553" s="5" t="s">
        <v>376</v>
      </c>
      <c r="G3553" s="5" t="s">
        <v>1131</v>
      </c>
      <c r="H3553" s="5" t="s">
        <v>203</v>
      </c>
      <c r="I3553" s="5" t="s">
        <v>18</v>
      </c>
    </row>
    <row r="3554">
      <c r="A3554" s="7" t="s">
        <v>3875</v>
      </c>
      <c r="B3554" s="5" t="s">
        <v>3873</v>
      </c>
      <c r="C3554" s="5" t="s">
        <v>766</v>
      </c>
      <c r="D3554" s="6" t="s">
        <v>13</v>
      </c>
      <c r="E3554" s="5" t="s">
        <v>3874</v>
      </c>
      <c r="F3554" s="5" t="s">
        <v>165</v>
      </c>
      <c r="G3554" s="5" t="s">
        <v>16</v>
      </c>
      <c r="H3554" s="5" t="s">
        <v>17</v>
      </c>
      <c r="I3554" s="5" t="s">
        <v>18</v>
      </c>
    </row>
    <row r="3555">
      <c r="A3555" s="8" t="s">
        <v>3878</v>
      </c>
      <c r="B3555" s="5" t="s">
        <v>3876</v>
      </c>
      <c r="C3555" s="5" t="s">
        <v>3877</v>
      </c>
      <c r="D3555" s="6" t="s">
        <v>13</v>
      </c>
      <c r="E3555" s="5" t="s">
        <v>3874</v>
      </c>
      <c r="F3555" s="5" t="s">
        <v>165</v>
      </c>
      <c r="G3555" s="5" t="s">
        <v>16</v>
      </c>
      <c r="H3555" s="5" t="s">
        <v>17</v>
      </c>
      <c r="I3555" s="5" t="s">
        <v>18</v>
      </c>
    </row>
    <row r="3556">
      <c r="A3556" s="8" t="s">
        <v>3881</v>
      </c>
      <c r="B3556" s="5" t="s">
        <v>3879</v>
      </c>
      <c r="C3556" s="5" t="s">
        <v>3880</v>
      </c>
      <c r="D3556" s="6" t="s">
        <v>13</v>
      </c>
      <c r="E3556" s="5" t="s">
        <v>3874</v>
      </c>
      <c r="F3556" s="5" t="s">
        <v>512</v>
      </c>
      <c r="G3556" s="5" t="s">
        <v>377</v>
      </c>
      <c r="H3556" s="5" t="s">
        <v>378</v>
      </c>
      <c r="I3556" s="5" t="s">
        <v>18</v>
      </c>
    </row>
    <row r="3557">
      <c r="A3557" s="7" t="s">
        <v>3884</v>
      </c>
      <c r="B3557" s="5" t="s">
        <v>3882</v>
      </c>
      <c r="C3557" s="5" t="s">
        <v>3883</v>
      </c>
      <c r="D3557" s="6" t="s">
        <v>13</v>
      </c>
      <c r="E3557" s="5" t="s">
        <v>3874</v>
      </c>
      <c r="F3557" s="5" t="s">
        <v>686</v>
      </c>
      <c r="G3557" s="6" t="s">
        <v>377</v>
      </c>
      <c r="H3557" s="6" t="s">
        <v>378</v>
      </c>
      <c r="I3557" s="5" t="s">
        <v>18</v>
      </c>
    </row>
    <row r="3558">
      <c r="A3558" s="7" t="s">
        <v>3888</v>
      </c>
      <c r="B3558" s="5" t="s">
        <v>3885</v>
      </c>
      <c r="C3558" s="5" t="s">
        <v>3886</v>
      </c>
      <c r="D3558" s="6" t="s">
        <v>13</v>
      </c>
      <c r="E3558" s="5" t="s">
        <v>3874</v>
      </c>
      <c r="F3558" s="5" t="s">
        <v>121</v>
      </c>
      <c r="G3558" s="5" t="s">
        <v>3887</v>
      </c>
      <c r="H3558" s="5" t="s">
        <v>44</v>
      </c>
      <c r="I3558" s="5" t="s">
        <v>18</v>
      </c>
    </row>
    <row r="3559">
      <c r="A3559" s="8" t="s">
        <v>3891</v>
      </c>
      <c r="B3559" s="5" t="s">
        <v>3889</v>
      </c>
      <c r="C3559" s="5" t="s">
        <v>3890</v>
      </c>
      <c r="D3559" s="6" t="s">
        <v>13</v>
      </c>
      <c r="E3559" s="5" t="s">
        <v>3874</v>
      </c>
      <c r="F3559" s="5" t="s">
        <v>496</v>
      </c>
      <c r="G3559" s="5" t="s">
        <v>80</v>
      </c>
      <c r="H3559" s="5" t="s">
        <v>38</v>
      </c>
      <c r="I3559" s="5" t="s">
        <v>18</v>
      </c>
    </row>
    <row r="3560">
      <c r="A3560" s="7" t="s">
        <v>3893</v>
      </c>
      <c r="B3560" s="5" t="s">
        <v>3892</v>
      </c>
      <c r="C3560" s="5" t="s">
        <v>766</v>
      </c>
      <c r="D3560" s="6" t="s">
        <v>13</v>
      </c>
      <c r="E3560" s="5" t="s">
        <v>3874</v>
      </c>
      <c r="F3560" s="5" t="s">
        <v>1364</v>
      </c>
      <c r="G3560" s="5" t="s">
        <v>1527</v>
      </c>
      <c r="H3560" s="5" t="s">
        <v>945</v>
      </c>
      <c r="I3560" s="5" t="s">
        <v>18</v>
      </c>
    </row>
    <row r="3561">
      <c r="A3561" s="7" t="s">
        <v>3896</v>
      </c>
      <c r="B3561" s="5" t="s">
        <v>3894</v>
      </c>
      <c r="C3561" s="5" t="s">
        <v>3895</v>
      </c>
      <c r="D3561" s="6" t="s">
        <v>13</v>
      </c>
      <c r="E3561" s="5" t="s">
        <v>3874</v>
      </c>
      <c r="F3561" s="5" t="s">
        <v>79</v>
      </c>
      <c r="G3561" s="5" t="s">
        <v>311</v>
      </c>
      <c r="H3561" s="5" t="s">
        <v>102</v>
      </c>
      <c r="I3561" s="5" t="s">
        <v>18</v>
      </c>
    </row>
    <row r="3562">
      <c r="A3562" s="7" t="s">
        <v>3899</v>
      </c>
      <c r="B3562" s="5" t="s">
        <v>3897</v>
      </c>
      <c r="C3562" s="5" t="s">
        <v>3898</v>
      </c>
      <c r="D3562" s="6" t="s">
        <v>13</v>
      </c>
      <c r="E3562" s="5" t="s">
        <v>3874</v>
      </c>
      <c r="F3562" s="5" t="s">
        <v>79</v>
      </c>
      <c r="G3562" s="5" t="s">
        <v>311</v>
      </c>
      <c r="H3562" s="5" t="s">
        <v>102</v>
      </c>
      <c r="I3562" s="5" t="s">
        <v>18</v>
      </c>
    </row>
    <row r="3563">
      <c r="A3563" s="7" t="s">
        <v>3902</v>
      </c>
      <c r="B3563" s="5" t="s">
        <v>3900</v>
      </c>
      <c r="C3563" s="5" t="s">
        <v>110</v>
      </c>
      <c r="D3563" s="6" t="s">
        <v>13</v>
      </c>
      <c r="E3563" s="5" t="s">
        <v>3901</v>
      </c>
      <c r="F3563" s="5" t="s">
        <v>579</v>
      </c>
      <c r="G3563" s="5" t="s">
        <v>218</v>
      </c>
      <c r="H3563" s="5" t="s">
        <v>219</v>
      </c>
      <c r="I3563" s="5" t="s">
        <v>18</v>
      </c>
    </row>
    <row r="3564">
      <c r="A3564" s="7" t="s">
        <v>3904</v>
      </c>
      <c r="B3564" s="5" t="s">
        <v>3903</v>
      </c>
      <c r="C3564" s="5" t="s">
        <v>110</v>
      </c>
      <c r="D3564" s="6" t="s">
        <v>13</v>
      </c>
      <c r="E3564" s="5" t="s">
        <v>3901</v>
      </c>
      <c r="F3564" s="5" t="s">
        <v>100</v>
      </c>
      <c r="G3564" s="5" t="s">
        <v>295</v>
      </c>
      <c r="H3564" s="5" t="s">
        <v>154</v>
      </c>
      <c r="I3564" s="5" t="s">
        <v>18</v>
      </c>
    </row>
    <row r="3565">
      <c r="A3565" s="7" t="s">
        <v>3908</v>
      </c>
      <c r="B3565" s="5" t="s">
        <v>3905</v>
      </c>
      <c r="C3565" s="5" t="s">
        <v>110</v>
      </c>
      <c r="D3565" s="6" t="s">
        <v>13</v>
      </c>
      <c r="E3565" s="5" t="s">
        <v>3906</v>
      </c>
      <c r="F3565" s="5" t="s">
        <v>222</v>
      </c>
      <c r="G3565" s="5" t="s">
        <v>3907</v>
      </c>
      <c r="H3565" s="5" t="s">
        <v>154</v>
      </c>
      <c r="I3565" s="5" t="s">
        <v>18</v>
      </c>
    </row>
    <row r="3566">
      <c r="A3566" s="7" t="s">
        <v>3912</v>
      </c>
      <c r="B3566" s="5" t="s">
        <v>3909</v>
      </c>
      <c r="C3566" s="5" t="s">
        <v>3910</v>
      </c>
      <c r="D3566" s="6" t="s">
        <v>13</v>
      </c>
      <c r="E3566" s="5" t="s">
        <v>3906</v>
      </c>
      <c r="G3566" s="5" t="s">
        <v>3911</v>
      </c>
      <c r="H3566" s="5" t="s">
        <v>154</v>
      </c>
      <c r="I3566" s="5" t="s">
        <v>18</v>
      </c>
    </row>
    <row r="3567">
      <c r="A3567" s="7" t="s">
        <v>3914</v>
      </c>
      <c r="B3567" s="5" t="s">
        <v>3913</v>
      </c>
      <c r="C3567" s="5" t="s">
        <v>110</v>
      </c>
      <c r="D3567" s="6" t="s">
        <v>13</v>
      </c>
      <c r="E3567" s="5" t="s">
        <v>3906</v>
      </c>
      <c r="F3567" s="5" t="s">
        <v>213</v>
      </c>
      <c r="G3567" s="5" t="s">
        <v>37</v>
      </c>
      <c r="H3567" s="5" t="s">
        <v>38</v>
      </c>
      <c r="I3567" s="5" t="s">
        <v>18</v>
      </c>
    </row>
    <row r="3568">
      <c r="A3568" s="7" t="s">
        <v>3917</v>
      </c>
      <c r="B3568" s="5" t="s">
        <v>3915</v>
      </c>
      <c r="C3568" s="5" t="s">
        <v>3916</v>
      </c>
      <c r="D3568" s="6" t="s">
        <v>13</v>
      </c>
      <c r="E3568" s="5" t="s">
        <v>3906</v>
      </c>
      <c r="F3568" s="5" t="s">
        <v>399</v>
      </c>
      <c r="G3568" s="5" t="s">
        <v>1965</v>
      </c>
      <c r="H3568" s="5" t="s">
        <v>44</v>
      </c>
      <c r="I3568" s="5" t="s">
        <v>18</v>
      </c>
    </row>
    <row r="3569">
      <c r="A3569" s="7" t="s">
        <v>3920</v>
      </c>
      <c r="B3569" s="5" t="s">
        <v>3918</v>
      </c>
      <c r="C3569" s="5" t="s">
        <v>3919</v>
      </c>
      <c r="D3569" s="6" t="s">
        <v>13</v>
      </c>
      <c r="E3569" s="5" t="s">
        <v>3906</v>
      </c>
      <c r="F3569" s="5" t="s">
        <v>125</v>
      </c>
      <c r="G3569" s="5" t="s">
        <v>311</v>
      </c>
      <c r="H3569" s="5" t="s">
        <v>102</v>
      </c>
      <c r="I3569" s="5" t="s">
        <v>18</v>
      </c>
    </row>
    <row r="3570">
      <c r="A3570" s="7" t="s">
        <v>3923</v>
      </c>
      <c r="B3570" s="5" t="s">
        <v>3921</v>
      </c>
      <c r="C3570" s="5" t="s">
        <v>110</v>
      </c>
      <c r="D3570" s="6" t="s">
        <v>13</v>
      </c>
      <c r="E3570" s="5" t="s">
        <v>3922</v>
      </c>
      <c r="F3570" s="5" t="s">
        <v>1718</v>
      </c>
      <c r="G3570" s="5" t="s">
        <v>1415</v>
      </c>
      <c r="H3570" s="5" t="s">
        <v>50</v>
      </c>
      <c r="I3570" s="5" t="s">
        <v>18</v>
      </c>
    </row>
    <row r="3571">
      <c r="A3571" s="7" t="s">
        <v>3926</v>
      </c>
      <c r="B3571" s="5" t="s">
        <v>3924</v>
      </c>
      <c r="C3571" s="5" t="s">
        <v>3925</v>
      </c>
      <c r="D3571" s="6" t="s">
        <v>13</v>
      </c>
      <c r="E3571" s="5" t="s">
        <v>3922</v>
      </c>
      <c r="F3571" s="5" t="s">
        <v>354</v>
      </c>
      <c r="G3571" s="5" t="s">
        <v>1415</v>
      </c>
      <c r="H3571" s="5" t="s">
        <v>50</v>
      </c>
      <c r="I3571" s="5" t="s">
        <v>18</v>
      </c>
    </row>
    <row r="3572">
      <c r="A3572" s="7" t="s">
        <v>3929</v>
      </c>
      <c r="B3572" s="5" t="s">
        <v>3927</v>
      </c>
      <c r="C3572" s="5" t="s">
        <v>3886</v>
      </c>
      <c r="D3572" s="6" t="s">
        <v>13</v>
      </c>
      <c r="E3572" s="5" t="s">
        <v>3928</v>
      </c>
      <c r="F3572" s="5" t="s">
        <v>890</v>
      </c>
      <c r="G3572" s="5" t="s">
        <v>658</v>
      </c>
      <c r="H3572" s="5" t="s">
        <v>91</v>
      </c>
      <c r="I3572" s="5" t="s">
        <v>18</v>
      </c>
    </row>
    <row r="3573">
      <c r="A3573" s="8" t="s">
        <v>3932</v>
      </c>
      <c r="B3573" s="5" t="s">
        <v>3930</v>
      </c>
      <c r="C3573" s="5" t="s">
        <v>3931</v>
      </c>
      <c r="D3573" s="6" t="s">
        <v>13</v>
      </c>
      <c r="E3573" s="5" t="s">
        <v>3928</v>
      </c>
      <c r="F3573" s="5" t="s">
        <v>387</v>
      </c>
      <c r="G3573" s="5" t="s">
        <v>112</v>
      </c>
      <c r="H3573" s="5" t="s">
        <v>38</v>
      </c>
      <c r="I3573" s="5" t="s">
        <v>18</v>
      </c>
    </row>
    <row r="3574">
      <c r="A3574" s="7" t="s">
        <v>3934</v>
      </c>
      <c r="B3574" s="5" t="s">
        <v>3933</v>
      </c>
      <c r="C3574" s="5" t="s">
        <v>110</v>
      </c>
      <c r="D3574" s="6" t="s">
        <v>13</v>
      </c>
      <c r="E3574" s="5" t="s">
        <v>3928</v>
      </c>
      <c r="G3574" s="5" t="s">
        <v>112</v>
      </c>
      <c r="H3574" s="5" t="s">
        <v>38</v>
      </c>
      <c r="I3574" s="5" t="s">
        <v>18</v>
      </c>
    </row>
    <row r="3575">
      <c r="A3575" s="8" t="s">
        <v>3936</v>
      </c>
      <c r="B3575" s="5" t="s">
        <v>3935</v>
      </c>
      <c r="C3575" s="5" t="s">
        <v>110</v>
      </c>
      <c r="D3575" s="6" t="s">
        <v>13</v>
      </c>
      <c r="E3575" s="5" t="s">
        <v>3928</v>
      </c>
      <c r="F3575" s="5" t="s">
        <v>207</v>
      </c>
      <c r="G3575" s="5" t="s">
        <v>112</v>
      </c>
      <c r="H3575" s="5" t="s">
        <v>38</v>
      </c>
      <c r="I3575" s="5" t="s">
        <v>18</v>
      </c>
    </row>
    <row r="3576">
      <c r="A3576" s="8" t="s">
        <v>3939</v>
      </c>
      <c r="B3576" s="5" t="s">
        <v>3937</v>
      </c>
      <c r="C3576" s="5" t="s">
        <v>3938</v>
      </c>
      <c r="D3576" s="6" t="s">
        <v>13</v>
      </c>
      <c r="E3576" s="5" t="s">
        <v>3928</v>
      </c>
      <c r="F3576" s="5" t="s">
        <v>579</v>
      </c>
      <c r="G3576" s="5" t="s">
        <v>112</v>
      </c>
      <c r="H3576" s="5" t="s">
        <v>38</v>
      </c>
      <c r="I3576" s="5" t="s">
        <v>18</v>
      </c>
    </row>
    <row r="3577">
      <c r="A3577" s="7" t="s">
        <v>3943</v>
      </c>
      <c r="B3577" s="5" t="s">
        <v>3940</v>
      </c>
      <c r="C3577" s="5" t="s">
        <v>3941</v>
      </c>
      <c r="D3577" s="6" t="s">
        <v>13</v>
      </c>
      <c r="E3577" s="5" t="s">
        <v>3928</v>
      </c>
      <c r="F3577" s="5" t="s">
        <v>3942</v>
      </c>
      <c r="G3577" s="5" t="s">
        <v>112</v>
      </c>
      <c r="H3577" s="5" t="s">
        <v>38</v>
      </c>
      <c r="I3577" s="5" t="s">
        <v>18</v>
      </c>
    </row>
    <row r="3578">
      <c r="A3578" s="8" t="s">
        <v>3946</v>
      </c>
      <c r="B3578" s="5" t="s">
        <v>3944</v>
      </c>
      <c r="C3578" s="5" t="s">
        <v>480</v>
      </c>
      <c r="D3578" s="6" t="s">
        <v>13</v>
      </c>
      <c r="E3578" s="5" t="s">
        <v>3945</v>
      </c>
      <c r="F3578" s="5" t="s">
        <v>848</v>
      </c>
      <c r="G3578" s="5" t="s">
        <v>658</v>
      </c>
      <c r="H3578" s="5" t="s">
        <v>91</v>
      </c>
      <c r="I3578" s="5" t="s">
        <v>18</v>
      </c>
    </row>
    <row r="3579">
      <c r="A3579" s="7" t="s">
        <v>3949</v>
      </c>
      <c r="B3579" s="5" t="s">
        <v>3947</v>
      </c>
      <c r="C3579" s="5" t="s">
        <v>3948</v>
      </c>
      <c r="D3579" s="6" t="s">
        <v>13</v>
      </c>
      <c r="E3579" s="5" t="s">
        <v>3945</v>
      </c>
      <c r="F3579" s="5" t="s">
        <v>712</v>
      </c>
      <c r="G3579" s="5" t="s">
        <v>137</v>
      </c>
      <c r="H3579" s="5" t="s">
        <v>137</v>
      </c>
      <c r="I3579" s="5" t="s">
        <v>18</v>
      </c>
    </row>
    <row r="3580">
      <c r="A3580" s="7" t="s">
        <v>3951</v>
      </c>
      <c r="B3580" s="5" t="s">
        <v>3950</v>
      </c>
      <c r="C3580" s="5" t="s">
        <v>404</v>
      </c>
      <c r="D3580" s="6" t="s">
        <v>13</v>
      </c>
      <c r="E3580" s="5" t="s">
        <v>3945</v>
      </c>
      <c r="F3580" s="5" t="s">
        <v>554</v>
      </c>
      <c r="G3580" s="5" t="s">
        <v>1274</v>
      </c>
      <c r="H3580" s="5" t="s">
        <v>76</v>
      </c>
      <c r="I3580" s="5" t="s">
        <v>18</v>
      </c>
    </row>
    <row r="3581">
      <c r="A3581" s="7" t="s">
        <v>3953</v>
      </c>
      <c r="B3581" s="5" t="s">
        <v>3952</v>
      </c>
      <c r="C3581" s="5" t="s">
        <v>404</v>
      </c>
      <c r="D3581" s="6" t="s">
        <v>13</v>
      </c>
      <c r="E3581" s="5" t="s">
        <v>3945</v>
      </c>
      <c r="F3581" s="5" t="s">
        <v>241</v>
      </c>
      <c r="G3581" s="5" t="s">
        <v>2491</v>
      </c>
      <c r="H3581" s="5" t="s">
        <v>44</v>
      </c>
      <c r="I3581" s="5" t="s">
        <v>18</v>
      </c>
    </row>
    <row r="3582">
      <c r="A3582" s="7" t="s">
        <v>3955</v>
      </c>
      <c r="B3582" s="5" t="s">
        <v>3954</v>
      </c>
      <c r="C3582" s="5" t="s">
        <v>110</v>
      </c>
      <c r="D3582" s="6" t="s">
        <v>13</v>
      </c>
      <c r="E3582" s="5" t="s">
        <v>3945</v>
      </c>
      <c r="F3582" s="5" t="s">
        <v>579</v>
      </c>
      <c r="G3582" s="5" t="s">
        <v>801</v>
      </c>
      <c r="H3582" s="5" t="s">
        <v>50</v>
      </c>
      <c r="I3582" s="5" t="s">
        <v>18</v>
      </c>
    </row>
    <row r="3583">
      <c r="A3583" s="7" t="s">
        <v>3959</v>
      </c>
      <c r="B3583" s="5" t="s">
        <v>3956</v>
      </c>
      <c r="C3583" s="5" t="s">
        <v>480</v>
      </c>
      <c r="D3583" s="6" t="s">
        <v>13</v>
      </c>
      <c r="E3583" s="5" t="s">
        <v>3957</v>
      </c>
      <c r="G3583" s="5" t="s">
        <v>3958</v>
      </c>
      <c r="H3583" s="5" t="s">
        <v>962</v>
      </c>
      <c r="I3583" s="5" t="s">
        <v>18</v>
      </c>
    </row>
    <row r="3584">
      <c r="A3584" s="7" t="s">
        <v>3963</v>
      </c>
      <c r="B3584" s="5" t="s">
        <v>3960</v>
      </c>
      <c r="C3584" s="5" t="s">
        <v>3961</v>
      </c>
      <c r="D3584" s="6" t="s">
        <v>13</v>
      </c>
      <c r="E3584" s="5" t="s">
        <v>3957</v>
      </c>
      <c r="F3584" s="5" t="s">
        <v>585</v>
      </c>
      <c r="G3584" s="5" t="s">
        <v>3962</v>
      </c>
      <c r="H3584" s="5" t="s">
        <v>17</v>
      </c>
      <c r="I3584" s="5" t="s">
        <v>18</v>
      </c>
    </row>
    <row r="3585">
      <c r="A3585" s="7" t="s">
        <v>3966</v>
      </c>
      <c r="B3585" s="5" t="s">
        <v>3964</v>
      </c>
      <c r="C3585" s="5" t="s">
        <v>3965</v>
      </c>
      <c r="D3585" s="6" t="s">
        <v>13</v>
      </c>
      <c r="E3585" s="5" t="s">
        <v>3957</v>
      </c>
      <c r="F3585" s="5" t="s">
        <v>48</v>
      </c>
      <c r="G3585" s="5" t="s">
        <v>2586</v>
      </c>
      <c r="H3585" s="5" t="s">
        <v>224</v>
      </c>
      <c r="I3585" s="5" t="s">
        <v>18</v>
      </c>
    </row>
    <row r="3586">
      <c r="A3586" s="8" t="s">
        <v>3971</v>
      </c>
      <c r="B3586" s="5" t="s">
        <v>3967</v>
      </c>
      <c r="C3586" s="5" t="s">
        <v>3968</v>
      </c>
      <c r="D3586" s="6" t="s">
        <v>13</v>
      </c>
      <c r="E3586" s="5" t="s">
        <v>3957</v>
      </c>
      <c r="F3586" s="5" t="s">
        <v>3969</v>
      </c>
      <c r="G3586" s="5" t="s">
        <v>3970</v>
      </c>
      <c r="H3586" s="5" t="s">
        <v>203</v>
      </c>
      <c r="I3586" s="5" t="s">
        <v>18</v>
      </c>
    </row>
    <row r="3587">
      <c r="A3587" s="7" t="s">
        <v>3976</v>
      </c>
      <c r="B3587" s="5" t="s">
        <v>3972</v>
      </c>
      <c r="C3587" s="5" t="s">
        <v>3973</v>
      </c>
      <c r="D3587" s="6" t="s">
        <v>13</v>
      </c>
      <c r="E3587" s="5" t="s">
        <v>3974</v>
      </c>
      <c r="F3587" s="5" t="s">
        <v>144</v>
      </c>
      <c r="G3587" s="5" t="s">
        <v>3975</v>
      </c>
      <c r="H3587" s="5" t="s">
        <v>91</v>
      </c>
      <c r="I3587" s="5" t="s">
        <v>18</v>
      </c>
    </row>
    <row r="3588">
      <c r="A3588" s="7" t="s">
        <v>3980</v>
      </c>
      <c r="B3588" s="5" t="s">
        <v>3977</v>
      </c>
      <c r="C3588" s="5" t="s">
        <v>3978</v>
      </c>
      <c r="D3588" s="6" t="s">
        <v>13</v>
      </c>
      <c r="E3588" s="5" t="s">
        <v>3974</v>
      </c>
      <c r="F3588" s="5" t="s">
        <v>3979</v>
      </c>
      <c r="G3588" s="5" t="s">
        <v>658</v>
      </c>
      <c r="H3588" s="5" t="s">
        <v>91</v>
      </c>
      <c r="I3588" s="5" t="s">
        <v>18</v>
      </c>
    </row>
    <row r="3589">
      <c r="A3589" s="7" t="s">
        <v>3982</v>
      </c>
      <c r="B3589" s="5" t="s">
        <v>3981</v>
      </c>
      <c r="C3589" s="5" t="s">
        <v>25</v>
      </c>
      <c r="D3589" s="6" t="s">
        <v>13</v>
      </c>
      <c r="E3589" s="5" t="s">
        <v>3974</v>
      </c>
      <c r="F3589" s="5" t="s">
        <v>376</v>
      </c>
      <c r="G3589" s="5" t="s">
        <v>658</v>
      </c>
      <c r="H3589" s="5" t="s">
        <v>91</v>
      </c>
      <c r="I3589" s="5" t="s">
        <v>18</v>
      </c>
    </row>
    <row r="3590">
      <c r="A3590" s="7" t="s">
        <v>3985</v>
      </c>
      <c r="B3590" s="5" t="s">
        <v>3983</v>
      </c>
      <c r="C3590" s="5" t="s">
        <v>110</v>
      </c>
      <c r="D3590" s="6" t="s">
        <v>13</v>
      </c>
      <c r="E3590" s="5" t="s">
        <v>3984</v>
      </c>
      <c r="F3590" s="5" t="s">
        <v>351</v>
      </c>
      <c r="G3590" s="5" t="s">
        <v>166</v>
      </c>
      <c r="H3590" s="5" t="s">
        <v>44</v>
      </c>
      <c r="I3590" s="5" t="s">
        <v>18</v>
      </c>
    </row>
    <row r="3591">
      <c r="A3591" s="7" t="s">
        <v>3987</v>
      </c>
      <c r="B3591" s="5" t="s">
        <v>3986</v>
      </c>
      <c r="C3591" s="5" t="s">
        <v>110</v>
      </c>
      <c r="D3591" s="6" t="s">
        <v>13</v>
      </c>
      <c r="E3591" s="5" t="s">
        <v>3984</v>
      </c>
      <c r="F3591" s="5" t="s">
        <v>15</v>
      </c>
      <c r="G3591" s="5" t="s">
        <v>166</v>
      </c>
      <c r="H3591" s="5" t="s">
        <v>44</v>
      </c>
      <c r="I3591" s="5" t="s">
        <v>18</v>
      </c>
    </row>
    <row r="3592">
      <c r="A3592" s="7" t="s">
        <v>3990</v>
      </c>
      <c r="B3592" s="5" t="s">
        <v>3988</v>
      </c>
      <c r="C3592" s="5" t="s">
        <v>3989</v>
      </c>
      <c r="D3592" s="6" t="s">
        <v>13</v>
      </c>
      <c r="E3592" s="5" t="s">
        <v>3984</v>
      </c>
      <c r="F3592" s="5" t="s">
        <v>345</v>
      </c>
      <c r="G3592" s="5" t="s">
        <v>166</v>
      </c>
      <c r="H3592" s="5" t="s">
        <v>44</v>
      </c>
      <c r="I3592" s="5" t="s">
        <v>18</v>
      </c>
    </row>
    <row r="3593">
      <c r="A3593" s="7" t="s">
        <v>3994</v>
      </c>
      <c r="B3593" s="5" t="s">
        <v>3991</v>
      </c>
      <c r="C3593" s="5" t="s">
        <v>3992</v>
      </c>
      <c r="D3593" s="6" t="s">
        <v>13</v>
      </c>
      <c r="E3593" s="5" t="s">
        <v>3993</v>
      </c>
      <c r="F3593" s="5" t="s">
        <v>441</v>
      </c>
      <c r="G3593" s="5" t="s">
        <v>75</v>
      </c>
      <c r="H3593" s="5" t="s">
        <v>76</v>
      </c>
      <c r="I3593" s="5" t="s">
        <v>18</v>
      </c>
    </row>
    <row r="3594">
      <c r="A3594" s="7" t="s">
        <v>3996</v>
      </c>
      <c r="B3594" s="5" t="s">
        <v>3995</v>
      </c>
      <c r="C3594" s="5" t="s">
        <v>766</v>
      </c>
      <c r="D3594" s="6" t="s">
        <v>13</v>
      </c>
      <c r="E3594" s="5" t="s">
        <v>3993</v>
      </c>
      <c r="F3594" s="5" t="s">
        <v>74</v>
      </c>
      <c r="G3594" s="5" t="s">
        <v>137</v>
      </c>
      <c r="H3594" s="5" t="s">
        <v>137</v>
      </c>
      <c r="I3594" s="5" t="s">
        <v>18</v>
      </c>
    </row>
    <row r="3595">
      <c r="A3595" s="8" t="s">
        <v>3999</v>
      </c>
      <c r="B3595" s="5" t="s">
        <v>3997</v>
      </c>
      <c r="C3595" s="5" t="s">
        <v>110</v>
      </c>
      <c r="D3595" s="6" t="s">
        <v>13</v>
      </c>
      <c r="E3595" s="5" t="s">
        <v>3993</v>
      </c>
      <c r="F3595" s="5" t="s">
        <v>42</v>
      </c>
      <c r="G3595" s="5" t="s">
        <v>3998</v>
      </c>
      <c r="H3595" s="5" t="s">
        <v>91</v>
      </c>
      <c r="I3595" s="5" t="s">
        <v>18</v>
      </c>
    </row>
    <row r="3596">
      <c r="A3596" s="7" t="s">
        <v>4001</v>
      </c>
      <c r="B3596" s="5" t="s">
        <v>4000</v>
      </c>
      <c r="C3596" s="5" t="s">
        <v>110</v>
      </c>
      <c r="D3596" s="6" t="s">
        <v>13</v>
      </c>
      <c r="E3596" s="5" t="s">
        <v>3993</v>
      </c>
      <c r="F3596" s="5" t="s">
        <v>84</v>
      </c>
      <c r="G3596" s="5" t="s">
        <v>3998</v>
      </c>
      <c r="H3596" s="5" t="s">
        <v>91</v>
      </c>
      <c r="I3596" s="5" t="s">
        <v>18</v>
      </c>
    </row>
    <row r="3597">
      <c r="A3597" s="7" t="s">
        <v>4003</v>
      </c>
      <c r="B3597" s="5" t="s">
        <v>4002</v>
      </c>
      <c r="C3597" s="5" t="s">
        <v>2181</v>
      </c>
      <c r="D3597" s="6" t="s">
        <v>13</v>
      </c>
      <c r="E3597" s="5" t="s">
        <v>3993</v>
      </c>
      <c r="F3597" s="5" t="s">
        <v>106</v>
      </c>
      <c r="G3597" s="5" t="s">
        <v>169</v>
      </c>
      <c r="H3597" s="5" t="s">
        <v>44</v>
      </c>
      <c r="I3597" s="5" t="s">
        <v>18</v>
      </c>
    </row>
    <row r="3598">
      <c r="A3598" s="7" t="s">
        <v>4005</v>
      </c>
      <c r="B3598" s="5" t="s">
        <v>4004</v>
      </c>
      <c r="C3598" s="5" t="s">
        <v>3886</v>
      </c>
      <c r="D3598" s="6" t="s">
        <v>13</v>
      </c>
      <c r="E3598" s="5" t="s">
        <v>3993</v>
      </c>
      <c r="F3598" s="5" t="s">
        <v>125</v>
      </c>
      <c r="G3598" s="5" t="s">
        <v>85</v>
      </c>
      <c r="H3598" s="5" t="s">
        <v>86</v>
      </c>
      <c r="I3598" s="5" t="s">
        <v>18</v>
      </c>
    </row>
    <row r="3599">
      <c r="A3599" s="7" t="s">
        <v>4008</v>
      </c>
      <c r="B3599" s="5" t="s">
        <v>4006</v>
      </c>
      <c r="C3599" s="5" t="s">
        <v>766</v>
      </c>
      <c r="D3599" s="6" t="s">
        <v>13</v>
      </c>
      <c r="E3599" s="5" t="s">
        <v>4007</v>
      </c>
      <c r="F3599" s="5" t="s">
        <v>399</v>
      </c>
      <c r="G3599" s="5" t="s">
        <v>2110</v>
      </c>
      <c r="H3599" s="5" t="s">
        <v>962</v>
      </c>
      <c r="I3599" s="5" t="s">
        <v>18</v>
      </c>
    </row>
    <row r="3600">
      <c r="A3600" s="7" t="s">
        <v>4011</v>
      </c>
      <c r="B3600" s="5" t="s">
        <v>4009</v>
      </c>
      <c r="C3600" s="5" t="s">
        <v>4010</v>
      </c>
      <c r="D3600" s="6" t="s">
        <v>13</v>
      </c>
      <c r="E3600" s="5" t="s">
        <v>4007</v>
      </c>
      <c r="G3600" s="5" t="s">
        <v>2110</v>
      </c>
      <c r="H3600" s="5" t="s">
        <v>962</v>
      </c>
      <c r="I3600" s="5" t="s">
        <v>18</v>
      </c>
    </row>
    <row r="3601">
      <c r="A3601" s="7" t="s">
        <v>4014</v>
      </c>
      <c r="B3601" s="5" t="s">
        <v>4012</v>
      </c>
      <c r="C3601" s="5" t="s">
        <v>4013</v>
      </c>
      <c r="D3601" s="6" t="s">
        <v>13</v>
      </c>
      <c r="E3601" s="5" t="s">
        <v>4007</v>
      </c>
      <c r="F3601" s="5" t="s">
        <v>399</v>
      </c>
      <c r="G3601" s="5" t="s">
        <v>311</v>
      </c>
      <c r="H3601" s="5" t="s">
        <v>102</v>
      </c>
      <c r="I3601" s="5" t="s">
        <v>18</v>
      </c>
    </row>
    <row r="3602">
      <c r="A3602" s="7" t="s">
        <v>4017</v>
      </c>
      <c r="B3602" s="5" t="s">
        <v>4015</v>
      </c>
      <c r="C3602" s="5" t="s">
        <v>747</v>
      </c>
      <c r="D3602" s="6" t="s">
        <v>13</v>
      </c>
      <c r="E3602" s="5" t="s">
        <v>4016</v>
      </c>
      <c r="F3602" s="5" t="s">
        <v>74</v>
      </c>
      <c r="G3602" s="6" t="s">
        <v>377</v>
      </c>
      <c r="H3602" s="6" t="s">
        <v>378</v>
      </c>
      <c r="I3602" s="5" t="s">
        <v>18</v>
      </c>
    </row>
    <row r="3603">
      <c r="A3603" s="7" t="s">
        <v>4020</v>
      </c>
      <c r="B3603" s="5" t="s">
        <v>4018</v>
      </c>
      <c r="C3603" s="5" t="s">
        <v>4019</v>
      </c>
      <c r="D3603" s="6" t="s">
        <v>13</v>
      </c>
      <c r="E3603" s="5" t="s">
        <v>4016</v>
      </c>
      <c r="F3603" s="5" t="s">
        <v>1587</v>
      </c>
      <c r="G3603" s="5" t="s">
        <v>2209</v>
      </c>
      <c r="H3603" s="5" t="s">
        <v>137</v>
      </c>
      <c r="I3603" s="5" t="s">
        <v>18</v>
      </c>
    </row>
    <row r="3604">
      <c r="A3604" s="7" t="s">
        <v>4023</v>
      </c>
      <c r="B3604" s="5" t="s">
        <v>4021</v>
      </c>
      <c r="C3604" s="5" t="s">
        <v>25</v>
      </c>
      <c r="D3604" s="6" t="s">
        <v>13</v>
      </c>
      <c r="E3604" s="5" t="s">
        <v>4016</v>
      </c>
      <c r="F3604" s="5" t="s">
        <v>1623</v>
      </c>
      <c r="G3604" s="5" t="s">
        <v>4022</v>
      </c>
      <c r="H3604" s="5" t="s">
        <v>224</v>
      </c>
      <c r="I3604" s="5" t="s">
        <v>18</v>
      </c>
    </row>
    <row r="3605">
      <c r="A3605" s="7" t="s">
        <v>4027</v>
      </c>
      <c r="B3605" s="5" t="s">
        <v>4024</v>
      </c>
      <c r="C3605" s="5" t="s">
        <v>4025</v>
      </c>
      <c r="D3605" s="6" t="s">
        <v>13</v>
      </c>
      <c r="E3605" s="5" t="s">
        <v>4016</v>
      </c>
      <c r="F3605" s="5" t="s">
        <v>784</v>
      </c>
      <c r="G3605" s="5" t="s">
        <v>4026</v>
      </c>
      <c r="H3605" s="5" t="s">
        <v>954</v>
      </c>
      <c r="I3605" s="5" t="s">
        <v>18</v>
      </c>
    </row>
    <row r="3606">
      <c r="A3606" s="7" t="s">
        <v>4027</v>
      </c>
      <c r="B3606" s="5" t="s">
        <v>4024</v>
      </c>
      <c r="C3606" s="5" t="s">
        <v>4025</v>
      </c>
      <c r="D3606" s="6" t="s">
        <v>13</v>
      </c>
      <c r="E3606" s="5" t="s">
        <v>4016</v>
      </c>
      <c r="F3606" s="5" t="s">
        <v>784</v>
      </c>
      <c r="G3606" s="5" t="s">
        <v>4026</v>
      </c>
      <c r="H3606" s="5" t="s">
        <v>954</v>
      </c>
      <c r="I3606" s="5" t="s">
        <v>18</v>
      </c>
    </row>
    <row r="3607">
      <c r="A3607" s="7" t="s">
        <v>4031</v>
      </c>
      <c r="B3607" s="5" t="s">
        <v>4028</v>
      </c>
      <c r="C3607" s="5" t="s">
        <v>4029</v>
      </c>
      <c r="D3607" s="6" t="s">
        <v>13</v>
      </c>
      <c r="E3607" s="5" t="s">
        <v>4016</v>
      </c>
      <c r="F3607" s="5" t="s">
        <v>4030</v>
      </c>
      <c r="G3607" s="5" t="s">
        <v>1274</v>
      </c>
      <c r="H3607" s="5" t="s">
        <v>76</v>
      </c>
      <c r="I3607" s="5" t="s">
        <v>18</v>
      </c>
    </row>
    <row r="3608">
      <c r="A3608" s="7" t="s">
        <v>4034</v>
      </c>
      <c r="B3608" s="5" t="s">
        <v>4032</v>
      </c>
      <c r="C3608" s="5" t="s">
        <v>25</v>
      </c>
      <c r="D3608" s="6" t="s">
        <v>13</v>
      </c>
      <c r="E3608" s="5" t="s">
        <v>4016</v>
      </c>
      <c r="F3608" s="5" t="s">
        <v>4033</v>
      </c>
      <c r="G3608" s="5" t="s">
        <v>635</v>
      </c>
      <c r="H3608" s="5" t="s">
        <v>76</v>
      </c>
      <c r="I3608" s="5" t="s">
        <v>18</v>
      </c>
    </row>
    <row r="3609">
      <c r="A3609" s="7" t="s">
        <v>4037</v>
      </c>
      <c r="B3609" s="5" t="s">
        <v>4035</v>
      </c>
      <c r="C3609" s="5" t="s">
        <v>4036</v>
      </c>
      <c r="D3609" s="6" t="s">
        <v>13</v>
      </c>
      <c r="E3609" s="5" t="s">
        <v>4016</v>
      </c>
      <c r="F3609" s="5" t="s">
        <v>2670</v>
      </c>
      <c r="G3609" s="5" t="s">
        <v>75</v>
      </c>
      <c r="H3609" s="5" t="s">
        <v>76</v>
      </c>
      <c r="I3609" s="5" t="s">
        <v>18</v>
      </c>
    </row>
    <row r="3610">
      <c r="A3610" s="7" t="s">
        <v>4039</v>
      </c>
      <c r="B3610" s="5" t="s">
        <v>4038</v>
      </c>
      <c r="C3610" s="5" t="s">
        <v>25</v>
      </c>
      <c r="D3610" s="6" t="s">
        <v>13</v>
      </c>
      <c r="E3610" s="5" t="s">
        <v>4016</v>
      </c>
      <c r="F3610" s="5" t="s">
        <v>570</v>
      </c>
      <c r="G3610" s="5" t="s">
        <v>80</v>
      </c>
      <c r="H3610" s="5" t="s">
        <v>38</v>
      </c>
      <c r="I3610" s="5" t="s">
        <v>18</v>
      </c>
    </row>
    <row r="3611">
      <c r="A3611" s="7" t="s">
        <v>4043</v>
      </c>
      <c r="B3611" s="5" t="s">
        <v>4040</v>
      </c>
      <c r="C3611" s="5" t="s">
        <v>4041</v>
      </c>
      <c r="D3611" s="6" t="s">
        <v>13</v>
      </c>
      <c r="E3611" s="5" t="s">
        <v>4016</v>
      </c>
      <c r="F3611" s="5" t="s">
        <v>268</v>
      </c>
      <c r="G3611" s="5" t="s">
        <v>4042</v>
      </c>
      <c r="H3611" s="5" t="s">
        <v>65</v>
      </c>
      <c r="I3611" s="5" t="s">
        <v>18</v>
      </c>
    </row>
    <row r="3612">
      <c r="A3612" s="7" t="s">
        <v>4045</v>
      </c>
      <c r="B3612" s="5" t="s">
        <v>4044</v>
      </c>
      <c r="C3612" s="5" t="s">
        <v>25</v>
      </c>
      <c r="D3612" s="6" t="s">
        <v>13</v>
      </c>
      <c r="E3612" s="5" t="s">
        <v>4016</v>
      </c>
      <c r="F3612" s="5" t="s">
        <v>3429</v>
      </c>
      <c r="G3612" s="5" t="s">
        <v>2536</v>
      </c>
      <c r="H3612" s="5" t="s">
        <v>86</v>
      </c>
      <c r="I3612" s="5" t="s">
        <v>18</v>
      </c>
    </row>
    <row r="3613">
      <c r="A3613" s="7" t="s">
        <v>4048</v>
      </c>
      <c r="B3613" s="5" t="s">
        <v>4046</v>
      </c>
      <c r="C3613" s="5" t="s">
        <v>4019</v>
      </c>
      <c r="D3613" s="6" t="s">
        <v>13</v>
      </c>
      <c r="E3613" s="5" t="s">
        <v>4016</v>
      </c>
      <c r="G3613" s="5" t="s">
        <v>4047</v>
      </c>
      <c r="H3613" s="5" t="s">
        <v>44</v>
      </c>
      <c r="I3613" s="5" t="s">
        <v>18</v>
      </c>
    </row>
    <row r="3614">
      <c r="A3614" s="7" t="s">
        <v>4051</v>
      </c>
      <c r="B3614" s="5" t="s">
        <v>4049</v>
      </c>
      <c r="C3614" s="5" t="s">
        <v>4050</v>
      </c>
      <c r="D3614" s="6" t="s">
        <v>13</v>
      </c>
      <c r="E3614" s="5" t="s">
        <v>4016</v>
      </c>
      <c r="F3614" s="5" t="s">
        <v>1629</v>
      </c>
      <c r="G3614" s="5" t="s">
        <v>1187</v>
      </c>
      <c r="H3614" s="5" t="s">
        <v>96</v>
      </c>
      <c r="I3614" s="5" t="s">
        <v>18</v>
      </c>
    </row>
    <row r="3615">
      <c r="A3615" s="7" t="s">
        <v>4055</v>
      </c>
      <c r="B3615" s="5" t="s">
        <v>4052</v>
      </c>
      <c r="C3615" s="5" t="s">
        <v>4053</v>
      </c>
      <c r="D3615" s="6" t="s">
        <v>13</v>
      </c>
      <c r="E3615" s="5" t="s">
        <v>4016</v>
      </c>
      <c r="F3615" s="5" t="s">
        <v>1068</v>
      </c>
      <c r="G3615" s="5" t="s">
        <v>4054</v>
      </c>
      <c r="H3615" s="5" t="s">
        <v>219</v>
      </c>
      <c r="I3615" s="5" t="s">
        <v>18</v>
      </c>
    </row>
    <row r="3616">
      <c r="A3616" s="7" t="s">
        <v>4057</v>
      </c>
      <c r="B3616" s="5" t="s">
        <v>4056</v>
      </c>
      <c r="C3616" s="5" t="s">
        <v>804</v>
      </c>
      <c r="D3616" s="6" t="s">
        <v>13</v>
      </c>
      <c r="E3616" s="5" t="s">
        <v>4016</v>
      </c>
      <c r="F3616" s="5" t="s">
        <v>121</v>
      </c>
      <c r="G3616" s="5" t="s">
        <v>112</v>
      </c>
      <c r="H3616" s="5" t="s">
        <v>38</v>
      </c>
      <c r="I3616" s="5" t="s">
        <v>18</v>
      </c>
    </row>
    <row r="3617">
      <c r="A3617" s="7" t="s">
        <v>4060</v>
      </c>
      <c r="B3617" s="5" t="s">
        <v>4058</v>
      </c>
      <c r="C3617" s="5" t="s">
        <v>4059</v>
      </c>
      <c r="D3617" s="6" t="s">
        <v>13</v>
      </c>
      <c r="E3617" s="5" t="s">
        <v>4016</v>
      </c>
      <c r="F3617" s="5" t="s">
        <v>84</v>
      </c>
      <c r="G3617" s="5" t="s">
        <v>2100</v>
      </c>
      <c r="H3617" s="5" t="s">
        <v>264</v>
      </c>
      <c r="I3617" s="5" t="s">
        <v>18</v>
      </c>
    </row>
    <row r="3618">
      <c r="A3618" s="7" t="s">
        <v>4062</v>
      </c>
      <c r="B3618" s="5" t="s">
        <v>4061</v>
      </c>
      <c r="C3618" s="5" t="s">
        <v>32</v>
      </c>
      <c r="D3618" s="6" t="s">
        <v>13</v>
      </c>
      <c r="E3618" s="5" t="s">
        <v>4016</v>
      </c>
      <c r="F3618" s="5" t="s">
        <v>980</v>
      </c>
      <c r="G3618" s="5" t="s">
        <v>122</v>
      </c>
      <c r="H3618" s="5" t="s">
        <v>44</v>
      </c>
      <c r="I3618" s="5" t="s">
        <v>18</v>
      </c>
    </row>
    <row r="3619">
      <c r="A3619" s="7" t="s">
        <v>4065</v>
      </c>
      <c r="B3619" s="5" t="s">
        <v>4063</v>
      </c>
      <c r="C3619" s="5" t="s">
        <v>4064</v>
      </c>
      <c r="D3619" s="6" t="s">
        <v>13</v>
      </c>
      <c r="E3619" s="5" t="s">
        <v>4016</v>
      </c>
      <c r="F3619" s="5" t="s">
        <v>74</v>
      </c>
      <c r="G3619" s="5" t="s">
        <v>862</v>
      </c>
      <c r="H3619" s="5" t="s">
        <v>184</v>
      </c>
      <c r="I3619" s="5" t="s">
        <v>18</v>
      </c>
    </row>
    <row r="3620">
      <c r="A3620" s="7" t="s">
        <v>4067</v>
      </c>
      <c r="B3620" s="5" t="s">
        <v>4066</v>
      </c>
      <c r="C3620" s="5" t="s">
        <v>4059</v>
      </c>
      <c r="D3620" s="6" t="s">
        <v>13</v>
      </c>
      <c r="E3620" s="5" t="s">
        <v>4016</v>
      </c>
      <c r="F3620" s="5" t="s">
        <v>207</v>
      </c>
      <c r="G3620" s="5" t="s">
        <v>953</v>
      </c>
      <c r="H3620" s="5" t="s">
        <v>954</v>
      </c>
      <c r="I3620" s="5" t="s">
        <v>18</v>
      </c>
    </row>
    <row r="3621">
      <c r="A3621" s="7" t="s">
        <v>4070</v>
      </c>
      <c r="B3621" s="5" t="s">
        <v>4068</v>
      </c>
      <c r="C3621" s="5" t="s">
        <v>4069</v>
      </c>
      <c r="D3621" s="6" t="s">
        <v>13</v>
      </c>
      <c r="E3621" s="5" t="s">
        <v>4016</v>
      </c>
      <c r="F3621" s="5" t="s">
        <v>822</v>
      </c>
      <c r="G3621" s="5" t="s">
        <v>953</v>
      </c>
      <c r="H3621" s="5" t="s">
        <v>954</v>
      </c>
      <c r="I3621" s="5" t="s">
        <v>18</v>
      </c>
    </row>
    <row r="3622">
      <c r="A3622" s="7" t="s">
        <v>4072</v>
      </c>
      <c r="B3622" s="5" t="s">
        <v>4071</v>
      </c>
      <c r="C3622" s="5" t="s">
        <v>47</v>
      </c>
      <c r="D3622" s="6" t="s">
        <v>13</v>
      </c>
      <c r="E3622" s="5" t="s">
        <v>4016</v>
      </c>
      <c r="F3622" s="5" t="s">
        <v>3110</v>
      </c>
      <c r="G3622" s="5" t="s">
        <v>953</v>
      </c>
      <c r="H3622" s="5" t="s">
        <v>954</v>
      </c>
      <c r="I3622" s="5" t="s">
        <v>18</v>
      </c>
    </row>
    <row r="3623">
      <c r="A3623" s="7" t="s">
        <v>4074</v>
      </c>
      <c r="B3623" s="5" t="s">
        <v>4073</v>
      </c>
      <c r="C3623" s="5" t="s">
        <v>32</v>
      </c>
      <c r="D3623" s="6" t="s">
        <v>13</v>
      </c>
      <c r="E3623" s="5" t="s">
        <v>4016</v>
      </c>
      <c r="F3623" s="5" t="s">
        <v>314</v>
      </c>
      <c r="G3623" s="5" t="s">
        <v>953</v>
      </c>
      <c r="H3623" s="5" t="s">
        <v>954</v>
      </c>
      <c r="I3623" s="5" t="s">
        <v>18</v>
      </c>
    </row>
    <row r="3624">
      <c r="A3624" s="8" t="s">
        <v>4077</v>
      </c>
      <c r="B3624" s="5" t="s">
        <v>4075</v>
      </c>
      <c r="C3624" s="5" t="s">
        <v>4076</v>
      </c>
      <c r="D3624" s="6" t="s">
        <v>13</v>
      </c>
      <c r="E3624" s="5" t="s">
        <v>4016</v>
      </c>
      <c r="F3624" s="5" t="s">
        <v>217</v>
      </c>
      <c r="G3624" s="5" t="s">
        <v>953</v>
      </c>
      <c r="H3624" s="5" t="s">
        <v>954</v>
      </c>
      <c r="I3624" s="5" t="s">
        <v>18</v>
      </c>
    </row>
    <row r="3625">
      <c r="A3625" s="7" t="s">
        <v>4080</v>
      </c>
      <c r="B3625" s="5" t="s">
        <v>4078</v>
      </c>
      <c r="C3625" s="5" t="s">
        <v>4079</v>
      </c>
      <c r="D3625" s="6" t="s">
        <v>13</v>
      </c>
      <c r="E3625" s="5" t="s">
        <v>4016</v>
      </c>
      <c r="F3625" s="5" t="s">
        <v>268</v>
      </c>
      <c r="G3625" s="5" t="s">
        <v>953</v>
      </c>
      <c r="H3625" s="5" t="s">
        <v>954</v>
      </c>
      <c r="I3625" s="5" t="s">
        <v>18</v>
      </c>
    </row>
    <row r="3626">
      <c r="A3626" s="7" t="s">
        <v>4083</v>
      </c>
      <c r="B3626" s="5" t="s">
        <v>4081</v>
      </c>
      <c r="C3626" s="5" t="s">
        <v>4082</v>
      </c>
      <c r="D3626" s="6" t="s">
        <v>13</v>
      </c>
      <c r="E3626" s="5" t="s">
        <v>4016</v>
      </c>
      <c r="F3626" s="5" t="s">
        <v>1759</v>
      </c>
      <c r="G3626" s="5" t="s">
        <v>953</v>
      </c>
      <c r="H3626" s="5" t="s">
        <v>954</v>
      </c>
      <c r="I3626" s="5" t="s">
        <v>18</v>
      </c>
    </row>
    <row r="3627">
      <c r="A3627" s="7" t="s">
        <v>4085</v>
      </c>
      <c r="B3627" s="5" t="s">
        <v>4084</v>
      </c>
      <c r="C3627" s="5" t="s">
        <v>4029</v>
      </c>
      <c r="D3627" s="6" t="s">
        <v>13</v>
      </c>
      <c r="E3627" s="5" t="s">
        <v>4016</v>
      </c>
      <c r="F3627" s="5" t="s">
        <v>822</v>
      </c>
      <c r="G3627" s="5" t="s">
        <v>953</v>
      </c>
      <c r="H3627" s="5" t="s">
        <v>954</v>
      </c>
      <c r="I3627" s="5" t="s">
        <v>18</v>
      </c>
    </row>
    <row r="3628">
      <c r="A3628" s="7" t="s">
        <v>4089</v>
      </c>
      <c r="B3628" s="5" t="s">
        <v>4086</v>
      </c>
      <c r="C3628" s="5" t="s">
        <v>4087</v>
      </c>
      <c r="D3628" s="6" t="s">
        <v>13</v>
      </c>
      <c r="E3628" s="5" t="s">
        <v>4016</v>
      </c>
      <c r="F3628" s="5" t="s">
        <v>1718</v>
      </c>
      <c r="G3628" s="5" t="s">
        <v>4088</v>
      </c>
      <c r="H3628" s="5" t="s">
        <v>184</v>
      </c>
      <c r="I3628" s="5" t="s">
        <v>18</v>
      </c>
    </row>
    <row r="3629">
      <c r="A3629" s="7" t="s">
        <v>4091</v>
      </c>
      <c r="B3629" s="5" t="s">
        <v>4090</v>
      </c>
      <c r="C3629" s="5" t="s">
        <v>25</v>
      </c>
      <c r="D3629" s="6" t="s">
        <v>13</v>
      </c>
      <c r="E3629" s="5" t="s">
        <v>4016</v>
      </c>
      <c r="F3629" s="5" t="s">
        <v>1357</v>
      </c>
      <c r="G3629" s="5" t="s">
        <v>137</v>
      </c>
      <c r="H3629" s="5" t="s">
        <v>137</v>
      </c>
      <c r="I3629" s="5" t="s">
        <v>18</v>
      </c>
    </row>
    <row r="3630">
      <c r="A3630" s="7" t="s">
        <v>4094</v>
      </c>
      <c r="B3630" s="5" t="s">
        <v>4092</v>
      </c>
      <c r="C3630" s="5" t="s">
        <v>4093</v>
      </c>
      <c r="D3630" s="6" t="s">
        <v>13</v>
      </c>
      <c r="E3630" s="5" t="s">
        <v>4016</v>
      </c>
      <c r="F3630" s="5" t="s">
        <v>1892</v>
      </c>
      <c r="G3630" s="5" t="s">
        <v>153</v>
      </c>
      <c r="H3630" s="5" t="s">
        <v>154</v>
      </c>
      <c r="I3630" s="5" t="s">
        <v>18</v>
      </c>
    </row>
    <row r="3631">
      <c r="A3631" s="7" t="s">
        <v>4094</v>
      </c>
      <c r="B3631" s="5" t="s">
        <v>4092</v>
      </c>
      <c r="C3631" s="5" t="s">
        <v>4093</v>
      </c>
      <c r="D3631" s="6" t="s">
        <v>13</v>
      </c>
      <c r="E3631" s="5" t="s">
        <v>4016</v>
      </c>
      <c r="F3631" s="5" t="s">
        <v>1892</v>
      </c>
      <c r="G3631" s="5" t="s">
        <v>153</v>
      </c>
      <c r="H3631" s="5" t="s">
        <v>154</v>
      </c>
      <c r="I3631" s="5" t="s">
        <v>18</v>
      </c>
    </row>
    <row r="3632">
      <c r="A3632" s="7" t="s">
        <v>4096</v>
      </c>
      <c r="B3632" s="5" t="s">
        <v>4095</v>
      </c>
      <c r="C3632" s="5" t="s">
        <v>32</v>
      </c>
      <c r="D3632" s="6" t="s">
        <v>13</v>
      </c>
      <c r="E3632" s="5" t="s">
        <v>4016</v>
      </c>
      <c r="F3632" s="5" t="s">
        <v>1460</v>
      </c>
      <c r="G3632" s="5" t="s">
        <v>1867</v>
      </c>
      <c r="H3632" s="5" t="s">
        <v>44</v>
      </c>
      <c r="I3632" s="5" t="s">
        <v>18</v>
      </c>
    </row>
    <row r="3633">
      <c r="A3633" s="8" t="s">
        <v>4099</v>
      </c>
      <c r="B3633" s="5" t="s">
        <v>4097</v>
      </c>
      <c r="C3633" s="5" t="s">
        <v>4098</v>
      </c>
      <c r="D3633" s="6" t="s">
        <v>13</v>
      </c>
      <c r="E3633" s="5" t="s">
        <v>4016</v>
      </c>
      <c r="G3633" s="5" t="s">
        <v>669</v>
      </c>
      <c r="H3633" s="5" t="s">
        <v>17</v>
      </c>
      <c r="I3633" s="5" t="s">
        <v>18</v>
      </c>
    </row>
    <row r="3634">
      <c r="A3634" s="7" t="s">
        <v>4102</v>
      </c>
      <c r="B3634" s="5" t="s">
        <v>4100</v>
      </c>
      <c r="C3634" s="5" t="s">
        <v>4101</v>
      </c>
      <c r="D3634" s="6" t="s">
        <v>13</v>
      </c>
      <c r="E3634" s="5" t="s">
        <v>4016</v>
      </c>
      <c r="F3634" s="5" t="s">
        <v>149</v>
      </c>
      <c r="G3634" s="5" t="s">
        <v>1391</v>
      </c>
      <c r="H3634" s="5" t="s">
        <v>954</v>
      </c>
      <c r="I3634" s="5" t="s">
        <v>18</v>
      </c>
    </row>
    <row r="3635">
      <c r="A3635" s="7" t="s">
        <v>4107</v>
      </c>
      <c r="B3635" s="5" t="s">
        <v>4103</v>
      </c>
      <c r="C3635" s="5" t="s">
        <v>4104</v>
      </c>
      <c r="D3635" s="6" t="s">
        <v>13</v>
      </c>
      <c r="E3635" s="5" t="s">
        <v>4016</v>
      </c>
      <c r="F3635" s="5" t="s">
        <v>4105</v>
      </c>
      <c r="G3635" s="5" t="s">
        <v>4106</v>
      </c>
      <c r="H3635" s="5" t="s">
        <v>962</v>
      </c>
      <c r="I3635" s="5" t="s">
        <v>18</v>
      </c>
    </row>
    <row r="3636">
      <c r="A3636" s="7" t="s">
        <v>4109</v>
      </c>
      <c r="B3636" s="5" t="s">
        <v>4108</v>
      </c>
      <c r="C3636" s="5" t="s">
        <v>25</v>
      </c>
      <c r="D3636" s="6" t="s">
        <v>13</v>
      </c>
      <c r="E3636" s="5" t="s">
        <v>4016</v>
      </c>
      <c r="G3636" s="5" t="s">
        <v>953</v>
      </c>
      <c r="H3636" s="5" t="s">
        <v>954</v>
      </c>
      <c r="I3636" s="5" t="s">
        <v>18</v>
      </c>
    </row>
    <row r="3637">
      <c r="A3637" s="7" t="s">
        <v>4112</v>
      </c>
      <c r="B3637" s="5" t="s">
        <v>4110</v>
      </c>
      <c r="C3637" s="5" t="s">
        <v>25</v>
      </c>
      <c r="D3637" s="6" t="s">
        <v>13</v>
      </c>
      <c r="E3637" s="5" t="s">
        <v>4111</v>
      </c>
      <c r="F3637" s="5" t="s">
        <v>430</v>
      </c>
      <c r="G3637" s="5" t="s">
        <v>137</v>
      </c>
      <c r="H3637" s="5" t="s">
        <v>137</v>
      </c>
      <c r="I3637" s="5" t="s">
        <v>18</v>
      </c>
    </row>
    <row r="3638">
      <c r="A3638" s="7" t="s">
        <v>4114</v>
      </c>
      <c r="B3638" s="5" t="s">
        <v>4113</v>
      </c>
      <c r="C3638" s="5" t="s">
        <v>25</v>
      </c>
      <c r="D3638" s="6" t="s">
        <v>13</v>
      </c>
      <c r="E3638" s="5" t="s">
        <v>4111</v>
      </c>
      <c r="G3638" s="5" t="s">
        <v>137</v>
      </c>
      <c r="H3638" s="5" t="s">
        <v>137</v>
      </c>
      <c r="I3638" s="5" t="s">
        <v>18</v>
      </c>
    </row>
    <row r="3639">
      <c r="A3639" s="8" t="s">
        <v>4116</v>
      </c>
      <c r="B3639" s="5" t="s">
        <v>4115</v>
      </c>
      <c r="C3639" s="5" t="s">
        <v>25</v>
      </c>
      <c r="D3639" s="6" t="s">
        <v>13</v>
      </c>
      <c r="E3639" s="5" t="s">
        <v>4111</v>
      </c>
      <c r="F3639" s="5" t="s">
        <v>446</v>
      </c>
      <c r="G3639" s="5" t="s">
        <v>166</v>
      </c>
      <c r="H3639" s="5" t="s">
        <v>44</v>
      </c>
      <c r="I3639" s="5" t="s">
        <v>18</v>
      </c>
    </row>
    <row r="3640">
      <c r="A3640" s="7" t="s">
        <v>4119</v>
      </c>
      <c r="B3640" s="5" t="s">
        <v>4117</v>
      </c>
      <c r="C3640" s="5" t="s">
        <v>1164</v>
      </c>
      <c r="D3640" s="6" t="s">
        <v>13</v>
      </c>
      <c r="E3640" s="5" t="s">
        <v>4118</v>
      </c>
      <c r="F3640" s="5" t="s">
        <v>1759</v>
      </c>
      <c r="G3640" s="6" t="s">
        <v>64</v>
      </c>
      <c r="H3640" s="6" t="s">
        <v>65</v>
      </c>
      <c r="I3640" s="5" t="s">
        <v>18</v>
      </c>
    </row>
    <row r="3641">
      <c r="A3641" s="7" t="s">
        <v>4121</v>
      </c>
      <c r="B3641" s="5" t="s">
        <v>4120</v>
      </c>
      <c r="C3641" s="5" t="s">
        <v>404</v>
      </c>
      <c r="D3641" s="6" t="s">
        <v>13</v>
      </c>
      <c r="E3641" s="5" t="s">
        <v>4118</v>
      </c>
      <c r="F3641" s="5" t="s">
        <v>832</v>
      </c>
      <c r="G3641" s="5" t="s">
        <v>1473</v>
      </c>
      <c r="H3641" s="5" t="s">
        <v>50</v>
      </c>
      <c r="I3641" s="5" t="s">
        <v>18</v>
      </c>
    </row>
    <row r="3642">
      <c r="A3642" s="8" t="s">
        <v>4124</v>
      </c>
      <c r="B3642" s="5" t="s">
        <v>4122</v>
      </c>
      <c r="C3642" s="5" t="s">
        <v>4123</v>
      </c>
      <c r="D3642" s="6" t="s">
        <v>13</v>
      </c>
      <c r="E3642" s="5" t="s">
        <v>4118</v>
      </c>
      <c r="F3642" s="5" t="s">
        <v>1538</v>
      </c>
      <c r="G3642" s="5" t="s">
        <v>1473</v>
      </c>
      <c r="H3642" s="5" t="s">
        <v>50</v>
      </c>
      <c r="I3642" s="5" t="s">
        <v>18</v>
      </c>
    </row>
    <row r="3643">
      <c r="A3643" s="7" t="s">
        <v>4126</v>
      </c>
      <c r="B3643" s="5" t="s">
        <v>4125</v>
      </c>
      <c r="C3643" s="5" t="s">
        <v>404</v>
      </c>
      <c r="D3643" s="6" t="s">
        <v>13</v>
      </c>
      <c r="E3643" s="5" t="s">
        <v>4118</v>
      </c>
      <c r="F3643" s="5" t="s">
        <v>283</v>
      </c>
      <c r="G3643" s="5" t="s">
        <v>295</v>
      </c>
      <c r="H3643" s="5" t="s">
        <v>154</v>
      </c>
      <c r="I3643" s="5" t="s">
        <v>18</v>
      </c>
    </row>
    <row r="3644">
      <c r="A3644" s="7" t="s">
        <v>4128</v>
      </c>
      <c r="B3644" s="5" t="s">
        <v>4127</v>
      </c>
      <c r="C3644" s="5" t="s">
        <v>404</v>
      </c>
      <c r="D3644" s="6" t="s">
        <v>13</v>
      </c>
      <c r="E3644" s="5" t="s">
        <v>4118</v>
      </c>
      <c r="F3644" s="5" t="s">
        <v>512</v>
      </c>
      <c r="G3644" s="5" t="s">
        <v>1353</v>
      </c>
      <c r="H3644" s="5" t="s">
        <v>1354</v>
      </c>
      <c r="I3644" s="5" t="s">
        <v>18</v>
      </c>
    </row>
    <row r="3645">
      <c r="A3645" s="7" t="s">
        <v>4130</v>
      </c>
      <c r="B3645" s="5" t="s">
        <v>4129</v>
      </c>
      <c r="C3645" s="5" t="s">
        <v>404</v>
      </c>
      <c r="D3645" s="6" t="s">
        <v>13</v>
      </c>
      <c r="E3645" s="5" t="s">
        <v>4118</v>
      </c>
      <c r="F3645" s="5" t="s">
        <v>512</v>
      </c>
      <c r="G3645" s="5" t="s">
        <v>169</v>
      </c>
      <c r="H3645" s="5" t="s">
        <v>44</v>
      </c>
      <c r="I3645" s="5" t="s">
        <v>18</v>
      </c>
    </row>
    <row r="3646">
      <c r="A3646" s="7" t="s">
        <v>4134</v>
      </c>
      <c r="B3646" s="5" t="s">
        <v>4131</v>
      </c>
      <c r="C3646" s="5" t="s">
        <v>4132</v>
      </c>
      <c r="D3646" s="6" t="s">
        <v>13</v>
      </c>
      <c r="E3646" s="5" t="s">
        <v>4133</v>
      </c>
      <c r="F3646" s="5" t="s">
        <v>980</v>
      </c>
      <c r="G3646" s="5" t="s">
        <v>80</v>
      </c>
      <c r="H3646" s="5" t="s">
        <v>38</v>
      </c>
      <c r="I3646" s="5" t="s">
        <v>18</v>
      </c>
    </row>
    <row r="3647">
      <c r="A3647" s="7" t="s">
        <v>4138</v>
      </c>
      <c r="B3647" s="5" t="s">
        <v>4135</v>
      </c>
      <c r="C3647" s="5" t="s">
        <v>4136</v>
      </c>
      <c r="D3647" s="6" t="s">
        <v>13</v>
      </c>
      <c r="E3647" s="5" t="s">
        <v>4133</v>
      </c>
      <c r="F3647" s="5" t="s">
        <v>1034</v>
      </c>
      <c r="G3647" s="5" t="s">
        <v>4137</v>
      </c>
      <c r="H3647" s="5" t="s">
        <v>44</v>
      </c>
      <c r="I3647" s="5" t="s">
        <v>18</v>
      </c>
    </row>
    <row r="3648">
      <c r="A3648" s="7" t="s">
        <v>4142</v>
      </c>
      <c r="B3648" s="5" t="s">
        <v>4139</v>
      </c>
      <c r="C3648" s="5" t="s">
        <v>4140</v>
      </c>
      <c r="D3648" s="6" t="s">
        <v>13</v>
      </c>
      <c r="E3648" s="5" t="s">
        <v>4133</v>
      </c>
      <c r="F3648" s="5" t="s">
        <v>4141</v>
      </c>
      <c r="G3648" s="5" t="s">
        <v>876</v>
      </c>
      <c r="H3648" s="5" t="s">
        <v>38</v>
      </c>
      <c r="I3648" s="5" t="s">
        <v>18</v>
      </c>
    </row>
    <row r="3649">
      <c r="A3649" s="7" t="s">
        <v>4147</v>
      </c>
      <c r="B3649" s="5" t="s">
        <v>4143</v>
      </c>
      <c r="C3649" s="5" t="s">
        <v>4144</v>
      </c>
      <c r="D3649" s="6" t="s">
        <v>13</v>
      </c>
      <c r="E3649" s="5" t="s">
        <v>4145</v>
      </c>
      <c r="F3649" s="5" t="s">
        <v>4146</v>
      </c>
      <c r="G3649" s="5" t="s">
        <v>1527</v>
      </c>
      <c r="H3649" s="5" t="s">
        <v>945</v>
      </c>
      <c r="I3649" s="5" t="s">
        <v>18</v>
      </c>
    </row>
    <row r="3650">
      <c r="A3650" s="7" t="s">
        <v>4151</v>
      </c>
      <c r="B3650" s="5" t="s">
        <v>4148</v>
      </c>
      <c r="C3650" s="5" t="s">
        <v>4149</v>
      </c>
      <c r="D3650" s="6" t="s">
        <v>13</v>
      </c>
      <c r="E3650" s="5" t="s">
        <v>4145</v>
      </c>
      <c r="F3650" s="5" t="s">
        <v>4150</v>
      </c>
      <c r="G3650" s="5" t="s">
        <v>953</v>
      </c>
      <c r="H3650" s="5" t="s">
        <v>954</v>
      </c>
      <c r="I3650" s="5" t="s">
        <v>18</v>
      </c>
    </row>
    <row r="3651">
      <c r="A3651" s="7" t="s">
        <v>4155</v>
      </c>
      <c r="B3651" s="5" t="s">
        <v>4152</v>
      </c>
      <c r="C3651" s="5" t="s">
        <v>4153</v>
      </c>
      <c r="D3651" s="6" t="s">
        <v>13</v>
      </c>
      <c r="E3651" s="5" t="s">
        <v>4145</v>
      </c>
      <c r="F3651" s="5" t="s">
        <v>1570</v>
      </c>
      <c r="G3651" s="5" t="s">
        <v>4154</v>
      </c>
      <c r="H3651" s="5" t="s">
        <v>945</v>
      </c>
      <c r="I3651" s="5" t="s">
        <v>18</v>
      </c>
    </row>
    <row r="3652">
      <c r="A3652" s="7" t="s">
        <v>4159</v>
      </c>
      <c r="B3652" s="5" t="s">
        <v>4156</v>
      </c>
      <c r="C3652" s="5" t="s">
        <v>4157</v>
      </c>
      <c r="D3652" s="6" t="s">
        <v>13</v>
      </c>
      <c r="E3652" s="5" t="s">
        <v>4145</v>
      </c>
      <c r="F3652" s="5" t="s">
        <v>4158</v>
      </c>
      <c r="G3652" s="5" t="s">
        <v>2339</v>
      </c>
      <c r="H3652" s="5" t="s">
        <v>781</v>
      </c>
      <c r="I3652" s="5" t="s">
        <v>18</v>
      </c>
    </row>
    <row r="3653">
      <c r="A3653" s="8" t="s">
        <v>4162</v>
      </c>
      <c r="B3653" s="5" t="s">
        <v>4160</v>
      </c>
      <c r="C3653" s="5" t="s">
        <v>4144</v>
      </c>
      <c r="D3653" s="6" t="s">
        <v>13</v>
      </c>
      <c r="E3653" s="5" t="s">
        <v>4145</v>
      </c>
      <c r="F3653" s="5" t="s">
        <v>1617</v>
      </c>
      <c r="G3653" s="5" t="s">
        <v>4161</v>
      </c>
      <c r="H3653" s="5" t="s">
        <v>38</v>
      </c>
      <c r="I3653" s="5" t="s">
        <v>18</v>
      </c>
    </row>
    <row r="3654">
      <c r="A3654" s="8" t="s">
        <v>4162</v>
      </c>
      <c r="B3654" s="5" t="s">
        <v>4160</v>
      </c>
      <c r="C3654" s="5" t="s">
        <v>4144</v>
      </c>
      <c r="D3654" s="6" t="s">
        <v>13</v>
      </c>
      <c r="E3654" s="5" t="s">
        <v>4145</v>
      </c>
      <c r="F3654" s="5" t="s">
        <v>1617</v>
      </c>
      <c r="G3654" s="5" t="s">
        <v>4161</v>
      </c>
      <c r="H3654" s="5" t="s">
        <v>38</v>
      </c>
      <c r="I3654" s="5" t="s">
        <v>18</v>
      </c>
    </row>
    <row r="3655">
      <c r="A3655" s="8" t="s">
        <v>4166</v>
      </c>
      <c r="B3655" s="5" t="s">
        <v>4163</v>
      </c>
      <c r="C3655" s="5" t="s">
        <v>4164</v>
      </c>
      <c r="D3655" s="6" t="s">
        <v>13</v>
      </c>
      <c r="E3655" s="5" t="s">
        <v>4145</v>
      </c>
      <c r="F3655" s="5" t="s">
        <v>4165</v>
      </c>
      <c r="G3655" s="5" t="s">
        <v>75</v>
      </c>
      <c r="H3655" s="5" t="s">
        <v>76</v>
      </c>
      <c r="I3655" s="5" t="s">
        <v>18</v>
      </c>
    </row>
    <row r="3656">
      <c r="A3656" s="8" t="s">
        <v>4170</v>
      </c>
      <c r="B3656" s="5" t="s">
        <v>4167</v>
      </c>
      <c r="C3656" s="5" t="s">
        <v>4168</v>
      </c>
      <c r="D3656" s="6" t="s">
        <v>13</v>
      </c>
      <c r="E3656" s="5" t="s">
        <v>4145</v>
      </c>
      <c r="F3656" s="5" t="s">
        <v>4169</v>
      </c>
      <c r="G3656" s="5" t="s">
        <v>80</v>
      </c>
      <c r="H3656" s="5" t="s">
        <v>38</v>
      </c>
      <c r="I3656" s="5" t="s">
        <v>18</v>
      </c>
    </row>
    <row r="3657">
      <c r="A3657" s="8" t="s">
        <v>4173</v>
      </c>
      <c r="B3657" s="5" t="s">
        <v>4171</v>
      </c>
      <c r="C3657" s="5" t="s">
        <v>4172</v>
      </c>
      <c r="D3657" s="6" t="s">
        <v>13</v>
      </c>
      <c r="E3657" s="5" t="s">
        <v>4145</v>
      </c>
      <c r="F3657" s="5" t="s">
        <v>570</v>
      </c>
      <c r="G3657" s="5" t="s">
        <v>80</v>
      </c>
      <c r="H3657" s="5" t="s">
        <v>38</v>
      </c>
      <c r="I3657" s="5" t="s">
        <v>18</v>
      </c>
    </row>
    <row r="3658">
      <c r="A3658" s="8" t="s">
        <v>4176</v>
      </c>
      <c r="B3658" s="5" t="s">
        <v>4174</v>
      </c>
      <c r="C3658" s="5" t="s">
        <v>4175</v>
      </c>
      <c r="D3658" s="6" t="s">
        <v>13</v>
      </c>
      <c r="E3658" s="5" t="s">
        <v>4145</v>
      </c>
      <c r="F3658" s="5" t="s">
        <v>512</v>
      </c>
      <c r="G3658" s="5" t="s">
        <v>80</v>
      </c>
      <c r="H3658" s="5" t="s">
        <v>38</v>
      </c>
      <c r="I3658" s="5" t="s">
        <v>18</v>
      </c>
    </row>
    <row r="3659">
      <c r="A3659" s="8" t="s">
        <v>4179</v>
      </c>
      <c r="B3659" s="5" t="s">
        <v>4177</v>
      </c>
      <c r="C3659" s="5" t="s">
        <v>4178</v>
      </c>
      <c r="D3659" s="6" t="s">
        <v>13</v>
      </c>
      <c r="E3659" s="5" t="s">
        <v>4145</v>
      </c>
      <c r="F3659" s="5" t="s">
        <v>1538</v>
      </c>
      <c r="G3659" s="5" t="s">
        <v>80</v>
      </c>
      <c r="H3659" s="5" t="s">
        <v>38</v>
      </c>
      <c r="I3659" s="5" t="s">
        <v>18</v>
      </c>
    </row>
    <row r="3660">
      <c r="A3660" s="8" t="s">
        <v>4182</v>
      </c>
      <c r="B3660" s="5" t="s">
        <v>4180</v>
      </c>
      <c r="C3660" s="5" t="s">
        <v>4181</v>
      </c>
      <c r="D3660" s="6" t="s">
        <v>13</v>
      </c>
      <c r="E3660" s="5" t="s">
        <v>4145</v>
      </c>
      <c r="F3660" s="5" t="s">
        <v>149</v>
      </c>
      <c r="G3660" s="5" t="s">
        <v>1527</v>
      </c>
      <c r="H3660" s="5" t="s">
        <v>945</v>
      </c>
      <c r="I3660" s="5" t="s">
        <v>18</v>
      </c>
    </row>
    <row r="3661">
      <c r="A3661" s="8" t="s">
        <v>4184</v>
      </c>
      <c r="B3661" s="5" t="s">
        <v>4183</v>
      </c>
      <c r="C3661" s="5" t="s">
        <v>25</v>
      </c>
      <c r="D3661" s="6" t="s">
        <v>13</v>
      </c>
      <c r="E3661" s="5" t="s">
        <v>4145</v>
      </c>
      <c r="F3661" s="5" t="s">
        <v>2428</v>
      </c>
      <c r="G3661" s="5" t="s">
        <v>953</v>
      </c>
      <c r="H3661" s="5" t="s">
        <v>954</v>
      </c>
      <c r="I3661" s="5" t="s">
        <v>18</v>
      </c>
    </row>
    <row r="3662">
      <c r="A3662" s="8" t="s">
        <v>4188</v>
      </c>
      <c r="B3662" s="5" t="s">
        <v>4185</v>
      </c>
      <c r="C3662" s="5" t="s">
        <v>4186</v>
      </c>
      <c r="D3662" s="6" t="s">
        <v>13</v>
      </c>
      <c r="E3662" s="5" t="s">
        <v>4145</v>
      </c>
      <c r="F3662" s="5" t="s">
        <v>1425</v>
      </c>
      <c r="G3662" s="5" t="s">
        <v>4187</v>
      </c>
      <c r="H3662" s="5" t="s">
        <v>945</v>
      </c>
      <c r="I3662" s="5" t="s">
        <v>18</v>
      </c>
    </row>
    <row r="3663">
      <c r="A3663" s="8" t="s">
        <v>4193</v>
      </c>
      <c r="B3663" s="5" t="s">
        <v>4189</v>
      </c>
      <c r="C3663" s="5" t="s">
        <v>4190</v>
      </c>
      <c r="D3663" s="6" t="s">
        <v>13</v>
      </c>
      <c r="E3663" s="5" t="s">
        <v>4191</v>
      </c>
      <c r="F3663" s="5" t="s">
        <v>36</v>
      </c>
      <c r="G3663" s="5" t="s">
        <v>4192</v>
      </c>
      <c r="H3663" s="5" t="s">
        <v>44</v>
      </c>
      <c r="I3663" s="5" t="s">
        <v>18</v>
      </c>
    </row>
    <row r="3664">
      <c r="A3664" s="8" t="s">
        <v>4196</v>
      </c>
      <c r="B3664" s="5" t="s">
        <v>4194</v>
      </c>
      <c r="C3664" s="5" t="s">
        <v>4195</v>
      </c>
      <c r="D3664" s="6" t="s">
        <v>13</v>
      </c>
      <c r="E3664" s="5" t="s">
        <v>4191</v>
      </c>
      <c r="F3664" s="5" t="s">
        <v>2322</v>
      </c>
      <c r="G3664" s="5" t="s">
        <v>85</v>
      </c>
      <c r="H3664" s="5" t="s">
        <v>86</v>
      </c>
      <c r="I3664" s="5" t="s">
        <v>18</v>
      </c>
    </row>
    <row r="3665">
      <c r="A3665" s="7" t="s">
        <v>4199</v>
      </c>
      <c r="B3665" s="5" t="s">
        <v>4197</v>
      </c>
      <c r="C3665" s="5" t="s">
        <v>4198</v>
      </c>
      <c r="D3665" s="6" t="s">
        <v>13</v>
      </c>
      <c r="E3665" s="5" t="s">
        <v>4191</v>
      </c>
      <c r="F3665" s="5" t="s">
        <v>354</v>
      </c>
      <c r="G3665" s="5" t="s">
        <v>1304</v>
      </c>
      <c r="H3665" s="5" t="s">
        <v>1305</v>
      </c>
      <c r="I3665" s="5" t="s">
        <v>18</v>
      </c>
    </row>
    <row r="3666">
      <c r="A3666" s="7" t="s">
        <v>4202</v>
      </c>
      <c r="B3666" s="5" t="s">
        <v>4200</v>
      </c>
      <c r="C3666" s="5" t="s">
        <v>4201</v>
      </c>
      <c r="D3666" s="6" t="s">
        <v>13</v>
      </c>
      <c r="E3666" s="5" t="s">
        <v>4191</v>
      </c>
      <c r="F3666" s="5" t="s">
        <v>691</v>
      </c>
      <c r="G3666" s="5" t="s">
        <v>4137</v>
      </c>
      <c r="H3666" s="5" t="s">
        <v>44</v>
      </c>
      <c r="I3666" s="5" t="s">
        <v>18</v>
      </c>
    </row>
    <row r="3667">
      <c r="A3667" s="8" t="s">
        <v>4205</v>
      </c>
      <c r="B3667" s="5" t="s">
        <v>4203</v>
      </c>
      <c r="C3667" s="5" t="s">
        <v>4204</v>
      </c>
      <c r="D3667" s="6" t="s">
        <v>13</v>
      </c>
      <c r="E3667" s="5" t="s">
        <v>4191</v>
      </c>
      <c r="F3667" s="5" t="s">
        <v>686</v>
      </c>
      <c r="G3667" s="5" t="s">
        <v>122</v>
      </c>
      <c r="H3667" s="5" t="s">
        <v>44</v>
      </c>
      <c r="I3667" s="5" t="s">
        <v>18</v>
      </c>
    </row>
    <row r="3668">
      <c r="A3668" s="7" t="s">
        <v>4207</v>
      </c>
      <c r="B3668" s="5" t="s">
        <v>4206</v>
      </c>
      <c r="C3668" s="5" t="s">
        <v>361</v>
      </c>
      <c r="D3668" s="6" t="s">
        <v>13</v>
      </c>
      <c r="E3668" s="5" t="s">
        <v>4191</v>
      </c>
      <c r="F3668" s="5" t="s">
        <v>144</v>
      </c>
      <c r="G3668" s="5" t="s">
        <v>122</v>
      </c>
      <c r="H3668" s="5" t="s">
        <v>44</v>
      </c>
      <c r="I3668" s="5" t="s">
        <v>18</v>
      </c>
    </row>
    <row r="3669">
      <c r="A3669" s="8" t="s">
        <v>4210</v>
      </c>
      <c r="B3669" s="5" t="s">
        <v>4208</v>
      </c>
      <c r="C3669" s="5" t="s">
        <v>4209</v>
      </c>
      <c r="D3669" s="6" t="s">
        <v>13</v>
      </c>
      <c r="E3669" s="5" t="s">
        <v>4191</v>
      </c>
      <c r="F3669" s="5" t="s">
        <v>886</v>
      </c>
      <c r="G3669" s="5" t="s">
        <v>122</v>
      </c>
      <c r="H3669" s="5" t="s">
        <v>44</v>
      </c>
      <c r="I3669" s="5" t="s">
        <v>18</v>
      </c>
    </row>
    <row r="3670">
      <c r="A3670" s="8" t="s">
        <v>4214</v>
      </c>
      <c r="B3670" s="5" t="s">
        <v>4211</v>
      </c>
      <c r="C3670" s="5" t="s">
        <v>4212</v>
      </c>
      <c r="D3670" s="6" t="s">
        <v>13</v>
      </c>
      <c r="E3670" s="5" t="s">
        <v>4191</v>
      </c>
      <c r="F3670" s="5" t="s">
        <v>1578</v>
      </c>
      <c r="G3670" s="5" t="s">
        <v>4213</v>
      </c>
      <c r="H3670" s="5" t="s">
        <v>203</v>
      </c>
      <c r="I3670" s="5" t="s">
        <v>18</v>
      </c>
    </row>
    <row r="3671">
      <c r="A3671" s="8" t="s">
        <v>4217</v>
      </c>
      <c r="B3671" s="5" t="s">
        <v>4215</v>
      </c>
      <c r="C3671" s="5" t="s">
        <v>4216</v>
      </c>
      <c r="D3671" s="6" t="s">
        <v>13</v>
      </c>
      <c r="E3671" s="5" t="s">
        <v>4191</v>
      </c>
      <c r="F3671" s="5" t="s">
        <v>437</v>
      </c>
      <c r="G3671" s="5" t="s">
        <v>137</v>
      </c>
      <c r="H3671" s="5" t="s">
        <v>137</v>
      </c>
      <c r="I3671" s="5" t="s">
        <v>18</v>
      </c>
    </row>
    <row r="3672">
      <c r="A3672" s="8" t="s">
        <v>4221</v>
      </c>
      <c r="B3672" s="5" t="s">
        <v>4218</v>
      </c>
      <c r="C3672" s="5" t="s">
        <v>4219</v>
      </c>
      <c r="D3672" s="6" t="s">
        <v>13</v>
      </c>
      <c r="E3672" s="5" t="s">
        <v>4191</v>
      </c>
      <c r="F3672" s="5" t="s">
        <v>1921</v>
      </c>
      <c r="G3672" s="5" t="s">
        <v>4220</v>
      </c>
      <c r="H3672" s="5" t="s">
        <v>184</v>
      </c>
      <c r="I3672" s="5" t="s">
        <v>18</v>
      </c>
    </row>
    <row r="3673">
      <c r="A3673" s="7" t="s">
        <v>4223</v>
      </c>
      <c r="B3673" s="5" t="s">
        <v>4222</v>
      </c>
      <c r="C3673" s="5" t="s">
        <v>25</v>
      </c>
      <c r="D3673" s="6" t="s">
        <v>13</v>
      </c>
      <c r="E3673" s="5" t="s">
        <v>4191</v>
      </c>
      <c r="F3673" s="5" t="s">
        <v>421</v>
      </c>
      <c r="G3673" s="5" t="s">
        <v>1437</v>
      </c>
      <c r="H3673" s="5" t="s">
        <v>203</v>
      </c>
      <c r="I3673" s="5" t="s">
        <v>18</v>
      </c>
    </row>
    <row r="3674">
      <c r="A3674" s="8" t="s">
        <v>4226</v>
      </c>
      <c r="B3674" s="5" t="s">
        <v>4224</v>
      </c>
      <c r="C3674" s="5" t="s">
        <v>4225</v>
      </c>
      <c r="D3674" s="6" t="s">
        <v>13</v>
      </c>
      <c r="E3674" s="5" t="s">
        <v>4191</v>
      </c>
      <c r="F3674" s="5" t="s">
        <v>421</v>
      </c>
      <c r="G3674" s="5" t="s">
        <v>1437</v>
      </c>
      <c r="H3674" s="5" t="s">
        <v>203</v>
      </c>
      <c r="I3674" s="5" t="s">
        <v>18</v>
      </c>
    </row>
    <row r="3675">
      <c r="A3675" s="8" t="s">
        <v>4229</v>
      </c>
      <c r="B3675" s="5" t="s">
        <v>4227</v>
      </c>
      <c r="C3675" s="5" t="s">
        <v>4228</v>
      </c>
      <c r="D3675" s="6" t="s">
        <v>13</v>
      </c>
      <c r="E3675" s="5" t="s">
        <v>4191</v>
      </c>
      <c r="F3675" s="5" t="s">
        <v>2890</v>
      </c>
      <c r="G3675" s="5" t="s">
        <v>1437</v>
      </c>
      <c r="H3675" s="5" t="s">
        <v>203</v>
      </c>
      <c r="I3675" s="5" t="s">
        <v>18</v>
      </c>
    </row>
    <row r="3676">
      <c r="A3676" s="8" t="s">
        <v>4231</v>
      </c>
      <c r="B3676" s="5" t="s">
        <v>525</v>
      </c>
      <c r="C3676" s="5" t="s">
        <v>4230</v>
      </c>
      <c r="D3676" s="6" t="s">
        <v>13</v>
      </c>
      <c r="E3676" s="5" t="s">
        <v>4191</v>
      </c>
      <c r="F3676" s="5" t="s">
        <v>63</v>
      </c>
      <c r="G3676" s="5" t="s">
        <v>1437</v>
      </c>
      <c r="H3676" s="5" t="s">
        <v>203</v>
      </c>
      <c r="I3676" s="5" t="s">
        <v>18</v>
      </c>
    </row>
    <row r="3677">
      <c r="A3677" s="8" t="s">
        <v>4234</v>
      </c>
      <c r="B3677" s="5" t="s">
        <v>4232</v>
      </c>
      <c r="C3677" s="5" t="s">
        <v>4233</v>
      </c>
      <c r="D3677" s="6" t="s">
        <v>13</v>
      </c>
      <c r="E3677" s="5" t="s">
        <v>4191</v>
      </c>
      <c r="F3677" s="5" t="s">
        <v>754</v>
      </c>
      <c r="G3677" s="5" t="s">
        <v>1437</v>
      </c>
      <c r="H3677" s="5" t="s">
        <v>203</v>
      </c>
      <c r="I3677" s="5" t="s">
        <v>18</v>
      </c>
    </row>
    <row r="3678">
      <c r="A3678" s="8" t="s">
        <v>4237</v>
      </c>
      <c r="B3678" s="5" t="s">
        <v>4235</v>
      </c>
      <c r="C3678" s="5" t="s">
        <v>25</v>
      </c>
      <c r="D3678" s="6" t="s">
        <v>13</v>
      </c>
      <c r="E3678" s="5" t="s">
        <v>4191</v>
      </c>
      <c r="F3678" s="5" t="s">
        <v>121</v>
      </c>
      <c r="G3678" s="5" t="s">
        <v>4236</v>
      </c>
      <c r="H3678" s="5" t="s">
        <v>203</v>
      </c>
      <c r="I3678" s="5" t="s">
        <v>18</v>
      </c>
    </row>
    <row r="3679">
      <c r="A3679" s="7" t="s">
        <v>4241</v>
      </c>
      <c r="B3679" s="5" t="s">
        <v>4238</v>
      </c>
      <c r="C3679" s="5" t="s">
        <v>4239</v>
      </c>
      <c r="D3679" s="6" t="s">
        <v>13</v>
      </c>
      <c r="E3679" s="5" t="s">
        <v>4191</v>
      </c>
      <c r="F3679" s="5" t="s">
        <v>36</v>
      </c>
      <c r="G3679" s="5" t="s">
        <v>4240</v>
      </c>
      <c r="H3679" s="5" t="s">
        <v>203</v>
      </c>
      <c r="I3679" s="5" t="s">
        <v>18</v>
      </c>
    </row>
    <row r="3680">
      <c r="A3680" s="8" t="s">
        <v>4243</v>
      </c>
      <c r="B3680" s="5" t="s">
        <v>4242</v>
      </c>
      <c r="C3680" s="5" t="s">
        <v>4225</v>
      </c>
      <c r="D3680" s="6" t="s">
        <v>13</v>
      </c>
      <c r="E3680" s="5" t="s">
        <v>4191</v>
      </c>
      <c r="F3680" s="5" t="s">
        <v>15</v>
      </c>
      <c r="G3680" s="5" t="s">
        <v>4240</v>
      </c>
      <c r="H3680" s="5" t="s">
        <v>203</v>
      </c>
      <c r="I3680" s="5" t="s">
        <v>18</v>
      </c>
    </row>
    <row r="3681">
      <c r="A3681" s="8" t="s">
        <v>4247</v>
      </c>
      <c r="B3681" s="5" t="s">
        <v>4244</v>
      </c>
      <c r="C3681" s="5" t="s">
        <v>4245</v>
      </c>
      <c r="D3681" s="6" t="s">
        <v>13</v>
      </c>
      <c r="E3681" s="5" t="s">
        <v>4191</v>
      </c>
      <c r="F3681" s="5" t="s">
        <v>26</v>
      </c>
      <c r="G3681" s="5" t="s">
        <v>4246</v>
      </c>
      <c r="H3681" s="5" t="s">
        <v>203</v>
      </c>
      <c r="I3681" s="5" t="s">
        <v>18</v>
      </c>
    </row>
    <row r="3682">
      <c r="A3682" s="7" t="s">
        <v>4251</v>
      </c>
      <c r="B3682" s="5" t="s">
        <v>4248</v>
      </c>
      <c r="C3682" s="5" t="s">
        <v>4249</v>
      </c>
      <c r="D3682" s="6" t="s">
        <v>13</v>
      </c>
      <c r="E3682" s="5" t="s">
        <v>4191</v>
      </c>
      <c r="F3682" s="5" t="s">
        <v>4250</v>
      </c>
      <c r="G3682" s="5" t="s">
        <v>153</v>
      </c>
      <c r="H3682" s="5" t="s">
        <v>154</v>
      </c>
      <c r="I3682" s="5" t="s">
        <v>18</v>
      </c>
    </row>
    <row r="3683">
      <c r="A3683" s="7" t="s">
        <v>4251</v>
      </c>
      <c r="B3683" s="5" t="s">
        <v>4248</v>
      </c>
      <c r="C3683" s="5" t="s">
        <v>4249</v>
      </c>
      <c r="D3683" s="6" t="s">
        <v>13</v>
      </c>
      <c r="E3683" s="5" t="s">
        <v>4191</v>
      </c>
      <c r="F3683" s="5" t="s">
        <v>4250</v>
      </c>
      <c r="G3683" s="5" t="s">
        <v>153</v>
      </c>
      <c r="H3683" s="5" t="s">
        <v>154</v>
      </c>
      <c r="I3683" s="5" t="s">
        <v>18</v>
      </c>
    </row>
    <row r="3684">
      <c r="A3684" s="8" t="s">
        <v>4255</v>
      </c>
      <c r="B3684" s="5" t="s">
        <v>4252</v>
      </c>
      <c r="C3684" s="5" t="s">
        <v>4253</v>
      </c>
      <c r="D3684" s="6" t="s">
        <v>13</v>
      </c>
      <c r="E3684" s="5" t="s">
        <v>4254</v>
      </c>
      <c r="F3684" s="5" t="s">
        <v>822</v>
      </c>
      <c r="G3684" s="5" t="s">
        <v>16</v>
      </c>
      <c r="H3684" s="5" t="s">
        <v>17</v>
      </c>
      <c r="I3684" s="5" t="s">
        <v>18</v>
      </c>
    </row>
    <row r="3685">
      <c r="A3685" s="8" t="s">
        <v>4255</v>
      </c>
      <c r="B3685" s="5" t="s">
        <v>4252</v>
      </c>
      <c r="C3685" s="5" t="s">
        <v>4253</v>
      </c>
      <c r="D3685" s="6" t="s">
        <v>13</v>
      </c>
      <c r="E3685" s="5" t="s">
        <v>4254</v>
      </c>
      <c r="F3685" s="5" t="s">
        <v>822</v>
      </c>
      <c r="G3685" s="5" t="s">
        <v>16</v>
      </c>
      <c r="H3685" s="5" t="s">
        <v>17</v>
      </c>
      <c r="I3685" s="5" t="s">
        <v>18</v>
      </c>
    </row>
    <row r="3686">
      <c r="A3686" s="7" t="s">
        <v>4257</v>
      </c>
      <c r="B3686" s="5" t="s">
        <v>4256</v>
      </c>
      <c r="C3686" s="5" t="s">
        <v>404</v>
      </c>
      <c r="D3686" s="6" t="s">
        <v>13</v>
      </c>
      <c r="E3686" s="5" t="s">
        <v>4254</v>
      </c>
      <c r="F3686" s="5" t="s">
        <v>182</v>
      </c>
      <c r="G3686" s="5" t="s">
        <v>49</v>
      </c>
      <c r="H3686" s="5" t="s">
        <v>50</v>
      </c>
      <c r="I3686" s="5" t="s">
        <v>18</v>
      </c>
    </row>
    <row r="3687">
      <c r="A3687" s="7" t="s">
        <v>4260</v>
      </c>
      <c r="B3687" s="5" t="s">
        <v>4258</v>
      </c>
      <c r="C3687" s="5" t="s">
        <v>4259</v>
      </c>
      <c r="D3687" s="6" t="s">
        <v>13</v>
      </c>
      <c r="E3687" s="5" t="s">
        <v>4254</v>
      </c>
      <c r="F3687" s="5" t="s">
        <v>339</v>
      </c>
      <c r="G3687" s="5" t="s">
        <v>49</v>
      </c>
      <c r="H3687" s="5" t="s">
        <v>50</v>
      </c>
      <c r="I3687" s="5" t="s">
        <v>18</v>
      </c>
    </row>
    <row r="3688">
      <c r="A3688" s="7" t="s">
        <v>4263</v>
      </c>
      <c r="B3688" s="5" t="s">
        <v>4261</v>
      </c>
      <c r="C3688" s="5" t="s">
        <v>404</v>
      </c>
      <c r="D3688" s="6" t="s">
        <v>13</v>
      </c>
      <c r="E3688" s="5" t="s">
        <v>4254</v>
      </c>
      <c r="F3688" s="5" t="s">
        <v>257</v>
      </c>
      <c r="G3688" s="5" t="s">
        <v>4262</v>
      </c>
      <c r="H3688" s="5" t="s">
        <v>17</v>
      </c>
      <c r="I3688" s="5" t="s">
        <v>18</v>
      </c>
    </row>
    <row r="3689">
      <c r="A3689" s="7" t="s">
        <v>4265</v>
      </c>
      <c r="B3689" s="5" t="s">
        <v>4264</v>
      </c>
      <c r="C3689" s="5" t="s">
        <v>110</v>
      </c>
      <c r="D3689" s="6" t="s">
        <v>13</v>
      </c>
      <c r="E3689" s="5" t="s">
        <v>4254</v>
      </c>
      <c r="F3689" s="5" t="s">
        <v>585</v>
      </c>
      <c r="G3689" s="5" t="s">
        <v>1473</v>
      </c>
      <c r="H3689" s="5" t="s">
        <v>50</v>
      </c>
      <c r="I3689" s="5" t="s">
        <v>18</v>
      </c>
    </row>
    <row r="3690">
      <c r="A3690" s="8" t="s">
        <v>4268</v>
      </c>
      <c r="B3690" s="5" t="s">
        <v>4266</v>
      </c>
      <c r="C3690" s="5" t="s">
        <v>404</v>
      </c>
      <c r="D3690" s="6" t="s">
        <v>13</v>
      </c>
      <c r="E3690" s="5" t="s">
        <v>4254</v>
      </c>
      <c r="F3690" s="5" t="s">
        <v>339</v>
      </c>
      <c r="G3690" s="5" t="s">
        <v>4267</v>
      </c>
      <c r="H3690" s="5" t="s">
        <v>50</v>
      </c>
      <c r="I3690" s="5" t="s">
        <v>18</v>
      </c>
    </row>
    <row r="3691">
      <c r="A3691" s="7" t="s">
        <v>4271</v>
      </c>
      <c r="B3691" s="5" t="s">
        <v>4269</v>
      </c>
      <c r="C3691" s="5" t="s">
        <v>110</v>
      </c>
      <c r="D3691" s="6" t="s">
        <v>13</v>
      </c>
      <c r="E3691" s="5" t="s">
        <v>4270</v>
      </c>
      <c r="F3691" s="5" t="s">
        <v>36</v>
      </c>
      <c r="G3691" s="5" t="s">
        <v>137</v>
      </c>
      <c r="H3691" s="5" t="s">
        <v>137</v>
      </c>
      <c r="I3691" s="5" t="s">
        <v>18</v>
      </c>
    </row>
    <row r="3692">
      <c r="A3692" s="7" t="s">
        <v>4273</v>
      </c>
      <c r="B3692" s="5" t="s">
        <v>4272</v>
      </c>
      <c r="C3692" s="5" t="s">
        <v>110</v>
      </c>
      <c r="D3692" s="6" t="s">
        <v>13</v>
      </c>
      <c r="E3692" s="5" t="s">
        <v>4270</v>
      </c>
      <c r="F3692" s="5" t="s">
        <v>79</v>
      </c>
      <c r="G3692" s="5" t="s">
        <v>1859</v>
      </c>
      <c r="H3692" s="5" t="s">
        <v>44</v>
      </c>
      <c r="I3692" s="5" t="s">
        <v>18</v>
      </c>
    </row>
    <row r="3693">
      <c r="A3693" s="8" t="s">
        <v>4276</v>
      </c>
      <c r="B3693" s="5" t="s">
        <v>4274</v>
      </c>
      <c r="C3693" s="5" t="s">
        <v>4275</v>
      </c>
      <c r="D3693" s="6" t="s">
        <v>13</v>
      </c>
      <c r="E3693" s="5" t="s">
        <v>4270</v>
      </c>
      <c r="F3693" s="5" t="s">
        <v>832</v>
      </c>
      <c r="G3693" s="5" t="s">
        <v>166</v>
      </c>
      <c r="H3693" s="5" t="s">
        <v>44</v>
      </c>
      <c r="I3693" s="5" t="s">
        <v>18</v>
      </c>
    </row>
    <row r="3694">
      <c r="A3694" s="8" t="s">
        <v>4279</v>
      </c>
      <c r="B3694" s="5" t="s">
        <v>4277</v>
      </c>
      <c r="C3694" s="5" t="s">
        <v>4278</v>
      </c>
      <c r="D3694" s="6" t="s">
        <v>4</v>
      </c>
      <c r="E3694" s="5" t="s">
        <v>4270</v>
      </c>
      <c r="F3694" s="5" t="s">
        <v>283</v>
      </c>
      <c r="G3694" s="5" t="s">
        <v>166</v>
      </c>
      <c r="H3694" s="5" t="s">
        <v>44</v>
      </c>
      <c r="I3694" s="5" t="s">
        <v>18</v>
      </c>
    </row>
    <row r="3695">
      <c r="A3695" s="8" t="s">
        <v>4283</v>
      </c>
      <c r="B3695" s="5" t="s">
        <v>4280</v>
      </c>
      <c r="C3695" s="5" t="s">
        <v>4281</v>
      </c>
      <c r="D3695" s="6" t="s">
        <v>13</v>
      </c>
      <c r="E3695" s="5" t="s">
        <v>4282</v>
      </c>
      <c r="F3695" s="5" t="s">
        <v>1950</v>
      </c>
      <c r="G3695" s="5" t="s">
        <v>137</v>
      </c>
      <c r="H3695" s="5" t="s">
        <v>137</v>
      </c>
      <c r="I3695" s="5" t="s">
        <v>18</v>
      </c>
    </row>
    <row r="3696">
      <c r="A3696" s="7" t="s">
        <v>4285</v>
      </c>
      <c r="B3696" s="5" t="s">
        <v>4284</v>
      </c>
      <c r="C3696" s="5" t="s">
        <v>515</v>
      </c>
      <c r="D3696" s="6" t="s">
        <v>13</v>
      </c>
      <c r="E3696" s="5" t="s">
        <v>4282</v>
      </c>
      <c r="F3696" s="5" t="s">
        <v>387</v>
      </c>
      <c r="G3696" s="5" t="s">
        <v>137</v>
      </c>
      <c r="H3696" s="5" t="s">
        <v>137</v>
      </c>
      <c r="I3696" s="5" t="s">
        <v>18</v>
      </c>
    </row>
    <row r="3697">
      <c r="A3697" s="8" t="s">
        <v>4283</v>
      </c>
      <c r="B3697" s="5" t="s">
        <v>4280</v>
      </c>
      <c r="C3697" s="5" t="s">
        <v>4281</v>
      </c>
      <c r="D3697" s="6" t="s">
        <v>13</v>
      </c>
      <c r="E3697" s="5" t="s">
        <v>4282</v>
      </c>
      <c r="F3697" s="5" t="s">
        <v>1950</v>
      </c>
      <c r="G3697" s="5" t="s">
        <v>137</v>
      </c>
      <c r="H3697" s="5" t="s">
        <v>137</v>
      </c>
      <c r="I3697" s="5" t="s">
        <v>18</v>
      </c>
    </row>
    <row r="3698">
      <c r="A3698" s="7" t="s">
        <v>4288</v>
      </c>
      <c r="B3698" s="5" t="s">
        <v>4286</v>
      </c>
      <c r="C3698" s="5" t="s">
        <v>4287</v>
      </c>
      <c r="D3698" s="6" t="s">
        <v>13</v>
      </c>
      <c r="E3698" s="5" t="s">
        <v>4282</v>
      </c>
      <c r="F3698" s="5" t="s">
        <v>48</v>
      </c>
      <c r="G3698" s="5" t="s">
        <v>137</v>
      </c>
      <c r="H3698" s="5" t="s">
        <v>137</v>
      </c>
      <c r="I3698" s="5" t="s">
        <v>18</v>
      </c>
    </row>
    <row r="3699">
      <c r="A3699" s="7" t="s">
        <v>4292</v>
      </c>
      <c r="B3699" s="5" t="s">
        <v>4289</v>
      </c>
      <c r="C3699" s="5" t="s">
        <v>4290</v>
      </c>
      <c r="D3699" s="6" t="s">
        <v>13</v>
      </c>
      <c r="E3699" s="5" t="s">
        <v>4291</v>
      </c>
      <c r="F3699" s="5" t="s">
        <v>15</v>
      </c>
      <c r="G3699" s="5" t="s">
        <v>16</v>
      </c>
      <c r="H3699" s="5" t="s">
        <v>17</v>
      </c>
      <c r="I3699" s="5" t="s">
        <v>18</v>
      </c>
    </row>
    <row r="3700">
      <c r="A3700" s="7" t="s">
        <v>4295</v>
      </c>
      <c r="B3700" s="5" t="s">
        <v>4293</v>
      </c>
      <c r="C3700" s="5" t="s">
        <v>4294</v>
      </c>
      <c r="D3700" s="6" t="s">
        <v>13</v>
      </c>
      <c r="E3700" s="5" t="s">
        <v>4291</v>
      </c>
      <c r="F3700" s="5" t="s">
        <v>399</v>
      </c>
      <c r="G3700" s="5" t="s">
        <v>1274</v>
      </c>
      <c r="H3700" s="5" t="s">
        <v>76</v>
      </c>
      <c r="I3700" s="5" t="s">
        <v>18</v>
      </c>
    </row>
    <row r="3701">
      <c r="A3701" s="7" t="s">
        <v>4298</v>
      </c>
      <c r="B3701" s="5" t="s">
        <v>4296</v>
      </c>
      <c r="C3701" s="5" t="s">
        <v>4297</v>
      </c>
      <c r="D3701" s="6" t="s">
        <v>13</v>
      </c>
      <c r="E3701" s="5" t="s">
        <v>4291</v>
      </c>
      <c r="F3701" s="5" t="s">
        <v>36</v>
      </c>
      <c r="G3701" s="5" t="s">
        <v>218</v>
      </c>
      <c r="H3701" s="5" t="s">
        <v>219</v>
      </c>
      <c r="I3701" s="5" t="s">
        <v>18</v>
      </c>
    </row>
    <row r="3702">
      <c r="A3702" s="7" t="s">
        <v>4301</v>
      </c>
      <c r="B3702" s="5" t="s">
        <v>4299</v>
      </c>
      <c r="C3702" s="5" t="s">
        <v>4300</v>
      </c>
      <c r="D3702" s="6" t="s">
        <v>13</v>
      </c>
      <c r="E3702" s="5" t="s">
        <v>4291</v>
      </c>
      <c r="F3702" s="5" t="s">
        <v>283</v>
      </c>
      <c r="G3702" s="5" t="s">
        <v>953</v>
      </c>
      <c r="H3702" s="5" t="s">
        <v>954</v>
      </c>
      <c r="I3702" s="5" t="s">
        <v>18</v>
      </c>
    </row>
    <row r="3703">
      <c r="A3703" s="7" t="s">
        <v>4304</v>
      </c>
      <c r="B3703" s="5" t="s">
        <v>4302</v>
      </c>
      <c r="C3703" s="5" t="s">
        <v>4303</v>
      </c>
      <c r="D3703" s="6" t="s">
        <v>13</v>
      </c>
      <c r="E3703" s="5" t="s">
        <v>4291</v>
      </c>
      <c r="F3703" s="5" t="s">
        <v>217</v>
      </c>
      <c r="G3703" s="5" t="s">
        <v>953</v>
      </c>
      <c r="H3703" s="5" t="s">
        <v>954</v>
      </c>
      <c r="I3703" s="5" t="s">
        <v>18</v>
      </c>
    </row>
    <row r="3704">
      <c r="A3704" s="8" t="s">
        <v>4307</v>
      </c>
      <c r="B3704" s="5" t="s">
        <v>4305</v>
      </c>
      <c r="C3704" s="5" t="s">
        <v>4306</v>
      </c>
      <c r="D3704" s="6" t="s">
        <v>13</v>
      </c>
      <c r="E3704" s="5" t="s">
        <v>4291</v>
      </c>
      <c r="F3704" s="5" t="s">
        <v>496</v>
      </c>
      <c r="G3704" s="5" t="s">
        <v>953</v>
      </c>
      <c r="H3704" s="5" t="s">
        <v>954</v>
      </c>
      <c r="I3704" s="5" t="s">
        <v>18</v>
      </c>
    </row>
    <row r="3705">
      <c r="A3705" s="7" t="s">
        <v>4310</v>
      </c>
      <c r="B3705" s="5" t="s">
        <v>4308</v>
      </c>
      <c r="C3705" s="5" t="s">
        <v>4309</v>
      </c>
      <c r="D3705" s="6" t="s">
        <v>13</v>
      </c>
      <c r="E3705" s="5" t="s">
        <v>4291</v>
      </c>
      <c r="F3705" s="5" t="s">
        <v>512</v>
      </c>
      <c r="G3705" s="5" t="s">
        <v>953</v>
      </c>
      <c r="H3705" s="5" t="s">
        <v>954</v>
      </c>
      <c r="I3705" s="5" t="s">
        <v>18</v>
      </c>
    </row>
    <row r="3706">
      <c r="A3706" s="7" t="s">
        <v>4312</v>
      </c>
      <c r="B3706" s="5" t="s">
        <v>4311</v>
      </c>
      <c r="C3706" s="5" t="s">
        <v>4290</v>
      </c>
      <c r="D3706" s="6" t="s">
        <v>13</v>
      </c>
      <c r="E3706" s="5" t="s">
        <v>4291</v>
      </c>
      <c r="F3706" s="5" t="s">
        <v>207</v>
      </c>
      <c r="G3706" s="5" t="s">
        <v>1353</v>
      </c>
      <c r="H3706" s="5" t="s">
        <v>1354</v>
      </c>
      <c r="I3706" s="5" t="s">
        <v>18</v>
      </c>
    </row>
    <row r="3707">
      <c r="A3707" s="8" t="s">
        <v>4315</v>
      </c>
      <c r="B3707" s="5" t="s">
        <v>4313</v>
      </c>
      <c r="C3707" s="5" t="s">
        <v>4314</v>
      </c>
      <c r="D3707" s="6" t="s">
        <v>13</v>
      </c>
      <c r="E3707" s="5" t="s">
        <v>4291</v>
      </c>
      <c r="F3707" s="5" t="s">
        <v>890</v>
      </c>
      <c r="G3707" s="5" t="s">
        <v>1022</v>
      </c>
      <c r="H3707" s="5" t="s">
        <v>264</v>
      </c>
      <c r="I3707" s="5" t="s">
        <v>18</v>
      </c>
    </row>
    <row r="3708">
      <c r="A3708" s="7" t="s">
        <v>4318</v>
      </c>
      <c r="B3708" s="5" t="s">
        <v>4316</v>
      </c>
      <c r="C3708" s="5" t="s">
        <v>4317</v>
      </c>
      <c r="D3708" s="6" t="s">
        <v>13</v>
      </c>
      <c r="E3708" s="5" t="s">
        <v>4291</v>
      </c>
      <c r="F3708" s="5" t="s">
        <v>331</v>
      </c>
      <c r="G3708" s="5" t="s">
        <v>1022</v>
      </c>
      <c r="H3708" s="5" t="s">
        <v>264</v>
      </c>
      <c r="I3708" s="5" t="s">
        <v>18</v>
      </c>
    </row>
    <row r="3709">
      <c r="A3709" s="7" t="s">
        <v>4321</v>
      </c>
      <c r="B3709" s="5" t="s">
        <v>4319</v>
      </c>
      <c r="C3709" s="5" t="s">
        <v>2181</v>
      </c>
      <c r="D3709" s="6" t="s">
        <v>13</v>
      </c>
      <c r="E3709" s="5" t="s">
        <v>4320</v>
      </c>
      <c r="F3709" s="5" t="s">
        <v>686</v>
      </c>
      <c r="G3709" s="5" t="s">
        <v>295</v>
      </c>
      <c r="H3709" s="5" t="s">
        <v>154</v>
      </c>
      <c r="I3709" s="5" t="s">
        <v>18</v>
      </c>
    </row>
    <row r="3710">
      <c r="A3710" s="7" t="s">
        <v>4323</v>
      </c>
      <c r="B3710" s="5" t="s">
        <v>4322</v>
      </c>
      <c r="C3710" s="5" t="s">
        <v>766</v>
      </c>
      <c r="D3710" s="6" t="s">
        <v>13</v>
      </c>
      <c r="E3710" s="5" t="s">
        <v>4320</v>
      </c>
      <c r="F3710" s="5" t="s">
        <v>734</v>
      </c>
      <c r="G3710" s="5" t="s">
        <v>166</v>
      </c>
      <c r="H3710" s="5" t="s">
        <v>44</v>
      </c>
      <c r="I3710" s="5" t="s">
        <v>18</v>
      </c>
    </row>
    <row r="3711">
      <c r="A3711" s="8" t="s">
        <v>4326</v>
      </c>
      <c r="B3711" s="5" t="s">
        <v>4324</v>
      </c>
      <c r="C3711" s="5" t="s">
        <v>4325</v>
      </c>
      <c r="D3711" s="6" t="s">
        <v>13</v>
      </c>
      <c r="E3711" s="5" t="s">
        <v>4320</v>
      </c>
      <c r="F3711" s="5" t="s">
        <v>100</v>
      </c>
      <c r="G3711" s="5" t="s">
        <v>166</v>
      </c>
      <c r="H3711" s="5" t="s">
        <v>44</v>
      </c>
      <c r="I3711" s="5" t="s">
        <v>18</v>
      </c>
    </row>
    <row r="3712">
      <c r="A3712" s="7" t="s">
        <v>4328</v>
      </c>
      <c r="B3712" s="5" t="s">
        <v>4327</v>
      </c>
      <c r="C3712" s="5" t="s">
        <v>2181</v>
      </c>
      <c r="D3712" s="6" t="s">
        <v>13</v>
      </c>
      <c r="E3712" s="5" t="s">
        <v>4320</v>
      </c>
      <c r="F3712" s="5" t="s">
        <v>651</v>
      </c>
      <c r="G3712" s="5" t="s">
        <v>166</v>
      </c>
      <c r="H3712" s="5" t="s">
        <v>44</v>
      </c>
      <c r="I3712" s="5" t="s">
        <v>18</v>
      </c>
    </row>
    <row r="3713">
      <c r="A3713" s="7" t="s">
        <v>4331</v>
      </c>
      <c r="B3713" s="5" t="s">
        <v>4329</v>
      </c>
      <c r="C3713" s="5" t="s">
        <v>4330</v>
      </c>
      <c r="D3713" s="6" t="s">
        <v>13</v>
      </c>
      <c r="E3713" s="5" t="s">
        <v>4320</v>
      </c>
      <c r="F3713" s="5" t="s">
        <v>651</v>
      </c>
      <c r="G3713" s="5" t="s">
        <v>166</v>
      </c>
      <c r="H3713" s="5" t="s">
        <v>44</v>
      </c>
      <c r="I3713" s="5" t="s">
        <v>18</v>
      </c>
    </row>
    <row r="3714">
      <c r="A3714" s="7" t="s">
        <v>4334</v>
      </c>
      <c r="B3714" s="5" t="s">
        <v>4332</v>
      </c>
      <c r="C3714" s="5" t="s">
        <v>4333</v>
      </c>
      <c r="D3714" s="6" t="s">
        <v>13</v>
      </c>
      <c r="E3714" s="5" t="s">
        <v>4320</v>
      </c>
      <c r="F3714" s="5" t="s">
        <v>111</v>
      </c>
      <c r="G3714" s="5" t="s">
        <v>166</v>
      </c>
      <c r="H3714" s="5" t="s">
        <v>44</v>
      </c>
      <c r="I3714" s="5" t="s">
        <v>18</v>
      </c>
    </row>
    <row r="3715">
      <c r="A3715" s="7" t="s">
        <v>4337</v>
      </c>
      <c r="B3715" s="5" t="s">
        <v>4335</v>
      </c>
      <c r="C3715" s="5" t="s">
        <v>4336</v>
      </c>
      <c r="D3715" s="6" t="s">
        <v>13</v>
      </c>
      <c r="E3715" s="5" t="s">
        <v>4320</v>
      </c>
      <c r="F3715" s="5" t="s">
        <v>182</v>
      </c>
      <c r="G3715" s="5" t="s">
        <v>166</v>
      </c>
      <c r="H3715" s="5" t="s">
        <v>44</v>
      </c>
      <c r="I3715" s="5" t="s">
        <v>18</v>
      </c>
    </row>
    <row r="3716">
      <c r="A3716" s="7" t="s">
        <v>4339</v>
      </c>
      <c r="B3716" s="5" t="s">
        <v>4338</v>
      </c>
      <c r="C3716" s="5" t="s">
        <v>110</v>
      </c>
      <c r="D3716" s="6" t="s">
        <v>13</v>
      </c>
      <c r="E3716" s="5" t="s">
        <v>4320</v>
      </c>
      <c r="F3716" s="5" t="s">
        <v>651</v>
      </c>
      <c r="G3716" s="5" t="s">
        <v>166</v>
      </c>
      <c r="H3716" s="5" t="s">
        <v>44</v>
      </c>
      <c r="I3716" s="5" t="s">
        <v>18</v>
      </c>
    </row>
    <row r="3717">
      <c r="A3717" s="8" t="s">
        <v>4343</v>
      </c>
      <c r="B3717" s="5" t="s">
        <v>4340</v>
      </c>
      <c r="C3717" s="5" t="s">
        <v>4341</v>
      </c>
      <c r="D3717" s="6" t="s">
        <v>13</v>
      </c>
      <c r="E3717" s="5" t="s">
        <v>4342</v>
      </c>
      <c r="F3717" s="5" t="s">
        <v>727</v>
      </c>
      <c r="G3717" s="5" t="s">
        <v>137</v>
      </c>
      <c r="H3717" s="5" t="s">
        <v>137</v>
      </c>
      <c r="I3717" s="5" t="s">
        <v>18</v>
      </c>
    </row>
    <row r="3718">
      <c r="A3718" s="7" t="s">
        <v>4346</v>
      </c>
      <c r="B3718" s="5" t="s">
        <v>4344</v>
      </c>
      <c r="C3718" s="5" t="s">
        <v>25</v>
      </c>
      <c r="D3718" s="6" t="s">
        <v>13</v>
      </c>
      <c r="E3718" s="5" t="s">
        <v>4342</v>
      </c>
      <c r="F3718" s="5" t="s">
        <v>192</v>
      </c>
      <c r="G3718" s="5" t="s">
        <v>4345</v>
      </c>
      <c r="H3718" s="5" t="s">
        <v>137</v>
      </c>
      <c r="I3718" s="5" t="s">
        <v>18</v>
      </c>
    </row>
    <row r="3719">
      <c r="A3719" s="7" t="s">
        <v>4348</v>
      </c>
      <c r="B3719" s="5" t="s">
        <v>4347</v>
      </c>
      <c r="C3719" s="5" t="s">
        <v>25</v>
      </c>
      <c r="D3719" s="6" t="s">
        <v>13</v>
      </c>
      <c r="E3719" s="5" t="s">
        <v>4342</v>
      </c>
      <c r="G3719" s="5" t="s">
        <v>1187</v>
      </c>
      <c r="H3719" s="5" t="s">
        <v>96</v>
      </c>
      <c r="I3719" s="5" t="s">
        <v>18</v>
      </c>
    </row>
    <row r="3720">
      <c r="A3720" s="7" t="s">
        <v>4351</v>
      </c>
      <c r="B3720" s="5" t="s">
        <v>4349</v>
      </c>
      <c r="C3720" s="5" t="s">
        <v>4350</v>
      </c>
      <c r="D3720" s="6" t="s">
        <v>13</v>
      </c>
      <c r="E3720" s="5" t="s">
        <v>4342</v>
      </c>
      <c r="G3720" s="5" t="s">
        <v>2178</v>
      </c>
      <c r="H3720" s="5" t="s">
        <v>1305</v>
      </c>
      <c r="I3720" s="5" t="s">
        <v>18</v>
      </c>
    </row>
    <row r="3721">
      <c r="A3721" s="8" t="s">
        <v>4355</v>
      </c>
      <c r="B3721" s="5" t="s">
        <v>4352</v>
      </c>
      <c r="C3721" s="5" t="s">
        <v>4353</v>
      </c>
      <c r="D3721" s="6" t="s">
        <v>13</v>
      </c>
      <c r="E3721" s="5" t="s">
        <v>4354</v>
      </c>
      <c r="F3721" s="5" t="s">
        <v>1460</v>
      </c>
      <c r="G3721" s="5" t="s">
        <v>2145</v>
      </c>
      <c r="H3721" s="5" t="s">
        <v>203</v>
      </c>
      <c r="I3721" s="5" t="s">
        <v>18</v>
      </c>
    </row>
    <row r="3722">
      <c r="A3722" s="8" t="s">
        <v>4357</v>
      </c>
      <c r="B3722" s="5" t="s">
        <v>4356</v>
      </c>
      <c r="C3722" s="5" t="s">
        <v>480</v>
      </c>
      <c r="D3722" s="6" t="s">
        <v>13</v>
      </c>
      <c r="E3722" s="5" t="s">
        <v>4354</v>
      </c>
      <c r="F3722" s="5" t="s">
        <v>188</v>
      </c>
      <c r="G3722" s="5" t="s">
        <v>953</v>
      </c>
      <c r="H3722" s="5" t="s">
        <v>954</v>
      </c>
      <c r="I3722" s="5" t="s">
        <v>18</v>
      </c>
    </row>
    <row r="3723">
      <c r="A3723" s="7" t="s">
        <v>4359</v>
      </c>
      <c r="B3723" s="5" t="s">
        <v>4358</v>
      </c>
      <c r="C3723" s="5" t="s">
        <v>480</v>
      </c>
      <c r="D3723" s="6" t="s">
        <v>13</v>
      </c>
      <c r="E3723" s="5" t="s">
        <v>4354</v>
      </c>
      <c r="F3723" s="5" t="s">
        <v>901</v>
      </c>
      <c r="G3723" s="5" t="s">
        <v>953</v>
      </c>
      <c r="H3723" s="5" t="s">
        <v>954</v>
      </c>
      <c r="I3723" s="5" t="s">
        <v>18</v>
      </c>
    </row>
    <row r="3724">
      <c r="A3724" s="7" t="s">
        <v>4361</v>
      </c>
      <c r="B3724" s="5" t="s">
        <v>4360</v>
      </c>
      <c r="C3724" s="5" t="s">
        <v>991</v>
      </c>
      <c r="D3724" s="6" t="s">
        <v>13</v>
      </c>
      <c r="E3724" s="5" t="s">
        <v>4354</v>
      </c>
      <c r="F3724" s="5" t="s">
        <v>26</v>
      </c>
      <c r="G3724" s="5" t="s">
        <v>876</v>
      </c>
      <c r="H3724" s="5" t="s">
        <v>184</v>
      </c>
      <c r="I3724" s="5" t="s">
        <v>18</v>
      </c>
    </row>
    <row r="3725">
      <c r="A3725" s="8" t="s">
        <v>4364</v>
      </c>
      <c r="B3725" s="5" t="s">
        <v>4362</v>
      </c>
      <c r="C3725" s="5" t="s">
        <v>4363</v>
      </c>
      <c r="D3725" s="6" t="s">
        <v>13</v>
      </c>
      <c r="E3725" s="5" t="s">
        <v>4354</v>
      </c>
      <c r="F3725" s="5" t="s">
        <v>36</v>
      </c>
      <c r="G3725" s="5" t="s">
        <v>1391</v>
      </c>
      <c r="H3725" s="5" t="s">
        <v>954</v>
      </c>
      <c r="I3725" s="5" t="s">
        <v>18</v>
      </c>
    </row>
    <row r="3726">
      <c r="A3726" s="8" t="s">
        <v>4364</v>
      </c>
      <c r="B3726" s="5" t="s">
        <v>4362</v>
      </c>
      <c r="C3726" s="5" t="s">
        <v>4363</v>
      </c>
      <c r="D3726" s="6" t="s">
        <v>13</v>
      </c>
      <c r="E3726" s="5" t="s">
        <v>4354</v>
      </c>
      <c r="F3726" s="5" t="s">
        <v>36</v>
      </c>
      <c r="G3726" s="5" t="s">
        <v>1391</v>
      </c>
      <c r="H3726" s="5" t="s">
        <v>954</v>
      </c>
      <c r="I3726" s="5" t="s">
        <v>18</v>
      </c>
    </row>
    <row r="3727">
      <c r="A3727" s="7" t="s">
        <v>4367</v>
      </c>
      <c r="B3727" s="5" t="s">
        <v>4365</v>
      </c>
      <c r="C3727" s="5" t="s">
        <v>110</v>
      </c>
      <c r="D3727" s="6" t="s">
        <v>13</v>
      </c>
      <c r="E3727" s="5" t="s">
        <v>4366</v>
      </c>
      <c r="F3727" s="5" t="s">
        <v>727</v>
      </c>
      <c r="G3727" s="5" t="s">
        <v>801</v>
      </c>
      <c r="H3727" s="5" t="s">
        <v>50</v>
      </c>
      <c r="I3727" s="5" t="s">
        <v>18</v>
      </c>
    </row>
    <row r="3728">
      <c r="A3728" s="7" t="s">
        <v>4369</v>
      </c>
      <c r="B3728" s="5" t="s">
        <v>4368</v>
      </c>
      <c r="C3728" s="5" t="s">
        <v>110</v>
      </c>
      <c r="D3728" s="6" t="s">
        <v>13</v>
      </c>
      <c r="E3728" s="5" t="s">
        <v>4366</v>
      </c>
      <c r="F3728" s="5" t="s">
        <v>268</v>
      </c>
      <c r="G3728" s="5" t="s">
        <v>166</v>
      </c>
      <c r="H3728" s="5" t="s">
        <v>44</v>
      </c>
      <c r="I3728" s="5" t="s">
        <v>18</v>
      </c>
    </row>
    <row r="3729">
      <c r="A3729" s="7" t="s">
        <v>4372</v>
      </c>
      <c r="B3729" s="5" t="s">
        <v>4370</v>
      </c>
      <c r="C3729" s="5" t="s">
        <v>25</v>
      </c>
      <c r="D3729" s="6" t="s">
        <v>13</v>
      </c>
      <c r="E3729" s="5" t="s">
        <v>4371</v>
      </c>
      <c r="F3729" s="5" t="s">
        <v>1123</v>
      </c>
      <c r="G3729" s="5" t="s">
        <v>137</v>
      </c>
      <c r="H3729" s="5" t="s">
        <v>137</v>
      </c>
      <c r="I3729" s="5" t="s">
        <v>18</v>
      </c>
    </row>
    <row r="3730">
      <c r="A3730" s="7" t="s">
        <v>4374</v>
      </c>
      <c r="B3730" s="5" t="s">
        <v>4373</v>
      </c>
      <c r="C3730" s="5" t="s">
        <v>25</v>
      </c>
      <c r="D3730" s="6" t="s">
        <v>13</v>
      </c>
      <c r="E3730" s="5" t="s">
        <v>4371</v>
      </c>
      <c r="F3730" s="5" t="s">
        <v>1123</v>
      </c>
      <c r="G3730" s="5" t="s">
        <v>137</v>
      </c>
      <c r="H3730" s="5" t="s">
        <v>137</v>
      </c>
      <c r="I3730" s="5" t="s">
        <v>18</v>
      </c>
    </row>
    <row r="3731">
      <c r="A3731" s="7" t="s">
        <v>4377</v>
      </c>
      <c r="B3731" s="5" t="s">
        <v>4375</v>
      </c>
      <c r="C3731" s="5" t="s">
        <v>4376</v>
      </c>
      <c r="D3731" s="6" t="s">
        <v>13</v>
      </c>
      <c r="E3731" s="5" t="s">
        <v>4371</v>
      </c>
      <c r="F3731" s="5" t="s">
        <v>192</v>
      </c>
      <c r="G3731" s="5" t="s">
        <v>137</v>
      </c>
      <c r="H3731" s="5" t="s">
        <v>137</v>
      </c>
      <c r="I3731" s="5" t="s">
        <v>18</v>
      </c>
    </row>
    <row r="3732">
      <c r="A3732" s="7" t="s">
        <v>4379</v>
      </c>
      <c r="B3732" s="5" t="s">
        <v>4378</v>
      </c>
      <c r="C3732" s="5" t="s">
        <v>25</v>
      </c>
      <c r="D3732" s="6" t="s">
        <v>13</v>
      </c>
      <c r="E3732" s="5" t="s">
        <v>4371</v>
      </c>
      <c r="F3732" s="5" t="s">
        <v>182</v>
      </c>
      <c r="G3732" s="5" t="s">
        <v>137</v>
      </c>
      <c r="H3732" s="5" t="s">
        <v>137</v>
      </c>
      <c r="I3732" s="5" t="s">
        <v>18</v>
      </c>
    </row>
    <row r="3733">
      <c r="A3733" s="8" t="s">
        <v>4383</v>
      </c>
      <c r="B3733" s="5" t="s">
        <v>4380</v>
      </c>
      <c r="C3733" s="5" t="s">
        <v>4381</v>
      </c>
      <c r="D3733" s="6" t="s">
        <v>13</v>
      </c>
      <c r="E3733" s="5" t="s">
        <v>4371</v>
      </c>
      <c r="F3733" s="5" t="s">
        <v>42</v>
      </c>
      <c r="G3733" s="5" t="s">
        <v>4382</v>
      </c>
      <c r="H3733" s="5" t="s">
        <v>2731</v>
      </c>
      <c r="I3733" s="5" t="s">
        <v>18</v>
      </c>
    </row>
    <row r="3734">
      <c r="A3734" s="8" t="s">
        <v>4386</v>
      </c>
      <c r="B3734" s="5" t="s">
        <v>4384</v>
      </c>
      <c r="C3734" s="5" t="s">
        <v>4385</v>
      </c>
      <c r="D3734" s="6" t="s">
        <v>13</v>
      </c>
      <c r="E3734" s="5" t="s">
        <v>4371</v>
      </c>
      <c r="F3734" s="5" t="s">
        <v>339</v>
      </c>
      <c r="G3734" s="5" t="s">
        <v>122</v>
      </c>
      <c r="H3734" s="5" t="s">
        <v>44</v>
      </c>
      <c r="I3734" s="5" t="s">
        <v>18</v>
      </c>
    </row>
    <row r="3735">
      <c r="A3735" s="8" t="s">
        <v>4389</v>
      </c>
      <c r="B3735" s="5" t="s">
        <v>4387</v>
      </c>
      <c r="C3735" s="5" t="s">
        <v>4388</v>
      </c>
      <c r="D3735" s="6" t="s">
        <v>13</v>
      </c>
      <c r="E3735" s="5" t="s">
        <v>4371</v>
      </c>
      <c r="F3735" s="5" t="s">
        <v>144</v>
      </c>
      <c r="G3735" s="5" t="s">
        <v>166</v>
      </c>
      <c r="H3735" s="5" t="s">
        <v>44</v>
      </c>
      <c r="I3735" s="5" t="s">
        <v>18</v>
      </c>
    </row>
    <row r="3736">
      <c r="A3736" s="7" t="s">
        <v>4392</v>
      </c>
      <c r="B3736" s="5" t="s">
        <v>4390</v>
      </c>
      <c r="C3736" s="5" t="s">
        <v>4391</v>
      </c>
      <c r="D3736" s="6" t="s">
        <v>13</v>
      </c>
      <c r="E3736" s="5" t="s">
        <v>4371</v>
      </c>
      <c r="F3736" s="5" t="s">
        <v>691</v>
      </c>
      <c r="G3736" s="5" t="s">
        <v>16</v>
      </c>
      <c r="H3736" s="5" t="s">
        <v>17</v>
      </c>
      <c r="I3736" s="5" t="s">
        <v>18</v>
      </c>
    </row>
    <row r="3737">
      <c r="A3737" s="7" t="s">
        <v>4394</v>
      </c>
      <c r="B3737" s="5" t="s">
        <v>4393</v>
      </c>
      <c r="C3737" s="5" t="s">
        <v>25</v>
      </c>
      <c r="D3737" s="6" t="s">
        <v>13</v>
      </c>
      <c r="E3737" s="5" t="s">
        <v>4371</v>
      </c>
      <c r="F3737" s="5" t="s">
        <v>909</v>
      </c>
      <c r="G3737" s="5" t="s">
        <v>137</v>
      </c>
      <c r="H3737" s="5" t="s">
        <v>137</v>
      </c>
      <c r="I3737" s="5" t="s">
        <v>18</v>
      </c>
    </row>
    <row r="3738">
      <c r="A3738" s="7" t="s">
        <v>4398</v>
      </c>
      <c r="B3738" s="5" t="s">
        <v>4395</v>
      </c>
      <c r="C3738" s="5" t="s">
        <v>4396</v>
      </c>
      <c r="D3738" s="6" t="s">
        <v>13</v>
      </c>
      <c r="E3738" s="5" t="s">
        <v>4397</v>
      </c>
      <c r="F3738" s="5" t="s">
        <v>217</v>
      </c>
      <c r="G3738" s="5" t="s">
        <v>16</v>
      </c>
      <c r="H3738" s="5" t="s">
        <v>17</v>
      </c>
      <c r="I3738" s="5" t="s">
        <v>18</v>
      </c>
    </row>
    <row r="3739">
      <c r="A3739" s="8" t="s">
        <v>4401</v>
      </c>
      <c r="B3739" s="5" t="s">
        <v>4399</v>
      </c>
      <c r="C3739" s="5" t="s">
        <v>4400</v>
      </c>
      <c r="D3739" s="6" t="s">
        <v>13</v>
      </c>
      <c r="E3739" s="5" t="s">
        <v>4397</v>
      </c>
      <c r="F3739" s="5" t="s">
        <v>182</v>
      </c>
      <c r="G3739" s="5" t="s">
        <v>1867</v>
      </c>
      <c r="H3739" s="5" t="s">
        <v>44</v>
      </c>
      <c r="I3739" s="5" t="s">
        <v>18</v>
      </c>
    </row>
    <row r="3740">
      <c r="A3740" s="8" t="s">
        <v>4401</v>
      </c>
      <c r="B3740" s="5" t="s">
        <v>4399</v>
      </c>
      <c r="C3740" s="5" t="s">
        <v>4400</v>
      </c>
      <c r="D3740" s="6" t="s">
        <v>13</v>
      </c>
      <c r="E3740" s="5" t="s">
        <v>4397</v>
      </c>
      <c r="F3740" s="5" t="s">
        <v>182</v>
      </c>
      <c r="G3740" s="5" t="s">
        <v>1867</v>
      </c>
      <c r="H3740" s="5" t="s">
        <v>44</v>
      </c>
      <c r="I3740" s="5" t="s">
        <v>18</v>
      </c>
    </row>
    <row r="3741">
      <c r="A3741" s="7" t="s">
        <v>4403</v>
      </c>
      <c r="B3741" s="5" t="s">
        <v>4402</v>
      </c>
      <c r="C3741" s="5" t="s">
        <v>404</v>
      </c>
      <c r="D3741" s="6" t="s">
        <v>13</v>
      </c>
      <c r="E3741" s="5" t="s">
        <v>4397</v>
      </c>
      <c r="F3741" s="5" t="s">
        <v>1123</v>
      </c>
      <c r="G3741" s="5" t="s">
        <v>299</v>
      </c>
      <c r="H3741" s="5" t="s">
        <v>44</v>
      </c>
      <c r="I3741" s="5" t="s">
        <v>18</v>
      </c>
    </row>
    <row r="3742">
      <c r="A3742" s="8" t="s">
        <v>4407</v>
      </c>
      <c r="B3742" s="5" t="s">
        <v>4404</v>
      </c>
      <c r="C3742" s="5" t="s">
        <v>4405</v>
      </c>
      <c r="D3742" s="6" t="s">
        <v>13</v>
      </c>
      <c r="E3742" s="5" t="s">
        <v>4406</v>
      </c>
      <c r="F3742" s="5" t="s">
        <v>257</v>
      </c>
      <c r="G3742" s="5" t="s">
        <v>37</v>
      </c>
      <c r="H3742" s="5" t="s">
        <v>38</v>
      </c>
      <c r="I3742" s="5" t="s">
        <v>18</v>
      </c>
    </row>
    <row r="3743">
      <c r="A3743" s="7" t="s">
        <v>4409</v>
      </c>
      <c r="B3743" s="5" t="s">
        <v>4408</v>
      </c>
      <c r="C3743" s="5" t="s">
        <v>110</v>
      </c>
      <c r="D3743" s="6" t="s">
        <v>13</v>
      </c>
      <c r="E3743" s="5" t="s">
        <v>4406</v>
      </c>
      <c r="F3743" s="5" t="s">
        <v>241</v>
      </c>
      <c r="G3743" s="5" t="s">
        <v>37</v>
      </c>
      <c r="H3743" s="5" t="s">
        <v>38</v>
      </c>
      <c r="I3743" s="5" t="s">
        <v>18</v>
      </c>
    </row>
    <row r="3744">
      <c r="A3744" s="7" t="s">
        <v>4411</v>
      </c>
      <c r="B3744" s="5" t="s">
        <v>4410</v>
      </c>
      <c r="C3744" s="5" t="s">
        <v>110</v>
      </c>
      <c r="D3744" s="6" t="s">
        <v>13</v>
      </c>
      <c r="E3744" s="5" t="s">
        <v>4406</v>
      </c>
      <c r="F3744" s="5" t="s">
        <v>651</v>
      </c>
      <c r="G3744" s="5" t="s">
        <v>37</v>
      </c>
      <c r="H3744" s="5" t="s">
        <v>38</v>
      </c>
      <c r="I3744" s="5" t="s">
        <v>18</v>
      </c>
    </row>
    <row r="3745">
      <c r="A3745" s="7" t="s">
        <v>4413</v>
      </c>
      <c r="B3745" s="5" t="s">
        <v>4412</v>
      </c>
      <c r="C3745" s="5" t="s">
        <v>1028</v>
      </c>
      <c r="D3745" s="6" t="s">
        <v>13</v>
      </c>
      <c r="E3745" s="5" t="s">
        <v>4406</v>
      </c>
      <c r="F3745" s="5" t="s">
        <v>136</v>
      </c>
      <c r="G3745" s="5" t="s">
        <v>3209</v>
      </c>
      <c r="H3745" s="5" t="s">
        <v>102</v>
      </c>
      <c r="I3745" s="5" t="s">
        <v>18</v>
      </c>
    </row>
    <row r="3746">
      <c r="A3746" s="7" t="s">
        <v>4415</v>
      </c>
      <c r="B3746" s="5" t="s">
        <v>4414</v>
      </c>
      <c r="C3746" s="5" t="s">
        <v>1028</v>
      </c>
      <c r="D3746" s="6" t="s">
        <v>13</v>
      </c>
      <c r="E3746" s="5" t="s">
        <v>4406</v>
      </c>
      <c r="F3746" s="5" t="s">
        <v>63</v>
      </c>
      <c r="G3746" s="5" t="s">
        <v>166</v>
      </c>
      <c r="H3746" s="5" t="s">
        <v>44</v>
      </c>
      <c r="I3746" s="5" t="s">
        <v>18</v>
      </c>
    </row>
    <row r="3747">
      <c r="A3747" s="7" t="s">
        <v>4417</v>
      </c>
      <c r="B3747" s="5" t="s">
        <v>4416</v>
      </c>
      <c r="C3747" s="5" t="s">
        <v>110</v>
      </c>
      <c r="D3747" s="6" t="s">
        <v>13</v>
      </c>
      <c r="E3747" s="5" t="s">
        <v>4406</v>
      </c>
      <c r="F3747" s="5" t="s">
        <v>136</v>
      </c>
      <c r="G3747" s="5" t="s">
        <v>311</v>
      </c>
      <c r="H3747" s="5" t="s">
        <v>102</v>
      </c>
      <c r="I3747" s="5" t="s">
        <v>18</v>
      </c>
    </row>
    <row r="3748">
      <c r="A3748" s="8" t="s">
        <v>4421</v>
      </c>
      <c r="B3748" s="5" t="s">
        <v>4418</v>
      </c>
      <c r="C3748" s="5" t="s">
        <v>4419</v>
      </c>
      <c r="D3748" s="6" t="s">
        <v>13</v>
      </c>
      <c r="E3748" s="5" t="s">
        <v>4420</v>
      </c>
      <c r="F3748" s="5" t="s">
        <v>387</v>
      </c>
      <c r="G3748" s="5" t="s">
        <v>16</v>
      </c>
      <c r="H3748" s="5" t="s">
        <v>17</v>
      </c>
      <c r="I3748" s="5" t="s">
        <v>18</v>
      </c>
    </row>
    <row r="3749">
      <c r="A3749" s="7" t="s">
        <v>4423</v>
      </c>
      <c r="B3749" s="5" t="s">
        <v>4422</v>
      </c>
      <c r="C3749" s="5" t="s">
        <v>110</v>
      </c>
      <c r="D3749" s="6" t="s">
        <v>13</v>
      </c>
      <c r="E3749" s="5" t="s">
        <v>4420</v>
      </c>
      <c r="F3749" s="5" t="s">
        <v>94</v>
      </c>
      <c r="G3749" s="5" t="s">
        <v>37</v>
      </c>
      <c r="H3749" s="5" t="s">
        <v>38</v>
      </c>
      <c r="I3749" s="5" t="s">
        <v>18</v>
      </c>
    </row>
    <row r="3750">
      <c r="A3750" s="7" t="s">
        <v>4425</v>
      </c>
      <c r="B3750" s="5" t="s">
        <v>4424</v>
      </c>
      <c r="C3750" s="5" t="s">
        <v>110</v>
      </c>
      <c r="D3750" s="6" t="s">
        <v>13</v>
      </c>
      <c r="E3750" s="5" t="s">
        <v>4420</v>
      </c>
      <c r="F3750" s="5" t="s">
        <v>322</v>
      </c>
      <c r="G3750" s="5" t="s">
        <v>377</v>
      </c>
      <c r="H3750" s="5" t="s">
        <v>378</v>
      </c>
      <c r="I3750" s="5" t="s">
        <v>18</v>
      </c>
    </row>
    <row r="3751">
      <c r="A3751" s="7" t="s">
        <v>4429</v>
      </c>
      <c r="B3751" s="5" t="s">
        <v>4426</v>
      </c>
      <c r="C3751" s="5" t="s">
        <v>4427</v>
      </c>
      <c r="D3751" s="6" t="s">
        <v>13</v>
      </c>
      <c r="E3751" s="5" t="s">
        <v>4420</v>
      </c>
      <c r="F3751" s="5" t="s">
        <v>909</v>
      </c>
      <c r="G3751" s="5" t="s">
        <v>4428</v>
      </c>
      <c r="H3751" s="5" t="s">
        <v>44</v>
      </c>
      <c r="I3751" s="5" t="s">
        <v>18</v>
      </c>
    </row>
    <row r="3752">
      <c r="A3752" s="7" t="s">
        <v>4431</v>
      </c>
      <c r="B3752" s="5" t="s">
        <v>4430</v>
      </c>
      <c r="C3752" s="5" t="s">
        <v>25</v>
      </c>
      <c r="D3752" s="6" t="s">
        <v>13</v>
      </c>
      <c r="E3752" s="5" t="s">
        <v>4420</v>
      </c>
      <c r="G3752" s="5" t="s">
        <v>1931</v>
      </c>
      <c r="H3752" s="5" t="s">
        <v>44</v>
      </c>
      <c r="I3752" s="5" t="s">
        <v>18</v>
      </c>
    </row>
    <row r="3753">
      <c r="A3753" s="7" t="s">
        <v>4433</v>
      </c>
      <c r="B3753" s="5" t="s">
        <v>4432</v>
      </c>
      <c r="C3753" s="5" t="s">
        <v>110</v>
      </c>
      <c r="D3753" s="6" t="s">
        <v>13</v>
      </c>
      <c r="E3753" s="5" t="s">
        <v>4420</v>
      </c>
      <c r="F3753" s="5" t="s">
        <v>1809</v>
      </c>
      <c r="G3753" s="5" t="s">
        <v>1965</v>
      </c>
      <c r="H3753" s="5" t="s">
        <v>44</v>
      </c>
      <c r="I3753" s="5" t="s">
        <v>18</v>
      </c>
    </row>
    <row r="3754">
      <c r="A3754" s="7" t="s">
        <v>4435</v>
      </c>
      <c r="B3754" s="5" t="s">
        <v>4434</v>
      </c>
      <c r="C3754" s="5" t="s">
        <v>3886</v>
      </c>
      <c r="D3754" s="6" t="s">
        <v>13</v>
      </c>
      <c r="E3754" s="5" t="s">
        <v>4420</v>
      </c>
      <c r="F3754" s="5" t="s">
        <v>60</v>
      </c>
      <c r="G3754" s="5" t="s">
        <v>1035</v>
      </c>
      <c r="H3754" s="5" t="s">
        <v>38</v>
      </c>
      <c r="I3754" s="5" t="s">
        <v>18</v>
      </c>
    </row>
    <row r="3755">
      <c r="A3755" s="7" t="s">
        <v>4438</v>
      </c>
      <c r="B3755" s="5" t="s">
        <v>4436</v>
      </c>
      <c r="C3755" s="5" t="s">
        <v>4437</v>
      </c>
      <c r="D3755" s="6" t="s">
        <v>13</v>
      </c>
      <c r="E3755" s="5" t="s">
        <v>4420</v>
      </c>
      <c r="F3755" s="5" t="s">
        <v>237</v>
      </c>
      <c r="G3755" s="5" t="s">
        <v>1022</v>
      </c>
      <c r="H3755" s="5" t="s">
        <v>264</v>
      </c>
      <c r="I3755" s="5" t="s">
        <v>18</v>
      </c>
    </row>
    <row r="3756">
      <c r="A3756" s="7" t="s">
        <v>4444</v>
      </c>
      <c r="B3756" s="5" t="s">
        <v>4439</v>
      </c>
      <c r="C3756" s="5" t="s">
        <v>4440</v>
      </c>
      <c r="D3756" s="6" t="s">
        <v>13</v>
      </c>
      <c r="E3756" s="5" t="s">
        <v>4441</v>
      </c>
      <c r="F3756" s="5" t="s">
        <v>4442</v>
      </c>
      <c r="G3756" s="5" t="s">
        <v>4443</v>
      </c>
      <c r="H3756" s="5" t="s">
        <v>2820</v>
      </c>
      <c r="I3756" s="5" t="s">
        <v>18</v>
      </c>
    </row>
    <row r="3757">
      <c r="A3757" s="8" t="s">
        <v>4447</v>
      </c>
      <c r="B3757" s="5" t="s">
        <v>4445</v>
      </c>
      <c r="C3757" s="5" t="s">
        <v>25</v>
      </c>
      <c r="D3757" s="6" t="s">
        <v>13</v>
      </c>
      <c r="E3757" s="5" t="s">
        <v>4441</v>
      </c>
      <c r="F3757" s="5" t="s">
        <v>797</v>
      </c>
      <c r="G3757" s="5" t="s">
        <v>4446</v>
      </c>
      <c r="H3757" s="5" t="s">
        <v>2820</v>
      </c>
      <c r="I3757" s="5" t="s">
        <v>18</v>
      </c>
    </row>
    <row r="3758">
      <c r="A3758" s="8" t="s">
        <v>4450</v>
      </c>
      <c r="B3758" s="5" t="s">
        <v>4448</v>
      </c>
      <c r="C3758" s="5" t="s">
        <v>4449</v>
      </c>
      <c r="D3758" s="6" t="s">
        <v>13</v>
      </c>
      <c r="E3758" s="5" t="s">
        <v>4441</v>
      </c>
      <c r="F3758" s="5" t="s">
        <v>437</v>
      </c>
      <c r="G3758" s="5" t="s">
        <v>4443</v>
      </c>
      <c r="H3758" s="5" t="s">
        <v>2820</v>
      </c>
      <c r="I3758" s="5" t="s">
        <v>18</v>
      </c>
    </row>
    <row r="3759">
      <c r="A3759" s="7" t="s">
        <v>4452</v>
      </c>
      <c r="B3759" s="5" t="s">
        <v>4451</v>
      </c>
      <c r="C3759" s="5" t="s">
        <v>25</v>
      </c>
      <c r="D3759" s="6" t="s">
        <v>13</v>
      </c>
      <c r="E3759" s="5" t="s">
        <v>4441</v>
      </c>
      <c r="F3759" s="5" t="s">
        <v>694</v>
      </c>
      <c r="G3759" s="5" t="s">
        <v>4443</v>
      </c>
      <c r="H3759" s="5" t="s">
        <v>2820</v>
      </c>
      <c r="I3759" s="5" t="s">
        <v>18</v>
      </c>
    </row>
    <row r="3760">
      <c r="A3760" s="7" t="s">
        <v>4454</v>
      </c>
      <c r="B3760" s="5" t="s">
        <v>4453</v>
      </c>
      <c r="C3760" s="5" t="s">
        <v>25</v>
      </c>
      <c r="D3760" s="6" t="s">
        <v>13</v>
      </c>
      <c r="E3760" s="5" t="s">
        <v>4441</v>
      </c>
      <c r="F3760" s="5" t="s">
        <v>901</v>
      </c>
      <c r="G3760" s="5" t="s">
        <v>4443</v>
      </c>
      <c r="H3760" s="5" t="s">
        <v>2820</v>
      </c>
      <c r="I3760" s="5" t="s">
        <v>18</v>
      </c>
    </row>
    <row r="3761">
      <c r="A3761" s="8" t="s">
        <v>4459</v>
      </c>
      <c r="B3761" s="5" t="s">
        <v>4455</v>
      </c>
      <c r="C3761" s="5" t="s">
        <v>4456</v>
      </c>
      <c r="D3761" s="6" t="s">
        <v>13</v>
      </c>
      <c r="E3761" s="5" t="s">
        <v>4441</v>
      </c>
      <c r="F3761" s="5" t="s">
        <v>4457</v>
      </c>
      <c r="G3761" s="5" t="s">
        <v>4458</v>
      </c>
      <c r="H3761" s="5" t="s">
        <v>2731</v>
      </c>
      <c r="I3761" s="5" t="s">
        <v>18</v>
      </c>
    </row>
    <row r="3762">
      <c r="A3762" s="8" t="s">
        <v>4462</v>
      </c>
      <c r="B3762" s="5" t="s">
        <v>4460</v>
      </c>
      <c r="C3762" s="5" t="s">
        <v>4461</v>
      </c>
      <c r="D3762" s="6" t="s">
        <v>13</v>
      </c>
      <c r="E3762" s="5" t="s">
        <v>4441</v>
      </c>
      <c r="G3762" s="5" t="s">
        <v>2819</v>
      </c>
      <c r="H3762" s="5" t="s">
        <v>2820</v>
      </c>
      <c r="I3762" s="5" t="s">
        <v>18</v>
      </c>
    </row>
    <row r="3763">
      <c r="A3763" s="8" t="s">
        <v>4464</v>
      </c>
      <c r="B3763" s="5" t="s">
        <v>4463</v>
      </c>
      <c r="C3763" s="5" t="s">
        <v>861</v>
      </c>
      <c r="D3763" s="6" t="s">
        <v>13</v>
      </c>
      <c r="E3763" s="5" t="s">
        <v>4441</v>
      </c>
      <c r="F3763" s="5" t="s">
        <v>697</v>
      </c>
      <c r="G3763" s="5" t="s">
        <v>137</v>
      </c>
      <c r="H3763" s="5" t="s">
        <v>137</v>
      </c>
      <c r="I3763" s="5" t="s">
        <v>18</v>
      </c>
    </row>
    <row r="3764">
      <c r="A3764" s="7" t="s">
        <v>4466</v>
      </c>
      <c r="B3764" s="5" t="s">
        <v>4465</v>
      </c>
      <c r="C3764" s="5" t="s">
        <v>371</v>
      </c>
      <c r="D3764" s="6" t="s">
        <v>13</v>
      </c>
      <c r="E3764" s="5" t="s">
        <v>4441</v>
      </c>
      <c r="F3764" s="5" t="s">
        <v>207</v>
      </c>
      <c r="G3764" s="5" t="s">
        <v>137</v>
      </c>
      <c r="H3764" s="5" t="s">
        <v>137</v>
      </c>
      <c r="I3764" s="5" t="s">
        <v>18</v>
      </c>
    </row>
    <row r="3765">
      <c r="A3765" s="7" t="s">
        <v>4469</v>
      </c>
      <c r="B3765" s="5" t="s">
        <v>4467</v>
      </c>
      <c r="C3765" s="5" t="s">
        <v>25</v>
      </c>
      <c r="D3765" s="6" t="s">
        <v>13</v>
      </c>
      <c r="E3765" s="5" t="s">
        <v>4441</v>
      </c>
      <c r="F3765" s="5" t="s">
        <v>387</v>
      </c>
      <c r="G3765" s="5" t="s">
        <v>4468</v>
      </c>
      <c r="H3765" s="5" t="s">
        <v>96</v>
      </c>
      <c r="I3765" s="5" t="s">
        <v>18</v>
      </c>
    </row>
    <row r="3766">
      <c r="A3766" s="7" t="s">
        <v>4471</v>
      </c>
      <c r="B3766" s="5" t="s">
        <v>4470</v>
      </c>
      <c r="C3766" s="5" t="s">
        <v>25</v>
      </c>
      <c r="D3766" s="6" t="s">
        <v>13</v>
      </c>
      <c r="E3766" s="5" t="s">
        <v>4441</v>
      </c>
      <c r="F3766" s="5" t="s">
        <v>48</v>
      </c>
      <c r="G3766" s="5" t="s">
        <v>137</v>
      </c>
      <c r="H3766" s="5" t="s">
        <v>137</v>
      </c>
      <c r="I3766" s="5" t="s">
        <v>18</v>
      </c>
    </row>
    <row r="3767">
      <c r="A3767" s="8" t="s">
        <v>4474</v>
      </c>
      <c r="B3767" s="5" t="s">
        <v>4472</v>
      </c>
      <c r="C3767" s="5" t="s">
        <v>4473</v>
      </c>
      <c r="D3767" s="6" t="s">
        <v>13</v>
      </c>
      <c r="E3767" s="5" t="s">
        <v>4441</v>
      </c>
      <c r="F3767" s="5" t="s">
        <v>149</v>
      </c>
      <c r="G3767" s="5" t="s">
        <v>2110</v>
      </c>
      <c r="H3767" s="5" t="s">
        <v>962</v>
      </c>
      <c r="I3767" s="5" t="s">
        <v>18</v>
      </c>
    </row>
    <row r="3768">
      <c r="A3768" s="7" t="s">
        <v>4476</v>
      </c>
      <c r="B3768" s="5" t="s">
        <v>4475</v>
      </c>
      <c r="C3768" s="5" t="s">
        <v>110</v>
      </c>
      <c r="D3768" s="6" t="s">
        <v>13</v>
      </c>
      <c r="E3768" s="5" t="s">
        <v>4441</v>
      </c>
      <c r="F3768" s="5" t="s">
        <v>136</v>
      </c>
      <c r="G3768" s="5" t="s">
        <v>166</v>
      </c>
      <c r="H3768" s="5" t="s">
        <v>44</v>
      </c>
      <c r="I3768" s="5" t="s">
        <v>18</v>
      </c>
    </row>
    <row r="3769">
      <c r="A3769" s="7" t="s">
        <v>4479</v>
      </c>
      <c r="B3769" s="5" t="s">
        <v>4477</v>
      </c>
      <c r="C3769" s="5" t="s">
        <v>404</v>
      </c>
      <c r="D3769" s="6" t="s">
        <v>13</v>
      </c>
      <c r="E3769" s="5" t="s">
        <v>4478</v>
      </c>
      <c r="F3769" s="5" t="s">
        <v>15</v>
      </c>
      <c r="G3769" s="5" t="s">
        <v>16</v>
      </c>
      <c r="H3769" s="5" t="s">
        <v>17</v>
      </c>
      <c r="I3769" s="5" t="s">
        <v>18</v>
      </c>
    </row>
    <row r="3770">
      <c r="A3770" s="7" t="s">
        <v>4481</v>
      </c>
      <c r="B3770" s="5" t="s">
        <v>4480</v>
      </c>
      <c r="C3770" s="5" t="s">
        <v>25</v>
      </c>
      <c r="D3770" s="6" t="s">
        <v>13</v>
      </c>
      <c r="E3770" s="5" t="s">
        <v>4478</v>
      </c>
      <c r="F3770" s="5" t="s">
        <v>441</v>
      </c>
      <c r="G3770" s="5" t="s">
        <v>16</v>
      </c>
      <c r="H3770" s="5" t="s">
        <v>17</v>
      </c>
      <c r="I3770" s="5" t="s">
        <v>18</v>
      </c>
    </row>
    <row r="3771">
      <c r="A3771" s="8" t="s">
        <v>4484</v>
      </c>
      <c r="B3771" s="5" t="s">
        <v>4482</v>
      </c>
      <c r="C3771" s="5" t="s">
        <v>4483</v>
      </c>
      <c r="D3771" s="6" t="s">
        <v>13</v>
      </c>
      <c r="E3771" s="5" t="s">
        <v>4478</v>
      </c>
      <c r="F3771" s="5" t="s">
        <v>68</v>
      </c>
      <c r="G3771" s="5" t="s">
        <v>16</v>
      </c>
      <c r="H3771" s="5" t="s">
        <v>17</v>
      </c>
      <c r="I3771" s="5" t="s">
        <v>18</v>
      </c>
    </row>
    <row r="3772">
      <c r="A3772" s="8" t="s">
        <v>4488</v>
      </c>
      <c r="B3772" s="5" t="s">
        <v>4485</v>
      </c>
      <c r="C3772" s="5" t="s">
        <v>4486</v>
      </c>
      <c r="D3772" s="6" t="s">
        <v>13</v>
      </c>
      <c r="E3772" s="5" t="s">
        <v>4478</v>
      </c>
      <c r="F3772" s="5" t="s">
        <v>727</v>
      </c>
      <c r="G3772" s="5" t="s">
        <v>4487</v>
      </c>
      <c r="H3772" s="5" t="s">
        <v>137</v>
      </c>
      <c r="I3772" s="5" t="s">
        <v>18</v>
      </c>
    </row>
    <row r="3773">
      <c r="A3773" s="8" t="s">
        <v>4490</v>
      </c>
      <c r="B3773" s="5" t="s">
        <v>4489</v>
      </c>
      <c r="C3773" s="5" t="s">
        <v>413</v>
      </c>
      <c r="D3773" s="6" t="s">
        <v>13</v>
      </c>
      <c r="E3773" s="5" t="s">
        <v>4478</v>
      </c>
      <c r="F3773" s="5" t="s">
        <v>136</v>
      </c>
      <c r="G3773" s="5" t="s">
        <v>122</v>
      </c>
      <c r="H3773" s="5" t="s">
        <v>44</v>
      </c>
      <c r="I3773" s="5" t="s">
        <v>18</v>
      </c>
    </row>
    <row r="3774">
      <c r="A3774" s="8" t="s">
        <v>4493</v>
      </c>
      <c r="B3774" s="5" t="s">
        <v>4491</v>
      </c>
      <c r="C3774" s="5" t="s">
        <v>413</v>
      </c>
      <c r="D3774" s="6" t="s">
        <v>13</v>
      </c>
      <c r="E3774" s="5" t="s">
        <v>4478</v>
      </c>
      <c r="F3774" s="5" t="s">
        <v>165</v>
      </c>
      <c r="G3774" s="5" t="s">
        <v>4492</v>
      </c>
      <c r="H3774" s="5" t="s">
        <v>44</v>
      </c>
      <c r="I3774" s="5" t="s">
        <v>18</v>
      </c>
    </row>
    <row r="3775">
      <c r="A3775" s="7" t="s">
        <v>4496</v>
      </c>
      <c r="B3775" s="5" t="s">
        <v>4494</v>
      </c>
      <c r="C3775" s="5" t="s">
        <v>371</v>
      </c>
      <c r="D3775" s="6" t="s">
        <v>13</v>
      </c>
      <c r="E3775" s="5" t="s">
        <v>4495</v>
      </c>
      <c r="F3775" s="5" t="s">
        <v>144</v>
      </c>
      <c r="G3775" s="5" t="s">
        <v>377</v>
      </c>
      <c r="H3775" s="5" t="s">
        <v>378</v>
      </c>
      <c r="I3775" s="5" t="s">
        <v>18</v>
      </c>
    </row>
    <row r="3776">
      <c r="A3776" s="8" t="s">
        <v>4499</v>
      </c>
      <c r="B3776" s="5" t="s">
        <v>4497</v>
      </c>
      <c r="C3776" s="5" t="s">
        <v>4498</v>
      </c>
      <c r="D3776" s="6" t="s">
        <v>13</v>
      </c>
      <c r="E3776" s="5" t="s">
        <v>4495</v>
      </c>
      <c r="F3776" s="5" t="s">
        <v>48</v>
      </c>
      <c r="G3776" s="5" t="s">
        <v>377</v>
      </c>
      <c r="H3776" s="5" t="s">
        <v>378</v>
      </c>
      <c r="I3776" s="5" t="s">
        <v>18</v>
      </c>
    </row>
    <row r="3777">
      <c r="A3777" s="7" t="s">
        <v>4501</v>
      </c>
      <c r="B3777" s="5" t="s">
        <v>4500</v>
      </c>
      <c r="C3777" s="5" t="s">
        <v>32</v>
      </c>
      <c r="D3777" s="6" t="s">
        <v>13</v>
      </c>
      <c r="E3777" s="5" t="s">
        <v>4495</v>
      </c>
      <c r="F3777" s="5" t="s">
        <v>228</v>
      </c>
      <c r="G3777" s="5" t="s">
        <v>377</v>
      </c>
      <c r="H3777" s="5" t="s">
        <v>378</v>
      </c>
      <c r="I3777" s="5" t="s">
        <v>18</v>
      </c>
    </row>
    <row r="3778">
      <c r="A3778" s="7" t="s">
        <v>4503</v>
      </c>
      <c r="B3778" s="5" t="s">
        <v>4502</v>
      </c>
      <c r="C3778" s="5" t="s">
        <v>25</v>
      </c>
      <c r="D3778" s="6" t="s">
        <v>13</v>
      </c>
      <c r="E3778" s="5" t="s">
        <v>4495</v>
      </c>
      <c r="F3778" s="5" t="s">
        <v>79</v>
      </c>
      <c r="G3778" s="5" t="s">
        <v>377</v>
      </c>
      <c r="H3778" s="5" t="s">
        <v>378</v>
      </c>
      <c r="I3778" s="5" t="s">
        <v>18</v>
      </c>
    </row>
    <row r="3779">
      <c r="A3779" s="7" t="s">
        <v>4505</v>
      </c>
      <c r="B3779" s="5" t="s">
        <v>4504</v>
      </c>
      <c r="C3779" s="5" t="s">
        <v>21</v>
      </c>
      <c r="D3779" s="5" t="s">
        <v>4</v>
      </c>
      <c r="E3779" s="5" t="s">
        <v>4495</v>
      </c>
      <c r="F3779" s="5" t="s">
        <v>512</v>
      </c>
      <c r="G3779" s="5" t="s">
        <v>377</v>
      </c>
      <c r="H3779" s="5" t="s">
        <v>378</v>
      </c>
      <c r="I3779" s="5" t="s">
        <v>18</v>
      </c>
    </row>
    <row r="3780">
      <c r="A3780" s="7" t="s">
        <v>4508</v>
      </c>
      <c r="B3780" s="5" t="s">
        <v>4506</v>
      </c>
      <c r="C3780" s="5" t="s">
        <v>4507</v>
      </c>
      <c r="D3780" s="6" t="s">
        <v>13</v>
      </c>
      <c r="E3780" s="5" t="s">
        <v>4495</v>
      </c>
      <c r="F3780" s="5" t="s">
        <v>399</v>
      </c>
      <c r="G3780" s="6" t="s">
        <v>377</v>
      </c>
      <c r="H3780" s="6" t="s">
        <v>378</v>
      </c>
      <c r="I3780" s="5" t="s">
        <v>18</v>
      </c>
    </row>
    <row r="3781">
      <c r="A3781" s="7" t="s">
        <v>4510</v>
      </c>
      <c r="B3781" s="5" t="s">
        <v>4509</v>
      </c>
      <c r="C3781" s="5" t="s">
        <v>25</v>
      </c>
      <c r="D3781" s="6" t="s">
        <v>13</v>
      </c>
      <c r="E3781" s="5" t="s">
        <v>4495</v>
      </c>
      <c r="F3781" s="5" t="s">
        <v>237</v>
      </c>
      <c r="G3781" s="6" t="s">
        <v>377</v>
      </c>
      <c r="H3781" s="6" t="s">
        <v>378</v>
      </c>
      <c r="I3781" s="5" t="s">
        <v>18</v>
      </c>
    </row>
    <row r="3782">
      <c r="A3782" s="7" t="s">
        <v>4512</v>
      </c>
      <c r="B3782" s="5" t="s">
        <v>4511</v>
      </c>
      <c r="C3782" s="5" t="s">
        <v>25</v>
      </c>
      <c r="D3782" s="6" t="s">
        <v>13</v>
      </c>
      <c r="E3782" s="5" t="s">
        <v>4495</v>
      </c>
      <c r="F3782" s="5" t="s">
        <v>283</v>
      </c>
      <c r="G3782" s="6" t="s">
        <v>377</v>
      </c>
      <c r="H3782" s="6" t="s">
        <v>378</v>
      </c>
      <c r="I3782" s="5" t="s">
        <v>18</v>
      </c>
    </row>
    <row r="3783">
      <c r="A3783" s="7" t="s">
        <v>4514</v>
      </c>
      <c r="B3783" s="5" t="s">
        <v>4513</v>
      </c>
      <c r="C3783" s="5" t="s">
        <v>25</v>
      </c>
      <c r="D3783" s="6" t="s">
        <v>13</v>
      </c>
      <c r="E3783" s="5" t="s">
        <v>4495</v>
      </c>
      <c r="F3783" s="5" t="s">
        <v>79</v>
      </c>
      <c r="G3783" s="6" t="s">
        <v>377</v>
      </c>
      <c r="H3783" s="6" t="s">
        <v>378</v>
      </c>
      <c r="I3783" s="5" t="s">
        <v>18</v>
      </c>
    </row>
    <row r="3784">
      <c r="A3784" s="7" t="s">
        <v>4517</v>
      </c>
      <c r="B3784" s="5" t="s">
        <v>4515</v>
      </c>
      <c r="C3784" s="5" t="s">
        <v>4516</v>
      </c>
      <c r="D3784" s="6" t="s">
        <v>13</v>
      </c>
      <c r="E3784" s="5" t="s">
        <v>4495</v>
      </c>
      <c r="F3784" s="5" t="s">
        <v>192</v>
      </c>
      <c r="G3784" s="6" t="s">
        <v>377</v>
      </c>
      <c r="H3784" s="6" t="s">
        <v>378</v>
      </c>
      <c r="I3784" s="5" t="s">
        <v>18</v>
      </c>
    </row>
    <row r="3785">
      <c r="A3785" s="7" t="s">
        <v>4519</v>
      </c>
      <c r="B3785" s="5" t="s">
        <v>4518</v>
      </c>
      <c r="C3785" s="5" t="s">
        <v>4516</v>
      </c>
      <c r="D3785" s="6" t="s">
        <v>13</v>
      </c>
      <c r="E3785" s="5" t="s">
        <v>4495</v>
      </c>
      <c r="F3785" s="5" t="s">
        <v>455</v>
      </c>
      <c r="G3785" s="6" t="s">
        <v>377</v>
      </c>
      <c r="H3785" s="6" t="s">
        <v>378</v>
      </c>
      <c r="I3785" s="5" t="s">
        <v>18</v>
      </c>
    </row>
    <row r="3786">
      <c r="A3786" s="7" t="s">
        <v>4521</v>
      </c>
      <c r="B3786" s="5" t="s">
        <v>4520</v>
      </c>
      <c r="C3786" s="5" t="s">
        <v>25</v>
      </c>
      <c r="D3786" s="6" t="s">
        <v>13</v>
      </c>
      <c r="E3786" s="5" t="s">
        <v>4495</v>
      </c>
      <c r="F3786" s="5" t="s">
        <v>188</v>
      </c>
      <c r="G3786" s="6" t="s">
        <v>377</v>
      </c>
      <c r="H3786" s="6" t="s">
        <v>378</v>
      </c>
      <c r="I3786" s="5" t="s">
        <v>18</v>
      </c>
    </row>
    <row r="3787">
      <c r="A3787" s="8" t="s">
        <v>4524</v>
      </c>
      <c r="B3787" s="5" t="s">
        <v>4522</v>
      </c>
      <c r="C3787" s="5" t="s">
        <v>4523</v>
      </c>
      <c r="D3787" s="6" t="s">
        <v>13</v>
      </c>
      <c r="E3787" s="5" t="s">
        <v>4495</v>
      </c>
      <c r="F3787" s="5" t="s">
        <v>182</v>
      </c>
      <c r="G3787" s="6" t="s">
        <v>377</v>
      </c>
      <c r="H3787" s="6" t="s">
        <v>378</v>
      </c>
      <c r="I3787" s="5" t="s">
        <v>18</v>
      </c>
    </row>
    <row r="3788">
      <c r="A3788" s="7" t="s">
        <v>4527</v>
      </c>
      <c r="B3788" s="5" t="s">
        <v>4525</v>
      </c>
      <c r="C3788" s="5" t="s">
        <v>4526</v>
      </c>
      <c r="D3788" s="5" t="s">
        <v>4</v>
      </c>
      <c r="E3788" s="5" t="s">
        <v>4495</v>
      </c>
      <c r="F3788" s="5" t="s">
        <v>63</v>
      </c>
      <c r="G3788" s="6" t="s">
        <v>377</v>
      </c>
      <c r="H3788" s="6" t="s">
        <v>378</v>
      </c>
      <c r="I3788" s="5" t="s">
        <v>18</v>
      </c>
    </row>
    <row r="3789">
      <c r="A3789" s="7" t="s">
        <v>4531</v>
      </c>
      <c r="B3789" s="5" t="s">
        <v>4528</v>
      </c>
      <c r="C3789" s="5" t="s">
        <v>4529</v>
      </c>
      <c r="D3789" s="6" t="s">
        <v>13</v>
      </c>
      <c r="E3789" s="5" t="s">
        <v>4530</v>
      </c>
      <c r="F3789" s="5" t="s">
        <v>233</v>
      </c>
      <c r="G3789" s="5" t="s">
        <v>166</v>
      </c>
      <c r="H3789" s="5" t="s">
        <v>44</v>
      </c>
      <c r="I3789" s="5" t="s">
        <v>18</v>
      </c>
    </row>
    <row r="3790">
      <c r="A3790" s="7" t="s">
        <v>4534</v>
      </c>
      <c r="B3790" s="5" t="s">
        <v>4532</v>
      </c>
      <c r="C3790" s="5" t="s">
        <v>4533</v>
      </c>
      <c r="D3790" s="6" t="s">
        <v>13</v>
      </c>
      <c r="E3790" s="5" t="s">
        <v>4530</v>
      </c>
      <c r="F3790" s="5" t="s">
        <v>322</v>
      </c>
      <c r="G3790" s="5" t="s">
        <v>169</v>
      </c>
      <c r="H3790" s="5" t="s">
        <v>44</v>
      </c>
      <c r="I3790" s="5" t="s">
        <v>18</v>
      </c>
    </row>
    <row r="3791">
      <c r="A3791" s="7" t="s">
        <v>4538</v>
      </c>
      <c r="B3791" s="5" t="s">
        <v>4535</v>
      </c>
      <c r="C3791" s="5" t="s">
        <v>25</v>
      </c>
      <c r="D3791" s="6" t="s">
        <v>13</v>
      </c>
      <c r="E3791" s="5" t="s">
        <v>4536</v>
      </c>
      <c r="F3791" s="5" t="s">
        <v>734</v>
      </c>
      <c r="G3791" s="5" t="s">
        <v>4537</v>
      </c>
      <c r="H3791" s="5" t="s">
        <v>137</v>
      </c>
      <c r="I3791" s="5" t="s">
        <v>18</v>
      </c>
    </row>
    <row r="3792">
      <c r="A3792" s="8" t="s">
        <v>4542</v>
      </c>
      <c r="B3792" s="5" t="s">
        <v>4539</v>
      </c>
      <c r="C3792" s="5" t="s">
        <v>4540</v>
      </c>
      <c r="D3792" s="6" t="s">
        <v>13</v>
      </c>
      <c r="E3792" s="5" t="s">
        <v>4536</v>
      </c>
      <c r="F3792" s="5" t="s">
        <v>4541</v>
      </c>
      <c r="G3792" s="5" t="s">
        <v>49</v>
      </c>
      <c r="H3792" s="5" t="s">
        <v>50</v>
      </c>
      <c r="I3792" s="5" t="s">
        <v>18</v>
      </c>
    </row>
    <row r="3793">
      <c r="A3793" s="7" t="s">
        <v>4546</v>
      </c>
      <c r="B3793" s="5" t="s">
        <v>4543</v>
      </c>
      <c r="C3793" s="5" t="s">
        <v>4544</v>
      </c>
      <c r="D3793" s="6" t="s">
        <v>13</v>
      </c>
      <c r="E3793" s="5" t="s">
        <v>4536</v>
      </c>
      <c r="F3793" s="5" t="s">
        <v>4545</v>
      </c>
      <c r="G3793" s="5" t="s">
        <v>49</v>
      </c>
      <c r="H3793" s="5" t="s">
        <v>50</v>
      </c>
      <c r="I3793" s="5" t="s">
        <v>18</v>
      </c>
    </row>
    <row r="3794">
      <c r="A3794" s="7" t="s">
        <v>4548</v>
      </c>
      <c r="B3794" s="5" t="s">
        <v>4547</v>
      </c>
      <c r="C3794" s="5" t="s">
        <v>25</v>
      </c>
      <c r="D3794" s="6" t="s">
        <v>13</v>
      </c>
      <c r="E3794" s="5" t="s">
        <v>4536</v>
      </c>
      <c r="G3794" s="5" t="s">
        <v>80</v>
      </c>
      <c r="H3794" s="5" t="s">
        <v>38</v>
      </c>
      <c r="I3794" s="5" t="s">
        <v>18</v>
      </c>
    </row>
    <row r="3795">
      <c r="A3795" s="7" t="s">
        <v>4550</v>
      </c>
      <c r="B3795" s="5" t="s">
        <v>4549</v>
      </c>
      <c r="C3795" s="5" t="s">
        <v>25</v>
      </c>
      <c r="D3795" s="6" t="s">
        <v>13</v>
      </c>
      <c r="E3795" s="5" t="s">
        <v>4536</v>
      </c>
      <c r="F3795" s="5" t="s">
        <v>430</v>
      </c>
      <c r="G3795" s="5" t="s">
        <v>388</v>
      </c>
      <c r="H3795" s="5" t="s">
        <v>203</v>
      </c>
      <c r="I3795" s="5" t="s">
        <v>18</v>
      </c>
    </row>
    <row r="3796">
      <c r="A3796" s="7" t="s">
        <v>4553</v>
      </c>
      <c r="B3796" s="5" t="s">
        <v>4551</v>
      </c>
      <c r="C3796" s="5" t="s">
        <v>4552</v>
      </c>
      <c r="D3796" s="6" t="s">
        <v>13</v>
      </c>
      <c r="E3796" s="5" t="s">
        <v>4536</v>
      </c>
      <c r="F3796" s="5" t="s">
        <v>207</v>
      </c>
      <c r="G3796" s="5" t="s">
        <v>132</v>
      </c>
      <c r="H3796" s="5" t="s">
        <v>133</v>
      </c>
      <c r="I3796" s="5" t="s">
        <v>18</v>
      </c>
    </row>
    <row r="3797">
      <c r="A3797" s="7" t="s">
        <v>4555</v>
      </c>
      <c r="B3797" s="5" t="s">
        <v>4554</v>
      </c>
      <c r="C3797" s="5" t="s">
        <v>25</v>
      </c>
      <c r="D3797" s="6" t="s">
        <v>13</v>
      </c>
      <c r="E3797" s="5" t="s">
        <v>4536</v>
      </c>
      <c r="F3797" s="5" t="s">
        <v>22</v>
      </c>
      <c r="G3797" s="5" t="s">
        <v>153</v>
      </c>
      <c r="H3797" s="5" t="s">
        <v>154</v>
      </c>
      <c r="I3797" s="5" t="s">
        <v>18</v>
      </c>
    </row>
    <row r="3798">
      <c r="A3798" s="8" t="s">
        <v>4558</v>
      </c>
      <c r="B3798" s="5" t="s">
        <v>4556</v>
      </c>
      <c r="C3798" s="5" t="s">
        <v>4557</v>
      </c>
      <c r="D3798" s="6" t="s">
        <v>13</v>
      </c>
      <c r="E3798" s="5" t="s">
        <v>4536</v>
      </c>
      <c r="F3798" s="5" t="s">
        <v>1759</v>
      </c>
      <c r="G3798" s="5" t="s">
        <v>876</v>
      </c>
      <c r="H3798" s="5" t="s">
        <v>38</v>
      </c>
      <c r="I3798" s="5" t="s">
        <v>18</v>
      </c>
    </row>
    <row r="3799">
      <c r="A3799" s="7" t="s">
        <v>4561</v>
      </c>
      <c r="B3799" s="5" t="s">
        <v>4559</v>
      </c>
      <c r="C3799" s="5" t="s">
        <v>4560</v>
      </c>
      <c r="D3799" s="6" t="s">
        <v>13</v>
      </c>
      <c r="E3799" s="5" t="s">
        <v>4536</v>
      </c>
      <c r="F3799" s="5" t="s">
        <v>125</v>
      </c>
      <c r="G3799" s="5" t="s">
        <v>166</v>
      </c>
      <c r="H3799" s="5" t="s">
        <v>44</v>
      </c>
      <c r="I3799" s="5" t="s">
        <v>18</v>
      </c>
    </row>
    <row r="3800">
      <c r="A3800" s="8" t="s">
        <v>4565</v>
      </c>
      <c r="B3800" s="5" t="s">
        <v>4562</v>
      </c>
      <c r="C3800" s="5" t="s">
        <v>4563</v>
      </c>
      <c r="D3800" s="6" t="s">
        <v>13</v>
      </c>
      <c r="E3800" s="5" t="s">
        <v>4536</v>
      </c>
      <c r="F3800" s="5" t="s">
        <v>4564</v>
      </c>
      <c r="G3800" s="5" t="s">
        <v>166</v>
      </c>
      <c r="H3800" s="5" t="s">
        <v>44</v>
      </c>
      <c r="I3800" s="5" t="s">
        <v>18</v>
      </c>
    </row>
    <row r="3801">
      <c r="A3801" s="8" t="s">
        <v>4570</v>
      </c>
      <c r="B3801" s="5" t="s">
        <v>4566</v>
      </c>
      <c r="C3801" s="5" t="s">
        <v>4567</v>
      </c>
      <c r="D3801" s="6" t="s">
        <v>13</v>
      </c>
      <c r="E3801" s="5" t="s">
        <v>4536</v>
      </c>
      <c r="F3801" s="5" t="s">
        <v>4568</v>
      </c>
      <c r="G3801" s="5" t="s">
        <v>4569</v>
      </c>
      <c r="H3801" s="5" t="s">
        <v>224</v>
      </c>
      <c r="I3801" s="5" t="s">
        <v>18</v>
      </c>
    </row>
    <row r="3802">
      <c r="A3802" s="7" t="s">
        <v>4573</v>
      </c>
      <c r="B3802" s="5" t="s">
        <v>4571</v>
      </c>
      <c r="C3802" s="5" t="s">
        <v>4572</v>
      </c>
      <c r="D3802" s="6" t="s">
        <v>13</v>
      </c>
      <c r="E3802" s="5" t="s">
        <v>4536</v>
      </c>
      <c r="F3802" s="5" t="s">
        <v>1667</v>
      </c>
      <c r="G3802" s="5" t="s">
        <v>49</v>
      </c>
      <c r="H3802" s="5" t="s">
        <v>50</v>
      </c>
      <c r="I3802" s="5" t="s">
        <v>18</v>
      </c>
    </row>
    <row r="3803">
      <c r="A3803" s="7" t="s">
        <v>4576</v>
      </c>
      <c r="B3803" s="5" t="s">
        <v>4574</v>
      </c>
      <c r="C3803" s="5" t="s">
        <v>4575</v>
      </c>
      <c r="D3803" s="6" t="s">
        <v>13</v>
      </c>
      <c r="E3803" s="5" t="s">
        <v>4536</v>
      </c>
      <c r="F3803" s="5" t="s">
        <v>523</v>
      </c>
      <c r="G3803" s="5" t="s">
        <v>49</v>
      </c>
      <c r="H3803" s="5" t="s">
        <v>50</v>
      </c>
      <c r="I3803" s="5" t="s">
        <v>18</v>
      </c>
    </row>
    <row r="3804">
      <c r="A3804" s="7" t="s">
        <v>4579</v>
      </c>
      <c r="B3804" s="5" t="s">
        <v>4577</v>
      </c>
      <c r="C3804" s="5" t="s">
        <v>4578</v>
      </c>
      <c r="D3804" s="6" t="s">
        <v>13</v>
      </c>
      <c r="E3804" s="5" t="s">
        <v>4536</v>
      </c>
      <c r="F3804" s="5" t="s">
        <v>241</v>
      </c>
      <c r="G3804" s="5" t="s">
        <v>49</v>
      </c>
      <c r="H3804" s="5" t="s">
        <v>50</v>
      </c>
      <c r="I3804" s="5" t="s">
        <v>18</v>
      </c>
    </row>
    <row r="3805">
      <c r="A3805" s="7" t="s">
        <v>4582</v>
      </c>
      <c r="B3805" s="5" t="s">
        <v>4580</v>
      </c>
      <c r="C3805" s="5" t="s">
        <v>4581</v>
      </c>
      <c r="D3805" s="5" t="s">
        <v>4</v>
      </c>
      <c r="E3805" s="5" t="s">
        <v>4536</v>
      </c>
      <c r="F3805" s="5" t="s">
        <v>832</v>
      </c>
      <c r="G3805" s="5" t="s">
        <v>49</v>
      </c>
      <c r="H3805" s="5" t="s">
        <v>50</v>
      </c>
      <c r="I3805" s="5" t="s">
        <v>18</v>
      </c>
    </row>
    <row r="3806">
      <c r="A3806" s="7" t="s">
        <v>4587</v>
      </c>
      <c r="B3806" s="5" t="s">
        <v>4583</v>
      </c>
      <c r="C3806" s="5" t="s">
        <v>4584</v>
      </c>
      <c r="D3806" s="6" t="s">
        <v>13</v>
      </c>
      <c r="E3806" s="5" t="s">
        <v>4585</v>
      </c>
      <c r="F3806" s="5" t="s">
        <v>512</v>
      </c>
      <c r="G3806" s="5" t="s">
        <v>4586</v>
      </c>
      <c r="H3806" s="5" t="s">
        <v>44</v>
      </c>
      <c r="I3806" s="5" t="s">
        <v>18</v>
      </c>
    </row>
    <row r="3807">
      <c r="A3807" s="7" t="s">
        <v>4589</v>
      </c>
      <c r="B3807" s="5" t="s">
        <v>4588</v>
      </c>
      <c r="C3807" s="5" t="s">
        <v>110</v>
      </c>
      <c r="D3807" s="6" t="s">
        <v>13</v>
      </c>
      <c r="E3807" s="5" t="s">
        <v>4585</v>
      </c>
      <c r="F3807" s="5" t="s">
        <v>222</v>
      </c>
      <c r="G3807" s="5" t="s">
        <v>122</v>
      </c>
      <c r="H3807" s="5" t="s">
        <v>44</v>
      </c>
      <c r="I3807" s="5" t="s">
        <v>18</v>
      </c>
    </row>
    <row r="3808">
      <c r="A3808" s="7" t="s">
        <v>4591</v>
      </c>
      <c r="B3808" s="5" t="s">
        <v>4590</v>
      </c>
      <c r="C3808" s="5" t="s">
        <v>1147</v>
      </c>
      <c r="D3808" s="6" t="s">
        <v>13</v>
      </c>
      <c r="E3808" s="5" t="s">
        <v>4585</v>
      </c>
      <c r="F3808" s="5" t="s">
        <v>79</v>
      </c>
      <c r="G3808" s="5" t="s">
        <v>166</v>
      </c>
      <c r="H3808" s="5" t="s">
        <v>44</v>
      </c>
      <c r="I3808" s="5" t="s">
        <v>18</v>
      </c>
    </row>
    <row r="3809">
      <c r="A3809" s="7" t="s">
        <v>4593</v>
      </c>
      <c r="B3809" s="5" t="s">
        <v>4592</v>
      </c>
      <c r="C3809" s="5" t="s">
        <v>110</v>
      </c>
      <c r="D3809" s="6" t="s">
        <v>13</v>
      </c>
      <c r="E3809" s="5" t="s">
        <v>4585</v>
      </c>
      <c r="F3809" s="5" t="s">
        <v>222</v>
      </c>
      <c r="G3809" s="5" t="s">
        <v>169</v>
      </c>
      <c r="H3809" s="5" t="s">
        <v>44</v>
      </c>
      <c r="I3809" s="5" t="s">
        <v>18</v>
      </c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  <hyperlink r:id="rId271" ref="J272"/>
    <hyperlink r:id="rId272" ref="J273"/>
    <hyperlink r:id="rId273" ref="J274"/>
    <hyperlink r:id="rId274" ref="J275"/>
    <hyperlink r:id="rId275" ref="J276"/>
    <hyperlink r:id="rId276" ref="J277"/>
    <hyperlink r:id="rId277" ref="J278"/>
    <hyperlink r:id="rId278" ref="J279"/>
    <hyperlink r:id="rId279" ref="J280"/>
    <hyperlink r:id="rId280" ref="J281"/>
    <hyperlink r:id="rId281" ref="J282"/>
    <hyperlink r:id="rId282" ref="J283"/>
    <hyperlink r:id="rId283" ref="J284"/>
    <hyperlink r:id="rId284" ref="J285"/>
    <hyperlink r:id="rId285" ref="J286"/>
    <hyperlink r:id="rId286" ref="J287"/>
    <hyperlink r:id="rId287" ref="J288"/>
    <hyperlink r:id="rId288" ref="J289"/>
    <hyperlink r:id="rId289" ref="J290"/>
    <hyperlink r:id="rId290" ref="J291"/>
    <hyperlink r:id="rId291" ref="J292"/>
    <hyperlink r:id="rId292" ref="J293"/>
    <hyperlink r:id="rId293" ref="J294"/>
    <hyperlink r:id="rId294" ref="J295"/>
    <hyperlink r:id="rId295" ref="J296"/>
    <hyperlink r:id="rId296" ref="J297"/>
    <hyperlink r:id="rId297" ref="J298"/>
    <hyperlink r:id="rId298" ref="J299"/>
    <hyperlink r:id="rId299" ref="J300"/>
    <hyperlink r:id="rId300" ref="J301"/>
    <hyperlink r:id="rId301" ref="J302"/>
    <hyperlink r:id="rId302" ref="J303"/>
    <hyperlink r:id="rId303" ref="J304"/>
    <hyperlink r:id="rId304" ref="J305"/>
    <hyperlink r:id="rId305" ref="J306"/>
    <hyperlink r:id="rId306" ref="J307"/>
    <hyperlink r:id="rId307" ref="J308"/>
    <hyperlink r:id="rId308" ref="J309"/>
    <hyperlink r:id="rId309" ref="J310"/>
    <hyperlink r:id="rId310" ref="J311"/>
    <hyperlink r:id="rId311" ref="J312"/>
    <hyperlink r:id="rId312" ref="J313"/>
    <hyperlink r:id="rId313" ref="J314"/>
    <hyperlink r:id="rId314" ref="J315"/>
    <hyperlink r:id="rId315" ref="J316"/>
    <hyperlink r:id="rId316" ref="J317"/>
    <hyperlink r:id="rId317" ref="J318"/>
    <hyperlink r:id="rId318" ref="J319"/>
    <hyperlink r:id="rId319" ref="J320"/>
    <hyperlink r:id="rId320" ref="J321"/>
    <hyperlink r:id="rId321" ref="J322"/>
    <hyperlink r:id="rId322" ref="J323"/>
    <hyperlink r:id="rId323" ref="J324"/>
    <hyperlink r:id="rId324" ref="J325"/>
    <hyperlink r:id="rId325" ref="J326"/>
    <hyperlink r:id="rId326" ref="J327"/>
    <hyperlink r:id="rId327" ref="J328"/>
    <hyperlink r:id="rId328" ref="J329"/>
    <hyperlink r:id="rId329" ref="J330"/>
    <hyperlink r:id="rId330" ref="J331"/>
    <hyperlink r:id="rId331" ref="J332"/>
    <hyperlink r:id="rId332" ref="J333"/>
    <hyperlink r:id="rId333" ref="J334"/>
    <hyperlink r:id="rId334" ref="J335"/>
    <hyperlink r:id="rId335" ref="J336"/>
    <hyperlink r:id="rId336" ref="J337"/>
    <hyperlink r:id="rId337" ref="J338"/>
    <hyperlink r:id="rId338" ref="J339"/>
    <hyperlink r:id="rId339" ref="J340"/>
    <hyperlink r:id="rId340" ref="J341"/>
    <hyperlink r:id="rId341" ref="J342"/>
    <hyperlink r:id="rId342" ref="J343"/>
    <hyperlink r:id="rId343" ref="J344"/>
    <hyperlink r:id="rId344" ref="J345"/>
    <hyperlink r:id="rId345" ref="J346"/>
    <hyperlink r:id="rId346" ref="J347"/>
    <hyperlink r:id="rId347" ref="J348"/>
    <hyperlink r:id="rId348" ref="J349"/>
    <hyperlink r:id="rId349" ref="J350"/>
    <hyperlink r:id="rId350" ref="J351"/>
    <hyperlink r:id="rId351" ref="J352"/>
    <hyperlink r:id="rId352" ref="J353"/>
    <hyperlink r:id="rId353" ref="J354"/>
    <hyperlink r:id="rId354" ref="J355"/>
    <hyperlink r:id="rId355" ref="J356"/>
    <hyperlink r:id="rId356" ref="J357"/>
    <hyperlink r:id="rId357" ref="J358"/>
    <hyperlink r:id="rId358" ref="J359"/>
    <hyperlink r:id="rId359" ref="J360"/>
    <hyperlink r:id="rId360" ref="J361"/>
    <hyperlink r:id="rId361" ref="J362"/>
    <hyperlink r:id="rId362" ref="J363"/>
    <hyperlink r:id="rId363" ref="J364"/>
    <hyperlink r:id="rId364" ref="J365"/>
    <hyperlink r:id="rId365" ref="J366"/>
    <hyperlink r:id="rId366" ref="J367"/>
    <hyperlink r:id="rId367" ref="J368"/>
    <hyperlink r:id="rId368" ref="J369"/>
    <hyperlink r:id="rId369" ref="J370"/>
    <hyperlink r:id="rId370" ref="J371"/>
    <hyperlink r:id="rId371" ref="J372"/>
    <hyperlink r:id="rId372" ref="J373"/>
    <hyperlink r:id="rId373" ref="J374"/>
    <hyperlink r:id="rId374" ref="J375"/>
    <hyperlink r:id="rId375" ref="J376"/>
    <hyperlink r:id="rId376" ref="J377"/>
    <hyperlink r:id="rId377" ref="J378"/>
    <hyperlink r:id="rId378" ref="J379"/>
    <hyperlink r:id="rId379" ref="J380"/>
    <hyperlink r:id="rId380" ref="J381"/>
    <hyperlink r:id="rId381" ref="J382"/>
    <hyperlink r:id="rId382" ref="J383"/>
    <hyperlink r:id="rId383" ref="J384"/>
    <hyperlink r:id="rId384" ref="J385"/>
    <hyperlink r:id="rId385" ref="J386"/>
    <hyperlink r:id="rId386" ref="J387"/>
    <hyperlink r:id="rId387" ref="J388"/>
    <hyperlink r:id="rId388" ref="J389"/>
    <hyperlink r:id="rId389" ref="J390"/>
    <hyperlink r:id="rId390" ref="J391"/>
    <hyperlink r:id="rId391" ref="J392"/>
    <hyperlink r:id="rId392" ref="J393"/>
    <hyperlink r:id="rId393" ref="J394"/>
    <hyperlink r:id="rId394" ref="J395"/>
    <hyperlink r:id="rId395" ref="J396"/>
    <hyperlink r:id="rId396" ref="J397"/>
    <hyperlink r:id="rId397" ref="J398"/>
    <hyperlink r:id="rId398" ref="J399"/>
    <hyperlink r:id="rId399" ref="J400"/>
    <hyperlink r:id="rId400" ref="J401"/>
    <hyperlink r:id="rId401" ref="J402"/>
    <hyperlink r:id="rId402" ref="J403"/>
    <hyperlink r:id="rId403" ref="J404"/>
    <hyperlink r:id="rId404" ref="J405"/>
    <hyperlink r:id="rId405" ref="J406"/>
    <hyperlink r:id="rId406" ref="J407"/>
    <hyperlink r:id="rId407" ref="J408"/>
    <hyperlink r:id="rId408" ref="J409"/>
    <hyperlink r:id="rId409" ref="J410"/>
    <hyperlink r:id="rId410" ref="J411"/>
    <hyperlink r:id="rId411" ref="J412"/>
    <hyperlink r:id="rId412" ref="J413"/>
    <hyperlink r:id="rId413" ref="J414"/>
    <hyperlink r:id="rId414" ref="J415"/>
    <hyperlink r:id="rId415" ref="J416"/>
    <hyperlink r:id="rId416" ref="J417"/>
    <hyperlink r:id="rId417" ref="J418"/>
    <hyperlink r:id="rId418" ref="J419"/>
    <hyperlink r:id="rId419" ref="J420"/>
    <hyperlink r:id="rId420" ref="J421"/>
    <hyperlink r:id="rId421" ref="J422"/>
    <hyperlink r:id="rId422" ref="J423"/>
    <hyperlink r:id="rId423" ref="J424"/>
    <hyperlink r:id="rId424" ref="J425"/>
    <hyperlink r:id="rId425" ref="J426"/>
    <hyperlink r:id="rId426" ref="J427"/>
    <hyperlink r:id="rId427" ref="J428"/>
    <hyperlink r:id="rId428" ref="J429"/>
    <hyperlink r:id="rId429" ref="J430"/>
    <hyperlink r:id="rId430" ref="J431"/>
    <hyperlink r:id="rId431" ref="J432"/>
    <hyperlink r:id="rId432" ref="J433"/>
    <hyperlink r:id="rId433" ref="J434"/>
    <hyperlink r:id="rId434" ref="J435"/>
    <hyperlink r:id="rId435" ref="J436"/>
    <hyperlink r:id="rId436" ref="J437"/>
    <hyperlink r:id="rId437" ref="J438"/>
    <hyperlink r:id="rId438" ref="J439"/>
    <hyperlink r:id="rId439" ref="J440"/>
    <hyperlink r:id="rId440" ref="J441"/>
    <hyperlink r:id="rId441" ref="J442"/>
    <hyperlink r:id="rId442" ref="J443"/>
    <hyperlink r:id="rId443" ref="J444"/>
    <hyperlink r:id="rId444" ref="J445"/>
    <hyperlink r:id="rId445" ref="J446"/>
    <hyperlink r:id="rId446" ref="J447"/>
    <hyperlink r:id="rId447" ref="J448"/>
    <hyperlink r:id="rId448" ref="J449"/>
    <hyperlink r:id="rId449" ref="J450"/>
    <hyperlink r:id="rId450" ref="J451"/>
    <hyperlink r:id="rId451" ref="J452"/>
    <hyperlink r:id="rId452" ref="J453"/>
    <hyperlink r:id="rId453" ref="J454"/>
    <hyperlink r:id="rId454" ref="J455"/>
    <hyperlink r:id="rId455" ref="J456"/>
    <hyperlink r:id="rId456" ref="J457"/>
    <hyperlink r:id="rId457" ref="J458"/>
    <hyperlink r:id="rId458" ref="J459"/>
    <hyperlink r:id="rId459" ref="J460"/>
    <hyperlink r:id="rId460" ref="J461"/>
    <hyperlink r:id="rId461" ref="J462"/>
    <hyperlink r:id="rId462" ref="J463"/>
    <hyperlink r:id="rId463" ref="J464"/>
    <hyperlink r:id="rId464" ref="J465"/>
    <hyperlink r:id="rId465" ref="J466"/>
    <hyperlink r:id="rId466" ref="J467"/>
    <hyperlink r:id="rId467" ref="J468"/>
    <hyperlink r:id="rId468" ref="J469"/>
    <hyperlink r:id="rId469" ref="J470"/>
    <hyperlink r:id="rId470" ref="J471"/>
    <hyperlink r:id="rId471" ref="J472"/>
    <hyperlink r:id="rId472" ref="J473"/>
    <hyperlink r:id="rId473" ref="J474"/>
    <hyperlink r:id="rId474" ref="J475"/>
    <hyperlink r:id="rId475" ref="J476"/>
    <hyperlink r:id="rId476" ref="J477"/>
    <hyperlink r:id="rId477" ref="J478"/>
    <hyperlink r:id="rId478" ref="J479"/>
    <hyperlink r:id="rId479" ref="J480"/>
    <hyperlink r:id="rId480" ref="J481"/>
    <hyperlink r:id="rId481" ref="J482"/>
    <hyperlink r:id="rId482" ref="J483"/>
    <hyperlink r:id="rId483" ref="J484"/>
    <hyperlink r:id="rId484" ref="J485"/>
    <hyperlink r:id="rId485" ref="J486"/>
    <hyperlink r:id="rId486" ref="J487"/>
    <hyperlink r:id="rId487" ref="J488"/>
    <hyperlink r:id="rId488" ref="J489"/>
    <hyperlink r:id="rId489" ref="J490"/>
    <hyperlink r:id="rId490" ref="J491"/>
    <hyperlink r:id="rId491" ref="J492"/>
    <hyperlink r:id="rId492" ref="J493"/>
    <hyperlink r:id="rId493" ref="J494"/>
    <hyperlink r:id="rId494" ref="J495"/>
    <hyperlink r:id="rId495" ref="J496"/>
    <hyperlink r:id="rId496" ref="J497"/>
    <hyperlink r:id="rId497" ref="J498"/>
    <hyperlink r:id="rId498" ref="J499"/>
    <hyperlink r:id="rId499" ref="J500"/>
    <hyperlink r:id="rId500" ref="J501"/>
    <hyperlink r:id="rId501" ref="J502"/>
    <hyperlink r:id="rId502" ref="J503"/>
    <hyperlink r:id="rId503" ref="J504"/>
    <hyperlink r:id="rId504" ref="J505"/>
    <hyperlink r:id="rId505" ref="J506"/>
    <hyperlink r:id="rId506" ref="J507"/>
    <hyperlink r:id="rId507" ref="J508"/>
    <hyperlink r:id="rId508" ref="J509"/>
    <hyperlink r:id="rId509" ref="J510"/>
    <hyperlink r:id="rId510" ref="J511"/>
    <hyperlink r:id="rId511" ref="J512"/>
    <hyperlink r:id="rId512" ref="J513"/>
    <hyperlink r:id="rId513" ref="J514"/>
    <hyperlink r:id="rId514" ref="J515"/>
    <hyperlink r:id="rId515" ref="J516"/>
    <hyperlink r:id="rId516" ref="J517"/>
    <hyperlink r:id="rId517" ref="J518"/>
    <hyperlink r:id="rId518" ref="J519"/>
    <hyperlink r:id="rId519" ref="J520"/>
    <hyperlink r:id="rId520" ref="J521"/>
    <hyperlink r:id="rId521" ref="J522"/>
    <hyperlink r:id="rId522" ref="J523"/>
    <hyperlink r:id="rId523" ref="J524"/>
    <hyperlink r:id="rId524" ref="J525"/>
    <hyperlink r:id="rId525" ref="J526"/>
    <hyperlink r:id="rId526" ref="J527"/>
    <hyperlink r:id="rId527" ref="J528"/>
    <hyperlink r:id="rId528" ref="J529"/>
    <hyperlink r:id="rId529" ref="J530"/>
    <hyperlink r:id="rId530" ref="J531"/>
    <hyperlink r:id="rId531" ref="J532"/>
    <hyperlink r:id="rId532" ref="J533"/>
    <hyperlink r:id="rId533" ref="J534"/>
    <hyperlink r:id="rId534" ref="J535"/>
    <hyperlink r:id="rId535" ref="J536"/>
    <hyperlink r:id="rId536" ref="J537"/>
    <hyperlink r:id="rId537" ref="J538"/>
    <hyperlink r:id="rId538" ref="J539"/>
    <hyperlink r:id="rId539" ref="J540"/>
    <hyperlink r:id="rId540" ref="J541"/>
    <hyperlink r:id="rId541" ref="J542"/>
    <hyperlink r:id="rId542" ref="J543"/>
    <hyperlink r:id="rId543" ref="J544"/>
    <hyperlink r:id="rId544" ref="J545"/>
    <hyperlink r:id="rId545" ref="J546"/>
    <hyperlink r:id="rId546" ref="J547"/>
    <hyperlink r:id="rId547" ref="J548"/>
    <hyperlink r:id="rId548" ref="J549"/>
    <hyperlink r:id="rId549" ref="J550"/>
    <hyperlink r:id="rId550" ref="J551"/>
    <hyperlink r:id="rId551" ref="J552"/>
    <hyperlink r:id="rId552" ref="J553"/>
    <hyperlink r:id="rId553" ref="J554"/>
    <hyperlink r:id="rId554" ref="J555"/>
    <hyperlink r:id="rId555" ref="J556"/>
    <hyperlink r:id="rId556" ref="J557"/>
    <hyperlink r:id="rId557" ref="J558"/>
    <hyperlink r:id="rId558" ref="J559"/>
    <hyperlink r:id="rId559" ref="J560"/>
    <hyperlink r:id="rId560" ref="J561"/>
    <hyperlink r:id="rId561" ref="J562"/>
    <hyperlink r:id="rId562" ref="J563"/>
    <hyperlink r:id="rId563" ref="J564"/>
    <hyperlink r:id="rId564" ref="J565"/>
    <hyperlink r:id="rId565" ref="J566"/>
    <hyperlink r:id="rId566" ref="J567"/>
    <hyperlink r:id="rId567" ref="J568"/>
    <hyperlink r:id="rId568" ref="J569"/>
    <hyperlink r:id="rId569" ref="J570"/>
    <hyperlink r:id="rId570" ref="J571"/>
    <hyperlink r:id="rId571" ref="J572"/>
    <hyperlink r:id="rId572" ref="J573"/>
    <hyperlink r:id="rId573" ref="J574"/>
    <hyperlink r:id="rId574" ref="J575"/>
    <hyperlink r:id="rId575" ref="J576"/>
    <hyperlink r:id="rId576" ref="J577"/>
    <hyperlink r:id="rId577" ref="J578"/>
    <hyperlink r:id="rId578" ref="J579"/>
    <hyperlink r:id="rId579" ref="J580"/>
    <hyperlink r:id="rId580" ref="J581"/>
    <hyperlink r:id="rId581" ref="J582"/>
    <hyperlink r:id="rId582" ref="J583"/>
    <hyperlink r:id="rId583" ref="J584"/>
    <hyperlink r:id="rId584" ref="J585"/>
    <hyperlink r:id="rId585" ref="J586"/>
    <hyperlink r:id="rId586" ref="J587"/>
    <hyperlink r:id="rId587" ref="J588"/>
    <hyperlink r:id="rId588" ref="J589"/>
    <hyperlink r:id="rId589" ref="J590"/>
    <hyperlink r:id="rId590" ref="J591"/>
    <hyperlink r:id="rId591" ref="J592"/>
    <hyperlink r:id="rId592" ref="J593"/>
    <hyperlink r:id="rId593" ref="J594"/>
    <hyperlink r:id="rId594" ref="J595"/>
    <hyperlink r:id="rId595" ref="J596"/>
    <hyperlink r:id="rId596" ref="J597"/>
    <hyperlink r:id="rId597" ref="J598"/>
    <hyperlink r:id="rId598" ref="J599"/>
    <hyperlink r:id="rId599" ref="J600"/>
    <hyperlink r:id="rId600" ref="J601"/>
    <hyperlink r:id="rId601" ref="J602"/>
    <hyperlink r:id="rId602" ref="J603"/>
    <hyperlink r:id="rId603" ref="J604"/>
    <hyperlink r:id="rId604" ref="J605"/>
    <hyperlink r:id="rId605" ref="J606"/>
    <hyperlink r:id="rId606" ref="J607"/>
    <hyperlink r:id="rId607" ref="J608"/>
    <hyperlink r:id="rId608" ref="J609"/>
    <hyperlink r:id="rId609" ref="J610"/>
    <hyperlink r:id="rId610" ref="J611"/>
    <hyperlink r:id="rId611" ref="J612"/>
    <hyperlink r:id="rId612" ref="J613"/>
    <hyperlink r:id="rId613" ref="J614"/>
    <hyperlink r:id="rId614" ref="J615"/>
    <hyperlink r:id="rId615" ref="J616"/>
    <hyperlink r:id="rId616" ref="J617"/>
    <hyperlink r:id="rId617" ref="J618"/>
    <hyperlink r:id="rId618" ref="J619"/>
    <hyperlink r:id="rId619" ref="J620"/>
    <hyperlink r:id="rId620" ref="J621"/>
    <hyperlink r:id="rId621" ref="J622"/>
    <hyperlink r:id="rId622" ref="J623"/>
    <hyperlink r:id="rId623" ref="J624"/>
    <hyperlink r:id="rId624" ref="J625"/>
    <hyperlink r:id="rId625" ref="J626"/>
    <hyperlink r:id="rId626" ref="J627"/>
    <hyperlink r:id="rId627" ref="J628"/>
    <hyperlink r:id="rId628" ref="J629"/>
    <hyperlink r:id="rId629" ref="J630"/>
    <hyperlink r:id="rId630" ref="J631"/>
    <hyperlink r:id="rId631" ref="J632"/>
    <hyperlink r:id="rId632" ref="J633"/>
    <hyperlink r:id="rId633" ref="J634"/>
    <hyperlink r:id="rId634" ref="J635"/>
    <hyperlink r:id="rId635" ref="J636"/>
    <hyperlink r:id="rId636" ref="J637"/>
    <hyperlink r:id="rId637" ref="J638"/>
    <hyperlink r:id="rId638" ref="J639"/>
    <hyperlink r:id="rId639" ref="J640"/>
    <hyperlink r:id="rId640" ref="J641"/>
    <hyperlink r:id="rId641" ref="J642"/>
    <hyperlink r:id="rId642" ref="J643"/>
    <hyperlink r:id="rId643" ref="J644"/>
    <hyperlink r:id="rId644" ref="J645"/>
    <hyperlink r:id="rId645" ref="J646"/>
    <hyperlink r:id="rId646" ref="J647"/>
    <hyperlink r:id="rId647" ref="J648"/>
    <hyperlink r:id="rId648" ref="J649"/>
    <hyperlink r:id="rId649" ref="J650"/>
    <hyperlink r:id="rId650" ref="J651"/>
    <hyperlink r:id="rId651" ref="J652"/>
    <hyperlink r:id="rId652" ref="J653"/>
    <hyperlink r:id="rId653" ref="J654"/>
    <hyperlink r:id="rId654" ref="J655"/>
    <hyperlink r:id="rId655" ref="J656"/>
    <hyperlink r:id="rId656" ref="J657"/>
    <hyperlink r:id="rId657" ref="J658"/>
    <hyperlink r:id="rId658" ref="J659"/>
    <hyperlink r:id="rId659" ref="J660"/>
    <hyperlink r:id="rId660" ref="J661"/>
    <hyperlink r:id="rId661" ref="J662"/>
    <hyperlink r:id="rId662" ref="J663"/>
    <hyperlink r:id="rId663" ref="J664"/>
    <hyperlink r:id="rId664" ref="J665"/>
    <hyperlink r:id="rId665" ref="J666"/>
    <hyperlink r:id="rId666" ref="J667"/>
    <hyperlink r:id="rId667" ref="J668"/>
    <hyperlink r:id="rId668" ref="J669"/>
    <hyperlink r:id="rId669" ref="J670"/>
    <hyperlink r:id="rId670" ref="J671"/>
    <hyperlink r:id="rId671" ref="J672"/>
    <hyperlink r:id="rId672" ref="J673"/>
    <hyperlink r:id="rId673" ref="J674"/>
    <hyperlink r:id="rId674" ref="J675"/>
    <hyperlink r:id="rId675" ref="J676"/>
    <hyperlink r:id="rId676" ref="J677"/>
    <hyperlink r:id="rId677" ref="J678"/>
    <hyperlink r:id="rId678" ref="J679"/>
    <hyperlink r:id="rId679" ref="J680"/>
    <hyperlink r:id="rId680" ref="J681"/>
    <hyperlink r:id="rId681" ref="J682"/>
    <hyperlink r:id="rId682" ref="J683"/>
    <hyperlink r:id="rId683" ref="J684"/>
    <hyperlink r:id="rId684" ref="J685"/>
    <hyperlink r:id="rId685" ref="J686"/>
    <hyperlink r:id="rId686" ref="J687"/>
    <hyperlink r:id="rId687" ref="J688"/>
    <hyperlink r:id="rId688" ref="J689"/>
    <hyperlink r:id="rId689" ref="J690"/>
    <hyperlink r:id="rId690" ref="J691"/>
    <hyperlink r:id="rId691" ref="J692"/>
    <hyperlink r:id="rId692" ref="J693"/>
    <hyperlink r:id="rId693" ref="J694"/>
    <hyperlink r:id="rId694" ref="J695"/>
    <hyperlink r:id="rId695" ref="J696"/>
    <hyperlink r:id="rId696" ref="J697"/>
    <hyperlink r:id="rId697" ref="J698"/>
    <hyperlink r:id="rId698" ref="J699"/>
    <hyperlink r:id="rId699" ref="J700"/>
    <hyperlink r:id="rId700" ref="J701"/>
    <hyperlink r:id="rId701" ref="J702"/>
    <hyperlink r:id="rId702" ref="J703"/>
    <hyperlink r:id="rId703" ref="J704"/>
    <hyperlink r:id="rId704" ref="J705"/>
    <hyperlink r:id="rId705" ref="J706"/>
    <hyperlink r:id="rId706" ref="J707"/>
    <hyperlink r:id="rId707" ref="J708"/>
    <hyperlink r:id="rId708" ref="J709"/>
    <hyperlink r:id="rId709" ref="J710"/>
    <hyperlink r:id="rId710" ref="J711"/>
    <hyperlink r:id="rId711" ref="J712"/>
    <hyperlink r:id="rId712" ref="J713"/>
    <hyperlink r:id="rId713" ref="J714"/>
    <hyperlink r:id="rId714" ref="J715"/>
    <hyperlink r:id="rId715" ref="J716"/>
    <hyperlink r:id="rId716" ref="J717"/>
    <hyperlink r:id="rId717" ref="J718"/>
    <hyperlink r:id="rId718" ref="J719"/>
    <hyperlink r:id="rId719" ref="J720"/>
    <hyperlink r:id="rId720" ref="J721"/>
    <hyperlink r:id="rId721" ref="J722"/>
    <hyperlink r:id="rId722" ref="J723"/>
    <hyperlink r:id="rId723" ref="J724"/>
    <hyperlink r:id="rId724" ref="J725"/>
    <hyperlink r:id="rId725" ref="J726"/>
    <hyperlink r:id="rId726" ref="J727"/>
    <hyperlink r:id="rId727" ref="J728"/>
    <hyperlink r:id="rId728" ref="J729"/>
    <hyperlink r:id="rId729" ref="J730"/>
    <hyperlink r:id="rId730" ref="J731"/>
    <hyperlink r:id="rId731" ref="J732"/>
    <hyperlink r:id="rId732" ref="J733"/>
    <hyperlink r:id="rId733" ref="J734"/>
    <hyperlink r:id="rId734" ref="J735"/>
    <hyperlink r:id="rId735" ref="J736"/>
    <hyperlink r:id="rId736" ref="J737"/>
    <hyperlink r:id="rId737" ref="J738"/>
    <hyperlink r:id="rId738" ref="J739"/>
    <hyperlink r:id="rId739" ref="J740"/>
    <hyperlink r:id="rId740" ref="J741"/>
    <hyperlink r:id="rId741" ref="J742"/>
    <hyperlink r:id="rId742" ref="J743"/>
    <hyperlink r:id="rId743" ref="J744"/>
    <hyperlink r:id="rId744" ref="J745"/>
    <hyperlink r:id="rId745" ref="J746"/>
    <hyperlink r:id="rId746" ref="J747"/>
    <hyperlink r:id="rId747" ref="J748"/>
    <hyperlink r:id="rId748" ref="J749"/>
    <hyperlink r:id="rId749" ref="J750"/>
    <hyperlink r:id="rId750" ref="J751"/>
    <hyperlink r:id="rId751" ref="J752"/>
    <hyperlink r:id="rId752" ref="J753"/>
    <hyperlink r:id="rId753" ref="J754"/>
    <hyperlink r:id="rId754" ref="J755"/>
    <hyperlink r:id="rId755" ref="J756"/>
    <hyperlink r:id="rId756" ref="J757"/>
    <hyperlink r:id="rId757" ref="J758"/>
    <hyperlink r:id="rId758" ref="J759"/>
    <hyperlink r:id="rId759" ref="J760"/>
    <hyperlink r:id="rId760" ref="J761"/>
    <hyperlink r:id="rId761" ref="J762"/>
    <hyperlink r:id="rId762" ref="J763"/>
    <hyperlink r:id="rId763" ref="J764"/>
    <hyperlink r:id="rId764" ref="J765"/>
    <hyperlink r:id="rId765" ref="J766"/>
    <hyperlink r:id="rId766" ref="J767"/>
    <hyperlink r:id="rId767" ref="J768"/>
    <hyperlink r:id="rId768" ref="J769"/>
    <hyperlink r:id="rId769" ref="J770"/>
    <hyperlink r:id="rId770" ref="J771"/>
    <hyperlink r:id="rId771" ref="J772"/>
    <hyperlink r:id="rId772" ref="J773"/>
    <hyperlink r:id="rId773" ref="J774"/>
    <hyperlink r:id="rId774" ref="J775"/>
    <hyperlink r:id="rId775" ref="J776"/>
    <hyperlink r:id="rId776" ref="J777"/>
    <hyperlink r:id="rId777" ref="J778"/>
    <hyperlink r:id="rId778" ref="J779"/>
    <hyperlink r:id="rId779" ref="J780"/>
    <hyperlink r:id="rId780" ref="J781"/>
    <hyperlink r:id="rId781" ref="J782"/>
    <hyperlink r:id="rId782" ref="J783"/>
    <hyperlink r:id="rId783" ref="J784"/>
    <hyperlink r:id="rId784" ref="J785"/>
    <hyperlink r:id="rId785" ref="J786"/>
    <hyperlink r:id="rId786" ref="J787"/>
    <hyperlink r:id="rId787" ref="J788"/>
    <hyperlink r:id="rId788" ref="J789"/>
    <hyperlink r:id="rId789" ref="J790"/>
    <hyperlink r:id="rId790" ref="J791"/>
    <hyperlink r:id="rId791" ref="J792"/>
    <hyperlink r:id="rId792" ref="J793"/>
    <hyperlink r:id="rId793" ref="J794"/>
    <hyperlink r:id="rId794" ref="J795"/>
    <hyperlink r:id="rId795" ref="J796"/>
    <hyperlink r:id="rId796" ref="J797"/>
    <hyperlink r:id="rId797" ref="J798"/>
    <hyperlink r:id="rId798" ref="J799"/>
    <hyperlink r:id="rId799" ref="J800"/>
    <hyperlink r:id="rId800" ref="J801"/>
    <hyperlink r:id="rId801" ref="J802"/>
    <hyperlink r:id="rId802" ref="J803"/>
    <hyperlink r:id="rId803" ref="J804"/>
    <hyperlink r:id="rId804" ref="J805"/>
    <hyperlink r:id="rId805" ref="J806"/>
    <hyperlink r:id="rId806" ref="J807"/>
    <hyperlink r:id="rId807" ref="J808"/>
    <hyperlink r:id="rId808" ref="J809"/>
    <hyperlink r:id="rId809" ref="J810"/>
    <hyperlink r:id="rId810" ref="J811"/>
    <hyperlink r:id="rId811" ref="J812"/>
    <hyperlink r:id="rId812" ref="J813"/>
    <hyperlink r:id="rId813" ref="J814"/>
    <hyperlink r:id="rId814" ref="J815"/>
    <hyperlink r:id="rId815" ref="J816"/>
    <hyperlink r:id="rId816" ref="J817"/>
    <hyperlink r:id="rId817" ref="J818"/>
    <hyperlink r:id="rId818" ref="J819"/>
    <hyperlink r:id="rId819" ref="J820"/>
    <hyperlink r:id="rId820" ref="J821"/>
    <hyperlink r:id="rId821" ref="J822"/>
    <hyperlink r:id="rId822" ref="J823"/>
    <hyperlink r:id="rId823" ref="J824"/>
    <hyperlink r:id="rId824" ref="J825"/>
    <hyperlink r:id="rId825" ref="J826"/>
    <hyperlink r:id="rId826" ref="J827"/>
    <hyperlink r:id="rId827" ref="J828"/>
    <hyperlink r:id="rId828" ref="J829"/>
    <hyperlink r:id="rId829" ref="J830"/>
    <hyperlink r:id="rId830" ref="J831"/>
    <hyperlink r:id="rId831" ref="J832"/>
    <hyperlink r:id="rId832" ref="J833"/>
    <hyperlink r:id="rId833" ref="J834"/>
    <hyperlink r:id="rId834" ref="J835"/>
    <hyperlink r:id="rId835" ref="J836"/>
    <hyperlink r:id="rId836" ref="J837"/>
    <hyperlink r:id="rId837" ref="J838"/>
    <hyperlink r:id="rId838" ref="J839"/>
    <hyperlink r:id="rId839" ref="J840"/>
    <hyperlink r:id="rId840" ref="J841"/>
    <hyperlink r:id="rId841" ref="J842"/>
    <hyperlink r:id="rId842" ref="J843"/>
    <hyperlink r:id="rId843" ref="J844"/>
    <hyperlink r:id="rId844" ref="J845"/>
    <hyperlink r:id="rId845" ref="J846"/>
    <hyperlink r:id="rId846" ref="J847"/>
    <hyperlink r:id="rId847" ref="J848"/>
    <hyperlink r:id="rId848" ref="J849"/>
    <hyperlink r:id="rId849" ref="J850"/>
    <hyperlink r:id="rId850" ref="J851"/>
    <hyperlink r:id="rId851" ref="J852"/>
    <hyperlink r:id="rId852" ref="J853"/>
    <hyperlink r:id="rId853" ref="J854"/>
    <hyperlink r:id="rId854" ref="J855"/>
    <hyperlink r:id="rId855" ref="J856"/>
    <hyperlink r:id="rId856" ref="J857"/>
    <hyperlink r:id="rId857" ref="J858"/>
    <hyperlink r:id="rId858" ref="J859"/>
    <hyperlink r:id="rId859" ref="J860"/>
    <hyperlink r:id="rId860" ref="J861"/>
    <hyperlink r:id="rId861" ref="J862"/>
    <hyperlink r:id="rId862" ref="J863"/>
    <hyperlink r:id="rId863" ref="J864"/>
    <hyperlink r:id="rId864" ref="J865"/>
    <hyperlink r:id="rId865" ref="J866"/>
    <hyperlink r:id="rId866" ref="J867"/>
    <hyperlink r:id="rId867" ref="J868"/>
    <hyperlink r:id="rId868" ref="J869"/>
    <hyperlink r:id="rId869" ref="J870"/>
    <hyperlink r:id="rId870" ref="J871"/>
    <hyperlink r:id="rId871" ref="J872"/>
    <hyperlink r:id="rId872" ref="J873"/>
    <hyperlink r:id="rId873" ref="J874"/>
    <hyperlink r:id="rId874" ref="J875"/>
    <hyperlink r:id="rId875" ref="J876"/>
    <hyperlink r:id="rId876" ref="J877"/>
    <hyperlink r:id="rId877" ref="J878"/>
    <hyperlink r:id="rId878" ref="J879"/>
    <hyperlink r:id="rId879" ref="J880"/>
    <hyperlink r:id="rId880" ref="J881"/>
    <hyperlink r:id="rId881" ref="J882"/>
    <hyperlink r:id="rId882" ref="J883"/>
    <hyperlink r:id="rId883" ref="J884"/>
    <hyperlink r:id="rId884" ref="J885"/>
    <hyperlink r:id="rId885" ref="J886"/>
    <hyperlink r:id="rId886" ref="J887"/>
    <hyperlink r:id="rId887" ref="J888"/>
    <hyperlink r:id="rId888" ref="J889"/>
    <hyperlink r:id="rId889" ref="J890"/>
    <hyperlink r:id="rId890" ref="J891"/>
    <hyperlink r:id="rId891" ref="J892"/>
    <hyperlink r:id="rId892" ref="J893"/>
    <hyperlink r:id="rId893" ref="J894"/>
    <hyperlink r:id="rId894" ref="J895"/>
    <hyperlink r:id="rId895" ref="J896"/>
    <hyperlink r:id="rId896" ref="J897"/>
    <hyperlink r:id="rId897" ref="J898"/>
    <hyperlink r:id="rId898" ref="J899"/>
    <hyperlink r:id="rId899" ref="J900"/>
    <hyperlink r:id="rId900" ref="J902"/>
    <hyperlink r:id="rId901" ref="J903"/>
    <hyperlink r:id="rId902" ref="J904"/>
    <hyperlink r:id="rId903" ref="J905"/>
    <hyperlink r:id="rId904" ref="J906"/>
    <hyperlink r:id="rId905" ref="J907"/>
    <hyperlink r:id="rId906" ref="J908"/>
    <hyperlink r:id="rId907" ref="J909"/>
    <hyperlink r:id="rId908" ref="J910"/>
    <hyperlink r:id="rId909" ref="J911"/>
    <hyperlink r:id="rId910" ref="J912"/>
    <hyperlink r:id="rId911" ref="J913"/>
    <hyperlink r:id="rId912" ref="J914"/>
    <hyperlink r:id="rId913" ref="J915"/>
    <hyperlink r:id="rId914" ref="J916"/>
    <hyperlink r:id="rId915" ref="J917"/>
    <hyperlink r:id="rId916" ref="J918"/>
    <hyperlink r:id="rId917" ref="J919"/>
    <hyperlink r:id="rId918" ref="J920"/>
    <hyperlink r:id="rId919" ref="J921"/>
    <hyperlink r:id="rId920" ref="J922"/>
    <hyperlink r:id="rId921" ref="J923"/>
    <hyperlink r:id="rId922" ref="J924"/>
    <hyperlink r:id="rId923" ref="J925"/>
    <hyperlink r:id="rId924" ref="J926"/>
    <hyperlink r:id="rId925" ref="J927"/>
    <hyperlink r:id="rId926" ref="J928"/>
    <hyperlink r:id="rId927" ref="J929"/>
    <hyperlink r:id="rId928" ref="J930"/>
    <hyperlink r:id="rId929" ref="J931"/>
    <hyperlink r:id="rId930" ref="J932"/>
    <hyperlink r:id="rId931" ref="J933"/>
    <hyperlink r:id="rId932" ref="J934"/>
    <hyperlink r:id="rId933" ref="J935"/>
    <hyperlink r:id="rId934" ref="J936"/>
    <hyperlink r:id="rId935" ref="J937"/>
    <hyperlink r:id="rId936" ref="J938"/>
    <hyperlink r:id="rId937" ref="J939"/>
    <hyperlink r:id="rId938" ref="J940"/>
    <hyperlink r:id="rId939" ref="J941"/>
    <hyperlink r:id="rId940" ref="J942"/>
    <hyperlink r:id="rId941" ref="J943"/>
    <hyperlink r:id="rId942" ref="J944"/>
    <hyperlink r:id="rId943" ref="J945"/>
    <hyperlink r:id="rId944" ref="J946"/>
    <hyperlink r:id="rId945" ref="J947"/>
    <hyperlink r:id="rId946" ref="J948"/>
    <hyperlink r:id="rId947" ref="J949"/>
    <hyperlink r:id="rId948" ref="J950"/>
    <hyperlink r:id="rId949" ref="J951"/>
    <hyperlink r:id="rId950" ref="J952"/>
    <hyperlink r:id="rId951" ref="J953"/>
    <hyperlink r:id="rId952" ref="J954"/>
    <hyperlink r:id="rId953" ref="J955"/>
    <hyperlink r:id="rId954" ref="J956"/>
    <hyperlink r:id="rId955" ref="J957"/>
    <hyperlink r:id="rId956" ref="J958"/>
    <hyperlink r:id="rId957" ref="J959"/>
    <hyperlink r:id="rId958" ref="J960"/>
    <hyperlink r:id="rId959" ref="J961"/>
    <hyperlink r:id="rId960" ref="J962"/>
    <hyperlink r:id="rId961" ref="J963"/>
    <hyperlink r:id="rId962" ref="J964"/>
    <hyperlink r:id="rId963" ref="J965"/>
    <hyperlink r:id="rId964" ref="J966"/>
    <hyperlink r:id="rId965" ref="J967"/>
    <hyperlink r:id="rId966" ref="J968"/>
    <hyperlink r:id="rId967" ref="J969"/>
    <hyperlink r:id="rId968" ref="J970"/>
    <hyperlink r:id="rId969" ref="J971"/>
    <hyperlink r:id="rId970" ref="J972"/>
    <hyperlink r:id="rId971" ref="J973"/>
    <hyperlink r:id="rId972" ref="J974"/>
    <hyperlink r:id="rId973" ref="J975"/>
    <hyperlink r:id="rId974" ref="J976"/>
    <hyperlink r:id="rId975" ref="J977"/>
    <hyperlink r:id="rId976" ref="J978"/>
    <hyperlink r:id="rId977" ref="J979"/>
    <hyperlink r:id="rId978" ref="J980"/>
    <hyperlink r:id="rId979" ref="J981"/>
    <hyperlink r:id="rId980" ref="J982"/>
    <hyperlink r:id="rId981" ref="J983"/>
    <hyperlink r:id="rId982" ref="J984"/>
    <hyperlink r:id="rId983" ref="J985"/>
    <hyperlink r:id="rId984" ref="J986"/>
    <hyperlink r:id="rId985" ref="J987"/>
    <hyperlink r:id="rId986" ref="J988"/>
    <hyperlink r:id="rId987" ref="J989"/>
    <hyperlink r:id="rId988" ref="J990"/>
    <hyperlink r:id="rId989" ref="J991"/>
    <hyperlink r:id="rId990" ref="J992"/>
    <hyperlink r:id="rId991" ref="J993"/>
    <hyperlink r:id="rId992" ref="J994"/>
    <hyperlink r:id="rId993" ref="J995"/>
    <hyperlink r:id="rId994" ref="J996"/>
    <hyperlink r:id="rId995" ref="J997"/>
    <hyperlink r:id="rId996" ref="J998"/>
    <hyperlink r:id="rId997" ref="J999"/>
    <hyperlink r:id="rId998" ref="J1000"/>
    <hyperlink r:id="rId999" ref="J1001"/>
    <hyperlink r:id="rId1000" ref="J1002"/>
    <hyperlink r:id="rId1001" ref="J1003"/>
    <hyperlink r:id="rId1002" ref="J1004"/>
    <hyperlink r:id="rId1003" ref="J1005"/>
    <hyperlink r:id="rId1004" ref="J1006"/>
    <hyperlink r:id="rId1005" ref="J1007"/>
    <hyperlink r:id="rId1006" ref="J1008"/>
    <hyperlink r:id="rId1007" ref="J1009"/>
    <hyperlink r:id="rId1008" ref="J1010"/>
    <hyperlink r:id="rId1009" ref="J1011"/>
    <hyperlink r:id="rId1010" ref="J1012"/>
    <hyperlink r:id="rId1011" ref="J1013"/>
    <hyperlink r:id="rId1012" ref="J1014"/>
    <hyperlink r:id="rId1013" ref="J1015"/>
    <hyperlink r:id="rId1014" ref="J1016"/>
    <hyperlink r:id="rId1015" ref="J1017"/>
    <hyperlink r:id="rId1016" ref="J1018"/>
    <hyperlink r:id="rId1017" ref="J1019"/>
    <hyperlink r:id="rId1018" ref="J1020"/>
    <hyperlink r:id="rId1019" ref="J1021"/>
    <hyperlink r:id="rId1020" ref="J1022"/>
    <hyperlink r:id="rId1021" ref="J1023"/>
    <hyperlink r:id="rId1022" ref="J1024"/>
    <hyperlink r:id="rId1023" ref="J1025"/>
    <hyperlink r:id="rId1024" ref="J1026"/>
    <hyperlink r:id="rId1025" ref="J1027"/>
    <hyperlink r:id="rId1026" ref="J1028"/>
    <hyperlink r:id="rId1027" ref="J1029"/>
    <hyperlink r:id="rId1028" ref="J1030"/>
    <hyperlink r:id="rId1029" ref="J1031"/>
    <hyperlink r:id="rId1030" ref="J1032"/>
    <hyperlink r:id="rId1031" ref="J1033"/>
    <hyperlink r:id="rId1032" ref="J1034"/>
    <hyperlink r:id="rId1033" ref="J1035"/>
    <hyperlink r:id="rId1034" ref="J1036"/>
    <hyperlink r:id="rId1035" ref="J1037"/>
    <hyperlink r:id="rId1036" ref="J1038"/>
    <hyperlink r:id="rId1037" ref="J1039"/>
    <hyperlink r:id="rId1038" ref="J1040"/>
    <hyperlink r:id="rId1039" ref="J1041"/>
    <hyperlink r:id="rId1040" ref="J1042"/>
    <hyperlink r:id="rId1041" ref="J1043"/>
    <hyperlink r:id="rId1042" ref="J1044"/>
    <hyperlink r:id="rId1043" ref="J1045"/>
    <hyperlink r:id="rId1044" ref="J1046"/>
    <hyperlink r:id="rId1045" ref="J1047"/>
    <hyperlink r:id="rId1046" ref="J1048"/>
    <hyperlink r:id="rId1047" ref="J1049"/>
    <hyperlink r:id="rId1048" ref="J1050"/>
    <hyperlink r:id="rId1049" ref="J1051"/>
    <hyperlink r:id="rId1050" ref="J1052"/>
    <hyperlink r:id="rId1051" ref="J1053"/>
    <hyperlink r:id="rId1052" ref="J1054"/>
    <hyperlink r:id="rId1053" ref="J1055"/>
    <hyperlink r:id="rId1054" ref="J1056"/>
    <hyperlink r:id="rId1055" ref="J1057"/>
    <hyperlink r:id="rId1056" ref="J1058"/>
    <hyperlink r:id="rId1057" ref="J1059"/>
    <hyperlink r:id="rId1058" ref="J1060"/>
    <hyperlink r:id="rId1059" ref="J1061"/>
    <hyperlink r:id="rId1060" ref="J1062"/>
    <hyperlink r:id="rId1061" ref="J1063"/>
    <hyperlink r:id="rId1062" ref="J1064"/>
    <hyperlink r:id="rId1063" ref="J1065"/>
    <hyperlink r:id="rId1064" ref="J1066"/>
    <hyperlink r:id="rId1065" ref="J1067"/>
    <hyperlink r:id="rId1066" ref="J1068"/>
    <hyperlink r:id="rId1067" ref="J1069"/>
    <hyperlink r:id="rId1068" ref="J1070"/>
    <hyperlink r:id="rId1069" ref="J1071"/>
    <hyperlink r:id="rId1070" ref="J1072"/>
    <hyperlink r:id="rId1071" ref="J1073"/>
    <hyperlink r:id="rId1072" ref="J1074"/>
    <hyperlink r:id="rId1073" ref="J1075"/>
    <hyperlink r:id="rId1074" ref="J1076"/>
    <hyperlink r:id="rId1075" ref="J1077"/>
    <hyperlink r:id="rId1076" ref="J1078"/>
    <hyperlink r:id="rId1077" ref="J1079"/>
    <hyperlink r:id="rId1078" ref="J1080"/>
    <hyperlink r:id="rId1079" ref="J1081"/>
    <hyperlink r:id="rId1080" ref="J1082"/>
    <hyperlink r:id="rId1081" ref="J1083"/>
    <hyperlink r:id="rId1082" ref="J1084"/>
    <hyperlink r:id="rId1083" ref="J1085"/>
    <hyperlink r:id="rId1084" ref="J1086"/>
    <hyperlink r:id="rId1085" ref="J1087"/>
    <hyperlink r:id="rId1086" ref="J1088"/>
    <hyperlink r:id="rId1087" ref="J1089"/>
    <hyperlink r:id="rId1088" ref="J1090"/>
    <hyperlink r:id="rId1089" ref="J1091"/>
    <hyperlink r:id="rId1090" ref="J1092"/>
    <hyperlink r:id="rId1091" ref="J1093"/>
    <hyperlink r:id="rId1092" ref="J1094"/>
    <hyperlink r:id="rId1093" ref="J1095"/>
    <hyperlink r:id="rId1094" ref="J1096"/>
    <hyperlink r:id="rId1095" ref="J1097"/>
    <hyperlink r:id="rId1096" ref="J1098"/>
    <hyperlink r:id="rId1097" ref="J1099"/>
    <hyperlink r:id="rId1098" ref="J1100"/>
    <hyperlink r:id="rId1099" ref="J1101"/>
    <hyperlink r:id="rId1100" ref="J1102"/>
    <hyperlink r:id="rId1101" ref="J1103"/>
    <hyperlink r:id="rId1102" ref="J1104"/>
    <hyperlink r:id="rId1103" ref="J1105"/>
    <hyperlink r:id="rId1104" ref="J1106"/>
    <hyperlink r:id="rId1105" ref="J1107"/>
    <hyperlink r:id="rId1106" ref="J1108"/>
    <hyperlink r:id="rId1107" ref="J1109"/>
    <hyperlink r:id="rId1108" ref="J1110"/>
    <hyperlink r:id="rId1109" ref="J1111"/>
    <hyperlink r:id="rId1110" ref="J1112"/>
    <hyperlink r:id="rId1111" ref="J1113"/>
    <hyperlink r:id="rId1112" ref="J1114"/>
    <hyperlink r:id="rId1113" ref="J1115"/>
    <hyperlink r:id="rId1114" ref="J1116"/>
    <hyperlink r:id="rId1115" ref="J1117"/>
    <hyperlink r:id="rId1116" ref="J1118"/>
    <hyperlink r:id="rId1117" ref="J1119"/>
    <hyperlink r:id="rId1118" ref="J1120"/>
    <hyperlink r:id="rId1119" ref="J1121"/>
    <hyperlink r:id="rId1120" ref="J1122"/>
    <hyperlink r:id="rId1121" ref="J1123"/>
    <hyperlink r:id="rId1122" ref="J1124"/>
    <hyperlink r:id="rId1123" ref="J1125"/>
    <hyperlink r:id="rId1124" ref="J1126"/>
    <hyperlink r:id="rId1125" ref="J1127"/>
    <hyperlink r:id="rId1126" ref="J1128"/>
    <hyperlink r:id="rId1127" ref="J1129"/>
    <hyperlink r:id="rId1128" ref="J1130"/>
    <hyperlink r:id="rId1129" ref="J1131"/>
    <hyperlink r:id="rId1130" ref="J1132"/>
    <hyperlink r:id="rId1131" ref="J1133"/>
    <hyperlink r:id="rId1132" ref="J1134"/>
    <hyperlink r:id="rId1133" ref="J1135"/>
    <hyperlink r:id="rId1134" ref="J1136"/>
    <hyperlink r:id="rId1135" ref="J1137"/>
    <hyperlink r:id="rId1136" ref="J1138"/>
    <hyperlink r:id="rId1137" ref="J1139"/>
    <hyperlink r:id="rId1138" ref="J1140"/>
    <hyperlink r:id="rId1139" ref="J1141"/>
    <hyperlink r:id="rId1140" ref="J1142"/>
    <hyperlink r:id="rId1141" ref="J1143"/>
    <hyperlink r:id="rId1142" ref="J1144"/>
    <hyperlink r:id="rId1143" ref="J1145"/>
    <hyperlink r:id="rId1144" ref="J1146"/>
    <hyperlink r:id="rId1145" ref="J1147"/>
    <hyperlink r:id="rId1146" ref="J1148"/>
    <hyperlink r:id="rId1147" ref="J1149"/>
    <hyperlink r:id="rId1148" ref="J1150"/>
    <hyperlink r:id="rId1149" ref="J1151"/>
    <hyperlink r:id="rId1150" ref="J1152"/>
    <hyperlink r:id="rId1151" ref="J1153"/>
    <hyperlink r:id="rId1152" ref="J1154"/>
    <hyperlink r:id="rId1153" ref="J1155"/>
    <hyperlink r:id="rId1154" ref="J1156"/>
    <hyperlink r:id="rId1155" ref="J1157"/>
    <hyperlink r:id="rId1156" ref="J1158"/>
    <hyperlink r:id="rId1157" ref="J1159"/>
    <hyperlink r:id="rId1158" ref="J1160"/>
    <hyperlink r:id="rId1159" ref="J1161"/>
    <hyperlink r:id="rId1160" ref="J1162"/>
    <hyperlink r:id="rId1161" ref="J1163"/>
    <hyperlink r:id="rId1162" ref="J1164"/>
    <hyperlink r:id="rId1163" ref="J1165"/>
    <hyperlink r:id="rId1164" ref="J1166"/>
    <hyperlink r:id="rId1165" ref="J1167"/>
    <hyperlink r:id="rId1166" ref="J1168"/>
    <hyperlink r:id="rId1167" ref="J1169"/>
    <hyperlink r:id="rId1168" ref="J1170"/>
    <hyperlink r:id="rId1169" ref="J1171"/>
    <hyperlink r:id="rId1170" ref="J1172"/>
    <hyperlink r:id="rId1171" ref="J1173"/>
    <hyperlink r:id="rId1172" ref="J1174"/>
    <hyperlink r:id="rId1173" ref="J1175"/>
    <hyperlink r:id="rId1174" ref="J1176"/>
    <hyperlink r:id="rId1175" ref="J1177"/>
    <hyperlink r:id="rId1176" ref="J1178"/>
    <hyperlink r:id="rId1177" ref="J1179"/>
    <hyperlink r:id="rId1178" ref="J1180"/>
    <hyperlink r:id="rId1179" ref="J1181"/>
    <hyperlink r:id="rId1180" ref="J1182"/>
    <hyperlink r:id="rId1181" ref="J1183"/>
    <hyperlink r:id="rId1182" ref="J1184"/>
    <hyperlink r:id="rId1183" ref="J1185"/>
    <hyperlink r:id="rId1184" ref="J1186"/>
    <hyperlink r:id="rId1185" ref="J1187"/>
    <hyperlink r:id="rId1186" ref="J1188"/>
    <hyperlink r:id="rId1187" ref="J1189"/>
    <hyperlink r:id="rId1188" ref="J1190"/>
    <hyperlink r:id="rId1189" ref="J1191"/>
    <hyperlink r:id="rId1190" ref="J1192"/>
    <hyperlink r:id="rId1191" ref="J1193"/>
    <hyperlink r:id="rId1192" ref="J1194"/>
    <hyperlink r:id="rId1193" ref="J1195"/>
    <hyperlink r:id="rId1194" ref="J1196"/>
    <hyperlink r:id="rId1195" ref="J1197"/>
    <hyperlink r:id="rId1196" ref="J1198"/>
    <hyperlink r:id="rId1197" ref="J1199"/>
    <hyperlink r:id="rId1198" ref="J1200"/>
    <hyperlink r:id="rId1199" ref="J1201"/>
    <hyperlink r:id="rId1200" ref="J1202"/>
    <hyperlink r:id="rId1201" ref="J1203"/>
    <hyperlink r:id="rId1202" ref="J1204"/>
    <hyperlink r:id="rId1203" ref="J1205"/>
    <hyperlink r:id="rId1204" ref="J1206"/>
    <hyperlink r:id="rId1205" ref="J1207"/>
    <hyperlink r:id="rId1206" ref="J1208"/>
    <hyperlink r:id="rId1207" ref="J1209"/>
    <hyperlink r:id="rId1208" ref="J1210"/>
    <hyperlink r:id="rId1209" ref="J1211"/>
    <hyperlink r:id="rId1210" ref="J1212"/>
    <hyperlink r:id="rId1211" ref="J1213"/>
    <hyperlink r:id="rId1212" ref="J1214"/>
    <hyperlink r:id="rId1213" ref="J1215"/>
    <hyperlink r:id="rId1214" ref="J1216"/>
    <hyperlink r:id="rId1215" ref="J1217"/>
    <hyperlink r:id="rId1216" ref="J1218"/>
    <hyperlink r:id="rId1217" ref="J1219"/>
    <hyperlink r:id="rId1218" ref="J1220"/>
    <hyperlink r:id="rId1219" ref="J1221"/>
    <hyperlink r:id="rId1220" ref="J1222"/>
    <hyperlink r:id="rId1221" ref="J1223"/>
    <hyperlink r:id="rId1222" ref="J1224"/>
    <hyperlink r:id="rId1223" ref="J1225"/>
    <hyperlink r:id="rId1224" ref="J1226"/>
    <hyperlink r:id="rId1225" ref="J1227"/>
    <hyperlink r:id="rId1226" ref="J1228"/>
    <hyperlink r:id="rId1227" ref="J1229"/>
    <hyperlink r:id="rId1228" ref="J1230"/>
    <hyperlink r:id="rId1229" ref="J1231"/>
    <hyperlink r:id="rId1230" ref="J1232"/>
    <hyperlink r:id="rId1231" ref="J1233"/>
    <hyperlink r:id="rId1232" ref="J1234"/>
    <hyperlink r:id="rId1233" ref="J1235"/>
    <hyperlink r:id="rId1234" ref="J1236"/>
    <hyperlink r:id="rId1235" ref="J1237"/>
    <hyperlink r:id="rId1236" ref="J1238"/>
    <hyperlink r:id="rId1237" ref="J1239"/>
    <hyperlink r:id="rId1238" ref="J1240"/>
    <hyperlink r:id="rId1239" ref="J1241"/>
    <hyperlink r:id="rId1240" ref="J1242"/>
    <hyperlink r:id="rId1241" ref="J1243"/>
    <hyperlink r:id="rId1242" ref="J1244"/>
    <hyperlink r:id="rId1243" ref="J1245"/>
    <hyperlink r:id="rId1244" ref="J1246"/>
    <hyperlink r:id="rId1245" ref="J1247"/>
    <hyperlink r:id="rId1246" ref="J1248"/>
    <hyperlink r:id="rId1247" ref="J1249"/>
    <hyperlink r:id="rId1248" ref="J1250"/>
    <hyperlink r:id="rId1249" ref="J1251"/>
    <hyperlink r:id="rId1250" ref="J1252"/>
    <hyperlink r:id="rId1251" ref="J1253"/>
    <hyperlink r:id="rId1252" ref="J1254"/>
    <hyperlink r:id="rId1253" ref="J1255"/>
    <hyperlink r:id="rId1254" ref="J1256"/>
    <hyperlink r:id="rId1255" ref="J1257"/>
    <hyperlink r:id="rId1256" ref="J1258"/>
    <hyperlink r:id="rId1257" ref="J1259"/>
    <hyperlink r:id="rId1258" ref="J1260"/>
    <hyperlink r:id="rId1259" ref="J1261"/>
    <hyperlink r:id="rId1260" ref="J1262"/>
    <hyperlink r:id="rId1261" ref="J1263"/>
    <hyperlink r:id="rId1262" ref="J1264"/>
    <hyperlink r:id="rId1263" ref="J1265"/>
    <hyperlink r:id="rId1264" ref="J1266"/>
    <hyperlink r:id="rId1265" ref="J1267"/>
    <hyperlink r:id="rId1266" ref="J1268"/>
    <hyperlink r:id="rId1267" ref="J1269"/>
    <hyperlink r:id="rId1268" ref="J1270"/>
    <hyperlink r:id="rId1269" ref="J1271"/>
    <hyperlink r:id="rId1270" ref="J1272"/>
    <hyperlink r:id="rId1271" ref="J1273"/>
    <hyperlink r:id="rId1272" ref="J1274"/>
    <hyperlink r:id="rId1273" ref="J1275"/>
    <hyperlink r:id="rId1274" ref="J1276"/>
    <hyperlink r:id="rId1275" ref="J1277"/>
    <hyperlink r:id="rId1276" ref="J1278"/>
    <hyperlink r:id="rId1277" ref="J1279"/>
    <hyperlink r:id="rId1278" ref="J1280"/>
    <hyperlink r:id="rId1279" ref="J1281"/>
    <hyperlink r:id="rId1280" ref="J1282"/>
    <hyperlink r:id="rId1281" ref="J1283"/>
    <hyperlink r:id="rId1282" ref="J1284"/>
    <hyperlink r:id="rId1283" ref="J1285"/>
    <hyperlink r:id="rId1284" ref="J1286"/>
    <hyperlink r:id="rId1285" ref="J1287"/>
    <hyperlink r:id="rId1286" ref="J1288"/>
    <hyperlink r:id="rId1287" ref="J1289"/>
    <hyperlink r:id="rId1288" ref="J1290"/>
    <hyperlink r:id="rId1289" ref="J1291"/>
    <hyperlink r:id="rId1290" ref="J1292"/>
    <hyperlink r:id="rId1291" ref="J1293"/>
    <hyperlink r:id="rId1292" ref="J1294"/>
    <hyperlink r:id="rId1293" ref="J1295"/>
    <hyperlink r:id="rId1294" ref="J1296"/>
    <hyperlink r:id="rId1295" ref="J1297"/>
    <hyperlink r:id="rId1296" ref="J1298"/>
    <hyperlink r:id="rId1297" ref="J1299"/>
    <hyperlink r:id="rId1298" ref="J1300"/>
    <hyperlink r:id="rId1299" ref="J1301"/>
    <hyperlink r:id="rId1300" ref="J1302"/>
    <hyperlink r:id="rId1301" ref="J1303"/>
    <hyperlink r:id="rId1302" ref="J1304"/>
    <hyperlink r:id="rId1303" ref="J1305"/>
    <hyperlink r:id="rId1304" ref="J1306"/>
    <hyperlink r:id="rId1305" ref="J1307"/>
    <hyperlink r:id="rId1306" ref="J1308"/>
    <hyperlink r:id="rId1307" ref="J1309"/>
    <hyperlink r:id="rId1308" ref="J1310"/>
    <hyperlink r:id="rId1309" ref="J1311"/>
    <hyperlink r:id="rId1310" ref="J1312"/>
    <hyperlink r:id="rId1311" ref="J1313"/>
    <hyperlink r:id="rId1312" ref="J1314"/>
    <hyperlink r:id="rId1313" ref="J1315"/>
    <hyperlink r:id="rId1314" ref="J1316"/>
    <hyperlink r:id="rId1315" ref="J1317"/>
    <hyperlink r:id="rId1316" ref="J1318"/>
    <hyperlink r:id="rId1317" ref="J1319"/>
    <hyperlink r:id="rId1318" ref="J1320"/>
    <hyperlink r:id="rId1319" ref="J1321"/>
    <hyperlink r:id="rId1320" ref="J1322"/>
    <hyperlink r:id="rId1321" ref="J1323"/>
    <hyperlink r:id="rId1322" ref="J1324"/>
    <hyperlink r:id="rId1323" ref="J1325"/>
    <hyperlink r:id="rId1324" ref="J1326"/>
    <hyperlink r:id="rId1325" ref="J1327"/>
    <hyperlink r:id="rId1326" ref="J1328"/>
    <hyperlink r:id="rId1327" ref="J1329"/>
    <hyperlink r:id="rId1328" ref="J1330"/>
    <hyperlink r:id="rId1329" ref="J1331"/>
    <hyperlink r:id="rId1330" ref="J1332"/>
    <hyperlink r:id="rId1331" ref="J1333"/>
    <hyperlink r:id="rId1332" ref="J1334"/>
    <hyperlink r:id="rId1333" ref="J1335"/>
    <hyperlink r:id="rId1334" ref="J1336"/>
    <hyperlink r:id="rId1335" ref="J1337"/>
    <hyperlink r:id="rId1336" ref="J1338"/>
    <hyperlink r:id="rId1337" ref="J1339"/>
    <hyperlink r:id="rId1338" ref="J1340"/>
    <hyperlink r:id="rId1339" ref="J1341"/>
    <hyperlink r:id="rId1340" ref="J1342"/>
    <hyperlink r:id="rId1341" ref="J1343"/>
    <hyperlink r:id="rId1342" ref="J1344"/>
    <hyperlink r:id="rId1343" ref="J1345"/>
    <hyperlink r:id="rId1344" ref="J1346"/>
    <hyperlink r:id="rId1345" ref="J1347"/>
    <hyperlink r:id="rId1346" ref="J1348"/>
    <hyperlink r:id="rId1347" ref="J1349"/>
    <hyperlink r:id="rId1348" ref="J1350"/>
    <hyperlink r:id="rId1349" ref="J1351"/>
    <hyperlink r:id="rId1350" ref="J1352"/>
    <hyperlink r:id="rId1351" ref="J1353"/>
    <hyperlink r:id="rId1352" ref="J1354"/>
    <hyperlink r:id="rId1353" ref="J1355"/>
    <hyperlink r:id="rId1354" ref="J1356"/>
    <hyperlink r:id="rId1355" ref="J1357"/>
    <hyperlink r:id="rId1356" ref="J1358"/>
    <hyperlink r:id="rId1357" ref="J1359"/>
    <hyperlink r:id="rId1358" ref="J1360"/>
    <hyperlink r:id="rId1359" ref="J1361"/>
    <hyperlink r:id="rId1360" ref="J1362"/>
    <hyperlink r:id="rId1361" ref="J1363"/>
    <hyperlink r:id="rId1362" ref="J1364"/>
    <hyperlink r:id="rId1363" ref="J1365"/>
    <hyperlink r:id="rId1364" ref="J1366"/>
    <hyperlink r:id="rId1365" ref="J1367"/>
    <hyperlink r:id="rId1366" ref="J1368"/>
    <hyperlink r:id="rId1367" ref="J1369"/>
    <hyperlink r:id="rId1368" ref="J1370"/>
    <hyperlink r:id="rId1369" ref="J1371"/>
    <hyperlink r:id="rId1370" ref="J1372"/>
    <hyperlink r:id="rId1371" ref="J1373"/>
    <hyperlink r:id="rId1372" ref="J1374"/>
    <hyperlink r:id="rId1373" ref="J1375"/>
    <hyperlink r:id="rId1374" ref="J1376"/>
    <hyperlink r:id="rId1375" ref="J1377"/>
    <hyperlink r:id="rId1376" ref="J1378"/>
    <hyperlink r:id="rId1377" ref="J1379"/>
    <hyperlink r:id="rId1378" ref="J1380"/>
    <hyperlink r:id="rId1379" ref="J1381"/>
    <hyperlink r:id="rId1380" ref="J1382"/>
    <hyperlink r:id="rId1381" ref="J1383"/>
    <hyperlink r:id="rId1382" ref="J1384"/>
    <hyperlink r:id="rId1383" ref="J1385"/>
    <hyperlink r:id="rId1384" ref="J1386"/>
    <hyperlink r:id="rId1385" ref="J1387"/>
    <hyperlink r:id="rId1386" ref="J1388"/>
    <hyperlink r:id="rId1387" ref="J1389"/>
    <hyperlink r:id="rId1388" ref="J1390"/>
    <hyperlink r:id="rId1389" ref="J1391"/>
    <hyperlink r:id="rId1390" ref="J1392"/>
    <hyperlink r:id="rId1391" ref="J1393"/>
    <hyperlink r:id="rId1392" ref="J1394"/>
    <hyperlink r:id="rId1393" ref="J1395"/>
    <hyperlink r:id="rId1394" ref="J1396"/>
    <hyperlink r:id="rId1395" ref="J1397"/>
    <hyperlink r:id="rId1396" ref="J1398"/>
    <hyperlink r:id="rId1397" ref="J1399"/>
    <hyperlink r:id="rId1398" ref="J1400"/>
    <hyperlink r:id="rId1399" ref="J1401"/>
    <hyperlink r:id="rId1400" ref="J1402"/>
    <hyperlink r:id="rId1401" ref="J1403"/>
    <hyperlink r:id="rId1402" ref="J1404"/>
    <hyperlink r:id="rId1403" ref="J1405"/>
    <hyperlink r:id="rId1404" ref="J1406"/>
    <hyperlink r:id="rId1405" ref="J1407"/>
    <hyperlink r:id="rId1406" ref="J1408"/>
    <hyperlink r:id="rId1407" ref="J1409"/>
    <hyperlink r:id="rId1408" ref="J1410"/>
    <hyperlink r:id="rId1409" ref="J1411"/>
    <hyperlink r:id="rId1410" ref="J1412"/>
    <hyperlink r:id="rId1411" ref="J1413"/>
    <hyperlink r:id="rId1412" ref="J1414"/>
    <hyperlink r:id="rId1413" ref="J1415"/>
    <hyperlink r:id="rId1414" ref="J1416"/>
    <hyperlink r:id="rId1415" ref="J1417"/>
    <hyperlink r:id="rId1416" ref="J1418"/>
    <hyperlink r:id="rId1417" ref="J1419"/>
    <hyperlink r:id="rId1418" ref="J1420"/>
    <hyperlink r:id="rId1419" ref="J1421"/>
    <hyperlink r:id="rId1420" ref="J1422"/>
    <hyperlink r:id="rId1421" ref="J1423"/>
    <hyperlink r:id="rId1422" ref="J1424"/>
    <hyperlink r:id="rId1423" ref="J1425"/>
    <hyperlink r:id="rId1424" ref="J1426"/>
    <hyperlink r:id="rId1425" ref="J1427"/>
    <hyperlink r:id="rId1426" ref="J1428"/>
    <hyperlink r:id="rId1427" ref="J1429"/>
    <hyperlink r:id="rId1428" ref="J1430"/>
    <hyperlink r:id="rId1429" ref="J1431"/>
    <hyperlink r:id="rId1430" ref="J1432"/>
    <hyperlink r:id="rId1431" ref="J1433"/>
    <hyperlink r:id="rId1432" ref="J1434"/>
    <hyperlink r:id="rId1433" ref="J1435"/>
    <hyperlink r:id="rId1434" ref="J1436"/>
    <hyperlink r:id="rId1435" ref="J1437"/>
    <hyperlink r:id="rId1436" ref="J1438"/>
    <hyperlink r:id="rId1437" ref="J1439"/>
    <hyperlink r:id="rId1438" ref="J1440"/>
    <hyperlink r:id="rId1439" ref="J1441"/>
    <hyperlink r:id="rId1440" ref="J1442"/>
    <hyperlink r:id="rId1441" ref="J1443"/>
    <hyperlink r:id="rId1442" ref="J1444"/>
    <hyperlink r:id="rId1443" ref="J1445"/>
    <hyperlink r:id="rId1444" ref="J1446"/>
    <hyperlink r:id="rId1445" ref="J1447"/>
    <hyperlink r:id="rId1446" ref="J1448"/>
    <hyperlink r:id="rId1447" ref="J1449"/>
    <hyperlink r:id="rId1448" ref="J1450"/>
    <hyperlink r:id="rId1449" ref="J1451"/>
    <hyperlink r:id="rId1450" ref="J1452"/>
    <hyperlink r:id="rId1451" ref="J1453"/>
    <hyperlink r:id="rId1452" ref="J1454"/>
    <hyperlink r:id="rId1453" ref="J1455"/>
    <hyperlink r:id="rId1454" ref="J1456"/>
    <hyperlink r:id="rId1455" ref="J1457"/>
    <hyperlink r:id="rId1456" ref="J1458"/>
    <hyperlink r:id="rId1457" ref="J1459"/>
    <hyperlink r:id="rId1458" ref="J1460"/>
    <hyperlink r:id="rId1459" ref="J1461"/>
    <hyperlink r:id="rId1460" ref="J1462"/>
    <hyperlink r:id="rId1461" ref="J1463"/>
    <hyperlink r:id="rId1462" ref="J1464"/>
    <hyperlink r:id="rId1463" ref="J1465"/>
    <hyperlink r:id="rId1464" ref="J1466"/>
    <hyperlink r:id="rId1465" ref="J1467"/>
    <hyperlink r:id="rId1466" ref="J1468"/>
    <hyperlink r:id="rId1467" ref="J1469"/>
    <hyperlink r:id="rId1468" ref="J1470"/>
    <hyperlink r:id="rId1469" ref="J1471"/>
    <hyperlink r:id="rId1470" ref="J1472"/>
    <hyperlink r:id="rId1471" ref="J1473"/>
    <hyperlink r:id="rId1472" ref="J1474"/>
    <hyperlink r:id="rId1473" ref="J1475"/>
    <hyperlink r:id="rId1474" ref="J1476"/>
    <hyperlink r:id="rId1475" ref="J1477"/>
    <hyperlink r:id="rId1476" ref="J1478"/>
    <hyperlink r:id="rId1477" ref="J1479"/>
    <hyperlink r:id="rId1478" ref="J1480"/>
    <hyperlink r:id="rId1479" ref="J1481"/>
    <hyperlink r:id="rId1480" ref="J1482"/>
    <hyperlink r:id="rId1481" ref="J1483"/>
    <hyperlink r:id="rId1482" ref="J1484"/>
    <hyperlink r:id="rId1483" ref="J1485"/>
    <hyperlink r:id="rId1484" ref="J1486"/>
    <hyperlink r:id="rId1485" ref="J1487"/>
    <hyperlink r:id="rId1486" ref="J1488"/>
    <hyperlink r:id="rId1487" ref="J1489"/>
    <hyperlink r:id="rId1488" ref="J1490"/>
    <hyperlink r:id="rId1489" ref="J1491"/>
    <hyperlink r:id="rId1490" ref="J1492"/>
    <hyperlink r:id="rId1491" ref="J1493"/>
    <hyperlink r:id="rId1492" ref="J1494"/>
    <hyperlink r:id="rId1493" ref="J1495"/>
    <hyperlink r:id="rId1494" ref="J1496"/>
    <hyperlink r:id="rId1495" ref="J1497"/>
    <hyperlink r:id="rId1496" ref="J1498"/>
    <hyperlink r:id="rId1497" ref="J1499"/>
    <hyperlink r:id="rId1498" ref="J1500"/>
    <hyperlink r:id="rId1499" ref="J1501"/>
    <hyperlink r:id="rId1500" ref="J1502"/>
    <hyperlink r:id="rId1501" ref="J1503"/>
    <hyperlink r:id="rId1502" ref="J1504"/>
    <hyperlink r:id="rId1503" ref="J1505"/>
    <hyperlink r:id="rId1504" ref="J1506"/>
    <hyperlink r:id="rId1505" ref="J1507"/>
    <hyperlink r:id="rId1506" ref="J1508"/>
    <hyperlink r:id="rId1507" ref="J1509"/>
    <hyperlink r:id="rId1508" ref="J1510"/>
    <hyperlink r:id="rId1509" ref="J1511"/>
    <hyperlink r:id="rId1510" ref="J1512"/>
    <hyperlink r:id="rId1511" ref="J1513"/>
    <hyperlink r:id="rId1512" ref="J1514"/>
    <hyperlink r:id="rId1513" ref="J1515"/>
    <hyperlink r:id="rId1514" ref="J1516"/>
    <hyperlink r:id="rId1515" ref="J1517"/>
    <hyperlink r:id="rId1516" ref="J1518"/>
    <hyperlink r:id="rId1517" ref="J1519"/>
    <hyperlink r:id="rId1518" ref="J1520"/>
    <hyperlink r:id="rId1519" ref="J1521"/>
    <hyperlink r:id="rId1520" ref="J1522"/>
    <hyperlink r:id="rId1521" ref="J1523"/>
    <hyperlink r:id="rId1522" ref="J1524"/>
    <hyperlink r:id="rId1523" ref="J1525"/>
    <hyperlink r:id="rId1524" ref="J1526"/>
    <hyperlink r:id="rId1525" ref="J1527"/>
    <hyperlink r:id="rId1526" ref="J1528"/>
    <hyperlink r:id="rId1527" ref="J1529"/>
    <hyperlink r:id="rId1528" ref="J1530"/>
    <hyperlink r:id="rId1529" ref="J1531"/>
    <hyperlink r:id="rId1530" ref="J1532"/>
    <hyperlink r:id="rId1531" ref="J1533"/>
    <hyperlink r:id="rId1532" ref="J1534"/>
    <hyperlink r:id="rId1533" ref="J1535"/>
    <hyperlink r:id="rId1534" ref="J1536"/>
    <hyperlink r:id="rId1535" ref="J1537"/>
    <hyperlink r:id="rId1536" ref="J1538"/>
    <hyperlink r:id="rId1537" ref="J1539"/>
    <hyperlink r:id="rId1538" ref="J1540"/>
    <hyperlink r:id="rId1539" ref="J1541"/>
    <hyperlink r:id="rId1540" ref="J1542"/>
    <hyperlink r:id="rId1541" ref="J1543"/>
    <hyperlink r:id="rId1542" ref="J1544"/>
    <hyperlink r:id="rId1543" ref="J1545"/>
    <hyperlink r:id="rId1544" ref="J1546"/>
    <hyperlink r:id="rId1545" ref="J1547"/>
    <hyperlink r:id="rId1546" ref="J1548"/>
    <hyperlink r:id="rId1547" ref="J1549"/>
    <hyperlink r:id="rId1548" ref="J1550"/>
    <hyperlink r:id="rId1549" ref="J1551"/>
    <hyperlink r:id="rId1550" ref="J1552"/>
    <hyperlink r:id="rId1551" ref="J1553"/>
    <hyperlink r:id="rId1552" ref="J1554"/>
    <hyperlink r:id="rId1553" ref="J1555"/>
    <hyperlink r:id="rId1554" ref="J1556"/>
    <hyperlink r:id="rId1555" ref="J1557"/>
    <hyperlink r:id="rId1556" ref="J1558"/>
    <hyperlink r:id="rId1557" ref="J1559"/>
    <hyperlink r:id="rId1558" ref="J1560"/>
    <hyperlink r:id="rId1559" ref="J1561"/>
    <hyperlink r:id="rId1560" ref="J1562"/>
    <hyperlink r:id="rId1561" ref="J1563"/>
    <hyperlink r:id="rId1562" ref="J1564"/>
    <hyperlink r:id="rId1563" ref="J1565"/>
    <hyperlink r:id="rId1564" ref="J1566"/>
    <hyperlink r:id="rId1565" ref="J1567"/>
    <hyperlink r:id="rId1566" ref="J1568"/>
    <hyperlink r:id="rId1567" ref="J1569"/>
    <hyperlink r:id="rId1568" ref="J1570"/>
    <hyperlink r:id="rId1569" ref="J1571"/>
    <hyperlink r:id="rId1570" ref="J1572"/>
    <hyperlink r:id="rId1571" ref="J1573"/>
    <hyperlink r:id="rId1572" ref="J1574"/>
    <hyperlink r:id="rId1573" ref="J1575"/>
    <hyperlink r:id="rId1574" ref="J1576"/>
    <hyperlink r:id="rId1575" ref="J1577"/>
    <hyperlink r:id="rId1576" ref="J1578"/>
    <hyperlink r:id="rId1577" ref="J1579"/>
    <hyperlink r:id="rId1578" ref="J1580"/>
    <hyperlink r:id="rId1579" ref="J1581"/>
    <hyperlink r:id="rId1580" ref="J1582"/>
    <hyperlink r:id="rId1581" ref="J1583"/>
    <hyperlink r:id="rId1582" ref="J1584"/>
    <hyperlink r:id="rId1583" ref="J1585"/>
    <hyperlink r:id="rId1584" ref="J1586"/>
    <hyperlink r:id="rId1585" ref="J1587"/>
    <hyperlink r:id="rId1586" ref="J1588"/>
    <hyperlink r:id="rId1587" ref="J1589"/>
    <hyperlink r:id="rId1588" ref="J1590"/>
    <hyperlink r:id="rId1589" ref="J1591"/>
    <hyperlink r:id="rId1590" ref="J1592"/>
    <hyperlink r:id="rId1591" ref="J1593"/>
    <hyperlink r:id="rId1592" ref="J1594"/>
    <hyperlink r:id="rId1593" ref="J1595"/>
    <hyperlink r:id="rId1594" ref="J1596"/>
    <hyperlink r:id="rId1595" ref="J1597"/>
    <hyperlink r:id="rId1596" ref="J1598"/>
    <hyperlink r:id="rId1597" ref="J1599"/>
    <hyperlink r:id="rId1598" ref="J1600"/>
    <hyperlink r:id="rId1599" ref="J1601"/>
    <hyperlink r:id="rId1600" ref="J1602"/>
    <hyperlink r:id="rId1601" ref="J1603"/>
    <hyperlink r:id="rId1602" ref="J1604"/>
    <hyperlink r:id="rId1603" ref="J1605"/>
    <hyperlink r:id="rId1604" ref="J1606"/>
    <hyperlink r:id="rId1605" ref="J1607"/>
    <hyperlink r:id="rId1606" ref="J1608"/>
    <hyperlink r:id="rId1607" ref="J1609"/>
    <hyperlink r:id="rId1608" ref="J1610"/>
    <hyperlink r:id="rId1609" ref="J1611"/>
    <hyperlink r:id="rId1610" ref="J1612"/>
    <hyperlink r:id="rId1611" ref="J1613"/>
    <hyperlink r:id="rId1612" ref="J1614"/>
    <hyperlink r:id="rId1613" ref="J1615"/>
    <hyperlink r:id="rId1614" ref="J1616"/>
    <hyperlink r:id="rId1615" ref="J1617"/>
    <hyperlink r:id="rId1616" ref="J1618"/>
    <hyperlink r:id="rId1617" ref="J1619"/>
    <hyperlink r:id="rId1618" ref="J1620"/>
    <hyperlink r:id="rId1619" ref="J1621"/>
    <hyperlink r:id="rId1620" ref="J1622"/>
    <hyperlink r:id="rId1621" ref="J1623"/>
    <hyperlink r:id="rId1622" ref="J1624"/>
    <hyperlink r:id="rId1623" ref="J1625"/>
    <hyperlink r:id="rId1624" ref="J1626"/>
    <hyperlink r:id="rId1625" ref="J1627"/>
    <hyperlink r:id="rId1626" ref="J1628"/>
    <hyperlink r:id="rId1627" ref="J1629"/>
    <hyperlink r:id="rId1628" ref="J1630"/>
    <hyperlink r:id="rId1629" ref="J1631"/>
    <hyperlink r:id="rId1630" ref="J1632"/>
    <hyperlink r:id="rId1631" ref="J1633"/>
    <hyperlink r:id="rId1632" ref="J1634"/>
    <hyperlink r:id="rId1633" ref="J1635"/>
    <hyperlink r:id="rId1634" ref="J1636"/>
    <hyperlink r:id="rId1635" ref="J1637"/>
    <hyperlink r:id="rId1636" ref="J1638"/>
    <hyperlink r:id="rId1637" ref="J1639"/>
    <hyperlink r:id="rId1638" ref="J1640"/>
    <hyperlink r:id="rId1639" ref="J1641"/>
    <hyperlink r:id="rId1640" ref="J1642"/>
    <hyperlink r:id="rId1641" ref="J1643"/>
    <hyperlink r:id="rId1642" ref="J1644"/>
    <hyperlink r:id="rId1643" ref="J1645"/>
    <hyperlink r:id="rId1644" ref="J1646"/>
    <hyperlink r:id="rId1645" ref="J1647"/>
    <hyperlink r:id="rId1646" ref="J1648"/>
    <hyperlink r:id="rId1647" ref="J1649"/>
    <hyperlink r:id="rId1648" ref="J1650"/>
    <hyperlink r:id="rId1649" ref="J1651"/>
    <hyperlink r:id="rId1650" ref="J1652"/>
    <hyperlink r:id="rId1651" ref="J1653"/>
    <hyperlink r:id="rId1652" ref="J1654"/>
    <hyperlink r:id="rId1653" ref="J1655"/>
    <hyperlink r:id="rId1654" ref="J1656"/>
    <hyperlink r:id="rId1655" ref="J1657"/>
    <hyperlink r:id="rId1656" ref="J1658"/>
    <hyperlink r:id="rId1657" ref="J1659"/>
    <hyperlink r:id="rId1658" ref="J1660"/>
    <hyperlink r:id="rId1659" ref="J1661"/>
    <hyperlink r:id="rId1660" ref="J1662"/>
    <hyperlink r:id="rId1661" ref="J1663"/>
    <hyperlink r:id="rId1662" ref="J1664"/>
    <hyperlink r:id="rId1663" ref="J1665"/>
    <hyperlink r:id="rId1664" ref="J1666"/>
    <hyperlink r:id="rId1665" ref="J1667"/>
    <hyperlink r:id="rId1666" ref="J1668"/>
    <hyperlink r:id="rId1667" ref="J1669"/>
    <hyperlink r:id="rId1668" ref="J1670"/>
    <hyperlink r:id="rId1669" ref="J1671"/>
    <hyperlink r:id="rId1670" ref="J1672"/>
    <hyperlink r:id="rId1671" ref="J1673"/>
    <hyperlink r:id="rId1672" ref="J1674"/>
    <hyperlink r:id="rId1673" ref="J1675"/>
    <hyperlink r:id="rId1674" ref="J1676"/>
    <hyperlink r:id="rId1675" ref="J1677"/>
    <hyperlink r:id="rId1676" ref="J1678"/>
    <hyperlink r:id="rId1677" ref="J1679"/>
    <hyperlink r:id="rId1678" ref="J1680"/>
    <hyperlink r:id="rId1679" ref="J1681"/>
    <hyperlink r:id="rId1680" ref="J1682"/>
    <hyperlink r:id="rId1681" ref="J1683"/>
    <hyperlink r:id="rId1682" ref="J1684"/>
    <hyperlink r:id="rId1683" ref="J1685"/>
    <hyperlink r:id="rId1684" ref="J1686"/>
    <hyperlink r:id="rId1685" ref="J1687"/>
    <hyperlink r:id="rId1686" ref="J1688"/>
    <hyperlink r:id="rId1687" ref="J1689"/>
    <hyperlink r:id="rId1688" ref="J1690"/>
    <hyperlink r:id="rId1689" ref="J1691"/>
    <hyperlink r:id="rId1690" ref="J1692"/>
    <hyperlink r:id="rId1691" ref="J1693"/>
    <hyperlink r:id="rId1692" ref="J1694"/>
    <hyperlink r:id="rId1693" ref="J1695"/>
    <hyperlink r:id="rId1694" ref="J1696"/>
    <hyperlink r:id="rId1695" ref="J1697"/>
    <hyperlink r:id="rId1696" ref="J1698"/>
    <hyperlink r:id="rId1697" ref="J1699"/>
    <hyperlink r:id="rId1698" ref="J1700"/>
    <hyperlink r:id="rId1699" ref="J1701"/>
    <hyperlink r:id="rId1700" ref="J1702"/>
    <hyperlink r:id="rId1701" ref="J1703"/>
    <hyperlink r:id="rId1702" ref="J1704"/>
    <hyperlink r:id="rId1703" ref="J1705"/>
    <hyperlink r:id="rId1704" ref="J1706"/>
    <hyperlink r:id="rId1705" ref="J1707"/>
    <hyperlink r:id="rId1706" ref="J1708"/>
    <hyperlink r:id="rId1707" ref="J1709"/>
    <hyperlink r:id="rId1708" ref="J1710"/>
    <hyperlink r:id="rId1709" ref="J1711"/>
    <hyperlink r:id="rId1710" ref="J1712"/>
    <hyperlink r:id="rId1711" ref="J1713"/>
    <hyperlink r:id="rId1712" ref="J1714"/>
    <hyperlink r:id="rId1713" ref="J1715"/>
    <hyperlink r:id="rId1714" ref="J1716"/>
    <hyperlink r:id="rId1715" ref="J1717"/>
    <hyperlink r:id="rId1716" ref="J1718"/>
    <hyperlink r:id="rId1717" ref="J1719"/>
    <hyperlink r:id="rId1718" ref="J1720"/>
    <hyperlink r:id="rId1719" ref="J1721"/>
    <hyperlink r:id="rId1720" ref="J1722"/>
    <hyperlink r:id="rId1721" ref="J1723"/>
    <hyperlink r:id="rId1722" ref="J1724"/>
    <hyperlink r:id="rId1723" ref="J1725"/>
    <hyperlink r:id="rId1724" ref="J1726"/>
    <hyperlink r:id="rId1725" ref="J1727"/>
    <hyperlink r:id="rId1726" ref="J1728"/>
    <hyperlink r:id="rId1727" ref="J1729"/>
    <hyperlink r:id="rId1728" ref="J1730"/>
    <hyperlink r:id="rId1729" ref="J1731"/>
    <hyperlink r:id="rId1730" ref="J1732"/>
    <hyperlink r:id="rId1731" ref="J1733"/>
    <hyperlink r:id="rId1732" ref="J1734"/>
    <hyperlink r:id="rId1733" ref="J1735"/>
    <hyperlink r:id="rId1734" ref="J1736"/>
    <hyperlink r:id="rId1735" ref="J1737"/>
    <hyperlink r:id="rId1736" ref="J1738"/>
    <hyperlink r:id="rId1737" ref="J1739"/>
    <hyperlink r:id="rId1738" ref="J1740"/>
    <hyperlink r:id="rId1739" ref="J1741"/>
    <hyperlink r:id="rId1740" ref="J1742"/>
    <hyperlink r:id="rId1741" ref="J1743"/>
    <hyperlink r:id="rId1742" ref="J1744"/>
    <hyperlink r:id="rId1743" ref="J1745"/>
    <hyperlink r:id="rId1744" ref="J1746"/>
    <hyperlink r:id="rId1745" ref="J1747"/>
    <hyperlink r:id="rId1746" ref="J1748"/>
    <hyperlink r:id="rId1747" ref="J1749"/>
    <hyperlink r:id="rId1748" ref="J1750"/>
    <hyperlink r:id="rId1749" ref="J1751"/>
    <hyperlink r:id="rId1750" ref="J1752"/>
    <hyperlink r:id="rId1751" ref="J1753"/>
    <hyperlink r:id="rId1752" ref="J1754"/>
    <hyperlink r:id="rId1753" ref="J1755"/>
    <hyperlink r:id="rId1754" ref="J1756"/>
    <hyperlink r:id="rId1755" ref="J1757"/>
    <hyperlink r:id="rId1756" ref="J1758"/>
    <hyperlink r:id="rId1757" ref="J1759"/>
    <hyperlink r:id="rId1758" ref="J1760"/>
    <hyperlink r:id="rId1759" ref="J1761"/>
    <hyperlink r:id="rId1760" ref="J1762"/>
    <hyperlink r:id="rId1761" ref="J1763"/>
    <hyperlink r:id="rId1762" ref="J1764"/>
    <hyperlink r:id="rId1763" ref="J1765"/>
    <hyperlink r:id="rId1764" ref="J1766"/>
    <hyperlink r:id="rId1765" ref="J1767"/>
    <hyperlink r:id="rId1766" ref="J1768"/>
    <hyperlink r:id="rId1767" ref="J1769"/>
    <hyperlink r:id="rId1768" ref="J1770"/>
    <hyperlink r:id="rId1769" ref="J1771"/>
    <hyperlink r:id="rId1770" ref="J1772"/>
    <hyperlink r:id="rId1771" ref="J1773"/>
    <hyperlink r:id="rId1772" ref="J1774"/>
    <hyperlink r:id="rId1773" ref="J1775"/>
    <hyperlink r:id="rId1774" ref="J1776"/>
    <hyperlink r:id="rId1775" ref="J1777"/>
    <hyperlink r:id="rId1776" ref="J1778"/>
    <hyperlink r:id="rId1777" ref="J1779"/>
    <hyperlink r:id="rId1778" ref="J1780"/>
    <hyperlink r:id="rId1779" ref="J1781"/>
    <hyperlink r:id="rId1780" ref="J1782"/>
    <hyperlink r:id="rId1781" ref="J1783"/>
    <hyperlink r:id="rId1782" ref="J1784"/>
    <hyperlink r:id="rId1783" ref="J1785"/>
    <hyperlink r:id="rId1784" ref="J1786"/>
    <hyperlink r:id="rId1785" ref="J1787"/>
    <hyperlink r:id="rId1786" ref="J1788"/>
    <hyperlink r:id="rId1787" ref="J1789"/>
    <hyperlink r:id="rId1788" ref="J1790"/>
    <hyperlink r:id="rId1789" ref="J1791"/>
    <hyperlink r:id="rId1790" ref="J1792"/>
    <hyperlink r:id="rId1791" ref="J1793"/>
    <hyperlink r:id="rId1792" ref="J1794"/>
    <hyperlink r:id="rId1793" ref="J1795"/>
    <hyperlink r:id="rId1794" ref="J1796"/>
    <hyperlink r:id="rId1795" ref="J1797"/>
    <hyperlink r:id="rId1796" ref="J1798"/>
    <hyperlink r:id="rId1797" ref="J1799"/>
    <hyperlink r:id="rId1798" ref="J1800"/>
    <hyperlink r:id="rId1799" ref="J1801"/>
    <hyperlink r:id="rId1800" ref="J1802"/>
    <hyperlink r:id="rId1801" ref="J1803"/>
    <hyperlink r:id="rId1802" ref="J1804"/>
    <hyperlink r:id="rId1803" ref="J1805"/>
    <hyperlink r:id="rId1804" ref="J1806"/>
    <hyperlink r:id="rId1805" ref="J1807"/>
    <hyperlink r:id="rId1806" ref="J1808"/>
    <hyperlink r:id="rId1807" ref="J1809"/>
    <hyperlink r:id="rId1808" ref="J1810"/>
    <hyperlink r:id="rId1809" ref="J1811"/>
    <hyperlink r:id="rId1810" ref="J1812"/>
    <hyperlink r:id="rId1811" ref="J1813"/>
    <hyperlink r:id="rId1812" ref="J1814"/>
    <hyperlink r:id="rId1813" ref="J1815"/>
    <hyperlink r:id="rId1814" ref="J1816"/>
    <hyperlink r:id="rId1815" ref="J1817"/>
    <hyperlink r:id="rId1816" ref="J1818"/>
    <hyperlink r:id="rId1817" ref="J1819"/>
    <hyperlink r:id="rId1818" ref="J1820"/>
    <hyperlink r:id="rId1819" ref="J1821"/>
    <hyperlink r:id="rId1820" ref="J1822"/>
    <hyperlink r:id="rId1821" ref="J1823"/>
    <hyperlink r:id="rId1822" ref="J1824"/>
    <hyperlink r:id="rId1823" ref="J1825"/>
    <hyperlink r:id="rId1824" ref="J1826"/>
    <hyperlink r:id="rId1825" ref="J1827"/>
    <hyperlink r:id="rId1826" ref="J1828"/>
    <hyperlink r:id="rId1827" ref="J1829"/>
    <hyperlink r:id="rId1828" ref="J1830"/>
    <hyperlink r:id="rId1829" ref="J1831"/>
    <hyperlink r:id="rId1830" ref="J1832"/>
    <hyperlink r:id="rId1831" ref="J1833"/>
    <hyperlink r:id="rId1832" ref="J1834"/>
    <hyperlink r:id="rId1833" ref="J1835"/>
    <hyperlink r:id="rId1834" ref="J1836"/>
    <hyperlink r:id="rId1835" ref="J1837"/>
    <hyperlink r:id="rId1836" ref="J1838"/>
    <hyperlink r:id="rId1837" ref="J1839"/>
    <hyperlink r:id="rId1838" ref="J1840"/>
    <hyperlink r:id="rId1839" ref="J1841"/>
    <hyperlink r:id="rId1840" ref="J1842"/>
    <hyperlink r:id="rId1841" ref="J1843"/>
    <hyperlink r:id="rId1842" ref="J1844"/>
    <hyperlink r:id="rId1843" ref="J1845"/>
    <hyperlink r:id="rId1844" ref="J1846"/>
    <hyperlink r:id="rId1845" ref="J1847"/>
    <hyperlink r:id="rId1846" ref="J1848"/>
    <hyperlink r:id="rId1847" ref="J1849"/>
    <hyperlink r:id="rId1848" ref="J1850"/>
    <hyperlink r:id="rId1849" ref="J1851"/>
    <hyperlink r:id="rId1850" ref="J1852"/>
    <hyperlink r:id="rId1851" ref="J1853"/>
    <hyperlink r:id="rId1852" ref="J1854"/>
    <hyperlink r:id="rId1853" ref="J1855"/>
    <hyperlink r:id="rId1854" ref="J1856"/>
    <hyperlink r:id="rId1855" ref="J1857"/>
    <hyperlink r:id="rId1856" ref="J1858"/>
    <hyperlink r:id="rId1857" ref="J1859"/>
    <hyperlink r:id="rId1858" ref="J1860"/>
    <hyperlink r:id="rId1859" ref="J1861"/>
    <hyperlink r:id="rId1860" ref="J1862"/>
    <hyperlink r:id="rId1861" ref="J1863"/>
    <hyperlink r:id="rId1862" ref="J1864"/>
    <hyperlink r:id="rId1863" ref="J1865"/>
    <hyperlink r:id="rId1864" ref="J1866"/>
    <hyperlink r:id="rId1865" ref="J1867"/>
    <hyperlink r:id="rId1866" ref="J1868"/>
    <hyperlink r:id="rId1867" ref="J1869"/>
    <hyperlink r:id="rId1868" ref="J1870"/>
    <hyperlink r:id="rId1869" ref="J1871"/>
    <hyperlink r:id="rId1870" ref="J1872"/>
    <hyperlink r:id="rId1871" ref="J1873"/>
    <hyperlink r:id="rId1872" ref="J1874"/>
    <hyperlink r:id="rId1873" ref="J1875"/>
    <hyperlink r:id="rId1874" ref="J1876"/>
    <hyperlink r:id="rId1875" ref="J1877"/>
    <hyperlink r:id="rId1876" ref="J1878"/>
    <hyperlink r:id="rId1877" ref="J1879"/>
    <hyperlink r:id="rId1878" ref="J1880"/>
    <hyperlink r:id="rId1879" ref="J1881"/>
    <hyperlink r:id="rId1880" ref="J1882"/>
    <hyperlink r:id="rId1881" ref="J1883"/>
    <hyperlink r:id="rId1882" ref="J1884"/>
    <hyperlink r:id="rId1883" ref="J1885"/>
    <hyperlink r:id="rId1884" ref="J1886"/>
    <hyperlink r:id="rId1885" ref="J1887"/>
    <hyperlink r:id="rId1886" ref="J1888"/>
    <hyperlink r:id="rId1887" ref="J1889"/>
    <hyperlink r:id="rId1888" ref="J1890"/>
    <hyperlink r:id="rId1889" ref="J1891"/>
    <hyperlink r:id="rId1890" ref="J1892"/>
    <hyperlink r:id="rId1891" ref="J1893"/>
    <hyperlink r:id="rId1892" ref="J1894"/>
    <hyperlink r:id="rId1893" ref="J1895"/>
    <hyperlink r:id="rId1894" ref="J1896"/>
    <hyperlink r:id="rId1895" ref="J1897"/>
    <hyperlink r:id="rId1896" ref="J1898"/>
    <hyperlink r:id="rId1897" ref="J1899"/>
    <hyperlink r:id="rId1898" ref="J1900"/>
    <hyperlink r:id="rId1899" ref="J1901"/>
    <hyperlink r:id="rId1900" ref="J1902"/>
    <hyperlink r:id="rId1901" ref="J1903"/>
    <hyperlink r:id="rId1902" ref="J1904"/>
    <hyperlink r:id="rId1903" ref="J1905"/>
    <hyperlink r:id="rId1904" ref="J1906"/>
    <hyperlink r:id="rId1905" ref="J1907"/>
    <hyperlink r:id="rId1906" ref="J1908"/>
    <hyperlink r:id="rId1907" ref="J1909"/>
    <hyperlink r:id="rId1908" ref="J1910"/>
    <hyperlink r:id="rId1909" ref="J1911"/>
    <hyperlink r:id="rId1910" ref="J1912"/>
    <hyperlink r:id="rId1911" ref="J1913"/>
    <hyperlink r:id="rId1912" ref="J1914"/>
    <hyperlink r:id="rId1913" ref="J1915"/>
    <hyperlink r:id="rId1914" ref="J1916"/>
    <hyperlink r:id="rId1915" ref="J1917"/>
    <hyperlink r:id="rId1916" ref="J1918"/>
    <hyperlink r:id="rId1917" ref="J1919"/>
    <hyperlink r:id="rId1918" ref="J1920"/>
    <hyperlink r:id="rId1919" ref="J1921"/>
    <hyperlink r:id="rId1920" ref="J1922"/>
    <hyperlink r:id="rId1921" ref="J1923"/>
    <hyperlink r:id="rId1922" ref="J1924"/>
    <hyperlink r:id="rId1923" ref="J1925"/>
    <hyperlink r:id="rId1924" ref="J1926"/>
    <hyperlink r:id="rId1925" ref="J1927"/>
    <hyperlink r:id="rId1926" ref="J1928"/>
    <hyperlink r:id="rId1927" ref="J1929"/>
    <hyperlink r:id="rId1928" ref="J1930"/>
    <hyperlink r:id="rId1929" ref="J1931"/>
    <hyperlink r:id="rId1930" ref="J1932"/>
    <hyperlink r:id="rId1931" ref="J1933"/>
    <hyperlink r:id="rId1932" ref="J1934"/>
    <hyperlink r:id="rId1933" ref="J1935"/>
    <hyperlink r:id="rId1934" ref="J1936"/>
    <hyperlink r:id="rId1935" ref="J1937"/>
    <hyperlink r:id="rId1936" ref="J1938"/>
    <hyperlink r:id="rId1937" ref="J1939"/>
    <hyperlink r:id="rId1938" ref="J1940"/>
    <hyperlink r:id="rId1939" ref="J1941"/>
    <hyperlink r:id="rId1940" ref="J1942"/>
    <hyperlink r:id="rId1941" ref="J1943"/>
    <hyperlink r:id="rId1942" ref="J1944"/>
    <hyperlink r:id="rId1943" ref="J1945"/>
    <hyperlink r:id="rId1944" ref="J1946"/>
    <hyperlink r:id="rId1945" ref="J1947"/>
    <hyperlink r:id="rId1946" ref="J1948"/>
    <hyperlink r:id="rId1947" ref="J1949"/>
    <hyperlink r:id="rId1948" ref="J1950"/>
    <hyperlink r:id="rId1949" ref="J1951"/>
    <hyperlink r:id="rId1950" ref="J1952"/>
    <hyperlink r:id="rId1951" ref="J1953"/>
    <hyperlink r:id="rId1952" ref="J1954"/>
    <hyperlink r:id="rId1953" ref="J1955"/>
    <hyperlink r:id="rId1954" ref="J1956"/>
    <hyperlink r:id="rId1955" ref="J1957"/>
    <hyperlink r:id="rId1956" ref="J1958"/>
    <hyperlink r:id="rId1957" ref="J1959"/>
    <hyperlink r:id="rId1958" ref="J1960"/>
    <hyperlink r:id="rId1959" ref="J1961"/>
    <hyperlink r:id="rId1960" ref="J1962"/>
    <hyperlink r:id="rId1961" ref="J1963"/>
    <hyperlink r:id="rId1962" ref="J1964"/>
    <hyperlink r:id="rId1963" ref="J1965"/>
    <hyperlink r:id="rId1964" ref="J1966"/>
    <hyperlink r:id="rId1965" ref="J1967"/>
    <hyperlink r:id="rId1966" ref="J1968"/>
    <hyperlink r:id="rId1967" ref="J1969"/>
    <hyperlink r:id="rId1968" ref="J1970"/>
    <hyperlink r:id="rId1969" ref="J1971"/>
    <hyperlink r:id="rId1970" ref="J1972"/>
    <hyperlink r:id="rId1971" ref="J1973"/>
    <hyperlink r:id="rId1972" ref="J1974"/>
    <hyperlink r:id="rId1973" ref="J1975"/>
    <hyperlink r:id="rId1974" ref="J1976"/>
    <hyperlink r:id="rId1975" ref="J1977"/>
    <hyperlink r:id="rId1976" ref="J1978"/>
    <hyperlink r:id="rId1977" ref="J1979"/>
    <hyperlink r:id="rId1978" ref="J1980"/>
    <hyperlink r:id="rId1979" ref="J1981"/>
    <hyperlink r:id="rId1980" ref="J1982"/>
    <hyperlink r:id="rId1981" ref="J1983"/>
    <hyperlink r:id="rId1982" ref="J1984"/>
    <hyperlink r:id="rId1983" ref="J1985"/>
    <hyperlink r:id="rId1984" ref="J1986"/>
    <hyperlink r:id="rId1985" ref="J1987"/>
    <hyperlink r:id="rId1986" ref="J1988"/>
    <hyperlink r:id="rId1987" ref="J1989"/>
    <hyperlink r:id="rId1988" ref="J1990"/>
    <hyperlink r:id="rId1989" ref="J1991"/>
    <hyperlink r:id="rId1990" ref="J1992"/>
    <hyperlink r:id="rId1991" ref="J1993"/>
    <hyperlink r:id="rId1992" ref="J1994"/>
    <hyperlink r:id="rId1993" ref="J1995"/>
    <hyperlink r:id="rId1994" ref="J1996"/>
    <hyperlink r:id="rId1995" ref="J1997"/>
    <hyperlink r:id="rId1996" ref="J1998"/>
    <hyperlink r:id="rId1997" ref="J1999"/>
    <hyperlink r:id="rId1998" ref="J2000"/>
    <hyperlink r:id="rId1999" ref="J2001"/>
    <hyperlink r:id="rId2000" ref="J2002"/>
    <hyperlink r:id="rId2001" ref="J2003"/>
    <hyperlink r:id="rId2002" ref="J2004"/>
    <hyperlink r:id="rId2003" ref="J2005"/>
    <hyperlink r:id="rId2004" ref="J2006"/>
    <hyperlink r:id="rId2005" ref="J2007"/>
    <hyperlink r:id="rId2006" ref="J2008"/>
    <hyperlink r:id="rId2007" ref="J2009"/>
    <hyperlink r:id="rId2008" ref="J2010"/>
    <hyperlink r:id="rId2009" ref="J2011"/>
    <hyperlink r:id="rId2010" ref="J2012"/>
    <hyperlink r:id="rId2011" ref="J2013"/>
    <hyperlink r:id="rId2012" ref="J2014"/>
    <hyperlink r:id="rId2013" ref="J2015"/>
    <hyperlink r:id="rId2014" ref="J2016"/>
    <hyperlink r:id="rId2015" ref="J2017"/>
    <hyperlink r:id="rId2016" ref="J2018"/>
    <hyperlink r:id="rId2017" ref="J2019"/>
    <hyperlink r:id="rId2018" ref="J2020"/>
    <hyperlink r:id="rId2019" ref="J2021"/>
    <hyperlink r:id="rId2020" ref="J2022"/>
    <hyperlink r:id="rId2021" ref="J2023"/>
    <hyperlink r:id="rId2022" ref="J2024"/>
    <hyperlink r:id="rId2023" ref="J2025"/>
    <hyperlink r:id="rId2024" ref="J2026"/>
    <hyperlink r:id="rId2025" ref="J2027"/>
    <hyperlink r:id="rId2026" ref="J2028"/>
    <hyperlink r:id="rId2027" ref="J2029"/>
    <hyperlink r:id="rId2028" ref="J2030"/>
    <hyperlink r:id="rId2029" ref="J2031"/>
    <hyperlink r:id="rId2030" ref="J2032"/>
    <hyperlink r:id="rId2031" ref="J2033"/>
    <hyperlink r:id="rId2032" ref="J2034"/>
    <hyperlink r:id="rId2033" ref="J2035"/>
    <hyperlink r:id="rId2034" ref="J2036"/>
    <hyperlink r:id="rId2035" ref="J2037"/>
    <hyperlink r:id="rId2036" ref="J2038"/>
    <hyperlink r:id="rId2037" ref="J2039"/>
    <hyperlink r:id="rId2038" ref="J2040"/>
    <hyperlink r:id="rId2039" ref="J2041"/>
    <hyperlink r:id="rId2040" ref="J2042"/>
    <hyperlink r:id="rId2041" ref="J2043"/>
    <hyperlink r:id="rId2042" ref="J2044"/>
    <hyperlink r:id="rId2043" ref="J2045"/>
    <hyperlink r:id="rId2044" ref="J2046"/>
    <hyperlink r:id="rId2045" ref="J2047"/>
    <hyperlink r:id="rId2046" ref="J2048"/>
    <hyperlink r:id="rId2047" ref="J2049"/>
    <hyperlink r:id="rId2048" ref="J2050"/>
    <hyperlink r:id="rId2049" ref="J2051"/>
    <hyperlink r:id="rId2050" ref="J2052"/>
    <hyperlink r:id="rId2051" ref="J2053"/>
    <hyperlink r:id="rId2052" ref="J2054"/>
    <hyperlink r:id="rId2053" ref="J2055"/>
    <hyperlink r:id="rId2054" ref="J2056"/>
    <hyperlink r:id="rId2055" ref="J2057"/>
    <hyperlink r:id="rId2056" ref="J2058"/>
    <hyperlink r:id="rId2057" ref="J2059"/>
    <hyperlink r:id="rId2058" ref="J2060"/>
    <hyperlink r:id="rId2059" ref="J2061"/>
    <hyperlink r:id="rId2060" ref="J2062"/>
    <hyperlink r:id="rId2061" ref="J2063"/>
    <hyperlink r:id="rId2062" ref="J2064"/>
    <hyperlink r:id="rId2063" ref="J2065"/>
    <hyperlink r:id="rId2064" ref="J2066"/>
    <hyperlink r:id="rId2065" ref="J2067"/>
    <hyperlink r:id="rId2066" ref="J2068"/>
    <hyperlink r:id="rId2067" ref="J2069"/>
    <hyperlink r:id="rId2068" ref="J2070"/>
    <hyperlink r:id="rId2069" ref="J2071"/>
    <hyperlink r:id="rId2070" ref="J2072"/>
    <hyperlink r:id="rId2071" ref="J2073"/>
    <hyperlink r:id="rId2072" ref="J2074"/>
    <hyperlink r:id="rId2073" ref="J2075"/>
    <hyperlink r:id="rId2074" ref="J2076"/>
    <hyperlink r:id="rId2075" ref="J2077"/>
    <hyperlink r:id="rId2076" ref="J2078"/>
    <hyperlink r:id="rId2077" ref="J2079"/>
    <hyperlink r:id="rId2078" ref="J2080"/>
    <hyperlink r:id="rId2079" ref="J2081"/>
    <hyperlink r:id="rId2080" ref="J2082"/>
    <hyperlink r:id="rId2081" ref="J2083"/>
    <hyperlink r:id="rId2082" ref="J2084"/>
    <hyperlink r:id="rId2083" ref="J2085"/>
    <hyperlink r:id="rId2084" ref="J2086"/>
    <hyperlink r:id="rId2085" ref="J2087"/>
    <hyperlink r:id="rId2086" ref="J2088"/>
    <hyperlink r:id="rId2087" ref="J2089"/>
    <hyperlink r:id="rId2088" ref="J2090"/>
    <hyperlink r:id="rId2089" ref="J2091"/>
    <hyperlink r:id="rId2090" ref="J2092"/>
    <hyperlink r:id="rId2091" ref="J2093"/>
    <hyperlink r:id="rId2092" ref="J2094"/>
    <hyperlink r:id="rId2093" ref="J2095"/>
    <hyperlink r:id="rId2094" ref="J2096"/>
    <hyperlink r:id="rId2095" ref="J2097"/>
    <hyperlink r:id="rId2096" ref="J2098"/>
    <hyperlink r:id="rId2097" ref="J2099"/>
    <hyperlink r:id="rId2098" ref="J2100"/>
    <hyperlink r:id="rId2099" ref="J2101"/>
    <hyperlink r:id="rId2100" ref="J2102"/>
    <hyperlink r:id="rId2101" ref="J2103"/>
    <hyperlink r:id="rId2102" ref="J2104"/>
    <hyperlink r:id="rId2103" ref="J2105"/>
    <hyperlink r:id="rId2104" ref="J2106"/>
    <hyperlink r:id="rId2105" ref="J2107"/>
    <hyperlink r:id="rId2106" ref="J2108"/>
    <hyperlink r:id="rId2107" ref="J2109"/>
    <hyperlink r:id="rId2108" ref="J2110"/>
    <hyperlink r:id="rId2109" ref="J2111"/>
    <hyperlink r:id="rId2110" ref="J2112"/>
    <hyperlink r:id="rId2111" ref="J2113"/>
    <hyperlink r:id="rId2112" ref="J2114"/>
    <hyperlink r:id="rId2113" ref="J2115"/>
    <hyperlink r:id="rId2114" ref="J2116"/>
    <hyperlink r:id="rId2115" ref="J2117"/>
    <hyperlink r:id="rId2116" ref="J2118"/>
    <hyperlink r:id="rId2117" ref="J2119"/>
    <hyperlink r:id="rId2118" ref="J2120"/>
    <hyperlink r:id="rId2119" ref="J2121"/>
    <hyperlink r:id="rId2120" ref="J2122"/>
    <hyperlink r:id="rId2121" ref="J2123"/>
    <hyperlink r:id="rId2122" ref="J2124"/>
    <hyperlink r:id="rId2123" ref="J2125"/>
    <hyperlink r:id="rId2124" ref="J2126"/>
    <hyperlink r:id="rId2125" ref="J2127"/>
    <hyperlink r:id="rId2126" ref="J2128"/>
    <hyperlink r:id="rId2127" ref="J2129"/>
    <hyperlink r:id="rId2128" ref="J2130"/>
    <hyperlink r:id="rId2129" ref="J2131"/>
    <hyperlink r:id="rId2130" ref="J2132"/>
    <hyperlink r:id="rId2131" ref="J2133"/>
    <hyperlink r:id="rId2132" ref="J2134"/>
    <hyperlink r:id="rId2133" ref="J2135"/>
    <hyperlink r:id="rId2134" ref="J2136"/>
    <hyperlink r:id="rId2135" ref="J2137"/>
    <hyperlink r:id="rId2136" ref="J2138"/>
    <hyperlink r:id="rId2137" ref="J2139"/>
    <hyperlink r:id="rId2138" ref="J2140"/>
    <hyperlink r:id="rId2139" ref="J2141"/>
    <hyperlink r:id="rId2140" ref="J2142"/>
    <hyperlink r:id="rId2141" ref="J2143"/>
    <hyperlink r:id="rId2142" ref="J2144"/>
    <hyperlink r:id="rId2143" ref="J2145"/>
    <hyperlink r:id="rId2144" ref="J2146"/>
    <hyperlink r:id="rId2145" ref="J2147"/>
    <hyperlink r:id="rId2146" ref="J2148"/>
    <hyperlink r:id="rId2147" ref="J2149"/>
    <hyperlink r:id="rId2148" ref="J2150"/>
    <hyperlink r:id="rId2149" ref="J2151"/>
    <hyperlink r:id="rId2150" ref="J2152"/>
    <hyperlink r:id="rId2151" ref="J2153"/>
    <hyperlink r:id="rId2152" ref="J2154"/>
    <hyperlink r:id="rId2153" ref="J2155"/>
    <hyperlink r:id="rId2154" ref="J2156"/>
    <hyperlink r:id="rId2155" ref="J2157"/>
    <hyperlink r:id="rId2156" ref="J2158"/>
    <hyperlink r:id="rId2157" ref="J2159"/>
    <hyperlink r:id="rId2158" ref="J2160"/>
    <hyperlink r:id="rId2159" ref="J2161"/>
    <hyperlink r:id="rId2160" ref="J2162"/>
    <hyperlink r:id="rId2161" ref="J2163"/>
    <hyperlink r:id="rId2162" ref="J2164"/>
    <hyperlink r:id="rId2163" ref="J2165"/>
    <hyperlink r:id="rId2164" ref="J2166"/>
    <hyperlink r:id="rId2165" ref="J2167"/>
    <hyperlink r:id="rId2166" ref="J2168"/>
    <hyperlink r:id="rId2167" ref="J2169"/>
    <hyperlink r:id="rId2168" ref="J2170"/>
    <hyperlink r:id="rId2169" ref="J2171"/>
    <hyperlink r:id="rId2170" ref="J2172"/>
    <hyperlink r:id="rId2171" ref="J2173"/>
    <hyperlink r:id="rId2172" ref="J2174"/>
    <hyperlink r:id="rId2173" ref="J2175"/>
    <hyperlink r:id="rId2174" ref="J2176"/>
    <hyperlink r:id="rId2175" ref="J2177"/>
    <hyperlink r:id="rId2176" ref="J2178"/>
    <hyperlink r:id="rId2177" ref="J2179"/>
    <hyperlink r:id="rId2178" ref="J2180"/>
    <hyperlink r:id="rId2179" ref="J2181"/>
    <hyperlink r:id="rId2180" ref="J2182"/>
    <hyperlink r:id="rId2181" ref="J2183"/>
    <hyperlink r:id="rId2182" ref="J2184"/>
    <hyperlink r:id="rId2183" ref="J2185"/>
    <hyperlink r:id="rId2184" ref="J2186"/>
    <hyperlink r:id="rId2185" ref="J2187"/>
    <hyperlink r:id="rId2186" ref="J2188"/>
    <hyperlink r:id="rId2187" ref="J2189"/>
    <hyperlink r:id="rId2188" ref="J2190"/>
    <hyperlink r:id="rId2189" ref="J2191"/>
    <hyperlink r:id="rId2190" ref="J2192"/>
    <hyperlink r:id="rId2191" ref="J2193"/>
    <hyperlink r:id="rId2192" ref="J2194"/>
    <hyperlink r:id="rId2193" ref="J2195"/>
    <hyperlink r:id="rId2194" ref="J2196"/>
    <hyperlink r:id="rId2195" ref="J2197"/>
    <hyperlink r:id="rId2196" ref="J2198"/>
    <hyperlink r:id="rId2197" ref="J2199"/>
    <hyperlink r:id="rId2198" ref="J2200"/>
    <hyperlink r:id="rId2199" ref="J2201"/>
    <hyperlink r:id="rId2200" ref="J2202"/>
    <hyperlink r:id="rId2201" ref="A2203"/>
    <hyperlink r:id="rId2202" ref="J2203"/>
    <hyperlink r:id="rId2203" ref="A2204"/>
    <hyperlink r:id="rId2204" ref="J2204"/>
    <hyperlink r:id="rId2205" ref="B2205"/>
    <hyperlink r:id="rId2206" ref="J2205"/>
    <hyperlink r:id="rId2207" ref="A2206"/>
    <hyperlink r:id="rId2208" ref="J2206"/>
    <hyperlink r:id="rId2209" ref="A2207"/>
    <hyperlink r:id="rId2210" ref="J2207"/>
    <hyperlink r:id="rId2211" ref="A2208"/>
    <hyperlink r:id="rId2212" ref="J2208"/>
    <hyperlink r:id="rId2213" ref="A2209"/>
    <hyperlink r:id="rId2214" ref="J2209"/>
    <hyperlink r:id="rId2215" ref="A2210"/>
    <hyperlink r:id="rId2216" ref="J2210"/>
    <hyperlink r:id="rId2217" ref="A2211"/>
    <hyperlink r:id="rId2218" ref="J2211"/>
    <hyperlink r:id="rId2219" ref="A2212"/>
    <hyperlink r:id="rId2220" ref="J2212"/>
    <hyperlink r:id="rId2221" ref="A2213"/>
    <hyperlink r:id="rId2222" ref="J2213"/>
    <hyperlink r:id="rId2223" ref="A2214"/>
    <hyperlink r:id="rId2224" ref="J2214"/>
    <hyperlink r:id="rId2225" ref="A2215"/>
    <hyperlink r:id="rId2226" ref="J2215"/>
    <hyperlink r:id="rId2227" ref="A2216"/>
    <hyperlink r:id="rId2228" ref="J2216"/>
    <hyperlink r:id="rId2229" ref="A2217"/>
    <hyperlink r:id="rId2230" ref="J2217"/>
    <hyperlink r:id="rId2231" ref="A2218"/>
    <hyperlink r:id="rId2232" ref="J2218"/>
    <hyperlink r:id="rId2233" ref="A2219"/>
    <hyperlink r:id="rId2234" ref="J2219"/>
    <hyperlink r:id="rId2235" ref="A2220"/>
    <hyperlink r:id="rId2236" ref="J2220"/>
    <hyperlink r:id="rId2237" ref="A2221"/>
    <hyperlink r:id="rId2238" ref="J2221"/>
    <hyperlink r:id="rId2239" ref="A2222"/>
    <hyperlink r:id="rId2240" ref="J2222"/>
    <hyperlink r:id="rId2241" ref="A2223"/>
    <hyperlink r:id="rId2242" ref="J2223"/>
    <hyperlink r:id="rId2243" ref="A2224"/>
    <hyperlink r:id="rId2244" ref="J2224"/>
    <hyperlink r:id="rId2245" ref="A2225"/>
    <hyperlink r:id="rId2246" ref="J2225"/>
    <hyperlink r:id="rId2247" ref="A2226"/>
    <hyperlink r:id="rId2248" ref="J2226"/>
    <hyperlink r:id="rId2249" ref="A2227"/>
    <hyperlink r:id="rId2250" ref="J2227"/>
    <hyperlink r:id="rId2251" ref="A2228"/>
    <hyperlink r:id="rId2252" ref="J2228"/>
    <hyperlink r:id="rId2253" ref="A2229"/>
    <hyperlink r:id="rId2254" ref="J2229"/>
    <hyperlink r:id="rId2255" ref="A2230"/>
    <hyperlink r:id="rId2256" ref="J2230"/>
    <hyperlink r:id="rId2257" ref="A2231"/>
    <hyperlink r:id="rId2258" ref="J2231"/>
    <hyperlink r:id="rId2259" ref="A2232"/>
    <hyperlink r:id="rId2260" ref="J2232"/>
    <hyperlink r:id="rId2261" ref="A2233"/>
    <hyperlink r:id="rId2262" ref="J2233"/>
    <hyperlink r:id="rId2263" ref="A2234"/>
    <hyperlink r:id="rId2264" ref="J2234"/>
    <hyperlink r:id="rId2265" ref="A2235"/>
    <hyperlink r:id="rId2266" ref="J2235"/>
    <hyperlink r:id="rId2267" ref="A2236"/>
    <hyperlink r:id="rId2268" ref="J2236"/>
    <hyperlink r:id="rId2269" ref="A2237"/>
    <hyperlink r:id="rId2270" ref="J2237"/>
    <hyperlink r:id="rId2271" ref="A2238"/>
    <hyperlink r:id="rId2272" ref="J2238"/>
    <hyperlink r:id="rId2273" ref="A2239"/>
    <hyperlink r:id="rId2274" ref="J2239"/>
    <hyperlink r:id="rId2275" ref="A2240"/>
    <hyperlink r:id="rId2276" ref="J2240"/>
    <hyperlink r:id="rId2277" ref="A2241"/>
    <hyperlink r:id="rId2278" ref="J2241"/>
    <hyperlink r:id="rId2279" ref="A2242"/>
    <hyperlink r:id="rId2280" ref="J2242"/>
    <hyperlink r:id="rId2281" ref="A2243"/>
    <hyperlink r:id="rId2282" ref="J2243"/>
    <hyperlink r:id="rId2283" ref="A2244"/>
    <hyperlink r:id="rId2284" ref="J2244"/>
    <hyperlink r:id="rId2285" ref="A2245"/>
    <hyperlink r:id="rId2286" ref="J2245"/>
    <hyperlink r:id="rId2287" ref="J2246"/>
    <hyperlink r:id="rId2288" ref="A2247"/>
    <hyperlink r:id="rId2289" ref="J2247"/>
    <hyperlink r:id="rId2290" ref="A2248"/>
    <hyperlink r:id="rId2291" ref="J2248"/>
    <hyperlink r:id="rId2292" ref="J2249"/>
    <hyperlink r:id="rId2293" ref="A2250"/>
    <hyperlink r:id="rId2294" ref="J2250"/>
    <hyperlink r:id="rId2295" ref="J2251"/>
    <hyperlink r:id="rId2296" ref="J2252"/>
    <hyperlink r:id="rId2297" ref="A2253"/>
    <hyperlink r:id="rId2298" ref="J2253"/>
    <hyperlink r:id="rId2299" ref="A2254"/>
    <hyperlink r:id="rId2300" ref="J2254"/>
    <hyperlink r:id="rId2301" ref="A2255"/>
    <hyperlink r:id="rId2302" ref="J2255"/>
    <hyperlink r:id="rId2303" ref="A2256"/>
    <hyperlink r:id="rId2304" ref="J2256"/>
    <hyperlink r:id="rId2305" ref="A2257"/>
    <hyperlink r:id="rId2306" ref="J2257"/>
    <hyperlink r:id="rId2307" ref="A2258"/>
    <hyperlink r:id="rId2308" ref="J2258"/>
    <hyperlink r:id="rId2309" ref="J2259"/>
    <hyperlink r:id="rId2310" ref="A2260"/>
    <hyperlink r:id="rId2311" ref="J2260"/>
    <hyperlink r:id="rId2312" ref="A2261"/>
    <hyperlink r:id="rId2313" ref="J2261"/>
    <hyperlink r:id="rId2314" ref="A2262"/>
    <hyperlink r:id="rId2315" ref="J2262"/>
    <hyperlink r:id="rId2316" ref="A2263"/>
    <hyperlink r:id="rId2317" ref="J2263"/>
    <hyperlink r:id="rId2318" ref="A2264"/>
    <hyperlink r:id="rId2319" ref="J2264"/>
    <hyperlink r:id="rId2320" ref="A2265"/>
    <hyperlink r:id="rId2321" ref="J2265"/>
    <hyperlink r:id="rId2322" ref="J2266"/>
    <hyperlink r:id="rId2323" ref="A2267"/>
    <hyperlink r:id="rId2324" ref="J2267"/>
    <hyperlink r:id="rId2325" ref="A2268"/>
    <hyperlink r:id="rId2326" ref="J2268"/>
    <hyperlink r:id="rId2327" ref="A2269"/>
    <hyperlink r:id="rId2328" ref="J2269"/>
    <hyperlink r:id="rId2329" ref="A2270"/>
    <hyperlink r:id="rId2330" ref="J2270"/>
    <hyperlink r:id="rId2331" ref="A2271"/>
    <hyperlink r:id="rId2332" ref="J2271"/>
    <hyperlink r:id="rId2333" ref="A2272"/>
    <hyperlink r:id="rId2334" ref="J2272"/>
    <hyperlink r:id="rId2335" ref="A2273"/>
    <hyperlink r:id="rId2336" ref="J2273"/>
    <hyperlink r:id="rId2337" ref="A2274"/>
    <hyperlink r:id="rId2338" ref="J2274"/>
    <hyperlink r:id="rId2339" ref="A2275"/>
    <hyperlink r:id="rId2340" ref="J2275"/>
    <hyperlink r:id="rId2341" ref="A2276"/>
    <hyperlink r:id="rId2342" ref="J2276"/>
    <hyperlink r:id="rId2343" ref="J2277"/>
    <hyperlink r:id="rId2344" ref="A2278"/>
    <hyperlink r:id="rId2345" ref="J2278"/>
    <hyperlink r:id="rId2346" ref="A2279"/>
    <hyperlink r:id="rId2347" ref="J2279"/>
    <hyperlink r:id="rId2348" ref="A2280"/>
    <hyperlink r:id="rId2349" ref="J2280"/>
    <hyperlink r:id="rId2350" ref="A2281"/>
    <hyperlink r:id="rId2351" ref="J2281"/>
    <hyperlink r:id="rId2352" ref="A2282"/>
    <hyperlink r:id="rId2353" ref="J2282"/>
    <hyperlink r:id="rId2354" ref="J2283"/>
    <hyperlink r:id="rId2355" ref="A2284"/>
    <hyperlink r:id="rId2356" ref="J2284"/>
    <hyperlink r:id="rId2357" ref="A2285"/>
    <hyperlink r:id="rId2358" ref="J2285"/>
    <hyperlink r:id="rId2359" ref="A2286"/>
    <hyperlink r:id="rId2360" ref="J2286"/>
    <hyperlink r:id="rId2361" ref="A2287"/>
    <hyperlink r:id="rId2362" ref="J2287"/>
    <hyperlink r:id="rId2363" ref="A2288"/>
    <hyperlink r:id="rId2364" ref="J2288"/>
    <hyperlink r:id="rId2365" ref="A2289"/>
    <hyperlink r:id="rId2366" ref="J2289"/>
    <hyperlink r:id="rId2367" ref="J2290"/>
    <hyperlink r:id="rId2368" ref="J2291"/>
    <hyperlink r:id="rId2369" ref="A2292"/>
    <hyperlink r:id="rId2370" ref="J2292"/>
    <hyperlink r:id="rId2371" ref="J2293"/>
    <hyperlink r:id="rId2372" ref="A2294"/>
    <hyperlink r:id="rId2373" ref="J2294"/>
    <hyperlink r:id="rId2374" ref="A2295"/>
    <hyperlink r:id="rId2375" ref="J2295"/>
    <hyperlink r:id="rId2376" ref="A2296"/>
    <hyperlink r:id="rId2377" ref="J2296"/>
    <hyperlink r:id="rId2378" ref="J2297"/>
    <hyperlink r:id="rId2379" ref="A2298"/>
    <hyperlink r:id="rId2380" ref="J2298"/>
    <hyperlink r:id="rId2381" ref="A2299"/>
    <hyperlink r:id="rId2382" ref="J2299"/>
    <hyperlink r:id="rId2383" ref="A2300"/>
    <hyperlink r:id="rId2384" ref="J2300"/>
    <hyperlink r:id="rId2385" ref="A2301"/>
    <hyperlink r:id="rId2386" ref="J2301"/>
    <hyperlink r:id="rId2387" ref="A2302"/>
    <hyperlink r:id="rId2388" ref="J2302"/>
    <hyperlink r:id="rId2389" ref="A2303"/>
    <hyperlink r:id="rId2390" ref="J2303"/>
    <hyperlink r:id="rId2391" ref="A2304"/>
    <hyperlink r:id="rId2392" ref="J2304"/>
    <hyperlink r:id="rId2393" ref="A2305"/>
    <hyperlink r:id="rId2394" ref="J2305"/>
    <hyperlink r:id="rId2395" ref="J2306"/>
    <hyperlink r:id="rId2396" ref="A2307"/>
    <hyperlink r:id="rId2397" ref="J2307"/>
    <hyperlink r:id="rId2398" ref="A2308"/>
    <hyperlink r:id="rId2399" ref="J2308"/>
    <hyperlink r:id="rId2400" ref="A2309"/>
    <hyperlink r:id="rId2401" ref="J2309"/>
    <hyperlink r:id="rId2402" ref="J2310"/>
    <hyperlink r:id="rId2403" ref="A2311"/>
    <hyperlink r:id="rId2404" ref="J2311"/>
    <hyperlink r:id="rId2405" ref="A2312"/>
    <hyperlink r:id="rId2406" ref="J2312"/>
    <hyperlink r:id="rId2407" ref="A2313"/>
    <hyperlink r:id="rId2408" ref="J2313"/>
    <hyperlink r:id="rId2409" ref="A2314"/>
    <hyperlink r:id="rId2410" ref="J2314"/>
    <hyperlink r:id="rId2411" ref="J2315"/>
    <hyperlink r:id="rId2412" ref="A2316"/>
    <hyperlink r:id="rId2413" ref="J2316"/>
    <hyperlink r:id="rId2414" ref="A2317"/>
    <hyperlink r:id="rId2415" ref="J2317"/>
    <hyperlink r:id="rId2416" ref="A2318"/>
    <hyperlink r:id="rId2417" ref="J2318"/>
    <hyperlink r:id="rId2418" ref="A2319"/>
    <hyperlink r:id="rId2419" ref="J2319"/>
    <hyperlink r:id="rId2420" ref="A2320"/>
    <hyperlink r:id="rId2421" ref="J2320"/>
    <hyperlink r:id="rId2422" ref="A2321"/>
    <hyperlink r:id="rId2423" ref="J2321"/>
    <hyperlink r:id="rId2424" ref="J2322"/>
    <hyperlink r:id="rId2425" ref="A2323"/>
    <hyperlink r:id="rId2426" ref="J2323"/>
    <hyperlink r:id="rId2427" ref="J2324"/>
    <hyperlink r:id="rId2428" ref="A2325"/>
    <hyperlink r:id="rId2429" ref="J2325"/>
    <hyperlink r:id="rId2430" ref="A2326"/>
    <hyperlink r:id="rId2431" ref="J2326"/>
    <hyperlink r:id="rId2432" ref="A2327"/>
    <hyperlink r:id="rId2433" ref="J2327"/>
    <hyperlink r:id="rId2434" ref="A2328"/>
    <hyperlink r:id="rId2435" ref="J2328"/>
    <hyperlink r:id="rId2436" ref="A2329"/>
    <hyperlink r:id="rId2437" ref="J2329"/>
    <hyperlink r:id="rId2438" ref="A2330"/>
    <hyperlink r:id="rId2439" ref="J2330"/>
    <hyperlink r:id="rId2440" ref="A2331"/>
    <hyperlink r:id="rId2441" ref="J2331"/>
    <hyperlink r:id="rId2442" ref="A2332"/>
    <hyperlink r:id="rId2443" ref="J2332"/>
    <hyperlink r:id="rId2444" ref="J2333"/>
    <hyperlink r:id="rId2445" ref="J2334"/>
    <hyperlink r:id="rId2446" ref="J2335"/>
    <hyperlink r:id="rId2447" ref="A2336"/>
    <hyperlink r:id="rId2448" ref="J2336"/>
    <hyperlink r:id="rId2449" ref="A2337"/>
    <hyperlink r:id="rId2450" ref="J2337"/>
    <hyperlink r:id="rId2451" ref="J2338"/>
    <hyperlink r:id="rId2452" ref="A2339"/>
    <hyperlink r:id="rId2453" ref="J2339"/>
    <hyperlink r:id="rId2454" ref="J2340"/>
    <hyperlink r:id="rId2455" ref="A2341"/>
    <hyperlink r:id="rId2456" ref="J2341"/>
    <hyperlink r:id="rId2457" ref="J2342"/>
    <hyperlink r:id="rId2458" ref="A2343"/>
    <hyperlink r:id="rId2459" ref="J2343"/>
    <hyperlink r:id="rId2460" ref="A2344"/>
    <hyperlink r:id="rId2461" ref="J2344"/>
    <hyperlink r:id="rId2462" ref="A2345"/>
    <hyperlink r:id="rId2463" ref="J2345"/>
    <hyperlink r:id="rId2464" ref="A2346"/>
    <hyperlink r:id="rId2465" ref="J2346"/>
    <hyperlink r:id="rId2466" ref="A2347"/>
    <hyperlink r:id="rId2467" ref="J2347"/>
    <hyperlink r:id="rId2468" ref="J2348"/>
    <hyperlink r:id="rId2469" ref="A2349"/>
    <hyperlink r:id="rId2470" ref="J2349"/>
    <hyperlink r:id="rId2471" ref="J2350"/>
    <hyperlink r:id="rId2472" ref="A2351"/>
    <hyperlink r:id="rId2473" ref="J2351"/>
    <hyperlink r:id="rId2474" ref="A2352"/>
    <hyperlink r:id="rId2475" ref="J2352"/>
    <hyperlink r:id="rId2476" ref="A2353"/>
    <hyperlink r:id="rId2477" ref="J2353"/>
    <hyperlink r:id="rId2478" ref="A2354"/>
    <hyperlink r:id="rId2479" ref="J2354"/>
    <hyperlink r:id="rId2480" ref="A2355"/>
    <hyperlink r:id="rId2481" ref="J2355"/>
    <hyperlink r:id="rId2482" ref="A2356"/>
    <hyperlink r:id="rId2483" ref="J2356"/>
    <hyperlink r:id="rId2484" ref="J2357"/>
    <hyperlink r:id="rId2485" ref="J2358"/>
    <hyperlink r:id="rId2486" ref="J2359"/>
    <hyperlink r:id="rId2487" ref="J2360"/>
    <hyperlink r:id="rId2488" ref="J2361"/>
    <hyperlink r:id="rId2489" ref="A2362"/>
    <hyperlink r:id="rId2490" ref="J2362"/>
    <hyperlink r:id="rId2491" ref="J2363"/>
    <hyperlink r:id="rId2492" ref="J2364"/>
    <hyperlink r:id="rId2493" ref="J2365"/>
    <hyperlink r:id="rId2494" ref="A2366"/>
    <hyperlink r:id="rId2495" ref="J2366"/>
    <hyperlink r:id="rId2496" ref="J2367"/>
    <hyperlink r:id="rId2497" ref="J2368"/>
    <hyperlink r:id="rId2498" ref="A2369"/>
    <hyperlink r:id="rId2499" ref="J2369"/>
    <hyperlink r:id="rId2500" ref="J2370"/>
    <hyperlink r:id="rId2501" ref="A2371"/>
    <hyperlink r:id="rId2502" ref="J2371"/>
    <hyperlink r:id="rId2503" ref="A2372"/>
    <hyperlink r:id="rId2504" ref="J2372"/>
    <hyperlink r:id="rId2505" ref="A2373"/>
    <hyperlink r:id="rId2506" ref="J2373"/>
    <hyperlink r:id="rId2507" ref="A2374"/>
    <hyperlink r:id="rId2508" ref="J2374"/>
    <hyperlink r:id="rId2509" ref="A2375"/>
    <hyperlink r:id="rId2510" ref="J2375"/>
    <hyperlink r:id="rId2511" ref="A2376"/>
    <hyperlink r:id="rId2512" ref="J2376"/>
    <hyperlink r:id="rId2513" ref="J2377"/>
    <hyperlink r:id="rId2514" ref="A2378"/>
    <hyperlink r:id="rId2515" ref="J2378"/>
    <hyperlink r:id="rId2516" ref="A2379"/>
    <hyperlink r:id="rId2517" ref="J2379"/>
    <hyperlink r:id="rId2518" ref="A2380"/>
    <hyperlink r:id="rId2519" ref="J2380"/>
    <hyperlink r:id="rId2520" ref="A2381"/>
    <hyperlink r:id="rId2521" ref="J2381"/>
    <hyperlink r:id="rId2522" ref="A2382"/>
    <hyperlink r:id="rId2523" ref="J2382"/>
    <hyperlink r:id="rId2524" ref="A2383"/>
    <hyperlink r:id="rId2525" ref="J2383"/>
    <hyperlink r:id="rId2526" ref="A2384"/>
    <hyperlink r:id="rId2527" ref="J2384"/>
    <hyperlink r:id="rId2528" ref="J2385"/>
    <hyperlink r:id="rId2529" ref="J2386"/>
    <hyperlink r:id="rId2530" ref="J2387"/>
    <hyperlink r:id="rId2531" ref="J2388"/>
    <hyperlink r:id="rId2532" ref="J2389"/>
    <hyperlink r:id="rId2533" ref="J2390"/>
    <hyperlink r:id="rId2534" ref="J2391"/>
    <hyperlink r:id="rId2535" ref="J2392"/>
    <hyperlink r:id="rId2536" ref="J2393"/>
    <hyperlink r:id="rId2537" ref="J2394"/>
    <hyperlink r:id="rId2538" ref="J2395"/>
    <hyperlink r:id="rId2539" ref="J2396"/>
    <hyperlink r:id="rId2540" ref="J2397"/>
    <hyperlink r:id="rId2541" ref="J2398"/>
    <hyperlink r:id="rId2542" ref="A2399"/>
    <hyperlink r:id="rId2543" ref="J2399"/>
    <hyperlink r:id="rId2544" ref="J2400"/>
    <hyperlink r:id="rId2545" ref="J2401"/>
    <hyperlink r:id="rId2546" ref="A2402"/>
    <hyperlink r:id="rId2547" ref="J2402"/>
    <hyperlink r:id="rId2548" ref="A2403"/>
    <hyperlink r:id="rId2549" ref="J2403"/>
    <hyperlink r:id="rId2550" ref="A2404"/>
    <hyperlink r:id="rId2551" ref="J2404"/>
    <hyperlink r:id="rId2552" ref="A2405"/>
    <hyperlink r:id="rId2553" ref="J2405"/>
    <hyperlink r:id="rId2554" ref="A2406"/>
    <hyperlink r:id="rId2555" ref="J2406"/>
    <hyperlink r:id="rId2556" ref="A2407"/>
    <hyperlink r:id="rId2557" ref="J2407"/>
    <hyperlink r:id="rId2558" ref="A2408"/>
    <hyperlink r:id="rId2559" ref="J2408"/>
    <hyperlink r:id="rId2560" ref="A2409"/>
    <hyperlink r:id="rId2561" ref="J2409"/>
    <hyperlink r:id="rId2562" ref="A2410"/>
    <hyperlink r:id="rId2563" ref="J2410"/>
    <hyperlink r:id="rId2564" ref="A2411"/>
    <hyperlink r:id="rId2565" ref="J2411"/>
    <hyperlink r:id="rId2566" ref="A2412"/>
    <hyperlink r:id="rId2567" ref="J2412"/>
    <hyperlink r:id="rId2568" ref="A2413"/>
    <hyperlink r:id="rId2569" ref="J2413"/>
    <hyperlink r:id="rId2570" ref="A2414"/>
    <hyperlink r:id="rId2571" ref="J2414"/>
    <hyperlink r:id="rId2572" ref="A2415"/>
    <hyperlink r:id="rId2573" ref="J2415"/>
    <hyperlink r:id="rId2574" ref="A2416"/>
    <hyperlink r:id="rId2575" ref="J2416"/>
    <hyperlink r:id="rId2576" ref="A2417"/>
    <hyperlink r:id="rId2577" ref="J2417"/>
    <hyperlink r:id="rId2578" ref="A2418"/>
    <hyperlink r:id="rId2579" ref="J2418"/>
    <hyperlink r:id="rId2580" ref="J2419"/>
    <hyperlink r:id="rId2581" ref="A2420"/>
    <hyperlink r:id="rId2582" ref="J2420"/>
    <hyperlink r:id="rId2583" ref="A2421"/>
    <hyperlink r:id="rId2584" ref="J2421"/>
    <hyperlink r:id="rId2585" ref="A2422"/>
    <hyperlink r:id="rId2586" ref="J2422"/>
    <hyperlink r:id="rId2587" ref="A2423"/>
    <hyperlink r:id="rId2588" ref="J2423"/>
    <hyperlink r:id="rId2589" ref="A2424"/>
    <hyperlink r:id="rId2590" ref="J2424"/>
    <hyperlink r:id="rId2591" ref="A2425"/>
    <hyperlink r:id="rId2592" ref="J2425"/>
    <hyperlink r:id="rId2593" ref="J2426"/>
    <hyperlink r:id="rId2594" ref="A2427"/>
    <hyperlink r:id="rId2595" ref="J2427"/>
    <hyperlink r:id="rId2596" ref="A2428"/>
    <hyperlink r:id="rId2597" ref="J2428"/>
    <hyperlink r:id="rId2598" ref="A2429"/>
    <hyperlink r:id="rId2599" ref="J2429"/>
    <hyperlink r:id="rId2600" ref="J2430"/>
    <hyperlink r:id="rId2601" ref="A2431"/>
    <hyperlink r:id="rId2602" ref="J2431"/>
    <hyperlink r:id="rId2603" ref="A2432"/>
    <hyperlink r:id="rId2604" ref="J2432"/>
    <hyperlink r:id="rId2605" ref="A2433"/>
    <hyperlink r:id="rId2606" ref="J2433"/>
    <hyperlink r:id="rId2607" ref="J2434"/>
    <hyperlink r:id="rId2608" ref="A2435"/>
    <hyperlink r:id="rId2609" ref="J2435"/>
    <hyperlink r:id="rId2610" ref="A2436"/>
    <hyperlink r:id="rId2611" ref="J2436"/>
    <hyperlink r:id="rId2612" ref="A2437"/>
    <hyperlink r:id="rId2613" ref="J2437"/>
    <hyperlink r:id="rId2614" ref="J2438"/>
    <hyperlink r:id="rId2615" ref="A2439"/>
    <hyperlink r:id="rId2616" ref="J2439"/>
    <hyperlink r:id="rId2617" ref="A2440"/>
    <hyperlink r:id="rId2618" ref="J2440"/>
    <hyperlink r:id="rId2619" ref="A2441"/>
    <hyperlink r:id="rId2620" ref="J2441"/>
    <hyperlink r:id="rId2621" ref="A2442"/>
    <hyperlink r:id="rId2622" ref="J2442"/>
    <hyperlink r:id="rId2623" ref="A2443"/>
    <hyperlink r:id="rId2624" ref="J2443"/>
    <hyperlink r:id="rId2625" ref="A2444"/>
    <hyperlink r:id="rId2626" ref="J2444"/>
    <hyperlink r:id="rId2627" ref="A2445"/>
    <hyperlink r:id="rId2628" ref="J2445"/>
    <hyperlink r:id="rId2629" ref="J2446"/>
    <hyperlink r:id="rId2630" ref="A2447"/>
    <hyperlink r:id="rId2631" ref="J2447"/>
    <hyperlink r:id="rId2632" ref="A2448"/>
    <hyperlink r:id="rId2633" ref="J2448"/>
    <hyperlink r:id="rId2634" ref="A2449"/>
    <hyperlink r:id="rId2635" ref="J2449"/>
    <hyperlink r:id="rId2636" ref="A2450"/>
    <hyperlink r:id="rId2637" ref="J2450"/>
    <hyperlink r:id="rId2638" ref="A2451"/>
    <hyperlink r:id="rId2639" ref="J2451"/>
    <hyperlink r:id="rId2640" ref="A2452"/>
    <hyperlink r:id="rId2641" ref="J2452"/>
    <hyperlink r:id="rId2642" ref="A2453"/>
    <hyperlink r:id="rId2643" ref="J2453"/>
    <hyperlink r:id="rId2644" ref="A2454"/>
    <hyperlink r:id="rId2645" ref="J2454"/>
    <hyperlink r:id="rId2646" ref="J2455"/>
    <hyperlink r:id="rId2647" ref="A2456"/>
    <hyperlink r:id="rId2648" ref="J2456"/>
    <hyperlink r:id="rId2649" ref="A2457"/>
    <hyperlink r:id="rId2650" ref="J2457"/>
    <hyperlink r:id="rId2651" ref="J2458"/>
    <hyperlink r:id="rId2652" ref="A2459"/>
    <hyperlink r:id="rId2653" ref="J2459"/>
    <hyperlink r:id="rId2654" ref="J2460"/>
    <hyperlink r:id="rId2655" ref="J2461"/>
    <hyperlink r:id="rId2656" ref="A2462"/>
    <hyperlink r:id="rId2657" ref="J2462"/>
    <hyperlink r:id="rId2658" ref="A2463"/>
    <hyperlink r:id="rId2659" ref="J2463"/>
    <hyperlink r:id="rId2660" ref="J2464"/>
    <hyperlink r:id="rId2661" ref="J2465"/>
    <hyperlink r:id="rId2662" ref="A2466"/>
    <hyperlink r:id="rId2663" ref="J2466"/>
    <hyperlink r:id="rId2664" ref="J2467"/>
    <hyperlink r:id="rId2665" ref="J2468"/>
    <hyperlink r:id="rId2666" ref="A2469"/>
    <hyperlink r:id="rId2667" ref="J2469"/>
    <hyperlink r:id="rId2668" ref="A2470"/>
    <hyperlink r:id="rId2669" ref="J2470"/>
    <hyperlink r:id="rId2670" ref="J2471"/>
    <hyperlink r:id="rId2671" ref="A2472"/>
    <hyperlink r:id="rId2672" ref="J2472"/>
    <hyperlink r:id="rId2673" ref="J2473"/>
    <hyperlink r:id="rId2674" ref="J2474"/>
    <hyperlink r:id="rId2675" ref="A2475"/>
    <hyperlink r:id="rId2676" ref="J2475"/>
    <hyperlink r:id="rId2677" ref="A2476"/>
    <hyperlink r:id="rId2678" ref="J2476"/>
    <hyperlink r:id="rId2679" ref="A2477"/>
    <hyperlink r:id="rId2680" ref="J2477"/>
    <hyperlink r:id="rId2681" ref="A2478"/>
    <hyperlink r:id="rId2682" ref="J2478"/>
    <hyperlink r:id="rId2683" ref="A2479"/>
    <hyperlink r:id="rId2684" ref="J2479"/>
    <hyperlink r:id="rId2685" ref="A2480"/>
    <hyperlink r:id="rId2686" ref="J2480"/>
    <hyperlink r:id="rId2687" ref="A2481"/>
    <hyperlink r:id="rId2688" ref="J2481"/>
    <hyperlink r:id="rId2689" ref="A2482"/>
    <hyperlink r:id="rId2690" ref="J2482"/>
    <hyperlink r:id="rId2691" ref="A2483"/>
    <hyperlink r:id="rId2692" ref="J2483"/>
    <hyperlink r:id="rId2693" ref="A2484"/>
    <hyperlink r:id="rId2694" ref="J2484"/>
    <hyperlink r:id="rId2695" ref="A2485"/>
    <hyperlink r:id="rId2696" ref="J2485"/>
    <hyperlink r:id="rId2697" ref="J2486"/>
    <hyperlink r:id="rId2698" ref="A2487"/>
    <hyperlink r:id="rId2699" ref="J2487"/>
    <hyperlink r:id="rId2700" ref="J2488"/>
    <hyperlink r:id="rId2701" ref="A2489"/>
    <hyperlink r:id="rId2702" ref="J2489"/>
    <hyperlink r:id="rId2703" ref="A2490"/>
    <hyperlink r:id="rId2704" ref="J2490"/>
    <hyperlink r:id="rId2705" ref="A2491"/>
    <hyperlink r:id="rId2706" ref="J2491"/>
    <hyperlink r:id="rId2707" ref="A2492"/>
    <hyperlink r:id="rId2708" ref="J2492"/>
    <hyperlink r:id="rId2709" ref="J2493"/>
    <hyperlink r:id="rId2710" ref="A2494"/>
    <hyperlink r:id="rId2711" ref="J2494"/>
    <hyperlink r:id="rId2712" ref="A2495"/>
    <hyperlink r:id="rId2713" ref="J2495"/>
    <hyperlink r:id="rId2714" ref="A2496"/>
    <hyperlink r:id="rId2715" ref="J2496"/>
    <hyperlink r:id="rId2716" ref="A2497"/>
    <hyperlink r:id="rId2717" ref="J2497"/>
    <hyperlink r:id="rId2718" ref="A2498"/>
    <hyperlink r:id="rId2719" ref="J2498"/>
    <hyperlink r:id="rId2720" ref="A2499"/>
    <hyperlink r:id="rId2721" ref="J2499"/>
    <hyperlink r:id="rId2722" ref="A2500"/>
    <hyperlink r:id="rId2723" ref="J2500"/>
    <hyperlink r:id="rId2724" ref="A2501"/>
    <hyperlink r:id="rId2725" ref="J2501"/>
    <hyperlink r:id="rId2726" ref="A2502"/>
    <hyperlink r:id="rId2727" ref="J2502"/>
    <hyperlink r:id="rId2728" ref="A2503"/>
    <hyperlink r:id="rId2729" ref="J2503"/>
    <hyperlink r:id="rId2730" ref="J2504"/>
    <hyperlink r:id="rId2731" ref="A2505"/>
    <hyperlink r:id="rId2732" ref="J2505"/>
    <hyperlink r:id="rId2733" ref="A2506"/>
    <hyperlink r:id="rId2734" ref="J2506"/>
    <hyperlink r:id="rId2735" ref="J2507"/>
    <hyperlink r:id="rId2736" ref="A2508"/>
    <hyperlink r:id="rId2737" ref="J2508"/>
    <hyperlink r:id="rId2738" ref="A2509"/>
    <hyperlink r:id="rId2739" ref="J2509"/>
    <hyperlink r:id="rId2740" ref="J2510"/>
    <hyperlink r:id="rId2741" ref="A2511"/>
    <hyperlink r:id="rId2742" ref="J2511"/>
    <hyperlink r:id="rId2743" ref="A2512"/>
    <hyperlink r:id="rId2744" ref="J2512"/>
    <hyperlink r:id="rId2745" ref="A2513"/>
    <hyperlink r:id="rId2746" ref="J2513"/>
    <hyperlink r:id="rId2747" ref="A2514"/>
    <hyperlink r:id="rId2748" ref="J2514"/>
    <hyperlink r:id="rId2749" ref="J2515"/>
    <hyperlink r:id="rId2750" ref="J2516"/>
    <hyperlink r:id="rId2751" ref="A2517"/>
    <hyperlink r:id="rId2752" ref="J2517"/>
    <hyperlink r:id="rId2753" ref="A2518"/>
    <hyperlink r:id="rId2754" ref="J2518"/>
    <hyperlink r:id="rId2755" ref="A2519"/>
    <hyperlink r:id="rId2756" ref="J2519"/>
    <hyperlink r:id="rId2757" ref="J2520"/>
    <hyperlink r:id="rId2758" ref="A2521"/>
    <hyperlink r:id="rId2759" ref="J2521"/>
    <hyperlink r:id="rId2760" ref="A2522"/>
    <hyperlink r:id="rId2761" ref="J2522"/>
    <hyperlink r:id="rId2762" ref="A2523"/>
    <hyperlink r:id="rId2763" ref="J2523"/>
    <hyperlink r:id="rId2764" ref="A2524"/>
    <hyperlink r:id="rId2765" ref="J2524"/>
    <hyperlink r:id="rId2766" ref="A2525"/>
    <hyperlink r:id="rId2767" ref="J2525"/>
    <hyperlink r:id="rId2768" ref="A2526"/>
    <hyperlink r:id="rId2769" ref="J2526"/>
    <hyperlink r:id="rId2770" ref="A2527"/>
    <hyperlink r:id="rId2771" ref="J2527"/>
    <hyperlink r:id="rId2772" ref="A2528"/>
    <hyperlink r:id="rId2773" ref="J2528"/>
    <hyperlink r:id="rId2774" ref="A2529"/>
    <hyperlink r:id="rId2775" ref="J2529"/>
    <hyperlink r:id="rId2776" ref="A2530"/>
    <hyperlink r:id="rId2777" ref="J2530"/>
    <hyperlink r:id="rId2778" ref="A2531"/>
    <hyperlink r:id="rId2779" ref="J2531"/>
    <hyperlink r:id="rId2780" ref="J2532"/>
    <hyperlink r:id="rId2781" ref="J2533"/>
    <hyperlink r:id="rId2782" ref="A2534"/>
    <hyperlink r:id="rId2783" ref="J2534"/>
    <hyperlink r:id="rId2784" ref="J2535"/>
    <hyperlink r:id="rId2785" ref="J2536"/>
    <hyperlink r:id="rId2786" ref="J2537"/>
    <hyperlink r:id="rId2787" ref="J2538"/>
    <hyperlink r:id="rId2788" ref="J2539"/>
    <hyperlink r:id="rId2789" ref="A2540"/>
    <hyperlink r:id="rId2790" ref="J2540"/>
    <hyperlink r:id="rId2791" ref="J2541"/>
    <hyperlink r:id="rId2792" ref="J2542"/>
    <hyperlink r:id="rId2793" ref="A2543"/>
    <hyperlink r:id="rId2794" ref="J2543"/>
    <hyperlink r:id="rId2795" ref="A2544"/>
    <hyperlink r:id="rId2796" ref="J2544"/>
    <hyperlink r:id="rId2797" ref="J2545"/>
    <hyperlink r:id="rId2798" ref="J2546"/>
    <hyperlink r:id="rId2799" ref="J2547"/>
    <hyperlink r:id="rId2800" ref="A2548"/>
    <hyperlink r:id="rId2801" ref="J2548"/>
    <hyperlink r:id="rId2802" ref="A2549"/>
    <hyperlink r:id="rId2803" ref="J2549"/>
    <hyperlink r:id="rId2804" ref="A2550"/>
    <hyperlink r:id="rId2805" ref="J2550"/>
    <hyperlink r:id="rId2806" ref="A2551"/>
    <hyperlink r:id="rId2807" ref="J2551"/>
    <hyperlink r:id="rId2808" ref="A2552"/>
    <hyperlink r:id="rId2809" ref="J2552"/>
    <hyperlink r:id="rId2810" ref="J2553"/>
    <hyperlink r:id="rId2811" ref="A2554"/>
    <hyperlink r:id="rId2812" ref="J2554"/>
    <hyperlink r:id="rId2813" ref="A2555"/>
    <hyperlink r:id="rId2814" ref="J2555"/>
    <hyperlink r:id="rId2815" ref="J2556"/>
    <hyperlink r:id="rId2816" ref="J2557"/>
    <hyperlink r:id="rId2817" ref="A2558"/>
    <hyperlink r:id="rId2818" ref="J2558"/>
    <hyperlink r:id="rId2819" ref="A2559"/>
    <hyperlink r:id="rId2820" ref="J2559"/>
    <hyperlink r:id="rId2821" ref="A2560"/>
    <hyperlink r:id="rId2822" ref="J2560"/>
    <hyperlink r:id="rId2823" ref="J2561"/>
    <hyperlink r:id="rId2824" ref="A2562"/>
    <hyperlink r:id="rId2825" ref="J2562"/>
    <hyperlink r:id="rId2826" ref="A2563"/>
    <hyperlink r:id="rId2827" ref="J2563"/>
    <hyperlink r:id="rId2828" ref="A2564"/>
    <hyperlink r:id="rId2829" ref="J2564"/>
    <hyperlink r:id="rId2830" ref="A2565"/>
    <hyperlink r:id="rId2831" ref="J2565"/>
    <hyperlink r:id="rId2832" ref="A2566"/>
    <hyperlink r:id="rId2833" ref="J2566"/>
    <hyperlink r:id="rId2834" ref="A2567"/>
    <hyperlink r:id="rId2835" ref="J2567"/>
    <hyperlink r:id="rId2836" ref="A2568"/>
    <hyperlink r:id="rId2837" ref="J2568"/>
    <hyperlink r:id="rId2838" ref="J2569"/>
    <hyperlink r:id="rId2839" ref="A2570"/>
    <hyperlink r:id="rId2840" ref="J2570"/>
    <hyperlink r:id="rId2841" ref="A2571"/>
    <hyperlink r:id="rId2842" ref="J2571"/>
    <hyperlink r:id="rId2843" ref="J2572"/>
    <hyperlink r:id="rId2844" ref="A2573"/>
    <hyperlink r:id="rId2845" ref="J2573"/>
    <hyperlink r:id="rId2846" ref="A2574"/>
    <hyperlink r:id="rId2847" ref="J2574"/>
    <hyperlink r:id="rId2848" ref="J2575"/>
    <hyperlink r:id="rId2849" ref="A2576"/>
    <hyperlink r:id="rId2850" ref="J2576"/>
    <hyperlink r:id="rId2851" ref="J2577"/>
    <hyperlink r:id="rId2852" ref="A2578"/>
    <hyperlink r:id="rId2853" ref="J2578"/>
    <hyperlink r:id="rId2854" ref="J2579"/>
    <hyperlink r:id="rId2855" ref="J2580"/>
    <hyperlink r:id="rId2856" ref="A2581"/>
    <hyperlink r:id="rId2857" ref="J2581"/>
    <hyperlink r:id="rId2858" ref="J2582"/>
    <hyperlink r:id="rId2859" ref="J2583"/>
    <hyperlink r:id="rId2860" ref="J2584"/>
    <hyperlink r:id="rId2861" ref="A2585"/>
    <hyperlink r:id="rId2862" ref="J2585"/>
    <hyperlink r:id="rId2863" ref="A2586"/>
    <hyperlink r:id="rId2864" ref="J2586"/>
    <hyperlink r:id="rId2865" ref="J2587"/>
    <hyperlink r:id="rId2866" ref="A2588"/>
    <hyperlink r:id="rId2867" ref="J2588"/>
    <hyperlink r:id="rId2868" ref="A2589"/>
    <hyperlink r:id="rId2869" ref="J2589"/>
    <hyperlink r:id="rId2870" ref="A2590"/>
    <hyperlink r:id="rId2871" ref="J2590"/>
    <hyperlink r:id="rId2872" ref="A2591"/>
    <hyperlink r:id="rId2873" ref="J2591"/>
    <hyperlink r:id="rId2874" ref="J2592"/>
    <hyperlink r:id="rId2875" ref="A2593"/>
    <hyperlink r:id="rId2876" ref="J2593"/>
    <hyperlink r:id="rId2877" ref="A2594"/>
    <hyperlink r:id="rId2878" ref="J2594"/>
    <hyperlink r:id="rId2879" ref="A2595"/>
    <hyperlink r:id="rId2880" ref="J2595"/>
    <hyperlink r:id="rId2881" ref="A2596"/>
    <hyperlink r:id="rId2882" ref="J2596"/>
    <hyperlink r:id="rId2883" ref="A2597"/>
    <hyperlink r:id="rId2884" ref="J2597"/>
    <hyperlink r:id="rId2885" ref="A2598"/>
    <hyperlink r:id="rId2886" ref="J2598"/>
    <hyperlink r:id="rId2887" ref="A2599"/>
    <hyperlink r:id="rId2888" ref="J2599"/>
    <hyperlink r:id="rId2889" ref="A2600"/>
    <hyperlink r:id="rId2890" ref="J2600"/>
    <hyperlink r:id="rId2891" ref="A2601"/>
    <hyperlink r:id="rId2892" ref="J2601"/>
    <hyperlink r:id="rId2893" ref="A2602"/>
    <hyperlink r:id="rId2894" ref="J2602"/>
    <hyperlink r:id="rId2895" ref="A2603"/>
    <hyperlink r:id="rId2896" ref="J2603"/>
    <hyperlink r:id="rId2897" ref="A2604"/>
    <hyperlink r:id="rId2898" ref="J2604"/>
    <hyperlink r:id="rId2899" ref="A2605"/>
    <hyperlink r:id="rId2900" ref="J2605"/>
    <hyperlink r:id="rId2901" ref="A2606"/>
    <hyperlink r:id="rId2902" ref="J2606"/>
    <hyperlink r:id="rId2903" ref="A2607"/>
    <hyperlink r:id="rId2904" ref="J2607"/>
    <hyperlink r:id="rId2905" ref="A2608"/>
    <hyperlink r:id="rId2906" ref="J2608"/>
    <hyperlink r:id="rId2907" ref="A2609"/>
    <hyperlink r:id="rId2908" ref="J2609"/>
    <hyperlink r:id="rId2909" ref="A2610"/>
    <hyperlink r:id="rId2910" ref="J2610"/>
    <hyperlink r:id="rId2911" ref="A2611"/>
    <hyperlink r:id="rId2912" ref="J2611"/>
    <hyperlink r:id="rId2913" ref="A2612"/>
    <hyperlink r:id="rId2914" ref="J2612"/>
    <hyperlink r:id="rId2915" ref="A2613"/>
    <hyperlink r:id="rId2916" ref="J2613"/>
    <hyperlink r:id="rId2917" ref="A2614"/>
    <hyperlink r:id="rId2918" ref="J2614"/>
    <hyperlink r:id="rId2919" ref="A2615"/>
    <hyperlink r:id="rId2920" ref="J2615"/>
    <hyperlink r:id="rId2921" ref="A2616"/>
    <hyperlink r:id="rId2922" ref="J2616"/>
    <hyperlink r:id="rId2923" ref="J2617"/>
    <hyperlink r:id="rId2924" ref="A2618"/>
    <hyperlink r:id="rId2925" ref="J2618"/>
    <hyperlink r:id="rId2926" ref="A2619"/>
    <hyperlink r:id="rId2927" ref="J2619"/>
    <hyperlink r:id="rId2928" ref="A2620"/>
    <hyperlink r:id="rId2929" ref="J2620"/>
    <hyperlink r:id="rId2930" ref="J2621"/>
    <hyperlink r:id="rId2931" ref="J2622"/>
    <hyperlink r:id="rId2932" ref="J2623"/>
    <hyperlink r:id="rId2933" ref="A2624"/>
    <hyperlink r:id="rId2934" ref="J2624"/>
    <hyperlink r:id="rId2935" ref="A2625"/>
    <hyperlink r:id="rId2936" ref="J2625"/>
    <hyperlink r:id="rId2937" ref="A2626"/>
    <hyperlink r:id="rId2938" ref="J2626"/>
    <hyperlink r:id="rId2939" ref="J2627"/>
    <hyperlink r:id="rId2940" ref="J2628"/>
    <hyperlink r:id="rId2941" ref="A2629"/>
    <hyperlink r:id="rId2942" ref="J2629"/>
    <hyperlink r:id="rId2943" ref="A2630"/>
    <hyperlink r:id="rId2944" ref="J2630"/>
    <hyperlink r:id="rId2945" ref="A2631"/>
    <hyperlink r:id="rId2946" ref="J2631"/>
    <hyperlink r:id="rId2947" ref="A2632"/>
    <hyperlink r:id="rId2948" ref="J2632"/>
    <hyperlink r:id="rId2949" ref="A2633"/>
    <hyperlink r:id="rId2950" ref="J2633"/>
    <hyperlink r:id="rId2951" ref="A2634"/>
    <hyperlink r:id="rId2952" ref="J2634"/>
    <hyperlink r:id="rId2953" ref="A2635"/>
    <hyperlink r:id="rId2954" ref="J2635"/>
    <hyperlink r:id="rId2955" ref="A2636"/>
    <hyperlink r:id="rId2956" ref="J2636"/>
    <hyperlink r:id="rId2957" ref="A2637"/>
    <hyperlink r:id="rId2958" ref="J2637"/>
    <hyperlink r:id="rId2959" ref="A2638"/>
    <hyperlink r:id="rId2960" ref="J2638"/>
    <hyperlink r:id="rId2961" ref="A2639"/>
    <hyperlink r:id="rId2962" ref="J2639"/>
    <hyperlink r:id="rId2963" ref="A2640"/>
    <hyperlink r:id="rId2964" ref="J2640"/>
    <hyperlink r:id="rId2965" ref="A2641"/>
    <hyperlink r:id="rId2966" ref="J2641"/>
    <hyperlink r:id="rId2967" ref="A2642"/>
    <hyperlink r:id="rId2968" ref="J2642"/>
    <hyperlink r:id="rId2969" ref="A2643"/>
    <hyperlink r:id="rId2970" ref="J2643"/>
    <hyperlink r:id="rId2971" ref="J2644"/>
    <hyperlink r:id="rId2972" ref="A2645"/>
    <hyperlink r:id="rId2973" ref="J2645"/>
    <hyperlink r:id="rId2974" ref="J2646"/>
    <hyperlink r:id="rId2975" ref="A2647"/>
    <hyperlink r:id="rId2976" ref="J2647"/>
    <hyperlink r:id="rId2977" ref="A2648"/>
    <hyperlink r:id="rId2978" ref="J2648"/>
    <hyperlink r:id="rId2979" ref="A2649"/>
    <hyperlink r:id="rId2980" ref="J2649"/>
    <hyperlink r:id="rId2981" ref="A2650"/>
    <hyperlink r:id="rId2982" ref="J2650"/>
    <hyperlink r:id="rId2983" ref="A2651"/>
    <hyperlink r:id="rId2984" ref="J2651"/>
    <hyperlink r:id="rId2985" ref="A2652"/>
    <hyperlink r:id="rId2986" ref="J2652"/>
    <hyperlink r:id="rId2987" ref="A2653"/>
    <hyperlink r:id="rId2988" ref="J2653"/>
    <hyperlink r:id="rId2989" ref="A2654"/>
    <hyperlink r:id="rId2990" ref="J2654"/>
    <hyperlink r:id="rId2991" ref="A2655"/>
    <hyperlink r:id="rId2992" ref="J2655"/>
    <hyperlink r:id="rId2993" ref="A2656"/>
    <hyperlink r:id="rId2994" ref="J2656"/>
    <hyperlink r:id="rId2995" ref="J2657"/>
    <hyperlink r:id="rId2996" ref="A2658"/>
    <hyperlink r:id="rId2997" ref="J2658"/>
    <hyperlink r:id="rId2998" ref="A2659"/>
    <hyperlink r:id="rId2999" ref="J2659"/>
    <hyperlink r:id="rId3000" ref="A2660"/>
    <hyperlink r:id="rId3001" ref="J2660"/>
    <hyperlink r:id="rId3002" ref="A2661"/>
    <hyperlink r:id="rId3003" ref="J2661"/>
    <hyperlink r:id="rId3004" ref="A2662"/>
    <hyperlink r:id="rId3005" ref="J2662"/>
    <hyperlink r:id="rId3006" ref="J2663"/>
    <hyperlink r:id="rId3007" ref="A2664"/>
    <hyperlink r:id="rId3008" ref="J2664"/>
    <hyperlink r:id="rId3009" ref="A2665"/>
    <hyperlink r:id="rId3010" ref="J2665"/>
    <hyperlink r:id="rId3011" ref="J2666"/>
    <hyperlink r:id="rId3012" ref="J2667"/>
    <hyperlink r:id="rId3013" ref="J2668"/>
    <hyperlink r:id="rId3014" ref="A2669"/>
    <hyperlink r:id="rId3015" ref="J2669"/>
    <hyperlink r:id="rId3016" ref="A2670"/>
    <hyperlink r:id="rId3017" ref="J2670"/>
    <hyperlink r:id="rId3018" ref="A2671"/>
    <hyperlink r:id="rId3019" ref="J2671"/>
    <hyperlink r:id="rId3020" ref="A2672"/>
    <hyperlink r:id="rId3021" ref="J2672"/>
    <hyperlink r:id="rId3022" ref="J2673"/>
    <hyperlink r:id="rId3023" ref="J2674"/>
    <hyperlink r:id="rId3024" ref="A2675"/>
    <hyperlink r:id="rId3025" ref="J2675"/>
    <hyperlink r:id="rId3026" ref="A2676"/>
    <hyperlink r:id="rId3027" ref="J2676"/>
    <hyperlink r:id="rId3028" ref="J2677"/>
    <hyperlink r:id="rId3029" ref="A2678"/>
    <hyperlink r:id="rId3030" ref="J2678"/>
    <hyperlink r:id="rId3031" ref="A2679"/>
    <hyperlink r:id="rId3032" ref="J2679"/>
    <hyperlink r:id="rId3033" ref="A2680"/>
    <hyperlink r:id="rId3034" ref="J2680"/>
    <hyperlink r:id="rId3035" ref="J2681"/>
    <hyperlink r:id="rId3036" ref="A2682"/>
    <hyperlink r:id="rId3037" ref="J2682"/>
    <hyperlink r:id="rId3038" ref="A2683"/>
    <hyperlink r:id="rId3039" ref="J2683"/>
    <hyperlink r:id="rId3040" ref="A2684"/>
    <hyperlink r:id="rId3041" ref="J2684"/>
    <hyperlink r:id="rId3042" ref="A2685"/>
    <hyperlink r:id="rId3043" ref="J2685"/>
    <hyperlink r:id="rId3044" ref="A2686"/>
    <hyperlink r:id="rId3045" ref="J2686"/>
    <hyperlink r:id="rId3046" ref="A2687"/>
    <hyperlink r:id="rId3047" ref="J2687"/>
    <hyperlink r:id="rId3048" ref="J2688"/>
    <hyperlink r:id="rId3049" ref="J2689"/>
    <hyperlink r:id="rId3050" ref="J2690"/>
    <hyperlink r:id="rId3051" ref="A2691"/>
    <hyperlink r:id="rId3052" ref="J2691"/>
    <hyperlink r:id="rId3053" ref="A2692"/>
    <hyperlink r:id="rId3054" ref="J2692"/>
    <hyperlink r:id="rId3055" ref="A2693"/>
    <hyperlink r:id="rId3056" ref="J2693"/>
    <hyperlink r:id="rId3057" ref="J2694"/>
    <hyperlink r:id="rId3058" ref="J2695"/>
    <hyperlink r:id="rId3059" ref="A2696"/>
    <hyperlink r:id="rId3060" ref="J2696"/>
    <hyperlink r:id="rId3061" ref="J2697"/>
    <hyperlink r:id="rId3062" ref="A2698"/>
    <hyperlink r:id="rId3063" ref="J2698"/>
    <hyperlink r:id="rId3064" ref="A2699"/>
    <hyperlink r:id="rId3065" ref="J2699"/>
    <hyperlink r:id="rId3066" ref="A2700"/>
    <hyperlink r:id="rId3067" ref="J2700"/>
    <hyperlink r:id="rId3068" ref="A2701"/>
    <hyperlink r:id="rId3069" ref="J2701"/>
    <hyperlink r:id="rId3070" ref="A2702"/>
    <hyperlink r:id="rId3071" ref="J2702"/>
    <hyperlink r:id="rId3072" ref="A2703"/>
    <hyperlink r:id="rId3073" ref="J2703"/>
    <hyperlink r:id="rId3074" ref="A2704"/>
    <hyperlink r:id="rId3075" ref="J2704"/>
    <hyperlink r:id="rId3076" ref="A2705"/>
    <hyperlink r:id="rId3077" ref="J2705"/>
    <hyperlink r:id="rId3078" ref="A2706"/>
    <hyperlink r:id="rId3079" ref="J2706"/>
    <hyperlink r:id="rId3080" ref="A2707"/>
    <hyperlink r:id="rId3081" ref="J2707"/>
    <hyperlink r:id="rId3082" ref="A2708"/>
    <hyperlink r:id="rId3083" ref="J2708"/>
    <hyperlink r:id="rId3084" ref="A2709"/>
    <hyperlink r:id="rId3085" ref="J2709"/>
    <hyperlink r:id="rId3086" ref="A2710"/>
    <hyperlink r:id="rId3087" ref="J2710"/>
    <hyperlink r:id="rId3088" ref="A2711"/>
    <hyperlink r:id="rId3089" ref="J2711"/>
    <hyperlink r:id="rId3090" ref="A2712"/>
    <hyperlink r:id="rId3091" ref="J2712"/>
    <hyperlink r:id="rId3092" ref="A2713"/>
    <hyperlink r:id="rId3093" ref="J2713"/>
    <hyperlink r:id="rId3094" ref="A2714"/>
    <hyperlink r:id="rId3095" ref="J2714"/>
    <hyperlink r:id="rId3096" ref="A2715"/>
    <hyperlink r:id="rId3097" ref="J2715"/>
    <hyperlink r:id="rId3098" ref="A2716"/>
    <hyperlink r:id="rId3099" ref="J2716"/>
    <hyperlink r:id="rId3100" ref="A2717"/>
    <hyperlink r:id="rId3101" ref="J2717"/>
    <hyperlink r:id="rId3102" ref="A2718"/>
    <hyperlink r:id="rId3103" ref="J2718"/>
    <hyperlink r:id="rId3104" ref="A2719"/>
    <hyperlink r:id="rId3105" ref="J2719"/>
    <hyperlink r:id="rId3106" ref="A2720"/>
    <hyperlink r:id="rId3107" ref="J2720"/>
    <hyperlink r:id="rId3108" ref="A2721"/>
    <hyperlink r:id="rId3109" ref="J2721"/>
    <hyperlink r:id="rId3110" ref="A2722"/>
    <hyperlink r:id="rId3111" ref="J2722"/>
    <hyperlink r:id="rId3112" ref="J2723"/>
    <hyperlink r:id="rId3113" ref="A2724"/>
    <hyperlink r:id="rId3114" ref="J2724"/>
    <hyperlink r:id="rId3115" ref="A2725"/>
    <hyperlink r:id="rId3116" ref="J2725"/>
    <hyperlink r:id="rId3117" ref="A2726"/>
    <hyperlink r:id="rId3118" ref="J2726"/>
    <hyperlink r:id="rId3119" ref="A2727"/>
    <hyperlink r:id="rId3120" ref="J2727"/>
    <hyperlink r:id="rId3121" ref="J2728"/>
    <hyperlink r:id="rId3122" ref="A2729"/>
    <hyperlink r:id="rId3123" ref="J2729"/>
    <hyperlink r:id="rId3124" ref="J2730"/>
    <hyperlink r:id="rId3125" ref="J2731"/>
    <hyperlink r:id="rId3126" ref="J2732"/>
    <hyperlink r:id="rId3127" ref="A2733"/>
    <hyperlink r:id="rId3128" ref="J2733"/>
    <hyperlink r:id="rId3129" ref="A2734"/>
    <hyperlink r:id="rId3130" ref="J2734"/>
    <hyperlink r:id="rId3131" ref="A2735"/>
    <hyperlink r:id="rId3132" ref="J2735"/>
    <hyperlink r:id="rId3133" ref="A2736"/>
    <hyperlink r:id="rId3134" ref="J2736"/>
    <hyperlink r:id="rId3135" ref="A2737"/>
    <hyperlink r:id="rId3136" ref="J2737"/>
    <hyperlink r:id="rId3137" ref="A2738"/>
    <hyperlink r:id="rId3138" ref="J2738"/>
    <hyperlink r:id="rId3139" ref="A2739"/>
    <hyperlink r:id="rId3140" ref="J2739"/>
    <hyperlink r:id="rId3141" ref="A2740"/>
    <hyperlink r:id="rId3142" ref="J2740"/>
    <hyperlink r:id="rId3143" ref="A2741"/>
    <hyperlink r:id="rId3144" ref="J2741"/>
    <hyperlink r:id="rId3145" ref="J2742"/>
    <hyperlink r:id="rId3146" ref="A2743"/>
    <hyperlink r:id="rId3147" ref="J2743"/>
    <hyperlink r:id="rId3148" ref="A2744"/>
    <hyperlink r:id="rId3149" ref="J2744"/>
    <hyperlink r:id="rId3150" ref="J2745"/>
    <hyperlink r:id="rId3151" ref="J2746"/>
    <hyperlink r:id="rId3152" ref="A2747"/>
    <hyperlink r:id="rId3153" ref="J2747"/>
    <hyperlink r:id="rId3154" ref="A2748"/>
    <hyperlink r:id="rId3155" ref="J2748"/>
    <hyperlink r:id="rId3156" ref="A2749"/>
    <hyperlink r:id="rId3157" ref="J2749"/>
    <hyperlink r:id="rId3158" ref="A2750"/>
    <hyperlink r:id="rId3159" ref="J2750"/>
    <hyperlink r:id="rId3160" ref="A2751"/>
    <hyperlink r:id="rId3161" ref="J2751"/>
    <hyperlink r:id="rId3162" ref="A2752"/>
    <hyperlink r:id="rId3163" ref="J2752"/>
    <hyperlink r:id="rId3164" ref="J2753"/>
    <hyperlink r:id="rId3165" ref="A2754"/>
    <hyperlink r:id="rId3166" ref="J2754"/>
    <hyperlink r:id="rId3167" ref="A2755"/>
    <hyperlink r:id="rId3168" ref="J2755"/>
    <hyperlink r:id="rId3169" ref="J2756"/>
    <hyperlink r:id="rId3170" ref="J2757"/>
    <hyperlink r:id="rId3171" ref="A2758"/>
    <hyperlink r:id="rId3172" ref="J2758"/>
    <hyperlink r:id="rId3173" ref="A2759"/>
    <hyperlink r:id="rId3174" ref="J2759"/>
    <hyperlink r:id="rId3175" ref="A2760"/>
    <hyperlink r:id="rId3176" ref="J2760"/>
    <hyperlink r:id="rId3177" ref="J2761"/>
    <hyperlink r:id="rId3178" ref="A2762"/>
    <hyperlink r:id="rId3179" ref="J2762"/>
    <hyperlink r:id="rId3180" ref="A2763"/>
    <hyperlink r:id="rId3181" ref="J2763"/>
    <hyperlink r:id="rId3182" ref="A2764"/>
    <hyperlink r:id="rId3183" ref="J2764"/>
    <hyperlink r:id="rId3184" ref="A2765"/>
    <hyperlink r:id="rId3185" ref="J2765"/>
    <hyperlink r:id="rId3186" ref="A2766"/>
    <hyperlink r:id="rId3187" ref="J2766"/>
    <hyperlink r:id="rId3188" ref="J2767"/>
    <hyperlink r:id="rId3189" ref="A2768"/>
    <hyperlink r:id="rId3190" ref="J2768"/>
    <hyperlink r:id="rId3191" ref="A2769"/>
    <hyperlink r:id="rId3192" ref="J2769"/>
    <hyperlink r:id="rId3193" ref="A2770"/>
    <hyperlink r:id="rId3194" ref="J2770"/>
    <hyperlink r:id="rId3195" ref="A2771"/>
    <hyperlink r:id="rId3196" ref="J2771"/>
    <hyperlink r:id="rId3197" ref="A2772"/>
    <hyperlink r:id="rId3198" ref="J2772"/>
    <hyperlink r:id="rId3199" ref="A2773"/>
    <hyperlink r:id="rId3200" ref="J2773"/>
    <hyperlink r:id="rId3201" ref="A2774"/>
    <hyperlink r:id="rId3202" ref="J2774"/>
    <hyperlink r:id="rId3203" ref="J2775"/>
    <hyperlink r:id="rId3204" ref="J2776"/>
    <hyperlink r:id="rId3205" ref="A2777"/>
    <hyperlink r:id="rId3206" ref="J2777"/>
    <hyperlink r:id="rId3207" ref="A2778"/>
    <hyperlink r:id="rId3208" ref="J2778"/>
    <hyperlink r:id="rId3209" ref="J2779"/>
    <hyperlink r:id="rId3210" ref="A2780"/>
    <hyperlink r:id="rId3211" ref="J2780"/>
    <hyperlink r:id="rId3212" ref="A2781"/>
    <hyperlink r:id="rId3213" ref="J2781"/>
    <hyperlink r:id="rId3214" ref="A2782"/>
    <hyperlink r:id="rId3215" ref="J2782"/>
    <hyperlink r:id="rId3216" ref="J2783"/>
    <hyperlink r:id="rId3217" ref="A2784"/>
    <hyperlink r:id="rId3218" ref="J2784"/>
    <hyperlink r:id="rId3219" ref="J2785"/>
    <hyperlink r:id="rId3220" ref="A2786"/>
    <hyperlink r:id="rId3221" ref="J2786"/>
    <hyperlink r:id="rId3222" ref="J2787"/>
    <hyperlink r:id="rId3223" ref="A2788"/>
    <hyperlink r:id="rId3224" ref="J2788"/>
    <hyperlink r:id="rId3225" ref="A2789"/>
    <hyperlink r:id="rId3226" ref="J2789"/>
    <hyperlink r:id="rId3227" ref="J2790"/>
    <hyperlink r:id="rId3228" ref="A2791"/>
    <hyperlink r:id="rId3229" ref="J2791"/>
    <hyperlink r:id="rId3230" ref="A2792"/>
    <hyperlink r:id="rId3231" ref="J2792"/>
    <hyperlink r:id="rId3232" ref="J2793"/>
    <hyperlink r:id="rId3233" ref="J2794"/>
    <hyperlink r:id="rId3234" ref="A2795"/>
    <hyperlink r:id="rId3235" ref="J2795"/>
    <hyperlink r:id="rId3236" ref="J2796"/>
    <hyperlink r:id="rId3237" ref="A2797"/>
    <hyperlink r:id="rId3238" ref="J2797"/>
    <hyperlink r:id="rId3239" ref="J2798"/>
    <hyperlink r:id="rId3240" ref="A2799"/>
    <hyperlink r:id="rId3241" ref="J2799"/>
    <hyperlink r:id="rId3242" ref="A2800"/>
    <hyperlink r:id="rId3243" ref="J2800"/>
    <hyperlink r:id="rId3244" ref="A2801"/>
    <hyperlink r:id="rId3245" ref="J2801"/>
    <hyperlink r:id="rId3246" ref="A2802"/>
    <hyperlink r:id="rId3247" ref="J2802"/>
    <hyperlink r:id="rId3248" ref="J2803"/>
    <hyperlink r:id="rId3249" ref="J2804"/>
    <hyperlink r:id="rId3250" ref="J2805"/>
    <hyperlink r:id="rId3251" ref="A2806"/>
    <hyperlink r:id="rId3252" ref="J2806"/>
    <hyperlink r:id="rId3253" ref="A2807"/>
    <hyperlink r:id="rId3254" ref="J2807"/>
    <hyperlink r:id="rId3255" ref="A2808"/>
    <hyperlink r:id="rId3256" ref="J2808"/>
    <hyperlink r:id="rId3257" ref="A2809"/>
    <hyperlink r:id="rId3258" ref="J2809"/>
    <hyperlink r:id="rId3259" ref="A2810"/>
    <hyperlink r:id="rId3260" ref="J2810"/>
    <hyperlink r:id="rId3261" ref="A2811"/>
    <hyperlink r:id="rId3262" ref="J2811"/>
    <hyperlink r:id="rId3263" ref="J2812"/>
    <hyperlink r:id="rId3264" ref="A2813"/>
    <hyperlink r:id="rId3265" ref="J2813"/>
    <hyperlink r:id="rId3266" ref="A2814"/>
    <hyperlink r:id="rId3267" ref="J2814"/>
    <hyperlink r:id="rId3268" ref="J2815"/>
    <hyperlink r:id="rId3269" ref="A2816"/>
    <hyperlink r:id="rId3270" ref="J2816"/>
    <hyperlink r:id="rId3271" ref="A2817"/>
    <hyperlink r:id="rId3272" ref="J2817"/>
    <hyperlink r:id="rId3273" ref="A2818"/>
    <hyperlink r:id="rId3274" ref="J2818"/>
    <hyperlink r:id="rId3275" ref="A2819"/>
    <hyperlink r:id="rId3276" ref="J2819"/>
    <hyperlink r:id="rId3277" ref="A2820"/>
    <hyperlink r:id="rId3278" ref="J2820"/>
    <hyperlink r:id="rId3279" ref="J2821"/>
    <hyperlink r:id="rId3280" ref="A2822"/>
    <hyperlink r:id="rId3281" ref="J2822"/>
    <hyperlink r:id="rId3282" ref="J2823"/>
    <hyperlink r:id="rId3283" ref="J2824"/>
    <hyperlink r:id="rId3284" ref="J2825"/>
    <hyperlink r:id="rId3285" ref="A2826"/>
    <hyperlink r:id="rId3286" ref="J2826"/>
    <hyperlink r:id="rId3287" ref="A2827"/>
    <hyperlink r:id="rId3288" ref="J2827"/>
    <hyperlink r:id="rId3289" ref="A2828"/>
    <hyperlink r:id="rId3290" ref="J2828"/>
    <hyperlink r:id="rId3291" ref="A2829"/>
    <hyperlink r:id="rId3292" ref="J2829"/>
    <hyperlink r:id="rId3293" ref="A2830"/>
    <hyperlink r:id="rId3294" ref="J2830"/>
    <hyperlink r:id="rId3295" ref="J2831"/>
    <hyperlink r:id="rId3296" ref="A2832"/>
    <hyperlink r:id="rId3297" ref="J2832"/>
    <hyperlink r:id="rId3298" ref="A2833"/>
    <hyperlink r:id="rId3299" ref="J2833"/>
    <hyperlink r:id="rId3300" ref="A2834"/>
    <hyperlink r:id="rId3301" ref="J2834"/>
    <hyperlink r:id="rId3302" ref="J2835"/>
    <hyperlink r:id="rId3303" ref="J2836"/>
    <hyperlink r:id="rId3304" ref="J2837"/>
    <hyperlink r:id="rId3305" ref="J2838"/>
    <hyperlink r:id="rId3306" ref="A2839"/>
    <hyperlink r:id="rId3307" ref="J2839"/>
    <hyperlink r:id="rId3308" ref="A2840"/>
    <hyperlink r:id="rId3309" ref="J2840"/>
    <hyperlink r:id="rId3310" ref="A2841"/>
    <hyperlink r:id="rId3311" ref="J2841"/>
    <hyperlink r:id="rId3312" ref="A2842"/>
    <hyperlink r:id="rId3313" ref="J2842"/>
    <hyperlink r:id="rId3314" ref="A2843"/>
    <hyperlink r:id="rId3315" ref="J2843"/>
    <hyperlink r:id="rId3316" ref="A2844"/>
    <hyperlink r:id="rId3317" ref="J2844"/>
    <hyperlink r:id="rId3318" ref="A2845"/>
    <hyperlink r:id="rId3319" ref="J2845"/>
    <hyperlink r:id="rId3320" ref="A2846"/>
    <hyperlink r:id="rId3321" ref="J2846"/>
    <hyperlink r:id="rId3322" ref="J2847"/>
    <hyperlink r:id="rId3323" ref="J2848"/>
    <hyperlink r:id="rId3324" ref="A2849"/>
    <hyperlink r:id="rId3325" ref="J2849"/>
    <hyperlink r:id="rId3326" ref="A2850"/>
    <hyperlink r:id="rId3327" ref="J2850"/>
    <hyperlink r:id="rId3328" ref="A2851"/>
    <hyperlink r:id="rId3329" ref="J2851"/>
    <hyperlink r:id="rId3330" ref="J2852"/>
    <hyperlink r:id="rId3331" ref="A2853"/>
    <hyperlink r:id="rId3332" ref="J2853"/>
    <hyperlink r:id="rId3333" ref="J2854"/>
    <hyperlink r:id="rId3334" ref="J2855"/>
    <hyperlink r:id="rId3335" ref="J2856"/>
    <hyperlink r:id="rId3336" ref="A2857"/>
    <hyperlink r:id="rId3337" ref="J2857"/>
    <hyperlink r:id="rId3338" ref="J2858"/>
    <hyperlink r:id="rId3339" ref="A2859"/>
    <hyperlink r:id="rId3340" ref="J2859"/>
    <hyperlink r:id="rId3341" ref="A2860"/>
    <hyperlink r:id="rId3342" ref="J2860"/>
    <hyperlink r:id="rId3343" ref="A2861"/>
    <hyperlink r:id="rId3344" ref="J2861"/>
    <hyperlink r:id="rId3345" ref="A2862"/>
    <hyperlink r:id="rId3346" ref="J2862"/>
    <hyperlink r:id="rId3347" ref="J2863"/>
    <hyperlink r:id="rId3348" ref="J2864"/>
    <hyperlink r:id="rId3349" ref="J2865"/>
    <hyperlink r:id="rId3350" ref="A2866"/>
    <hyperlink r:id="rId3351" ref="J2866"/>
    <hyperlink r:id="rId3352" ref="A2867"/>
    <hyperlink r:id="rId3353" ref="J2867"/>
    <hyperlink r:id="rId3354" ref="A2868"/>
    <hyperlink r:id="rId3355" ref="J2868"/>
    <hyperlink r:id="rId3356" ref="A2869"/>
    <hyperlink r:id="rId3357" ref="J2869"/>
    <hyperlink r:id="rId3358" ref="A2870"/>
    <hyperlink r:id="rId3359" ref="J2870"/>
    <hyperlink r:id="rId3360" ref="A2871"/>
    <hyperlink r:id="rId3361" ref="J2871"/>
    <hyperlink r:id="rId3362" ref="A2872"/>
    <hyperlink r:id="rId3363" ref="J2872"/>
    <hyperlink r:id="rId3364" ref="A2873"/>
    <hyperlink r:id="rId3365" ref="J2873"/>
    <hyperlink r:id="rId3366" ref="A2874"/>
    <hyperlink r:id="rId3367" ref="J2874"/>
    <hyperlink r:id="rId3368" ref="A2875"/>
    <hyperlink r:id="rId3369" ref="J2875"/>
    <hyperlink r:id="rId3370" ref="J2876"/>
    <hyperlink r:id="rId3371" ref="J2877"/>
    <hyperlink r:id="rId3372" ref="A2878"/>
    <hyperlink r:id="rId3373" ref="J2878"/>
    <hyperlink r:id="rId3374" ref="A2879"/>
    <hyperlink r:id="rId3375" ref="J2879"/>
    <hyperlink r:id="rId3376" ref="A2880"/>
    <hyperlink r:id="rId3377" ref="J2880"/>
    <hyperlink r:id="rId3378" ref="J2881"/>
    <hyperlink r:id="rId3379" ref="A2882"/>
    <hyperlink r:id="rId3380" ref="J2882"/>
    <hyperlink r:id="rId3381" ref="A2883"/>
    <hyperlink r:id="rId3382" ref="J2883"/>
    <hyperlink r:id="rId3383" ref="J2884"/>
    <hyperlink r:id="rId3384" ref="A2885"/>
    <hyperlink r:id="rId3385" ref="J2885"/>
    <hyperlink r:id="rId3386" ref="J2886"/>
    <hyperlink r:id="rId3387" ref="A2887"/>
    <hyperlink r:id="rId3388" ref="J2887"/>
    <hyperlink r:id="rId3389" ref="J2888"/>
    <hyperlink r:id="rId3390" ref="A2889"/>
    <hyperlink r:id="rId3391" ref="J2889"/>
    <hyperlink r:id="rId3392" ref="A2890"/>
    <hyperlink r:id="rId3393" ref="J2890"/>
    <hyperlink r:id="rId3394" ref="A2891"/>
    <hyperlink r:id="rId3395" ref="J2891"/>
    <hyperlink r:id="rId3396" ref="A2892"/>
    <hyperlink r:id="rId3397" ref="J2892"/>
    <hyperlink r:id="rId3398" ref="A2893"/>
    <hyperlink r:id="rId3399" ref="J2893"/>
    <hyperlink r:id="rId3400" ref="A2894"/>
    <hyperlink r:id="rId3401" ref="J2894"/>
    <hyperlink r:id="rId3402" ref="A2895"/>
    <hyperlink r:id="rId3403" ref="J2895"/>
    <hyperlink r:id="rId3404" ref="J2896"/>
    <hyperlink r:id="rId3405" ref="A2897"/>
    <hyperlink r:id="rId3406" ref="J2897"/>
    <hyperlink r:id="rId3407" ref="A2898"/>
    <hyperlink r:id="rId3408" ref="J2898"/>
    <hyperlink r:id="rId3409" ref="A2899"/>
    <hyperlink r:id="rId3410" ref="J2899"/>
    <hyperlink r:id="rId3411" ref="J2900"/>
    <hyperlink r:id="rId3412" ref="A2901"/>
    <hyperlink r:id="rId3413" ref="J2901"/>
    <hyperlink r:id="rId3414" ref="A2902"/>
    <hyperlink r:id="rId3415" ref="J2902"/>
    <hyperlink r:id="rId3416" ref="A2903"/>
    <hyperlink r:id="rId3417" ref="J2903"/>
    <hyperlink r:id="rId3418" ref="A2904"/>
    <hyperlink r:id="rId3419" ref="J2904"/>
    <hyperlink r:id="rId3420" ref="J2905"/>
    <hyperlink r:id="rId3421" ref="A2906"/>
    <hyperlink r:id="rId3422" ref="J2906"/>
    <hyperlink r:id="rId3423" ref="A2907"/>
    <hyperlink r:id="rId3424" ref="J2907"/>
    <hyperlink r:id="rId3425" ref="A2908"/>
    <hyperlink r:id="rId3426" ref="J2908"/>
    <hyperlink r:id="rId3427" ref="A2909"/>
    <hyperlink r:id="rId3428" ref="J2909"/>
    <hyperlink r:id="rId3429" ref="A2910"/>
    <hyperlink r:id="rId3430" ref="J2910"/>
    <hyperlink r:id="rId3431" ref="J2911"/>
    <hyperlink r:id="rId3432" ref="A2912"/>
    <hyperlink r:id="rId3433" ref="J2912"/>
    <hyperlink r:id="rId3434" ref="A2913"/>
    <hyperlink r:id="rId3435" ref="J2913"/>
    <hyperlink r:id="rId3436" ref="A2914"/>
    <hyperlink r:id="rId3437" ref="J2914"/>
    <hyperlink r:id="rId3438" ref="J2915"/>
    <hyperlink r:id="rId3439" ref="A2916"/>
    <hyperlink r:id="rId3440" ref="J2916"/>
    <hyperlink r:id="rId3441" ref="J2917"/>
    <hyperlink r:id="rId3442" ref="A2918"/>
    <hyperlink r:id="rId3443" ref="J2918"/>
    <hyperlink r:id="rId3444" ref="J2919"/>
    <hyperlink r:id="rId3445" ref="A2920"/>
    <hyperlink r:id="rId3446" ref="J2920"/>
    <hyperlink r:id="rId3447" ref="A2921"/>
    <hyperlink r:id="rId3448" ref="J2921"/>
    <hyperlink r:id="rId3449" ref="A2922"/>
    <hyperlink r:id="rId3450" ref="J2922"/>
    <hyperlink r:id="rId3451" ref="A2923"/>
    <hyperlink r:id="rId3452" ref="J2923"/>
    <hyperlink r:id="rId3453" ref="A2924"/>
    <hyperlink r:id="rId3454" ref="J2924"/>
    <hyperlink r:id="rId3455" ref="J2925"/>
    <hyperlink r:id="rId3456" ref="A2926"/>
    <hyperlink r:id="rId3457" ref="J2926"/>
    <hyperlink r:id="rId3458" ref="A2927"/>
    <hyperlink r:id="rId3459" ref="J2927"/>
    <hyperlink r:id="rId3460" ref="J2928"/>
    <hyperlink r:id="rId3461" ref="J2929"/>
    <hyperlink r:id="rId3462" ref="A2930"/>
    <hyperlink r:id="rId3463" ref="J2930"/>
    <hyperlink r:id="rId3464" ref="A2931"/>
    <hyperlink r:id="rId3465" ref="J2931"/>
    <hyperlink r:id="rId3466" ref="J2932"/>
    <hyperlink r:id="rId3467" ref="A2933"/>
    <hyperlink r:id="rId3468" ref="J2933"/>
    <hyperlink r:id="rId3469" ref="A2934"/>
    <hyperlink r:id="rId3470" ref="J2934"/>
    <hyperlink r:id="rId3471" ref="J2935"/>
    <hyperlink r:id="rId3472" ref="A2936"/>
    <hyperlink r:id="rId3473" ref="J2936"/>
    <hyperlink r:id="rId3474" ref="A2937"/>
    <hyperlink r:id="rId3475" ref="J2937"/>
    <hyperlink r:id="rId3476" ref="J2938"/>
    <hyperlink r:id="rId3477" ref="A2939"/>
    <hyperlink r:id="rId3478" ref="J2939"/>
    <hyperlink r:id="rId3479" ref="A2940"/>
    <hyperlink r:id="rId3480" ref="J2940"/>
    <hyperlink r:id="rId3481" ref="A2941"/>
    <hyperlink r:id="rId3482" ref="J2941"/>
    <hyperlink r:id="rId3483" ref="A2942"/>
    <hyperlink r:id="rId3484" ref="J2942"/>
    <hyperlink r:id="rId3485" ref="A2943"/>
    <hyperlink r:id="rId3486" ref="J2943"/>
    <hyperlink r:id="rId3487" ref="A2944"/>
    <hyperlink r:id="rId3488" ref="J2944"/>
    <hyperlink r:id="rId3489" ref="A2945"/>
    <hyperlink r:id="rId3490" ref="J2945"/>
    <hyperlink r:id="rId3491" ref="A2946"/>
    <hyperlink r:id="rId3492" ref="J2946"/>
    <hyperlink r:id="rId3493" ref="A2947"/>
    <hyperlink r:id="rId3494" ref="J2947"/>
    <hyperlink r:id="rId3495" ref="A2948"/>
    <hyperlink r:id="rId3496" ref="J2948"/>
    <hyperlink r:id="rId3497" ref="A2949"/>
    <hyperlink r:id="rId3498" ref="J2949"/>
    <hyperlink r:id="rId3499" ref="J2950"/>
    <hyperlink r:id="rId3500" ref="A2951"/>
    <hyperlink r:id="rId3501" ref="J2951"/>
    <hyperlink r:id="rId3502" ref="A2952"/>
    <hyperlink r:id="rId3503" ref="J2952"/>
    <hyperlink r:id="rId3504" ref="A2953"/>
    <hyperlink r:id="rId3505" ref="J2953"/>
    <hyperlink r:id="rId3506" ref="J2954"/>
    <hyperlink r:id="rId3507" ref="A2955"/>
    <hyperlink r:id="rId3508" ref="J2955"/>
    <hyperlink r:id="rId3509" ref="A2956"/>
    <hyperlink r:id="rId3510" ref="J2956"/>
    <hyperlink r:id="rId3511" ref="A2957"/>
    <hyperlink r:id="rId3512" ref="J2957"/>
    <hyperlink r:id="rId3513" ref="A2958"/>
    <hyperlink r:id="rId3514" ref="J2958"/>
    <hyperlink r:id="rId3515" ref="A2959"/>
    <hyperlink r:id="rId3516" ref="J2959"/>
    <hyperlink r:id="rId3517" ref="A2960"/>
    <hyperlink r:id="rId3518" ref="J2960"/>
    <hyperlink r:id="rId3519" ref="A2961"/>
    <hyperlink r:id="rId3520" ref="J2961"/>
    <hyperlink r:id="rId3521" ref="A2962"/>
    <hyperlink r:id="rId3522" ref="J2962"/>
    <hyperlink r:id="rId3523" ref="A2963"/>
    <hyperlink r:id="rId3524" ref="J2963"/>
    <hyperlink r:id="rId3525" ref="J2964"/>
    <hyperlink r:id="rId3526" ref="A2965"/>
    <hyperlink r:id="rId3527" ref="J2965"/>
    <hyperlink r:id="rId3528" ref="A2966"/>
    <hyperlink r:id="rId3529" ref="J2966"/>
    <hyperlink r:id="rId3530" ref="A2967"/>
    <hyperlink r:id="rId3531" ref="J2967"/>
    <hyperlink r:id="rId3532" ref="J2968"/>
    <hyperlink r:id="rId3533" ref="A2969"/>
    <hyperlink r:id="rId3534" ref="J2969"/>
    <hyperlink r:id="rId3535" ref="A2970"/>
    <hyperlink r:id="rId3536" ref="J2970"/>
    <hyperlink r:id="rId3537" ref="J2971"/>
    <hyperlink r:id="rId3538" ref="J2972"/>
    <hyperlink r:id="rId3539" ref="A2973"/>
    <hyperlink r:id="rId3540" ref="J2973"/>
    <hyperlink r:id="rId3541" ref="J2974"/>
    <hyperlink r:id="rId3542" ref="A2975"/>
    <hyperlink r:id="rId3543" ref="J2975"/>
    <hyperlink r:id="rId3544" ref="J2976"/>
    <hyperlink r:id="rId3545" ref="J2977"/>
    <hyperlink r:id="rId3546" ref="A2978"/>
    <hyperlink r:id="rId3547" ref="J2978"/>
    <hyperlink r:id="rId3548" ref="J2979"/>
    <hyperlink r:id="rId3549" ref="A2980"/>
    <hyperlink r:id="rId3550" ref="J2980"/>
    <hyperlink r:id="rId3551" ref="A2981"/>
    <hyperlink r:id="rId3552" ref="J2981"/>
    <hyperlink r:id="rId3553" ref="J2982"/>
    <hyperlink r:id="rId3554" ref="A2983"/>
    <hyperlink r:id="rId3555" ref="J2983"/>
    <hyperlink r:id="rId3556" ref="A2984"/>
    <hyperlink r:id="rId3557" ref="J2984"/>
    <hyperlink r:id="rId3558" ref="A2985"/>
    <hyperlink r:id="rId3559" ref="J2985"/>
    <hyperlink r:id="rId3560" ref="A2986"/>
    <hyperlink r:id="rId3561" ref="J2986"/>
    <hyperlink r:id="rId3562" ref="A2987"/>
    <hyperlink r:id="rId3563" ref="J2987"/>
    <hyperlink r:id="rId3564" ref="A2988"/>
    <hyperlink r:id="rId3565" ref="J2988"/>
    <hyperlink r:id="rId3566" ref="A2989"/>
    <hyperlink r:id="rId3567" ref="J2989"/>
    <hyperlink r:id="rId3568" ref="A2990"/>
    <hyperlink r:id="rId3569" ref="J2990"/>
    <hyperlink r:id="rId3570" ref="A2991"/>
    <hyperlink r:id="rId3571" ref="J2991"/>
    <hyperlink r:id="rId3572" ref="A2992"/>
    <hyperlink r:id="rId3573" ref="J2992"/>
    <hyperlink r:id="rId3574" ref="A2993"/>
    <hyperlink r:id="rId3575" ref="J2993"/>
    <hyperlink r:id="rId3576" ref="A2994"/>
    <hyperlink r:id="rId3577" ref="J2994"/>
    <hyperlink r:id="rId3578" ref="A2995"/>
    <hyperlink r:id="rId3579" ref="J2995"/>
    <hyperlink r:id="rId3580" ref="A2996"/>
    <hyperlink r:id="rId3581" ref="J2996"/>
    <hyperlink r:id="rId3582" ref="A2997"/>
    <hyperlink r:id="rId3583" ref="J2997"/>
    <hyperlink r:id="rId3584" ref="A2998"/>
    <hyperlink r:id="rId3585" ref="J2998"/>
    <hyperlink r:id="rId3586" ref="A2999"/>
    <hyperlink r:id="rId3587" ref="J2999"/>
    <hyperlink r:id="rId3588" ref="A3000"/>
    <hyperlink r:id="rId3589" ref="J3000"/>
    <hyperlink r:id="rId3590" ref="A3001"/>
    <hyperlink r:id="rId3591" ref="J3001"/>
    <hyperlink r:id="rId3592" ref="A3002"/>
    <hyperlink r:id="rId3593" ref="J3002"/>
    <hyperlink r:id="rId3594" ref="A3003"/>
    <hyperlink r:id="rId3595" ref="J3003"/>
    <hyperlink r:id="rId3596" ref="A3004"/>
    <hyperlink r:id="rId3597" ref="J3004"/>
    <hyperlink r:id="rId3598" ref="A3005"/>
    <hyperlink r:id="rId3599" ref="J3005"/>
    <hyperlink r:id="rId3600" ref="A3006"/>
    <hyperlink r:id="rId3601" ref="J3006"/>
    <hyperlink r:id="rId3602" ref="A3007"/>
    <hyperlink r:id="rId3603" ref="J3007"/>
    <hyperlink r:id="rId3604" ref="A3008"/>
    <hyperlink r:id="rId3605" ref="J3008"/>
    <hyperlink r:id="rId3606" ref="J3009"/>
    <hyperlink r:id="rId3607" ref="A3010"/>
    <hyperlink r:id="rId3608" ref="J3010"/>
    <hyperlink r:id="rId3609" ref="A3011"/>
    <hyperlink r:id="rId3610" ref="J3011"/>
    <hyperlink r:id="rId3611" ref="A3012"/>
    <hyperlink r:id="rId3612" ref="J3012"/>
    <hyperlink r:id="rId3613" ref="A3013"/>
    <hyperlink r:id="rId3614" ref="J3013"/>
    <hyperlink r:id="rId3615" ref="A3014"/>
    <hyperlink r:id="rId3616" ref="J3014"/>
    <hyperlink r:id="rId3617" ref="A3015"/>
    <hyperlink r:id="rId3618" ref="J3015"/>
    <hyperlink r:id="rId3619" ref="A3016"/>
    <hyperlink r:id="rId3620" ref="J3016"/>
    <hyperlink r:id="rId3621" ref="J3017"/>
    <hyperlink r:id="rId3622" ref="J3018"/>
    <hyperlink r:id="rId3623" ref="A3019"/>
    <hyperlink r:id="rId3624" ref="J3019"/>
    <hyperlink r:id="rId3625" ref="A3020"/>
    <hyperlink r:id="rId3626" ref="J3020"/>
    <hyperlink r:id="rId3627" ref="A3021"/>
    <hyperlink r:id="rId3628" ref="J3021"/>
    <hyperlink r:id="rId3629" ref="A3022"/>
    <hyperlink r:id="rId3630" ref="J3022"/>
    <hyperlink r:id="rId3631" ref="A3023"/>
    <hyperlink r:id="rId3632" ref="J3023"/>
    <hyperlink r:id="rId3633" ref="A3024"/>
    <hyperlink r:id="rId3634" ref="J3024"/>
    <hyperlink r:id="rId3635" ref="A3025"/>
    <hyperlink r:id="rId3636" ref="J3025"/>
    <hyperlink r:id="rId3637" ref="A3026"/>
    <hyperlink r:id="rId3638" ref="J3026"/>
    <hyperlink r:id="rId3639" ref="A3027"/>
    <hyperlink r:id="rId3640" ref="J3027"/>
    <hyperlink r:id="rId3641" ref="A3028"/>
    <hyperlink r:id="rId3642" ref="J3028"/>
    <hyperlink r:id="rId3643" ref="A3029"/>
    <hyperlink r:id="rId3644" ref="J3029"/>
    <hyperlink r:id="rId3645" ref="J3030"/>
    <hyperlink r:id="rId3646" ref="J3031"/>
    <hyperlink r:id="rId3647" ref="A3032"/>
    <hyperlink r:id="rId3648" ref="J3032"/>
    <hyperlink r:id="rId3649" ref="J3033"/>
    <hyperlink r:id="rId3650" ref="A3034"/>
    <hyperlink r:id="rId3651" ref="J3034"/>
    <hyperlink r:id="rId3652" ref="A3035"/>
    <hyperlink r:id="rId3653" ref="J3035"/>
    <hyperlink r:id="rId3654" ref="A3036"/>
    <hyperlink r:id="rId3655" ref="J3036"/>
    <hyperlink r:id="rId3656" ref="A3037"/>
    <hyperlink r:id="rId3657" ref="J3037"/>
    <hyperlink r:id="rId3658" ref="A3038"/>
    <hyperlink r:id="rId3659" ref="J3038"/>
    <hyperlink r:id="rId3660" ref="A3039"/>
    <hyperlink r:id="rId3661" ref="J3039"/>
    <hyperlink r:id="rId3662" ref="A3040"/>
    <hyperlink r:id="rId3663" ref="J3040"/>
    <hyperlink r:id="rId3664" ref="A3041"/>
    <hyperlink r:id="rId3665" ref="J3041"/>
    <hyperlink r:id="rId3666" ref="J3042"/>
    <hyperlink r:id="rId3667" ref="A3043"/>
    <hyperlink r:id="rId3668" ref="J3043"/>
    <hyperlink r:id="rId3669" ref="A3044"/>
    <hyperlink r:id="rId3670" ref="J3044"/>
    <hyperlink r:id="rId3671" ref="A3045"/>
    <hyperlink r:id="rId3672" ref="J3045"/>
    <hyperlink r:id="rId3673" ref="A3046"/>
    <hyperlink r:id="rId3674" ref="J3046"/>
    <hyperlink r:id="rId3675" ref="A3047"/>
    <hyperlink r:id="rId3676" ref="J3047"/>
    <hyperlink r:id="rId3677" ref="A3048"/>
    <hyperlink r:id="rId3678" ref="J3048"/>
    <hyperlink r:id="rId3679" ref="A3049"/>
    <hyperlink r:id="rId3680" ref="J3049"/>
    <hyperlink r:id="rId3681" ref="A3050"/>
    <hyperlink r:id="rId3682" ref="J3050"/>
    <hyperlink r:id="rId3683" ref="A3051"/>
    <hyperlink r:id="rId3684" ref="J3051"/>
    <hyperlink r:id="rId3685" ref="A3052"/>
    <hyperlink r:id="rId3686" ref="J3052"/>
    <hyperlink r:id="rId3687" ref="J3053"/>
    <hyperlink r:id="rId3688" ref="A3054"/>
    <hyperlink r:id="rId3689" ref="J3054"/>
    <hyperlink r:id="rId3690" ref="A3055"/>
    <hyperlink r:id="rId3691" ref="J3055"/>
    <hyperlink r:id="rId3692" ref="A3056"/>
    <hyperlink r:id="rId3693" ref="J3056"/>
    <hyperlink r:id="rId3694" ref="A3057"/>
    <hyperlink r:id="rId3695" ref="J3057"/>
    <hyperlink r:id="rId3696" ref="A3058"/>
    <hyperlink r:id="rId3697" ref="J3058"/>
    <hyperlink r:id="rId3698" ref="A3059"/>
    <hyperlink r:id="rId3699" ref="J3059"/>
    <hyperlink r:id="rId3700" ref="A3060"/>
    <hyperlink r:id="rId3701" ref="J3060"/>
    <hyperlink r:id="rId3702" ref="A3061"/>
    <hyperlink r:id="rId3703" ref="J3061"/>
    <hyperlink r:id="rId3704" ref="A3062"/>
    <hyperlink r:id="rId3705" ref="J3062"/>
    <hyperlink r:id="rId3706" ref="A3063"/>
    <hyperlink r:id="rId3707" ref="J3063"/>
    <hyperlink r:id="rId3708" ref="A3064"/>
    <hyperlink r:id="rId3709" ref="J3064"/>
    <hyperlink r:id="rId3710" ref="A3065"/>
    <hyperlink r:id="rId3711" ref="J3065"/>
    <hyperlink r:id="rId3712" ref="A3066"/>
    <hyperlink r:id="rId3713" ref="J3066"/>
    <hyperlink r:id="rId3714" ref="A3067"/>
    <hyperlink r:id="rId3715" ref="J3067"/>
    <hyperlink r:id="rId3716" ref="A3068"/>
    <hyperlink r:id="rId3717" ref="J3068"/>
    <hyperlink r:id="rId3718" ref="A3069"/>
    <hyperlink r:id="rId3719" ref="J3069"/>
    <hyperlink r:id="rId3720" ref="A3070"/>
    <hyperlink r:id="rId3721" ref="J3070"/>
    <hyperlink r:id="rId3722" ref="A3071"/>
    <hyperlink r:id="rId3723" ref="J3071"/>
    <hyperlink r:id="rId3724" ref="A3072"/>
    <hyperlink r:id="rId3725" ref="J3072"/>
    <hyperlink r:id="rId3726" ref="J3073"/>
    <hyperlink r:id="rId3727" ref="A3074"/>
    <hyperlink r:id="rId3728" ref="J3074"/>
    <hyperlink r:id="rId3729" ref="A3075"/>
    <hyperlink r:id="rId3730" ref="J3075"/>
    <hyperlink r:id="rId3731" ref="J3076"/>
    <hyperlink r:id="rId3732" ref="A3077"/>
    <hyperlink r:id="rId3733" ref="J3077"/>
    <hyperlink r:id="rId3734" ref="A3078"/>
    <hyperlink r:id="rId3735" ref="J3078"/>
    <hyperlink r:id="rId3736" ref="A3079"/>
    <hyperlink r:id="rId3737" ref="J3079"/>
    <hyperlink r:id="rId3738" ref="J3080"/>
    <hyperlink r:id="rId3739" ref="A3081"/>
    <hyperlink r:id="rId3740" ref="J3081"/>
    <hyperlink r:id="rId3741" ref="J3082"/>
    <hyperlink r:id="rId3742" ref="A3083"/>
    <hyperlink r:id="rId3743" ref="J3083"/>
    <hyperlink r:id="rId3744" ref="J3084"/>
    <hyperlink r:id="rId3745" ref="J3085"/>
    <hyperlink r:id="rId3746" ref="A3086"/>
    <hyperlink r:id="rId3747" ref="J3086"/>
    <hyperlink r:id="rId3748" ref="A3087"/>
    <hyperlink r:id="rId3749" ref="J3087"/>
    <hyperlink r:id="rId3750" ref="A3088"/>
    <hyperlink r:id="rId3751" ref="J3088"/>
    <hyperlink r:id="rId3752" ref="J3089"/>
    <hyperlink r:id="rId3753" ref="A3090"/>
    <hyperlink r:id="rId3754" ref="J3090"/>
    <hyperlink r:id="rId3755" ref="A3091"/>
    <hyperlink r:id="rId3756" ref="J3091"/>
    <hyperlink r:id="rId3757" ref="J3092"/>
    <hyperlink r:id="rId3758" ref="J3093"/>
    <hyperlink r:id="rId3759" ref="A3094"/>
    <hyperlink r:id="rId3760" ref="J3094"/>
    <hyperlink r:id="rId3761" ref="A3095"/>
    <hyperlink r:id="rId3762" ref="J3095"/>
    <hyperlink r:id="rId3763" ref="A3096"/>
    <hyperlink r:id="rId3764" ref="J3096"/>
    <hyperlink r:id="rId3765" ref="A3097"/>
    <hyperlink r:id="rId3766" ref="J3097"/>
    <hyperlink r:id="rId3767" ref="J3098"/>
    <hyperlink r:id="rId3768" ref="A3099"/>
    <hyperlink r:id="rId3769" ref="J3099"/>
    <hyperlink r:id="rId3770" ref="J3100"/>
    <hyperlink r:id="rId3771" ref="A3101"/>
    <hyperlink r:id="rId3772" ref="J3101"/>
    <hyperlink r:id="rId3773" ref="A3102"/>
    <hyperlink r:id="rId3774" ref="J3102"/>
    <hyperlink r:id="rId3775" ref="A3103"/>
    <hyperlink r:id="rId3776" ref="J3103"/>
    <hyperlink r:id="rId3777" ref="A3104"/>
    <hyperlink r:id="rId3778" ref="J3104"/>
    <hyperlink r:id="rId3779" ref="J3105"/>
    <hyperlink r:id="rId3780" ref="A3106"/>
    <hyperlink r:id="rId3781" ref="J3106"/>
    <hyperlink r:id="rId3782" ref="J3107"/>
    <hyperlink r:id="rId3783" ref="A3108"/>
    <hyperlink r:id="rId3784" ref="J3108"/>
    <hyperlink r:id="rId3785" ref="A3109"/>
    <hyperlink r:id="rId3786" ref="J3109"/>
    <hyperlink r:id="rId3787" ref="A3110"/>
    <hyperlink r:id="rId3788" ref="J3110"/>
    <hyperlink r:id="rId3789" ref="A3111"/>
    <hyperlink r:id="rId3790" ref="J3111"/>
    <hyperlink r:id="rId3791" ref="J3112"/>
    <hyperlink r:id="rId3792" ref="J3113"/>
    <hyperlink r:id="rId3793" ref="J3114"/>
    <hyperlink r:id="rId3794" ref="A3115"/>
    <hyperlink r:id="rId3795" ref="J3115"/>
    <hyperlink r:id="rId3796" ref="A3116"/>
    <hyperlink r:id="rId3797" ref="J3116"/>
    <hyperlink r:id="rId3798" ref="A3117"/>
    <hyperlink r:id="rId3799" ref="J3117"/>
    <hyperlink r:id="rId3800" ref="J3118"/>
    <hyperlink r:id="rId3801" ref="J3119"/>
    <hyperlink r:id="rId3802" ref="J3120"/>
    <hyperlink r:id="rId3803" ref="J3121"/>
    <hyperlink r:id="rId3804" ref="J3122"/>
    <hyperlink r:id="rId3805" ref="J3123"/>
    <hyperlink r:id="rId3806" ref="A3124"/>
    <hyperlink r:id="rId3807" ref="J3124"/>
    <hyperlink r:id="rId3808" ref="A3125"/>
    <hyperlink r:id="rId3809" ref="J3125"/>
    <hyperlink r:id="rId3810" ref="J3126"/>
    <hyperlink r:id="rId3811" ref="A3127"/>
    <hyperlink r:id="rId3812" ref="J3127"/>
    <hyperlink r:id="rId3813" ref="J3128"/>
    <hyperlink r:id="rId3814" ref="A3129"/>
    <hyperlink r:id="rId3815" ref="J3129"/>
    <hyperlink r:id="rId3816" ref="A3130"/>
    <hyperlink r:id="rId3817" ref="J3130"/>
    <hyperlink r:id="rId3818" ref="J3131"/>
    <hyperlink r:id="rId3819" ref="A3132"/>
    <hyperlink r:id="rId3820" ref="J3132"/>
    <hyperlink r:id="rId3821" ref="J3133"/>
    <hyperlink r:id="rId3822" ref="A3134"/>
    <hyperlink r:id="rId3823" ref="J3134"/>
    <hyperlink r:id="rId3824" ref="A3135"/>
    <hyperlink r:id="rId3825" ref="J3135"/>
    <hyperlink r:id="rId3826" ref="J3136"/>
    <hyperlink r:id="rId3827" ref="J3137"/>
    <hyperlink r:id="rId3828" ref="J3138"/>
    <hyperlink r:id="rId3829" ref="J3139"/>
    <hyperlink r:id="rId3830" ref="J3140"/>
    <hyperlink r:id="rId3831" ref="J3141"/>
    <hyperlink r:id="rId3832" ref="J3142"/>
    <hyperlink r:id="rId3833" ref="J3143"/>
    <hyperlink r:id="rId3834" ref="J3144"/>
    <hyperlink r:id="rId3835" ref="J3145"/>
    <hyperlink r:id="rId3836" ref="J3146"/>
    <hyperlink r:id="rId3837" ref="J3147"/>
    <hyperlink r:id="rId3838" ref="J3148"/>
    <hyperlink r:id="rId3839" ref="J3149"/>
    <hyperlink r:id="rId3840" ref="J3150"/>
    <hyperlink r:id="rId3841" ref="J3151"/>
    <hyperlink r:id="rId3842" ref="J3152"/>
    <hyperlink r:id="rId3843" ref="A3153"/>
    <hyperlink r:id="rId3844" ref="J3153"/>
    <hyperlink r:id="rId3845" ref="A3154"/>
    <hyperlink r:id="rId3846" ref="J3154"/>
    <hyperlink r:id="rId3847" ref="J3155"/>
    <hyperlink r:id="rId3848" ref="J3156"/>
    <hyperlink r:id="rId3849" ref="A3157"/>
    <hyperlink r:id="rId3850" ref="J3157"/>
    <hyperlink r:id="rId3851" ref="J3158"/>
    <hyperlink r:id="rId3852" ref="A3159"/>
    <hyperlink r:id="rId3853" ref="J3159"/>
    <hyperlink r:id="rId3854" ref="J3160"/>
    <hyperlink r:id="rId3855" ref="J3161"/>
    <hyperlink r:id="rId3856" ref="A3162"/>
    <hyperlink r:id="rId3857" ref="J3162"/>
    <hyperlink r:id="rId3858" ref="J3163"/>
    <hyperlink r:id="rId3859" ref="A3164"/>
    <hyperlink r:id="rId3860" ref="J3164"/>
    <hyperlink r:id="rId3861" ref="A3165"/>
    <hyperlink r:id="rId3862" ref="J3165"/>
    <hyperlink r:id="rId3863" ref="J3166"/>
    <hyperlink r:id="rId3864" ref="J3167"/>
    <hyperlink r:id="rId3865" ref="A3168"/>
    <hyperlink r:id="rId3866" ref="J3168"/>
    <hyperlink r:id="rId3867" ref="A3169"/>
    <hyperlink r:id="rId3868" ref="J3169"/>
    <hyperlink r:id="rId3869" ref="A3170"/>
    <hyperlink r:id="rId3870" ref="J3170"/>
    <hyperlink r:id="rId3871" ref="J3171"/>
    <hyperlink r:id="rId3872" ref="A3172"/>
    <hyperlink r:id="rId3873" ref="J3172"/>
    <hyperlink r:id="rId3874" ref="A3173"/>
    <hyperlink r:id="rId3875" ref="J3173"/>
    <hyperlink r:id="rId3876" ref="J3174"/>
    <hyperlink r:id="rId3877" ref="A3175"/>
    <hyperlink r:id="rId3878" ref="J3175"/>
    <hyperlink r:id="rId3879" ref="J3176"/>
    <hyperlink r:id="rId3880" ref="J3177"/>
    <hyperlink r:id="rId3881" ref="J3178"/>
    <hyperlink r:id="rId3882" ref="A3179"/>
    <hyperlink r:id="rId3883" ref="J3179"/>
    <hyperlink r:id="rId3884" ref="A3180"/>
    <hyperlink r:id="rId3885" ref="J3180"/>
    <hyperlink r:id="rId3886" ref="J3181"/>
    <hyperlink r:id="rId3887" ref="A3182"/>
    <hyperlink r:id="rId3888" ref="J3182"/>
    <hyperlink r:id="rId3889" ref="J3183"/>
    <hyperlink r:id="rId3890" ref="A3184"/>
    <hyperlink r:id="rId3891" ref="J3184"/>
    <hyperlink r:id="rId3892" ref="J3185"/>
    <hyperlink r:id="rId3893" ref="J3186"/>
    <hyperlink r:id="rId3894" ref="A3187"/>
    <hyperlink r:id="rId3895" ref="J3187"/>
    <hyperlink r:id="rId3896" ref="J3188"/>
    <hyperlink r:id="rId3897" ref="A3189"/>
    <hyperlink r:id="rId3898" ref="J3189"/>
    <hyperlink r:id="rId3899" ref="J3190"/>
    <hyperlink r:id="rId3900" ref="J3191"/>
    <hyperlink r:id="rId3901" ref="A3192"/>
    <hyperlink r:id="rId3902" ref="J3192"/>
    <hyperlink r:id="rId3903" ref="J3193"/>
    <hyperlink r:id="rId3904" ref="J3194"/>
    <hyperlink r:id="rId3905" ref="J3195"/>
    <hyperlink r:id="rId3906" ref="A3196"/>
    <hyperlink r:id="rId3907" ref="J3196"/>
    <hyperlink r:id="rId3908" ref="J3197"/>
    <hyperlink r:id="rId3909" ref="A3198"/>
    <hyperlink r:id="rId3910" ref="J3198"/>
    <hyperlink r:id="rId3911" ref="A3199"/>
    <hyperlink r:id="rId3912" ref="J3199"/>
    <hyperlink r:id="rId3913" ref="A3200"/>
    <hyperlink r:id="rId3914" ref="J3200"/>
    <hyperlink r:id="rId3915" ref="A3201"/>
    <hyperlink r:id="rId3916" ref="J3201"/>
    <hyperlink r:id="rId3917" ref="A3202"/>
    <hyperlink r:id="rId3918" ref="J3202"/>
    <hyperlink r:id="rId3919" ref="J3203"/>
    <hyperlink r:id="rId3920" ref="A3204"/>
    <hyperlink r:id="rId3921" ref="J3204"/>
    <hyperlink r:id="rId3922" ref="J3205"/>
    <hyperlink r:id="rId3923" ref="A3206"/>
    <hyperlink r:id="rId3924" ref="J3206"/>
    <hyperlink r:id="rId3925" ref="A3207"/>
    <hyperlink r:id="rId3926" ref="J3207"/>
    <hyperlink r:id="rId3927" ref="A3208"/>
    <hyperlink r:id="rId3928" ref="J3208"/>
    <hyperlink r:id="rId3929" ref="J3209"/>
    <hyperlink r:id="rId3930" ref="J3210"/>
    <hyperlink r:id="rId3931" ref="J3211"/>
    <hyperlink r:id="rId3932" ref="A3212"/>
    <hyperlink r:id="rId3933" ref="J3212"/>
    <hyperlink r:id="rId3934" ref="J3213"/>
    <hyperlink r:id="rId3935" ref="A3214"/>
    <hyperlink r:id="rId3936" ref="J3214"/>
    <hyperlink r:id="rId3937" ref="A3215"/>
    <hyperlink r:id="rId3938" ref="J3215"/>
    <hyperlink r:id="rId3939" ref="A3216"/>
    <hyperlink r:id="rId3940" ref="J3216"/>
    <hyperlink r:id="rId3941" ref="J3217"/>
    <hyperlink r:id="rId3942" ref="A3218"/>
    <hyperlink r:id="rId3943" ref="J3218"/>
    <hyperlink r:id="rId3944" ref="J3219"/>
    <hyperlink r:id="rId3945" ref="J3220"/>
    <hyperlink r:id="rId3946" ref="A3221"/>
    <hyperlink r:id="rId3947" ref="J3221"/>
    <hyperlink r:id="rId3948" ref="A3222"/>
    <hyperlink r:id="rId3949" ref="J3222"/>
    <hyperlink r:id="rId3950" ref="J3223"/>
    <hyperlink r:id="rId3951" ref="J3224"/>
    <hyperlink r:id="rId3952" ref="A3225"/>
    <hyperlink r:id="rId3953" ref="J3225"/>
    <hyperlink r:id="rId3954" ref="A3226"/>
    <hyperlink r:id="rId3955" ref="J3226"/>
    <hyperlink r:id="rId3956" ref="J3227"/>
    <hyperlink r:id="rId3957" ref="A3228"/>
    <hyperlink r:id="rId3958" ref="J3228"/>
    <hyperlink r:id="rId3959" ref="A3229"/>
    <hyperlink r:id="rId3960" ref="J3229"/>
    <hyperlink r:id="rId3961" ref="A3230"/>
    <hyperlink r:id="rId3962" ref="J3230"/>
    <hyperlink r:id="rId3963" ref="A3231"/>
    <hyperlink r:id="rId3964" ref="J3231"/>
    <hyperlink r:id="rId3965" ref="A3232"/>
    <hyperlink r:id="rId3966" ref="J3232"/>
    <hyperlink r:id="rId3967" ref="A3233"/>
    <hyperlink r:id="rId3968" ref="J3233"/>
    <hyperlink r:id="rId3969" ref="J3234"/>
    <hyperlink r:id="rId3970" ref="A3235"/>
    <hyperlink r:id="rId3971" ref="J3235"/>
    <hyperlink r:id="rId3972" ref="A3236"/>
    <hyperlink r:id="rId3973" ref="J3236"/>
    <hyperlink r:id="rId3974" ref="J3237"/>
    <hyperlink r:id="rId3975" ref="A3238"/>
    <hyperlink r:id="rId3976" ref="J3238"/>
    <hyperlink r:id="rId3977" ref="A3239"/>
    <hyperlink r:id="rId3978" ref="J3239"/>
    <hyperlink r:id="rId3979" ref="J3240"/>
    <hyperlink r:id="rId3980" ref="J3241"/>
    <hyperlink r:id="rId3981" ref="J3242"/>
    <hyperlink r:id="rId3982" ref="A3243"/>
    <hyperlink r:id="rId3983" ref="J3243"/>
    <hyperlink r:id="rId3984" ref="A3244"/>
    <hyperlink r:id="rId3985" ref="J3244"/>
    <hyperlink r:id="rId3986" ref="A3245"/>
    <hyperlink r:id="rId3987" ref="J3245"/>
    <hyperlink r:id="rId3988" ref="A3246"/>
    <hyperlink r:id="rId3989" ref="J3246"/>
    <hyperlink r:id="rId3990" ref="J3247"/>
    <hyperlink r:id="rId3991" ref="J3248"/>
    <hyperlink r:id="rId3992" ref="A3249"/>
    <hyperlink r:id="rId3993" ref="J3249"/>
    <hyperlink r:id="rId3994" ref="A3250"/>
    <hyperlink r:id="rId3995" ref="J3250"/>
    <hyperlink r:id="rId3996" ref="A3251"/>
    <hyperlink r:id="rId3997" ref="J3251"/>
    <hyperlink r:id="rId3998" ref="J3252"/>
    <hyperlink r:id="rId3999" ref="J3253"/>
    <hyperlink r:id="rId4000" ref="A3254"/>
    <hyperlink r:id="rId4001" ref="J3254"/>
    <hyperlink r:id="rId4002" ref="A3255"/>
    <hyperlink r:id="rId4003" ref="J3255"/>
    <hyperlink r:id="rId4004" ref="A3256"/>
    <hyperlink r:id="rId4005" ref="J3256"/>
    <hyperlink r:id="rId4006" ref="A3257"/>
    <hyperlink r:id="rId4007" ref="J3257"/>
    <hyperlink r:id="rId4008" ref="J3258"/>
    <hyperlink r:id="rId4009" ref="A3259"/>
    <hyperlink r:id="rId4010" ref="J3259"/>
    <hyperlink r:id="rId4011" ref="A3260"/>
    <hyperlink r:id="rId4012" ref="J3260"/>
    <hyperlink r:id="rId4013" ref="A3261"/>
    <hyperlink r:id="rId4014" ref="J3261"/>
    <hyperlink r:id="rId4015" ref="A3262"/>
    <hyperlink r:id="rId4016" ref="J3262"/>
    <hyperlink r:id="rId4017" ref="A3263"/>
    <hyperlink r:id="rId4018" ref="J3263"/>
    <hyperlink r:id="rId4019" ref="A3264"/>
    <hyperlink r:id="rId4020" ref="J3264"/>
    <hyperlink r:id="rId4021" ref="A3265"/>
    <hyperlink r:id="rId4022" ref="J3265"/>
    <hyperlink r:id="rId4023" ref="A3266"/>
    <hyperlink r:id="rId4024" ref="J3266"/>
    <hyperlink r:id="rId4025" ref="A3267"/>
    <hyperlink r:id="rId4026" ref="J3267"/>
    <hyperlink r:id="rId4027" ref="A3268"/>
    <hyperlink r:id="rId4028" ref="J3268"/>
    <hyperlink r:id="rId4029" ref="A3269"/>
    <hyperlink r:id="rId4030" ref="J3269"/>
    <hyperlink r:id="rId4031" ref="A3270"/>
    <hyperlink r:id="rId4032" ref="J3270"/>
    <hyperlink r:id="rId4033" ref="A3271"/>
    <hyperlink r:id="rId4034" ref="J3271"/>
    <hyperlink r:id="rId4035" ref="A3272"/>
    <hyperlink r:id="rId4036" ref="J3272"/>
    <hyperlink r:id="rId4037" ref="J3273"/>
    <hyperlink r:id="rId4038" ref="A3274"/>
    <hyperlink r:id="rId4039" ref="J3274"/>
    <hyperlink r:id="rId4040" ref="A3275"/>
    <hyperlink r:id="rId4041" ref="J3275"/>
    <hyperlink r:id="rId4042" ref="A3276"/>
    <hyperlink r:id="rId4043" ref="J3276"/>
    <hyperlink r:id="rId4044" ref="A3277"/>
    <hyperlink r:id="rId4045" ref="J3277"/>
    <hyperlink r:id="rId4046" ref="A3278"/>
    <hyperlink r:id="rId4047" ref="J3278"/>
    <hyperlink r:id="rId4048" ref="A3279"/>
    <hyperlink r:id="rId4049" ref="J3279"/>
    <hyperlink r:id="rId4050" ref="A3280"/>
    <hyperlink r:id="rId4051" ref="J3280"/>
    <hyperlink r:id="rId4052" ref="A3281"/>
    <hyperlink r:id="rId4053" ref="J3281"/>
    <hyperlink r:id="rId4054" ref="J3282"/>
    <hyperlink r:id="rId4055" ref="A3283"/>
    <hyperlink r:id="rId4056" ref="J3283"/>
    <hyperlink r:id="rId4057" ref="J3284"/>
    <hyperlink r:id="rId4058" ref="A3285"/>
    <hyperlink r:id="rId4059" ref="J3285"/>
    <hyperlink r:id="rId4060" ref="A3286"/>
    <hyperlink r:id="rId4061" ref="J3286"/>
    <hyperlink r:id="rId4062" ref="A3287"/>
    <hyperlink r:id="rId4063" ref="J3287"/>
    <hyperlink r:id="rId4064" ref="A3288"/>
    <hyperlink r:id="rId4065" ref="J3288"/>
    <hyperlink r:id="rId4066" ref="A3289"/>
    <hyperlink r:id="rId4067" ref="J3289"/>
    <hyperlink r:id="rId4068" ref="A3290"/>
    <hyperlink r:id="rId4069" ref="J3290"/>
    <hyperlink r:id="rId4070" ref="A3291"/>
    <hyperlink r:id="rId4071" ref="J3291"/>
    <hyperlink r:id="rId4072" ref="A3292"/>
    <hyperlink r:id="rId4073" ref="J3292"/>
    <hyperlink r:id="rId4074" ref="A3293"/>
    <hyperlink r:id="rId4075" ref="J3293"/>
    <hyperlink r:id="rId4076" ref="A3294"/>
    <hyperlink r:id="rId4077" ref="J3294"/>
    <hyperlink r:id="rId4078" ref="A3295"/>
    <hyperlink r:id="rId4079" ref="J3295"/>
    <hyperlink r:id="rId4080" ref="A3296"/>
    <hyperlink r:id="rId4081" ref="J3296"/>
    <hyperlink r:id="rId4082" ref="J3297"/>
    <hyperlink r:id="rId4083" ref="A3298"/>
    <hyperlink r:id="rId4084" ref="J3298"/>
    <hyperlink r:id="rId4085" ref="A3299"/>
    <hyperlink r:id="rId4086" ref="J3299"/>
    <hyperlink r:id="rId4087" ref="A3300"/>
    <hyperlink r:id="rId4088" ref="J3300"/>
    <hyperlink r:id="rId4089" ref="A3301"/>
    <hyperlink r:id="rId4090" ref="J3301"/>
    <hyperlink r:id="rId4091" ref="J3302"/>
    <hyperlink r:id="rId4092" ref="A3303"/>
    <hyperlink r:id="rId4093" ref="J3303"/>
    <hyperlink r:id="rId4094" ref="A3304"/>
    <hyperlink r:id="rId4095" ref="J3304"/>
    <hyperlink r:id="rId4096" ref="A3305"/>
    <hyperlink r:id="rId4097" ref="J3305"/>
    <hyperlink r:id="rId4098" ref="A3306"/>
    <hyperlink r:id="rId4099" ref="J3306"/>
    <hyperlink r:id="rId4100" ref="A3307"/>
    <hyperlink r:id="rId4101" ref="J3307"/>
    <hyperlink r:id="rId4102" ref="A3308"/>
    <hyperlink r:id="rId4103" ref="J3308"/>
    <hyperlink r:id="rId4104" ref="A3309"/>
    <hyperlink r:id="rId4105" ref="J3309"/>
    <hyperlink r:id="rId4106" ref="A3310"/>
    <hyperlink r:id="rId4107" ref="J3310"/>
    <hyperlink r:id="rId4108" ref="A3311"/>
    <hyperlink r:id="rId4109" ref="J3311"/>
    <hyperlink r:id="rId4110" ref="A3312"/>
    <hyperlink r:id="rId4111" ref="J3312"/>
    <hyperlink r:id="rId4112" ref="A3313"/>
    <hyperlink r:id="rId4113" ref="J3313"/>
    <hyperlink r:id="rId4114" ref="A3314"/>
    <hyperlink r:id="rId4115" ref="J3314"/>
    <hyperlink r:id="rId4116" ref="A3315"/>
    <hyperlink r:id="rId4117" ref="J3315"/>
    <hyperlink r:id="rId4118" ref="A3316"/>
    <hyperlink r:id="rId4119" ref="J3316"/>
    <hyperlink r:id="rId4120" ref="A3317"/>
    <hyperlink r:id="rId4121" ref="J3317"/>
    <hyperlink r:id="rId4122" ref="A3318"/>
    <hyperlink r:id="rId4123" ref="J3318"/>
    <hyperlink r:id="rId4124" ref="A3319"/>
    <hyperlink r:id="rId4125" ref="J3319"/>
    <hyperlink r:id="rId4126" ref="A3320"/>
    <hyperlink r:id="rId4127" ref="J3320"/>
    <hyperlink r:id="rId4128" ref="A3321"/>
    <hyperlink r:id="rId4129" ref="J3321"/>
    <hyperlink r:id="rId4130" ref="A3322"/>
    <hyperlink r:id="rId4131" ref="J3322"/>
    <hyperlink r:id="rId4132" ref="A3323"/>
    <hyperlink r:id="rId4133" ref="J3323"/>
    <hyperlink r:id="rId4134" ref="A3324"/>
    <hyperlink r:id="rId4135" ref="J3324"/>
    <hyperlink r:id="rId4136" ref="A3325"/>
    <hyperlink r:id="rId4137" ref="J3325"/>
    <hyperlink r:id="rId4138" ref="A3326"/>
    <hyperlink r:id="rId4139" ref="J3326"/>
    <hyperlink r:id="rId4140" ref="A3327"/>
    <hyperlink r:id="rId4141" ref="J3327"/>
    <hyperlink r:id="rId4142" ref="A3328"/>
    <hyperlink r:id="rId4143" ref="J3328"/>
    <hyperlink r:id="rId4144" ref="A3329"/>
    <hyperlink r:id="rId4145" ref="J3329"/>
    <hyperlink r:id="rId4146" ref="A3330"/>
    <hyperlink r:id="rId4147" ref="J3330"/>
    <hyperlink r:id="rId4148" ref="J3331"/>
    <hyperlink r:id="rId4149" ref="A3332"/>
    <hyperlink r:id="rId4150" ref="J3332"/>
    <hyperlink r:id="rId4151" ref="A3333"/>
    <hyperlink r:id="rId4152" ref="J3333"/>
    <hyperlink r:id="rId4153" ref="A3334"/>
    <hyperlink r:id="rId4154" ref="J3334"/>
    <hyperlink r:id="rId4155" ref="A3335"/>
    <hyperlink r:id="rId4156" ref="J3335"/>
    <hyperlink r:id="rId4157" ref="A3336"/>
    <hyperlink r:id="rId4158" ref="J3336"/>
    <hyperlink r:id="rId4159" ref="A3337"/>
    <hyperlink r:id="rId4160" ref="J3337"/>
    <hyperlink r:id="rId4161" ref="A3338"/>
    <hyperlink r:id="rId4162" ref="J3338"/>
    <hyperlink r:id="rId4163" ref="A3339"/>
    <hyperlink r:id="rId4164" ref="J3339"/>
    <hyperlink r:id="rId4165" ref="A3340"/>
    <hyperlink r:id="rId4166" ref="J3340"/>
    <hyperlink r:id="rId4167" ref="A3341"/>
    <hyperlink r:id="rId4168" ref="J3341"/>
    <hyperlink r:id="rId4169" ref="A3342"/>
    <hyperlink r:id="rId4170" ref="J3342"/>
    <hyperlink r:id="rId4171" ref="A3343"/>
    <hyperlink r:id="rId4172" ref="J3343"/>
    <hyperlink r:id="rId4173" ref="A3344"/>
    <hyperlink r:id="rId4174" ref="J3344"/>
    <hyperlink r:id="rId4175" ref="A3345"/>
    <hyperlink r:id="rId4176" ref="J3345"/>
    <hyperlink r:id="rId4177" ref="A3346"/>
    <hyperlink r:id="rId4178" ref="J3346"/>
    <hyperlink r:id="rId4179" ref="A3347"/>
    <hyperlink r:id="rId4180" ref="J3347"/>
    <hyperlink r:id="rId4181" ref="J3348"/>
    <hyperlink r:id="rId4182" ref="J3349"/>
    <hyperlink r:id="rId4183" ref="A3350"/>
    <hyperlink r:id="rId4184" ref="J3350"/>
    <hyperlink r:id="rId4185" ref="A3351"/>
    <hyperlink r:id="rId4186" ref="J3351"/>
    <hyperlink r:id="rId4187" ref="A3352"/>
    <hyperlink r:id="rId4188" ref="J3352"/>
    <hyperlink r:id="rId4189" ref="J3353"/>
    <hyperlink r:id="rId4190" ref="A3354"/>
    <hyperlink r:id="rId4191" ref="J3354"/>
    <hyperlink r:id="rId4192" ref="A3355"/>
    <hyperlink r:id="rId4193" ref="J3355"/>
    <hyperlink r:id="rId4194" ref="A3356"/>
    <hyperlink r:id="rId4195" ref="J3356"/>
    <hyperlink r:id="rId4196" ref="A3357"/>
    <hyperlink r:id="rId4197" ref="J3357"/>
    <hyperlink r:id="rId4198" ref="J3358"/>
    <hyperlink r:id="rId4199" ref="A3359"/>
    <hyperlink r:id="rId4200" ref="J3359"/>
    <hyperlink r:id="rId4201" ref="A3360"/>
    <hyperlink r:id="rId4202" ref="J3360"/>
    <hyperlink r:id="rId4203" ref="A3361"/>
    <hyperlink r:id="rId4204" ref="J3361"/>
    <hyperlink r:id="rId4205" ref="A3362"/>
    <hyperlink r:id="rId4206" ref="J3362"/>
    <hyperlink r:id="rId4207" ref="A3363"/>
    <hyperlink r:id="rId4208" ref="J3363"/>
    <hyperlink r:id="rId4209" ref="A3364"/>
    <hyperlink r:id="rId4210" ref="J3364"/>
    <hyperlink r:id="rId4211" ref="A3365"/>
    <hyperlink r:id="rId4212" ref="J3365"/>
    <hyperlink r:id="rId4213" ref="J3366"/>
    <hyperlink r:id="rId4214" ref="J3367"/>
    <hyperlink r:id="rId4215" ref="J3368"/>
    <hyperlink r:id="rId4216" ref="J3369"/>
    <hyperlink r:id="rId4217" ref="J3370"/>
    <hyperlink r:id="rId4218" ref="J3371"/>
    <hyperlink r:id="rId4219" ref="J3372"/>
    <hyperlink r:id="rId4220" ref="J3373"/>
    <hyperlink r:id="rId4221" ref="A3374"/>
    <hyperlink r:id="rId4222" ref="J3374"/>
    <hyperlink r:id="rId4223" ref="A3375"/>
    <hyperlink r:id="rId4224" ref="J3375"/>
    <hyperlink r:id="rId4225" ref="A3376"/>
    <hyperlink r:id="rId4226" ref="J3376"/>
    <hyperlink r:id="rId4227" ref="A3377"/>
    <hyperlink r:id="rId4228" ref="J3377"/>
    <hyperlink r:id="rId4229" ref="A3378"/>
    <hyperlink r:id="rId4230" ref="J3378"/>
    <hyperlink r:id="rId4231" ref="J3379"/>
    <hyperlink r:id="rId4232" ref="J3380"/>
    <hyperlink r:id="rId4233" ref="A3381"/>
    <hyperlink r:id="rId4234" ref="J3381"/>
    <hyperlink r:id="rId4235" ref="A3382"/>
    <hyperlink r:id="rId4236" ref="J3382"/>
    <hyperlink r:id="rId4237" ref="A3383"/>
    <hyperlink r:id="rId4238" ref="J3383"/>
    <hyperlink r:id="rId4239" ref="A3384"/>
    <hyperlink r:id="rId4240" ref="J3384"/>
    <hyperlink r:id="rId4241" ref="A3385"/>
    <hyperlink r:id="rId4242" ref="J3385"/>
    <hyperlink r:id="rId4243" ref="A3386"/>
    <hyperlink r:id="rId4244" ref="J3386"/>
    <hyperlink r:id="rId4245" ref="A3387"/>
    <hyperlink r:id="rId4246" ref="J3387"/>
    <hyperlink r:id="rId4247" ref="A3388"/>
    <hyperlink r:id="rId4248" ref="J3388"/>
    <hyperlink r:id="rId4249" ref="A3389"/>
    <hyperlink r:id="rId4250" ref="J3389"/>
    <hyperlink r:id="rId4251" ref="A3390"/>
    <hyperlink r:id="rId4252" ref="J3390"/>
    <hyperlink r:id="rId4253" ref="A3391"/>
    <hyperlink r:id="rId4254" ref="J3391"/>
    <hyperlink r:id="rId4255" ref="A3392"/>
    <hyperlink r:id="rId4256" ref="J3392"/>
    <hyperlink r:id="rId4257" ref="A3393"/>
    <hyperlink r:id="rId4258" ref="J3393"/>
    <hyperlink r:id="rId4259" ref="A3394"/>
    <hyperlink r:id="rId4260" ref="J3394"/>
    <hyperlink r:id="rId4261" ref="A3395"/>
    <hyperlink r:id="rId4262" ref="J3395"/>
    <hyperlink r:id="rId4263" ref="A3396"/>
    <hyperlink r:id="rId4264" ref="J3396"/>
    <hyperlink r:id="rId4265" ref="A3397"/>
    <hyperlink r:id="rId4266" ref="J3397"/>
    <hyperlink r:id="rId4267" ref="A3398"/>
    <hyperlink r:id="rId4268" ref="J3398"/>
    <hyperlink r:id="rId4269" ref="J3399"/>
    <hyperlink r:id="rId4270" ref="J3400"/>
    <hyperlink r:id="rId4271" ref="J3401"/>
    <hyperlink r:id="rId4272" ref="J3402"/>
    <hyperlink r:id="rId4273" ref="J3403"/>
    <hyperlink r:id="rId4274" ref="A3404"/>
    <hyperlink r:id="rId4275" ref="J3404"/>
    <hyperlink r:id="rId4276" ref="A3405"/>
    <hyperlink r:id="rId4277" ref="J3405"/>
    <hyperlink r:id="rId4278" ref="A3406"/>
    <hyperlink r:id="rId4279" ref="J3406"/>
    <hyperlink r:id="rId4280" ref="A3407"/>
    <hyperlink r:id="rId4281" ref="J3407"/>
    <hyperlink r:id="rId4282" ref="J3408"/>
    <hyperlink r:id="rId4283" ref="A3409"/>
    <hyperlink r:id="rId4284" ref="J3409"/>
    <hyperlink r:id="rId4285" ref="A3410"/>
    <hyperlink r:id="rId4286" ref="J3410"/>
    <hyperlink r:id="rId4287" ref="A3411"/>
    <hyperlink r:id="rId4288" ref="J3411"/>
    <hyperlink r:id="rId4289" ref="A3412"/>
    <hyperlink r:id="rId4290" ref="J3412"/>
    <hyperlink r:id="rId4291" ref="A3413"/>
    <hyperlink r:id="rId4292" ref="J3413"/>
    <hyperlink r:id="rId4293" ref="A3414"/>
    <hyperlink r:id="rId4294" ref="J3414"/>
    <hyperlink r:id="rId4295" ref="A3415"/>
    <hyperlink r:id="rId4296" ref="J3415"/>
    <hyperlink r:id="rId4297" ref="A3416"/>
    <hyperlink r:id="rId4298" ref="J3416"/>
    <hyperlink r:id="rId4299" ref="A3417"/>
    <hyperlink r:id="rId4300" ref="J3417"/>
    <hyperlink r:id="rId4301" ref="A3418"/>
    <hyperlink r:id="rId4302" ref="J3418"/>
    <hyperlink r:id="rId4303" ref="J3419"/>
    <hyperlink r:id="rId4304" ref="J3420"/>
    <hyperlink r:id="rId4305" ref="A3421"/>
    <hyperlink r:id="rId4306" ref="J3421"/>
    <hyperlink r:id="rId4307" ref="A3422"/>
    <hyperlink r:id="rId4308" ref="J3422"/>
    <hyperlink r:id="rId4309" ref="A3423"/>
    <hyperlink r:id="rId4310" ref="J3423"/>
    <hyperlink r:id="rId4311" ref="A3424"/>
    <hyperlink r:id="rId4312" ref="J3424"/>
    <hyperlink r:id="rId4313" ref="A3425"/>
    <hyperlink r:id="rId4314" ref="J3425"/>
    <hyperlink r:id="rId4315" ref="A3426"/>
    <hyperlink r:id="rId4316" ref="J3426"/>
    <hyperlink r:id="rId4317" ref="A3427"/>
    <hyperlink r:id="rId4318" ref="J3427"/>
    <hyperlink r:id="rId4319" ref="A3428"/>
    <hyperlink r:id="rId4320" ref="J3428"/>
    <hyperlink r:id="rId4321" ref="A3429"/>
    <hyperlink r:id="rId4322" ref="J3429"/>
    <hyperlink r:id="rId4323" ref="A3430"/>
    <hyperlink r:id="rId4324" ref="J3430"/>
    <hyperlink r:id="rId4325" ref="A3431"/>
    <hyperlink r:id="rId4326" ref="J3431"/>
    <hyperlink r:id="rId4327" ref="A3432"/>
    <hyperlink r:id="rId4328" ref="J3432"/>
    <hyperlink r:id="rId4329" ref="A3433"/>
    <hyperlink r:id="rId4330" ref="J3433"/>
    <hyperlink r:id="rId4331" ref="A3434"/>
    <hyperlink r:id="rId4332" ref="J3434"/>
    <hyperlink r:id="rId4333" ref="A3435"/>
    <hyperlink r:id="rId4334" ref="J3435"/>
    <hyperlink r:id="rId4335" ref="A3436"/>
    <hyperlink r:id="rId4336" ref="J3436"/>
    <hyperlink r:id="rId4337" ref="A3437"/>
    <hyperlink r:id="rId4338" ref="J3437"/>
    <hyperlink r:id="rId4339" ref="A3438"/>
    <hyperlink r:id="rId4340" ref="J3438"/>
    <hyperlink r:id="rId4341" ref="A3439"/>
    <hyperlink r:id="rId4342" ref="J3439"/>
    <hyperlink r:id="rId4343" ref="A3440"/>
    <hyperlink r:id="rId4344" ref="J3440"/>
    <hyperlink r:id="rId4345" ref="A3441"/>
    <hyperlink r:id="rId4346" ref="J3441"/>
    <hyperlink r:id="rId4347" ref="J3442"/>
    <hyperlink r:id="rId4348" ref="A3443"/>
    <hyperlink r:id="rId4349" ref="J3443"/>
    <hyperlink r:id="rId4350" ref="A3444"/>
    <hyperlink r:id="rId4351" ref="J3444"/>
    <hyperlink r:id="rId4352" ref="A3445"/>
    <hyperlink r:id="rId4353" ref="J3445"/>
    <hyperlink r:id="rId4354" ref="A3446"/>
    <hyperlink r:id="rId4355" ref="J3446"/>
    <hyperlink r:id="rId4356" ref="A3447"/>
    <hyperlink r:id="rId4357" ref="J3447"/>
    <hyperlink r:id="rId4358" ref="A3448"/>
    <hyperlink r:id="rId4359" ref="J3448"/>
    <hyperlink r:id="rId4360" ref="A3449"/>
    <hyperlink r:id="rId4361" ref="J3449"/>
    <hyperlink r:id="rId4362" ref="A3450"/>
    <hyperlink r:id="rId4363" ref="J3450"/>
    <hyperlink r:id="rId4364" ref="A3451"/>
    <hyperlink r:id="rId4365" ref="J3451"/>
    <hyperlink r:id="rId4366" ref="A3452"/>
    <hyperlink r:id="rId4367" ref="J3452"/>
    <hyperlink r:id="rId4368" ref="A3453"/>
    <hyperlink r:id="rId4369" ref="J3453"/>
    <hyperlink r:id="rId4370" ref="A3454"/>
    <hyperlink r:id="rId4371" ref="J3454"/>
    <hyperlink r:id="rId4372" ref="A3455"/>
    <hyperlink r:id="rId4373" ref="J3455"/>
    <hyperlink r:id="rId4374" ref="A3456"/>
    <hyperlink r:id="rId4375" ref="J3456"/>
    <hyperlink r:id="rId4376" ref="A3457"/>
    <hyperlink r:id="rId4377" ref="J3457"/>
    <hyperlink r:id="rId4378" ref="A3458"/>
    <hyperlink r:id="rId4379" ref="J3458"/>
    <hyperlink r:id="rId4380" ref="A3459"/>
    <hyperlink r:id="rId4381" ref="J3459"/>
    <hyperlink r:id="rId4382" ref="A3460"/>
    <hyperlink r:id="rId4383" ref="J3460"/>
    <hyperlink r:id="rId4384" ref="A3461"/>
    <hyperlink r:id="rId4385" ref="J3461"/>
    <hyperlink r:id="rId4386" ref="A3462"/>
    <hyperlink r:id="rId4387" ref="J3462"/>
    <hyperlink r:id="rId4388" ref="A3463"/>
    <hyperlink r:id="rId4389" ref="J3463"/>
    <hyperlink r:id="rId4390" ref="A3464"/>
    <hyperlink r:id="rId4391" ref="J3464"/>
    <hyperlink r:id="rId4392" ref="J3465"/>
    <hyperlink r:id="rId4393" ref="J3466"/>
    <hyperlink r:id="rId4394" ref="A3467"/>
    <hyperlink r:id="rId4395" ref="J3467"/>
    <hyperlink r:id="rId4396" ref="A3468"/>
    <hyperlink r:id="rId4397" ref="J3468"/>
    <hyperlink r:id="rId4398" ref="A3469"/>
    <hyperlink r:id="rId4399" ref="J3469"/>
    <hyperlink r:id="rId4400" ref="J3470"/>
    <hyperlink r:id="rId4401" ref="A3471"/>
    <hyperlink r:id="rId4402" ref="J3471"/>
    <hyperlink r:id="rId4403" ref="A3472"/>
    <hyperlink r:id="rId4404" ref="J3472"/>
    <hyperlink r:id="rId4405" ref="A3473"/>
    <hyperlink r:id="rId4406" ref="J3473"/>
    <hyperlink r:id="rId4407" ref="A3474"/>
    <hyperlink r:id="rId4408" ref="A3475"/>
    <hyperlink r:id="rId4409" ref="A3476"/>
    <hyperlink r:id="rId4410" ref="A3477"/>
    <hyperlink r:id="rId4411" ref="A3478"/>
    <hyperlink r:id="rId4412" ref="A3480"/>
    <hyperlink r:id="rId4413" ref="A3482"/>
    <hyperlink r:id="rId4414" ref="A3483"/>
    <hyperlink r:id="rId4415" ref="A3484"/>
    <hyperlink r:id="rId4416" ref="A3485"/>
    <hyperlink r:id="rId4417" ref="A3486"/>
    <hyperlink r:id="rId4418" ref="A3487"/>
    <hyperlink r:id="rId4419" ref="A3488"/>
    <hyperlink r:id="rId4420" ref="A3490"/>
    <hyperlink r:id="rId4421" ref="A3491"/>
    <hyperlink r:id="rId4422" ref="A3492"/>
    <hyperlink r:id="rId4423" ref="A3493"/>
    <hyperlink r:id="rId4424" ref="A3494"/>
    <hyperlink r:id="rId4425" ref="A3495"/>
    <hyperlink r:id="rId4426" ref="A3496"/>
    <hyperlink r:id="rId4427" ref="A3499"/>
    <hyperlink r:id="rId4428" ref="A3500"/>
    <hyperlink r:id="rId4429" ref="A3502"/>
    <hyperlink r:id="rId4430" ref="A3503"/>
    <hyperlink r:id="rId4431" ref="A3504"/>
    <hyperlink r:id="rId4432" ref="A3505"/>
    <hyperlink r:id="rId4433" ref="A3506"/>
    <hyperlink r:id="rId4434" ref="A3507"/>
    <hyperlink r:id="rId4435" ref="A3508"/>
    <hyperlink r:id="rId4436" ref="A3509"/>
    <hyperlink r:id="rId4437" ref="A3510"/>
    <hyperlink r:id="rId4438" ref="A3511"/>
    <hyperlink r:id="rId4439" ref="A3512"/>
    <hyperlink r:id="rId4440" ref="A3513"/>
    <hyperlink r:id="rId4441" ref="A3514"/>
    <hyperlink r:id="rId4442" ref="A3515"/>
    <hyperlink r:id="rId4443" ref="A3516"/>
    <hyperlink r:id="rId4444" ref="A3517"/>
    <hyperlink r:id="rId4445" ref="A3519"/>
    <hyperlink r:id="rId4446" ref="A3520"/>
    <hyperlink r:id="rId4447" ref="A3521"/>
    <hyperlink r:id="rId4448" ref="A3522"/>
    <hyperlink r:id="rId4449" ref="A3523"/>
    <hyperlink r:id="rId4450" ref="A3524"/>
    <hyperlink r:id="rId4451" ref="A3525"/>
    <hyperlink r:id="rId4452" ref="A3526"/>
    <hyperlink r:id="rId4453" ref="A3527"/>
    <hyperlink r:id="rId4454" ref="A3528"/>
    <hyperlink r:id="rId4455" ref="A3529"/>
    <hyperlink r:id="rId4456" ref="A3530"/>
    <hyperlink r:id="rId4457" ref="A3531"/>
    <hyperlink r:id="rId4458" ref="A3532"/>
    <hyperlink r:id="rId4459" ref="A3533"/>
    <hyperlink r:id="rId4460" ref="A3534"/>
    <hyperlink r:id="rId4461" ref="A3535"/>
    <hyperlink r:id="rId4462" ref="A3537"/>
    <hyperlink r:id="rId4463" ref="A3539"/>
    <hyperlink r:id="rId4464" ref="A3540"/>
    <hyperlink r:id="rId4465" ref="A3541"/>
    <hyperlink r:id="rId4466" ref="A3542"/>
    <hyperlink r:id="rId4467" ref="A3543"/>
    <hyperlink r:id="rId4468" ref="A3544"/>
    <hyperlink r:id="rId4469" ref="A3546"/>
    <hyperlink r:id="rId4470" ref="A3547"/>
    <hyperlink r:id="rId4471" ref="A3550"/>
    <hyperlink r:id="rId4472" ref="A3551"/>
    <hyperlink r:id="rId4473" ref="A3552"/>
    <hyperlink r:id="rId4474" ref="A3553"/>
    <hyperlink r:id="rId4475" ref="A3554"/>
    <hyperlink r:id="rId4476" ref="A3557"/>
    <hyperlink r:id="rId4477" ref="A3558"/>
    <hyperlink r:id="rId4478" ref="A3560"/>
    <hyperlink r:id="rId4479" ref="A3561"/>
    <hyperlink r:id="rId4480" ref="A3562"/>
    <hyperlink r:id="rId4481" ref="A3563"/>
    <hyperlink r:id="rId4482" ref="A3564"/>
    <hyperlink r:id="rId4483" ref="A3565"/>
    <hyperlink r:id="rId4484" ref="A3566"/>
    <hyperlink r:id="rId4485" ref="A3567"/>
    <hyperlink r:id="rId4486" ref="A3568"/>
    <hyperlink r:id="rId4487" ref="A3569"/>
    <hyperlink r:id="rId4488" ref="A3570"/>
    <hyperlink r:id="rId4489" ref="A3571"/>
    <hyperlink r:id="rId4490" ref="A3572"/>
    <hyperlink r:id="rId4491" ref="A3574"/>
    <hyperlink r:id="rId4492" ref="A3577"/>
    <hyperlink r:id="rId4493" ref="A3579"/>
    <hyperlink r:id="rId4494" ref="A3580"/>
    <hyperlink r:id="rId4495" ref="A3581"/>
    <hyperlink r:id="rId4496" ref="A3582"/>
    <hyperlink r:id="rId4497" ref="A3583"/>
    <hyperlink r:id="rId4498" ref="A3584"/>
    <hyperlink r:id="rId4499" ref="A3585"/>
    <hyperlink r:id="rId4500" ref="A3587"/>
    <hyperlink r:id="rId4501" ref="A3588"/>
    <hyperlink r:id="rId4502" ref="A3589"/>
    <hyperlink r:id="rId4503" ref="A3590"/>
    <hyperlink r:id="rId4504" ref="A3591"/>
    <hyperlink r:id="rId4505" ref="A3592"/>
    <hyperlink r:id="rId4506" ref="A3593"/>
    <hyperlink r:id="rId4507" ref="A3594"/>
    <hyperlink r:id="rId4508" ref="A3596"/>
    <hyperlink r:id="rId4509" ref="A3597"/>
    <hyperlink r:id="rId4510" ref="A3598"/>
    <hyperlink r:id="rId4511" ref="A3599"/>
    <hyperlink r:id="rId4512" ref="A3600"/>
    <hyperlink r:id="rId4513" ref="A3601"/>
    <hyperlink r:id="rId4514" ref="A3602"/>
    <hyperlink r:id="rId4515" ref="A3603"/>
    <hyperlink r:id="rId4516" ref="A3604"/>
    <hyperlink r:id="rId4517" ref="A3605"/>
    <hyperlink r:id="rId4518" ref="A3606"/>
    <hyperlink r:id="rId4519" ref="A3607"/>
    <hyperlink r:id="rId4520" ref="A3608"/>
    <hyperlink r:id="rId4521" ref="A3609"/>
    <hyperlink r:id="rId4522" ref="A3610"/>
    <hyperlink r:id="rId4523" ref="A3611"/>
    <hyperlink r:id="rId4524" ref="A3612"/>
    <hyperlink r:id="rId4525" ref="A3613"/>
    <hyperlink r:id="rId4526" ref="A3614"/>
    <hyperlink r:id="rId4527" ref="A3615"/>
    <hyperlink r:id="rId4528" ref="A3616"/>
    <hyperlink r:id="rId4529" ref="A3617"/>
    <hyperlink r:id="rId4530" ref="A3618"/>
    <hyperlink r:id="rId4531" ref="A3619"/>
    <hyperlink r:id="rId4532" ref="A3620"/>
    <hyperlink r:id="rId4533" ref="A3621"/>
    <hyperlink r:id="rId4534" ref="A3622"/>
    <hyperlink r:id="rId4535" ref="A3623"/>
    <hyperlink r:id="rId4536" ref="A3625"/>
    <hyperlink r:id="rId4537" ref="A3626"/>
    <hyperlink r:id="rId4538" ref="A3627"/>
    <hyperlink r:id="rId4539" ref="A3628"/>
    <hyperlink r:id="rId4540" ref="A3629"/>
    <hyperlink r:id="rId4541" ref="A3630"/>
    <hyperlink r:id="rId4542" ref="A3631"/>
    <hyperlink r:id="rId4543" ref="A3632"/>
    <hyperlink r:id="rId4544" ref="A3634"/>
    <hyperlink r:id="rId4545" ref="A3635"/>
    <hyperlink r:id="rId4546" ref="A3636"/>
    <hyperlink r:id="rId4547" ref="A3637"/>
    <hyperlink r:id="rId4548" ref="A3638"/>
    <hyperlink r:id="rId4549" ref="A3640"/>
    <hyperlink r:id="rId4550" ref="A3641"/>
    <hyperlink r:id="rId4551" ref="A3643"/>
    <hyperlink r:id="rId4552" ref="A3644"/>
    <hyperlink r:id="rId4553" ref="A3645"/>
    <hyperlink r:id="rId4554" ref="A3646"/>
    <hyperlink r:id="rId4555" ref="A3647"/>
    <hyperlink r:id="rId4556" ref="A3648"/>
    <hyperlink r:id="rId4557" ref="A3649"/>
    <hyperlink r:id="rId4558" ref="A3650"/>
    <hyperlink r:id="rId4559" ref="A3651"/>
    <hyperlink r:id="rId4560" ref="A3652"/>
    <hyperlink r:id="rId4561" ref="A3665"/>
    <hyperlink r:id="rId4562" ref="A3666"/>
    <hyperlink r:id="rId4563" ref="A3668"/>
    <hyperlink r:id="rId4564" ref="A3673"/>
    <hyperlink r:id="rId4565" ref="A3679"/>
    <hyperlink r:id="rId4566" ref="A3682"/>
    <hyperlink r:id="rId4567" ref="A3683"/>
    <hyperlink r:id="rId4568" ref="A3686"/>
    <hyperlink r:id="rId4569" ref="A3687"/>
    <hyperlink r:id="rId4570" ref="A3688"/>
    <hyperlink r:id="rId4571" ref="A3689"/>
    <hyperlink r:id="rId4572" ref="A3691"/>
    <hyperlink r:id="rId4573" ref="A3692"/>
    <hyperlink r:id="rId4574" ref="A3696"/>
    <hyperlink r:id="rId4575" ref="A3698"/>
    <hyperlink r:id="rId4576" ref="A3699"/>
    <hyperlink r:id="rId4577" ref="A3700"/>
    <hyperlink r:id="rId4578" ref="A3701"/>
    <hyperlink r:id="rId4579" ref="A3702"/>
    <hyperlink r:id="rId4580" ref="A3703"/>
    <hyperlink r:id="rId4581" ref="A3705"/>
    <hyperlink r:id="rId4582" ref="A3706"/>
    <hyperlink r:id="rId4583" ref="A3708"/>
    <hyperlink r:id="rId4584" ref="A3709"/>
    <hyperlink r:id="rId4585" ref="A3710"/>
    <hyperlink r:id="rId4586" ref="A3712"/>
    <hyperlink r:id="rId4587" ref="A3713"/>
    <hyperlink r:id="rId4588" ref="A3714"/>
    <hyperlink r:id="rId4589" ref="A3715"/>
    <hyperlink r:id="rId4590" ref="A3716"/>
    <hyperlink r:id="rId4591" ref="A3718"/>
    <hyperlink r:id="rId4592" ref="A3719"/>
    <hyperlink r:id="rId4593" ref="A3720"/>
    <hyperlink r:id="rId4594" ref="A3723"/>
    <hyperlink r:id="rId4595" ref="A3724"/>
    <hyperlink r:id="rId4596" ref="A3727"/>
    <hyperlink r:id="rId4597" ref="A3728"/>
    <hyperlink r:id="rId4598" ref="A3729"/>
    <hyperlink r:id="rId4599" ref="A3730"/>
    <hyperlink r:id="rId4600" ref="A3731"/>
    <hyperlink r:id="rId4601" ref="A3732"/>
    <hyperlink r:id="rId4602" ref="A3736"/>
    <hyperlink r:id="rId4603" ref="A3737"/>
    <hyperlink r:id="rId4604" ref="A3738"/>
    <hyperlink r:id="rId4605" ref="A3741"/>
    <hyperlink r:id="rId4606" ref="A3743"/>
    <hyperlink r:id="rId4607" ref="A3744"/>
    <hyperlink r:id="rId4608" ref="A3745"/>
    <hyperlink r:id="rId4609" ref="A3746"/>
    <hyperlink r:id="rId4610" ref="A3747"/>
    <hyperlink r:id="rId4611" ref="A3749"/>
    <hyperlink r:id="rId4612" ref="A3750"/>
    <hyperlink r:id="rId4613" ref="A3751"/>
    <hyperlink r:id="rId4614" ref="A3752"/>
    <hyperlink r:id="rId4615" ref="A3753"/>
    <hyperlink r:id="rId4616" ref="A3754"/>
    <hyperlink r:id="rId4617" ref="A3755"/>
    <hyperlink r:id="rId4618" ref="A3756"/>
    <hyperlink r:id="rId4619" ref="A3759"/>
    <hyperlink r:id="rId4620" ref="A3760"/>
    <hyperlink r:id="rId4621" ref="A3764"/>
    <hyperlink r:id="rId4622" ref="A3765"/>
    <hyperlink r:id="rId4623" ref="A3766"/>
    <hyperlink r:id="rId4624" ref="A3768"/>
    <hyperlink r:id="rId4625" ref="A3769"/>
    <hyperlink r:id="rId4626" ref="A3770"/>
    <hyperlink r:id="rId4627" ref="A3775"/>
    <hyperlink r:id="rId4628" ref="A3777"/>
    <hyperlink r:id="rId4629" ref="A3778"/>
    <hyperlink r:id="rId4630" ref="A3779"/>
    <hyperlink r:id="rId4631" ref="A3780"/>
    <hyperlink r:id="rId4632" ref="A3781"/>
    <hyperlink r:id="rId4633" ref="A3782"/>
    <hyperlink r:id="rId4634" ref="A3783"/>
    <hyperlink r:id="rId4635" ref="A3784"/>
    <hyperlink r:id="rId4636" ref="A3785"/>
    <hyperlink r:id="rId4637" ref="A3786"/>
    <hyperlink r:id="rId4638" ref="A3788"/>
    <hyperlink r:id="rId4639" ref="A3789"/>
    <hyperlink r:id="rId4640" ref="A3790"/>
    <hyperlink r:id="rId4641" ref="A3791"/>
    <hyperlink r:id="rId4642" ref="A3793"/>
    <hyperlink r:id="rId4643" ref="A3794"/>
    <hyperlink r:id="rId4644" ref="A3795"/>
    <hyperlink r:id="rId4645" ref="A3796"/>
    <hyperlink r:id="rId4646" ref="A3797"/>
    <hyperlink r:id="rId4647" ref="A3799"/>
    <hyperlink r:id="rId4648" ref="A3802"/>
    <hyperlink r:id="rId4649" ref="A3803"/>
    <hyperlink r:id="rId4650" ref="A3804"/>
    <hyperlink r:id="rId4651" ref="A3805"/>
    <hyperlink r:id="rId4652" ref="A3806"/>
    <hyperlink r:id="rId4653" ref="A3807"/>
    <hyperlink r:id="rId4654" ref="A3808"/>
    <hyperlink r:id="rId4655" ref="A3809"/>
  </hyperlinks>
  <drawing r:id="rId465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" t="s">
        <v>2</v>
      </c>
      <c r="B1" s="16" t="s">
        <v>3</v>
      </c>
      <c r="C1" s="16" t="s">
        <v>4</v>
      </c>
      <c r="D1" s="16" t="s">
        <v>5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</row>
    <row r="2">
      <c r="A2" s="5" t="s">
        <v>4722</v>
      </c>
      <c r="B2" s="5" t="s">
        <v>4723</v>
      </c>
      <c r="D2" s="5" t="s">
        <v>14</v>
      </c>
      <c r="E2" s="5" t="s">
        <v>574</v>
      </c>
      <c r="F2" s="5" t="s">
        <v>16</v>
      </c>
      <c r="G2" s="5" t="s">
        <v>17</v>
      </c>
      <c r="H2" s="5" t="s">
        <v>18</v>
      </c>
      <c r="I2" s="17" t="s">
        <v>10261</v>
      </c>
      <c r="K2" s="5" t="str">
        <f>IFERROR(__xludf.DUMMYFUNCTION("UNIQUE(D2:D2726)"),"Accenture")</f>
        <v>Accenture</v>
      </c>
      <c r="L2" s="5" t="str">
        <f>IFERROR(__xludf.DUMMYFUNCTION("UNIQUE(F2:F2726)"),"Atlanta")</f>
        <v>Atlanta</v>
      </c>
      <c r="M2" s="5" t="str">
        <f>IFERROR(__xludf.DUMMYFUNCTION("UNIQUE(G2:G2726)"),"Georgia")</f>
        <v>Georgia</v>
      </c>
    </row>
    <row r="3">
      <c r="A3" s="5" t="s">
        <v>11</v>
      </c>
      <c r="B3" s="5" t="s">
        <v>12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7" t="s">
        <v>4725</v>
      </c>
      <c r="K3" s="5" t="str">
        <f>IFERROR(__xludf.DUMMYFUNCTION("""COMPUTED_VALUE"""),"Activision")</f>
        <v>Activision</v>
      </c>
      <c r="L3" s="5" t="str">
        <f>IFERROR(__xludf.DUMMYFUNCTION("""COMPUTED_VALUE"""),"Campbell")</f>
        <v>Campbell</v>
      </c>
      <c r="M3" s="5" t="str">
        <f>IFERROR(__xludf.DUMMYFUNCTION("""COMPUTED_VALUE"""),"California")</f>
        <v>California</v>
      </c>
    </row>
    <row r="4">
      <c r="A4" s="5" t="s">
        <v>31</v>
      </c>
      <c r="B4" s="5" t="s">
        <v>32</v>
      </c>
      <c r="D4" s="5" t="s">
        <v>14</v>
      </c>
      <c r="E4" s="5" t="s">
        <v>4033</v>
      </c>
      <c r="F4" s="5" t="s">
        <v>16</v>
      </c>
      <c r="G4" s="5" t="s">
        <v>17</v>
      </c>
      <c r="H4" s="5" t="s">
        <v>18</v>
      </c>
      <c r="I4" s="7" t="s">
        <v>4746</v>
      </c>
      <c r="K4" s="5" t="str">
        <f>IFERROR(__xludf.DUMMYFUNCTION("""COMPUTED_VALUE"""),"Air Canada")</f>
        <v>Air Canada</v>
      </c>
      <c r="L4" s="5" t="str">
        <f>IFERROR(__xludf.DUMMYFUNCTION("""COMPUTED_VALUE"""),"Cary")</f>
        <v>Cary</v>
      </c>
      <c r="M4" s="5" t="str">
        <f>IFERROR(__xludf.DUMMYFUNCTION("""COMPUTED_VALUE"""),"North Carolina")</f>
        <v>North Carolina</v>
      </c>
    </row>
    <row r="5">
      <c r="A5" s="5" t="s">
        <v>40</v>
      </c>
      <c r="B5" s="5" t="s">
        <v>41</v>
      </c>
      <c r="D5" s="5" t="s">
        <v>14</v>
      </c>
      <c r="E5" s="5" t="s">
        <v>42</v>
      </c>
      <c r="F5" s="5" t="s">
        <v>43</v>
      </c>
      <c r="G5" s="5" t="s">
        <v>44</v>
      </c>
      <c r="H5" s="5" t="s">
        <v>18</v>
      </c>
      <c r="I5" s="7" t="s">
        <v>5272</v>
      </c>
      <c r="K5" s="5" t="str">
        <f>IFERROR(__xludf.DUMMYFUNCTION("""COMPUTED_VALUE"""),"Airbus")</f>
        <v>Airbus</v>
      </c>
      <c r="L5" s="5" t="str">
        <f>IFERROR(__xludf.DUMMYFUNCTION("""COMPUTED_VALUE"""),"Chicago")</f>
        <v>Chicago</v>
      </c>
      <c r="M5" s="5" t="str">
        <f>IFERROR(__xludf.DUMMYFUNCTION("""COMPUTED_VALUE"""),"Illinois")</f>
        <v>Illinois</v>
      </c>
    </row>
    <row r="6">
      <c r="A6" s="5" t="s">
        <v>5573</v>
      </c>
      <c r="B6" s="5" t="s">
        <v>5574</v>
      </c>
      <c r="D6" s="5" t="s">
        <v>14</v>
      </c>
      <c r="E6" s="5" t="s">
        <v>94</v>
      </c>
      <c r="F6" s="5" t="s">
        <v>1415</v>
      </c>
      <c r="G6" s="5" t="s">
        <v>50</v>
      </c>
      <c r="H6" s="5" t="s">
        <v>18</v>
      </c>
      <c r="I6" s="7" t="s">
        <v>5572</v>
      </c>
      <c r="K6" s="5" t="str">
        <f>IFERROR(__xludf.DUMMYFUNCTION("""COMPUTED_VALUE"""),"Allstate")</f>
        <v>Allstate</v>
      </c>
      <c r="L6" s="5" t="str">
        <f>IFERROR(__xludf.DUMMYFUNCTION("""COMPUTED_VALUE"""),"Columbus")</f>
        <v>Columbus</v>
      </c>
      <c r="M6" s="5" t="str">
        <f>IFERROR(__xludf.DUMMYFUNCTION("""COMPUTED_VALUE"""),"Ohio")</f>
        <v>Ohio</v>
      </c>
    </row>
    <row r="7">
      <c r="A7" s="5" t="s">
        <v>5674</v>
      </c>
      <c r="B7" s="5" t="s">
        <v>5675</v>
      </c>
      <c r="D7" s="5" t="s">
        <v>14</v>
      </c>
      <c r="E7" s="5" t="s">
        <v>100</v>
      </c>
      <c r="F7" s="5" t="s">
        <v>64</v>
      </c>
      <c r="G7" s="5" t="s">
        <v>65</v>
      </c>
      <c r="H7" s="5" t="s">
        <v>18</v>
      </c>
      <c r="I7" s="7" t="s">
        <v>5673</v>
      </c>
      <c r="K7" s="5" t="str">
        <f>IFERROR(__xludf.DUMMYFUNCTION("""COMPUTED_VALUE"""),"Amazon")</f>
        <v>Amazon</v>
      </c>
      <c r="L7" s="5" t="str">
        <f>IFERROR(__xludf.DUMMYFUNCTION("""COMPUTED_VALUE"""),"Dallas")</f>
        <v>Dallas</v>
      </c>
      <c r="M7" s="5" t="str">
        <f>IFERROR(__xludf.DUMMYFUNCTION("""COMPUTED_VALUE"""),"Texas")</f>
        <v>Texas</v>
      </c>
    </row>
    <row r="8">
      <c r="A8" s="5" t="s">
        <v>72</v>
      </c>
      <c r="B8" s="5" t="s">
        <v>73</v>
      </c>
      <c r="D8" s="5" t="s">
        <v>14</v>
      </c>
      <c r="E8" s="5" t="s">
        <v>74</v>
      </c>
      <c r="F8" s="5" t="s">
        <v>75</v>
      </c>
      <c r="G8" s="5" t="s">
        <v>76</v>
      </c>
      <c r="H8" s="5" t="s">
        <v>18</v>
      </c>
      <c r="I8" s="7" t="s">
        <v>5803</v>
      </c>
      <c r="K8" s="5" t="str">
        <f>IFERROR(__xludf.DUMMYFUNCTION("""COMPUTED_VALUE"""),"American Express")</f>
        <v>American Express</v>
      </c>
      <c r="L8" s="5" t="str">
        <f>IFERROR(__xludf.DUMMYFUNCTION("""COMPUTED_VALUE"""),"Denver")</f>
        <v>Denver</v>
      </c>
      <c r="M8" s="5" t="str">
        <f>IFERROR(__xludf.DUMMYFUNCTION("""COMPUTED_VALUE"""),"Colorado")</f>
        <v>Colorado</v>
      </c>
    </row>
    <row r="9">
      <c r="A9" s="5" t="s">
        <v>5866</v>
      </c>
      <c r="B9" s="5" t="s">
        <v>5867</v>
      </c>
      <c r="D9" s="5" t="s">
        <v>14</v>
      </c>
      <c r="E9" s="5" t="s">
        <v>149</v>
      </c>
      <c r="F9" s="5" t="s">
        <v>80</v>
      </c>
      <c r="G9" s="5" t="s">
        <v>38</v>
      </c>
      <c r="H9" s="5" t="s">
        <v>18</v>
      </c>
      <c r="I9" s="7" t="s">
        <v>5865</v>
      </c>
      <c r="K9" s="5" t="str">
        <f>IFERROR(__xludf.DUMMYFUNCTION("""COMPUTED_VALUE"""),"Apple")</f>
        <v>Apple</v>
      </c>
      <c r="L9" s="5" t="str">
        <f>IFERROR(__xludf.DUMMYFUNCTION("""COMPUTED_VALUE"""),"Falls Church")</f>
        <v>Falls Church</v>
      </c>
      <c r="M9" s="5" t="str">
        <f>IFERROR(__xludf.DUMMYFUNCTION("""COMPUTED_VALUE"""),"Virginia")</f>
        <v>Virginia</v>
      </c>
    </row>
    <row r="10">
      <c r="A10" s="5" t="s">
        <v>5891</v>
      </c>
      <c r="B10" s="5" t="s">
        <v>5892</v>
      </c>
      <c r="D10" s="5" t="s">
        <v>14</v>
      </c>
      <c r="E10" s="5" t="s">
        <v>387</v>
      </c>
      <c r="F10" s="5" t="s">
        <v>80</v>
      </c>
      <c r="G10" s="5" t="s">
        <v>38</v>
      </c>
      <c r="H10" s="5" t="s">
        <v>18</v>
      </c>
      <c r="I10" s="7" t="s">
        <v>5890</v>
      </c>
      <c r="K10" s="5" t="str">
        <f>IFERROR(__xludf.DUMMYFUNCTION("""COMPUTED_VALUE"""),"AT&amp;T")</f>
        <v>AT&amp;T</v>
      </c>
      <c r="L10" s="5" t="str">
        <f>IFERROR(__xludf.DUMMYFUNCTION("""COMPUTED_VALUE"""),"Granite Falls")</f>
        <v>Granite Falls</v>
      </c>
      <c r="M10" s="5" t="str">
        <f>IFERROR(__xludf.DUMMYFUNCTION("""COMPUTED_VALUE"""),"Washington")</f>
        <v>Washington</v>
      </c>
    </row>
    <row r="11">
      <c r="A11" s="5" t="s">
        <v>82</v>
      </c>
      <c r="B11" s="5" t="s">
        <v>5967</v>
      </c>
      <c r="D11" s="5" t="s">
        <v>14</v>
      </c>
      <c r="E11" s="5" t="s">
        <v>60</v>
      </c>
      <c r="F11" s="5" t="s">
        <v>85</v>
      </c>
      <c r="G11" s="5" t="s">
        <v>86</v>
      </c>
      <c r="H11" s="5" t="s">
        <v>18</v>
      </c>
      <c r="I11" s="7" t="s">
        <v>10262</v>
      </c>
      <c r="K11" s="5" t="str">
        <f>IFERROR(__xludf.DUMMYFUNCTION("""COMPUTED_VALUE"""),"Atlassian")</f>
        <v>Atlassian</v>
      </c>
      <c r="L11" s="5" t="str">
        <f>IFERROR(__xludf.DUMMYFUNCTION("""COMPUTED_VALUE"""),"London")</f>
        <v>London</v>
      </c>
      <c r="M11" s="5" t="str">
        <f>IFERROR(__xludf.DUMMYFUNCTION("""COMPUTED_VALUE"""),"England")</f>
        <v>England</v>
      </c>
    </row>
    <row r="12">
      <c r="A12" s="5" t="s">
        <v>6140</v>
      </c>
      <c r="B12" s="5" t="s">
        <v>6141</v>
      </c>
      <c r="D12" s="5" t="s">
        <v>14</v>
      </c>
      <c r="E12" s="5" t="s">
        <v>1729</v>
      </c>
      <c r="F12" s="5" t="s">
        <v>855</v>
      </c>
      <c r="G12" s="5" t="s">
        <v>184</v>
      </c>
      <c r="H12" s="5" t="s">
        <v>18</v>
      </c>
      <c r="I12" s="17" t="s">
        <v>10263</v>
      </c>
      <c r="K12" s="5" t="str">
        <f>IFERROR(__xludf.DUMMYFUNCTION("""COMPUTED_VALUE"""),"BAE Systems")</f>
        <v>BAE Systems</v>
      </c>
      <c r="L12" s="5" t="str">
        <f>IFERROR(__xludf.DUMMYFUNCTION("""COMPUTED_VALUE"""),"Montreal")</f>
        <v>Montreal</v>
      </c>
      <c r="M12" s="5" t="str">
        <f>IFERROR(__xludf.DUMMYFUNCTION("""COMPUTED_VALUE"""),"Quebec")</f>
        <v>Quebec</v>
      </c>
    </row>
    <row r="13">
      <c r="A13" s="5" t="s">
        <v>104</v>
      </c>
      <c r="B13" s="5" t="s">
        <v>105</v>
      </c>
      <c r="D13" s="5" t="s">
        <v>14</v>
      </c>
      <c r="E13" s="5" t="s">
        <v>106</v>
      </c>
      <c r="F13" s="5" t="s">
        <v>107</v>
      </c>
      <c r="G13" s="5" t="s">
        <v>102</v>
      </c>
      <c r="H13" s="5" t="s">
        <v>18</v>
      </c>
      <c r="I13" s="7" t="s">
        <v>6213</v>
      </c>
      <c r="K13" s="5" t="str">
        <f>IFERROR(__xludf.DUMMYFUNCTION("""COMPUTED_VALUE"""),"Baker McKenzie")</f>
        <v>Baker McKenzie</v>
      </c>
      <c r="L13" s="5" t="str">
        <f>IFERROR(__xludf.DUMMYFUNCTION("""COMPUTED_VALUE"""),"New York")</f>
        <v>New York</v>
      </c>
      <c r="M13" s="5" t="str">
        <f>IFERROR(__xludf.DUMMYFUNCTION("""COMPUTED_VALUE"""),"New York")</f>
        <v>New York</v>
      </c>
    </row>
    <row r="14">
      <c r="A14" s="5" t="s">
        <v>6748</v>
      </c>
      <c r="B14" s="5" t="s">
        <v>6502</v>
      </c>
      <c r="D14" s="5" t="s">
        <v>14</v>
      </c>
      <c r="E14" s="5" t="s">
        <v>188</v>
      </c>
      <c r="F14" s="5" t="s">
        <v>6577</v>
      </c>
      <c r="G14" s="5" t="s">
        <v>4757</v>
      </c>
      <c r="H14" s="5" t="s">
        <v>4607</v>
      </c>
      <c r="I14" s="7" t="s">
        <v>6747</v>
      </c>
      <c r="K14" s="5" t="str">
        <f>IFERROR(__xludf.DUMMYFUNCTION("""COMPUTED_VALUE"""),"Bank of America")</f>
        <v>Bank of America</v>
      </c>
      <c r="L14" s="5" t="str">
        <f>IFERROR(__xludf.DUMMYFUNCTION("""COMPUTED_VALUE"""),"Philadelphia")</f>
        <v>Philadelphia</v>
      </c>
      <c r="M14" s="5" t="str">
        <f>IFERROR(__xludf.DUMMYFUNCTION("""COMPUTED_VALUE"""),"Pennsylvania")</f>
        <v>Pennsylvania</v>
      </c>
    </row>
    <row r="15">
      <c r="A15" s="5" t="s">
        <v>6785</v>
      </c>
      <c r="B15" s="5" t="s">
        <v>6786</v>
      </c>
      <c r="D15" s="5" t="s">
        <v>14</v>
      </c>
      <c r="E15" s="5" t="s">
        <v>48</v>
      </c>
      <c r="F15" s="5" t="s">
        <v>6577</v>
      </c>
      <c r="G15" s="5" t="s">
        <v>4757</v>
      </c>
      <c r="H15" s="5" t="s">
        <v>4607</v>
      </c>
      <c r="I15" s="7" t="s">
        <v>10264</v>
      </c>
      <c r="K15" s="5" t="str">
        <f>IFERROR(__xludf.DUMMYFUNCTION("""COMPUTED_VALUE"""),"Barclays")</f>
        <v>Barclays</v>
      </c>
      <c r="L15" s="5" t="str">
        <f>IFERROR(__xludf.DUMMYFUNCTION("""COMPUTED_VALUE"""),"San Francisco")</f>
        <v>San Francisco</v>
      </c>
      <c r="M15" s="5" t="str">
        <f>IFERROR(__xludf.DUMMYFUNCTION("""COMPUTED_VALUE"""),"Ontario")</f>
        <v>Ontario</v>
      </c>
    </row>
    <row r="16">
      <c r="A16" s="5" t="s">
        <v>7552</v>
      </c>
      <c r="B16" s="5" t="s">
        <v>1559</v>
      </c>
      <c r="D16" s="5" t="s">
        <v>14</v>
      </c>
      <c r="E16" s="5" t="s">
        <v>446</v>
      </c>
      <c r="F16" s="5" t="s">
        <v>7548</v>
      </c>
      <c r="G16" s="5" t="s">
        <v>6159</v>
      </c>
      <c r="H16" s="5" t="s">
        <v>4600</v>
      </c>
      <c r="I16" s="7" t="s">
        <v>7551</v>
      </c>
      <c r="K16" s="5" t="str">
        <f>IFERROR(__xludf.DUMMYFUNCTION("""COMPUTED_VALUE"""),"BDO")</f>
        <v>BDO</v>
      </c>
      <c r="L16" s="5" t="str">
        <f>IFERROR(__xludf.DUMMYFUNCTION("""COMPUTED_VALUE"""),"Slough")</f>
        <v>Slough</v>
      </c>
      <c r="M16" s="5" t="str">
        <f>IFERROR(__xludf.DUMMYFUNCTION("""COMPUTED_VALUE"""),"Michigan")</f>
        <v>Michigan</v>
      </c>
    </row>
    <row r="17">
      <c r="A17" s="5" t="s">
        <v>7777</v>
      </c>
      <c r="B17" s="5" t="s">
        <v>7778</v>
      </c>
      <c r="D17" s="5" t="s">
        <v>14</v>
      </c>
      <c r="E17" s="5" t="s">
        <v>277</v>
      </c>
      <c r="F17" s="5" t="s">
        <v>137</v>
      </c>
      <c r="G17" s="5" t="s">
        <v>137</v>
      </c>
      <c r="H17" s="5" t="s">
        <v>18</v>
      </c>
      <c r="I17" s="7" t="s">
        <v>10265</v>
      </c>
      <c r="K17" s="5" t="str">
        <f>IFERROR(__xludf.DUMMYFUNCTION("""COMPUTED_VALUE"""),"BlackBerry")</f>
        <v>BlackBerry</v>
      </c>
      <c r="L17" s="5" t="str">
        <f>IFERROR(__xludf.DUMMYFUNCTION("""COMPUTED_VALUE"""),"Toronto")</f>
        <v>Toronto</v>
      </c>
      <c r="M17" s="5" t="str">
        <f>IFERROR(__xludf.DUMMYFUNCTION("""COMPUTED_VALUE"""),"New Jersey")</f>
        <v>New Jersey</v>
      </c>
    </row>
    <row r="18">
      <c r="A18" s="5" t="s">
        <v>7856</v>
      </c>
      <c r="B18" s="5" t="s">
        <v>1378</v>
      </c>
      <c r="D18" s="5" t="s">
        <v>14</v>
      </c>
      <c r="E18" s="5" t="s">
        <v>3110</v>
      </c>
      <c r="F18" s="5" t="s">
        <v>137</v>
      </c>
      <c r="G18" s="5" t="s">
        <v>137</v>
      </c>
      <c r="H18" s="5" t="s">
        <v>18</v>
      </c>
      <c r="I18" s="7" t="s">
        <v>7855</v>
      </c>
      <c r="K18" s="5" t="str">
        <f>IFERROR(__xludf.DUMMYFUNCTION("""COMPUTED_VALUE"""),"BlackRock")</f>
        <v>BlackRock</v>
      </c>
      <c r="L18" s="5" t="str">
        <f>IFERROR(__xludf.DUMMYFUNCTION("""COMPUTED_VALUE"""),"Austin")</f>
        <v>Austin</v>
      </c>
      <c r="M18" s="5" t="str">
        <f>IFERROR(__xludf.DUMMYFUNCTION("""COMPUTED_VALUE"""),"Tennessee")</f>
        <v>Tennessee</v>
      </c>
    </row>
    <row r="19">
      <c r="A19" s="5" t="s">
        <v>142</v>
      </c>
      <c r="B19" s="5" t="s">
        <v>143</v>
      </c>
      <c r="D19" s="5" t="s">
        <v>14</v>
      </c>
      <c r="E19" s="5" t="s">
        <v>144</v>
      </c>
      <c r="F19" s="5" t="s">
        <v>137</v>
      </c>
      <c r="G19" s="5" t="s">
        <v>137</v>
      </c>
      <c r="H19" s="5" t="s">
        <v>18</v>
      </c>
      <c r="I19" s="7" t="s">
        <v>10266</v>
      </c>
      <c r="K19" s="5" t="str">
        <f>IFERROR(__xludf.DUMMYFUNCTION("""COMPUTED_VALUE"""),"Blake, Cassels &amp; Graydon LLP")</f>
        <v>Blake, Cassels &amp; Graydon LLP</v>
      </c>
      <c r="L19" s="5" t="str">
        <f>IFERROR(__xludf.DUMMYFUNCTION("""COMPUTED_VALUE"""),"Charlotte")</f>
        <v>Charlotte</v>
      </c>
      <c r="M19" s="5" t="str">
        <f>IFERROR(__xludf.DUMMYFUNCTION("""COMPUTED_VALUE"""),"District of Columbia")</f>
        <v>District of Columbia</v>
      </c>
    </row>
    <row r="20">
      <c r="A20" s="5" t="s">
        <v>7862</v>
      </c>
      <c r="B20" s="5" t="s">
        <v>7863</v>
      </c>
      <c r="D20" s="5" t="s">
        <v>14</v>
      </c>
      <c r="E20" s="5" t="s">
        <v>26</v>
      </c>
      <c r="F20" s="5" t="s">
        <v>137</v>
      </c>
      <c r="G20" s="5" t="s">
        <v>137</v>
      </c>
      <c r="H20" s="5" t="s">
        <v>18</v>
      </c>
      <c r="I20" s="7" t="s">
        <v>7861</v>
      </c>
      <c r="K20" s="5" t="str">
        <f>IFERROR(__xludf.DUMMYFUNCTION("""COMPUTED_VALUE"""),"Bloomberg LP")</f>
        <v>Bloomberg LP</v>
      </c>
      <c r="L20" s="5" t="str">
        <f>IFERROR(__xludf.DUMMYFUNCTION("""COMPUTED_VALUE"""),"Detroit")</f>
        <v>Detroit</v>
      </c>
      <c r="M20" s="5" t="str">
        <f>IFERROR(__xludf.DUMMYFUNCTION("""COMPUTED_VALUE"""),"Florida")</f>
        <v>Florida</v>
      </c>
    </row>
    <row r="21">
      <c r="A21" s="5" t="s">
        <v>7996</v>
      </c>
      <c r="B21" s="5" t="s">
        <v>7997</v>
      </c>
      <c r="D21" s="5" t="s">
        <v>14</v>
      </c>
      <c r="E21" s="5" t="s">
        <v>277</v>
      </c>
      <c r="F21" s="5" t="s">
        <v>137</v>
      </c>
      <c r="G21" s="5" t="s">
        <v>137</v>
      </c>
      <c r="H21" s="5" t="s">
        <v>18</v>
      </c>
      <c r="I21" s="7" t="s">
        <v>7995</v>
      </c>
      <c r="K21" s="5" t="str">
        <f>IFERROR(__xludf.DUMMYFUNCTION("""COMPUTED_VALUE"""),"BMO Financial Group")</f>
        <v>BMO Financial Group</v>
      </c>
      <c r="L21" s="5" t="str">
        <f>IFERROR(__xludf.DUMMYFUNCTION("""COMPUTED_VALUE"""),"Dunellen")</f>
        <v>Dunellen</v>
      </c>
      <c r="M21" s="5" t="str">
        <f>IFERROR(__xludf.DUMMYFUNCTION("""COMPUTED_VALUE"""),"Wisconsin")</f>
        <v>Wisconsin</v>
      </c>
    </row>
    <row r="22">
      <c r="A22" s="5" t="s">
        <v>156</v>
      </c>
      <c r="B22" s="5" t="s">
        <v>157</v>
      </c>
      <c r="D22" s="5" t="s">
        <v>14</v>
      </c>
      <c r="E22" s="5" t="s">
        <v>94</v>
      </c>
      <c r="F22" s="5" t="s">
        <v>153</v>
      </c>
      <c r="G22" s="5" t="s">
        <v>154</v>
      </c>
      <c r="H22" s="5" t="s">
        <v>18</v>
      </c>
      <c r="I22" s="7" t="s">
        <v>8355</v>
      </c>
      <c r="K22" s="5" t="str">
        <f>IFERROR(__xludf.DUMMYFUNCTION("""COMPUTED_VALUE"""),"BMW Group")</f>
        <v>BMW Group</v>
      </c>
      <c r="L22" s="5" t="str">
        <f>IFERROR(__xludf.DUMMYFUNCTION("""COMPUTED_VALUE"""),"Enumclaw")</f>
        <v>Enumclaw</v>
      </c>
      <c r="M22" s="5" t="str">
        <f>IFERROR(__xludf.DUMMYFUNCTION("""COMPUTED_VALUE"""),"Arizona")</f>
        <v>Arizona</v>
      </c>
    </row>
    <row r="23">
      <c r="A23" s="5" t="s">
        <v>8357</v>
      </c>
      <c r="B23" s="5" t="s">
        <v>4934</v>
      </c>
      <c r="D23" s="5" t="s">
        <v>14</v>
      </c>
      <c r="E23" s="5" t="s">
        <v>136</v>
      </c>
      <c r="F23" s="5" t="s">
        <v>153</v>
      </c>
      <c r="G23" s="5" t="s">
        <v>154</v>
      </c>
      <c r="H23" s="5" t="s">
        <v>18</v>
      </c>
      <c r="I23" s="17" t="s">
        <v>10267</v>
      </c>
      <c r="K23" s="5" t="str">
        <f>IFERROR(__xludf.DUMMYFUNCTION("""COMPUTED_VALUE"""),"BNP Paribas")</f>
        <v>BNP Paribas</v>
      </c>
      <c r="L23" s="5" t="str">
        <f>IFERROR(__xludf.DUMMYFUNCTION("""COMPUTED_VALUE"""),"Houston")</f>
        <v>Houston</v>
      </c>
      <c r="M23" s="5" t="str">
        <f>IFERROR(__xludf.DUMMYFUNCTION("""COMPUTED_VALUE"""),"Northern Ireland")</f>
        <v>Northern Ireland</v>
      </c>
    </row>
    <row r="24">
      <c r="A24" s="5" t="s">
        <v>8677</v>
      </c>
      <c r="B24" s="5" t="s">
        <v>8678</v>
      </c>
      <c r="D24" s="5" t="s">
        <v>14</v>
      </c>
      <c r="E24" s="5" t="s">
        <v>2544</v>
      </c>
      <c r="F24" s="5" t="s">
        <v>166</v>
      </c>
      <c r="G24" s="5" t="s">
        <v>44</v>
      </c>
      <c r="H24" s="5" t="s">
        <v>18</v>
      </c>
      <c r="I24" s="7" t="s">
        <v>8676</v>
      </c>
      <c r="K24" s="5" t="str">
        <f>IFERROR(__xludf.DUMMYFUNCTION("""COMPUTED_VALUE"""),"BNY Mellon")</f>
        <v>BNY Mellon</v>
      </c>
      <c r="L24" s="5" t="str">
        <f>IFERROR(__xludf.DUMMYFUNCTION("""COMPUTED_VALUE"""),"Long Beach")</f>
        <v>Long Beach</v>
      </c>
      <c r="M24" s="5" t="str">
        <f>IFERROR(__xludf.DUMMYFUNCTION("""COMPUTED_VALUE"""),"British Columbia")</f>
        <v>British Columbia</v>
      </c>
    </row>
    <row r="25">
      <c r="A25" s="5" t="s">
        <v>8798</v>
      </c>
      <c r="B25" s="5" t="s">
        <v>5054</v>
      </c>
      <c r="D25" s="5" t="s">
        <v>14</v>
      </c>
      <c r="E25" s="5" t="s">
        <v>691</v>
      </c>
      <c r="F25" s="5" t="s">
        <v>8799</v>
      </c>
      <c r="G25" s="5" t="s">
        <v>4757</v>
      </c>
      <c r="H25" s="5" t="s">
        <v>4607</v>
      </c>
      <c r="I25" s="7" t="s">
        <v>8797</v>
      </c>
      <c r="K25" s="5" t="str">
        <f>IFERROR(__xludf.DUMMYFUNCTION("""COMPUTED_VALUE"""),"Boeing")</f>
        <v>Boeing</v>
      </c>
      <c r="L25" s="5" t="str">
        <f>IFERROR(__xludf.DUMMYFUNCTION("""COMPUTED_VALUE"""),"Los Angeles")</f>
        <v>Los Angeles</v>
      </c>
      <c r="M25" s="5" t="str">
        <f>IFERROR(__xludf.DUMMYFUNCTION("""COMPUTED_VALUE"""),"Oregon")</f>
        <v>Oregon</v>
      </c>
    </row>
    <row r="26">
      <c r="A26" s="5" t="s">
        <v>9145</v>
      </c>
      <c r="B26" s="5" t="s">
        <v>25</v>
      </c>
      <c r="D26" s="5" t="s">
        <v>14</v>
      </c>
      <c r="E26" s="5" t="s">
        <v>36</v>
      </c>
      <c r="F26" s="5" t="s">
        <v>5280</v>
      </c>
      <c r="G26" s="5" t="s">
        <v>4638</v>
      </c>
      <c r="H26" s="5" t="s">
        <v>4600</v>
      </c>
      <c r="I26" s="7" t="s">
        <v>9144</v>
      </c>
      <c r="K26" s="5" t="str">
        <f>IFERROR(__xludf.DUMMYFUNCTION("""COMPUTED_VALUE"""),"BOMBARDIER")</f>
        <v>BOMBARDIER</v>
      </c>
      <c r="L26" s="5" t="str">
        <f>IFERROR(__xludf.DUMMYFUNCTION("""COMPUTED_VALUE"""),"Mableton")</f>
        <v>Mableton</v>
      </c>
      <c r="M26" s="5" t="str">
        <f>IFERROR(__xludf.DUMMYFUNCTION("""COMPUTED_VALUE"""),"Nevada")</f>
        <v>Nevada</v>
      </c>
    </row>
    <row r="27">
      <c r="A27" s="5" t="s">
        <v>9252</v>
      </c>
      <c r="B27" s="5" t="s">
        <v>25</v>
      </c>
      <c r="D27" s="5" t="s">
        <v>14</v>
      </c>
      <c r="E27" s="5" t="s">
        <v>574</v>
      </c>
      <c r="F27" s="5" t="s">
        <v>5280</v>
      </c>
      <c r="G27" s="5" t="s">
        <v>4638</v>
      </c>
      <c r="H27" s="5" t="s">
        <v>4600</v>
      </c>
      <c r="I27" s="7" t="s">
        <v>9251</v>
      </c>
      <c r="K27" s="5" t="str">
        <f>IFERROR(__xludf.DUMMYFUNCTION("""COMPUTED_VALUE"""),"Booth University College")</f>
        <v>Booth University College</v>
      </c>
      <c r="L27" s="5" t="str">
        <f>IFERROR(__xludf.DUMMYFUNCTION("""COMPUTED_VALUE"""),"Nashville")</f>
        <v>Nashville</v>
      </c>
      <c r="M27" s="5" t="str">
        <f>IFERROR(__xludf.DUMMYFUNCTION("""COMPUTED_VALUE"""),"Missouri")</f>
        <v>Missouri</v>
      </c>
    </row>
    <row r="28">
      <c r="A28" s="5" t="s">
        <v>11</v>
      </c>
      <c r="B28" s="5" t="s">
        <v>12</v>
      </c>
      <c r="C28" s="5" t="s">
        <v>13</v>
      </c>
      <c r="D28" s="5" t="s">
        <v>14</v>
      </c>
      <c r="E28" s="5" t="s">
        <v>15</v>
      </c>
      <c r="F28" s="5" t="s">
        <v>16</v>
      </c>
      <c r="G28" s="5" t="s">
        <v>17</v>
      </c>
      <c r="H28" s="5" t="s">
        <v>18</v>
      </c>
      <c r="I28" s="7" t="s">
        <v>19</v>
      </c>
      <c r="K28" s="5" t="str">
        <f>IFERROR(__xludf.DUMMYFUNCTION("""COMPUTED_VALUE"""),"Booz Allen Hamilton")</f>
        <v>Booz Allen Hamilton</v>
      </c>
      <c r="L28" s="5" t="str">
        <f>IFERROR(__xludf.DUMMYFUNCTION("""COMPUTED_VALUE"""),"Oakland")</f>
        <v>Oakland</v>
      </c>
      <c r="M28" s="5" t="str">
        <f>IFERROR(__xludf.DUMMYFUNCTION("""COMPUTED_VALUE"""),"Massachusetts")</f>
        <v>Massachusetts</v>
      </c>
    </row>
    <row r="29">
      <c r="A29" s="5" t="s">
        <v>20</v>
      </c>
      <c r="B29" s="5" t="s">
        <v>21</v>
      </c>
      <c r="C29" s="5" t="s">
        <v>4</v>
      </c>
      <c r="D29" s="5" t="s">
        <v>14</v>
      </c>
      <c r="E29" s="5" t="s">
        <v>22</v>
      </c>
      <c r="F29" s="5" t="s">
        <v>16</v>
      </c>
      <c r="G29" s="5" t="s">
        <v>17</v>
      </c>
      <c r="H29" s="5" t="s">
        <v>18</v>
      </c>
      <c r="I29" s="7" t="s">
        <v>23</v>
      </c>
      <c r="K29" s="5" t="str">
        <f>IFERROR(__xludf.DUMMYFUNCTION("""COMPUTED_VALUE"""),"Boston Consulting Group (BCG)")</f>
        <v>Boston Consulting Group (BCG)</v>
      </c>
      <c r="L29" s="5" t="str">
        <f>IFERROR(__xludf.DUMMYFUNCTION("""COMPUTED_VALUE"""),"San Jose")</f>
        <v>San Jose</v>
      </c>
      <c r="M29" s="5" t="str">
        <f>IFERROR(__xludf.DUMMYFUNCTION("""COMPUTED_VALUE"""),"Louisiana")</f>
        <v>Louisiana</v>
      </c>
    </row>
    <row r="30">
      <c r="A30" s="5" t="s">
        <v>24</v>
      </c>
      <c r="B30" s="5" t="s">
        <v>25</v>
      </c>
      <c r="C30" s="5" t="s">
        <v>13</v>
      </c>
      <c r="D30" s="5" t="s">
        <v>14</v>
      </c>
      <c r="E30" s="5" t="s">
        <v>26</v>
      </c>
      <c r="F30" s="5" t="s">
        <v>16</v>
      </c>
      <c r="G30" s="5" t="s">
        <v>17</v>
      </c>
      <c r="H30" s="5" t="s">
        <v>18</v>
      </c>
      <c r="I30" s="17" t="s">
        <v>10268</v>
      </c>
      <c r="K30" s="5" t="str">
        <f>IFERROR(__xludf.DUMMYFUNCTION("""COMPUTED_VALUE"""),"BP")</f>
        <v>BP</v>
      </c>
      <c r="L30" s="5" t="str">
        <f>IFERROR(__xludf.DUMMYFUNCTION("""COMPUTED_VALUE"""),"Washington")</f>
        <v>Washington</v>
      </c>
      <c r="M30" s="5" t="str">
        <f>IFERROR(__xludf.DUMMYFUNCTION("""COMPUTED_VALUE"""),"New South Wales")</f>
        <v>New South Wales</v>
      </c>
    </row>
    <row r="31">
      <c r="A31" s="5" t="s">
        <v>28</v>
      </c>
      <c r="B31" s="5" t="s">
        <v>25</v>
      </c>
      <c r="C31" s="5" t="s">
        <v>13</v>
      </c>
      <c r="D31" s="5" t="s">
        <v>14</v>
      </c>
      <c r="E31" s="5" t="s">
        <v>29</v>
      </c>
      <c r="F31" s="5" t="s">
        <v>16</v>
      </c>
      <c r="G31" s="5" t="s">
        <v>17</v>
      </c>
      <c r="H31" s="5" t="s">
        <v>18</v>
      </c>
      <c r="I31" s="7" t="s">
        <v>30</v>
      </c>
      <c r="K31" s="5" t="str">
        <f>IFERROR(__xludf.DUMMYFUNCTION("""COMPUTED_VALUE"""),"ByteDance")</f>
        <v>ByteDance</v>
      </c>
      <c r="L31" s="5" t="str">
        <f>IFERROR(__xludf.DUMMYFUNCTION("""COMPUTED_VALUE"""),"Arlington")</f>
        <v>Arlington</v>
      </c>
      <c r="M31" s="5" t="str">
        <f>IFERROR(__xludf.DUMMYFUNCTION("""COMPUTED_VALUE"""),"Delaware")</f>
        <v>Delaware</v>
      </c>
    </row>
    <row r="32">
      <c r="A32" s="5" t="s">
        <v>31</v>
      </c>
      <c r="B32" s="5" t="s">
        <v>32</v>
      </c>
      <c r="C32" s="5" t="s">
        <v>13</v>
      </c>
      <c r="D32" s="5" t="s">
        <v>14</v>
      </c>
      <c r="E32" s="5" t="s">
        <v>33</v>
      </c>
      <c r="F32" s="5" t="s">
        <v>16</v>
      </c>
      <c r="G32" s="5" t="s">
        <v>17</v>
      </c>
      <c r="H32" s="5" t="s">
        <v>18</v>
      </c>
      <c r="I32" s="7" t="s">
        <v>34</v>
      </c>
      <c r="K32" s="5" t="str">
        <f>IFERROR(__xludf.DUMMYFUNCTION("""COMPUTED_VALUE"""),"Canada Revenue Agency")</f>
        <v>Canada Revenue Agency</v>
      </c>
      <c r="L32" s="5" t="str">
        <f>IFERROR(__xludf.DUMMYFUNCTION("""COMPUTED_VALUE"""),"Ashburn")</f>
        <v>Ashburn</v>
      </c>
      <c r="M32" s="5" t="str">
        <f>IFERROR(__xludf.DUMMYFUNCTION("""COMPUTED_VALUE"""),"Alberta")</f>
        <v>Alberta</v>
      </c>
    </row>
    <row r="33">
      <c r="A33" s="5" t="s">
        <v>35</v>
      </c>
      <c r="B33" s="5" t="s">
        <v>25</v>
      </c>
      <c r="C33" s="5" t="s">
        <v>13</v>
      </c>
      <c r="D33" s="5" t="s">
        <v>14</v>
      </c>
      <c r="E33" s="5" t="s">
        <v>36</v>
      </c>
      <c r="F33" s="5" t="s">
        <v>37</v>
      </c>
      <c r="G33" s="5" t="s">
        <v>38</v>
      </c>
      <c r="H33" s="5" t="s">
        <v>18</v>
      </c>
      <c r="I33" s="7" t="s">
        <v>39</v>
      </c>
      <c r="K33" s="5" t="str">
        <f>IFERROR(__xludf.DUMMYFUNCTION("""COMPUTED_VALUE"""),"Canadian Blood Services")</f>
        <v>Canadian Blood Services</v>
      </c>
      <c r="L33" s="5" t="str">
        <f>IFERROR(__xludf.DUMMYFUNCTION("""COMPUTED_VALUE"""),"Terrebonne")</f>
        <v>Terrebonne</v>
      </c>
      <c r="M33" s="5" t="str">
        <f>IFERROR(__xludf.DUMMYFUNCTION("""COMPUTED_VALUE"""),"South Carolina")</f>
        <v>South Carolina</v>
      </c>
    </row>
    <row r="34">
      <c r="A34" s="5" t="s">
        <v>40</v>
      </c>
      <c r="B34" s="5" t="s">
        <v>41</v>
      </c>
      <c r="C34" s="5" t="s">
        <v>13</v>
      </c>
      <c r="D34" s="5" t="s">
        <v>14</v>
      </c>
      <c r="E34" s="5" t="s">
        <v>42</v>
      </c>
      <c r="F34" s="5" t="s">
        <v>43</v>
      </c>
      <c r="G34" s="5" t="s">
        <v>44</v>
      </c>
      <c r="H34" s="5" t="s">
        <v>18</v>
      </c>
      <c r="I34" s="7" t="s">
        <v>45</v>
      </c>
      <c r="K34" s="5" t="str">
        <f>IFERROR(__xludf.DUMMYFUNCTION("""COMPUTED_VALUE"""),"Canadian Federal Government")</f>
        <v>Canadian Federal Government</v>
      </c>
      <c r="L34" s="5" t="str">
        <f>IFERROR(__xludf.DUMMYFUNCTION("""COMPUTED_VALUE"""),"Bristol")</f>
        <v>Bristol</v>
      </c>
      <c r="M34" s="5" t="str">
        <f>IFERROR(__xludf.DUMMYFUNCTION("""COMPUTED_VALUE"""),"Alabama")</f>
        <v>Alabama</v>
      </c>
    </row>
    <row r="35">
      <c r="A35" s="5" t="s">
        <v>46</v>
      </c>
      <c r="B35" s="5" t="s">
        <v>47</v>
      </c>
      <c r="C35" s="5" t="s">
        <v>13</v>
      </c>
      <c r="D35" s="5" t="s">
        <v>14</v>
      </c>
      <c r="E35" s="5" t="s">
        <v>48</v>
      </c>
      <c r="F35" s="5" t="s">
        <v>49</v>
      </c>
      <c r="G35" s="5" t="s">
        <v>50</v>
      </c>
      <c r="H35" s="5" t="s">
        <v>18</v>
      </c>
      <c r="I35" s="7" t="s">
        <v>51</v>
      </c>
      <c r="K35" s="5" t="str">
        <f>IFERROR(__xludf.DUMMYFUNCTION("""COMPUTED_VALUE"""),"Canadian Institutes of Health Research | Instituts de recherche en santé du Canada")</f>
        <v>Canadian Institutes of Health Research | Instituts de recherche en santé du Canada</v>
      </c>
      <c r="L35" s="5" t="str">
        <f>IFERROR(__xludf.DUMMYFUNCTION("""COMPUTED_VALUE"""),"Boynton Beach")</f>
        <v>Boynton Beach</v>
      </c>
      <c r="M35" s="5" t="str">
        <f>IFERROR(__xludf.DUMMYFUNCTION("""COMPUTED_VALUE"""),"Utah")</f>
        <v>Utah</v>
      </c>
    </row>
    <row r="36">
      <c r="A36" s="5" t="s">
        <v>52</v>
      </c>
      <c r="B36" s="5" t="s">
        <v>25</v>
      </c>
      <c r="C36" s="5" t="s">
        <v>13</v>
      </c>
      <c r="D36" s="5" t="s">
        <v>14</v>
      </c>
      <c r="E36" s="5" t="s">
        <v>53</v>
      </c>
      <c r="F36" s="5" t="s">
        <v>49</v>
      </c>
      <c r="G36" s="5" t="s">
        <v>50</v>
      </c>
      <c r="H36" s="5" t="s">
        <v>18</v>
      </c>
      <c r="I36" s="7" t="s">
        <v>54</v>
      </c>
      <c r="K36" s="5" t="str">
        <f>IFERROR(__xludf.DUMMYFUNCTION("""COMPUTED_VALUE"""),"Canadian Nuclear Laboratories")</f>
        <v>Canadian Nuclear Laboratories</v>
      </c>
      <c r="L36" s="5" t="str">
        <f>IFERROR(__xludf.DUMMYFUNCTION("""COMPUTED_VALUE"""),"Dayton")</f>
        <v>Dayton</v>
      </c>
      <c r="M36" s="5" t="str">
        <f>IFERROR(__xludf.DUMMYFUNCTION("""COMPUTED_VALUE"""),"Manitoba")</f>
        <v>Manitoba</v>
      </c>
    </row>
    <row r="37">
      <c r="A37" s="5" t="s">
        <v>55</v>
      </c>
      <c r="B37" s="5" t="s">
        <v>25</v>
      </c>
      <c r="C37" s="5" t="s">
        <v>13</v>
      </c>
      <c r="D37" s="5" t="s">
        <v>14</v>
      </c>
      <c r="E37" s="5" t="s">
        <v>56</v>
      </c>
      <c r="F37" s="5" t="s">
        <v>49</v>
      </c>
      <c r="G37" s="5" t="s">
        <v>50</v>
      </c>
      <c r="H37" s="5" t="s">
        <v>18</v>
      </c>
      <c r="I37" s="7" t="s">
        <v>57</v>
      </c>
      <c r="K37" s="5" t="str">
        <f>IFERROR(__xludf.DUMMYFUNCTION("""COMPUTED_VALUE"""),"Canadian Physicians for Life")</f>
        <v>Canadian Physicians for Life</v>
      </c>
      <c r="L37" s="5" t="str">
        <f>IFERROR(__xludf.DUMMYFUNCTION("""COMPUTED_VALUE"""),"Milwaukee")</f>
        <v>Milwaukee</v>
      </c>
      <c r="M37" s="5" t="str">
        <f>IFERROR(__xludf.DUMMYFUNCTION("""COMPUTED_VALUE"""),"Scotland")</f>
        <v>Scotland</v>
      </c>
    </row>
    <row r="38">
      <c r="A38" s="5" t="s">
        <v>58</v>
      </c>
      <c r="B38" s="5" t="s">
        <v>59</v>
      </c>
      <c r="C38" s="5" t="s">
        <v>13</v>
      </c>
      <c r="D38" s="5" t="s">
        <v>14</v>
      </c>
      <c r="E38" s="5" t="s">
        <v>60</v>
      </c>
      <c r="F38" s="5" t="s">
        <v>49</v>
      </c>
      <c r="G38" s="5" t="s">
        <v>50</v>
      </c>
      <c r="H38" s="5" t="s">
        <v>18</v>
      </c>
      <c r="I38" s="7" t="s">
        <v>61</v>
      </c>
      <c r="K38" s="5" t="str">
        <f>IFERROR(__xludf.DUMMYFUNCTION("""COMPUTED_VALUE"""),"Capco")</f>
        <v>Capco</v>
      </c>
      <c r="L38" s="5" t="str">
        <f>IFERROR(__xludf.DUMMYFUNCTION("""COMPUTED_VALUE"""),"Phoenix")</f>
        <v>Phoenix</v>
      </c>
      <c r="M38" s="5" t="str">
        <f>IFERROR(__xludf.DUMMYFUNCTION("""COMPUTED_VALUE"""),"Nova Scotia")</f>
        <v>Nova Scotia</v>
      </c>
    </row>
    <row r="39">
      <c r="A39" s="5" t="s">
        <v>62</v>
      </c>
      <c r="B39" s="5" t="s">
        <v>47</v>
      </c>
      <c r="C39" s="5" t="s">
        <v>13</v>
      </c>
      <c r="D39" s="5" t="s">
        <v>14</v>
      </c>
      <c r="E39" s="5" t="s">
        <v>63</v>
      </c>
      <c r="F39" s="5" t="s">
        <v>64</v>
      </c>
      <c r="G39" s="5" t="s">
        <v>65</v>
      </c>
      <c r="H39" s="5" t="s">
        <v>18</v>
      </c>
      <c r="I39" s="7" t="s">
        <v>66</v>
      </c>
      <c r="K39" s="5" t="str">
        <f>IFERROR(__xludf.DUMMYFUNCTION("""COMPUTED_VALUE"""),"Capgemini")</f>
        <v>Capgemini</v>
      </c>
      <c r="L39" s="5" t="str">
        <f>IFERROR(__xludf.DUMMYFUNCTION("""COMPUTED_VALUE"""),"Belfast")</f>
        <v>Belfast</v>
      </c>
      <c r="M39" s="5" t="str">
        <f>IFERROR(__xludf.DUMMYFUNCTION("""COMPUTED_VALUE"""),"Indiana")</f>
        <v>Indiana</v>
      </c>
    </row>
    <row r="40">
      <c r="A40" s="5" t="s">
        <v>67</v>
      </c>
      <c r="B40" s="5" t="s">
        <v>25</v>
      </c>
      <c r="C40" s="5" t="s">
        <v>13</v>
      </c>
      <c r="D40" s="5" t="s">
        <v>14</v>
      </c>
      <c r="E40" s="5" t="s">
        <v>68</v>
      </c>
      <c r="F40" s="5" t="s">
        <v>64</v>
      </c>
      <c r="G40" s="5" t="s">
        <v>65</v>
      </c>
      <c r="H40" s="5" t="s">
        <v>18</v>
      </c>
      <c r="I40" s="7" t="s">
        <v>69</v>
      </c>
      <c r="K40" s="5" t="str">
        <f>IFERROR(__xludf.DUMMYFUNCTION("""COMPUTED_VALUE"""),"Capital One")</f>
        <v>Capital One</v>
      </c>
      <c r="L40" s="5" t="str">
        <f>IFERROR(__xludf.DUMMYFUNCTION("""COMPUTED_VALUE"""),"San Diego")</f>
        <v>San Diego</v>
      </c>
      <c r="M40" s="5" t="str">
        <f>IFERROR(__xludf.DUMMYFUNCTION("""COMPUTED_VALUE"""),"Iowa")</f>
        <v>Iowa</v>
      </c>
    </row>
    <row r="41">
      <c r="A41" s="5" t="s">
        <v>70</v>
      </c>
      <c r="B41" s="5" t="s">
        <v>25</v>
      </c>
      <c r="C41" s="5" t="s">
        <v>13</v>
      </c>
      <c r="D41" s="5" t="s">
        <v>14</v>
      </c>
      <c r="E41" s="5" t="s">
        <v>29</v>
      </c>
      <c r="F41" s="5" t="s">
        <v>64</v>
      </c>
      <c r="G41" s="5" t="s">
        <v>65</v>
      </c>
      <c r="H41" s="5" t="s">
        <v>18</v>
      </c>
      <c r="I41" s="7" t="s">
        <v>71</v>
      </c>
      <c r="K41" s="5" t="str">
        <f>IFERROR(__xludf.DUMMYFUNCTION("""COMPUTED_VALUE"""),"Cargill")</f>
        <v>Cargill</v>
      </c>
      <c r="L41" s="5" t="str">
        <f>IFERROR(__xludf.DUMMYFUNCTION("""COMPUTED_VALUE"""),"Seattle")</f>
        <v>Seattle</v>
      </c>
      <c r="M41" s="5" t="str">
        <f>IFERROR(__xludf.DUMMYFUNCTION("""COMPUTED_VALUE"""),"Minnesota")</f>
        <v>Minnesota</v>
      </c>
    </row>
    <row r="42">
      <c r="A42" s="5" t="s">
        <v>72</v>
      </c>
      <c r="B42" s="5" t="s">
        <v>73</v>
      </c>
      <c r="C42" s="5" t="s">
        <v>13</v>
      </c>
      <c r="D42" s="5" t="s">
        <v>14</v>
      </c>
      <c r="E42" s="5" t="s">
        <v>74</v>
      </c>
      <c r="F42" s="5" t="s">
        <v>75</v>
      </c>
      <c r="G42" s="5" t="s">
        <v>76</v>
      </c>
      <c r="H42" s="5" t="s">
        <v>18</v>
      </c>
      <c r="I42" s="7" t="s">
        <v>77</v>
      </c>
      <c r="K42" s="5" t="str">
        <f>IFERROR(__xludf.DUMMYFUNCTION("""COMPUTED_VALUE"""),"Carleton University")</f>
        <v>Carleton University</v>
      </c>
      <c r="L42" s="5" t="str">
        <f>IFERROR(__xludf.DUMMYFUNCTION("""COMPUTED_VALUE"""),"Vancouver")</f>
        <v>Vancouver</v>
      </c>
      <c r="M42" s="5" t="str">
        <f>IFERROR(__xludf.DUMMYFUNCTION("""COMPUTED_VALUE"""),"Kansas")</f>
        <v>Kansas</v>
      </c>
    </row>
    <row r="43">
      <c r="A43" s="5" t="s">
        <v>78</v>
      </c>
      <c r="B43" s="5" t="s">
        <v>25</v>
      </c>
      <c r="C43" s="5" t="s">
        <v>13</v>
      </c>
      <c r="D43" s="5" t="s">
        <v>14</v>
      </c>
      <c r="E43" s="5" t="s">
        <v>79</v>
      </c>
      <c r="F43" s="5" t="s">
        <v>80</v>
      </c>
      <c r="G43" s="5" t="s">
        <v>38</v>
      </c>
      <c r="H43" s="5" t="s">
        <v>18</v>
      </c>
      <c r="I43" s="7" t="s">
        <v>81</v>
      </c>
      <c r="K43" s="5" t="str">
        <f>IFERROR(__xludf.DUMMYFUNCTION("""COMPUTED_VALUE"""),"CGI")</f>
        <v>CGI</v>
      </c>
      <c r="L43" s="5" t="str">
        <f>IFERROR(__xludf.DUMMYFUNCTION("""COMPUTED_VALUE"""),"West Linn")</f>
        <v>West Linn</v>
      </c>
      <c r="M43" s="5" t="str">
        <f>IFERROR(__xludf.DUMMYFUNCTION("""COMPUTED_VALUE"""),"Connecticut")</f>
        <v>Connecticut</v>
      </c>
    </row>
    <row r="44">
      <c r="A44" s="5" t="s">
        <v>82</v>
      </c>
      <c r="B44" s="5" t="s">
        <v>83</v>
      </c>
      <c r="C44" s="5" t="s">
        <v>13</v>
      </c>
      <c r="D44" s="5" t="s">
        <v>14</v>
      </c>
      <c r="E44" s="5" t="s">
        <v>84</v>
      </c>
      <c r="F44" s="5" t="s">
        <v>85</v>
      </c>
      <c r="G44" s="5" t="s">
        <v>86</v>
      </c>
      <c r="H44" s="5" t="s">
        <v>18</v>
      </c>
      <c r="I44" s="17" t="s">
        <v>10269</v>
      </c>
      <c r="K44" s="5" t="str">
        <f>IFERROR(__xludf.DUMMYFUNCTION("""COMPUTED_VALUE"""),"Chartered Professional Accountants of Ontario (CPA Ontario)")</f>
        <v>Chartered Professional Accountants of Ontario (CPA Ontario)</v>
      </c>
      <c r="L44" s="5" t="str">
        <f>IFERROR(__xludf.DUMMYFUNCTION("""COMPUTED_VALUE"""),"Whitnash")</f>
        <v>Whitnash</v>
      </c>
      <c r="M44" s="5" t="str">
        <f>IFERROR(__xludf.DUMMYFUNCTION("""COMPUTED_VALUE"""),"Nebraska")</f>
        <v>Nebraska</v>
      </c>
    </row>
    <row r="45">
      <c r="A45" s="5" t="s">
        <v>88</v>
      </c>
      <c r="B45" s="5" t="s">
        <v>89</v>
      </c>
      <c r="C45" s="5" t="s">
        <v>13</v>
      </c>
      <c r="D45" s="5" t="s">
        <v>14</v>
      </c>
      <c r="E45" s="5" t="s">
        <v>36</v>
      </c>
      <c r="F45" s="5" t="s">
        <v>90</v>
      </c>
      <c r="G45" s="5" t="s">
        <v>91</v>
      </c>
      <c r="H45" s="5" t="s">
        <v>18</v>
      </c>
      <c r="I45" s="7" t="s">
        <v>92</v>
      </c>
      <c r="K45" s="5" t="str">
        <f>IFERROR(__xludf.DUMMYFUNCTION("""COMPUTED_VALUE"""),"Chewy")</f>
        <v>Chewy</v>
      </c>
      <c r="L45" s="5" t="str">
        <f>IFERROR(__xludf.DUMMYFUNCTION("""COMPUTED_VALUE"""),"Aurora")</f>
        <v>Aurora</v>
      </c>
      <c r="M45" s="5" t="str">
        <f>IFERROR(__xludf.DUMMYFUNCTION("""COMPUTED_VALUE"""),"Queensland")</f>
        <v>Queensland</v>
      </c>
    </row>
    <row r="46">
      <c r="A46" s="5" t="s">
        <v>93</v>
      </c>
      <c r="B46" s="5" t="s">
        <v>25</v>
      </c>
      <c r="C46" s="5" t="s">
        <v>13</v>
      </c>
      <c r="D46" s="5" t="s">
        <v>14</v>
      </c>
      <c r="E46" s="5" t="s">
        <v>94</v>
      </c>
      <c r="F46" s="5" t="s">
        <v>95</v>
      </c>
      <c r="G46" s="5" t="s">
        <v>96</v>
      </c>
      <c r="H46" s="5" t="s">
        <v>18</v>
      </c>
      <c r="I46" s="7" t="s">
        <v>97</v>
      </c>
      <c r="K46" s="5" t="str">
        <f>IFERROR(__xludf.DUMMYFUNCTION("""COMPUTED_VALUE"""),"CIBC")</f>
        <v>CIBC</v>
      </c>
      <c r="L46" s="5" t="str">
        <f>IFERROR(__xludf.DUMMYFUNCTION("""COMPUTED_VALUE"""),"Escondido")</f>
        <v>Escondido</v>
      </c>
      <c r="M46" s="5" t="str">
        <f>IFERROR(__xludf.DUMMYFUNCTION("""COMPUTED_VALUE"""),"Maryland")</f>
        <v>Maryland</v>
      </c>
    </row>
    <row r="47">
      <c r="A47" s="5" t="s">
        <v>98</v>
      </c>
      <c r="B47" s="5" t="s">
        <v>99</v>
      </c>
      <c r="C47" s="5" t="s">
        <v>13</v>
      </c>
      <c r="D47" s="5" t="s">
        <v>14</v>
      </c>
      <c r="E47" s="5" t="s">
        <v>100</v>
      </c>
      <c r="F47" s="5" t="s">
        <v>101</v>
      </c>
      <c r="G47" s="5" t="s">
        <v>102</v>
      </c>
      <c r="H47" s="5" t="s">
        <v>18</v>
      </c>
      <c r="I47" s="7" t="s">
        <v>103</v>
      </c>
      <c r="K47" s="5" t="str">
        <f>IFERROR(__xludf.DUMMYFUNCTION("""COMPUTED_VALUE"""),"Cisco")</f>
        <v>Cisco</v>
      </c>
      <c r="L47" s="5" t="str">
        <f>IFERROR(__xludf.DUMMYFUNCTION("""COMPUTED_VALUE"""),"Glendale")</f>
        <v>Glendale</v>
      </c>
      <c r="M47" s="5" t="str">
        <f>IFERROR(__xludf.DUMMYFUNCTION("""COMPUTED_VALUE"""),"Western Australia")</f>
        <v>Western Australia</v>
      </c>
    </row>
    <row r="48">
      <c r="A48" s="5" t="s">
        <v>104</v>
      </c>
      <c r="B48" s="5" t="s">
        <v>105</v>
      </c>
      <c r="C48" s="5" t="s">
        <v>13</v>
      </c>
      <c r="D48" s="5" t="s">
        <v>14</v>
      </c>
      <c r="E48" s="5" t="s">
        <v>106</v>
      </c>
      <c r="F48" s="5" t="s">
        <v>107</v>
      </c>
      <c r="G48" s="5" t="s">
        <v>102</v>
      </c>
      <c r="H48" s="5" t="s">
        <v>18</v>
      </c>
      <c r="I48" s="7" t="s">
        <v>108</v>
      </c>
      <c r="K48" s="5" t="str">
        <f>IFERROR(__xludf.DUMMYFUNCTION("""COMPUTED_VALUE"""),"Citadel")</f>
        <v>Citadel</v>
      </c>
      <c r="L48" s="5" t="str">
        <f>IFERROR(__xludf.DUMMYFUNCTION("""COMPUTED_VALUE"""),"Henderson")</f>
        <v>Henderson</v>
      </c>
      <c r="M48" s="5" t="str">
        <f>IFERROR(__xludf.DUMMYFUNCTION("""COMPUTED_VALUE"""),"Rhode Island")</f>
        <v>Rhode Island</v>
      </c>
    </row>
    <row r="49">
      <c r="A49" s="5" t="s">
        <v>109</v>
      </c>
      <c r="B49" s="5" t="s">
        <v>110</v>
      </c>
      <c r="C49" s="5" t="s">
        <v>13</v>
      </c>
      <c r="D49" s="5" t="s">
        <v>14</v>
      </c>
      <c r="E49" s="5" t="s">
        <v>111</v>
      </c>
      <c r="F49" s="5" t="s">
        <v>112</v>
      </c>
      <c r="G49" s="5" t="s">
        <v>38</v>
      </c>
      <c r="H49" s="5" t="s">
        <v>18</v>
      </c>
      <c r="I49" s="7" t="s">
        <v>113</v>
      </c>
      <c r="K49" s="5" t="str">
        <f>IFERROR(__xludf.DUMMYFUNCTION("""COMPUTED_VALUE"""),"Citi")</f>
        <v>Citi</v>
      </c>
      <c r="L49" s="5" t="str">
        <f>IFERROR(__xludf.DUMMYFUNCTION("""COMPUTED_VALUE"""),"Lake Ozark")</f>
        <v>Lake Ozark</v>
      </c>
      <c r="M49" s="5" t="str">
        <f>IFERROR(__xludf.DUMMYFUNCTION("""COMPUTED_VALUE"""),"Saskatchewan")</f>
        <v>Saskatchewan</v>
      </c>
    </row>
    <row r="50">
      <c r="A50" s="5" t="s">
        <v>114</v>
      </c>
      <c r="B50" s="5" t="s">
        <v>115</v>
      </c>
      <c r="C50" s="5" t="s">
        <v>13</v>
      </c>
      <c r="D50" s="5" t="s">
        <v>14</v>
      </c>
      <c r="E50" s="5" t="s">
        <v>116</v>
      </c>
      <c r="F50" s="5" t="s">
        <v>117</v>
      </c>
      <c r="G50" s="5" t="s">
        <v>44</v>
      </c>
      <c r="H50" s="5" t="s">
        <v>18</v>
      </c>
      <c r="I50" s="7" t="s">
        <v>118</v>
      </c>
      <c r="K50" s="5" t="str">
        <f>IFERROR(__xludf.DUMMYFUNCTION("""COMPUTED_VALUE"""),"Citrix")</f>
        <v>Citrix</v>
      </c>
      <c r="L50" s="5" t="str">
        <f>IFERROR(__xludf.DUMMYFUNCTION("""COMPUTED_VALUE"""),"Lebanon")</f>
        <v>Lebanon</v>
      </c>
      <c r="M50" s="5" t="str">
        <f>IFERROR(__xludf.DUMMYFUNCTION("""COMPUTED_VALUE"""),"New Mexico")</f>
        <v>New Mexico</v>
      </c>
    </row>
    <row r="51">
      <c r="A51" s="5" t="s">
        <v>119</v>
      </c>
      <c r="B51" s="5" t="s">
        <v>120</v>
      </c>
      <c r="C51" s="5" t="s">
        <v>13</v>
      </c>
      <c r="D51" s="5" t="s">
        <v>14</v>
      </c>
      <c r="E51" s="5" t="s">
        <v>121</v>
      </c>
      <c r="F51" s="5" t="s">
        <v>122</v>
      </c>
      <c r="G51" s="5" t="s">
        <v>44</v>
      </c>
      <c r="H51" s="5" t="s">
        <v>18</v>
      </c>
      <c r="I51" s="7" t="s">
        <v>123</v>
      </c>
      <c r="K51" s="5" t="str">
        <f>IFERROR(__xludf.DUMMYFUNCTION("""COMPUTED_VALUE"""),"Cognizant")</f>
        <v>Cognizant</v>
      </c>
      <c r="L51" s="5" t="str">
        <f>IFERROR(__xludf.DUMMYFUNCTION("""COMPUTED_VALUE"""),"Marietta")</f>
        <v>Marietta</v>
      </c>
      <c r="M51" s="5" t="str">
        <f>IFERROR(__xludf.DUMMYFUNCTION("""COMPUTED_VALUE"""),"Oklahoma")</f>
        <v>Oklahoma</v>
      </c>
    </row>
    <row r="52">
      <c r="A52" s="5" t="s">
        <v>124</v>
      </c>
      <c r="B52" s="5" t="s">
        <v>25</v>
      </c>
      <c r="C52" s="5" t="s">
        <v>13</v>
      </c>
      <c r="D52" s="5" t="s">
        <v>14</v>
      </c>
      <c r="E52" s="5" t="s">
        <v>125</v>
      </c>
      <c r="F52" s="5" t="s">
        <v>122</v>
      </c>
      <c r="G52" s="5" t="s">
        <v>44</v>
      </c>
      <c r="H52" s="5" t="s">
        <v>18</v>
      </c>
      <c r="I52" s="7" t="s">
        <v>126</v>
      </c>
      <c r="K52" s="5" t="str">
        <f>IFERROR(__xludf.DUMMYFUNCTION("""COMPUTED_VALUE"""),"Comcast")</f>
        <v>Comcast</v>
      </c>
      <c r="L52" s="5" t="str">
        <f>IFERROR(__xludf.DUMMYFUNCTION("""COMPUTED_VALUE"""),"New Hartford")</f>
        <v>New Hartford</v>
      </c>
      <c r="M52" s="5" t="str">
        <f>IFERROR(__xludf.DUMMYFUNCTION("""COMPUTED_VALUE"""),"Arkansas")</f>
        <v>Arkansas</v>
      </c>
    </row>
    <row r="53">
      <c r="A53" s="5" t="s">
        <v>127</v>
      </c>
      <c r="B53" s="5" t="s">
        <v>25</v>
      </c>
      <c r="C53" s="5" t="s">
        <v>13</v>
      </c>
      <c r="D53" s="5" t="s">
        <v>14</v>
      </c>
      <c r="F53" s="5" t="s">
        <v>128</v>
      </c>
      <c r="G53" s="5" t="s">
        <v>17</v>
      </c>
      <c r="H53" s="5" t="s">
        <v>18</v>
      </c>
      <c r="I53" s="7" t="s">
        <v>129</v>
      </c>
      <c r="K53" s="5" t="str">
        <f>IFERROR(__xludf.DUMMYFUNCTION("""COMPUTED_VALUE"""),"Credit Suisse")</f>
        <v>Credit Suisse</v>
      </c>
      <c r="L53" s="5" t="str">
        <f>IFERROR(__xludf.DUMMYFUNCTION("""COMPUTED_VALUE"""),"Pacifica")</f>
        <v>Pacifica</v>
      </c>
      <c r="M53" s="5" t="str">
        <f>IFERROR(__xludf.DUMMYFUNCTION("""COMPUTED_VALUE"""),"Alaska")</f>
        <v>Alaska</v>
      </c>
    </row>
    <row r="54">
      <c r="A54" s="5" t="s">
        <v>130</v>
      </c>
      <c r="B54" s="5" t="s">
        <v>25</v>
      </c>
      <c r="C54" s="5" t="s">
        <v>13</v>
      </c>
      <c r="D54" s="5" t="s">
        <v>14</v>
      </c>
      <c r="E54" s="5" t="s">
        <v>131</v>
      </c>
      <c r="F54" s="5" t="s">
        <v>132</v>
      </c>
      <c r="G54" s="5" t="s">
        <v>133</v>
      </c>
      <c r="H54" s="5" t="s">
        <v>18</v>
      </c>
      <c r="I54" s="7" t="s">
        <v>134</v>
      </c>
      <c r="K54" s="5" t="str">
        <f>IFERROR(__xludf.DUMMYFUNCTION("""COMPUTED_VALUE"""),"CrowdStrike")</f>
        <v>CrowdStrike</v>
      </c>
      <c r="L54" s="5" t="str">
        <f>IFERROR(__xludf.DUMMYFUNCTION("""COMPUTED_VALUE"""),"Pittsburgh")</f>
        <v>Pittsburgh</v>
      </c>
      <c r="M54" s="5" t="str">
        <f>IFERROR(__xludf.DUMMYFUNCTION("""COMPUTED_VALUE"""),"New Hampshire")</f>
        <v>New Hampshire</v>
      </c>
    </row>
    <row r="55">
      <c r="A55" s="5" t="s">
        <v>135</v>
      </c>
      <c r="B55" s="5" t="s">
        <v>25</v>
      </c>
      <c r="C55" s="5" t="s">
        <v>13</v>
      </c>
      <c r="D55" s="5" t="s">
        <v>14</v>
      </c>
      <c r="E55" s="5" t="s">
        <v>136</v>
      </c>
      <c r="F55" s="5" t="s">
        <v>137</v>
      </c>
      <c r="G55" s="5" t="s">
        <v>137</v>
      </c>
      <c r="H55" s="5" t="s">
        <v>18</v>
      </c>
      <c r="I55" s="7" t="s">
        <v>138</v>
      </c>
      <c r="K55" s="5" t="str">
        <f>IFERROR(__xludf.DUMMYFUNCTION("""COMPUTED_VALUE"""),"Cushman &amp; Wakefield")</f>
        <v>Cushman &amp; Wakefield</v>
      </c>
      <c r="L55" s="5" t="str">
        <f>IFERROR(__xludf.DUMMYFUNCTION("""COMPUTED_VALUE"""),"San Diego County")</f>
        <v>San Diego County</v>
      </c>
      <c r="M55" s="5" t="str">
        <f>IFERROR(__xludf.DUMMYFUNCTION("""COMPUTED_VALUE"""),"Kentucky")</f>
        <v>Kentucky</v>
      </c>
    </row>
    <row r="56">
      <c r="A56" s="5" t="s">
        <v>139</v>
      </c>
      <c r="B56" s="5" t="s">
        <v>140</v>
      </c>
      <c r="C56" s="5" t="s">
        <v>13</v>
      </c>
      <c r="D56" s="5" t="s">
        <v>14</v>
      </c>
      <c r="F56" s="5" t="s">
        <v>137</v>
      </c>
      <c r="G56" s="5" t="s">
        <v>137</v>
      </c>
      <c r="H56" s="5" t="s">
        <v>18</v>
      </c>
      <c r="I56" s="7" t="s">
        <v>141</v>
      </c>
      <c r="K56" s="5" t="str">
        <f>IFERROR(__xludf.DUMMYFUNCTION("""COMPUTED_VALUE"""),"Dell")</f>
        <v>Dell</v>
      </c>
      <c r="L56" s="5" t="str">
        <f>IFERROR(__xludf.DUMMYFUNCTION("""COMPUTED_VALUE"""),"Walled Lake")</f>
        <v>Walled Lake</v>
      </c>
      <c r="M56" s="5" t="str">
        <f>IFERROR(__xludf.DUMMYFUNCTION("""COMPUTED_VALUE"""),"Victoria")</f>
        <v>Victoria</v>
      </c>
    </row>
    <row r="57">
      <c r="A57" s="5" t="s">
        <v>142</v>
      </c>
      <c r="B57" s="5" t="s">
        <v>143</v>
      </c>
      <c r="C57" s="5" t="s">
        <v>13</v>
      </c>
      <c r="D57" s="5" t="s">
        <v>14</v>
      </c>
      <c r="E57" s="5" t="s">
        <v>144</v>
      </c>
      <c r="F57" s="5" t="s">
        <v>137</v>
      </c>
      <c r="G57" s="5" t="s">
        <v>137</v>
      </c>
      <c r="H57" s="5" t="s">
        <v>18</v>
      </c>
      <c r="I57" s="7" t="s">
        <v>10270</v>
      </c>
      <c r="K57" s="5" t="str">
        <f>IFERROR(__xludf.DUMMYFUNCTION("""COMPUTED_VALUE"""),"Deloitte")</f>
        <v>Deloitte</v>
      </c>
      <c r="L57" s="5" t="str">
        <f>IFERROR(__xludf.DUMMYFUNCTION("""COMPUTED_VALUE"""),"Greeley")</f>
        <v>Greeley</v>
      </c>
    </row>
    <row r="58">
      <c r="A58" s="5" t="s">
        <v>146</v>
      </c>
      <c r="B58" s="5" t="s">
        <v>25</v>
      </c>
      <c r="C58" s="5" t="s">
        <v>13</v>
      </c>
      <c r="D58" s="5" t="s">
        <v>14</v>
      </c>
      <c r="E58" s="5" t="s">
        <v>36</v>
      </c>
      <c r="F58" s="5" t="s">
        <v>137</v>
      </c>
      <c r="G58" s="5" t="s">
        <v>137</v>
      </c>
      <c r="H58" s="5" t="s">
        <v>18</v>
      </c>
      <c r="I58" s="7" t="s">
        <v>147</v>
      </c>
      <c r="K58" s="5" t="str">
        <f>IFERROR(__xludf.DUMMYFUNCTION("""COMPUTED_VALUE"""),"Deloitte Consulting")</f>
        <v>Deloitte Consulting</v>
      </c>
      <c r="L58" s="5" t="str">
        <f>IFERROR(__xludf.DUMMYFUNCTION("""COMPUTED_VALUE"""),"Boston")</f>
        <v>Boston</v>
      </c>
    </row>
    <row r="59">
      <c r="A59" s="5" t="s">
        <v>148</v>
      </c>
      <c r="B59" s="5" t="s">
        <v>25</v>
      </c>
      <c r="C59" s="5" t="s">
        <v>13</v>
      </c>
      <c r="D59" s="5" t="s">
        <v>14</v>
      </c>
      <c r="E59" s="5" t="s">
        <v>149</v>
      </c>
      <c r="F59" s="5" t="s">
        <v>150</v>
      </c>
      <c r="G59" s="5" t="s">
        <v>44</v>
      </c>
      <c r="H59" s="5" t="s">
        <v>18</v>
      </c>
      <c r="I59" s="7" t="s">
        <v>151</v>
      </c>
      <c r="K59" s="5" t="str">
        <f>IFERROR(__xludf.DUMMYFUNCTION("""COMPUTED_VALUE"""),"Dentons")</f>
        <v>Dentons</v>
      </c>
      <c r="L59" s="5" t="str">
        <f>IFERROR(__xludf.DUMMYFUNCTION("""COMPUTED_VALUE"""),"Kent")</f>
        <v>Kent</v>
      </c>
    </row>
    <row r="60">
      <c r="A60" s="5" t="s">
        <v>152</v>
      </c>
      <c r="B60" s="5" t="s">
        <v>25</v>
      </c>
      <c r="C60" s="5" t="s">
        <v>13</v>
      </c>
      <c r="D60" s="5" t="s">
        <v>14</v>
      </c>
      <c r="E60" s="5" t="s">
        <v>111</v>
      </c>
      <c r="F60" s="5" t="s">
        <v>153</v>
      </c>
      <c r="G60" s="5" t="s">
        <v>154</v>
      </c>
      <c r="H60" s="5" t="s">
        <v>18</v>
      </c>
      <c r="I60" s="7" t="s">
        <v>155</v>
      </c>
      <c r="K60" s="5" t="str">
        <f>IFERROR(__xludf.DUMMYFUNCTION("""COMPUTED_VALUE"""),"Deustche Bank")</f>
        <v>Deustche Bank</v>
      </c>
      <c r="L60" s="5" t="str">
        <f>IFERROR(__xludf.DUMMYFUNCTION("""COMPUTED_VALUE"""),"Doncaster")</f>
        <v>Doncaster</v>
      </c>
    </row>
    <row r="61">
      <c r="A61" s="5" t="s">
        <v>156</v>
      </c>
      <c r="B61" s="5" t="s">
        <v>157</v>
      </c>
      <c r="C61" s="5" t="s">
        <v>13</v>
      </c>
      <c r="D61" s="5" t="s">
        <v>14</v>
      </c>
      <c r="E61" s="5" t="s">
        <v>94</v>
      </c>
      <c r="F61" s="5" t="s">
        <v>153</v>
      </c>
      <c r="G61" s="5" t="s">
        <v>154</v>
      </c>
      <c r="H61" s="5" t="s">
        <v>18</v>
      </c>
      <c r="I61" s="7" t="s">
        <v>158</v>
      </c>
      <c r="K61" s="5" t="str">
        <f>IFERROR(__xludf.DUMMYFUNCTION("""COMPUTED_VALUE"""),"Deutsche Bank")</f>
        <v>Deutsche Bank</v>
      </c>
      <c r="L61" s="5" t="str">
        <f>IFERROR(__xludf.DUMMYFUNCTION("""COMPUTED_VALUE"""),"Miami")</f>
        <v>Miami</v>
      </c>
    </row>
    <row r="62">
      <c r="A62" s="5" t="s">
        <v>159</v>
      </c>
      <c r="B62" s="5" t="s">
        <v>160</v>
      </c>
      <c r="C62" s="5" t="s">
        <v>13</v>
      </c>
      <c r="D62" s="5" t="s">
        <v>14</v>
      </c>
      <c r="E62" s="5" t="s">
        <v>79</v>
      </c>
      <c r="F62" s="5" t="s">
        <v>153</v>
      </c>
      <c r="G62" s="5" t="s">
        <v>154</v>
      </c>
      <c r="H62" s="5" t="s">
        <v>18</v>
      </c>
      <c r="I62" s="7" t="s">
        <v>161</v>
      </c>
      <c r="K62" s="5" t="str">
        <f>IFERROR(__xludf.DUMMYFUNCTION("""COMPUTED_VALUE"""),"Dish Network")</f>
        <v>Dish Network</v>
      </c>
      <c r="L62" s="5" t="str">
        <f>IFERROR(__xludf.DUMMYFUNCTION("""COMPUTED_VALUE"""),"Corona")</f>
        <v>Corona</v>
      </c>
    </row>
    <row r="63">
      <c r="A63" s="5" t="s">
        <v>162</v>
      </c>
      <c r="B63" s="5" t="s">
        <v>25</v>
      </c>
      <c r="C63" s="5" t="s">
        <v>13</v>
      </c>
      <c r="D63" s="5" t="s">
        <v>14</v>
      </c>
      <c r="E63" s="5" t="s">
        <v>36</v>
      </c>
      <c r="F63" s="5" t="s">
        <v>153</v>
      </c>
      <c r="G63" s="5" t="s">
        <v>154</v>
      </c>
      <c r="H63" s="5" t="s">
        <v>18</v>
      </c>
      <c r="I63" s="7" t="s">
        <v>163</v>
      </c>
      <c r="K63" s="5" t="str">
        <f>IFERROR(__xludf.DUMMYFUNCTION("""COMPUTED_VALUE"""),"Dixon Hughes Goodman LLP")</f>
        <v>Dixon Hughes Goodman LLP</v>
      </c>
      <c r="L63" s="5" t="str">
        <f>IFERROR(__xludf.DUMMYFUNCTION("""COMPUTED_VALUE"""),"Cupertino")</f>
        <v>Cupertino</v>
      </c>
    </row>
    <row r="64">
      <c r="A64" s="5" t="s">
        <v>164</v>
      </c>
      <c r="B64" s="5" t="s">
        <v>25</v>
      </c>
      <c r="C64" s="5" t="s">
        <v>13</v>
      </c>
      <c r="D64" s="5" t="s">
        <v>14</v>
      </c>
      <c r="E64" s="5" t="s">
        <v>165</v>
      </c>
      <c r="F64" s="5" t="s">
        <v>166</v>
      </c>
      <c r="G64" s="5" t="s">
        <v>44</v>
      </c>
      <c r="H64" s="5" t="s">
        <v>18</v>
      </c>
      <c r="I64" s="7" t="s">
        <v>167</v>
      </c>
      <c r="K64" s="5" t="str">
        <f>IFERROR(__xludf.DUMMYFUNCTION("""COMPUTED_VALUE"""),"DLA Piper")</f>
        <v>DLA Piper</v>
      </c>
      <c r="L64" s="5" t="str">
        <f>IFERROR(__xludf.DUMMYFUNCTION("""COMPUTED_VALUE"""),"Denham Springs")</f>
        <v>Denham Springs</v>
      </c>
    </row>
    <row r="65">
      <c r="A65" s="5" t="s">
        <v>168</v>
      </c>
      <c r="B65" s="5" t="s">
        <v>25</v>
      </c>
      <c r="C65" s="5" t="s">
        <v>13</v>
      </c>
      <c r="D65" s="5" t="s">
        <v>14</v>
      </c>
      <c r="E65" s="5" t="s">
        <v>121</v>
      </c>
      <c r="F65" s="5" t="s">
        <v>169</v>
      </c>
      <c r="G65" s="5" t="s">
        <v>44</v>
      </c>
      <c r="H65" s="5" t="s">
        <v>18</v>
      </c>
      <c r="I65" s="7" t="s">
        <v>170</v>
      </c>
      <c r="K65" s="5" t="str">
        <f>IFERROR(__xludf.DUMMYFUNCTION("""COMPUTED_VALUE"""),"DocuSign")</f>
        <v>DocuSign</v>
      </c>
      <c r="L65" s="5" t="str">
        <f>IFERROR(__xludf.DUMMYFUNCTION("""COMPUTED_VALUE"""),"Mountain View")</f>
        <v>Mountain View</v>
      </c>
    </row>
    <row r="66">
      <c r="A66" s="5" t="s">
        <v>171</v>
      </c>
      <c r="B66" s="5" t="s">
        <v>25</v>
      </c>
      <c r="C66" s="5" t="s">
        <v>13</v>
      </c>
      <c r="D66" s="5" t="s">
        <v>14</v>
      </c>
      <c r="E66" s="5" t="s">
        <v>48</v>
      </c>
      <c r="F66" s="5" t="s">
        <v>102</v>
      </c>
      <c r="G66" s="5" t="s">
        <v>172</v>
      </c>
      <c r="H66" s="5" t="s">
        <v>18</v>
      </c>
      <c r="I66" s="7" t="s">
        <v>173</v>
      </c>
      <c r="K66" s="5" t="str">
        <f>IFERROR(__xludf.DUMMYFUNCTION("""COMPUTED_VALUE"""),"DoorDash")</f>
        <v>DoorDash</v>
      </c>
      <c r="L66" s="5" t="str">
        <f>IFERROR(__xludf.DUMMYFUNCTION("""COMPUTED_VALUE"""),"Sunnyvale")</f>
        <v>Sunnyvale</v>
      </c>
    </row>
    <row r="67">
      <c r="A67" s="5" t="s">
        <v>174</v>
      </c>
      <c r="B67" s="5" t="s">
        <v>25</v>
      </c>
      <c r="C67" s="5" t="s">
        <v>13</v>
      </c>
      <c r="D67" s="5" t="s">
        <v>14</v>
      </c>
      <c r="E67" s="5" t="s">
        <v>175</v>
      </c>
      <c r="F67" s="5" t="s">
        <v>102</v>
      </c>
      <c r="G67" s="5" t="s">
        <v>172</v>
      </c>
      <c r="H67" s="5" t="s">
        <v>18</v>
      </c>
      <c r="I67" s="7" t="s">
        <v>176</v>
      </c>
      <c r="K67" s="5" t="str">
        <f>IFERROR(__xludf.DUMMYFUNCTION("""COMPUTED_VALUE"""),"Dropbox")</f>
        <v>Dropbox</v>
      </c>
      <c r="L67" s="5" t="str">
        <f>IFERROR(__xludf.DUMMYFUNCTION("""COMPUTED_VALUE"""),"San Ramon")</f>
        <v>San Ramon</v>
      </c>
    </row>
    <row r="68">
      <c r="A68" s="5" t="s">
        <v>177</v>
      </c>
      <c r="B68" s="5" t="s">
        <v>178</v>
      </c>
      <c r="C68" s="5" t="s">
        <v>13</v>
      </c>
      <c r="D68" s="5" t="s">
        <v>14</v>
      </c>
      <c r="E68" s="5" t="s">
        <v>179</v>
      </c>
      <c r="F68" s="5" t="s">
        <v>102</v>
      </c>
      <c r="G68" s="5" t="s">
        <v>172</v>
      </c>
      <c r="H68" s="5" t="s">
        <v>18</v>
      </c>
      <c r="I68" s="7" t="s">
        <v>180</v>
      </c>
      <c r="K68" s="5" t="str">
        <f>IFERROR(__xludf.DUMMYFUNCTION("""COMPUTED_VALUE"""),"DuPont")</f>
        <v>DuPont</v>
      </c>
      <c r="L68" s="5" t="str">
        <f>IFERROR(__xludf.DUMMYFUNCTION("""COMPUTED_VALUE"""),"Sydney")</f>
        <v>Sydney</v>
      </c>
    </row>
    <row r="69">
      <c r="A69" s="5" t="s">
        <v>181</v>
      </c>
      <c r="B69" s="5" t="s">
        <v>25</v>
      </c>
      <c r="C69" s="5" t="s">
        <v>13</v>
      </c>
      <c r="D69" s="5" t="s">
        <v>14</v>
      </c>
      <c r="E69" s="5" t="s">
        <v>182</v>
      </c>
      <c r="F69" s="5" t="s">
        <v>183</v>
      </c>
      <c r="G69" s="5" t="s">
        <v>184</v>
      </c>
      <c r="H69" s="5" t="s">
        <v>18</v>
      </c>
      <c r="I69" s="7" t="s">
        <v>185</v>
      </c>
      <c r="K69" s="5" t="str">
        <f>IFERROR(__xludf.DUMMYFUNCTION("""COMPUTED_VALUE"""),"eBay")</f>
        <v>eBay</v>
      </c>
      <c r="L69" s="5" t="str">
        <f>IFERROR(__xludf.DUMMYFUNCTION("""COMPUTED_VALUE"""),"Cranbury Township")</f>
        <v>Cranbury Township</v>
      </c>
    </row>
    <row r="70">
      <c r="A70" s="5" t="s">
        <v>186</v>
      </c>
      <c r="B70" s="5" t="s">
        <v>187</v>
      </c>
      <c r="C70" s="5" t="s">
        <v>13</v>
      </c>
      <c r="D70" s="5" t="s">
        <v>14</v>
      </c>
      <c r="E70" s="5" t="s">
        <v>188</v>
      </c>
      <c r="F70" s="5" t="s">
        <v>189</v>
      </c>
      <c r="G70" s="5" t="s">
        <v>184</v>
      </c>
      <c r="H70" s="5" t="s">
        <v>18</v>
      </c>
      <c r="I70" s="17" t="s">
        <v>10271</v>
      </c>
      <c r="K70" s="5" t="str">
        <f>IFERROR(__xludf.DUMMYFUNCTION("""COMPUTED_VALUE"""),"Education Queensland")</f>
        <v>Education Queensland</v>
      </c>
      <c r="L70" s="5" t="str">
        <f>IFERROR(__xludf.DUMMYFUNCTION("""COMPUTED_VALUE"""),"Cornelius")</f>
        <v>Cornelius</v>
      </c>
    </row>
    <row r="71">
      <c r="A71" s="5" t="s">
        <v>191</v>
      </c>
      <c r="B71" s="5" t="s">
        <v>25</v>
      </c>
      <c r="C71" s="5" t="s">
        <v>13</v>
      </c>
      <c r="D71" s="5" t="s">
        <v>14</v>
      </c>
      <c r="E71" s="5" t="s">
        <v>192</v>
      </c>
      <c r="F71" s="5" t="s">
        <v>102</v>
      </c>
      <c r="G71" s="5" t="s">
        <v>172</v>
      </c>
      <c r="H71" s="5" t="s">
        <v>18</v>
      </c>
      <c r="I71" s="7" t="s">
        <v>193</v>
      </c>
      <c r="K71" s="5" t="str">
        <f>IFERROR(__xludf.DUMMYFUNCTION("""COMPUTED_VALUE"""),"Educational Services Canada (ESC)")</f>
        <v>Educational Services Canada (ESC)</v>
      </c>
      <c r="L71" s="5" t="str">
        <f>IFERROR(__xludf.DUMMYFUNCTION("""COMPUTED_VALUE"""),"Flower Mound")</f>
        <v>Flower Mound</v>
      </c>
    </row>
    <row r="72">
      <c r="A72" s="5" t="s">
        <v>194</v>
      </c>
      <c r="B72" s="5" t="s">
        <v>32</v>
      </c>
      <c r="C72" s="5" t="s">
        <v>13</v>
      </c>
      <c r="D72" s="5" t="s">
        <v>14</v>
      </c>
      <c r="E72" s="5" t="s">
        <v>36</v>
      </c>
      <c r="F72" s="5" t="s">
        <v>64</v>
      </c>
      <c r="G72" s="5" t="s">
        <v>65</v>
      </c>
      <c r="H72" s="5" t="s">
        <v>18</v>
      </c>
      <c r="I72" s="7" t="s">
        <v>195</v>
      </c>
      <c r="K72" s="5" t="str">
        <f>IFERROR(__xludf.DUMMYFUNCTION("""COMPUTED_VALUE"""),"Electronic Arts")</f>
        <v>Electronic Arts</v>
      </c>
      <c r="L72" s="5" t="str">
        <f>IFERROR(__xludf.DUMMYFUNCTION("""COMPUTED_VALUE"""),"Mount Vernon")</f>
        <v>Mount Vernon</v>
      </c>
    </row>
    <row r="73">
      <c r="A73" s="5" t="s">
        <v>196</v>
      </c>
      <c r="B73" s="5" t="s">
        <v>197</v>
      </c>
      <c r="C73" s="5" t="s">
        <v>13</v>
      </c>
      <c r="D73" s="5" t="s">
        <v>198</v>
      </c>
      <c r="E73" s="5" t="s">
        <v>149</v>
      </c>
      <c r="F73" s="5" t="s">
        <v>122</v>
      </c>
      <c r="G73" s="5" t="s">
        <v>44</v>
      </c>
      <c r="H73" s="5" t="s">
        <v>18</v>
      </c>
      <c r="I73" s="17" t="s">
        <v>10272</v>
      </c>
      <c r="K73" s="5" t="str">
        <f>IFERROR(__xludf.DUMMYFUNCTION("""COMPUTED_VALUE"""),"Eli Lilly and Company")</f>
        <v>Eli Lilly and Company</v>
      </c>
      <c r="L73" s="5" t="str">
        <f>IFERROR(__xludf.DUMMYFUNCTION("""COMPUTED_VALUE"""),"Wantagh")</f>
        <v>Wantagh</v>
      </c>
    </row>
    <row r="74">
      <c r="A74" s="5" t="s">
        <v>9120</v>
      </c>
      <c r="B74" s="5" t="s">
        <v>9121</v>
      </c>
      <c r="D74" s="5" t="s">
        <v>9122</v>
      </c>
      <c r="E74" s="5" t="s">
        <v>165</v>
      </c>
      <c r="F74" s="5" t="s">
        <v>9123</v>
      </c>
      <c r="G74" s="5" t="s">
        <v>6159</v>
      </c>
      <c r="H74" s="5" t="s">
        <v>4600</v>
      </c>
      <c r="I74" s="17" t="s">
        <v>10273</v>
      </c>
      <c r="K74" s="5" t="str">
        <f>IFERROR(__xludf.DUMMYFUNCTION("""COMPUTED_VALUE"""),"Ericsson")</f>
        <v>Ericsson</v>
      </c>
      <c r="L74" s="5" t="str">
        <f>IFERROR(__xludf.DUMMYFUNCTION("""COMPUTED_VALUE"""),"Wilmington")</f>
        <v>Wilmington</v>
      </c>
    </row>
    <row r="75">
      <c r="A75" s="5" t="s">
        <v>5063</v>
      </c>
      <c r="B75" s="5" t="s">
        <v>5064</v>
      </c>
      <c r="D75" s="5" t="s">
        <v>5065</v>
      </c>
      <c r="E75" s="5" t="s">
        <v>1300</v>
      </c>
      <c r="F75" s="5" t="s">
        <v>5051</v>
      </c>
      <c r="G75" s="5" t="s">
        <v>4757</v>
      </c>
      <c r="H75" s="5" t="s">
        <v>4607</v>
      </c>
      <c r="I75" s="7" t="s">
        <v>10274</v>
      </c>
      <c r="K75" s="5" t="str">
        <f>IFERROR(__xludf.DUMMYFUNCTION("""COMPUTED_VALUE"""),"Ernst &amp; Young")</f>
        <v>Ernst &amp; Young</v>
      </c>
      <c r="L75" s="5" t="str">
        <f>IFERROR(__xludf.DUMMYFUNCTION("""COMPUTED_VALUE"""),"Cleveland")</f>
        <v>Cleveland</v>
      </c>
    </row>
    <row r="76">
      <c r="A76" s="5" t="s">
        <v>200</v>
      </c>
      <c r="B76" s="5" t="s">
        <v>25</v>
      </c>
      <c r="C76" s="5" t="s">
        <v>13</v>
      </c>
      <c r="D76" s="5" t="s">
        <v>201</v>
      </c>
      <c r="E76" s="5" t="s">
        <v>42</v>
      </c>
      <c r="F76" s="5" t="s">
        <v>202</v>
      </c>
      <c r="G76" s="5" t="s">
        <v>203</v>
      </c>
      <c r="H76" s="5" t="s">
        <v>18</v>
      </c>
      <c r="I76" s="7" t="s">
        <v>204</v>
      </c>
      <c r="K76" s="5" t="str">
        <f>IFERROR(__xludf.DUMMYFUNCTION("""COMPUTED_VALUE"""),"Facebook")</f>
        <v>Facebook</v>
      </c>
      <c r="L76" s="5" t="str">
        <f>IFERROR(__xludf.DUMMYFUNCTION("""COMPUTED_VALUE"""),"Deerfield")</f>
        <v>Deerfield</v>
      </c>
    </row>
    <row r="77">
      <c r="A77" s="5" t="s">
        <v>205</v>
      </c>
      <c r="B77" s="5" t="s">
        <v>206</v>
      </c>
      <c r="C77" s="5" t="s">
        <v>13</v>
      </c>
      <c r="D77" s="5" t="s">
        <v>201</v>
      </c>
      <c r="E77" s="5" t="s">
        <v>207</v>
      </c>
      <c r="F77" s="5" t="s">
        <v>49</v>
      </c>
      <c r="G77" s="5" t="s">
        <v>50</v>
      </c>
      <c r="H77" s="5" t="s">
        <v>18</v>
      </c>
      <c r="I77" s="17" t="s">
        <v>10275</v>
      </c>
      <c r="K77" s="5" t="str">
        <f>IFERROR(__xludf.DUMMYFUNCTION("""COMPUTED_VALUE"""),"FDM Group")</f>
        <v>FDM Group</v>
      </c>
      <c r="L77" s="5" t="str">
        <f>IFERROR(__xludf.DUMMYFUNCTION("""COMPUTED_VALUE"""),"Grand Rapids")</f>
        <v>Grand Rapids</v>
      </c>
    </row>
    <row r="78">
      <c r="A78" s="5" t="s">
        <v>209</v>
      </c>
      <c r="B78" s="5" t="s">
        <v>25</v>
      </c>
      <c r="C78" s="5" t="s">
        <v>13</v>
      </c>
      <c r="D78" s="5" t="s">
        <v>201</v>
      </c>
      <c r="E78" s="5" t="s">
        <v>165</v>
      </c>
      <c r="F78" s="5" t="s">
        <v>80</v>
      </c>
      <c r="G78" s="5" t="s">
        <v>38</v>
      </c>
      <c r="H78" s="5" t="s">
        <v>18</v>
      </c>
      <c r="I78" s="17" t="s">
        <v>10276</v>
      </c>
      <c r="K78" s="5" t="str">
        <f>IFERROR(__xludf.DUMMYFUNCTION("""COMPUTED_VALUE"""),"Ford Motor Company")</f>
        <v>Ford Motor Company</v>
      </c>
      <c r="L78" s="5" t="str">
        <f>IFERROR(__xludf.DUMMYFUNCTION("""COMPUTED_VALUE"""),"Smyrna")</f>
        <v>Smyrna</v>
      </c>
    </row>
    <row r="79">
      <c r="A79" s="5" t="s">
        <v>211</v>
      </c>
      <c r="B79" s="5" t="s">
        <v>212</v>
      </c>
      <c r="C79" s="5" t="s">
        <v>13</v>
      </c>
      <c r="D79" s="5" t="s">
        <v>201</v>
      </c>
      <c r="E79" s="5" t="s">
        <v>213</v>
      </c>
      <c r="F79" s="5" t="s">
        <v>214</v>
      </c>
      <c r="G79" s="5" t="s">
        <v>76</v>
      </c>
      <c r="H79" s="5" t="s">
        <v>18</v>
      </c>
      <c r="I79" s="7" t="s">
        <v>215</v>
      </c>
      <c r="K79" s="5" t="str">
        <f>IFERROR(__xludf.DUMMYFUNCTION("""COMPUTED_VALUE"""),"Garmin")</f>
        <v>Garmin</v>
      </c>
      <c r="L79" s="5" t="str">
        <f>IFERROR(__xludf.DUMMYFUNCTION("""COMPUTED_VALUE"""),"Staten Island")</f>
        <v>Staten Island</v>
      </c>
    </row>
    <row r="80">
      <c r="A80" s="5" t="s">
        <v>216</v>
      </c>
      <c r="B80" s="5" t="s">
        <v>25</v>
      </c>
      <c r="C80" s="5" t="s">
        <v>13</v>
      </c>
      <c r="D80" s="5" t="s">
        <v>201</v>
      </c>
      <c r="E80" s="5" t="s">
        <v>217</v>
      </c>
      <c r="F80" s="5" t="s">
        <v>218</v>
      </c>
      <c r="G80" s="5" t="s">
        <v>219</v>
      </c>
      <c r="H80" s="5" t="s">
        <v>18</v>
      </c>
      <c r="I80" s="7" t="s">
        <v>220</v>
      </c>
      <c r="K80" s="5" t="str">
        <f>IFERROR(__xludf.DUMMYFUNCTION("""COMPUTED_VALUE"""),"Gartner")</f>
        <v>Gartner</v>
      </c>
      <c r="L80" s="5" t="str">
        <f>IFERROR(__xludf.DUMMYFUNCTION("""COMPUTED_VALUE"""),"West Chicago")</f>
        <v>West Chicago</v>
      </c>
    </row>
    <row r="81">
      <c r="A81" s="5" t="s">
        <v>221</v>
      </c>
      <c r="B81" s="5" t="s">
        <v>25</v>
      </c>
      <c r="C81" s="5" t="s">
        <v>13</v>
      </c>
      <c r="D81" s="5" t="s">
        <v>201</v>
      </c>
      <c r="E81" s="5" t="s">
        <v>222</v>
      </c>
      <c r="F81" s="5" t="s">
        <v>223</v>
      </c>
      <c r="G81" s="5" t="s">
        <v>224</v>
      </c>
      <c r="H81" s="5" t="s">
        <v>18</v>
      </c>
      <c r="I81" s="7" t="s">
        <v>225</v>
      </c>
      <c r="K81" s="5" t="str">
        <f>IFERROR(__xludf.DUMMYFUNCTION("""COMPUTED_VALUE"""),"GE")</f>
        <v>GE</v>
      </c>
      <c r="L81" s="5" t="str">
        <f>IFERROR(__xludf.DUMMYFUNCTION("""COMPUTED_VALUE"""),"Waterloo")</f>
        <v>Waterloo</v>
      </c>
    </row>
    <row r="82">
      <c r="A82" s="5" t="s">
        <v>4705</v>
      </c>
      <c r="B82" s="5" t="s">
        <v>4706</v>
      </c>
      <c r="D82" s="5" t="s">
        <v>227</v>
      </c>
      <c r="E82" s="5" t="s">
        <v>727</v>
      </c>
      <c r="F82" s="5" t="s">
        <v>16</v>
      </c>
      <c r="G82" s="5" t="s">
        <v>17</v>
      </c>
      <c r="H82" s="5" t="s">
        <v>18</v>
      </c>
      <c r="I82" s="17" t="s">
        <v>10277</v>
      </c>
      <c r="K82" s="5" t="str">
        <f>IFERROR(__xludf.DUMMYFUNCTION("""COMPUTED_VALUE"""),"GEICO")</f>
        <v>GEICO</v>
      </c>
      <c r="L82" s="5" t="str">
        <f>IFERROR(__xludf.DUMMYFUNCTION("""COMPUTED_VALUE"""),"Brampton")</f>
        <v>Brampton</v>
      </c>
    </row>
    <row r="83">
      <c r="A83" s="5" t="s">
        <v>4770</v>
      </c>
      <c r="B83" s="5" t="s">
        <v>4771</v>
      </c>
      <c r="D83" s="5" t="s">
        <v>227</v>
      </c>
      <c r="E83" s="5" t="s">
        <v>727</v>
      </c>
      <c r="F83" s="5" t="s">
        <v>37</v>
      </c>
      <c r="G83" s="5" t="s">
        <v>38</v>
      </c>
      <c r="H83" s="5" t="s">
        <v>18</v>
      </c>
      <c r="I83" s="17" t="s">
        <v>10278</v>
      </c>
      <c r="K83" s="5" t="str">
        <f>IFERROR(__xludf.DUMMYFUNCTION("""COMPUTED_VALUE"""),"General Motors")</f>
        <v>General Motors</v>
      </c>
      <c r="L83" s="5" t="str">
        <f>IFERROR(__xludf.DUMMYFUNCTION("""COMPUTED_VALUE"""),"Calgary")</f>
        <v>Calgary</v>
      </c>
    </row>
    <row r="84">
      <c r="A84" s="5" t="s">
        <v>4806</v>
      </c>
      <c r="B84" s="5" t="s">
        <v>4807</v>
      </c>
      <c r="D84" s="5" t="s">
        <v>227</v>
      </c>
      <c r="E84" s="5" t="s">
        <v>144</v>
      </c>
      <c r="F84" s="5" t="s">
        <v>4808</v>
      </c>
      <c r="G84" s="5" t="s">
        <v>4809</v>
      </c>
      <c r="H84" s="5" t="s">
        <v>4810</v>
      </c>
      <c r="I84" s="17" t="s">
        <v>10279</v>
      </c>
      <c r="K84" s="5" t="str">
        <f>IFERROR(__xludf.DUMMYFUNCTION("""COMPUTED_VALUE"""),"Goldman Sachs")</f>
        <v>Goldman Sachs</v>
      </c>
      <c r="L84" s="5" t="str">
        <f>IFERROR(__xludf.DUMMYFUNCTION("""COMPUTED_VALUE"""),"Chatham")</f>
        <v>Chatham</v>
      </c>
    </row>
    <row r="85">
      <c r="A85" s="5" t="s">
        <v>239</v>
      </c>
      <c r="B85" s="5" t="s">
        <v>240</v>
      </c>
      <c r="D85" s="5" t="s">
        <v>227</v>
      </c>
      <c r="E85" s="5" t="s">
        <v>241</v>
      </c>
      <c r="F85" s="5" t="s">
        <v>85</v>
      </c>
      <c r="G85" s="5" t="s">
        <v>86</v>
      </c>
      <c r="H85" s="5" t="s">
        <v>18</v>
      </c>
      <c r="I85" s="18" t="s">
        <v>10280</v>
      </c>
      <c r="K85" s="5" t="str">
        <f>IFERROR(__xludf.DUMMYFUNCTION("""COMPUTED_VALUE"""),"Goodmans LLP")</f>
        <v>Goodmans LLP</v>
      </c>
      <c r="L85" s="5" t="str">
        <f>IFERROR(__xludf.DUMMYFUNCTION("""COMPUTED_VALUE"""),"Shenfield")</f>
        <v>Shenfield</v>
      </c>
    </row>
    <row r="86">
      <c r="A86" s="5" t="s">
        <v>6603</v>
      </c>
      <c r="B86" s="5" t="s">
        <v>6604</v>
      </c>
      <c r="D86" s="5" t="s">
        <v>227</v>
      </c>
      <c r="E86" s="5" t="s">
        <v>257</v>
      </c>
      <c r="F86" s="5" t="s">
        <v>6577</v>
      </c>
      <c r="G86" s="5" t="s">
        <v>4757</v>
      </c>
      <c r="H86" s="5" t="s">
        <v>4607</v>
      </c>
      <c r="I86" s="17" t="s">
        <v>10281</v>
      </c>
      <c r="K86" s="5" t="str">
        <f>IFERROR(__xludf.DUMMYFUNCTION("""COMPUTED_VALUE"""),"Google")</f>
        <v>Google</v>
      </c>
      <c r="L86" s="5" t="str">
        <f>IFERROR(__xludf.DUMMYFUNCTION("""COMPUTED_VALUE"""),"Brooklyn")</f>
        <v>Brooklyn</v>
      </c>
    </row>
    <row r="87">
      <c r="A87" s="5" t="s">
        <v>6637</v>
      </c>
      <c r="B87" s="5" t="s">
        <v>25</v>
      </c>
      <c r="D87" s="5" t="s">
        <v>227</v>
      </c>
      <c r="E87" s="5" t="s">
        <v>15</v>
      </c>
      <c r="F87" s="5" t="s">
        <v>6577</v>
      </c>
      <c r="G87" s="5" t="s">
        <v>4757</v>
      </c>
      <c r="H87" s="5" t="s">
        <v>4607</v>
      </c>
      <c r="I87" s="7" t="s">
        <v>6636</v>
      </c>
      <c r="K87" s="5" t="str">
        <f>IFERROR(__xludf.DUMMYFUNCTION("""COMPUTED_VALUE"""),"Government of Canada")</f>
        <v>Government of Canada</v>
      </c>
      <c r="L87" s="5" t="str">
        <f>IFERROR(__xludf.DUMMYFUNCTION("""COMPUTED_VALUE"""),"Jackson Township")</f>
        <v>Jackson Township</v>
      </c>
    </row>
    <row r="88">
      <c r="A88" s="5" t="s">
        <v>6642</v>
      </c>
      <c r="B88" s="5" t="s">
        <v>6643</v>
      </c>
      <c r="D88" s="5" t="s">
        <v>227</v>
      </c>
      <c r="E88" s="5" t="s">
        <v>409</v>
      </c>
      <c r="F88" s="5" t="s">
        <v>6577</v>
      </c>
      <c r="G88" s="5" t="s">
        <v>4757</v>
      </c>
      <c r="H88" s="5" t="s">
        <v>4607</v>
      </c>
      <c r="I88" s="17" t="s">
        <v>10282</v>
      </c>
      <c r="K88" s="5" t="str">
        <f>IFERROR(__xludf.DUMMYFUNCTION("""COMPUTED_VALUE"""),"Government of Manitoba")</f>
        <v>Government of Manitoba</v>
      </c>
      <c r="L88" s="5" t="str">
        <f>IFERROR(__xludf.DUMMYFUNCTION("""COMPUTED_VALUE"""),"Oxford")</f>
        <v>Oxford</v>
      </c>
    </row>
    <row r="89">
      <c r="A89" s="5" t="s">
        <v>6661</v>
      </c>
      <c r="B89" s="5" t="s">
        <v>6662</v>
      </c>
      <c r="D89" s="5" t="s">
        <v>227</v>
      </c>
      <c r="E89" s="5" t="s">
        <v>441</v>
      </c>
      <c r="F89" s="5" t="s">
        <v>6577</v>
      </c>
      <c r="G89" s="5" t="s">
        <v>4757</v>
      </c>
      <c r="H89" s="5" t="s">
        <v>4607</v>
      </c>
      <c r="I89" s="7" t="s">
        <v>10283</v>
      </c>
      <c r="K89" s="5" t="str">
        <f>IFERROR(__xludf.DUMMYFUNCTION("""COMPUTED_VALUE"""),"Government of the Northwest Territories")</f>
        <v>Government of the Northwest Territories</v>
      </c>
      <c r="L89" s="5" t="str">
        <f>IFERROR(__xludf.DUMMYFUNCTION("""COMPUTED_VALUE"""),"Mars")</f>
        <v>Mars</v>
      </c>
    </row>
    <row r="90">
      <c r="A90" s="5" t="s">
        <v>6670</v>
      </c>
      <c r="B90" s="5" t="s">
        <v>6671</v>
      </c>
      <c r="D90" s="5" t="s">
        <v>227</v>
      </c>
      <c r="E90" s="5" t="s">
        <v>233</v>
      </c>
      <c r="F90" s="5" t="s">
        <v>6577</v>
      </c>
      <c r="G90" s="5" t="s">
        <v>4757</v>
      </c>
      <c r="H90" s="5" t="s">
        <v>4607</v>
      </c>
      <c r="I90" s="7" t="s">
        <v>10284</v>
      </c>
      <c r="K90" s="5" t="str">
        <f>IFERROR(__xludf.DUMMYFUNCTION("""COMPUTED_VALUE"""),"Gowling WLG")</f>
        <v>Gowling WLG</v>
      </c>
      <c r="L90" s="5" t="str">
        <f>IFERROR(__xludf.DUMMYFUNCTION("""COMPUTED_VALUE"""),"Charleston")</f>
        <v>Charleston</v>
      </c>
    </row>
    <row r="91">
      <c r="A91" s="5" t="s">
        <v>6680</v>
      </c>
      <c r="B91" s="5" t="s">
        <v>6681</v>
      </c>
      <c r="D91" s="5" t="s">
        <v>227</v>
      </c>
      <c r="E91" s="5" t="s">
        <v>257</v>
      </c>
      <c r="F91" s="5" t="s">
        <v>6577</v>
      </c>
      <c r="G91" s="5" t="s">
        <v>4757</v>
      </c>
      <c r="H91" s="5" t="s">
        <v>4607</v>
      </c>
      <c r="I91" s="17" t="s">
        <v>10285</v>
      </c>
      <c r="K91" s="5" t="str">
        <f>IFERROR(__xludf.DUMMYFUNCTION("""COMPUTED_VALUE"""),"Grant Thornton")</f>
        <v>Grant Thornton</v>
      </c>
      <c r="L91" s="5" t="str">
        <f>IFERROR(__xludf.DUMMYFUNCTION("""COMPUTED_VALUE"""),"Madison")</f>
        <v>Madison</v>
      </c>
    </row>
    <row r="92">
      <c r="A92" s="5" t="s">
        <v>6694</v>
      </c>
      <c r="B92" s="5" t="s">
        <v>6695</v>
      </c>
      <c r="D92" s="5" t="s">
        <v>227</v>
      </c>
      <c r="E92" s="5" t="s">
        <v>277</v>
      </c>
      <c r="F92" s="5" t="s">
        <v>6577</v>
      </c>
      <c r="G92" s="5" t="s">
        <v>4757</v>
      </c>
      <c r="H92" s="5" t="s">
        <v>4607</v>
      </c>
      <c r="I92" s="17" t="s">
        <v>10286</v>
      </c>
      <c r="K92" s="5" t="str">
        <f>IFERROR(__xludf.DUMMYFUNCTION("""COMPUTED_VALUE"""),"H&amp;M")</f>
        <v>H&amp;M</v>
      </c>
      <c r="L92" s="5" t="str">
        <f>IFERROR(__xludf.DUMMYFUNCTION("""COMPUTED_VALUE"""),"Renton")</f>
        <v>Renton</v>
      </c>
    </row>
    <row r="93">
      <c r="A93" s="5" t="s">
        <v>6708</v>
      </c>
      <c r="B93" s="5" t="s">
        <v>6709</v>
      </c>
      <c r="D93" s="5" t="s">
        <v>227</v>
      </c>
      <c r="E93" s="5" t="s">
        <v>399</v>
      </c>
      <c r="F93" s="5" t="s">
        <v>6577</v>
      </c>
      <c r="G93" s="5" t="s">
        <v>4757</v>
      </c>
      <c r="H93" s="5" t="s">
        <v>4607</v>
      </c>
      <c r="I93" s="7" t="s">
        <v>6707</v>
      </c>
      <c r="K93" s="5" t="str">
        <f>IFERROR(__xludf.DUMMYFUNCTION("""COMPUTED_VALUE"""),"HEC Montréal")</f>
        <v>HEC Montréal</v>
      </c>
      <c r="L93" s="5" t="str">
        <f>IFERROR(__xludf.DUMMYFUNCTION("""COMPUTED_VALUE"""),"Woodinville")</f>
        <v>Woodinville</v>
      </c>
    </row>
    <row r="94">
      <c r="A94" s="5" t="s">
        <v>6717</v>
      </c>
      <c r="B94" s="5" t="s">
        <v>6718</v>
      </c>
      <c r="D94" s="5" t="s">
        <v>227</v>
      </c>
      <c r="E94" s="5" t="s">
        <v>237</v>
      </c>
      <c r="F94" s="5" t="s">
        <v>6577</v>
      </c>
      <c r="G94" s="5" t="s">
        <v>4757</v>
      </c>
      <c r="H94" s="5" t="s">
        <v>4607</v>
      </c>
      <c r="I94" s="17" t="s">
        <v>10287</v>
      </c>
      <c r="K94" s="5" t="str">
        <f>IFERROR(__xludf.DUMMYFUNCTION("""COMPUTED_VALUE"""),"Honeywell")</f>
        <v>Honeywell</v>
      </c>
      <c r="L94" s="5" t="str">
        <f>IFERROR(__xludf.DUMMYFUNCTION("""COMPUTED_VALUE"""),"Salt Lake City")</f>
        <v>Salt Lake City</v>
      </c>
    </row>
    <row r="95">
      <c r="A95" s="5" t="s">
        <v>6728</v>
      </c>
      <c r="B95" s="5" t="s">
        <v>6729</v>
      </c>
      <c r="D95" s="5" t="s">
        <v>227</v>
      </c>
      <c r="E95" s="5" t="s">
        <v>421</v>
      </c>
      <c r="F95" s="5" t="s">
        <v>6577</v>
      </c>
      <c r="G95" s="5" t="s">
        <v>4757</v>
      </c>
      <c r="H95" s="5" t="s">
        <v>4607</v>
      </c>
      <c r="I95" s="18" t="s">
        <v>10288</v>
      </c>
      <c r="K95" s="5" t="str">
        <f>IFERROR(__xludf.DUMMYFUNCTION("""COMPUTED_VALUE"""),"HSBC")</f>
        <v>HSBC</v>
      </c>
      <c r="L95" s="5" t="str">
        <f>IFERROR(__xludf.DUMMYFUNCTION("""COMPUTED_VALUE"""),"Tacoma")</f>
        <v>Tacoma</v>
      </c>
    </row>
    <row r="96">
      <c r="A96" s="5" t="s">
        <v>6745</v>
      </c>
      <c r="B96" s="5" t="s">
        <v>6746</v>
      </c>
      <c r="D96" s="5" t="s">
        <v>227</v>
      </c>
      <c r="E96" s="5" t="s">
        <v>822</v>
      </c>
      <c r="F96" s="5" t="s">
        <v>6577</v>
      </c>
      <c r="G96" s="5" t="s">
        <v>4757</v>
      </c>
      <c r="H96" s="5" t="s">
        <v>4607</v>
      </c>
      <c r="I96" s="18" t="s">
        <v>10289</v>
      </c>
      <c r="K96" s="5" t="str">
        <f>IFERROR(__xludf.DUMMYFUNCTION("""COMPUTED_VALUE"""),"HubSpot")</f>
        <v>HubSpot</v>
      </c>
      <c r="L96" s="5" t="str">
        <f>IFERROR(__xludf.DUMMYFUNCTION("""COMPUTED_VALUE"""),"Winnipeg")</f>
        <v>Winnipeg</v>
      </c>
    </row>
    <row r="97">
      <c r="A97" s="5" t="s">
        <v>6816</v>
      </c>
      <c r="B97" s="5" t="s">
        <v>6817</v>
      </c>
      <c r="D97" s="5" t="s">
        <v>227</v>
      </c>
      <c r="E97" s="5" t="s">
        <v>727</v>
      </c>
      <c r="F97" s="5" t="s">
        <v>6577</v>
      </c>
      <c r="G97" s="5" t="s">
        <v>4757</v>
      </c>
      <c r="H97" s="5" t="s">
        <v>4607</v>
      </c>
      <c r="I97" s="7" t="s">
        <v>10290</v>
      </c>
      <c r="K97" s="5" t="str">
        <f>IFERROR(__xludf.DUMMYFUNCTION("""COMPUTED_VALUE"""),"Hulu")</f>
        <v>Hulu</v>
      </c>
      <c r="L97" s="5" t="str">
        <f>IFERROR(__xludf.DUMMYFUNCTION("""COMPUTED_VALUE"""),"McLean")</f>
        <v>McLean</v>
      </c>
    </row>
    <row r="98">
      <c r="A98" s="5" t="s">
        <v>6829</v>
      </c>
      <c r="B98" s="5" t="s">
        <v>6830</v>
      </c>
      <c r="C98" s="5" t="s">
        <v>4</v>
      </c>
      <c r="D98" s="5" t="s">
        <v>227</v>
      </c>
      <c r="E98" s="5" t="s">
        <v>222</v>
      </c>
      <c r="F98" s="5" t="s">
        <v>6577</v>
      </c>
      <c r="G98" s="5" t="s">
        <v>4757</v>
      </c>
      <c r="H98" s="5" t="s">
        <v>4607</v>
      </c>
      <c r="I98" s="17" t="s">
        <v>10291</v>
      </c>
      <c r="K98" s="5" t="str">
        <f>IFERROR(__xludf.DUMMYFUNCTION("""COMPUTED_VALUE"""),"IBM")</f>
        <v>IBM</v>
      </c>
      <c r="L98" s="5" t="str">
        <f>IFERROR(__xludf.DUMMYFUNCTION("""COMPUTED_VALUE"""),"Raleigh")</f>
        <v>Raleigh</v>
      </c>
    </row>
    <row r="99">
      <c r="A99" s="5" t="s">
        <v>6880</v>
      </c>
      <c r="B99" s="5" t="s">
        <v>6881</v>
      </c>
      <c r="D99" s="5" t="s">
        <v>227</v>
      </c>
      <c r="E99" s="5" t="s">
        <v>26</v>
      </c>
      <c r="F99" s="5" t="s">
        <v>6577</v>
      </c>
      <c r="G99" s="5" t="s">
        <v>4757</v>
      </c>
      <c r="H99" s="5" t="s">
        <v>4607</v>
      </c>
      <c r="I99" s="17" t="s">
        <v>10292</v>
      </c>
      <c r="K99" s="9" t="str">
        <f>IFERROR(__xludf.DUMMYFUNCTION("""COMPUTED_VALUE"""),"Indeed.com")</f>
        <v>Indeed.com</v>
      </c>
      <c r="L99" s="5" t="str">
        <f>IFERROR(__xludf.DUMMYFUNCTION("""COMPUTED_VALUE"""),"Vienna")</f>
        <v>Vienna</v>
      </c>
    </row>
    <row r="100">
      <c r="A100" s="5" t="s">
        <v>6903</v>
      </c>
      <c r="B100" s="5" t="s">
        <v>6904</v>
      </c>
      <c r="D100" s="5" t="s">
        <v>227</v>
      </c>
      <c r="E100" s="5" t="s">
        <v>387</v>
      </c>
      <c r="F100" s="5" t="s">
        <v>6577</v>
      </c>
      <c r="G100" s="5" t="s">
        <v>4757</v>
      </c>
      <c r="H100" s="5" t="s">
        <v>4607</v>
      </c>
      <c r="I100" s="17" t="s">
        <v>10293</v>
      </c>
      <c r="K100" s="5" t="str">
        <f>IFERROR(__xludf.DUMMYFUNCTION("""COMPUTED_VALUE"""),"Infosys")</f>
        <v>Infosys</v>
      </c>
      <c r="L100" s="5" t="str">
        <f>IFERROR(__xludf.DUMMYFUNCTION("""COMPUTED_VALUE"""),"Sunbury")</f>
        <v>Sunbury</v>
      </c>
    </row>
    <row r="101">
      <c r="A101" s="5" t="s">
        <v>6995</v>
      </c>
      <c r="B101" s="5" t="s">
        <v>6996</v>
      </c>
      <c r="D101" s="5" t="s">
        <v>227</v>
      </c>
      <c r="E101" s="5" t="s">
        <v>121</v>
      </c>
      <c r="F101" s="5" t="s">
        <v>6577</v>
      </c>
      <c r="G101" s="5" t="s">
        <v>4757</v>
      </c>
      <c r="H101" s="5" t="s">
        <v>4607</v>
      </c>
      <c r="I101" s="17" t="s">
        <v>10294</v>
      </c>
      <c r="K101" s="5" t="str">
        <f>IFERROR(__xludf.DUMMYFUNCTION("""COMPUTED_VALUE"""),"Intel Corporation")</f>
        <v>Intel Corporation</v>
      </c>
      <c r="L101" s="5" t="str">
        <f>IFERROR(__xludf.DUMMYFUNCTION("""COMPUTED_VALUE"""),"Edinburgh")</f>
        <v>Edinburgh</v>
      </c>
    </row>
    <row r="102">
      <c r="A102" s="5" t="s">
        <v>281</v>
      </c>
      <c r="B102" s="5" t="s">
        <v>282</v>
      </c>
      <c r="D102" s="5" t="s">
        <v>227</v>
      </c>
      <c r="E102" s="5" t="s">
        <v>283</v>
      </c>
      <c r="F102" s="5" t="s">
        <v>132</v>
      </c>
      <c r="G102" s="5" t="s">
        <v>133</v>
      </c>
      <c r="H102" s="5" t="s">
        <v>18</v>
      </c>
      <c r="I102" s="7" t="s">
        <v>7692</v>
      </c>
      <c r="K102" s="5" t="str">
        <f>IFERROR(__xludf.DUMMYFUNCTION("""COMPUTED_VALUE"""),"Intuit")</f>
        <v>Intuit</v>
      </c>
      <c r="L102" s="5" t="str">
        <f>IFERROR(__xludf.DUMMYFUNCTION("""COMPUTED_VALUE"""),"Caledonia")</f>
        <v>Caledonia</v>
      </c>
    </row>
    <row r="103">
      <c r="A103" s="5" t="s">
        <v>8368</v>
      </c>
      <c r="B103" s="5" t="s">
        <v>8369</v>
      </c>
      <c r="D103" s="5" t="s">
        <v>227</v>
      </c>
      <c r="E103" s="5" t="s">
        <v>228</v>
      </c>
      <c r="F103" s="5" t="s">
        <v>223</v>
      </c>
      <c r="G103" s="5" t="s">
        <v>224</v>
      </c>
      <c r="H103" s="5" t="s">
        <v>18</v>
      </c>
      <c r="I103" s="7" t="s">
        <v>10295</v>
      </c>
      <c r="K103" s="5" t="str">
        <f>IFERROR(__xludf.DUMMYFUNCTION("""COMPUTED_VALUE"""),"J.P. Morgan")</f>
        <v>J.P. Morgan</v>
      </c>
      <c r="L103" s="5" t="str">
        <f>IFERROR(__xludf.DUMMYFUNCTION("""COMPUTED_VALUE"""),"Burnaby")</f>
        <v>Burnaby</v>
      </c>
    </row>
    <row r="104">
      <c r="A104" s="5" t="s">
        <v>8609</v>
      </c>
      <c r="B104" s="5" t="s">
        <v>8610</v>
      </c>
      <c r="D104" s="5" t="s">
        <v>227</v>
      </c>
      <c r="E104" s="5" t="s">
        <v>727</v>
      </c>
      <c r="F104" s="5" t="s">
        <v>1867</v>
      </c>
      <c r="G104" s="5" t="s">
        <v>44</v>
      </c>
      <c r="H104" s="5" t="s">
        <v>18</v>
      </c>
      <c r="I104" s="7" t="s">
        <v>8608</v>
      </c>
      <c r="K104" s="5" t="str">
        <f>IFERROR(__xludf.DUMMYFUNCTION("""COMPUTED_VALUE"""),"John Deere")</f>
        <v>John Deere</v>
      </c>
      <c r="L104" s="5" t="str">
        <f>IFERROR(__xludf.DUMMYFUNCTION("""COMPUTED_VALUE"""),"Guelph")</f>
        <v>Guelph</v>
      </c>
    </row>
    <row r="105">
      <c r="A105" s="5" t="s">
        <v>8716</v>
      </c>
      <c r="B105" s="5" t="s">
        <v>4771</v>
      </c>
      <c r="D105" s="5" t="s">
        <v>227</v>
      </c>
      <c r="E105" s="5" t="s">
        <v>339</v>
      </c>
      <c r="F105" s="5" t="s">
        <v>311</v>
      </c>
      <c r="G105" s="5" t="s">
        <v>102</v>
      </c>
      <c r="H105" s="5" t="s">
        <v>18</v>
      </c>
      <c r="I105" s="17" t="s">
        <v>10296</v>
      </c>
      <c r="K105" s="5" t="str">
        <f>IFERROR(__xludf.DUMMYFUNCTION("""COMPUTED_VALUE"""),"Johnson &amp; Johnson")</f>
        <v>Johnson &amp; Johnson</v>
      </c>
      <c r="L105" s="5" t="str">
        <f>IFERROR(__xludf.DUMMYFUNCTION("""COMPUTED_VALUE"""),"Bedford")</f>
        <v>Bedford</v>
      </c>
    </row>
    <row r="106">
      <c r="A106" s="5" t="s">
        <v>8719</v>
      </c>
      <c r="B106" s="5" t="s">
        <v>8720</v>
      </c>
      <c r="D106" s="5" t="s">
        <v>227</v>
      </c>
      <c r="E106" s="5" t="s">
        <v>100</v>
      </c>
      <c r="F106" s="5" t="s">
        <v>311</v>
      </c>
      <c r="G106" s="5" t="s">
        <v>102</v>
      </c>
      <c r="H106" s="5" t="s">
        <v>18</v>
      </c>
      <c r="I106" s="17" t="s">
        <v>10297</v>
      </c>
      <c r="K106" s="5" t="str">
        <f>IFERROR(__xludf.DUMMYFUNCTION("""COMPUTED_VALUE"""),"JPL (NASA's Jet Propulsion Laboratory)")</f>
        <v>JPL (NASA's Jet Propulsion Laboratory)</v>
      </c>
      <c r="L106" s="5" t="str">
        <f>IFERROR(__xludf.DUMMYFUNCTION("""COMPUTED_VALUE"""),"Ottawa")</f>
        <v>Ottawa</v>
      </c>
    </row>
    <row r="107">
      <c r="A107" s="5" t="s">
        <v>8722</v>
      </c>
      <c r="B107" s="5" t="s">
        <v>8723</v>
      </c>
      <c r="D107" s="5" t="s">
        <v>227</v>
      </c>
      <c r="E107" s="5" t="s">
        <v>192</v>
      </c>
      <c r="F107" s="5" t="s">
        <v>311</v>
      </c>
      <c r="G107" s="5" t="s">
        <v>102</v>
      </c>
      <c r="H107" s="5" t="s">
        <v>18</v>
      </c>
      <c r="I107" s="17" t="s">
        <v>10298</v>
      </c>
      <c r="K107" s="5" t="str">
        <f>IFERROR(__xludf.DUMMYFUNCTION("""COMPUTED_VALUE"""),"JPMorgan Chase")</f>
        <v>JPMorgan Chase</v>
      </c>
      <c r="L107" s="5" t="str">
        <f>IFERROR(__xludf.DUMMYFUNCTION("""COMPUTED_VALUE"""),"Deep River")</f>
        <v>Deep River</v>
      </c>
    </row>
    <row r="108">
      <c r="A108" s="5" t="s">
        <v>8725</v>
      </c>
      <c r="B108" s="5" t="s">
        <v>4771</v>
      </c>
      <c r="D108" s="5" t="s">
        <v>227</v>
      </c>
      <c r="E108" s="5" t="s">
        <v>188</v>
      </c>
      <c r="F108" s="5" t="s">
        <v>311</v>
      </c>
      <c r="G108" s="5" t="s">
        <v>102</v>
      </c>
      <c r="H108" s="5" t="s">
        <v>18</v>
      </c>
      <c r="I108" s="17" t="s">
        <v>10299</v>
      </c>
      <c r="K108" s="5" t="str">
        <f>IFERROR(__xludf.DUMMYFUNCTION("""COMPUTED_VALUE"""),"KeyBank")</f>
        <v>KeyBank</v>
      </c>
      <c r="L108" s="5" t="str">
        <f>IFERROR(__xludf.DUMMYFUNCTION("""COMPUTED_VALUE"""),"Auburn")</f>
        <v>Auburn</v>
      </c>
    </row>
    <row r="109">
      <c r="A109" s="5" t="s">
        <v>8727</v>
      </c>
      <c r="B109" s="5" t="s">
        <v>4771</v>
      </c>
      <c r="D109" s="5" t="s">
        <v>227</v>
      </c>
      <c r="E109" s="5" t="s">
        <v>188</v>
      </c>
      <c r="F109" s="5" t="s">
        <v>311</v>
      </c>
      <c r="G109" s="5" t="s">
        <v>102</v>
      </c>
      <c r="H109" s="5" t="s">
        <v>18</v>
      </c>
      <c r="I109" s="17" t="s">
        <v>10300</v>
      </c>
      <c r="K109" s="5" t="str">
        <f>IFERROR(__xludf.DUMMYFUNCTION("""COMPUTED_VALUE"""),"Kimberly-Clark")</f>
        <v>Kimberly-Clark</v>
      </c>
      <c r="L109" s="5" t="str">
        <f>IFERROR(__xludf.DUMMYFUNCTION("""COMPUTED_VALUE"""),"Columbia")</f>
        <v>Columbia</v>
      </c>
    </row>
    <row r="110">
      <c r="A110" s="5" t="s">
        <v>8729</v>
      </c>
      <c r="B110" s="5" t="s">
        <v>4771</v>
      </c>
      <c r="D110" s="5" t="s">
        <v>227</v>
      </c>
      <c r="E110" s="5" t="s">
        <v>165</v>
      </c>
      <c r="F110" s="5" t="s">
        <v>311</v>
      </c>
      <c r="G110" s="5" t="s">
        <v>102</v>
      </c>
      <c r="H110" s="5" t="s">
        <v>18</v>
      </c>
      <c r="I110" s="17" t="s">
        <v>10301</v>
      </c>
      <c r="K110" s="5" t="str">
        <f>IFERROR(__xludf.DUMMYFUNCTION("""COMPUTED_VALUE"""),"Kinaxis")</f>
        <v>Kinaxis</v>
      </c>
      <c r="L110" s="5" t="str">
        <f>IFERROR(__xludf.DUMMYFUNCTION("""COMPUTED_VALUE"""),"Fort Lauderdale")</f>
        <v>Fort Lauderdale</v>
      </c>
    </row>
    <row r="111">
      <c r="A111" s="5" t="s">
        <v>8732</v>
      </c>
      <c r="B111" s="5" t="s">
        <v>8733</v>
      </c>
      <c r="D111" s="5" t="s">
        <v>227</v>
      </c>
      <c r="E111" s="5" t="s">
        <v>345</v>
      </c>
      <c r="F111" s="5" t="s">
        <v>311</v>
      </c>
      <c r="G111" s="5" t="s">
        <v>102</v>
      </c>
      <c r="H111" s="5" t="s">
        <v>18</v>
      </c>
      <c r="I111" s="17" t="s">
        <v>10302</v>
      </c>
      <c r="K111" s="5" t="str">
        <f>IFERROR(__xludf.DUMMYFUNCTION("""COMPUTED_VALUE"""),"Kohl's")</f>
        <v>Kohl's</v>
      </c>
      <c r="L111" s="5" t="str">
        <f>IFERROR(__xludf.DUMMYFUNCTION("""COMPUTED_VALUE"""),"Cambridge")</f>
        <v>Cambridge</v>
      </c>
    </row>
    <row r="112">
      <c r="A112" s="5" t="s">
        <v>8735</v>
      </c>
      <c r="B112" s="5" t="s">
        <v>4771</v>
      </c>
      <c r="D112" s="5" t="s">
        <v>227</v>
      </c>
      <c r="E112" s="5" t="s">
        <v>339</v>
      </c>
      <c r="F112" s="5" t="s">
        <v>311</v>
      </c>
      <c r="G112" s="5" t="s">
        <v>102</v>
      </c>
      <c r="H112" s="5" t="s">
        <v>18</v>
      </c>
      <c r="I112" s="17" t="s">
        <v>10303</v>
      </c>
      <c r="K112" s="5" t="str">
        <f>IFERROR(__xludf.DUMMYFUNCTION("""COMPUTED_VALUE"""),"KPMG")</f>
        <v>KPMG</v>
      </c>
      <c r="L112" s="5" t="str">
        <f>IFERROR(__xludf.DUMMYFUNCTION("""COMPUTED_VALUE"""),"Frisco")</f>
        <v>Frisco</v>
      </c>
    </row>
    <row r="113">
      <c r="A113" s="5" t="s">
        <v>8738</v>
      </c>
      <c r="B113" s="5" t="s">
        <v>8739</v>
      </c>
      <c r="D113" s="5" t="s">
        <v>227</v>
      </c>
      <c r="E113" s="5" t="s">
        <v>149</v>
      </c>
      <c r="F113" s="5" t="s">
        <v>311</v>
      </c>
      <c r="G113" s="5" t="s">
        <v>102</v>
      </c>
      <c r="H113" s="5" t="s">
        <v>18</v>
      </c>
      <c r="I113" s="7" t="s">
        <v>10304</v>
      </c>
      <c r="K113" s="5" t="str">
        <f>IFERROR(__xludf.DUMMYFUNCTION("""COMPUTED_VALUE"""),"KPMG Canada")</f>
        <v>KPMG Canada</v>
      </c>
      <c r="L113" s="5" t="str">
        <f>IFERROR(__xludf.DUMMYFUNCTION("""COMPUTED_VALUE"""),"Havertown")</f>
        <v>Havertown</v>
      </c>
    </row>
    <row r="114">
      <c r="A114" s="5" t="s">
        <v>8741</v>
      </c>
      <c r="B114" s="5" t="s">
        <v>8742</v>
      </c>
      <c r="D114" s="5" t="s">
        <v>227</v>
      </c>
      <c r="E114" s="5" t="s">
        <v>60</v>
      </c>
      <c r="F114" s="5" t="s">
        <v>311</v>
      </c>
      <c r="G114" s="5" t="s">
        <v>102</v>
      </c>
      <c r="H114" s="5" t="s">
        <v>18</v>
      </c>
      <c r="I114" s="7" t="s">
        <v>8740</v>
      </c>
      <c r="K114" s="5" t="str">
        <f>IFERROR(__xludf.DUMMYFUNCTION("""COMPUTED_VALUE"""),"Liberty Mutual Insurance")</f>
        <v>Liberty Mutual Insurance</v>
      </c>
      <c r="L114" s="5" t="str">
        <f>IFERROR(__xludf.DUMMYFUNCTION("""COMPUTED_VALUE"""),"Mechanicsville")</f>
        <v>Mechanicsville</v>
      </c>
    </row>
    <row r="115">
      <c r="A115" s="5" t="s">
        <v>8746</v>
      </c>
      <c r="B115" s="5" t="s">
        <v>8747</v>
      </c>
      <c r="D115" s="5" t="s">
        <v>227</v>
      </c>
      <c r="E115" s="5" t="s">
        <v>257</v>
      </c>
      <c r="F115" s="5" t="s">
        <v>311</v>
      </c>
      <c r="G115" s="5" t="s">
        <v>102</v>
      </c>
      <c r="H115" s="5" t="s">
        <v>18</v>
      </c>
      <c r="I115" s="7" t="s">
        <v>8745</v>
      </c>
      <c r="K115" s="5" t="str">
        <f>IFERROR(__xludf.DUMMYFUNCTION("""COMPUTED_VALUE"""),"LinkedIn")</f>
        <v>LinkedIn</v>
      </c>
      <c r="L115" s="5" t="str">
        <f>IFERROR(__xludf.DUMMYFUNCTION("""COMPUTED_VALUE"""),"Midlothian")</f>
        <v>Midlothian</v>
      </c>
    </row>
    <row r="116">
      <c r="A116" s="5" t="s">
        <v>8749</v>
      </c>
      <c r="B116" s="5" t="s">
        <v>8750</v>
      </c>
      <c r="D116" s="5" t="s">
        <v>227</v>
      </c>
      <c r="E116" s="5" t="s">
        <v>149</v>
      </c>
      <c r="F116" s="5" t="s">
        <v>311</v>
      </c>
      <c r="G116" s="5" t="s">
        <v>102</v>
      </c>
      <c r="H116" s="5" t="s">
        <v>18</v>
      </c>
      <c r="I116" s="17" t="s">
        <v>10305</v>
      </c>
      <c r="K116" s="5" t="str">
        <f>IFERROR(__xludf.DUMMYFUNCTION("""COMPUTED_VALUE"""),"Lockheed Martin")</f>
        <v>Lockheed Martin</v>
      </c>
      <c r="L116" s="5" t="str">
        <f>IFERROR(__xludf.DUMMYFUNCTION("""COMPUTED_VALUE"""),"Nottinghamshire")</f>
        <v>Nottinghamshire</v>
      </c>
    </row>
    <row r="117">
      <c r="A117" s="5" t="s">
        <v>8756</v>
      </c>
      <c r="B117" s="5" t="s">
        <v>8757</v>
      </c>
      <c r="D117" s="5" t="s">
        <v>227</v>
      </c>
      <c r="E117" s="5" t="s">
        <v>144</v>
      </c>
      <c r="F117" s="5" t="s">
        <v>311</v>
      </c>
      <c r="G117" s="5" t="s">
        <v>102</v>
      </c>
      <c r="H117" s="5" t="s">
        <v>18</v>
      </c>
      <c r="I117" s="7" t="s">
        <v>10306</v>
      </c>
      <c r="K117" s="5" t="str">
        <f>IFERROR(__xludf.DUMMYFUNCTION("""COMPUTED_VALUE"""),"Lyft")</f>
        <v>Lyft</v>
      </c>
      <c r="L117" s="5" t="str">
        <f>IFERROR(__xludf.DUMMYFUNCTION("""COMPUTED_VALUE"""),"Plano")</f>
        <v>Plano</v>
      </c>
    </row>
    <row r="118">
      <c r="A118" s="5" t="s">
        <v>8761</v>
      </c>
      <c r="B118" s="5" t="s">
        <v>8762</v>
      </c>
      <c r="D118" s="5" t="s">
        <v>227</v>
      </c>
      <c r="E118" s="5" t="s">
        <v>822</v>
      </c>
      <c r="F118" s="5" t="s">
        <v>311</v>
      </c>
      <c r="G118" s="5" t="s">
        <v>102</v>
      </c>
      <c r="H118" s="5" t="s">
        <v>18</v>
      </c>
      <c r="I118" s="18" t="s">
        <v>10307</v>
      </c>
      <c r="K118" s="5" t="str">
        <f>IFERROR(__xludf.DUMMYFUNCTION("""COMPUTED_VALUE"""),"MathWorks")</f>
        <v>MathWorks</v>
      </c>
      <c r="L118" s="5" t="str">
        <f>IFERROR(__xludf.DUMMYFUNCTION("""COMPUTED_VALUE"""),"Reston")</f>
        <v>Reston</v>
      </c>
    </row>
    <row r="119">
      <c r="A119" s="5" t="s">
        <v>8764</v>
      </c>
      <c r="B119" s="5" t="s">
        <v>4771</v>
      </c>
      <c r="D119" s="5" t="s">
        <v>227</v>
      </c>
      <c r="E119" s="5" t="s">
        <v>165</v>
      </c>
      <c r="F119" s="5" t="s">
        <v>311</v>
      </c>
      <c r="G119" s="5" t="s">
        <v>102</v>
      </c>
      <c r="H119" s="5" t="s">
        <v>18</v>
      </c>
      <c r="I119" s="17" t="s">
        <v>10308</v>
      </c>
      <c r="K119" s="5" t="str">
        <f>IFERROR(__xludf.DUMMYFUNCTION("""COMPUTED_VALUE"""),"McCarthy Tetrault")</f>
        <v>McCarthy Tetrault</v>
      </c>
      <c r="L119" s="5" t="str">
        <f>IFERROR(__xludf.DUMMYFUNCTION("""COMPUTED_VALUE"""),"Richmond")</f>
        <v>Richmond</v>
      </c>
    </row>
    <row r="120">
      <c r="A120" s="5" t="s">
        <v>8769</v>
      </c>
      <c r="B120" s="5" t="s">
        <v>4771</v>
      </c>
      <c r="D120" s="5" t="s">
        <v>227</v>
      </c>
      <c r="E120" s="5" t="s">
        <v>365</v>
      </c>
      <c r="F120" s="5" t="s">
        <v>311</v>
      </c>
      <c r="G120" s="5" t="s">
        <v>102</v>
      </c>
      <c r="H120" s="5" t="s">
        <v>18</v>
      </c>
      <c r="I120" s="17" t="s">
        <v>10309</v>
      </c>
      <c r="K120" s="5" t="str">
        <f>IFERROR(__xludf.DUMMYFUNCTION("""COMPUTED_VALUE"""),"McKinsey &amp; Company")</f>
        <v>McKinsey &amp; Company</v>
      </c>
      <c r="L120" s="5" t="str">
        <f>IFERROR(__xludf.DUMMYFUNCTION("""COMPUTED_VALUE"""),"Richmond Hill")</f>
        <v>Richmond Hill</v>
      </c>
    </row>
    <row r="121">
      <c r="A121" s="5" t="s">
        <v>8771</v>
      </c>
      <c r="B121" s="5" t="s">
        <v>4771</v>
      </c>
      <c r="D121" s="5" t="s">
        <v>227</v>
      </c>
      <c r="E121" s="5" t="s">
        <v>144</v>
      </c>
      <c r="F121" s="5" t="s">
        <v>311</v>
      </c>
      <c r="G121" s="5" t="s">
        <v>102</v>
      </c>
      <c r="H121" s="5" t="s">
        <v>18</v>
      </c>
      <c r="I121" s="17" t="s">
        <v>10310</v>
      </c>
      <c r="K121" s="5" t="str">
        <f>IFERROR(__xludf.DUMMYFUNCTION("""COMPUTED_VALUE"""),"Medtronic")</f>
        <v>Medtronic</v>
      </c>
      <c r="L121" s="5" t="str">
        <f>IFERROR(__xludf.DUMMYFUNCTION("""COMPUTED_VALUE"""),"Lewisville")</f>
        <v>Lewisville</v>
      </c>
    </row>
    <row r="122">
      <c r="A122" s="5" t="s">
        <v>8773</v>
      </c>
      <c r="B122" s="5" t="s">
        <v>8774</v>
      </c>
      <c r="D122" s="5" t="s">
        <v>227</v>
      </c>
      <c r="E122" s="5" t="s">
        <v>1460</v>
      </c>
      <c r="F122" s="5" t="s">
        <v>311</v>
      </c>
      <c r="G122" s="5" t="s">
        <v>102</v>
      </c>
      <c r="H122" s="5" t="s">
        <v>18</v>
      </c>
      <c r="I122" s="7" t="s">
        <v>10311</v>
      </c>
      <c r="K122" s="5" t="str">
        <f>IFERROR(__xludf.DUMMYFUNCTION("""COMPUTED_VALUE"""),"memoryBlue")</f>
        <v>memoryBlue</v>
      </c>
      <c r="L122" s="5" t="str">
        <f>IFERROR(__xludf.DUMMYFUNCTION("""COMPUTED_VALUE"""),"Dyer")</f>
        <v>Dyer</v>
      </c>
    </row>
    <row r="123">
      <c r="A123" s="5" t="s">
        <v>8776</v>
      </c>
      <c r="B123" s="5" t="s">
        <v>8777</v>
      </c>
      <c r="D123" s="5" t="s">
        <v>227</v>
      </c>
      <c r="E123" s="5" t="s">
        <v>822</v>
      </c>
      <c r="F123" s="5" t="s">
        <v>311</v>
      </c>
      <c r="G123" s="5" t="s">
        <v>102</v>
      </c>
      <c r="H123" s="5" t="s">
        <v>18</v>
      </c>
      <c r="I123" s="17" t="s">
        <v>10312</v>
      </c>
      <c r="K123" s="5" t="str">
        <f>IFERROR(__xludf.DUMMYFUNCTION("""COMPUTED_VALUE"""),"Michael Page")</f>
        <v>Michael Page</v>
      </c>
      <c r="L123" s="5" t="str">
        <f>IFERROR(__xludf.DUMMYFUNCTION("""COMPUTED_VALUE"""),"Mason City")</f>
        <v>Mason City</v>
      </c>
    </row>
    <row r="124">
      <c r="A124" s="5" t="s">
        <v>363</v>
      </c>
      <c r="B124" s="5" t="s">
        <v>364</v>
      </c>
      <c r="D124" s="5" t="s">
        <v>227</v>
      </c>
      <c r="E124" s="5" t="s">
        <v>365</v>
      </c>
      <c r="F124" s="5" t="s">
        <v>311</v>
      </c>
      <c r="G124" s="5" t="s">
        <v>102</v>
      </c>
      <c r="H124" s="5" t="s">
        <v>18</v>
      </c>
      <c r="I124" s="17" t="s">
        <v>10313</v>
      </c>
      <c r="K124" s="5" t="str">
        <f>IFERROR(__xludf.DUMMYFUNCTION("""COMPUTED_VALUE"""),"Microsoft")</f>
        <v>Microsoft</v>
      </c>
      <c r="L124" s="5" t="str">
        <f>IFERROR(__xludf.DUMMYFUNCTION("""COMPUTED_VALUE"""),"Minneapolis")</f>
        <v>Minneapolis</v>
      </c>
    </row>
    <row r="125">
      <c r="A125" s="5" t="s">
        <v>9632</v>
      </c>
      <c r="B125" s="5" t="s">
        <v>5054</v>
      </c>
      <c r="D125" s="5" t="s">
        <v>227</v>
      </c>
      <c r="E125" s="5" t="s">
        <v>165</v>
      </c>
      <c r="F125" s="5" t="s">
        <v>6577</v>
      </c>
      <c r="G125" s="5" t="s">
        <v>4757</v>
      </c>
      <c r="H125" s="5" t="s">
        <v>4607</v>
      </c>
      <c r="I125" s="7" t="s">
        <v>9631</v>
      </c>
      <c r="K125" s="5" t="str">
        <f>IFERROR(__xludf.DUMMYFUNCTION("""COMPUTED_VALUE"""),"MongoDB")</f>
        <v>MongoDB</v>
      </c>
      <c r="L125" s="5" t="str">
        <f>IFERROR(__xludf.DUMMYFUNCTION("""COMPUTED_VALUE"""),"Wichita")</f>
        <v>Wichita</v>
      </c>
    </row>
    <row r="126">
      <c r="A126" s="5" t="s">
        <v>9649</v>
      </c>
      <c r="B126" s="5" t="s">
        <v>9650</v>
      </c>
      <c r="D126" s="5" t="s">
        <v>227</v>
      </c>
      <c r="E126" s="5" t="s">
        <v>774</v>
      </c>
      <c r="F126" s="5" t="s">
        <v>6577</v>
      </c>
      <c r="G126" s="5" t="s">
        <v>4757</v>
      </c>
      <c r="H126" s="5" t="s">
        <v>4607</v>
      </c>
      <c r="I126" s="7" t="s">
        <v>9648</v>
      </c>
      <c r="K126" s="5" t="str">
        <f>IFERROR(__xludf.DUMMYFUNCTION("""COMPUTED_VALUE"""),"Moody's Corporation")</f>
        <v>Moody's Corporation</v>
      </c>
      <c r="L126" s="5" t="str">
        <f>IFERROR(__xludf.DUMMYFUNCTION("""COMPUTED_VALUE"""),"Chantilly")</f>
        <v>Chantilly</v>
      </c>
    </row>
    <row r="127">
      <c r="A127" s="5" t="s">
        <v>9654</v>
      </c>
      <c r="B127" s="5" t="s">
        <v>9655</v>
      </c>
      <c r="D127" s="5" t="s">
        <v>227</v>
      </c>
      <c r="E127" s="5" t="s">
        <v>345</v>
      </c>
      <c r="F127" s="5" t="s">
        <v>6577</v>
      </c>
      <c r="G127" s="5" t="s">
        <v>4757</v>
      </c>
      <c r="H127" s="5" t="s">
        <v>4607</v>
      </c>
      <c r="I127" s="7" t="s">
        <v>9653</v>
      </c>
      <c r="K127" s="5" t="str">
        <f>IFERROR(__xludf.DUMMYFUNCTION("""COMPUTED_VALUE"""),"Morgan Stanley")</f>
        <v>Morgan Stanley</v>
      </c>
      <c r="L127" s="5" t="str">
        <f>IFERROR(__xludf.DUMMYFUNCTION("""COMPUTED_VALUE"""),"Lafayette")</f>
        <v>Lafayette</v>
      </c>
    </row>
    <row r="128">
      <c r="A128" s="5" t="s">
        <v>9657</v>
      </c>
      <c r="B128" s="5" t="s">
        <v>9658</v>
      </c>
      <c r="D128" s="5" t="s">
        <v>227</v>
      </c>
      <c r="E128" s="5" t="s">
        <v>237</v>
      </c>
      <c r="F128" s="5" t="s">
        <v>6577</v>
      </c>
      <c r="G128" s="5" t="s">
        <v>4757</v>
      </c>
      <c r="H128" s="5" t="s">
        <v>4607</v>
      </c>
      <c r="I128" s="7" t="s">
        <v>9656</v>
      </c>
      <c r="K128" s="5" t="str">
        <f>IFERROR(__xludf.DUMMYFUNCTION("""COMPUTED_VALUE"""),"Moss Adams")</f>
        <v>Moss Adams</v>
      </c>
      <c r="L128" s="5" t="str">
        <f>IFERROR(__xludf.DUMMYFUNCTION("""COMPUTED_VALUE"""),"Leesburg")</f>
        <v>Leesburg</v>
      </c>
    </row>
    <row r="129">
      <c r="A129" s="5" t="s">
        <v>9667</v>
      </c>
      <c r="B129" s="5" t="s">
        <v>9668</v>
      </c>
      <c r="D129" s="5" t="s">
        <v>227</v>
      </c>
      <c r="E129" s="5" t="s">
        <v>455</v>
      </c>
      <c r="F129" s="5" t="s">
        <v>6577</v>
      </c>
      <c r="G129" s="5" t="s">
        <v>4757</v>
      </c>
      <c r="H129" s="5" t="s">
        <v>4607</v>
      </c>
      <c r="I129" s="7" t="s">
        <v>10314</v>
      </c>
      <c r="K129" s="5" t="str">
        <f>IFERROR(__xludf.DUMMYFUNCTION("""COMPUTED_VALUE"""),"Navitas")</f>
        <v>Navitas</v>
      </c>
      <c r="L129" s="5" t="str">
        <f>IFERROR(__xludf.DUMMYFUNCTION("""COMPUTED_VALUE"""),"Markham")</f>
        <v>Markham</v>
      </c>
    </row>
    <row r="130">
      <c r="A130" s="5" t="s">
        <v>9717</v>
      </c>
      <c r="B130" s="5" t="s">
        <v>9718</v>
      </c>
      <c r="D130" s="5" t="s">
        <v>227</v>
      </c>
      <c r="E130" s="5" t="s">
        <v>94</v>
      </c>
      <c r="F130" s="5" t="s">
        <v>6577</v>
      </c>
      <c r="G130" s="5" t="s">
        <v>4757</v>
      </c>
      <c r="H130" s="5" t="s">
        <v>4607</v>
      </c>
      <c r="I130" s="17" t="s">
        <v>10315</v>
      </c>
      <c r="K130" s="5" t="str">
        <f>IFERROR(__xludf.DUMMYFUNCTION("""COMPUTED_VALUE"""),"NBCUniversal Media")</f>
        <v>NBCUniversal Media</v>
      </c>
      <c r="L130" s="5" t="str">
        <f>IFERROR(__xludf.DUMMYFUNCTION("""COMPUTED_VALUE"""),"Saugus")</f>
        <v>Saugus</v>
      </c>
    </row>
    <row r="131">
      <c r="A131" s="5" t="s">
        <v>9775</v>
      </c>
      <c r="B131" s="5" t="s">
        <v>9776</v>
      </c>
      <c r="D131" s="5" t="s">
        <v>227</v>
      </c>
      <c r="E131" s="5" t="s">
        <v>188</v>
      </c>
      <c r="F131" s="5" t="s">
        <v>2113</v>
      </c>
      <c r="G131" s="5" t="s">
        <v>4599</v>
      </c>
      <c r="H131" s="5" t="s">
        <v>4600</v>
      </c>
      <c r="I131" s="7" t="s">
        <v>10316</v>
      </c>
      <c r="K131" s="5" t="str">
        <f>IFERROR(__xludf.DUMMYFUNCTION("""COMPUTED_VALUE"""),"Nestlé")</f>
        <v>Nestlé</v>
      </c>
      <c r="L131" s="5" t="str">
        <f>IFERROR(__xludf.DUMMYFUNCTION("""COMPUTED_VALUE"""),"Buxton")</f>
        <v>Buxton</v>
      </c>
    </row>
    <row r="132">
      <c r="A132" s="5" t="s">
        <v>10108</v>
      </c>
      <c r="B132" s="5" t="s">
        <v>8757</v>
      </c>
      <c r="D132" s="5" t="s">
        <v>227</v>
      </c>
      <c r="E132" s="5" t="s">
        <v>1623</v>
      </c>
      <c r="F132" s="5" t="s">
        <v>10109</v>
      </c>
      <c r="G132" s="5" t="s">
        <v>1354</v>
      </c>
      <c r="H132" s="5" t="s">
        <v>18</v>
      </c>
      <c r="I132" s="7" t="s">
        <v>10317</v>
      </c>
      <c r="K132" s="5" t="str">
        <f>IFERROR(__xludf.DUMMYFUNCTION("""COMPUTED_VALUE"""),"Nomura")</f>
        <v>Nomura</v>
      </c>
      <c r="L132" s="5" t="str">
        <f>IFERROR(__xludf.DUMMYFUNCTION("""COMPUTED_VALUE"""),"Capitola")</f>
        <v>Capitola</v>
      </c>
    </row>
    <row r="133">
      <c r="A133" s="5" t="s">
        <v>10159</v>
      </c>
      <c r="B133" s="5" t="s">
        <v>10160</v>
      </c>
      <c r="D133" s="5" t="s">
        <v>227</v>
      </c>
      <c r="E133" s="5" t="s">
        <v>165</v>
      </c>
      <c r="F133" s="5" t="s">
        <v>10161</v>
      </c>
      <c r="G133" s="5" t="s">
        <v>4757</v>
      </c>
      <c r="H133" s="5" t="s">
        <v>4607</v>
      </c>
      <c r="I133" s="7" t="s">
        <v>10158</v>
      </c>
      <c r="K133" s="5" t="str">
        <f>IFERROR(__xludf.DUMMYFUNCTION("""COMPUTED_VALUE"""),"Northrop Grumman")</f>
        <v>Northrop Grumman</v>
      </c>
      <c r="L133" s="5" t="str">
        <f>IFERROR(__xludf.DUMMYFUNCTION("""COMPUTED_VALUE"""),"Santa Rosa Beach")</f>
        <v>Santa Rosa Beach</v>
      </c>
    </row>
    <row r="134">
      <c r="A134" s="5" t="s">
        <v>226</v>
      </c>
      <c r="B134" s="5" t="s">
        <v>110</v>
      </c>
      <c r="C134" s="5" t="s">
        <v>13</v>
      </c>
      <c r="D134" s="5" t="s">
        <v>227</v>
      </c>
      <c r="E134" s="5" t="s">
        <v>228</v>
      </c>
      <c r="F134" s="5" t="s">
        <v>229</v>
      </c>
      <c r="G134" s="5" t="s">
        <v>86</v>
      </c>
      <c r="H134" s="5" t="s">
        <v>18</v>
      </c>
      <c r="I134" s="7" t="s">
        <v>230</v>
      </c>
      <c r="K134" s="5" t="str">
        <f>IFERROR(__xludf.DUMMYFUNCTION("""COMPUTED_VALUE"""),"NVIDIA")</f>
        <v>NVIDIA</v>
      </c>
      <c r="L134" s="5" t="str">
        <f>IFERROR(__xludf.DUMMYFUNCTION("""COMPUTED_VALUE"""),"St Louis")</f>
        <v>St Louis</v>
      </c>
    </row>
    <row r="135">
      <c r="A135" s="5" t="s">
        <v>231</v>
      </c>
      <c r="B135" s="5" t="s">
        <v>232</v>
      </c>
      <c r="C135" s="5" t="s">
        <v>13</v>
      </c>
      <c r="D135" s="5" t="s">
        <v>227</v>
      </c>
      <c r="E135" s="5" t="s">
        <v>233</v>
      </c>
      <c r="F135" s="5" t="s">
        <v>37</v>
      </c>
      <c r="G135" s="5" t="s">
        <v>38</v>
      </c>
      <c r="H135" s="5" t="s">
        <v>18</v>
      </c>
      <c r="I135" s="7" t="s">
        <v>10318</v>
      </c>
      <c r="K135" s="5" t="str">
        <f>IFERROR(__xludf.DUMMYFUNCTION("""COMPUTED_VALUE"""),"Office of Student Recruitment, University of Toronto")</f>
        <v>Office of Student Recruitment, University of Toronto</v>
      </c>
      <c r="L135" s="5" t="str">
        <f>IFERROR(__xludf.DUMMYFUNCTION("""COMPUTED_VALUE"""),"San Antonio")</f>
        <v>San Antonio</v>
      </c>
    </row>
    <row r="136">
      <c r="A136" s="5" t="s">
        <v>235</v>
      </c>
      <c r="B136" s="5" t="s">
        <v>236</v>
      </c>
      <c r="C136" s="5" t="s">
        <v>13</v>
      </c>
      <c r="D136" s="5" t="s">
        <v>227</v>
      </c>
      <c r="E136" s="5" t="s">
        <v>237</v>
      </c>
      <c r="F136" s="5" t="s">
        <v>64</v>
      </c>
      <c r="G136" s="5" t="s">
        <v>65</v>
      </c>
      <c r="H136" s="5" t="s">
        <v>18</v>
      </c>
      <c r="I136" s="7" t="s">
        <v>10319</v>
      </c>
      <c r="K136" s="5" t="str">
        <f>IFERROR(__xludf.DUMMYFUNCTION("""COMPUTED_VALUE"""),"Office of the Auditor General of Canada")</f>
        <v>Office of the Auditor General of Canada</v>
      </c>
      <c r="L136" s="5" t="str">
        <f>IFERROR(__xludf.DUMMYFUNCTION("""COMPUTED_VALUE"""),"Wake Forest")</f>
        <v>Wake Forest</v>
      </c>
    </row>
    <row r="137">
      <c r="A137" s="5" t="s">
        <v>239</v>
      </c>
      <c r="B137" s="5" t="s">
        <v>240</v>
      </c>
      <c r="C137" s="5" t="s">
        <v>4</v>
      </c>
      <c r="D137" s="5" t="s">
        <v>227</v>
      </c>
      <c r="E137" s="5" t="s">
        <v>241</v>
      </c>
      <c r="F137" s="5" t="s">
        <v>85</v>
      </c>
      <c r="G137" s="5" t="s">
        <v>86</v>
      </c>
      <c r="H137" s="5" t="s">
        <v>18</v>
      </c>
      <c r="I137" s="18" t="s">
        <v>10320</v>
      </c>
      <c r="K137" s="5" t="str">
        <f>IFERROR(__xludf.DUMMYFUNCTION("""COMPUTED_VALUE"""),"Office of the Auditor General of Canada / Bureau du vérificateur général du Canada")</f>
        <v>Office of the Auditor General of Canada / Bureau du vérificateur général du Canada</v>
      </c>
      <c r="L137" s="5" t="str">
        <f>IFERROR(__xludf.DUMMYFUNCTION("""COMPUTED_VALUE"""),"Brick")</f>
        <v>Brick</v>
      </c>
    </row>
    <row r="138">
      <c r="A138" s="5" t="s">
        <v>243</v>
      </c>
      <c r="B138" s="5" t="s">
        <v>244</v>
      </c>
      <c r="C138" s="5" t="s">
        <v>13</v>
      </c>
      <c r="D138" s="5" t="s">
        <v>227</v>
      </c>
      <c r="E138" s="5" t="s">
        <v>237</v>
      </c>
      <c r="F138" s="5" t="s">
        <v>85</v>
      </c>
      <c r="G138" s="5" t="s">
        <v>86</v>
      </c>
      <c r="H138" s="5" t="s">
        <v>18</v>
      </c>
      <c r="I138" s="7" t="s">
        <v>245</v>
      </c>
      <c r="K138" s="5" t="str">
        <f>IFERROR(__xludf.DUMMYFUNCTION("""COMPUTED_VALUE"""),"Oliver Wyman")</f>
        <v>Oliver Wyman</v>
      </c>
      <c r="L138" s="5" t="str">
        <f>IFERROR(__xludf.DUMMYFUNCTION("""COMPUTED_VALUE"""),"Bronx")</f>
        <v>Bronx</v>
      </c>
    </row>
    <row r="139">
      <c r="A139" s="5" t="s">
        <v>246</v>
      </c>
      <c r="B139" s="5" t="s">
        <v>110</v>
      </c>
      <c r="C139" s="5" t="s">
        <v>13</v>
      </c>
      <c r="D139" s="5" t="s">
        <v>227</v>
      </c>
      <c r="E139" s="5" t="s">
        <v>228</v>
      </c>
      <c r="F139" s="5" t="s">
        <v>90</v>
      </c>
      <c r="G139" s="5" t="s">
        <v>91</v>
      </c>
      <c r="H139" s="5" t="s">
        <v>18</v>
      </c>
      <c r="I139" s="7" t="s">
        <v>247</v>
      </c>
      <c r="K139" s="5" t="str">
        <f>IFERROR(__xludf.DUMMYFUNCTION("""COMPUTED_VALUE"""),"Oracle")</f>
        <v>Oracle</v>
      </c>
      <c r="L139" s="5" t="str">
        <f>IFERROR(__xludf.DUMMYFUNCTION("""COMPUTED_VALUE"""),"Clearwater")</f>
        <v>Clearwater</v>
      </c>
    </row>
    <row r="140">
      <c r="A140" s="5" t="s">
        <v>248</v>
      </c>
      <c r="B140" s="5" t="s">
        <v>110</v>
      </c>
      <c r="C140" s="5" t="s">
        <v>13</v>
      </c>
      <c r="D140" s="5" t="s">
        <v>227</v>
      </c>
      <c r="E140" s="5" t="s">
        <v>237</v>
      </c>
      <c r="F140" s="5" t="s">
        <v>249</v>
      </c>
      <c r="G140" s="5" t="s">
        <v>44</v>
      </c>
      <c r="H140" s="5" t="s">
        <v>18</v>
      </c>
      <c r="I140" s="7" t="s">
        <v>250</v>
      </c>
      <c r="K140" s="5" t="str">
        <f>IFERROR(__xludf.DUMMYFUNCTION("""COMPUTED_VALUE"""),"PayPal")</f>
        <v>PayPal</v>
      </c>
      <c r="L140" s="5" t="str">
        <f>IFERROR(__xludf.DUMMYFUNCTION("""COMPUTED_VALUE"""),"Las Vegas")</f>
        <v>Las Vegas</v>
      </c>
    </row>
    <row r="141">
      <c r="A141" s="5" t="s">
        <v>251</v>
      </c>
      <c r="B141" s="5" t="s">
        <v>252</v>
      </c>
      <c r="C141" s="5" t="s">
        <v>13</v>
      </c>
      <c r="D141" s="5" t="s">
        <v>227</v>
      </c>
      <c r="E141" s="5" t="s">
        <v>237</v>
      </c>
      <c r="F141" s="5" t="s">
        <v>253</v>
      </c>
      <c r="G141" s="5" t="s">
        <v>224</v>
      </c>
      <c r="H141" s="5" t="s">
        <v>18</v>
      </c>
      <c r="I141" s="7" t="s">
        <v>10321</v>
      </c>
      <c r="K141" s="5" t="str">
        <f>IFERROR(__xludf.DUMMYFUNCTION("""COMPUTED_VALUE"""),"Pearson")</f>
        <v>Pearson</v>
      </c>
      <c r="L141" s="5" t="str">
        <f>IFERROR(__xludf.DUMMYFUNCTION("""COMPUTED_VALUE"""),"Tampa")</f>
        <v>Tampa</v>
      </c>
    </row>
    <row r="142">
      <c r="A142" s="5" t="s">
        <v>255</v>
      </c>
      <c r="B142" s="5" t="s">
        <v>256</v>
      </c>
      <c r="C142" s="5" t="s">
        <v>13</v>
      </c>
      <c r="D142" s="5" t="s">
        <v>227</v>
      </c>
      <c r="E142" s="5" t="s">
        <v>257</v>
      </c>
      <c r="F142" s="5" t="s">
        <v>258</v>
      </c>
      <c r="G142" s="5" t="s">
        <v>259</v>
      </c>
      <c r="H142" s="5" t="s">
        <v>18</v>
      </c>
      <c r="I142" s="7" t="s">
        <v>260</v>
      </c>
      <c r="K142" s="5" t="str">
        <f>IFERROR(__xludf.DUMMYFUNCTION("""COMPUTED_VALUE"""),"Philips")</f>
        <v>Philips</v>
      </c>
      <c r="L142" s="5" t="str">
        <f>IFERROR(__xludf.DUMMYFUNCTION("""COMPUTED_VALUE"""),"Union City")</f>
        <v>Union City</v>
      </c>
    </row>
    <row r="143">
      <c r="A143" s="5" t="s">
        <v>261</v>
      </c>
      <c r="B143" s="5" t="s">
        <v>262</v>
      </c>
      <c r="C143" s="5" t="s">
        <v>13</v>
      </c>
      <c r="D143" s="5" t="s">
        <v>227</v>
      </c>
      <c r="E143" s="5" t="s">
        <v>237</v>
      </c>
      <c r="F143" s="5" t="s">
        <v>263</v>
      </c>
      <c r="G143" s="5" t="s">
        <v>264</v>
      </c>
      <c r="H143" s="5" t="s">
        <v>18</v>
      </c>
      <c r="I143" s="7" t="s">
        <v>265</v>
      </c>
      <c r="K143" s="5" t="str">
        <f>IFERROR(__xludf.DUMMYFUNCTION("""COMPUTED_VALUE"""),"Pinterest")</f>
        <v>Pinterest</v>
      </c>
      <c r="L143" s="5" t="str">
        <f>IFERROR(__xludf.DUMMYFUNCTION("""COMPUTED_VALUE"""),"Argyle")</f>
        <v>Argyle</v>
      </c>
    </row>
    <row r="144">
      <c r="A144" s="5" t="s">
        <v>266</v>
      </c>
      <c r="B144" s="5" t="s">
        <v>267</v>
      </c>
      <c r="C144" s="5" t="s">
        <v>13</v>
      </c>
      <c r="D144" s="5" t="s">
        <v>227</v>
      </c>
      <c r="E144" s="5" t="s">
        <v>268</v>
      </c>
      <c r="F144" s="5" t="s">
        <v>269</v>
      </c>
      <c r="G144" s="5" t="s">
        <v>133</v>
      </c>
      <c r="H144" s="5" t="s">
        <v>18</v>
      </c>
      <c r="I144" s="17" t="s">
        <v>10322</v>
      </c>
      <c r="K144" s="5" t="str">
        <f>IFERROR(__xludf.DUMMYFUNCTION("""COMPUTED_VALUE"""),"PwC")</f>
        <v>PwC</v>
      </c>
      <c r="L144" s="5" t="str">
        <f>IFERROR(__xludf.DUMMYFUNCTION("""COMPUTED_VALUE"""),"Hoboken")</f>
        <v>Hoboken</v>
      </c>
    </row>
    <row r="145">
      <c r="A145" s="5" t="s">
        <v>271</v>
      </c>
      <c r="B145" s="5" t="s">
        <v>272</v>
      </c>
      <c r="C145" s="5" t="s">
        <v>13</v>
      </c>
      <c r="D145" s="5" t="s">
        <v>227</v>
      </c>
      <c r="E145" s="5" t="s">
        <v>237</v>
      </c>
      <c r="F145" s="5" t="s">
        <v>273</v>
      </c>
      <c r="G145" s="5" t="s">
        <v>17</v>
      </c>
      <c r="H145" s="5" t="s">
        <v>18</v>
      </c>
      <c r="I145" s="7" t="s">
        <v>274</v>
      </c>
      <c r="K145" s="5" t="str">
        <f>IFERROR(__xludf.DUMMYFUNCTION("""COMPUTED_VALUE"""),"Progressive Insurance")</f>
        <v>Progressive Insurance</v>
      </c>
      <c r="L145" s="5" t="str">
        <f>IFERROR(__xludf.DUMMYFUNCTION("""COMPUTED_VALUE"""),"Cincinnati")</f>
        <v>Cincinnati</v>
      </c>
    </row>
    <row r="146">
      <c r="A146" s="5" t="s">
        <v>275</v>
      </c>
      <c r="B146" s="5" t="s">
        <v>276</v>
      </c>
      <c r="C146" s="5" t="s">
        <v>13</v>
      </c>
      <c r="D146" s="5" t="s">
        <v>227</v>
      </c>
      <c r="E146" s="5" t="s">
        <v>277</v>
      </c>
      <c r="F146" s="5" t="s">
        <v>132</v>
      </c>
      <c r="G146" s="5" t="s">
        <v>133</v>
      </c>
      <c r="H146" s="5" t="s">
        <v>18</v>
      </c>
      <c r="I146" s="7" t="s">
        <v>278</v>
      </c>
      <c r="K146" s="5" t="str">
        <f>IFERROR(__xludf.DUMMYFUNCTION("""COMPUTED_VALUE"""),"Protiviti")</f>
        <v>Protiviti</v>
      </c>
      <c r="L146" s="5" t="str">
        <f>IFERROR(__xludf.DUMMYFUNCTION("""COMPUTED_VALUE"""),"Fairfax Station")</f>
        <v>Fairfax Station</v>
      </c>
    </row>
    <row r="147">
      <c r="A147" s="5" t="s">
        <v>279</v>
      </c>
      <c r="B147" s="5" t="s">
        <v>110</v>
      </c>
      <c r="C147" s="5" t="s">
        <v>13</v>
      </c>
      <c r="D147" s="5" t="s">
        <v>227</v>
      </c>
      <c r="E147" s="5" t="s">
        <v>237</v>
      </c>
      <c r="F147" s="5" t="s">
        <v>132</v>
      </c>
      <c r="G147" s="5" t="s">
        <v>133</v>
      </c>
      <c r="H147" s="5" t="s">
        <v>18</v>
      </c>
      <c r="I147" s="7" t="s">
        <v>280</v>
      </c>
      <c r="K147" s="5" t="str">
        <f>IFERROR(__xludf.DUMMYFUNCTION("""COMPUTED_VALUE"""),"Qualtrics")</f>
        <v>Qualtrics</v>
      </c>
      <c r="L147" s="5" t="str">
        <f>IFERROR(__xludf.DUMMYFUNCTION("""COMPUTED_VALUE"""),"Franklin Lakes")</f>
        <v>Franklin Lakes</v>
      </c>
    </row>
    <row r="148">
      <c r="A148" s="5" t="s">
        <v>281</v>
      </c>
      <c r="B148" s="5" t="s">
        <v>282</v>
      </c>
      <c r="C148" s="5" t="s">
        <v>13</v>
      </c>
      <c r="D148" s="5" t="s">
        <v>227</v>
      </c>
      <c r="E148" s="5" t="s">
        <v>283</v>
      </c>
      <c r="F148" s="5" t="s">
        <v>132</v>
      </c>
      <c r="G148" s="5" t="s">
        <v>133</v>
      </c>
      <c r="H148" s="5" t="s">
        <v>18</v>
      </c>
      <c r="I148" s="7" t="s">
        <v>284</v>
      </c>
      <c r="K148" s="5" t="str">
        <f>IFERROR(__xludf.DUMMYFUNCTION("""COMPUTED_VALUE"""),"Randstad")</f>
        <v>Randstad</v>
      </c>
      <c r="L148" s="5" t="str">
        <f>IFERROR(__xludf.DUMMYFUNCTION("""COMPUTED_VALUE"""),"Greenville")</f>
        <v>Greenville</v>
      </c>
    </row>
    <row r="149">
      <c r="A149" s="5" t="s">
        <v>285</v>
      </c>
      <c r="B149" s="5" t="s">
        <v>286</v>
      </c>
      <c r="C149" s="5" t="s">
        <v>13</v>
      </c>
      <c r="D149" s="5" t="s">
        <v>227</v>
      </c>
      <c r="E149" s="5" t="s">
        <v>237</v>
      </c>
      <c r="F149" s="5" t="s">
        <v>287</v>
      </c>
      <c r="G149" s="5" t="s">
        <v>137</v>
      </c>
      <c r="H149" s="5" t="s">
        <v>18</v>
      </c>
      <c r="I149" s="7" t="s">
        <v>288</v>
      </c>
      <c r="K149" s="5" t="str">
        <f>IFERROR(__xludf.DUMMYFUNCTION("""COMPUTED_VALUE"""),"Raytheon")</f>
        <v>Raytheon</v>
      </c>
      <c r="L149" s="5" t="str">
        <f>IFERROR(__xludf.DUMMYFUNCTION("""COMPUTED_VALUE"""),"Harrisburg")</f>
        <v>Harrisburg</v>
      </c>
    </row>
    <row r="150">
      <c r="A150" s="5" t="s">
        <v>289</v>
      </c>
      <c r="B150" s="5" t="s">
        <v>290</v>
      </c>
      <c r="C150" s="5" t="s">
        <v>13</v>
      </c>
      <c r="D150" s="5" t="s">
        <v>227</v>
      </c>
      <c r="E150" s="5" t="s">
        <v>237</v>
      </c>
      <c r="F150" s="5" t="s">
        <v>291</v>
      </c>
      <c r="G150" s="5" t="s">
        <v>44</v>
      </c>
      <c r="H150" s="5" t="s">
        <v>18</v>
      </c>
      <c r="I150" s="7" t="s">
        <v>292</v>
      </c>
      <c r="K150" s="5" t="str">
        <f>IFERROR(__xludf.DUMMYFUNCTION("""COMPUTED_VALUE"""),"RBC")</f>
        <v>RBC</v>
      </c>
      <c r="L150" s="5" t="str">
        <f>IFERROR(__xludf.DUMMYFUNCTION("""COMPUTED_VALUE"""),"Huntsville")</f>
        <v>Huntsville</v>
      </c>
    </row>
    <row r="151">
      <c r="A151" s="5" t="s">
        <v>293</v>
      </c>
      <c r="B151" s="5" t="s">
        <v>294</v>
      </c>
      <c r="C151" s="5" t="s">
        <v>13</v>
      </c>
      <c r="D151" s="5" t="s">
        <v>227</v>
      </c>
      <c r="E151" s="5" t="s">
        <v>237</v>
      </c>
      <c r="F151" s="5" t="s">
        <v>295</v>
      </c>
      <c r="G151" s="5" t="s">
        <v>154</v>
      </c>
      <c r="H151" s="5" t="s">
        <v>18</v>
      </c>
      <c r="I151" s="7" t="s">
        <v>10323</v>
      </c>
      <c r="K151" s="5" t="str">
        <f>IFERROR(__xludf.DUMMYFUNCTION("""COMPUTED_VALUE"""),"Rio Tinto")</f>
        <v>Rio Tinto</v>
      </c>
      <c r="L151" s="5" t="str">
        <f>IFERROR(__xludf.DUMMYFUNCTION("""COMPUTED_VALUE"""),"Leawood")</f>
        <v>Leawood</v>
      </c>
    </row>
    <row r="152">
      <c r="A152" s="5" t="s">
        <v>297</v>
      </c>
      <c r="B152" s="5" t="s">
        <v>298</v>
      </c>
      <c r="C152" s="5" t="s">
        <v>13</v>
      </c>
      <c r="D152" s="5" t="s">
        <v>227</v>
      </c>
      <c r="E152" s="5" t="s">
        <v>237</v>
      </c>
      <c r="F152" s="5" t="s">
        <v>299</v>
      </c>
      <c r="G152" s="5" t="s">
        <v>44</v>
      </c>
      <c r="H152" s="5" t="s">
        <v>18</v>
      </c>
      <c r="I152" s="7" t="s">
        <v>10324</v>
      </c>
      <c r="K152" s="5" t="str">
        <f>IFERROR(__xludf.DUMMYFUNCTION("""COMPUTED_VALUE"""),"Robinhood")</f>
        <v>Robinhood</v>
      </c>
      <c r="L152" s="5" t="str">
        <f>IFERROR(__xludf.DUMMYFUNCTION("""COMPUTED_VALUE"""),"Memphis")</f>
        <v>Memphis</v>
      </c>
    </row>
    <row r="153">
      <c r="A153" s="5" t="s">
        <v>301</v>
      </c>
      <c r="B153" s="5" t="s">
        <v>302</v>
      </c>
      <c r="C153" s="5" t="s">
        <v>13</v>
      </c>
      <c r="D153" s="5" t="s">
        <v>227</v>
      </c>
      <c r="E153" s="5" t="s">
        <v>233</v>
      </c>
      <c r="F153" s="5" t="s">
        <v>166</v>
      </c>
      <c r="G153" s="5" t="s">
        <v>44</v>
      </c>
      <c r="H153" s="5" t="s">
        <v>18</v>
      </c>
      <c r="I153" s="7" t="s">
        <v>303</v>
      </c>
      <c r="K153" s="5" t="str">
        <f>IFERROR(__xludf.DUMMYFUNCTION("""COMPUTED_VALUE"""),"Royal Bank of Scotland")</f>
        <v>Royal Bank of Scotland</v>
      </c>
      <c r="L153" s="5" t="str">
        <f>IFERROR(__xludf.DUMMYFUNCTION("""COMPUTED_VALUE"""),"Meriden")</f>
        <v>Meriden</v>
      </c>
    </row>
    <row r="154">
      <c r="A154" s="5" t="s">
        <v>304</v>
      </c>
      <c r="B154" s="5" t="s">
        <v>305</v>
      </c>
      <c r="C154" s="5" t="s">
        <v>13</v>
      </c>
      <c r="D154" s="5" t="s">
        <v>227</v>
      </c>
      <c r="E154" s="5" t="s">
        <v>233</v>
      </c>
      <c r="F154" s="5" t="s">
        <v>166</v>
      </c>
      <c r="G154" s="5" t="s">
        <v>44</v>
      </c>
      <c r="H154" s="5" t="s">
        <v>18</v>
      </c>
      <c r="I154" s="7" t="s">
        <v>306</v>
      </c>
      <c r="K154" s="5" t="str">
        <f>IFERROR(__xludf.DUMMYFUNCTION("""COMPUTED_VALUE"""),"RSM Canada")</f>
        <v>RSM Canada</v>
      </c>
      <c r="L154" s="5" t="str">
        <f>IFERROR(__xludf.DUMMYFUNCTION("""COMPUTED_VALUE"""),"Morristown")</f>
        <v>Morristown</v>
      </c>
    </row>
    <row r="155">
      <c r="A155" s="5" t="s">
        <v>307</v>
      </c>
      <c r="B155" s="5" t="s">
        <v>308</v>
      </c>
      <c r="C155" s="5" t="s">
        <v>4</v>
      </c>
      <c r="D155" s="5" t="s">
        <v>227</v>
      </c>
      <c r="E155" s="5" t="s">
        <v>165</v>
      </c>
      <c r="F155" s="5" t="s">
        <v>166</v>
      </c>
      <c r="G155" s="5" t="s">
        <v>44</v>
      </c>
      <c r="H155" s="5" t="s">
        <v>18</v>
      </c>
      <c r="I155" s="17" t="s">
        <v>10325</v>
      </c>
      <c r="K155" s="5" t="str">
        <f>IFERROR(__xludf.DUMMYFUNCTION("""COMPUTED_VALUE"""),"RSM US LLP")</f>
        <v>RSM US LLP</v>
      </c>
      <c r="L155" s="5" t="str">
        <f>IFERROR(__xludf.DUMMYFUNCTION("""COMPUTED_VALUE"""),"Munster")</f>
        <v>Munster</v>
      </c>
    </row>
    <row r="156">
      <c r="A156" s="5" t="s">
        <v>310</v>
      </c>
      <c r="B156" s="5" t="s">
        <v>110</v>
      </c>
      <c r="C156" s="5" t="s">
        <v>13</v>
      </c>
      <c r="D156" s="5" t="s">
        <v>227</v>
      </c>
      <c r="E156" s="5" t="s">
        <v>79</v>
      </c>
      <c r="F156" s="5" t="s">
        <v>311</v>
      </c>
      <c r="G156" s="5" t="s">
        <v>102</v>
      </c>
      <c r="H156" s="5" t="s">
        <v>18</v>
      </c>
      <c r="I156" s="7" t="s">
        <v>312</v>
      </c>
      <c r="K156" s="5" t="str">
        <f>IFERROR(__xludf.DUMMYFUNCTION("""COMPUTED_VALUE"""),"Salesforce")</f>
        <v>Salesforce</v>
      </c>
      <c r="L156" s="5" t="str">
        <f>IFERROR(__xludf.DUMMYFUNCTION("""COMPUTED_VALUE"""),"Norwalk")</f>
        <v>Norwalk</v>
      </c>
    </row>
    <row r="157">
      <c r="A157" s="5" t="s">
        <v>313</v>
      </c>
      <c r="B157" s="5" t="s">
        <v>110</v>
      </c>
      <c r="C157" s="5" t="s">
        <v>13</v>
      </c>
      <c r="D157" s="5" t="s">
        <v>227</v>
      </c>
      <c r="E157" s="5" t="s">
        <v>314</v>
      </c>
      <c r="F157" s="5" t="s">
        <v>311</v>
      </c>
      <c r="G157" s="5" t="s">
        <v>102</v>
      </c>
      <c r="H157" s="5" t="s">
        <v>18</v>
      </c>
      <c r="I157" s="7" t="s">
        <v>315</v>
      </c>
      <c r="K157" s="5" t="str">
        <f>IFERROR(__xludf.DUMMYFUNCTION("""COMPUTED_VALUE"""),"Sanofi")</f>
        <v>Sanofi</v>
      </c>
      <c r="L157" s="5" t="str">
        <f>IFERROR(__xludf.DUMMYFUNCTION("""COMPUTED_VALUE"""),"Omaha")</f>
        <v>Omaha</v>
      </c>
    </row>
    <row r="158">
      <c r="A158" s="5" t="s">
        <v>316</v>
      </c>
      <c r="B158" s="5" t="s">
        <v>256</v>
      </c>
      <c r="C158" s="5" t="s">
        <v>13</v>
      </c>
      <c r="D158" s="5" t="s">
        <v>227</v>
      </c>
      <c r="E158" s="5" t="s">
        <v>228</v>
      </c>
      <c r="F158" s="5" t="s">
        <v>311</v>
      </c>
      <c r="G158" s="5" t="s">
        <v>102</v>
      </c>
      <c r="H158" s="5" t="s">
        <v>18</v>
      </c>
      <c r="I158" s="7" t="s">
        <v>317</v>
      </c>
      <c r="K158" s="5" t="str">
        <f>IFERROR(__xludf.DUMMYFUNCTION("""COMPUTED_VALUE"""),"SAP")</f>
        <v>SAP</v>
      </c>
      <c r="L158" s="5" t="str">
        <f>IFERROR(__xludf.DUMMYFUNCTION("""COMPUTED_VALUE"""),"Orange County")</f>
        <v>Orange County</v>
      </c>
    </row>
    <row r="159">
      <c r="A159" s="5" t="s">
        <v>318</v>
      </c>
      <c r="B159" s="5" t="s">
        <v>319</v>
      </c>
      <c r="C159" s="5" t="s">
        <v>13</v>
      </c>
      <c r="D159" s="5" t="s">
        <v>227</v>
      </c>
      <c r="E159" s="5" t="s">
        <v>26</v>
      </c>
      <c r="F159" s="5" t="s">
        <v>311</v>
      </c>
      <c r="G159" s="5" t="s">
        <v>102</v>
      </c>
      <c r="H159" s="5" t="s">
        <v>18</v>
      </c>
      <c r="I159" s="7" t="s">
        <v>320</v>
      </c>
      <c r="K159" s="5" t="str">
        <f>IFERROR(__xludf.DUMMYFUNCTION("""COMPUTED_VALUE"""),"SAS")</f>
        <v>SAS</v>
      </c>
      <c r="L159" s="5" t="str">
        <f>IFERROR(__xludf.DUMMYFUNCTION("""COMPUTED_VALUE"""),"Orlando")</f>
        <v>Orlando</v>
      </c>
    </row>
    <row r="160">
      <c r="A160" s="5" t="s">
        <v>321</v>
      </c>
      <c r="B160" s="5" t="s">
        <v>110</v>
      </c>
      <c r="C160" s="5" t="s">
        <v>13</v>
      </c>
      <c r="D160" s="5" t="s">
        <v>227</v>
      </c>
      <c r="E160" s="5" t="s">
        <v>322</v>
      </c>
      <c r="F160" s="5" t="s">
        <v>311</v>
      </c>
      <c r="G160" s="5" t="s">
        <v>102</v>
      </c>
      <c r="H160" s="5" t="s">
        <v>18</v>
      </c>
      <c r="I160" s="7" t="s">
        <v>323</v>
      </c>
      <c r="K160" s="5" t="str">
        <f>IFERROR(__xludf.DUMMYFUNCTION("""COMPUTED_VALUE"""),"Schlumberger")</f>
        <v>Schlumberger</v>
      </c>
      <c r="L160" s="5" t="str">
        <f>IFERROR(__xludf.DUMMYFUNCTION("""COMPUTED_VALUE"""),"Paramus")</f>
        <v>Paramus</v>
      </c>
    </row>
    <row r="161">
      <c r="A161" s="5" t="s">
        <v>324</v>
      </c>
      <c r="B161" s="5" t="s">
        <v>325</v>
      </c>
      <c r="C161" s="5" t="s">
        <v>13</v>
      </c>
      <c r="D161" s="5" t="s">
        <v>227</v>
      </c>
      <c r="E161" s="5" t="s">
        <v>228</v>
      </c>
      <c r="F161" s="5" t="s">
        <v>311</v>
      </c>
      <c r="G161" s="5" t="s">
        <v>102</v>
      </c>
      <c r="H161" s="5" t="s">
        <v>18</v>
      </c>
      <c r="I161" s="17" t="s">
        <v>10326</v>
      </c>
      <c r="K161" s="5" t="str">
        <f>IFERROR(__xludf.DUMMYFUNCTION("""COMPUTED_VALUE"""),"Scotiabank")</f>
        <v>Scotiabank</v>
      </c>
      <c r="L161" s="5" t="str">
        <f>IFERROR(__xludf.DUMMYFUNCTION("""COMPUTED_VALUE"""),"Portland")</f>
        <v>Portland</v>
      </c>
    </row>
    <row r="162">
      <c r="A162" s="5" t="s">
        <v>327</v>
      </c>
      <c r="B162" s="5" t="s">
        <v>328</v>
      </c>
      <c r="C162" s="5" t="s">
        <v>13</v>
      </c>
      <c r="D162" s="5" t="s">
        <v>227</v>
      </c>
      <c r="E162" s="5" t="s">
        <v>188</v>
      </c>
      <c r="F162" s="5" t="s">
        <v>311</v>
      </c>
      <c r="G162" s="5" t="s">
        <v>102</v>
      </c>
      <c r="H162" s="5" t="s">
        <v>18</v>
      </c>
      <c r="I162" s="7" t="s">
        <v>329</v>
      </c>
      <c r="K162" s="5" t="str">
        <f>IFERROR(__xludf.DUMMYFUNCTION("""COMPUTED_VALUE"""),"Shell")</f>
        <v>Shell</v>
      </c>
      <c r="L162" s="5" t="str">
        <f>IFERROR(__xludf.DUMMYFUNCTION("""COMPUTED_VALUE"""),"Provo")</f>
        <v>Provo</v>
      </c>
    </row>
    <row r="163">
      <c r="A163" s="5" t="s">
        <v>330</v>
      </c>
      <c r="B163" s="5" t="s">
        <v>110</v>
      </c>
      <c r="C163" s="5" t="s">
        <v>13</v>
      </c>
      <c r="D163" s="5" t="s">
        <v>227</v>
      </c>
      <c r="E163" s="5" t="s">
        <v>331</v>
      </c>
      <c r="F163" s="5" t="s">
        <v>311</v>
      </c>
      <c r="G163" s="5" t="s">
        <v>102</v>
      </c>
      <c r="H163" s="5" t="s">
        <v>18</v>
      </c>
      <c r="I163" s="7" t="s">
        <v>332</v>
      </c>
      <c r="K163" s="5" t="str">
        <f>IFERROR(__xludf.DUMMYFUNCTION("""COMPUTED_VALUE"""),"Shopify")</f>
        <v>Shopify</v>
      </c>
      <c r="L163" s="5" t="str">
        <f>IFERROR(__xludf.DUMMYFUNCTION("""COMPUTED_VALUE"""),"Royal Oak")</f>
        <v>Royal Oak</v>
      </c>
    </row>
    <row r="164">
      <c r="A164" s="5" t="s">
        <v>333</v>
      </c>
      <c r="B164" s="5" t="s">
        <v>256</v>
      </c>
      <c r="C164" s="5" t="s">
        <v>13</v>
      </c>
      <c r="D164" s="5" t="s">
        <v>227</v>
      </c>
      <c r="E164" s="5" t="s">
        <v>228</v>
      </c>
      <c r="F164" s="5" t="s">
        <v>311</v>
      </c>
      <c r="G164" s="5" t="s">
        <v>102</v>
      </c>
      <c r="H164" s="5" t="s">
        <v>18</v>
      </c>
      <c r="I164" s="7" t="s">
        <v>334</v>
      </c>
      <c r="K164" s="5" t="str">
        <f>IFERROR(__xludf.DUMMYFUNCTION("""COMPUTED_VALUE"""),"Siemens")</f>
        <v>Siemens</v>
      </c>
      <c r="L164" s="5" t="str">
        <f>IFERROR(__xludf.DUMMYFUNCTION("""COMPUTED_VALUE"""),"Scottsdale")</f>
        <v>Scottsdale</v>
      </c>
    </row>
    <row r="165">
      <c r="A165" s="5" t="s">
        <v>335</v>
      </c>
      <c r="B165" s="5" t="s">
        <v>110</v>
      </c>
      <c r="C165" s="5" t="s">
        <v>13</v>
      </c>
      <c r="D165" s="5" t="s">
        <v>227</v>
      </c>
      <c r="E165" s="5" t="s">
        <v>228</v>
      </c>
      <c r="F165" s="5" t="s">
        <v>311</v>
      </c>
      <c r="G165" s="5" t="s">
        <v>102</v>
      </c>
      <c r="H165" s="5" t="s">
        <v>18</v>
      </c>
      <c r="I165" s="7" t="s">
        <v>336</v>
      </c>
      <c r="K165" s="5" t="str">
        <f>IFERROR(__xludf.DUMMYFUNCTION("""COMPUTED_VALUE"""),"Simon Fraser University")</f>
        <v>Simon Fraser University</v>
      </c>
      <c r="L165" s="5" t="str">
        <f>IFERROR(__xludf.DUMMYFUNCTION("""COMPUTED_VALUE"""),"St Paul")</f>
        <v>St Paul</v>
      </c>
    </row>
    <row r="166">
      <c r="A166" s="5" t="s">
        <v>337</v>
      </c>
      <c r="B166" s="5" t="s">
        <v>338</v>
      </c>
      <c r="C166" s="5" t="s">
        <v>13</v>
      </c>
      <c r="D166" s="5" t="s">
        <v>227</v>
      </c>
      <c r="E166" s="5" t="s">
        <v>339</v>
      </c>
      <c r="F166" s="5" t="s">
        <v>311</v>
      </c>
      <c r="G166" s="5" t="s">
        <v>102</v>
      </c>
      <c r="H166" s="5" t="s">
        <v>18</v>
      </c>
      <c r="I166" s="7" t="s">
        <v>10327</v>
      </c>
      <c r="K166" s="5" t="str">
        <f>IFERROR(__xludf.DUMMYFUNCTION("""COMPUTED_VALUE"""),"SOTI")</f>
        <v>SOTI</v>
      </c>
      <c r="L166" s="5" t="str">
        <f>IFERROR(__xludf.DUMMYFUNCTION("""COMPUTED_VALUE"""),"Summit")</f>
        <v>Summit</v>
      </c>
    </row>
    <row r="167">
      <c r="A167" s="5" t="s">
        <v>341</v>
      </c>
      <c r="B167" s="5" t="s">
        <v>342</v>
      </c>
      <c r="C167" s="5" t="s">
        <v>13</v>
      </c>
      <c r="D167" s="5" t="s">
        <v>227</v>
      </c>
      <c r="E167" s="5" t="s">
        <v>26</v>
      </c>
      <c r="F167" s="5" t="s">
        <v>311</v>
      </c>
      <c r="G167" s="5" t="s">
        <v>102</v>
      </c>
      <c r="H167" s="5" t="s">
        <v>18</v>
      </c>
      <c r="I167" s="7" t="s">
        <v>343</v>
      </c>
      <c r="K167" s="5" t="str">
        <f>IFERROR(__xludf.DUMMYFUNCTION("""COMPUTED_VALUE"""),"State Farm")</f>
        <v>State Farm</v>
      </c>
      <c r="L167" s="5" t="str">
        <f>IFERROR(__xludf.DUMMYFUNCTION("""COMPUTED_VALUE"""),"Troy")</f>
        <v>Troy</v>
      </c>
    </row>
    <row r="168">
      <c r="A168" s="5" t="s">
        <v>344</v>
      </c>
      <c r="B168" s="5" t="s">
        <v>325</v>
      </c>
      <c r="C168" s="5" t="s">
        <v>13</v>
      </c>
      <c r="D168" s="5" t="s">
        <v>227</v>
      </c>
      <c r="E168" s="5" t="s">
        <v>345</v>
      </c>
      <c r="F168" s="5" t="s">
        <v>311</v>
      </c>
      <c r="G168" s="5" t="s">
        <v>102</v>
      </c>
      <c r="H168" s="5" t="s">
        <v>18</v>
      </c>
      <c r="I168" s="17" t="s">
        <v>10328</v>
      </c>
      <c r="K168" s="5" t="str">
        <f>IFERROR(__xludf.DUMMYFUNCTION("""COMPUTED_VALUE"""),"Steelcase")</f>
        <v>Steelcase</v>
      </c>
      <c r="L168" s="5" t="str">
        <f>IFERROR(__xludf.DUMMYFUNCTION("""COMPUTED_VALUE"""),"Brownsburg")</f>
        <v>Brownsburg</v>
      </c>
    </row>
    <row r="169">
      <c r="A169" s="5" t="s">
        <v>347</v>
      </c>
      <c r="B169" s="5" t="s">
        <v>348</v>
      </c>
      <c r="C169" s="5" t="s">
        <v>13</v>
      </c>
      <c r="D169" s="5" t="s">
        <v>227</v>
      </c>
      <c r="E169" s="5" t="s">
        <v>228</v>
      </c>
      <c r="F169" s="5" t="s">
        <v>311</v>
      </c>
      <c r="G169" s="5" t="s">
        <v>102</v>
      </c>
      <c r="H169" s="5" t="s">
        <v>18</v>
      </c>
      <c r="I169" s="17" t="s">
        <v>10329</v>
      </c>
      <c r="K169" s="5" t="str">
        <f>IFERROR(__xludf.DUMMYFUNCTION("""COMPUTED_VALUE"""),"Stewart McKelvey")</f>
        <v>Stewart McKelvey</v>
      </c>
      <c r="L169" s="5" t="str">
        <f>IFERROR(__xludf.DUMMYFUNCTION("""COMPUTED_VALUE"""),"Costa Mesa")</f>
        <v>Costa Mesa</v>
      </c>
    </row>
    <row r="170">
      <c r="A170" s="5" t="s">
        <v>350</v>
      </c>
      <c r="B170" s="5" t="s">
        <v>110</v>
      </c>
      <c r="C170" s="5" t="s">
        <v>13</v>
      </c>
      <c r="D170" s="5" t="s">
        <v>227</v>
      </c>
      <c r="E170" s="5" t="s">
        <v>351</v>
      </c>
      <c r="F170" s="5" t="s">
        <v>311</v>
      </c>
      <c r="G170" s="5" t="s">
        <v>102</v>
      </c>
      <c r="H170" s="5" t="s">
        <v>18</v>
      </c>
      <c r="I170" s="7" t="s">
        <v>352</v>
      </c>
      <c r="K170" s="5" t="str">
        <f>IFERROR(__xludf.DUMMYFUNCTION("""COMPUTED_VALUE"""),"Stikeman Elliott LLP")</f>
        <v>Stikeman Elliott LLP</v>
      </c>
      <c r="L170" s="5" t="str">
        <f>IFERROR(__xludf.DUMMYFUNCTION("""COMPUTED_VALUE"""),"Englishtown")</f>
        <v>Englishtown</v>
      </c>
    </row>
    <row r="171">
      <c r="A171" s="5" t="s">
        <v>353</v>
      </c>
      <c r="B171" s="5" t="s">
        <v>348</v>
      </c>
      <c r="C171" s="5" t="s">
        <v>13</v>
      </c>
      <c r="D171" s="5" t="s">
        <v>227</v>
      </c>
      <c r="E171" s="5" t="s">
        <v>354</v>
      </c>
      <c r="F171" s="5" t="s">
        <v>311</v>
      </c>
      <c r="G171" s="5" t="s">
        <v>102</v>
      </c>
      <c r="H171" s="5" t="s">
        <v>18</v>
      </c>
      <c r="I171" s="17" t="s">
        <v>10330</v>
      </c>
      <c r="K171" s="5" t="str">
        <f>IFERROR(__xludf.DUMMYFUNCTION("""COMPUTED_VALUE"""),"Stripe")</f>
        <v>Stripe</v>
      </c>
      <c r="L171" s="5" t="str">
        <f>IFERROR(__xludf.DUMMYFUNCTION("""COMPUTED_VALUE"""),"Hartford")</f>
        <v>Hartford</v>
      </c>
    </row>
    <row r="172">
      <c r="A172" s="5" t="s">
        <v>356</v>
      </c>
      <c r="B172" s="5" t="s">
        <v>110</v>
      </c>
      <c r="C172" s="5" t="s">
        <v>13</v>
      </c>
      <c r="D172" s="5" t="s">
        <v>227</v>
      </c>
      <c r="E172" s="5" t="s">
        <v>228</v>
      </c>
      <c r="F172" s="5" t="s">
        <v>311</v>
      </c>
      <c r="G172" s="5" t="s">
        <v>102</v>
      </c>
      <c r="H172" s="5" t="s">
        <v>18</v>
      </c>
      <c r="I172" s="7" t="s">
        <v>357</v>
      </c>
      <c r="K172" s="5" t="str">
        <f>IFERROR(__xludf.DUMMYFUNCTION("""COMPUTED_VALUE"""),"Stryker")</f>
        <v>Stryker</v>
      </c>
      <c r="L172" s="5" t="str">
        <f>IFERROR(__xludf.DUMMYFUNCTION("""COMPUTED_VALUE"""),"Hubertus")</f>
        <v>Hubertus</v>
      </c>
    </row>
    <row r="173">
      <c r="A173" s="5" t="s">
        <v>358</v>
      </c>
      <c r="B173" s="5" t="s">
        <v>110</v>
      </c>
      <c r="C173" s="5" t="s">
        <v>13</v>
      </c>
      <c r="D173" s="5" t="s">
        <v>227</v>
      </c>
      <c r="E173" s="5" t="s">
        <v>351</v>
      </c>
      <c r="F173" s="5" t="s">
        <v>311</v>
      </c>
      <c r="G173" s="5" t="s">
        <v>102</v>
      </c>
      <c r="H173" s="5" t="s">
        <v>18</v>
      </c>
      <c r="I173" s="7" t="s">
        <v>359</v>
      </c>
      <c r="K173" s="5" t="str">
        <f>IFERROR(__xludf.DUMMYFUNCTION("""COMPUTED_VALUE"""),"Sun Life Financial")</f>
        <v>Sun Life Financial</v>
      </c>
      <c r="L173" s="5" t="str">
        <f>IFERROR(__xludf.DUMMYFUNCTION("""COMPUTED_VALUE"""),"Sterling")</f>
        <v>Sterling</v>
      </c>
    </row>
    <row r="174">
      <c r="A174" s="5" t="s">
        <v>360</v>
      </c>
      <c r="B174" s="5" t="s">
        <v>361</v>
      </c>
      <c r="C174" s="5" t="s">
        <v>13</v>
      </c>
      <c r="D174" s="5" t="s">
        <v>227</v>
      </c>
      <c r="E174" s="5" t="s">
        <v>26</v>
      </c>
      <c r="F174" s="5" t="s">
        <v>311</v>
      </c>
      <c r="G174" s="5" t="s">
        <v>102</v>
      </c>
      <c r="H174" s="5" t="s">
        <v>18</v>
      </c>
      <c r="I174" s="7" t="s">
        <v>362</v>
      </c>
      <c r="K174" s="5" t="str">
        <f>IFERROR(__xludf.DUMMYFUNCTION("""COMPUTED_VALUE"""),"Suncor Energy")</f>
        <v>Suncor Energy</v>
      </c>
      <c r="L174" s="5" t="str">
        <f>IFERROR(__xludf.DUMMYFUNCTION("""COMPUTED_VALUE"""),"Fanwood")</f>
        <v>Fanwood</v>
      </c>
    </row>
    <row r="175">
      <c r="A175" s="5" t="s">
        <v>363</v>
      </c>
      <c r="B175" s="5" t="s">
        <v>364</v>
      </c>
      <c r="C175" s="5" t="s">
        <v>13</v>
      </c>
      <c r="D175" s="5" t="s">
        <v>227</v>
      </c>
      <c r="E175" s="5" t="s">
        <v>365</v>
      </c>
      <c r="F175" s="5" t="s">
        <v>311</v>
      </c>
      <c r="G175" s="5" t="s">
        <v>102</v>
      </c>
      <c r="H175" s="5" t="s">
        <v>18</v>
      </c>
      <c r="I175" s="17" t="s">
        <v>10331</v>
      </c>
      <c r="K175" s="5" t="str">
        <f>IFERROR(__xludf.DUMMYFUNCTION("""COMPUTED_VALUE"""),"T-Mobile")</f>
        <v>T-Mobile</v>
      </c>
      <c r="L175" s="5" t="str">
        <f>IFERROR(__xludf.DUMMYFUNCTION("""COMPUTED_VALUE"""),"Secaucus")</f>
        <v>Secaucus</v>
      </c>
    </row>
    <row r="176">
      <c r="A176" s="5" t="s">
        <v>367</v>
      </c>
      <c r="B176" s="5" t="s">
        <v>110</v>
      </c>
      <c r="C176" s="5" t="s">
        <v>13</v>
      </c>
      <c r="D176" s="5" t="s">
        <v>227</v>
      </c>
      <c r="E176" s="5" t="s">
        <v>228</v>
      </c>
      <c r="F176" s="5" t="s">
        <v>368</v>
      </c>
      <c r="G176" s="5" t="s">
        <v>91</v>
      </c>
      <c r="H176" s="5" t="s">
        <v>18</v>
      </c>
      <c r="I176" s="7" t="s">
        <v>369</v>
      </c>
      <c r="K176" s="5" t="str">
        <f>IFERROR(__xludf.DUMMYFUNCTION("""COMPUTED_VALUE"""),"TAFE NSW")</f>
        <v>TAFE NSW</v>
      </c>
      <c r="L176" s="5" t="str">
        <f>IFERROR(__xludf.DUMMYFUNCTION("""COMPUTED_VALUE"""),"Edmonton")</f>
        <v>Edmonton</v>
      </c>
    </row>
    <row r="177">
      <c r="A177" s="5" t="s">
        <v>370</v>
      </c>
      <c r="B177" s="5" t="s">
        <v>371</v>
      </c>
      <c r="C177" s="5" t="s">
        <v>13</v>
      </c>
      <c r="D177" s="5" t="s">
        <v>227</v>
      </c>
      <c r="E177" s="5" t="s">
        <v>144</v>
      </c>
      <c r="F177" s="5" t="s">
        <v>372</v>
      </c>
      <c r="G177" s="5" t="s">
        <v>86</v>
      </c>
      <c r="H177" s="5" t="s">
        <v>18</v>
      </c>
      <c r="I177" s="7" t="s">
        <v>373</v>
      </c>
      <c r="K177" s="5" t="str">
        <f>IFERROR(__xludf.DUMMYFUNCTION("""COMPUTED_VALUE"""),"Target")</f>
        <v>Target</v>
      </c>
      <c r="L177" s="5" t="str">
        <f>IFERROR(__xludf.DUMMYFUNCTION("""COMPUTED_VALUE"""),"Jacksonville")</f>
        <v>Jacksonville</v>
      </c>
    </row>
    <row r="178">
      <c r="A178" s="5" t="s">
        <v>374</v>
      </c>
      <c r="B178" s="5" t="s">
        <v>375</v>
      </c>
      <c r="C178" s="5" t="s">
        <v>13</v>
      </c>
      <c r="D178" s="5" t="s">
        <v>227</v>
      </c>
      <c r="E178" s="5" t="s">
        <v>376</v>
      </c>
      <c r="F178" s="5" t="s">
        <v>377</v>
      </c>
      <c r="G178" s="5" t="s">
        <v>378</v>
      </c>
      <c r="H178" s="5" t="s">
        <v>18</v>
      </c>
      <c r="I178" s="7" t="s">
        <v>379</v>
      </c>
      <c r="K178" s="5" t="str">
        <f>IFERROR(__xludf.DUMMYFUNCTION("""COMPUTED_VALUE"""),"Tata Consultancy Services")</f>
        <v>Tata Consultancy Services</v>
      </c>
      <c r="L178" s="5" t="str">
        <f>IFERROR(__xludf.DUMMYFUNCTION("""COMPUTED_VALUE"""),"Englewood")</f>
        <v>Englewood</v>
      </c>
    </row>
    <row r="179">
      <c r="A179" s="5" t="s">
        <v>380</v>
      </c>
      <c r="B179" s="5" t="s">
        <v>381</v>
      </c>
      <c r="C179" s="5" t="s">
        <v>13</v>
      </c>
      <c r="D179" s="5" t="s">
        <v>227</v>
      </c>
      <c r="E179" s="5" t="s">
        <v>331</v>
      </c>
      <c r="F179" s="5" t="s">
        <v>382</v>
      </c>
      <c r="G179" s="5" t="s">
        <v>102</v>
      </c>
      <c r="H179" s="5" t="s">
        <v>18</v>
      </c>
      <c r="I179" s="7" t="s">
        <v>383</v>
      </c>
      <c r="K179" s="5" t="str">
        <f>IFERROR(__xludf.DUMMYFUNCTION("""COMPUTED_VALUE"""),"TD")</f>
        <v>TD</v>
      </c>
      <c r="L179" s="5" t="str">
        <f>IFERROR(__xludf.DUMMYFUNCTION("""COMPUTED_VALUE"""),"Greensboro")</f>
        <v>Greensboro</v>
      </c>
    </row>
    <row r="180">
      <c r="A180" s="5" t="s">
        <v>7614</v>
      </c>
      <c r="B180" s="5" t="s">
        <v>480</v>
      </c>
      <c r="D180" s="5" t="s">
        <v>227</v>
      </c>
      <c r="F180" s="5" t="s">
        <v>7548</v>
      </c>
      <c r="G180" s="5" t="s">
        <v>6159</v>
      </c>
      <c r="H180" s="5" t="s">
        <v>4600</v>
      </c>
      <c r="I180" s="7" t="s">
        <v>7613</v>
      </c>
      <c r="K180" s="5" t="str">
        <f>IFERROR(__xludf.DUMMYFUNCTION("""COMPUTED_VALUE"""),"Teach First")</f>
        <v>Teach First</v>
      </c>
      <c r="L180" s="5" t="str">
        <f>IFERROR(__xludf.DUMMYFUNCTION("""COMPUTED_VALUE"""),"Newport News")</f>
        <v>Newport News</v>
      </c>
    </row>
    <row r="181">
      <c r="A181" s="5" t="s">
        <v>5988</v>
      </c>
      <c r="B181" s="5" t="s">
        <v>5989</v>
      </c>
      <c r="D181" s="5" t="s">
        <v>227</v>
      </c>
      <c r="E181" s="5" t="s">
        <v>2252</v>
      </c>
      <c r="F181" s="5" t="s">
        <v>5991</v>
      </c>
      <c r="G181" s="5" t="s">
        <v>4757</v>
      </c>
      <c r="H181" s="5" t="s">
        <v>4607</v>
      </c>
      <c r="I181" s="7" t="s">
        <v>10332</v>
      </c>
      <c r="K181" s="5" t="str">
        <f>IFERROR(__xludf.DUMMYFUNCTION("""COMPUTED_VALUE"""),"TEKsystems")</f>
        <v>TEKsystems</v>
      </c>
      <c r="L181" s="5" t="str">
        <f>IFERROR(__xludf.DUMMYFUNCTION("""COMPUTED_VALUE"""),"Alameda")</f>
        <v>Alameda</v>
      </c>
    </row>
    <row r="182">
      <c r="A182" s="5" t="s">
        <v>6620</v>
      </c>
      <c r="B182" s="5" t="s">
        <v>6621</v>
      </c>
      <c r="D182" s="5" t="s">
        <v>227</v>
      </c>
      <c r="E182" s="5" t="s">
        <v>322</v>
      </c>
      <c r="F182" s="5" t="s">
        <v>6577</v>
      </c>
      <c r="G182" s="5" t="s">
        <v>4757</v>
      </c>
      <c r="H182" s="5" t="s">
        <v>4607</v>
      </c>
      <c r="I182" s="17" t="s">
        <v>10333</v>
      </c>
      <c r="K182" s="5" t="str">
        <f>IFERROR(__xludf.DUMMYFUNCTION("""COMPUTED_VALUE"""),"TELUS")</f>
        <v>TELUS</v>
      </c>
      <c r="L182" s="5" t="str">
        <f>IFERROR(__xludf.DUMMYFUNCTION("""COMPUTED_VALUE"""),"Brisbane")</f>
        <v>Brisbane</v>
      </c>
    </row>
    <row r="183">
      <c r="A183" s="5" t="s">
        <v>6645</v>
      </c>
      <c r="B183" s="5" t="s">
        <v>25</v>
      </c>
      <c r="D183" s="5" t="s">
        <v>386</v>
      </c>
      <c r="E183" s="5" t="s">
        <v>257</v>
      </c>
      <c r="F183" s="5" t="s">
        <v>6577</v>
      </c>
      <c r="G183" s="5" t="s">
        <v>4757</v>
      </c>
      <c r="H183" s="5" t="s">
        <v>4607</v>
      </c>
      <c r="I183" s="7" t="s">
        <v>6644</v>
      </c>
      <c r="K183" s="5" t="str">
        <f>IFERROR(__xludf.DUMMYFUNCTION("""COMPUTED_VALUE"""),"Tesco")</f>
        <v>Tesco</v>
      </c>
      <c r="L183" s="5" t="str">
        <f>IFERROR(__xludf.DUMMYFUNCTION("""COMPUTED_VALUE"""),"Indianapolis")</f>
        <v>Indianapolis</v>
      </c>
    </row>
    <row r="184">
      <c r="A184" s="5" t="s">
        <v>392</v>
      </c>
      <c r="B184" s="5" t="s">
        <v>393</v>
      </c>
      <c r="D184" s="5" t="s">
        <v>386</v>
      </c>
      <c r="E184" s="5" t="s">
        <v>63</v>
      </c>
      <c r="F184" s="5" t="s">
        <v>137</v>
      </c>
      <c r="G184" s="5" t="s">
        <v>137</v>
      </c>
      <c r="H184" s="5" t="s">
        <v>18</v>
      </c>
      <c r="I184" s="7" t="s">
        <v>7838</v>
      </c>
      <c r="K184" s="5" t="str">
        <f>IFERROR(__xludf.DUMMYFUNCTION("""COMPUTED_VALUE"""),"Texas Instruments")</f>
        <v>Texas Instruments</v>
      </c>
      <c r="L184" s="5" t="str">
        <f>IFERROR(__xludf.DUMMYFUNCTION("""COMPUTED_VALUE"""),"Carmel")</f>
        <v>Carmel</v>
      </c>
    </row>
    <row r="185">
      <c r="A185" s="5" t="s">
        <v>9608</v>
      </c>
      <c r="B185" s="5" t="s">
        <v>9609</v>
      </c>
      <c r="D185" s="5" t="s">
        <v>386</v>
      </c>
      <c r="E185" s="5" t="s">
        <v>554</v>
      </c>
      <c r="F185" s="5" t="s">
        <v>6577</v>
      </c>
      <c r="G185" s="5" t="s">
        <v>4757</v>
      </c>
      <c r="H185" s="5" t="s">
        <v>4607</v>
      </c>
      <c r="I185" s="7" t="s">
        <v>9607</v>
      </c>
      <c r="K185" s="5" t="str">
        <f>IFERROR(__xludf.DUMMYFUNCTION("""COMPUTED_VALUE"""),"Boston Consulting Group")</f>
        <v>Boston Consulting Group</v>
      </c>
      <c r="L185" s="5" t="str">
        <f>IFERROR(__xludf.DUMMYFUNCTION("""COMPUTED_VALUE"""),"Olde West Chester")</f>
        <v>Olde West Chester</v>
      </c>
    </row>
    <row r="186">
      <c r="A186" s="5" t="s">
        <v>9644</v>
      </c>
      <c r="B186" s="5" t="s">
        <v>25</v>
      </c>
      <c r="D186" s="5" t="s">
        <v>386</v>
      </c>
      <c r="E186" s="5" t="s">
        <v>512</v>
      </c>
      <c r="F186" s="5" t="s">
        <v>6577</v>
      </c>
      <c r="G186" s="5" t="s">
        <v>4757</v>
      </c>
      <c r="H186" s="5" t="s">
        <v>4607</v>
      </c>
      <c r="I186" s="7" t="s">
        <v>9643</v>
      </c>
      <c r="K186" s="5" t="str">
        <f>IFERROR(__xludf.DUMMYFUNCTION("""COMPUTED_VALUE"""),"The Buckle")</f>
        <v>The Buckle</v>
      </c>
      <c r="L186" s="5" t="str">
        <f>IFERROR(__xludf.DUMMYFUNCTION("""COMPUTED_VALUE"""),"Dublin")</f>
        <v>Dublin</v>
      </c>
    </row>
    <row r="187">
      <c r="A187" s="5" t="s">
        <v>384</v>
      </c>
      <c r="B187" s="5" t="s">
        <v>385</v>
      </c>
      <c r="C187" s="5" t="s">
        <v>13</v>
      </c>
      <c r="D187" s="5" t="s">
        <v>386</v>
      </c>
      <c r="E187" s="5" t="s">
        <v>387</v>
      </c>
      <c r="F187" s="5" t="s">
        <v>388</v>
      </c>
      <c r="G187" s="5" t="s">
        <v>203</v>
      </c>
      <c r="H187" s="5" t="s">
        <v>18</v>
      </c>
      <c r="I187" s="7" t="s">
        <v>389</v>
      </c>
      <c r="K187" s="5" t="str">
        <f>IFERROR(__xludf.DUMMYFUNCTION("""COMPUTED_VALUE"""),"The Walt Disney Company")</f>
        <v>The Walt Disney Company</v>
      </c>
      <c r="L187" s="5" t="str">
        <f>IFERROR(__xludf.DUMMYFUNCTION("""COMPUTED_VALUE"""),"Rocky River")</f>
        <v>Rocky River</v>
      </c>
    </row>
    <row r="188">
      <c r="A188" s="5" t="s">
        <v>390</v>
      </c>
      <c r="B188" s="5" t="s">
        <v>371</v>
      </c>
      <c r="C188" s="5" t="s">
        <v>13</v>
      </c>
      <c r="D188" s="5" t="s">
        <v>386</v>
      </c>
      <c r="E188" s="5" t="s">
        <v>339</v>
      </c>
      <c r="F188" s="5" t="s">
        <v>137</v>
      </c>
      <c r="G188" s="5" t="s">
        <v>137</v>
      </c>
      <c r="H188" s="5" t="s">
        <v>18</v>
      </c>
      <c r="I188" s="7" t="s">
        <v>391</v>
      </c>
      <c r="K188" s="5" t="str">
        <f>IFERROR(__xludf.DUMMYFUNCTION("""COMPUTED_VALUE"""),"ThoughtWorks")</f>
        <v>ThoughtWorks</v>
      </c>
      <c r="L188" s="5" t="str">
        <f>IFERROR(__xludf.DUMMYFUNCTION("""COMPUTED_VALUE"""),"Cranford")</f>
        <v>Cranford</v>
      </c>
    </row>
    <row r="189">
      <c r="A189" s="5" t="s">
        <v>392</v>
      </c>
      <c r="B189" s="5" t="s">
        <v>393</v>
      </c>
      <c r="C189" s="5" t="s">
        <v>13</v>
      </c>
      <c r="D189" s="5" t="s">
        <v>386</v>
      </c>
      <c r="E189" s="5" t="s">
        <v>63</v>
      </c>
      <c r="F189" s="5" t="s">
        <v>137</v>
      </c>
      <c r="G189" s="5" t="s">
        <v>137</v>
      </c>
      <c r="H189" s="5" t="s">
        <v>18</v>
      </c>
      <c r="I189" s="7" t="s">
        <v>394</v>
      </c>
      <c r="K189" s="5" t="str">
        <f>IFERROR(__xludf.DUMMYFUNCTION("""COMPUTED_VALUE"""),"Truist")</f>
        <v>Truist</v>
      </c>
      <c r="L189" s="5" t="str">
        <f>IFERROR(__xludf.DUMMYFUNCTION("""COMPUTED_VALUE"""),"Haddonfield")</f>
        <v>Haddonfield</v>
      </c>
    </row>
    <row r="190">
      <c r="A190" s="5" t="s">
        <v>395</v>
      </c>
      <c r="B190" s="5" t="s">
        <v>25</v>
      </c>
      <c r="C190" s="5" t="s">
        <v>13</v>
      </c>
      <c r="D190" s="5" t="s">
        <v>386</v>
      </c>
      <c r="E190" s="5" t="s">
        <v>84</v>
      </c>
      <c r="F190" s="5" t="s">
        <v>137</v>
      </c>
      <c r="G190" s="5" t="s">
        <v>137</v>
      </c>
      <c r="H190" s="5" t="s">
        <v>18</v>
      </c>
      <c r="I190" s="7" t="s">
        <v>396</v>
      </c>
      <c r="K190" s="5" t="str">
        <f>IFERROR(__xludf.DUMMYFUNCTION("""COMPUTED_VALUE"""),"Twitter")</f>
        <v>Twitter</v>
      </c>
      <c r="L190" s="5" t="str">
        <f>IFERROR(__xludf.DUMMYFUNCTION("""COMPUTED_VALUE"""),"Hermosa Beach")</f>
        <v>Hermosa Beach</v>
      </c>
    </row>
    <row r="191">
      <c r="A191" s="5" t="s">
        <v>397</v>
      </c>
      <c r="B191" s="5" t="s">
        <v>398</v>
      </c>
      <c r="C191" s="5" t="s">
        <v>13</v>
      </c>
      <c r="D191" s="5" t="s">
        <v>386</v>
      </c>
      <c r="E191" s="5" t="s">
        <v>399</v>
      </c>
      <c r="F191" s="5" t="s">
        <v>223</v>
      </c>
      <c r="G191" s="5" t="s">
        <v>224</v>
      </c>
      <c r="H191" s="5" t="s">
        <v>18</v>
      </c>
      <c r="I191" s="17" t="s">
        <v>10334</v>
      </c>
      <c r="K191" s="5" t="str">
        <f>IFERROR(__xludf.DUMMYFUNCTION("""COMPUTED_VALUE"""),"Two Sigma")</f>
        <v>Two Sigma</v>
      </c>
      <c r="L191" s="5" t="str">
        <f>IFERROR(__xludf.DUMMYFUNCTION("""COMPUTED_VALUE"""),"Iselin")</f>
        <v>Iselin</v>
      </c>
    </row>
    <row r="192">
      <c r="A192" s="5" t="s">
        <v>401</v>
      </c>
      <c r="B192" s="5" t="s">
        <v>25</v>
      </c>
      <c r="C192" s="5" t="s">
        <v>13</v>
      </c>
      <c r="D192" s="5" t="s">
        <v>386</v>
      </c>
      <c r="E192" s="5" t="s">
        <v>29</v>
      </c>
      <c r="F192" s="5" t="s">
        <v>223</v>
      </c>
      <c r="G192" s="5" t="s">
        <v>224</v>
      </c>
      <c r="H192" s="5" t="s">
        <v>18</v>
      </c>
      <c r="I192" s="7" t="s">
        <v>402</v>
      </c>
      <c r="K192" s="5" t="str">
        <f>IFERROR(__xludf.DUMMYFUNCTION("""COMPUTED_VALUE"""),"U.S. Bank")</f>
        <v>U.S. Bank</v>
      </c>
      <c r="L192" s="5" t="str">
        <f>IFERROR(__xludf.DUMMYFUNCTION("""COMPUTED_VALUE"""),"Newport Beach")</f>
        <v>Newport Beach</v>
      </c>
    </row>
    <row r="193">
      <c r="A193" s="5" t="s">
        <v>403</v>
      </c>
      <c r="B193" s="5" t="s">
        <v>404</v>
      </c>
      <c r="C193" s="5" t="s">
        <v>13</v>
      </c>
      <c r="D193" s="5" t="s">
        <v>405</v>
      </c>
      <c r="E193" s="5" t="s">
        <v>63</v>
      </c>
      <c r="F193" s="5" t="s">
        <v>43</v>
      </c>
      <c r="G193" s="5" t="s">
        <v>44</v>
      </c>
      <c r="H193" s="5" t="s">
        <v>18</v>
      </c>
      <c r="I193" s="7" t="s">
        <v>406</v>
      </c>
      <c r="K193" s="5" t="str">
        <f>IFERROR(__xludf.DUMMYFUNCTION("""COMPUTED_VALUE"""),"Uber")</f>
        <v>Uber</v>
      </c>
      <c r="L193" s="5" t="str">
        <f>IFERROR(__xludf.DUMMYFUNCTION("""COMPUTED_VALUE"""),"Baltimore")</f>
        <v>Baltimore</v>
      </c>
    </row>
    <row r="194">
      <c r="A194" s="5" t="s">
        <v>407</v>
      </c>
      <c r="B194" s="5" t="s">
        <v>408</v>
      </c>
      <c r="C194" s="5" t="s">
        <v>13</v>
      </c>
      <c r="D194" s="5" t="s">
        <v>405</v>
      </c>
      <c r="E194" s="5" t="s">
        <v>409</v>
      </c>
      <c r="F194" s="5" t="s">
        <v>410</v>
      </c>
      <c r="G194" s="5" t="s">
        <v>44</v>
      </c>
      <c r="H194" s="5" t="s">
        <v>18</v>
      </c>
      <c r="I194" s="7" t="s">
        <v>411</v>
      </c>
      <c r="K194" s="5" t="str">
        <f>IFERROR(__xludf.DUMMYFUNCTION("""COMPUTED_VALUE"""),"UBS")</f>
        <v>UBS</v>
      </c>
      <c r="L194" s="5" t="str">
        <f>IFERROR(__xludf.DUMMYFUNCTION("""COMPUTED_VALUE"""),"Birmingham")</f>
        <v>Birmingham</v>
      </c>
    </row>
    <row r="195">
      <c r="A195" s="5" t="s">
        <v>412</v>
      </c>
      <c r="B195" s="5" t="s">
        <v>413</v>
      </c>
      <c r="C195" s="5" t="s">
        <v>13</v>
      </c>
      <c r="D195" s="5" t="s">
        <v>405</v>
      </c>
      <c r="E195" s="5" t="s">
        <v>48</v>
      </c>
      <c r="F195" s="5" t="s">
        <v>414</v>
      </c>
      <c r="G195" s="5" t="s">
        <v>44</v>
      </c>
      <c r="H195" s="5" t="s">
        <v>18</v>
      </c>
      <c r="I195" s="17" t="s">
        <v>10335</v>
      </c>
      <c r="K195" s="5" t="str">
        <f>IFERROR(__xludf.DUMMYFUNCTION("""COMPUTED_VALUE"""),"UnitedHealth Group")</f>
        <v>UnitedHealth Group</v>
      </c>
      <c r="L195" s="5" t="str">
        <f>IFERROR(__xludf.DUMMYFUNCTION("""COMPUTED_VALUE"""),"Bridgeport")</f>
        <v>Bridgeport</v>
      </c>
    </row>
    <row r="196">
      <c r="A196" s="5" t="s">
        <v>416</v>
      </c>
      <c r="B196" s="5" t="s">
        <v>417</v>
      </c>
      <c r="C196" s="5" t="s">
        <v>4</v>
      </c>
      <c r="D196" s="5" t="s">
        <v>405</v>
      </c>
      <c r="E196" s="5" t="s">
        <v>418</v>
      </c>
      <c r="F196" s="5" t="s">
        <v>414</v>
      </c>
      <c r="G196" s="5" t="s">
        <v>44</v>
      </c>
      <c r="H196" s="5" t="s">
        <v>18</v>
      </c>
      <c r="I196" s="7" t="s">
        <v>10336</v>
      </c>
      <c r="K196" s="5" t="str">
        <f>IFERROR(__xludf.DUMMYFUNCTION("""COMPUTED_VALUE"""),"Unity Technologies")</f>
        <v>Unity Technologies</v>
      </c>
      <c r="L196" s="5" t="str">
        <f>IFERROR(__xludf.DUMMYFUNCTION("""COMPUTED_VALUE"""),"Clayton")</f>
        <v>Clayton</v>
      </c>
    </row>
    <row r="197">
      <c r="A197" s="5" t="s">
        <v>420</v>
      </c>
      <c r="B197" s="5" t="s">
        <v>404</v>
      </c>
      <c r="C197" s="5" t="s">
        <v>13</v>
      </c>
      <c r="D197" s="5" t="s">
        <v>405</v>
      </c>
      <c r="E197" s="5" t="s">
        <v>421</v>
      </c>
      <c r="F197" s="5" t="s">
        <v>414</v>
      </c>
      <c r="G197" s="5" t="s">
        <v>44</v>
      </c>
      <c r="H197" s="5" t="s">
        <v>18</v>
      </c>
      <c r="I197" s="7" t="s">
        <v>422</v>
      </c>
      <c r="K197" s="5" t="str">
        <f>IFERROR(__xludf.DUMMYFUNCTION("""COMPUTED_VALUE"""),"UNSW")</f>
        <v>UNSW</v>
      </c>
      <c r="L197" s="5" t="str">
        <f>IFERROR(__xludf.DUMMYFUNCTION("""COMPUTED_VALUE"""),"Ridgefield")</f>
        <v>Ridgefield</v>
      </c>
    </row>
    <row r="198">
      <c r="A198" s="5" t="s">
        <v>423</v>
      </c>
      <c r="B198" s="5" t="s">
        <v>424</v>
      </c>
      <c r="C198" s="5" t="s">
        <v>13</v>
      </c>
      <c r="D198" s="5" t="s">
        <v>405</v>
      </c>
      <c r="E198" s="5" t="s">
        <v>425</v>
      </c>
      <c r="F198" s="5" t="s">
        <v>426</v>
      </c>
      <c r="G198" s="5" t="s">
        <v>427</v>
      </c>
      <c r="H198" s="5" t="s">
        <v>18</v>
      </c>
      <c r="I198" s="7" t="s">
        <v>428</v>
      </c>
      <c r="K198" s="5" t="str">
        <f>IFERROR(__xludf.DUMMYFUNCTION("""COMPUTED_VALUE"""),"Verizon")</f>
        <v>Verizon</v>
      </c>
      <c r="L198" s="5" t="str">
        <f>IFERROR(__xludf.DUMMYFUNCTION("""COMPUTED_VALUE"""),"Sacramento")</f>
        <v>Sacramento</v>
      </c>
    </row>
    <row r="199">
      <c r="A199" s="5" t="s">
        <v>429</v>
      </c>
      <c r="B199" s="5" t="s">
        <v>404</v>
      </c>
      <c r="C199" s="5" t="s">
        <v>13</v>
      </c>
      <c r="D199" s="5" t="s">
        <v>405</v>
      </c>
      <c r="E199" s="5" t="s">
        <v>430</v>
      </c>
      <c r="F199" s="5" t="s">
        <v>112</v>
      </c>
      <c r="G199" s="5" t="s">
        <v>38</v>
      </c>
      <c r="H199" s="5" t="s">
        <v>18</v>
      </c>
      <c r="I199" s="7" t="s">
        <v>431</v>
      </c>
      <c r="K199" s="5" t="str">
        <f>IFERROR(__xludf.DUMMYFUNCTION("""COMPUTED_VALUE"""),"Viasat Inc.")</f>
        <v>Viasat Inc.</v>
      </c>
      <c r="L199" s="5" t="str">
        <f>IFERROR(__xludf.DUMMYFUNCTION("""COMPUTED_VALUE"""),"Stafford")</f>
        <v>Stafford</v>
      </c>
    </row>
    <row r="200">
      <c r="A200" s="5" t="s">
        <v>432</v>
      </c>
      <c r="B200" s="5" t="s">
        <v>413</v>
      </c>
      <c r="C200" s="5" t="s">
        <v>13</v>
      </c>
      <c r="D200" s="5" t="s">
        <v>405</v>
      </c>
      <c r="E200" s="5" t="s">
        <v>48</v>
      </c>
      <c r="F200" s="5" t="s">
        <v>433</v>
      </c>
      <c r="G200" s="5" t="s">
        <v>44</v>
      </c>
      <c r="H200" s="5" t="s">
        <v>18</v>
      </c>
      <c r="I200" s="17" t="s">
        <v>10337</v>
      </c>
      <c r="K200" s="5" t="str">
        <f>IFERROR(__xludf.DUMMYFUNCTION("""COMPUTED_VALUE"""),"Visa")</f>
        <v>Visa</v>
      </c>
      <c r="L200" s="5" t="str">
        <f>IFERROR(__xludf.DUMMYFUNCTION("""COMPUTED_VALUE"""),"Voorhees")</f>
        <v>Voorhees</v>
      </c>
    </row>
    <row r="201">
      <c r="A201" s="5" t="s">
        <v>435</v>
      </c>
      <c r="B201" s="5" t="s">
        <v>436</v>
      </c>
      <c r="C201" s="5" t="s">
        <v>13</v>
      </c>
      <c r="D201" s="5" t="s">
        <v>405</v>
      </c>
      <c r="E201" s="5" t="s">
        <v>437</v>
      </c>
      <c r="F201" s="5" t="s">
        <v>433</v>
      </c>
      <c r="G201" s="5" t="s">
        <v>44</v>
      </c>
      <c r="H201" s="5" t="s">
        <v>18</v>
      </c>
      <c r="I201" s="7" t="s">
        <v>10338</v>
      </c>
      <c r="K201" s="5" t="str">
        <f>IFERROR(__xludf.DUMMYFUNCTION("""COMPUTED_VALUE"""),"VMware")</f>
        <v>VMware</v>
      </c>
      <c r="L201" s="5" t="str">
        <f>IFERROR(__xludf.DUMMYFUNCTION("""COMPUTED_VALUE"""),"West Grove")</f>
        <v>West Grove</v>
      </c>
    </row>
    <row r="202">
      <c r="A202" s="5" t="s">
        <v>439</v>
      </c>
      <c r="B202" s="5" t="s">
        <v>440</v>
      </c>
      <c r="C202" s="5" t="s">
        <v>13</v>
      </c>
      <c r="D202" s="5" t="s">
        <v>405</v>
      </c>
      <c r="E202" s="5" t="s">
        <v>441</v>
      </c>
      <c r="F202" s="5" t="s">
        <v>166</v>
      </c>
      <c r="G202" s="5" t="s">
        <v>44</v>
      </c>
      <c r="H202" s="5" t="s">
        <v>18</v>
      </c>
      <c r="I202" s="7" t="s">
        <v>442</v>
      </c>
      <c r="K202" s="5" t="str">
        <f>IFERROR(__xludf.DUMMYFUNCTION("""COMPUTED_VALUE"""),"Walmart")</f>
        <v>Walmart</v>
      </c>
      <c r="L202" s="5" t="str">
        <f>IFERROR(__xludf.DUMMYFUNCTION("""COMPUTED_VALUE"""),"Chino Hills")</f>
        <v>Chino Hills</v>
      </c>
    </row>
    <row r="203">
      <c r="A203" s="5" t="s">
        <v>443</v>
      </c>
      <c r="B203" s="5" t="s">
        <v>404</v>
      </c>
      <c r="C203" s="5" t="s">
        <v>13</v>
      </c>
      <c r="D203" s="5" t="s">
        <v>405</v>
      </c>
      <c r="E203" s="5" t="s">
        <v>399</v>
      </c>
      <c r="F203" s="5" t="s">
        <v>166</v>
      </c>
      <c r="G203" s="5" t="s">
        <v>44</v>
      </c>
      <c r="H203" s="5" t="s">
        <v>18</v>
      </c>
      <c r="I203" s="7" t="s">
        <v>444</v>
      </c>
      <c r="K203" s="5" t="str">
        <f>IFERROR(__xludf.DUMMYFUNCTION("""COMPUTED_VALUE"""),"WarnerMedia")</f>
        <v>WarnerMedia</v>
      </c>
      <c r="L203" s="5" t="str">
        <f>IFERROR(__xludf.DUMMYFUNCTION("""COMPUTED_VALUE"""),"Commack")</f>
        <v>Commack</v>
      </c>
    </row>
    <row r="204">
      <c r="A204" s="5" t="s">
        <v>445</v>
      </c>
      <c r="B204" s="5" t="s">
        <v>404</v>
      </c>
      <c r="C204" s="5" t="s">
        <v>13</v>
      </c>
      <c r="D204" s="5" t="s">
        <v>405</v>
      </c>
      <c r="E204" s="5" t="s">
        <v>446</v>
      </c>
      <c r="F204" s="5" t="s">
        <v>166</v>
      </c>
      <c r="G204" s="5" t="s">
        <v>44</v>
      </c>
      <c r="H204" s="5" t="s">
        <v>18</v>
      </c>
      <c r="I204" s="7" t="s">
        <v>447</v>
      </c>
      <c r="K204" s="5" t="str">
        <f>IFERROR(__xludf.DUMMYFUNCTION("""COMPUTED_VALUE"""),"Wayfair")</f>
        <v>Wayfair</v>
      </c>
      <c r="L204" s="5" t="str">
        <f>IFERROR(__xludf.DUMMYFUNCTION("""COMPUTED_VALUE"""),"Covina")</f>
        <v>Covina</v>
      </c>
    </row>
    <row r="205">
      <c r="A205" s="5" t="s">
        <v>448</v>
      </c>
      <c r="B205" s="5" t="s">
        <v>449</v>
      </c>
      <c r="C205" s="5" t="s">
        <v>13</v>
      </c>
      <c r="D205" s="5" t="s">
        <v>405</v>
      </c>
      <c r="E205" s="5" t="s">
        <v>399</v>
      </c>
      <c r="F205" s="5" t="s">
        <v>166</v>
      </c>
      <c r="G205" s="5" t="s">
        <v>44</v>
      </c>
      <c r="H205" s="5" t="s">
        <v>18</v>
      </c>
      <c r="I205" s="7" t="s">
        <v>10339</v>
      </c>
      <c r="K205" s="5" t="str">
        <f>IFERROR(__xludf.DUMMYFUNCTION("""COMPUTED_VALUE"""),"Waymo")</f>
        <v>Waymo</v>
      </c>
      <c r="L205" s="5" t="str">
        <f>IFERROR(__xludf.DUMMYFUNCTION("""COMPUTED_VALUE"""),"Duluth")</f>
        <v>Duluth</v>
      </c>
    </row>
    <row r="206">
      <c r="A206" s="5" t="s">
        <v>451</v>
      </c>
      <c r="B206" s="5" t="s">
        <v>404</v>
      </c>
      <c r="C206" s="5" t="s">
        <v>13</v>
      </c>
      <c r="D206" s="5" t="s">
        <v>405</v>
      </c>
      <c r="E206" s="5" t="s">
        <v>165</v>
      </c>
      <c r="F206" s="5" t="s">
        <v>166</v>
      </c>
      <c r="G206" s="5" t="s">
        <v>44</v>
      </c>
      <c r="H206" s="5" t="s">
        <v>18</v>
      </c>
      <c r="I206" s="7" t="s">
        <v>452</v>
      </c>
      <c r="K206" s="5" t="str">
        <f>IFERROR(__xludf.DUMMYFUNCTION("""COMPUTED_VALUE"""),"Wells Fargo")</f>
        <v>Wells Fargo</v>
      </c>
      <c r="L206" s="5" t="str">
        <f>IFERROR(__xludf.DUMMYFUNCTION("""COMPUTED_VALUE"""),"Fairfax County")</f>
        <v>Fairfax County</v>
      </c>
    </row>
    <row r="207">
      <c r="A207" s="5" t="s">
        <v>453</v>
      </c>
      <c r="B207" s="5" t="s">
        <v>454</v>
      </c>
      <c r="C207" s="5" t="s">
        <v>13</v>
      </c>
      <c r="D207" s="5" t="s">
        <v>405</v>
      </c>
      <c r="E207" s="5" t="s">
        <v>455</v>
      </c>
      <c r="F207" s="5" t="s">
        <v>166</v>
      </c>
      <c r="G207" s="5" t="s">
        <v>44</v>
      </c>
      <c r="H207" s="5" t="s">
        <v>18</v>
      </c>
      <c r="I207" s="17" t="s">
        <v>10340</v>
      </c>
      <c r="K207" s="5" t="str">
        <f>IFERROR(__xludf.DUMMYFUNCTION("""COMPUTED_VALUE"""),"Western Digital")</f>
        <v>Western Digital</v>
      </c>
      <c r="L207" s="5" t="str">
        <f>IFERROR(__xludf.DUMMYFUNCTION("""COMPUTED_VALUE"""),"Irvine")</f>
        <v>Irvine</v>
      </c>
    </row>
    <row r="208">
      <c r="A208" s="5" t="s">
        <v>457</v>
      </c>
      <c r="B208" s="5" t="s">
        <v>458</v>
      </c>
      <c r="C208" s="5" t="s">
        <v>13</v>
      </c>
      <c r="D208" s="5" t="s">
        <v>405</v>
      </c>
      <c r="E208" s="5" t="s">
        <v>459</v>
      </c>
      <c r="F208" s="5" t="s">
        <v>169</v>
      </c>
      <c r="G208" s="5" t="s">
        <v>44</v>
      </c>
      <c r="H208" s="5" t="s">
        <v>18</v>
      </c>
      <c r="I208" s="7" t="s">
        <v>10341</v>
      </c>
      <c r="K208" s="5" t="str">
        <f>IFERROR(__xludf.DUMMYFUNCTION("""COMPUTED_VALUE"""),"Zynga")</f>
        <v>Zynga</v>
      </c>
      <c r="L208" s="5" t="str">
        <f>IFERROR(__xludf.DUMMYFUNCTION("""COMPUTED_VALUE"""),"Medway")</f>
        <v>Medway</v>
      </c>
    </row>
    <row r="209">
      <c r="A209" s="5" t="s">
        <v>461</v>
      </c>
      <c r="B209" s="5" t="s">
        <v>462</v>
      </c>
      <c r="C209" s="5" t="s">
        <v>13</v>
      </c>
      <c r="D209" s="5" t="s">
        <v>405</v>
      </c>
      <c r="E209" s="5" t="s">
        <v>463</v>
      </c>
      <c r="F209" s="5" t="s">
        <v>169</v>
      </c>
      <c r="G209" s="5" t="s">
        <v>44</v>
      </c>
      <c r="H209" s="5" t="s">
        <v>18</v>
      </c>
      <c r="I209" s="17" t="s">
        <v>10342</v>
      </c>
      <c r="L209" s="5" t="str">
        <f>IFERROR(__xludf.DUMMYFUNCTION("""COMPUTED_VALUE"""),"Moseley")</f>
        <v>Moseley</v>
      </c>
    </row>
    <row r="210">
      <c r="A210" s="5" t="s">
        <v>465</v>
      </c>
      <c r="B210" s="5" t="s">
        <v>404</v>
      </c>
      <c r="C210" s="5" t="s">
        <v>13</v>
      </c>
      <c r="D210" s="5" t="s">
        <v>405</v>
      </c>
      <c r="E210" s="5" t="s">
        <v>15</v>
      </c>
      <c r="F210" s="5" t="s">
        <v>169</v>
      </c>
      <c r="G210" s="5" t="s">
        <v>44</v>
      </c>
      <c r="H210" s="5" t="s">
        <v>18</v>
      </c>
      <c r="I210" s="7" t="s">
        <v>466</v>
      </c>
      <c r="L210" s="5" t="str">
        <f>IFERROR(__xludf.DUMMYFUNCTION("""COMPUTED_VALUE"""),"Newark")</f>
        <v>Newark</v>
      </c>
    </row>
    <row r="211">
      <c r="A211" s="5" t="s">
        <v>467</v>
      </c>
      <c r="B211" s="5" t="s">
        <v>404</v>
      </c>
      <c r="C211" s="5" t="s">
        <v>13</v>
      </c>
      <c r="D211" s="5" t="s">
        <v>405</v>
      </c>
      <c r="E211" s="5" t="s">
        <v>222</v>
      </c>
      <c r="F211" s="5" t="s">
        <v>468</v>
      </c>
      <c r="G211" s="5" t="s">
        <v>44</v>
      </c>
      <c r="H211" s="5" t="s">
        <v>18</v>
      </c>
      <c r="I211" s="7" t="s">
        <v>469</v>
      </c>
      <c r="L211" s="5" t="str">
        <f>IFERROR(__xludf.DUMMYFUNCTION("""COMPUTED_VALUE"""),"Palo Alto")</f>
        <v>Palo Alto</v>
      </c>
    </row>
    <row r="212">
      <c r="A212" s="5" t="s">
        <v>470</v>
      </c>
      <c r="B212" s="5" t="s">
        <v>471</v>
      </c>
      <c r="C212" s="5" t="s">
        <v>13</v>
      </c>
      <c r="D212" s="5" t="s">
        <v>405</v>
      </c>
      <c r="E212" s="5" t="s">
        <v>472</v>
      </c>
      <c r="F212" s="5" t="s">
        <v>468</v>
      </c>
      <c r="G212" s="5" t="s">
        <v>44</v>
      </c>
      <c r="H212" s="5" t="s">
        <v>18</v>
      </c>
      <c r="I212" s="7" t="s">
        <v>10343</v>
      </c>
      <c r="L212" s="5" t="str">
        <f>IFERROR(__xludf.DUMMYFUNCTION("""COMPUTED_VALUE"""),"Perth")</f>
        <v>Perth</v>
      </c>
    </row>
    <row r="213">
      <c r="A213" s="5" t="s">
        <v>474</v>
      </c>
      <c r="B213" s="5" t="s">
        <v>475</v>
      </c>
      <c r="C213" s="5" t="s">
        <v>13</v>
      </c>
      <c r="D213" s="5" t="s">
        <v>476</v>
      </c>
      <c r="E213" s="5" t="s">
        <v>477</v>
      </c>
      <c r="F213" s="5" t="s">
        <v>122</v>
      </c>
      <c r="G213" s="5" t="s">
        <v>44</v>
      </c>
      <c r="H213" s="5" t="s">
        <v>18</v>
      </c>
      <c r="I213" s="7" t="s">
        <v>478</v>
      </c>
      <c r="L213" s="5" t="str">
        <f>IFERROR(__xludf.DUMMYFUNCTION("""COMPUTED_VALUE"""),"Providence County")</f>
        <v>Providence County</v>
      </c>
    </row>
    <row r="214">
      <c r="A214" s="5" t="s">
        <v>479</v>
      </c>
      <c r="B214" s="5" t="s">
        <v>480</v>
      </c>
      <c r="C214" s="5" t="s">
        <v>13</v>
      </c>
      <c r="D214" s="5" t="s">
        <v>476</v>
      </c>
      <c r="E214" s="5" t="s">
        <v>29</v>
      </c>
      <c r="F214" s="5" t="s">
        <v>80</v>
      </c>
      <c r="G214" s="5" t="s">
        <v>38</v>
      </c>
      <c r="H214" s="5" t="s">
        <v>18</v>
      </c>
      <c r="I214" s="7" t="s">
        <v>481</v>
      </c>
      <c r="L214" s="5" t="str">
        <f>IFERROR(__xludf.DUMMYFUNCTION("""COMPUTED_VALUE"""),"Saskatoon")</f>
        <v>Saskatoon</v>
      </c>
    </row>
    <row r="215">
      <c r="A215" s="5" t="s">
        <v>482</v>
      </c>
      <c r="B215" s="5" t="s">
        <v>483</v>
      </c>
      <c r="C215" s="5" t="s">
        <v>13</v>
      </c>
      <c r="D215" s="5" t="s">
        <v>476</v>
      </c>
      <c r="E215" s="5" t="s">
        <v>484</v>
      </c>
      <c r="F215" s="5" t="s">
        <v>485</v>
      </c>
      <c r="G215" s="5" t="s">
        <v>44</v>
      </c>
      <c r="H215" s="5" t="s">
        <v>18</v>
      </c>
      <c r="I215" s="7" t="s">
        <v>486</v>
      </c>
      <c r="L215" s="5" t="str">
        <f>IFERROR(__xludf.DUMMYFUNCTION("""COMPUTED_VALUE"""),"Stamford")</f>
        <v>Stamford</v>
      </c>
    </row>
    <row r="216">
      <c r="A216" s="5" t="s">
        <v>487</v>
      </c>
      <c r="B216" s="5" t="s">
        <v>483</v>
      </c>
      <c r="C216" s="5" t="s">
        <v>13</v>
      </c>
      <c r="D216" s="5" t="s">
        <v>476</v>
      </c>
      <c r="E216" s="5" t="s">
        <v>488</v>
      </c>
      <c r="F216" s="5" t="s">
        <v>485</v>
      </c>
      <c r="G216" s="5" t="s">
        <v>44</v>
      </c>
      <c r="H216" s="5" t="s">
        <v>18</v>
      </c>
      <c r="I216" s="7" t="s">
        <v>489</v>
      </c>
      <c r="L216" s="5" t="str">
        <f>IFERROR(__xludf.DUMMYFUNCTION("""COMPUTED_VALUE"""),"West Midlands")</f>
        <v>West Midlands</v>
      </c>
    </row>
    <row r="217">
      <c r="A217" s="5" t="s">
        <v>8918</v>
      </c>
      <c r="B217" s="5" t="s">
        <v>32</v>
      </c>
      <c r="D217" s="5" t="s">
        <v>8919</v>
      </c>
      <c r="E217" s="5" t="s">
        <v>686</v>
      </c>
      <c r="F217" s="5" t="s">
        <v>7722</v>
      </c>
      <c r="G217" s="5" t="s">
        <v>5566</v>
      </c>
      <c r="H217" s="5" t="s">
        <v>4619</v>
      </c>
      <c r="I217" s="7" t="s">
        <v>8917</v>
      </c>
      <c r="L217" s="5" t="str">
        <f>IFERROR(__xludf.DUMMYFUNCTION("""COMPUTED_VALUE"""),"Danville")</f>
        <v>Danville</v>
      </c>
    </row>
    <row r="218">
      <c r="A218" s="5" t="s">
        <v>8921</v>
      </c>
      <c r="B218" s="5" t="s">
        <v>8922</v>
      </c>
      <c r="D218" s="5" t="s">
        <v>8919</v>
      </c>
      <c r="E218" s="5" t="s">
        <v>314</v>
      </c>
      <c r="F218" s="5" t="s">
        <v>7722</v>
      </c>
      <c r="G218" s="5" t="s">
        <v>5566</v>
      </c>
      <c r="H218" s="5" t="s">
        <v>4619</v>
      </c>
      <c r="I218" s="7" t="s">
        <v>8920</v>
      </c>
      <c r="L218" s="5" t="str">
        <f>IFERROR(__xludf.DUMMYFUNCTION("""COMPUTED_VALUE"""),"Los Altos")</f>
        <v>Los Altos</v>
      </c>
    </row>
    <row r="219">
      <c r="A219" s="5" t="s">
        <v>8964</v>
      </c>
      <c r="B219" s="5" t="s">
        <v>8965</v>
      </c>
      <c r="D219" s="5" t="s">
        <v>8919</v>
      </c>
      <c r="E219" s="5" t="s">
        <v>121</v>
      </c>
      <c r="F219" s="5" t="s">
        <v>7722</v>
      </c>
      <c r="G219" s="5" t="s">
        <v>5566</v>
      </c>
      <c r="H219" s="5" t="s">
        <v>4619</v>
      </c>
      <c r="I219" s="17" t="s">
        <v>10344</v>
      </c>
      <c r="L219" s="5" t="str">
        <f>IFERROR(__xludf.DUMMYFUNCTION("""COMPUTED_VALUE"""),"Menlo Park")</f>
        <v>Menlo Park</v>
      </c>
    </row>
    <row r="220">
      <c r="A220" s="5" t="s">
        <v>8977</v>
      </c>
      <c r="B220" s="5" t="s">
        <v>8978</v>
      </c>
      <c r="D220" s="5" t="s">
        <v>8919</v>
      </c>
      <c r="E220" s="5" t="s">
        <v>512</v>
      </c>
      <c r="F220" s="5" t="s">
        <v>7722</v>
      </c>
      <c r="G220" s="5" t="s">
        <v>5566</v>
      </c>
      <c r="H220" s="5" t="s">
        <v>4619</v>
      </c>
      <c r="I220" s="17" t="s">
        <v>10345</v>
      </c>
      <c r="L220" s="5" t="str">
        <f>IFERROR(__xludf.DUMMYFUNCTION("""COMPUTED_VALUE"""),"Redwood City")</f>
        <v>Redwood City</v>
      </c>
    </row>
    <row r="221">
      <c r="A221" s="5" t="s">
        <v>9729</v>
      </c>
      <c r="B221" s="5" t="s">
        <v>9730</v>
      </c>
      <c r="D221" s="5" t="s">
        <v>9731</v>
      </c>
      <c r="E221" s="5" t="s">
        <v>351</v>
      </c>
      <c r="F221" s="5" t="s">
        <v>6577</v>
      </c>
      <c r="G221" s="5" t="s">
        <v>4757</v>
      </c>
      <c r="H221" s="5" t="s">
        <v>4607</v>
      </c>
      <c r="I221" s="7" t="s">
        <v>9728</v>
      </c>
      <c r="L221" s="5" t="str">
        <f>IFERROR(__xludf.DUMMYFUNCTION("""COMPUTED_VALUE"""),"San Mateo")</f>
        <v>San Mateo</v>
      </c>
    </row>
    <row r="222">
      <c r="A222" s="5" t="s">
        <v>9478</v>
      </c>
      <c r="B222" s="5" t="s">
        <v>4754</v>
      </c>
      <c r="D222" s="5" t="s">
        <v>9479</v>
      </c>
      <c r="E222" s="5" t="s">
        <v>512</v>
      </c>
      <c r="F222" s="5" t="s">
        <v>5280</v>
      </c>
      <c r="G222" s="5" t="s">
        <v>4638</v>
      </c>
      <c r="H222" s="5" t="s">
        <v>4600</v>
      </c>
      <c r="I222" s="7" t="s">
        <v>9477</v>
      </c>
      <c r="L222" s="5" t="str">
        <f>IFERROR(__xludf.DUMMYFUNCTION("""COMPUTED_VALUE"""),"Santa Clara")</f>
        <v>Santa Clara</v>
      </c>
    </row>
    <row r="223">
      <c r="A223" s="5" t="s">
        <v>5594</v>
      </c>
      <c r="B223" s="5" t="s">
        <v>4749</v>
      </c>
      <c r="D223" s="5" t="s">
        <v>492</v>
      </c>
      <c r="E223" s="5" t="s">
        <v>651</v>
      </c>
      <c r="F223" s="5" t="s">
        <v>49</v>
      </c>
      <c r="G223" s="5" t="s">
        <v>50</v>
      </c>
      <c r="H223" s="5" t="s">
        <v>18</v>
      </c>
      <c r="I223" s="7" t="s">
        <v>5593</v>
      </c>
      <c r="L223" s="5" t="str">
        <f>IFERROR(__xludf.DUMMYFUNCTION("""COMPUTED_VALUE"""),"Airdrie")</f>
        <v>Airdrie</v>
      </c>
    </row>
    <row r="224">
      <c r="A224" s="5" t="s">
        <v>525</v>
      </c>
      <c r="B224" s="5" t="s">
        <v>25</v>
      </c>
      <c r="D224" s="5" t="s">
        <v>492</v>
      </c>
      <c r="E224" s="5" t="s">
        <v>526</v>
      </c>
      <c r="F224" s="5" t="s">
        <v>49</v>
      </c>
      <c r="G224" s="5" t="s">
        <v>50</v>
      </c>
      <c r="H224" s="5" t="s">
        <v>18</v>
      </c>
      <c r="I224" s="7" t="s">
        <v>5603</v>
      </c>
      <c r="L224" s="5" t="str">
        <f>IFERROR(__xludf.DUMMYFUNCTION("""COMPUTED_VALUE"""),"Bromley")</f>
        <v>Bromley</v>
      </c>
    </row>
    <row r="225">
      <c r="A225" s="5" t="s">
        <v>5609</v>
      </c>
      <c r="B225" s="5" t="s">
        <v>4749</v>
      </c>
      <c r="D225" s="5" t="s">
        <v>492</v>
      </c>
      <c r="E225" s="5" t="s">
        <v>441</v>
      </c>
      <c r="F225" s="5" t="s">
        <v>49</v>
      </c>
      <c r="G225" s="5" t="s">
        <v>50</v>
      </c>
      <c r="H225" s="5" t="s">
        <v>18</v>
      </c>
      <c r="I225" s="7" t="s">
        <v>5608</v>
      </c>
      <c r="L225" s="5" t="str">
        <f>IFERROR(__xludf.DUMMYFUNCTION("""COMPUTED_VALUE"""),"Burgess Hill")</f>
        <v>Burgess Hill</v>
      </c>
    </row>
    <row r="226">
      <c r="A226" s="5" t="s">
        <v>531</v>
      </c>
      <c r="B226" s="5" t="s">
        <v>480</v>
      </c>
      <c r="D226" s="5" t="s">
        <v>492</v>
      </c>
      <c r="E226" s="5" t="s">
        <v>125</v>
      </c>
      <c r="F226" s="5" t="s">
        <v>49</v>
      </c>
      <c r="G226" s="5" t="s">
        <v>50</v>
      </c>
      <c r="H226" s="5" t="s">
        <v>18</v>
      </c>
      <c r="I226" s="7" t="s">
        <v>5618</v>
      </c>
      <c r="L226" s="5" t="str">
        <f>IFERROR(__xludf.DUMMYFUNCTION("""COMPUTED_VALUE"""),"Glasgow")</f>
        <v>Glasgow</v>
      </c>
    </row>
    <row r="227">
      <c r="A227" s="5" t="s">
        <v>5850</v>
      </c>
      <c r="B227" s="5" t="s">
        <v>4749</v>
      </c>
      <c r="D227" s="5" t="s">
        <v>492</v>
      </c>
      <c r="E227" s="5" t="s">
        <v>188</v>
      </c>
      <c r="F227" s="5" t="s">
        <v>5851</v>
      </c>
      <c r="G227" s="5" t="s">
        <v>96</v>
      </c>
      <c r="H227" s="5" t="s">
        <v>18</v>
      </c>
      <c r="I227" s="17" t="s">
        <v>10346</v>
      </c>
      <c r="L227" s="5" t="str">
        <f>IFERROR(__xludf.DUMMYFUNCTION("""COMPUTED_VALUE"""),"Isleworth")</f>
        <v>Isleworth</v>
      </c>
    </row>
    <row r="228">
      <c r="A228" s="5" t="s">
        <v>6977</v>
      </c>
      <c r="B228" s="5" t="s">
        <v>6978</v>
      </c>
      <c r="D228" s="5" t="s">
        <v>492</v>
      </c>
      <c r="E228" s="5" t="s">
        <v>165</v>
      </c>
      <c r="F228" s="5" t="s">
        <v>6577</v>
      </c>
      <c r="G228" s="5" t="s">
        <v>4757</v>
      </c>
      <c r="H228" s="5" t="s">
        <v>4607</v>
      </c>
      <c r="I228" s="17" t="s">
        <v>10347</v>
      </c>
      <c r="L228" s="5" t="str">
        <f>IFERROR(__xludf.DUMMYFUNCTION("""COMPUTED_VALUE"""),"Leeds")</f>
        <v>Leeds</v>
      </c>
    </row>
    <row r="229">
      <c r="A229" s="5" t="s">
        <v>7802</v>
      </c>
      <c r="B229" s="5" t="s">
        <v>7803</v>
      </c>
      <c r="D229" s="5" t="s">
        <v>492</v>
      </c>
      <c r="E229" s="5" t="s">
        <v>1300</v>
      </c>
      <c r="F229" s="5" t="s">
        <v>137</v>
      </c>
      <c r="G229" s="5" t="s">
        <v>137</v>
      </c>
      <c r="H229" s="5" t="s">
        <v>18</v>
      </c>
      <c r="I229" s="7" t="s">
        <v>10348</v>
      </c>
      <c r="L229" s="5" t="str">
        <f>IFERROR(__xludf.DUMMYFUNCTION("""COMPUTED_VALUE"""),"Macquarie Park")</f>
        <v>Macquarie Park</v>
      </c>
    </row>
    <row r="230">
      <c r="A230" s="5" t="s">
        <v>7954</v>
      </c>
      <c r="B230" s="5" t="s">
        <v>7955</v>
      </c>
      <c r="D230" s="5" t="s">
        <v>492</v>
      </c>
      <c r="E230" s="5" t="s">
        <v>697</v>
      </c>
      <c r="F230" s="5" t="s">
        <v>137</v>
      </c>
      <c r="G230" s="5" t="s">
        <v>137</v>
      </c>
      <c r="H230" s="5" t="s">
        <v>18</v>
      </c>
      <c r="I230" s="17" t="s">
        <v>10349</v>
      </c>
      <c r="L230" s="5" t="str">
        <f>IFERROR(__xludf.DUMMYFUNCTION("""COMPUTED_VALUE"""),"Troon")</f>
        <v>Troon</v>
      </c>
    </row>
    <row r="231">
      <c r="A231" s="5" t="s">
        <v>603</v>
      </c>
      <c r="B231" s="5" t="s">
        <v>604</v>
      </c>
      <c r="D231" s="5" t="s">
        <v>492</v>
      </c>
      <c r="E231" s="5" t="s">
        <v>213</v>
      </c>
      <c r="F231" s="5" t="s">
        <v>102</v>
      </c>
      <c r="G231" s="5" t="s">
        <v>172</v>
      </c>
      <c r="H231" s="5" t="s">
        <v>18</v>
      </c>
      <c r="I231" s="7" t="s">
        <v>10350</v>
      </c>
      <c r="L231" s="5" t="str">
        <f>IFERROR(__xludf.DUMMYFUNCTION("""COMPUTED_VALUE"""),"Dearborn")</f>
        <v>Dearborn</v>
      </c>
    </row>
    <row r="232">
      <c r="A232" s="5" t="s">
        <v>490</v>
      </c>
      <c r="B232" s="5" t="s">
        <v>491</v>
      </c>
      <c r="C232" s="5" t="s">
        <v>13</v>
      </c>
      <c r="D232" s="5" t="s">
        <v>492</v>
      </c>
      <c r="E232" s="5" t="s">
        <v>144</v>
      </c>
      <c r="F232" s="5" t="s">
        <v>377</v>
      </c>
      <c r="G232" s="5" t="s">
        <v>378</v>
      </c>
      <c r="H232" s="5" t="s">
        <v>18</v>
      </c>
      <c r="I232" s="7" t="s">
        <v>493</v>
      </c>
      <c r="L232" s="5" t="str">
        <f>IFERROR(__xludf.DUMMYFUNCTION("""COMPUTED_VALUE"""),"St Clair Shores")</f>
        <v>St Clair Shores</v>
      </c>
    </row>
    <row r="233">
      <c r="A233" s="5" t="s">
        <v>494</v>
      </c>
      <c r="B233" s="5" t="s">
        <v>495</v>
      </c>
      <c r="C233" s="5" t="s">
        <v>13</v>
      </c>
      <c r="D233" s="5" t="s">
        <v>492</v>
      </c>
      <c r="E233" s="5" t="s">
        <v>496</v>
      </c>
      <c r="F233" s="5" t="s">
        <v>49</v>
      </c>
      <c r="G233" s="5" t="s">
        <v>50</v>
      </c>
      <c r="H233" s="5" t="s">
        <v>18</v>
      </c>
      <c r="I233" s="17" t="s">
        <v>10351</v>
      </c>
      <c r="L233" s="5" t="str">
        <f>IFERROR(__xludf.DUMMYFUNCTION("""COMPUTED_VALUE"""),"Kansas City")</f>
        <v>Kansas City</v>
      </c>
    </row>
    <row r="234">
      <c r="A234" s="5" t="s">
        <v>498</v>
      </c>
      <c r="B234" s="5" t="s">
        <v>499</v>
      </c>
      <c r="C234" s="5" t="s">
        <v>13</v>
      </c>
      <c r="D234" s="5" t="s">
        <v>492</v>
      </c>
      <c r="E234" s="5" t="s">
        <v>500</v>
      </c>
      <c r="F234" s="5" t="s">
        <v>49</v>
      </c>
      <c r="G234" s="5" t="s">
        <v>50</v>
      </c>
      <c r="H234" s="5" t="s">
        <v>18</v>
      </c>
      <c r="I234" s="17" t="s">
        <v>10352</v>
      </c>
      <c r="L234" s="5" t="str">
        <f>IFERROR(__xludf.DUMMYFUNCTION("""COMPUTED_VALUE"""),"Olathe")</f>
        <v>Olathe</v>
      </c>
    </row>
    <row r="235">
      <c r="A235" s="5" t="s">
        <v>502</v>
      </c>
      <c r="B235" s="5" t="s">
        <v>503</v>
      </c>
      <c r="C235" s="5" t="s">
        <v>13</v>
      </c>
      <c r="D235" s="5" t="s">
        <v>492</v>
      </c>
      <c r="E235" s="5" t="s">
        <v>339</v>
      </c>
      <c r="F235" s="5" t="s">
        <v>49</v>
      </c>
      <c r="G235" s="5" t="s">
        <v>50</v>
      </c>
      <c r="H235" s="5" t="s">
        <v>18</v>
      </c>
      <c r="I235" s="17" t="s">
        <v>10353</v>
      </c>
      <c r="L235" s="5" t="str">
        <f>IFERROR(__xludf.DUMMYFUNCTION("""COMPUTED_VALUE"""),"Overland Park")</f>
        <v>Overland Park</v>
      </c>
    </row>
    <row r="236">
      <c r="A236" s="5" t="s">
        <v>505</v>
      </c>
      <c r="B236" s="5" t="s">
        <v>25</v>
      </c>
      <c r="C236" s="5" t="s">
        <v>13</v>
      </c>
      <c r="D236" s="5" t="s">
        <v>492</v>
      </c>
      <c r="E236" s="5" t="s">
        <v>446</v>
      </c>
      <c r="F236" s="5" t="s">
        <v>49</v>
      </c>
      <c r="G236" s="5" t="s">
        <v>50</v>
      </c>
      <c r="H236" s="5" t="s">
        <v>18</v>
      </c>
      <c r="I236" s="7" t="s">
        <v>506</v>
      </c>
      <c r="L236" s="5" t="str">
        <f>IFERROR(__xludf.DUMMYFUNCTION("""COMPUTED_VALUE"""),"Durham")</f>
        <v>Durham</v>
      </c>
    </row>
    <row r="237">
      <c r="A237" s="5" t="s">
        <v>507</v>
      </c>
      <c r="B237" s="5" t="s">
        <v>508</v>
      </c>
      <c r="C237" s="5" t="s">
        <v>13</v>
      </c>
      <c r="D237" s="5" t="s">
        <v>492</v>
      </c>
      <c r="E237" s="5" t="s">
        <v>399</v>
      </c>
      <c r="F237" s="5" t="s">
        <v>49</v>
      </c>
      <c r="G237" s="5" t="s">
        <v>50</v>
      </c>
      <c r="H237" s="5" t="s">
        <v>18</v>
      </c>
      <c r="I237" s="7" t="s">
        <v>10354</v>
      </c>
      <c r="L237" s="5" t="str">
        <f>IFERROR(__xludf.DUMMYFUNCTION("""COMPUTED_VALUE"""),"Fort Myers")</f>
        <v>Fort Myers</v>
      </c>
    </row>
    <row r="238">
      <c r="A238" s="5" t="s">
        <v>510</v>
      </c>
      <c r="B238" s="5" t="s">
        <v>511</v>
      </c>
      <c r="C238" s="5" t="s">
        <v>13</v>
      </c>
      <c r="D238" s="5" t="s">
        <v>492</v>
      </c>
      <c r="E238" s="5" t="s">
        <v>512</v>
      </c>
      <c r="F238" s="5" t="s">
        <v>49</v>
      </c>
      <c r="G238" s="5" t="s">
        <v>50</v>
      </c>
      <c r="H238" s="5" t="s">
        <v>18</v>
      </c>
      <c r="I238" s="17" t="s">
        <v>10355</v>
      </c>
      <c r="L238" s="5" t="str">
        <f>IFERROR(__xludf.DUMMYFUNCTION("""COMPUTED_VALUE"""),"Loveland")</f>
        <v>Loveland</v>
      </c>
    </row>
    <row r="239">
      <c r="A239" s="5" t="s">
        <v>514</v>
      </c>
      <c r="B239" s="5" t="s">
        <v>515</v>
      </c>
      <c r="C239" s="5" t="s">
        <v>13</v>
      </c>
      <c r="D239" s="5" t="s">
        <v>492</v>
      </c>
      <c r="E239" s="5" t="s">
        <v>144</v>
      </c>
      <c r="F239" s="5" t="s">
        <v>49</v>
      </c>
      <c r="G239" s="5" t="s">
        <v>50</v>
      </c>
      <c r="H239" s="5" t="s">
        <v>18</v>
      </c>
      <c r="I239" s="7" t="s">
        <v>516</v>
      </c>
      <c r="L239" s="5" t="str">
        <f>IFERROR(__xludf.DUMMYFUNCTION("""COMPUTED_VALUE"""),"Cape Coral")</f>
        <v>Cape Coral</v>
      </c>
    </row>
    <row r="240">
      <c r="A240" s="5" t="s">
        <v>517</v>
      </c>
      <c r="B240" s="5" t="s">
        <v>518</v>
      </c>
      <c r="C240" s="5" t="s">
        <v>13</v>
      </c>
      <c r="D240" s="5" t="s">
        <v>492</v>
      </c>
      <c r="E240" s="5" t="s">
        <v>79</v>
      </c>
      <c r="F240" s="5" t="s">
        <v>49</v>
      </c>
      <c r="G240" s="5" t="s">
        <v>50</v>
      </c>
      <c r="H240" s="5" t="s">
        <v>18</v>
      </c>
      <c r="I240" s="7" t="s">
        <v>519</v>
      </c>
      <c r="L240" s="5" t="str">
        <f>IFERROR(__xludf.DUMMYFUNCTION("""COMPUTED_VALUE"""),"Naples")</f>
        <v>Naples</v>
      </c>
    </row>
    <row r="241">
      <c r="A241" s="5" t="s">
        <v>494</v>
      </c>
      <c r="B241" s="5" t="s">
        <v>520</v>
      </c>
      <c r="C241" s="5" t="s">
        <v>13</v>
      </c>
      <c r="D241" s="5" t="s">
        <v>492</v>
      </c>
      <c r="E241" s="5" t="s">
        <v>121</v>
      </c>
      <c r="F241" s="5" t="s">
        <v>49</v>
      </c>
      <c r="G241" s="5" t="s">
        <v>50</v>
      </c>
      <c r="H241" s="5" t="s">
        <v>18</v>
      </c>
      <c r="I241" s="17" t="s">
        <v>10356</v>
      </c>
      <c r="L241" s="5" t="str">
        <f>IFERROR(__xludf.DUMMYFUNCTION("""COMPUTED_VALUE"""),"Brentwood")</f>
        <v>Brentwood</v>
      </c>
    </row>
    <row r="242">
      <c r="A242" s="5" t="s">
        <v>522</v>
      </c>
      <c r="B242" s="5" t="s">
        <v>178</v>
      </c>
      <c r="C242" s="5" t="s">
        <v>13</v>
      </c>
      <c r="D242" s="5" t="s">
        <v>492</v>
      </c>
      <c r="E242" s="5" t="s">
        <v>523</v>
      </c>
      <c r="F242" s="5" t="s">
        <v>49</v>
      </c>
      <c r="G242" s="5" t="s">
        <v>50</v>
      </c>
      <c r="H242" s="5" t="s">
        <v>18</v>
      </c>
      <c r="I242" s="7" t="s">
        <v>524</v>
      </c>
      <c r="L242" s="5" t="str">
        <f>IFERROR(__xludf.DUMMYFUNCTION("""COMPUTED_VALUE"""),"Brookfield")</f>
        <v>Brookfield</v>
      </c>
    </row>
    <row r="243">
      <c r="A243" s="5" t="s">
        <v>525</v>
      </c>
      <c r="B243" s="5" t="s">
        <v>25</v>
      </c>
      <c r="C243" s="5" t="s">
        <v>13</v>
      </c>
      <c r="D243" s="5" t="s">
        <v>492</v>
      </c>
      <c r="E243" s="5" t="s">
        <v>526</v>
      </c>
      <c r="F243" s="5" t="s">
        <v>49</v>
      </c>
      <c r="G243" s="5" t="s">
        <v>50</v>
      </c>
      <c r="H243" s="5" t="s">
        <v>18</v>
      </c>
      <c r="I243" s="7" t="s">
        <v>527</v>
      </c>
      <c r="L243" s="5" t="str">
        <f>IFERROR(__xludf.DUMMYFUNCTION("""COMPUTED_VALUE"""),"Ballston Spa")</f>
        <v>Ballston Spa</v>
      </c>
    </row>
    <row r="244">
      <c r="A244" s="5" t="s">
        <v>528</v>
      </c>
      <c r="B244" s="5" t="s">
        <v>529</v>
      </c>
      <c r="C244" s="5" t="s">
        <v>13</v>
      </c>
      <c r="D244" s="5" t="s">
        <v>492</v>
      </c>
      <c r="F244" s="5" t="s">
        <v>49</v>
      </c>
      <c r="G244" s="5" t="s">
        <v>50</v>
      </c>
      <c r="H244" s="5" t="s">
        <v>18</v>
      </c>
      <c r="I244" s="7" t="s">
        <v>530</v>
      </c>
      <c r="L244" s="5" t="str">
        <f>IFERROR(__xludf.DUMMYFUNCTION("""COMPUTED_VALUE"""),"Erie")</f>
        <v>Erie</v>
      </c>
    </row>
    <row r="245">
      <c r="A245" s="5" t="s">
        <v>531</v>
      </c>
      <c r="B245" s="5" t="s">
        <v>480</v>
      </c>
      <c r="C245" s="5" t="s">
        <v>13</v>
      </c>
      <c r="D245" s="5" t="s">
        <v>492</v>
      </c>
      <c r="E245" s="5" t="s">
        <v>125</v>
      </c>
      <c r="F245" s="5" t="s">
        <v>49</v>
      </c>
      <c r="G245" s="5" t="s">
        <v>50</v>
      </c>
      <c r="H245" s="5" t="s">
        <v>18</v>
      </c>
      <c r="I245" s="7" t="s">
        <v>532</v>
      </c>
      <c r="L245" s="5" t="str">
        <f>IFERROR(__xludf.DUMMYFUNCTION("""COMPUTED_VALUE"""),"Coralville")</f>
        <v>Coralville</v>
      </c>
    </row>
    <row r="246">
      <c r="A246" s="5" t="s">
        <v>533</v>
      </c>
      <c r="B246" s="5" t="s">
        <v>515</v>
      </c>
      <c r="C246" s="5" t="s">
        <v>13</v>
      </c>
      <c r="D246" s="5" t="s">
        <v>492</v>
      </c>
      <c r="E246" s="5" t="s">
        <v>26</v>
      </c>
      <c r="F246" s="5" t="s">
        <v>49</v>
      </c>
      <c r="G246" s="5" t="s">
        <v>50</v>
      </c>
      <c r="H246" s="5" t="s">
        <v>18</v>
      </c>
      <c r="I246" s="7" t="s">
        <v>534</v>
      </c>
      <c r="L246" s="5" t="str">
        <f>IFERROR(__xludf.DUMMYFUNCTION("""COMPUTED_VALUE"""),"Buffalo")</f>
        <v>Buffalo</v>
      </c>
    </row>
    <row r="247">
      <c r="A247" s="5" t="s">
        <v>535</v>
      </c>
      <c r="B247" s="5" t="s">
        <v>536</v>
      </c>
      <c r="C247" s="5" t="s">
        <v>13</v>
      </c>
      <c r="D247" s="5" t="s">
        <v>492</v>
      </c>
      <c r="E247" s="5" t="s">
        <v>496</v>
      </c>
      <c r="F247" s="5" t="s">
        <v>49</v>
      </c>
      <c r="G247" s="5" t="s">
        <v>50</v>
      </c>
      <c r="H247" s="5" t="s">
        <v>18</v>
      </c>
      <c r="I247" s="17" t="s">
        <v>10357</v>
      </c>
      <c r="L247" s="5" t="str">
        <f>IFERROR(__xludf.DUMMYFUNCTION("""COMPUTED_VALUE"""),"Fredericksburg")</f>
        <v>Fredericksburg</v>
      </c>
    </row>
    <row r="248">
      <c r="A248" s="5" t="s">
        <v>538</v>
      </c>
      <c r="B248" s="5" t="s">
        <v>539</v>
      </c>
      <c r="C248" s="5" t="s">
        <v>4</v>
      </c>
      <c r="D248" s="5" t="s">
        <v>492</v>
      </c>
      <c r="E248" s="5" t="s">
        <v>217</v>
      </c>
      <c r="F248" s="5" t="s">
        <v>49</v>
      </c>
      <c r="G248" s="5" t="s">
        <v>50</v>
      </c>
      <c r="H248" s="5" t="s">
        <v>18</v>
      </c>
      <c r="I248" s="7" t="s">
        <v>540</v>
      </c>
      <c r="L248" s="5" t="str">
        <f>IFERROR(__xludf.DUMMYFUNCTION("""COMPUTED_VALUE"""),"Katy")</f>
        <v>Katy</v>
      </c>
    </row>
    <row r="249">
      <c r="A249" s="5" t="s">
        <v>541</v>
      </c>
      <c r="B249" s="5" t="s">
        <v>542</v>
      </c>
      <c r="C249" s="5" t="s">
        <v>13</v>
      </c>
      <c r="D249" s="5" t="s">
        <v>492</v>
      </c>
      <c r="E249" s="5" t="s">
        <v>339</v>
      </c>
      <c r="F249" s="5" t="s">
        <v>49</v>
      </c>
      <c r="G249" s="5" t="s">
        <v>50</v>
      </c>
      <c r="H249" s="5" t="s">
        <v>18</v>
      </c>
      <c r="I249" s="17" t="s">
        <v>10358</v>
      </c>
      <c r="L249" s="5" t="str">
        <f>IFERROR(__xludf.DUMMYFUNCTION("""COMPUTED_VALUE"""),"Lakeland")</f>
        <v>Lakeland</v>
      </c>
    </row>
    <row r="250">
      <c r="A250" s="5" t="s">
        <v>544</v>
      </c>
      <c r="B250" s="5" t="s">
        <v>545</v>
      </c>
      <c r="C250" s="5" t="s">
        <v>13</v>
      </c>
      <c r="D250" s="5" t="s">
        <v>492</v>
      </c>
      <c r="E250" s="5" t="s">
        <v>144</v>
      </c>
      <c r="F250" s="5" t="s">
        <v>49</v>
      </c>
      <c r="G250" s="5" t="s">
        <v>50</v>
      </c>
      <c r="H250" s="5" t="s">
        <v>18</v>
      </c>
      <c r="I250" s="7" t="s">
        <v>546</v>
      </c>
      <c r="L250" s="5" t="str">
        <f>IFERROR(__xludf.DUMMYFUNCTION("""COMPUTED_VALUE"""),"Macon")</f>
        <v>Macon</v>
      </c>
    </row>
    <row r="251">
      <c r="A251" s="5" t="s">
        <v>547</v>
      </c>
      <c r="B251" s="5" t="s">
        <v>548</v>
      </c>
      <c r="C251" s="5" t="s">
        <v>13</v>
      </c>
      <c r="D251" s="5" t="s">
        <v>492</v>
      </c>
      <c r="E251" s="5" t="s">
        <v>192</v>
      </c>
      <c r="F251" s="5" t="s">
        <v>49</v>
      </c>
      <c r="G251" s="5" t="s">
        <v>50</v>
      </c>
      <c r="H251" s="5" t="s">
        <v>18</v>
      </c>
      <c r="I251" s="7" t="s">
        <v>10359</v>
      </c>
      <c r="L251" s="5" t="str">
        <f>IFERROR(__xludf.DUMMYFUNCTION("""COMPUTED_VALUE"""),"Norfolk City County")</f>
        <v>Norfolk City County</v>
      </c>
    </row>
    <row r="252">
      <c r="A252" s="5" t="s">
        <v>550</v>
      </c>
      <c r="B252" s="5" t="s">
        <v>25</v>
      </c>
      <c r="C252" s="5" t="s">
        <v>13</v>
      </c>
      <c r="D252" s="5" t="s">
        <v>492</v>
      </c>
      <c r="F252" s="5" t="s">
        <v>49</v>
      </c>
      <c r="G252" s="5" t="s">
        <v>50</v>
      </c>
      <c r="H252" s="5" t="s">
        <v>18</v>
      </c>
      <c r="I252" s="7" t="s">
        <v>551</v>
      </c>
      <c r="L252" s="5" t="str">
        <f>IFERROR(__xludf.DUMMYFUNCTION("""COMPUTED_VALUE"""),"North Liberty")</f>
        <v>North Liberty</v>
      </c>
    </row>
    <row r="253">
      <c r="A253" s="5" t="s">
        <v>552</v>
      </c>
      <c r="B253" s="5" t="s">
        <v>553</v>
      </c>
      <c r="C253" s="5" t="s">
        <v>13</v>
      </c>
      <c r="D253" s="5" t="s">
        <v>492</v>
      </c>
      <c r="E253" s="5" t="s">
        <v>554</v>
      </c>
      <c r="F253" s="5" t="s">
        <v>75</v>
      </c>
      <c r="G253" s="5" t="s">
        <v>76</v>
      </c>
      <c r="H253" s="5" t="s">
        <v>18</v>
      </c>
      <c r="I253" s="7" t="s">
        <v>555</v>
      </c>
      <c r="L253" s="5" t="str">
        <f>IFERROR(__xludf.DUMMYFUNCTION("""COMPUTED_VALUE"""),"Poway")</f>
        <v>Poway</v>
      </c>
    </row>
    <row r="254">
      <c r="A254" s="5" t="s">
        <v>556</v>
      </c>
      <c r="B254" s="5" t="s">
        <v>557</v>
      </c>
      <c r="C254" s="5" t="s">
        <v>13</v>
      </c>
      <c r="D254" s="5" t="s">
        <v>492</v>
      </c>
      <c r="F254" s="5" t="s">
        <v>558</v>
      </c>
      <c r="G254" s="5" t="s">
        <v>50</v>
      </c>
      <c r="H254" s="5" t="s">
        <v>18</v>
      </c>
      <c r="I254" s="7" t="s">
        <v>559</v>
      </c>
      <c r="L254" s="5" t="str">
        <f>IFERROR(__xludf.DUMMYFUNCTION("""COMPUTED_VALUE"""),"Tucson")</f>
        <v>Tucson</v>
      </c>
    </row>
    <row r="255">
      <c r="A255" s="5" t="s">
        <v>560</v>
      </c>
      <c r="B255" s="5" t="s">
        <v>561</v>
      </c>
      <c r="C255" s="5" t="s">
        <v>13</v>
      </c>
      <c r="D255" s="5" t="s">
        <v>492</v>
      </c>
      <c r="E255" s="5" t="s">
        <v>63</v>
      </c>
      <c r="F255" s="5" t="s">
        <v>80</v>
      </c>
      <c r="G255" s="5" t="s">
        <v>38</v>
      </c>
      <c r="H255" s="5" t="s">
        <v>18</v>
      </c>
      <c r="I255" s="17" t="s">
        <v>10360</v>
      </c>
      <c r="L255" s="5" t="str">
        <f>IFERROR(__xludf.DUMMYFUNCTION("""COMPUTED_VALUE"""),"Woodbury")</f>
        <v>Woodbury</v>
      </c>
    </row>
    <row r="256">
      <c r="A256" s="5" t="s">
        <v>563</v>
      </c>
      <c r="B256" s="5" t="s">
        <v>564</v>
      </c>
      <c r="C256" s="5" t="s">
        <v>13</v>
      </c>
      <c r="D256" s="5" t="s">
        <v>492</v>
      </c>
      <c r="E256" s="5" t="s">
        <v>565</v>
      </c>
      <c r="F256" s="5" t="s">
        <v>566</v>
      </c>
      <c r="G256" s="5" t="s">
        <v>38</v>
      </c>
      <c r="H256" s="5" t="s">
        <v>18</v>
      </c>
      <c r="I256" s="17" t="s">
        <v>10361</v>
      </c>
      <c r="L256" s="5" t="str">
        <f>IFERROR(__xludf.DUMMYFUNCTION("""COMPUTED_VALUE"""),"Bluffton")</f>
        <v>Bluffton</v>
      </c>
    </row>
    <row r="257">
      <c r="A257" s="5" t="s">
        <v>568</v>
      </c>
      <c r="B257" s="5" t="s">
        <v>569</v>
      </c>
      <c r="C257" s="5" t="s">
        <v>13</v>
      </c>
      <c r="D257" s="5" t="s">
        <v>492</v>
      </c>
      <c r="E257" s="5" t="s">
        <v>570</v>
      </c>
      <c r="F257" s="5" t="s">
        <v>122</v>
      </c>
      <c r="G257" s="5" t="s">
        <v>44</v>
      </c>
      <c r="H257" s="5" t="s">
        <v>18</v>
      </c>
      <c r="I257" s="17" t="s">
        <v>10362</v>
      </c>
      <c r="L257" s="5" t="str">
        <f>IFERROR(__xludf.DUMMYFUNCTION("""COMPUTED_VALUE"""),"Draper")</f>
        <v>Draper</v>
      </c>
    </row>
    <row r="258">
      <c r="A258" s="5" t="s">
        <v>572</v>
      </c>
      <c r="B258" s="5" t="s">
        <v>573</v>
      </c>
      <c r="C258" s="5" t="s">
        <v>13</v>
      </c>
      <c r="D258" s="5" t="s">
        <v>492</v>
      </c>
      <c r="E258" s="5" t="s">
        <v>574</v>
      </c>
      <c r="F258" s="5" t="s">
        <v>575</v>
      </c>
      <c r="G258" s="5" t="s">
        <v>137</v>
      </c>
      <c r="H258" s="5" t="s">
        <v>18</v>
      </c>
      <c r="I258" s="17" t="s">
        <v>10363</v>
      </c>
      <c r="L258" s="5" t="str">
        <f>IFERROR(__xludf.DUMMYFUNCTION("""COMPUTED_VALUE"""),"Princeton")</f>
        <v>Princeton</v>
      </c>
    </row>
    <row r="259">
      <c r="A259" s="5" t="s">
        <v>577</v>
      </c>
      <c r="B259" s="5" t="s">
        <v>578</v>
      </c>
      <c r="C259" s="5" t="s">
        <v>13</v>
      </c>
      <c r="D259" s="5" t="s">
        <v>492</v>
      </c>
      <c r="E259" s="5" t="s">
        <v>579</v>
      </c>
      <c r="F259" s="5" t="s">
        <v>137</v>
      </c>
      <c r="G259" s="5" t="s">
        <v>137</v>
      </c>
      <c r="H259" s="5" t="s">
        <v>18</v>
      </c>
      <c r="I259" s="17" t="s">
        <v>10364</v>
      </c>
      <c r="L259" s="5" t="str">
        <f>IFERROR(__xludf.DUMMYFUNCTION("""COMPUTED_VALUE"""),"Queens County")</f>
        <v>Queens County</v>
      </c>
    </row>
    <row r="260">
      <c r="A260" s="5" t="s">
        <v>581</v>
      </c>
      <c r="B260" s="5" t="s">
        <v>582</v>
      </c>
      <c r="C260" s="5" t="s">
        <v>13</v>
      </c>
      <c r="D260" s="5" t="s">
        <v>492</v>
      </c>
      <c r="E260" s="5" t="s">
        <v>165</v>
      </c>
      <c r="F260" s="5" t="s">
        <v>137</v>
      </c>
      <c r="G260" s="5" t="s">
        <v>137</v>
      </c>
      <c r="H260" s="5" t="s">
        <v>18</v>
      </c>
      <c r="I260" s="7" t="s">
        <v>10365</v>
      </c>
      <c r="L260" s="5" t="str">
        <f>IFERROR(__xludf.DUMMYFUNCTION("""COMPUTED_VALUE"""),"Richardson")</f>
        <v>Richardson</v>
      </c>
    </row>
    <row r="261">
      <c r="A261" s="5" t="s">
        <v>584</v>
      </c>
      <c r="B261" s="5" t="s">
        <v>511</v>
      </c>
      <c r="C261" s="5" t="s">
        <v>13</v>
      </c>
      <c r="D261" s="5" t="s">
        <v>492</v>
      </c>
      <c r="E261" s="5" t="s">
        <v>585</v>
      </c>
      <c r="F261" s="5" t="s">
        <v>137</v>
      </c>
      <c r="G261" s="5" t="s">
        <v>137</v>
      </c>
      <c r="H261" s="5" t="s">
        <v>18</v>
      </c>
      <c r="I261" s="17" t="s">
        <v>10366</v>
      </c>
      <c r="L261" s="5" t="str">
        <f>IFERROR(__xludf.DUMMYFUNCTION("""COMPUTED_VALUE"""),"Kitchener")</f>
        <v>Kitchener</v>
      </c>
    </row>
    <row r="262">
      <c r="A262" s="5" t="s">
        <v>587</v>
      </c>
      <c r="B262" s="5" t="s">
        <v>511</v>
      </c>
      <c r="C262" s="5" t="s">
        <v>13</v>
      </c>
      <c r="D262" s="5" t="s">
        <v>492</v>
      </c>
      <c r="E262" s="5" t="s">
        <v>121</v>
      </c>
      <c r="F262" s="5" t="s">
        <v>137</v>
      </c>
      <c r="G262" s="5" t="s">
        <v>137</v>
      </c>
      <c r="H262" s="5" t="s">
        <v>18</v>
      </c>
      <c r="I262" s="17" t="s">
        <v>10367</v>
      </c>
      <c r="L262" s="5" t="str">
        <f>IFERROR(__xludf.DUMMYFUNCTION("""COMPUTED_VALUE"""),"Boulder")</f>
        <v>Boulder</v>
      </c>
    </row>
    <row r="263">
      <c r="A263" s="5" t="s">
        <v>589</v>
      </c>
      <c r="B263" s="5" t="s">
        <v>25</v>
      </c>
      <c r="C263" s="5" t="s">
        <v>13</v>
      </c>
      <c r="D263" s="5" t="s">
        <v>492</v>
      </c>
      <c r="E263" s="5" t="s">
        <v>233</v>
      </c>
      <c r="F263" s="5" t="s">
        <v>137</v>
      </c>
      <c r="G263" s="5" t="s">
        <v>137</v>
      </c>
      <c r="H263" s="5" t="s">
        <v>18</v>
      </c>
      <c r="I263" s="7" t="s">
        <v>590</v>
      </c>
      <c r="L263" s="5" t="str">
        <f>IFERROR(__xludf.DUMMYFUNCTION("""COMPUTED_VALUE"""),"Jersey City")</f>
        <v>Jersey City</v>
      </c>
    </row>
    <row r="264">
      <c r="A264" s="5" t="s">
        <v>591</v>
      </c>
      <c r="B264" s="5" t="s">
        <v>592</v>
      </c>
      <c r="C264" s="5" t="s">
        <v>13</v>
      </c>
      <c r="D264" s="5" t="s">
        <v>492</v>
      </c>
      <c r="E264" s="5" t="s">
        <v>268</v>
      </c>
      <c r="F264" s="5" t="s">
        <v>137</v>
      </c>
      <c r="G264" s="5" t="s">
        <v>137</v>
      </c>
      <c r="H264" s="5" t="s">
        <v>18</v>
      </c>
      <c r="I264" s="17" t="s">
        <v>10368</v>
      </c>
      <c r="L264" s="5" t="str">
        <f>IFERROR(__xludf.DUMMYFUNCTION("""COMPUTED_VALUE"""),"Kirkland")</f>
        <v>Kirkland</v>
      </c>
    </row>
    <row r="265">
      <c r="A265" s="5" t="s">
        <v>594</v>
      </c>
      <c r="B265" s="5" t="s">
        <v>595</v>
      </c>
      <c r="C265" s="5" t="s">
        <v>13</v>
      </c>
      <c r="D265" s="5" t="s">
        <v>492</v>
      </c>
      <c r="E265" s="5" t="s">
        <v>136</v>
      </c>
      <c r="F265" s="5" t="s">
        <v>137</v>
      </c>
      <c r="G265" s="5" t="s">
        <v>137</v>
      </c>
      <c r="H265" s="5" t="s">
        <v>18</v>
      </c>
      <c r="I265" s="17" t="s">
        <v>10369</v>
      </c>
      <c r="L265" s="5" t="str">
        <f>IFERROR(__xludf.DUMMYFUNCTION("""COMPUTED_VALUE"""),"Natick")</f>
        <v>Natick</v>
      </c>
    </row>
    <row r="266">
      <c r="A266" s="5" t="s">
        <v>597</v>
      </c>
      <c r="B266" s="5" t="s">
        <v>25</v>
      </c>
      <c r="C266" s="5" t="s">
        <v>13</v>
      </c>
      <c r="D266" s="5" t="s">
        <v>492</v>
      </c>
      <c r="E266" s="5" t="s">
        <v>100</v>
      </c>
      <c r="F266" s="5" t="s">
        <v>137</v>
      </c>
      <c r="G266" s="5" t="s">
        <v>137</v>
      </c>
      <c r="H266" s="5" t="s">
        <v>18</v>
      </c>
      <c r="I266" s="7" t="s">
        <v>598</v>
      </c>
      <c r="L266" s="5" t="str">
        <f>IFERROR(__xludf.DUMMYFUNCTION("""COMPUTED_VALUE"""),"Redmond")</f>
        <v>Redmond</v>
      </c>
    </row>
    <row r="267">
      <c r="A267" s="5" t="s">
        <v>599</v>
      </c>
      <c r="B267" s="5" t="s">
        <v>600</v>
      </c>
      <c r="C267" s="5" t="s">
        <v>4</v>
      </c>
      <c r="D267" s="5" t="s">
        <v>492</v>
      </c>
      <c r="E267" s="5" t="s">
        <v>228</v>
      </c>
      <c r="F267" s="5" t="s">
        <v>601</v>
      </c>
      <c r="G267" s="5" t="s">
        <v>137</v>
      </c>
      <c r="H267" s="5" t="s">
        <v>18</v>
      </c>
      <c r="I267" s="17" t="s">
        <v>10370</v>
      </c>
      <c r="L267" s="5" t="str">
        <f>IFERROR(__xludf.DUMMYFUNCTION("""COMPUTED_VALUE"""),"Golden Lake")</f>
        <v>Golden Lake</v>
      </c>
    </row>
    <row r="268">
      <c r="A268" s="5" t="s">
        <v>603</v>
      </c>
      <c r="B268" s="5" t="s">
        <v>604</v>
      </c>
      <c r="C268" s="5" t="s">
        <v>13</v>
      </c>
      <c r="D268" s="5" t="s">
        <v>492</v>
      </c>
      <c r="E268" s="5" t="s">
        <v>213</v>
      </c>
      <c r="F268" s="5" t="s">
        <v>102</v>
      </c>
      <c r="G268" s="5" t="s">
        <v>172</v>
      </c>
      <c r="H268" s="5" t="s">
        <v>18</v>
      </c>
      <c r="I268" s="7" t="s">
        <v>10371</v>
      </c>
      <c r="L268" s="5" t="str">
        <f>IFERROR(__xludf.DUMMYFUNCTION("""COMPUTED_VALUE"""),"Brighton and Hove")</f>
        <v>Brighton and Hove</v>
      </c>
    </row>
    <row r="269">
      <c r="A269" s="5" t="s">
        <v>606</v>
      </c>
      <c r="B269" s="5" t="s">
        <v>25</v>
      </c>
      <c r="C269" s="5" t="s">
        <v>13</v>
      </c>
      <c r="D269" s="5" t="s">
        <v>492</v>
      </c>
      <c r="E269" s="5" t="s">
        <v>607</v>
      </c>
      <c r="F269" s="5" t="s">
        <v>608</v>
      </c>
      <c r="G269" s="5" t="s">
        <v>609</v>
      </c>
      <c r="H269" s="5" t="s">
        <v>18</v>
      </c>
      <c r="I269" s="7" t="s">
        <v>610</v>
      </c>
      <c r="L269" s="5" t="str">
        <f>IFERROR(__xludf.DUMMYFUNCTION("""COMPUTED_VALUE"""),"Armonk")</f>
        <v>Armonk</v>
      </c>
    </row>
    <row r="270">
      <c r="A270" s="5" t="s">
        <v>611</v>
      </c>
      <c r="B270" s="5" t="s">
        <v>25</v>
      </c>
      <c r="C270" s="5" t="s">
        <v>13</v>
      </c>
      <c r="D270" s="5" t="s">
        <v>492</v>
      </c>
      <c r="E270" s="5" t="s">
        <v>612</v>
      </c>
      <c r="F270" s="5" t="s">
        <v>608</v>
      </c>
      <c r="G270" s="5" t="s">
        <v>50</v>
      </c>
      <c r="H270" s="5" t="s">
        <v>18</v>
      </c>
      <c r="I270" s="7" t="s">
        <v>613</v>
      </c>
      <c r="L270" s="5" t="str">
        <f>IFERROR(__xludf.DUMMYFUNCTION("""COMPUTED_VALUE"""),"Wrightsville Beach")</f>
        <v>Wrightsville Beach</v>
      </c>
    </row>
    <row r="271">
      <c r="A271" s="5" t="s">
        <v>614</v>
      </c>
      <c r="B271" s="5" t="s">
        <v>25</v>
      </c>
      <c r="C271" s="5" t="s">
        <v>13</v>
      </c>
      <c r="D271" s="5" t="s">
        <v>492</v>
      </c>
      <c r="E271" s="5" t="s">
        <v>331</v>
      </c>
      <c r="F271" s="5" t="s">
        <v>122</v>
      </c>
      <c r="G271" s="5" t="s">
        <v>44</v>
      </c>
      <c r="H271" s="5" t="s">
        <v>18</v>
      </c>
      <c r="I271" s="7" t="s">
        <v>615</v>
      </c>
      <c r="L271" s="5" t="str">
        <f>IFERROR(__xludf.DUMMYFUNCTION("""COMPUTED_VALUE"""),"Fort Collins")</f>
        <v>Fort Collins</v>
      </c>
    </row>
    <row r="272">
      <c r="A272" s="5" t="s">
        <v>616</v>
      </c>
      <c r="B272" s="5" t="s">
        <v>25</v>
      </c>
      <c r="C272" s="5" t="s">
        <v>13</v>
      </c>
      <c r="D272" s="5" t="s">
        <v>492</v>
      </c>
      <c r="E272" s="5" t="s">
        <v>283</v>
      </c>
      <c r="F272" s="5" t="s">
        <v>137</v>
      </c>
      <c r="G272" s="5" t="s">
        <v>137</v>
      </c>
      <c r="H272" s="5" t="s">
        <v>18</v>
      </c>
      <c r="I272" s="7" t="s">
        <v>617</v>
      </c>
      <c r="L272" s="5" t="str">
        <f>IFERROR(__xludf.DUMMYFUNCTION("""COMPUTED_VALUE"""),"New Fairfield")</f>
        <v>New Fairfield</v>
      </c>
    </row>
    <row r="273">
      <c r="A273" s="5" t="s">
        <v>618</v>
      </c>
      <c r="B273" s="5" t="s">
        <v>511</v>
      </c>
      <c r="C273" s="5" t="s">
        <v>13</v>
      </c>
      <c r="D273" s="5" t="s">
        <v>492</v>
      </c>
      <c r="E273" s="5" t="s">
        <v>144</v>
      </c>
      <c r="F273" s="5" t="s">
        <v>137</v>
      </c>
      <c r="G273" s="5" t="s">
        <v>137</v>
      </c>
      <c r="H273" s="5" t="s">
        <v>18</v>
      </c>
      <c r="I273" s="17" t="s">
        <v>10372</v>
      </c>
      <c r="L273" s="5" t="str">
        <f>IFERROR(__xludf.DUMMYFUNCTION("""COMPUTED_VALUE"""),"Round Rock")</f>
        <v>Round Rock</v>
      </c>
    </row>
    <row r="274">
      <c r="A274" s="5" t="s">
        <v>7925</v>
      </c>
      <c r="B274" s="5" t="s">
        <v>7926</v>
      </c>
      <c r="D274" s="5" t="s">
        <v>492</v>
      </c>
      <c r="E274" s="5" t="s">
        <v>121</v>
      </c>
      <c r="F274" s="5" t="s">
        <v>137</v>
      </c>
      <c r="G274" s="5" t="s">
        <v>137</v>
      </c>
      <c r="H274" s="5" t="s">
        <v>18</v>
      </c>
      <c r="I274" s="17" t="s">
        <v>10373</v>
      </c>
      <c r="L274" s="5" t="str">
        <f>IFERROR(__xludf.DUMMYFUNCTION("""COMPUTED_VALUE"""),"Basking Ridge")</f>
        <v>Basking Ridge</v>
      </c>
    </row>
    <row r="275">
      <c r="A275" s="5" t="s">
        <v>9674</v>
      </c>
      <c r="B275" s="5" t="s">
        <v>9675</v>
      </c>
      <c r="C275" s="5" t="s">
        <v>4</v>
      </c>
      <c r="D275" s="5" t="s">
        <v>492</v>
      </c>
      <c r="E275" s="5" t="s">
        <v>686</v>
      </c>
      <c r="F275" s="5" t="s">
        <v>6577</v>
      </c>
      <c r="G275" s="5" t="s">
        <v>4757</v>
      </c>
      <c r="H275" s="5" t="s">
        <v>4607</v>
      </c>
      <c r="I275" s="7" t="s">
        <v>10374</v>
      </c>
      <c r="L275" s="5" t="str">
        <f>IFERROR(__xludf.DUMMYFUNCTION("""COMPUTED_VALUE"""),"Boonton")</f>
        <v>Boonton</v>
      </c>
    </row>
    <row r="276">
      <c r="A276" s="5" t="s">
        <v>7772</v>
      </c>
      <c r="B276" s="5" t="s">
        <v>7773</v>
      </c>
      <c r="D276" s="5" t="s">
        <v>492</v>
      </c>
      <c r="E276" s="5" t="s">
        <v>36</v>
      </c>
      <c r="F276" s="5" t="s">
        <v>137</v>
      </c>
      <c r="G276" s="5" t="s">
        <v>137</v>
      </c>
      <c r="H276" s="5" t="s">
        <v>18</v>
      </c>
      <c r="I276" s="7" t="s">
        <v>7771</v>
      </c>
      <c r="L276" s="5" t="str">
        <f>IFERROR(__xludf.DUMMYFUNCTION("""COMPUTED_VALUE"""),"Albuquerque")</f>
        <v>Albuquerque</v>
      </c>
    </row>
    <row r="277">
      <c r="A277" s="5" t="s">
        <v>6614</v>
      </c>
      <c r="B277" s="5" t="s">
        <v>5054</v>
      </c>
      <c r="D277" s="5" t="s">
        <v>6615</v>
      </c>
      <c r="E277" s="5" t="s">
        <v>441</v>
      </c>
      <c r="F277" s="5" t="s">
        <v>6577</v>
      </c>
      <c r="G277" s="5" t="s">
        <v>4757</v>
      </c>
      <c r="H277" s="5" t="s">
        <v>4607</v>
      </c>
      <c r="I277" s="7" t="s">
        <v>6613</v>
      </c>
      <c r="L277" s="5" t="str">
        <f>IFERROR(__xludf.DUMMYFUNCTION("""COMPUTED_VALUE"""),"Folsom")</f>
        <v>Folsom</v>
      </c>
    </row>
    <row r="278">
      <c r="A278" s="5" t="s">
        <v>6798</v>
      </c>
      <c r="B278" s="5" t="s">
        <v>6799</v>
      </c>
      <c r="D278" s="5" t="s">
        <v>6615</v>
      </c>
      <c r="E278" s="5" t="s">
        <v>832</v>
      </c>
      <c r="F278" s="5" t="s">
        <v>6577</v>
      </c>
      <c r="G278" s="5" t="s">
        <v>4757</v>
      </c>
      <c r="H278" s="5" t="s">
        <v>4607</v>
      </c>
      <c r="I278" s="7" t="s">
        <v>10375</v>
      </c>
      <c r="L278" s="5" t="str">
        <f>IFERROR(__xludf.DUMMYFUNCTION("""COMPUTED_VALUE"""),"Lake Oswego")</f>
        <v>Lake Oswego</v>
      </c>
    </row>
    <row r="279">
      <c r="A279" s="5" t="s">
        <v>6937</v>
      </c>
      <c r="B279" s="5" t="s">
        <v>6938</v>
      </c>
      <c r="D279" s="5" t="s">
        <v>6615</v>
      </c>
      <c r="E279" s="5" t="s">
        <v>100</v>
      </c>
      <c r="F279" s="5" t="s">
        <v>6577</v>
      </c>
      <c r="G279" s="5" t="s">
        <v>4757</v>
      </c>
      <c r="H279" s="5" t="s">
        <v>4607</v>
      </c>
      <c r="I279" s="7" t="s">
        <v>10376</v>
      </c>
      <c r="L279" s="5" t="str">
        <f>IFERROR(__xludf.DUMMYFUNCTION("""COMPUTED_VALUE"""),"Tempe")</f>
        <v>Tempe</v>
      </c>
    </row>
    <row r="280">
      <c r="A280" s="5" t="s">
        <v>6971</v>
      </c>
      <c r="B280" s="5" t="s">
        <v>6972</v>
      </c>
      <c r="D280" s="5" t="s">
        <v>6615</v>
      </c>
      <c r="E280" s="5" t="s">
        <v>512</v>
      </c>
      <c r="F280" s="5" t="s">
        <v>6577</v>
      </c>
      <c r="G280" s="5" t="s">
        <v>4757</v>
      </c>
      <c r="H280" s="5" t="s">
        <v>4607</v>
      </c>
      <c r="I280" s="17" t="s">
        <v>10377</v>
      </c>
      <c r="L280" s="5" t="str">
        <f>IFERROR(__xludf.DUMMYFUNCTION("""COMPUTED_VALUE"""),"Bournemouth")</f>
        <v>Bournemouth</v>
      </c>
    </row>
    <row r="281">
      <c r="A281" s="5" t="s">
        <v>5388</v>
      </c>
      <c r="B281" s="5" t="s">
        <v>5389</v>
      </c>
      <c r="D281" s="5" t="s">
        <v>6615</v>
      </c>
      <c r="E281" s="5" t="s">
        <v>2818</v>
      </c>
      <c r="F281" s="5" t="s">
        <v>5280</v>
      </c>
      <c r="G281" s="5" t="s">
        <v>4638</v>
      </c>
      <c r="H281" s="5" t="s">
        <v>4600</v>
      </c>
      <c r="I281" s="17" t="s">
        <v>10378</v>
      </c>
      <c r="L281" s="5" t="str">
        <f>IFERROR(__xludf.DUMMYFUNCTION("""COMPUTED_VALUE"""),"Davenport")</f>
        <v>Davenport</v>
      </c>
    </row>
    <row r="282">
      <c r="A282" s="5" t="s">
        <v>620</v>
      </c>
      <c r="B282" s="5" t="s">
        <v>178</v>
      </c>
      <c r="C282" s="5" t="s">
        <v>13</v>
      </c>
      <c r="D282" s="5" t="s">
        <v>6615</v>
      </c>
      <c r="E282" s="5" t="s">
        <v>622</v>
      </c>
      <c r="F282" s="5" t="s">
        <v>137</v>
      </c>
      <c r="G282" s="5" t="s">
        <v>137</v>
      </c>
      <c r="H282" s="5" t="s">
        <v>18</v>
      </c>
      <c r="I282" s="7" t="s">
        <v>623</v>
      </c>
      <c r="L282" s="5" t="str">
        <f>IFERROR(__xludf.DUMMYFUNCTION("""COMPUTED_VALUE"""),"Moline")</f>
        <v>Moline</v>
      </c>
    </row>
    <row r="283">
      <c r="A283" s="5" t="s">
        <v>624</v>
      </c>
      <c r="B283" s="5" t="s">
        <v>625</v>
      </c>
      <c r="C283" s="5" t="s">
        <v>13</v>
      </c>
      <c r="D283" s="5" t="s">
        <v>6615</v>
      </c>
      <c r="E283" s="5" t="s">
        <v>626</v>
      </c>
      <c r="F283" s="5" t="s">
        <v>137</v>
      </c>
      <c r="G283" s="5" t="s">
        <v>137</v>
      </c>
      <c r="H283" s="5" t="s">
        <v>18</v>
      </c>
      <c r="I283" s="7" t="s">
        <v>627</v>
      </c>
      <c r="L283" s="5" t="str">
        <f>IFERROR(__xludf.DUMMYFUNCTION("""COMPUTED_VALUE"""),"Mulberry")</f>
        <v>Mulberry</v>
      </c>
    </row>
    <row r="284">
      <c r="A284" s="5" t="s">
        <v>628</v>
      </c>
      <c r="B284" s="5" t="s">
        <v>25</v>
      </c>
      <c r="C284" s="5" t="s">
        <v>13</v>
      </c>
      <c r="D284" s="5" t="s">
        <v>6615</v>
      </c>
      <c r="F284" s="5" t="s">
        <v>137</v>
      </c>
      <c r="G284" s="5" t="s">
        <v>137</v>
      </c>
      <c r="H284" s="5" t="s">
        <v>18</v>
      </c>
      <c r="I284" s="7" t="s">
        <v>629</v>
      </c>
      <c r="L284" s="5" t="str">
        <f>IFERROR(__xludf.DUMMYFUNCTION("""COMPUTED_VALUE"""),"Skillman")</f>
        <v>Skillman</v>
      </c>
    </row>
    <row r="285">
      <c r="A285" s="5" t="s">
        <v>630</v>
      </c>
      <c r="B285" s="5" t="s">
        <v>631</v>
      </c>
      <c r="C285" s="5" t="s">
        <v>13</v>
      </c>
      <c r="D285" s="5" t="s">
        <v>6615</v>
      </c>
      <c r="E285" s="5" t="s">
        <v>441</v>
      </c>
      <c r="F285" s="5" t="s">
        <v>137</v>
      </c>
      <c r="G285" s="5" t="s">
        <v>137</v>
      </c>
      <c r="H285" s="5" t="s">
        <v>18</v>
      </c>
      <c r="I285" s="7" t="s">
        <v>632</v>
      </c>
      <c r="L285" s="5" t="str">
        <f>IFERROR(__xludf.DUMMYFUNCTION("""COMPUTED_VALUE"""),"St Petersburg")</f>
        <v>St Petersburg</v>
      </c>
    </row>
    <row r="286">
      <c r="A286" s="5" t="s">
        <v>7014</v>
      </c>
      <c r="B286" s="5" t="s">
        <v>7015</v>
      </c>
      <c r="D286" s="5" t="s">
        <v>6615</v>
      </c>
      <c r="E286" s="5" t="s">
        <v>7017</v>
      </c>
      <c r="F286" s="5" t="s">
        <v>6577</v>
      </c>
      <c r="G286" s="5" t="s">
        <v>4757</v>
      </c>
      <c r="H286" s="5" t="s">
        <v>4607</v>
      </c>
      <c r="I286" s="7" t="s">
        <v>10379</v>
      </c>
      <c r="L286" s="5" t="str">
        <f>IFERROR(__xludf.DUMMYFUNCTION("""COMPUTED_VALUE"""),"Pasadena")</f>
        <v>Pasadena</v>
      </c>
    </row>
    <row r="287">
      <c r="A287" s="5" t="s">
        <v>9706</v>
      </c>
      <c r="B287" s="5" t="s">
        <v>9707</v>
      </c>
      <c r="D287" s="5" t="s">
        <v>6615</v>
      </c>
      <c r="E287" s="5" t="s">
        <v>106</v>
      </c>
      <c r="F287" s="5" t="s">
        <v>6577</v>
      </c>
      <c r="G287" s="5" t="s">
        <v>4757</v>
      </c>
      <c r="H287" s="5" t="s">
        <v>4607</v>
      </c>
      <c r="I287" s="17" t="s">
        <v>10380</v>
      </c>
      <c r="L287" s="5" t="str">
        <f>IFERROR(__xludf.DUMMYFUNCTION("""COMPUTED_VALUE"""),"Bear")</f>
        <v>Bear</v>
      </c>
    </row>
    <row r="288">
      <c r="A288" s="5" t="s">
        <v>633</v>
      </c>
      <c r="B288" s="5" t="s">
        <v>25</v>
      </c>
      <c r="C288" s="5" t="s">
        <v>13</v>
      </c>
      <c r="D288" s="5" t="s">
        <v>634</v>
      </c>
      <c r="E288" s="5" t="s">
        <v>15</v>
      </c>
      <c r="F288" s="5" t="s">
        <v>635</v>
      </c>
      <c r="G288" s="5" t="s">
        <v>76</v>
      </c>
      <c r="H288" s="5" t="s">
        <v>18</v>
      </c>
      <c r="I288" s="7" t="s">
        <v>636</v>
      </c>
      <c r="L288" s="5" t="str">
        <f>IFERROR(__xludf.DUMMYFUNCTION("""COMPUTED_VALUE"""),"Ponte Vedra Beach")</f>
        <v>Ponte Vedra Beach</v>
      </c>
    </row>
    <row r="289">
      <c r="A289" s="5" t="s">
        <v>637</v>
      </c>
      <c r="B289" s="5" t="s">
        <v>371</v>
      </c>
      <c r="C289" s="5" t="s">
        <v>13</v>
      </c>
      <c r="D289" s="5" t="s">
        <v>634</v>
      </c>
      <c r="E289" s="5" t="s">
        <v>131</v>
      </c>
      <c r="F289" s="5" t="s">
        <v>80</v>
      </c>
      <c r="G289" s="5" t="s">
        <v>38</v>
      </c>
      <c r="H289" s="5" t="s">
        <v>18</v>
      </c>
      <c r="I289" s="7" t="s">
        <v>638</v>
      </c>
      <c r="L289" s="5" t="str">
        <f>IFERROR(__xludf.DUMMYFUNCTION("""COMPUTED_VALUE"""),"Fort Worth")</f>
        <v>Fort Worth</v>
      </c>
    </row>
    <row r="290">
      <c r="A290" s="5" t="s">
        <v>639</v>
      </c>
      <c r="B290" s="5" t="s">
        <v>25</v>
      </c>
      <c r="C290" s="5" t="s">
        <v>13</v>
      </c>
      <c r="D290" s="5" t="s">
        <v>634</v>
      </c>
      <c r="E290" s="5" t="s">
        <v>125</v>
      </c>
      <c r="F290" s="5" t="s">
        <v>166</v>
      </c>
      <c r="G290" s="5" t="s">
        <v>44</v>
      </c>
      <c r="H290" s="5" t="s">
        <v>18</v>
      </c>
      <c r="I290" s="7" t="s">
        <v>640</v>
      </c>
      <c r="L290" s="5" t="str">
        <f>IFERROR(__xludf.DUMMYFUNCTION("""COMPUTED_VALUE"""),"Harrington Park")</f>
        <v>Harrington Park</v>
      </c>
    </row>
    <row r="291">
      <c r="A291" s="5" t="s">
        <v>641</v>
      </c>
      <c r="B291" s="5" t="s">
        <v>642</v>
      </c>
      <c r="C291" s="5" t="s">
        <v>13</v>
      </c>
      <c r="D291" s="5" t="s">
        <v>634</v>
      </c>
      <c r="E291" s="5" t="s">
        <v>106</v>
      </c>
      <c r="F291" s="5" t="s">
        <v>16</v>
      </c>
      <c r="G291" s="5" t="s">
        <v>17</v>
      </c>
      <c r="H291" s="5" t="s">
        <v>18</v>
      </c>
      <c r="I291" s="17" t="s">
        <v>10381</v>
      </c>
      <c r="L291" s="5" t="str">
        <f>IFERROR(__xludf.DUMMYFUNCTION("""COMPUTED_VALUE"""),"Oklahoma City")</f>
        <v>Oklahoma City</v>
      </c>
    </row>
    <row r="292">
      <c r="A292" s="5" t="s">
        <v>644</v>
      </c>
      <c r="B292" s="5" t="s">
        <v>645</v>
      </c>
      <c r="C292" s="5" t="s">
        <v>13</v>
      </c>
      <c r="D292" s="5" t="s">
        <v>634</v>
      </c>
      <c r="E292" s="5" t="s">
        <v>63</v>
      </c>
      <c r="F292" s="5" t="s">
        <v>49</v>
      </c>
      <c r="G292" s="5" t="s">
        <v>50</v>
      </c>
      <c r="H292" s="5" t="s">
        <v>18</v>
      </c>
      <c r="I292" s="17" t="s">
        <v>10382</v>
      </c>
      <c r="L292" s="5" t="str">
        <f>IFERROR(__xludf.DUMMYFUNCTION("""COMPUTED_VALUE"""),"Abingdon")</f>
        <v>Abingdon</v>
      </c>
    </row>
    <row r="293">
      <c r="A293" s="5" t="s">
        <v>647</v>
      </c>
      <c r="B293" s="5" t="s">
        <v>371</v>
      </c>
      <c r="C293" s="5" t="s">
        <v>13</v>
      </c>
      <c r="D293" s="5" t="s">
        <v>634</v>
      </c>
      <c r="E293" s="5" t="s">
        <v>648</v>
      </c>
      <c r="F293" s="5" t="s">
        <v>64</v>
      </c>
      <c r="G293" s="5" t="s">
        <v>65</v>
      </c>
      <c r="H293" s="5" t="s">
        <v>18</v>
      </c>
      <c r="I293" s="17" t="s">
        <v>10383</v>
      </c>
      <c r="L293" s="5" t="str">
        <f>IFERROR(__xludf.DUMMYFUNCTION("""COMPUTED_VALUE"""),"Chadds Ford")</f>
        <v>Chadds Ford</v>
      </c>
    </row>
    <row r="294">
      <c r="A294" s="5" t="s">
        <v>650</v>
      </c>
      <c r="B294" s="5" t="s">
        <v>25</v>
      </c>
      <c r="C294" s="5" t="s">
        <v>13</v>
      </c>
      <c r="D294" s="5" t="s">
        <v>634</v>
      </c>
      <c r="E294" s="5" t="s">
        <v>651</v>
      </c>
      <c r="F294" s="5" t="s">
        <v>75</v>
      </c>
      <c r="G294" s="5" t="s">
        <v>76</v>
      </c>
      <c r="H294" s="5" t="s">
        <v>18</v>
      </c>
      <c r="I294" s="17" t="s">
        <v>10384</v>
      </c>
      <c r="L294" s="5" t="str">
        <f>IFERROR(__xludf.DUMMYFUNCTION("""COMPUTED_VALUE"""),"Rochester")</f>
        <v>Rochester</v>
      </c>
    </row>
    <row r="295">
      <c r="A295" s="5" t="s">
        <v>653</v>
      </c>
      <c r="B295" s="5" t="s">
        <v>25</v>
      </c>
      <c r="C295" s="5" t="s">
        <v>13</v>
      </c>
      <c r="D295" s="5" t="s">
        <v>634</v>
      </c>
      <c r="E295" s="5" t="s">
        <v>654</v>
      </c>
      <c r="F295" s="5" t="s">
        <v>655</v>
      </c>
      <c r="G295" s="5" t="s">
        <v>65</v>
      </c>
      <c r="H295" s="5" t="s">
        <v>18</v>
      </c>
      <c r="I295" s="17" t="s">
        <v>10385</v>
      </c>
      <c r="L295" s="5" t="str">
        <f>IFERROR(__xludf.DUMMYFUNCTION("""COMPUTED_VALUE"""),"West Chester")</f>
        <v>West Chester</v>
      </c>
    </row>
    <row r="296">
      <c r="A296" s="5" t="s">
        <v>657</v>
      </c>
      <c r="B296" s="5" t="s">
        <v>371</v>
      </c>
      <c r="C296" s="5" t="s">
        <v>13</v>
      </c>
      <c r="D296" s="5" t="s">
        <v>634</v>
      </c>
      <c r="E296" s="5" t="s">
        <v>496</v>
      </c>
      <c r="F296" s="5" t="s">
        <v>658</v>
      </c>
      <c r="G296" s="5" t="s">
        <v>91</v>
      </c>
      <c r="H296" s="5" t="s">
        <v>18</v>
      </c>
      <c r="I296" s="17" t="s">
        <v>10386</v>
      </c>
      <c r="L296" s="5" t="str">
        <f>IFERROR(__xludf.DUMMYFUNCTION("""COMPUTED_VALUE"""),"Appleton")</f>
        <v>Appleton</v>
      </c>
    </row>
    <row r="297">
      <c r="A297" s="5" t="s">
        <v>660</v>
      </c>
      <c r="B297" s="5" t="s">
        <v>25</v>
      </c>
      <c r="C297" s="5" t="s">
        <v>13</v>
      </c>
      <c r="D297" s="5" t="s">
        <v>634</v>
      </c>
      <c r="E297" s="5" t="s">
        <v>661</v>
      </c>
      <c r="F297" s="5" t="s">
        <v>122</v>
      </c>
      <c r="G297" s="5" t="s">
        <v>44</v>
      </c>
      <c r="H297" s="5" t="s">
        <v>18</v>
      </c>
      <c r="I297" s="17" t="s">
        <v>10387</v>
      </c>
      <c r="L297" s="5" t="str">
        <f>IFERROR(__xludf.DUMMYFUNCTION("""COMPUTED_VALUE"""),"Green Bay")</f>
        <v>Green Bay</v>
      </c>
    </row>
    <row r="298">
      <c r="A298" s="5" t="s">
        <v>663</v>
      </c>
      <c r="B298" s="5" t="s">
        <v>371</v>
      </c>
      <c r="C298" s="5" t="s">
        <v>13</v>
      </c>
      <c r="D298" s="5" t="s">
        <v>634</v>
      </c>
      <c r="E298" s="5" t="s">
        <v>345</v>
      </c>
      <c r="F298" s="5" t="s">
        <v>137</v>
      </c>
      <c r="G298" s="5" t="s">
        <v>137</v>
      </c>
      <c r="H298" s="5" t="s">
        <v>18</v>
      </c>
      <c r="I298" s="17" t="s">
        <v>10388</v>
      </c>
      <c r="L298" s="5" t="str">
        <f>IFERROR(__xludf.DUMMYFUNCTION("""COMPUTED_VALUE"""),"Neenah")</f>
        <v>Neenah</v>
      </c>
    </row>
    <row r="299">
      <c r="A299" s="5" t="s">
        <v>665</v>
      </c>
      <c r="B299" s="5" t="s">
        <v>25</v>
      </c>
      <c r="C299" s="5" t="s">
        <v>13</v>
      </c>
      <c r="D299" s="5" t="s">
        <v>634</v>
      </c>
      <c r="E299" s="5" t="s">
        <v>666</v>
      </c>
      <c r="F299" s="5" t="s">
        <v>311</v>
      </c>
      <c r="G299" s="5" t="s">
        <v>102</v>
      </c>
      <c r="H299" s="5" t="s">
        <v>18</v>
      </c>
      <c r="I299" s="17" t="s">
        <v>10389</v>
      </c>
      <c r="L299" s="5" t="str">
        <f>IFERROR(__xludf.DUMMYFUNCTION("""COMPUTED_VALUE"""),"Stevens Point")</f>
        <v>Stevens Point</v>
      </c>
    </row>
    <row r="300">
      <c r="A300" s="5" t="s">
        <v>668</v>
      </c>
      <c r="B300" s="5" t="s">
        <v>371</v>
      </c>
      <c r="C300" s="5" t="s">
        <v>13</v>
      </c>
      <c r="D300" s="5" t="s">
        <v>634</v>
      </c>
      <c r="E300" s="5" t="s">
        <v>441</v>
      </c>
      <c r="F300" s="5" t="s">
        <v>669</v>
      </c>
      <c r="G300" s="5" t="s">
        <v>17</v>
      </c>
      <c r="H300" s="5" t="s">
        <v>18</v>
      </c>
      <c r="I300" s="17" t="s">
        <v>10390</v>
      </c>
      <c r="L300" s="5" t="str">
        <f>IFERROR(__xludf.DUMMYFUNCTION("""COMPUTED_VALUE"""),"Cedar Park")</f>
        <v>Cedar Park</v>
      </c>
    </row>
    <row r="301">
      <c r="A301" s="5" t="s">
        <v>671</v>
      </c>
      <c r="B301" s="5" t="s">
        <v>672</v>
      </c>
      <c r="C301" s="5" t="s">
        <v>13</v>
      </c>
      <c r="D301" s="5" t="s">
        <v>634</v>
      </c>
      <c r="E301" s="5" t="s">
        <v>207</v>
      </c>
      <c r="F301" s="5" t="s">
        <v>673</v>
      </c>
      <c r="G301" s="5" t="s">
        <v>137</v>
      </c>
      <c r="H301" s="5" t="s">
        <v>18</v>
      </c>
      <c r="I301" s="17" t="s">
        <v>10391</v>
      </c>
      <c r="L301" s="5" t="str">
        <f>IFERROR(__xludf.DUMMYFUNCTION("""COMPUTED_VALUE"""),"Kingston")</f>
        <v>Kingston</v>
      </c>
    </row>
    <row r="302">
      <c r="A302" s="5" t="s">
        <v>675</v>
      </c>
      <c r="B302" s="5" t="s">
        <v>371</v>
      </c>
      <c r="C302" s="5" t="s">
        <v>13</v>
      </c>
      <c r="D302" s="5" t="s">
        <v>634</v>
      </c>
      <c r="E302" s="5" t="s">
        <v>79</v>
      </c>
      <c r="F302" s="5" t="s">
        <v>102</v>
      </c>
      <c r="G302" s="5" t="s">
        <v>172</v>
      </c>
      <c r="H302" s="5" t="s">
        <v>18</v>
      </c>
      <c r="I302" s="17" t="s">
        <v>10392</v>
      </c>
      <c r="L302" s="5" t="str">
        <f>IFERROR(__xludf.DUMMYFUNCTION("""COMPUTED_VALUE"""),"Mount Pleasant")</f>
        <v>Mount Pleasant</v>
      </c>
    </row>
    <row r="303">
      <c r="A303" s="5" t="s">
        <v>677</v>
      </c>
      <c r="B303" s="5" t="s">
        <v>678</v>
      </c>
      <c r="C303" s="5" t="s">
        <v>13</v>
      </c>
      <c r="D303" s="5" t="s">
        <v>634</v>
      </c>
      <c r="E303" s="5" t="s">
        <v>149</v>
      </c>
      <c r="F303" s="5" t="s">
        <v>679</v>
      </c>
      <c r="G303" s="5" t="s">
        <v>65</v>
      </c>
      <c r="H303" s="5" t="s">
        <v>18</v>
      </c>
      <c r="I303" s="17" t="s">
        <v>10393</v>
      </c>
      <c r="L303" s="5" t="str">
        <f>IFERROR(__xludf.DUMMYFUNCTION("""COMPUTED_VALUE"""),"Yuba City")</f>
        <v>Yuba City</v>
      </c>
    </row>
    <row r="304">
      <c r="A304" s="5" t="s">
        <v>10077</v>
      </c>
      <c r="B304" s="5" t="s">
        <v>10078</v>
      </c>
      <c r="D304" s="5" t="s">
        <v>634</v>
      </c>
      <c r="E304" s="5" t="s">
        <v>94</v>
      </c>
      <c r="F304" s="5" t="s">
        <v>10060</v>
      </c>
      <c r="G304" s="5" t="s">
        <v>4638</v>
      </c>
      <c r="H304" s="5" t="s">
        <v>4600</v>
      </c>
      <c r="I304" s="17" t="s">
        <v>10394</v>
      </c>
      <c r="L304" s="5" t="str">
        <f>IFERROR(__xludf.DUMMYFUNCTION("""COMPUTED_VALUE"""),"Exton")</f>
        <v>Exton</v>
      </c>
    </row>
    <row r="305">
      <c r="A305" s="5" t="s">
        <v>6971</v>
      </c>
      <c r="B305" s="5" t="s">
        <v>10065</v>
      </c>
      <c r="D305" s="5" t="s">
        <v>10066</v>
      </c>
      <c r="E305" s="5" t="s">
        <v>387</v>
      </c>
      <c r="F305" s="5" t="s">
        <v>10060</v>
      </c>
      <c r="G305" s="5" t="s">
        <v>4638</v>
      </c>
      <c r="H305" s="5" t="s">
        <v>4600</v>
      </c>
      <c r="I305" s="17" t="s">
        <v>10395</v>
      </c>
      <c r="L305" s="5" t="str">
        <f>IFERROR(__xludf.DUMMYFUNCTION("""COMPUTED_VALUE"""),"Fayetteville")</f>
        <v>Fayetteville</v>
      </c>
    </row>
    <row r="306">
      <c r="A306" s="5" t="s">
        <v>6658</v>
      </c>
      <c r="B306" s="5" t="s">
        <v>6659</v>
      </c>
      <c r="D306" s="5" t="s">
        <v>682</v>
      </c>
      <c r="E306" s="5" t="s">
        <v>237</v>
      </c>
      <c r="F306" s="5" t="s">
        <v>6577</v>
      </c>
      <c r="G306" s="5" t="s">
        <v>4757</v>
      </c>
      <c r="H306" s="5" t="s">
        <v>4607</v>
      </c>
      <c r="I306" s="7" t="s">
        <v>6657</v>
      </c>
      <c r="L306" s="5" t="str">
        <f>IFERROR(__xludf.DUMMYFUNCTION("""COMPUTED_VALUE"""),"Walworth County")</f>
        <v>Walworth County</v>
      </c>
    </row>
    <row r="307">
      <c r="A307" s="5" t="s">
        <v>6702</v>
      </c>
      <c r="B307" s="5" t="s">
        <v>6703</v>
      </c>
      <c r="D307" s="5" t="s">
        <v>682</v>
      </c>
      <c r="E307" s="5" t="s">
        <v>33</v>
      </c>
      <c r="F307" s="5" t="s">
        <v>6577</v>
      </c>
      <c r="G307" s="5" t="s">
        <v>4757</v>
      </c>
      <c r="H307" s="5" t="s">
        <v>4607</v>
      </c>
      <c r="I307" s="17" t="s">
        <v>10396</v>
      </c>
      <c r="L307" s="5" t="str">
        <f>IFERROR(__xludf.DUMMYFUNCTION("""COMPUTED_VALUE"""),"Pensacola")</f>
        <v>Pensacola</v>
      </c>
    </row>
    <row r="308">
      <c r="A308" s="5" t="s">
        <v>681</v>
      </c>
      <c r="B308" s="5" t="s">
        <v>25</v>
      </c>
      <c r="C308" s="5" t="s">
        <v>13</v>
      </c>
      <c r="D308" s="5" t="s">
        <v>682</v>
      </c>
      <c r="E308" s="5" t="s">
        <v>455</v>
      </c>
      <c r="F308" s="5" t="s">
        <v>16</v>
      </c>
      <c r="G308" s="5" t="s">
        <v>17</v>
      </c>
      <c r="H308" s="5" t="s">
        <v>18</v>
      </c>
      <c r="I308" s="7" t="s">
        <v>683</v>
      </c>
      <c r="L308" s="5" t="str">
        <f>IFERROR(__xludf.DUMMYFUNCTION("""COMPUTED_VALUE"""),"Anchorage")</f>
        <v>Anchorage</v>
      </c>
    </row>
    <row r="309">
      <c r="A309" s="5" t="s">
        <v>684</v>
      </c>
      <c r="B309" s="5" t="s">
        <v>685</v>
      </c>
      <c r="C309" s="5" t="s">
        <v>13</v>
      </c>
      <c r="D309" s="5" t="s">
        <v>682</v>
      </c>
      <c r="E309" s="5" t="s">
        <v>686</v>
      </c>
      <c r="F309" s="5" t="s">
        <v>16</v>
      </c>
      <c r="G309" s="5" t="s">
        <v>17</v>
      </c>
      <c r="H309" s="5" t="s">
        <v>18</v>
      </c>
      <c r="I309" s="17" t="s">
        <v>10397</v>
      </c>
      <c r="L309" s="5" t="str">
        <f>IFERROR(__xludf.DUMMYFUNCTION("""COMPUTED_VALUE"""),"Conyers")</f>
        <v>Conyers</v>
      </c>
    </row>
    <row r="310">
      <c r="A310" s="5" t="s">
        <v>688</v>
      </c>
      <c r="B310" s="5" t="s">
        <v>25</v>
      </c>
      <c r="C310" s="5" t="s">
        <v>13</v>
      </c>
      <c r="D310" s="5" t="s">
        <v>682</v>
      </c>
      <c r="E310" s="5" t="s">
        <v>29</v>
      </c>
      <c r="F310" s="5" t="s">
        <v>16</v>
      </c>
      <c r="G310" s="5" t="s">
        <v>17</v>
      </c>
      <c r="H310" s="5" t="s">
        <v>18</v>
      </c>
      <c r="I310" s="17" t="s">
        <v>10398</v>
      </c>
      <c r="L310" s="5" t="str">
        <f>IFERROR(__xludf.DUMMYFUNCTION("""COMPUTED_VALUE"""),"Hamel")</f>
        <v>Hamel</v>
      </c>
    </row>
    <row r="311">
      <c r="A311" s="5" t="s">
        <v>690</v>
      </c>
      <c r="B311" s="5" t="s">
        <v>25</v>
      </c>
      <c r="C311" s="5" t="s">
        <v>13</v>
      </c>
      <c r="D311" s="5" t="s">
        <v>682</v>
      </c>
      <c r="E311" s="5" t="s">
        <v>691</v>
      </c>
      <c r="F311" s="5" t="s">
        <v>137</v>
      </c>
      <c r="G311" s="5" t="s">
        <v>137</v>
      </c>
      <c r="H311" s="5" t="s">
        <v>18</v>
      </c>
      <c r="I311" s="7" t="s">
        <v>692</v>
      </c>
      <c r="L311" s="5" t="str">
        <f>IFERROR(__xludf.DUMMYFUNCTION("""COMPUTED_VALUE"""),"Rumford")</f>
        <v>Rumford</v>
      </c>
    </row>
    <row r="312">
      <c r="A312" s="5" t="s">
        <v>693</v>
      </c>
      <c r="B312" s="5" t="s">
        <v>625</v>
      </c>
      <c r="C312" s="5" t="s">
        <v>13</v>
      </c>
      <c r="D312" s="5" t="s">
        <v>682</v>
      </c>
      <c r="E312" s="5" t="s">
        <v>694</v>
      </c>
      <c r="F312" s="5" t="s">
        <v>137</v>
      </c>
      <c r="G312" s="5" t="s">
        <v>137</v>
      </c>
      <c r="H312" s="5" t="s">
        <v>18</v>
      </c>
      <c r="I312" s="7" t="s">
        <v>695</v>
      </c>
      <c r="L312" s="5" t="str">
        <f>IFERROR(__xludf.DUMMYFUNCTION("""COMPUTED_VALUE"""),"Sandy")</f>
        <v>Sandy</v>
      </c>
    </row>
    <row r="313">
      <c r="A313" s="5" t="s">
        <v>696</v>
      </c>
      <c r="B313" s="5" t="s">
        <v>625</v>
      </c>
      <c r="C313" s="5" t="s">
        <v>13</v>
      </c>
      <c r="D313" s="5" t="s">
        <v>682</v>
      </c>
      <c r="E313" s="5" t="s">
        <v>697</v>
      </c>
      <c r="F313" s="5" t="s">
        <v>137</v>
      </c>
      <c r="G313" s="5" t="s">
        <v>137</v>
      </c>
      <c r="H313" s="5" t="s">
        <v>18</v>
      </c>
      <c r="I313" s="7" t="s">
        <v>698</v>
      </c>
      <c r="L313" s="5" t="str">
        <f>IFERROR(__xludf.DUMMYFUNCTION("""COMPUTED_VALUE"""),"South Hadley")</f>
        <v>South Hadley</v>
      </c>
    </row>
    <row r="314">
      <c r="A314" s="5" t="s">
        <v>699</v>
      </c>
      <c r="B314" s="5" t="s">
        <v>25</v>
      </c>
      <c r="C314" s="5" t="s">
        <v>13</v>
      </c>
      <c r="D314" s="5" t="s">
        <v>682</v>
      </c>
      <c r="E314" s="5" t="s">
        <v>36</v>
      </c>
      <c r="F314" s="5" t="s">
        <v>137</v>
      </c>
      <c r="G314" s="5" t="s">
        <v>137</v>
      </c>
      <c r="H314" s="5" t="s">
        <v>18</v>
      </c>
      <c r="I314" s="7" t="s">
        <v>700</v>
      </c>
      <c r="L314" s="5" t="str">
        <f>IFERROR(__xludf.DUMMYFUNCTION("""COMPUTED_VALUE"""),"Roseville")</f>
        <v>Roseville</v>
      </c>
    </row>
    <row r="315">
      <c r="A315" s="5" t="s">
        <v>4928</v>
      </c>
      <c r="B315" s="5" t="s">
        <v>4929</v>
      </c>
      <c r="D315" s="5" t="s">
        <v>4930</v>
      </c>
      <c r="E315" s="5" t="s">
        <v>4931</v>
      </c>
      <c r="F315" s="5" t="s">
        <v>4910</v>
      </c>
      <c r="G315" s="5" t="s">
        <v>4638</v>
      </c>
      <c r="H315" s="5" t="s">
        <v>4600</v>
      </c>
      <c r="I315" s="7" t="s">
        <v>4927</v>
      </c>
      <c r="L315" s="5" t="str">
        <f>IFERROR(__xludf.DUMMYFUNCTION("""COMPUTED_VALUE"""),"Alpharetta")</f>
        <v>Alpharetta</v>
      </c>
    </row>
    <row r="316">
      <c r="A316" s="5" t="s">
        <v>5230</v>
      </c>
      <c r="B316" s="5" t="s">
        <v>5231</v>
      </c>
      <c r="D316" s="5" t="s">
        <v>4930</v>
      </c>
      <c r="E316" s="5" t="s">
        <v>1289</v>
      </c>
      <c r="F316" s="5" t="s">
        <v>4643</v>
      </c>
      <c r="G316" s="5" t="s">
        <v>4644</v>
      </c>
      <c r="H316" s="5" t="s">
        <v>4600</v>
      </c>
      <c r="I316" s="17" t="s">
        <v>10399</v>
      </c>
      <c r="L316" s="5" t="str">
        <f>IFERROR(__xludf.DUMMYFUNCTION("""COMPUTED_VALUE"""),"Mount Bethel")</f>
        <v>Mount Bethel</v>
      </c>
    </row>
    <row r="317">
      <c r="A317" s="5" t="s">
        <v>7624</v>
      </c>
      <c r="B317" s="5" t="s">
        <v>7625</v>
      </c>
      <c r="D317" s="5" t="s">
        <v>4930</v>
      </c>
      <c r="E317" s="5" t="s">
        <v>7626</v>
      </c>
      <c r="F317" s="5" t="s">
        <v>7548</v>
      </c>
      <c r="G317" s="5" t="s">
        <v>6159</v>
      </c>
      <c r="H317" s="5" t="s">
        <v>4600</v>
      </c>
      <c r="I317" s="17" t="s">
        <v>10400</v>
      </c>
      <c r="L317" s="5" t="str">
        <f>IFERROR(__xludf.DUMMYFUNCTION("""COMPUTED_VALUE"""),"Norcross")</f>
        <v>Norcross</v>
      </c>
    </row>
    <row r="318">
      <c r="A318" s="5" t="s">
        <v>5620</v>
      </c>
      <c r="B318" s="5" t="s">
        <v>5621</v>
      </c>
      <c r="D318" s="5" t="s">
        <v>702</v>
      </c>
      <c r="E318" s="5" t="s">
        <v>694</v>
      </c>
      <c r="F318" s="5" t="s">
        <v>5622</v>
      </c>
      <c r="G318" s="5" t="s">
        <v>96</v>
      </c>
      <c r="H318" s="5" t="s">
        <v>18</v>
      </c>
      <c r="I318" s="7" t="s">
        <v>5619</v>
      </c>
      <c r="L318" s="5" t="str">
        <f>IFERROR(__xludf.DUMMYFUNCTION("""COMPUTED_VALUE"""),"Short Hills")</f>
        <v>Short Hills</v>
      </c>
    </row>
    <row r="319">
      <c r="A319" s="5" t="s">
        <v>6634</v>
      </c>
      <c r="B319" s="5" t="s">
        <v>6635</v>
      </c>
      <c r="D319" s="5" t="s">
        <v>702</v>
      </c>
      <c r="E319" s="5" t="s">
        <v>387</v>
      </c>
      <c r="F319" s="5" t="s">
        <v>6577</v>
      </c>
      <c r="G319" s="5" t="s">
        <v>4757</v>
      </c>
      <c r="H319" s="5" t="s">
        <v>4607</v>
      </c>
      <c r="I319" s="7" t="s">
        <v>6633</v>
      </c>
      <c r="L319" s="5" t="str">
        <f>IFERROR(__xludf.DUMMYFUNCTION("""COMPUTED_VALUE"""),"Shreveport")</f>
        <v>Shreveport</v>
      </c>
    </row>
    <row r="320">
      <c r="A320" s="5" t="s">
        <v>6667</v>
      </c>
      <c r="B320" s="5" t="s">
        <v>6668</v>
      </c>
      <c r="D320" s="5" t="s">
        <v>702</v>
      </c>
      <c r="E320" s="5" t="s">
        <v>351</v>
      </c>
      <c r="F320" s="5" t="s">
        <v>6577</v>
      </c>
      <c r="G320" s="5" t="s">
        <v>4757</v>
      </c>
      <c r="H320" s="5" t="s">
        <v>4607</v>
      </c>
      <c r="I320" s="7" t="s">
        <v>6666</v>
      </c>
      <c r="L320" s="5" t="str">
        <f>IFERROR(__xludf.DUMMYFUNCTION("""COMPUTED_VALUE"""),"Smithtown")</f>
        <v>Smithtown</v>
      </c>
    </row>
    <row r="321">
      <c r="A321" s="5" t="s">
        <v>6697</v>
      </c>
      <c r="B321" s="5" t="s">
        <v>6652</v>
      </c>
      <c r="D321" s="5" t="s">
        <v>702</v>
      </c>
      <c r="E321" s="5" t="s">
        <v>257</v>
      </c>
      <c r="F321" s="5" t="s">
        <v>6577</v>
      </c>
      <c r="G321" s="5" t="s">
        <v>4757</v>
      </c>
      <c r="H321" s="5" t="s">
        <v>4607</v>
      </c>
      <c r="I321" s="7" t="s">
        <v>6696</v>
      </c>
      <c r="L321" s="5" t="str">
        <f>IFERROR(__xludf.DUMMYFUNCTION("""COMPUTED_VALUE"""),"Los Angeles County")</f>
        <v>Los Angeles County</v>
      </c>
    </row>
    <row r="322">
      <c r="A322" s="5" t="s">
        <v>6725</v>
      </c>
      <c r="B322" s="5" t="s">
        <v>6726</v>
      </c>
      <c r="D322" s="5" t="s">
        <v>702</v>
      </c>
      <c r="E322" s="5" t="s">
        <v>727</v>
      </c>
      <c r="F322" s="5" t="s">
        <v>6577</v>
      </c>
      <c r="G322" s="5" t="s">
        <v>4757</v>
      </c>
      <c r="H322" s="5" t="s">
        <v>4607</v>
      </c>
      <c r="I322" s="7" t="s">
        <v>6724</v>
      </c>
      <c r="L322" s="5" t="str">
        <f>IFERROR(__xludf.DUMMYFUNCTION("""COMPUTED_VALUE"""),"Ann Arbor")</f>
        <v>Ann Arbor</v>
      </c>
    </row>
    <row r="323">
      <c r="A323" s="5" t="s">
        <v>6789</v>
      </c>
      <c r="B323" s="5" t="s">
        <v>6790</v>
      </c>
      <c r="D323" s="5" t="s">
        <v>702</v>
      </c>
      <c r="E323" s="5" t="s">
        <v>1098</v>
      </c>
      <c r="F323" s="5" t="s">
        <v>6577</v>
      </c>
      <c r="G323" s="5" t="s">
        <v>4757</v>
      </c>
      <c r="H323" s="5" t="s">
        <v>4607</v>
      </c>
      <c r="I323" s="7" t="s">
        <v>6788</v>
      </c>
      <c r="L323" s="5" t="str">
        <f>IFERROR(__xludf.DUMMYFUNCTION("""COMPUTED_VALUE"""),"Delaware")</f>
        <v>Delaware</v>
      </c>
    </row>
    <row r="324">
      <c r="A324" s="5" t="s">
        <v>6814</v>
      </c>
      <c r="B324" s="5" t="s">
        <v>6635</v>
      </c>
      <c r="D324" s="5" t="s">
        <v>702</v>
      </c>
      <c r="E324" s="5" t="s">
        <v>399</v>
      </c>
      <c r="F324" s="5" t="s">
        <v>6577</v>
      </c>
      <c r="G324" s="5" t="s">
        <v>4757</v>
      </c>
      <c r="H324" s="5" t="s">
        <v>4607</v>
      </c>
      <c r="I324" s="7" t="s">
        <v>6813</v>
      </c>
      <c r="L324" s="5" t="str">
        <f>IFERROR(__xludf.DUMMYFUNCTION("""COMPUTED_VALUE"""),"Highland")</f>
        <v>Highland</v>
      </c>
    </row>
    <row r="325">
      <c r="A325" s="5" t="s">
        <v>6819</v>
      </c>
      <c r="B325" s="5" t="s">
        <v>6820</v>
      </c>
      <c r="D325" s="5" t="s">
        <v>702</v>
      </c>
      <c r="E325" s="5" t="s">
        <v>207</v>
      </c>
      <c r="F325" s="5" t="s">
        <v>6577</v>
      </c>
      <c r="G325" s="5" t="s">
        <v>4757</v>
      </c>
      <c r="H325" s="5" t="s">
        <v>4607</v>
      </c>
      <c r="I325" s="7" t="s">
        <v>10401</v>
      </c>
      <c r="L325" s="5" t="str">
        <f>IFERROR(__xludf.DUMMYFUNCTION("""COMPUTED_VALUE"""),"Walnut Creek")</f>
        <v>Walnut Creek</v>
      </c>
    </row>
    <row r="326">
      <c r="A326" s="5" t="s">
        <v>7069</v>
      </c>
      <c r="B326" s="5" t="s">
        <v>7070</v>
      </c>
      <c r="D326" s="5" t="s">
        <v>702</v>
      </c>
      <c r="E326" s="5" t="s">
        <v>2265</v>
      </c>
      <c r="F326" s="5" t="s">
        <v>6577</v>
      </c>
      <c r="G326" s="5" t="s">
        <v>4757</v>
      </c>
      <c r="H326" s="5" t="s">
        <v>4607</v>
      </c>
      <c r="I326" s="7" t="s">
        <v>7068</v>
      </c>
      <c r="L326" s="5" t="str">
        <f>IFERROR(__xludf.DUMMYFUNCTION("""COMPUTED_VALUE"""),"Warren")</f>
        <v>Warren</v>
      </c>
    </row>
    <row r="327">
      <c r="A327" s="5" t="s">
        <v>7743</v>
      </c>
      <c r="B327" s="5" t="s">
        <v>7744</v>
      </c>
      <c r="D327" s="5" t="s">
        <v>702</v>
      </c>
      <c r="E327" s="5" t="s">
        <v>165</v>
      </c>
      <c r="F327" s="5" t="s">
        <v>137</v>
      </c>
      <c r="G327" s="5" t="s">
        <v>137</v>
      </c>
      <c r="H327" s="5" t="s">
        <v>18</v>
      </c>
      <c r="I327" s="7" t="s">
        <v>7742</v>
      </c>
      <c r="L327" s="5" t="str">
        <f>IFERROR(__xludf.DUMMYFUNCTION("""COMPUTED_VALUE"""),"Lynn")</f>
        <v>Lynn</v>
      </c>
    </row>
    <row r="328">
      <c r="A328" s="5" t="s">
        <v>7750</v>
      </c>
      <c r="B328" s="5" t="s">
        <v>4749</v>
      </c>
      <c r="D328" s="5" t="s">
        <v>702</v>
      </c>
      <c r="E328" s="5" t="s">
        <v>165</v>
      </c>
      <c r="F328" s="5" t="s">
        <v>137</v>
      </c>
      <c r="G328" s="5" t="s">
        <v>137</v>
      </c>
      <c r="H328" s="5" t="s">
        <v>18</v>
      </c>
      <c r="I328" s="7" t="s">
        <v>7749</v>
      </c>
      <c r="L328" s="5" t="str">
        <f>IFERROR(__xludf.DUMMYFUNCTION("""COMPUTED_VALUE"""),"Portsmouth")</f>
        <v>Portsmouth</v>
      </c>
    </row>
    <row r="329">
      <c r="A329" s="5" t="s">
        <v>7782</v>
      </c>
      <c r="B329" s="5" t="s">
        <v>7744</v>
      </c>
      <c r="D329" s="5" t="s">
        <v>702</v>
      </c>
      <c r="E329" s="5" t="s">
        <v>387</v>
      </c>
      <c r="F329" s="5" t="s">
        <v>137</v>
      </c>
      <c r="G329" s="5" t="s">
        <v>137</v>
      </c>
      <c r="H329" s="5" t="s">
        <v>18</v>
      </c>
      <c r="I329" s="7" t="s">
        <v>7781</v>
      </c>
      <c r="L329" s="5" t="str">
        <f>IFERROR(__xludf.DUMMYFUNCTION("""COMPUTED_VALUE"""),"Quincy")</f>
        <v>Quincy</v>
      </c>
    </row>
    <row r="330">
      <c r="A330" s="5" t="s">
        <v>7811</v>
      </c>
      <c r="B330" s="5" t="s">
        <v>7812</v>
      </c>
      <c r="D330" s="5" t="s">
        <v>702</v>
      </c>
      <c r="E330" s="5" t="s">
        <v>1300</v>
      </c>
      <c r="F330" s="5" t="s">
        <v>137</v>
      </c>
      <c r="G330" s="5" t="s">
        <v>137</v>
      </c>
      <c r="H330" s="5" t="s">
        <v>18</v>
      </c>
      <c r="I330" s="7" t="s">
        <v>7810</v>
      </c>
      <c r="L330" s="5" t="str">
        <f>IFERROR(__xludf.DUMMYFUNCTION("""COMPUTED_VALUE"""),"Suffolk County")</f>
        <v>Suffolk County</v>
      </c>
    </row>
    <row r="331">
      <c r="A331" s="5" t="s">
        <v>7816</v>
      </c>
      <c r="B331" s="5" t="s">
        <v>7744</v>
      </c>
      <c r="D331" s="5" t="s">
        <v>702</v>
      </c>
      <c r="E331" s="5" t="s">
        <v>441</v>
      </c>
      <c r="F331" s="5" t="s">
        <v>137</v>
      </c>
      <c r="G331" s="5" t="s">
        <v>137</v>
      </c>
      <c r="H331" s="5" t="s">
        <v>18</v>
      </c>
      <c r="I331" s="7" t="s">
        <v>7815</v>
      </c>
      <c r="L331" s="5" t="str">
        <f>IFERROR(__xludf.DUMMYFUNCTION("""COMPUTED_VALUE"""),"Oceano")</f>
        <v>Oceano</v>
      </c>
    </row>
    <row r="332">
      <c r="A332" s="5" t="s">
        <v>7868</v>
      </c>
      <c r="B332" s="5" t="s">
        <v>7869</v>
      </c>
      <c r="D332" s="5" t="s">
        <v>702</v>
      </c>
      <c r="E332" s="5" t="s">
        <v>654</v>
      </c>
      <c r="F332" s="5" t="s">
        <v>137</v>
      </c>
      <c r="G332" s="5" t="s">
        <v>137</v>
      </c>
      <c r="H332" s="5" t="s">
        <v>18</v>
      </c>
      <c r="I332" s="7" t="s">
        <v>7867</v>
      </c>
      <c r="L332" s="5" t="str">
        <f>IFERROR(__xludf.DUMMYFUNCTION("""COMPUTED_VALUE"""),"Salem")</f>
        <v>Salem</v>
      </c>
    </row>
    <row r="333">
      <c r="A333" s="5" t="s">
        <v>7960</v>
      </c>
      <c r="B333" s="5" t="s">
        <v>7961</v>
      </c>
      <c r="D333" s="5" t="s">
        <v>702</v>
      </c>
      <c r="E333" s="5" t="s">
        <v>727</v>
      </c>
      <c r="F333" s="5" t="s">
        <v>137</v>
      </c>
      <c r="G333" s="5" t="s">
        <v>137</v>
      </c>
      <c r="H333" s="5" t="s">
        <v>18</v>
      </c>
      <c r="I333" s="7" t="s">
        <v>10402</v>
      </c>
      <c r="L333" s="5" t="str">
        <f>IFERROR(__xludf.DUMMYFUNCTION("""COMPUTED_VALUE"""),"Springfield-Branson")</f>
        <v>Springfield-Branson</v>
      </c>
    </row>
    <row r="334">
      <c r="A334" s="5" t="s">
        <v>7988</v>
      </c>
      <c r="B334" s="5" t="s">
        <v>7989</v>
      </c>
      <c r="D334" s="5" t="s">
        <v>702</v>
      </c>
      <c r="E334" s="5" t="s">
        <v>1676</v>
      </c>
      <c r="F334" s="5" t="s">
        <v>137</v>
      </c>
      <c r="G334" s="5" t="s">
        <v>137</v>
      </c>
      <c r="H334" s="5" t="s">
        <v>18</v>
      </c>
      <c r="I334" s="7" t="s">
        <v>10403</v>
      </c>
      <c r="L334" s="5" t="str">
        <f>IFERROR(__xludf.DUMMYFUNCTION("""COMPUTED_VALUE"""),"Bothell")</f>
        <v>Bothell</v>
      </c>
    </row>
    <row r="335">
      <c r="A335" s="5" t="s">
        <v>8603</v>
      </c>
      <c r="B335" s="5" t="s">
        <v>8604</v>
      </c>
      <c r="D335" s="5" t="s">
        <v>702</v>
      </c>
      <c r="E335" s="5" t="s">
        <v>727</v>
      </c>
      <c r="F335" s="5" t="s">
        <v>1867</v>
      </c>
      <c r="G335" s="5" t="s">
        <v>44</v>
      </c>
      <c r="H335" s="5" t="s">
        <v>18</v>
      </c>
      <c r="I335" s="18" t="s">
        <v>10404</v>
      </c>
      <c r="L335" s="5" t="str">
        <f>IFERROR(__xludf.DUMMYFUNCTION("""COMPUTED_VALUE"""),"Collegeville")</f>
        <v>Collegeville</v>
      </c>
    </row>
    <row r="336">
      <c r="A336" s="5" t="s">
        <v>8792</v>
      </c>
      <c r="B336" s="5" t="s">
        <v>5054</v>
      </c>
      <c r="D336" s="5" t="s">
        <v>702</v>
      </c>
      <c r="E336" s="5" t="s">
        <v>188</v>
      </c>
      <c r="F336" s="5" t="s">
        <v>8782</v>
      </c>
      <c r="G336" s="5" t="s">
        <v>4757</v>
      </c>
      <c r="H336" s="5" t="s">
        <v>4607</v>
      </c>
      <c r="I336" s="7" t="s">
        <v>8791</v>
      </c>
      <c r="L336" s="5" t="str">
        <f>IFERROR(__xludf.DUMMYFUNCTION("""COMPUTED_VALUE"""),"Hamden")</f>
        <v>Hamden</v>
      </c>
    </row>
    <row r="337">
      <c r="A337" s="5" t="s">
        <v>9665</v>
      </c>
      <c r="B337" s="5" t="s">
        <v>6635</v>
      </c>
      <c r="D337" s="5" t="s">
        <v>702</v>
      </c>
      <c r="E337" s="5" t="s">
        <v>26</v>
      </c>
      <c r="F337" s="5" t="s">
        <v>6577</v>
      </c>
      <c r="G337" s="5" t="s">
        <v>4757</v>
      </c>
      <c r="H337" s="5" t="s">
        <v>4607</v>
      </c>
      <c r="I337" s="7" t="s">
        <v>9664</v>
      </c>
      <c r="L337" s="5" t="str">
        <f>IFERROR(__xludf.DUMMYFUNCTION("""COMPUTED_VALUE"""),"King of Prussia")</f>
        <v>King of Prussia</v>
      </c>
    </row>
    <row r="338">
      <c r="A338" s="5" t="s">
        <v>701</v>
      </c>
      <c r="B338" s="5" t="s">
        <v>47</v>
      </c>
      <c r="C338" s="5" t="s">
        <v>13</v>
      </c>
      <c r="D338" s="5" t="s">
        <v>702</v>
      </c>
      <c r="E338" s="5" t="s">
        <v>331</v>
      </c>
      <c r="F338" s="5" t="s">
        <v>703</v>
      </c>
      <c r="G338" s="5" t="s">
        <v>137</v>
      </c>
      <c r="H338" s="5" t="s">
        <v>18</v>
      </c>
      <c r="I338" s="7" t="s">
        <v>704</v>
      </c>
      <c r="L338" s="5" t="str">
        <f>IFERROR(__xludf.DUMMYFUNCTION("""COMPUTED_VALUE"""),"Liverpool")</f>
        <v>Liverpool</v>
      </c>
    </row>
    <row r="339">
      <c r="A339" s="5" t="s">
        <v>705</v>
      </c>
      <c r="B339" s="5" t="s">
        <v>25</v>
      </c>
      <c r="C339" s="5" t="s">
        <v>13</v>
      </c>
      <c r="D339" s="5" t="s">
        <v>702</v>
      </c>
      <c r="E339" s="5" t="s">
        <v>387</v>
      </c>
      <c r="F339" s="5" t="s">
        <v>706</v>
      </c>
      <c r="G339" s="5" t="s">
        <v>96</v>
      </c>
      <c r="H339" s="5" t="s">
        <v>18</v>
      </c>
      <c r="I339" s="7" t="s">
        <v>707</v>
      </c>
      <c r="L339" s="5" t="str">
        <f>IFERROR(__xludf.DUMMYFUNCTION("""COMPUTED_VALUE"""),"Phoenixville")</f>
        <v>Phoenixville</v>
      </c>
    </row>
    <row r="340">
      <c r="A340" s="5" t="s">
        <v>708</v>
      </c>
      <c r="B340" s="5" t="s">
        <v>709</v>
      </c>
      <c r="C340" s="5" t="s">
        <v>13</v>
      </c>
      <c r="D340" s="5" t="s">
        <v>702</v>
      </c>
      <c r="E340" s="5" t="s">
        <v>241</v>
      </c>
      <c r="F340" s="5" t="s">
        <v>137</v>
      </c>
      <c r="G340" s="5" t="s">
        <v>137</v>
      </c>
      <c r="H340" s="5" t="s">
        <v>18</v>
      </c>
      <c r="I340" s="7" t="s">
        <v>710</v>
      </c>
      <c r="L340" s="5" t="str">
        <f>IFERROR(__xludf.DUMMYFUNCTION("""COMPUTED_VALUE"""),"Round Hill")</f>
        <v>Round Hill</v>
      </c>
    </row>
    <row r="341">
      <c r="A341" s="5" t="s">
        <v>711</v>
      </c>
      <c r="B341" s="5" t="s">
        <v>25</v>
      </c>
      <c r="C341" s="5" t="s">
        <v>13</v>
      </c>
      <c r="D341" s="5" t="s">
        <v>702</v>
      </c>
      <c r="E341" s="5" t="s">
        <v>712</v>
      </c>
      <c r="F341" s="5" t="s">
        <v>137</v>
      </c>
      <c r="G341" s="5" t="s">
        <v>137</v>
      </c>
      <c r="H341" s="5" t="s">
        <v>18</v>
      </c>
      <c r="I341" s="7" t="s">
        <v>713</v>
      </c>
      <c r="L341" s="5" t="str">
        <f>IFERROR(__xludf.DUMMYFUNCTION("""COMPUTED_VALUE"""),"Silver Spring")</f>
        <v>Silver Spring</v>
      </c>
    </row>
    <row r="342">
      <c r="A342" s="5" t="s">
        <v>714</v>
      </c>
      <c r="B342" s="5" t="s">
        <v>715</v>
      </c>
      <c r="C342" s="5" t="s">
        <v>13</v>
      </c>
      <c r="D342" s="5" t="s">
        <v>702</v>
      </c>
      <c r="E342" s="5" t="s">
        <v>716</v>
      </c>
      <c r="F342" s="5" t="s">
        <v>137</v>
      </c>
      <c r="G342" s="5" t="s">
        <v>137</v>
      </c>
      <c r="H342" s="5" t="s">
        <v>18</v>
      </c>
      <c r="I342" s="7" t="s">
        <v>717</v>
      </c>
      <c r="L342" s="5" t="str">
        <f>IFERROR(__xludf.DUMMYFUNCTION("""COMPUTED_VALUE"""),"Tuscaloosa")</f>
        <v>Tuscaloosa</v>
      </c>
    </row>
    <row r="343">
      <c r="A343" s="5" t="s">
        <v>718</v>
      </c>
      <c r="B343" s="5" t="s">
        <v>715</v>
      </c>
      <c r="C343" s="5" t="s">
        <v>13</v>
      </c>
      <c r="D343" s="5" t="s">
        <v>702</v>
      </c>
      <c r="E343" s="5" t="s">
        <v>351</v>
      </c>
      <c r="F343" s="5" t="s">
        <v>137</v>
      </c>
      <c r="G343" s="5" t="s">
        <v>137</v>
      </c>
      <c r="H343" s="5" t="s">
        <v>18</v>
      </c>
      <c r="I343" s="7" t="s">
        <v>719</v>
      </c>
      <c r="L343" s="5" t="str">
        <f>IFERROR(__xludf.DUMMYFUNCTION("""COMPUTED_VALUE"""),"Wayzata")</f>
        <v>Wayzata</v>
      </c>
    </row>
    <row r="344">
      <c r="A344" s="5" t="s">
        <v>720</v>
      </c>
      <c r="B344" s="5" t="s">
        <v>715</v>
      </c>
      <c r="C344" s="5" t="s">
        <v>13</v>
      </c>
      <c r="D344" s="5" t="s">
        <v>702</v>
      </c>
      <c r="E344" s="5" t="s">
        <v>36</v>
      </c>
      <c r="F344" s="5" t="s">
        <v>137</v>
      </c>
      <c r="G344" s="5" t="s">
        <v>137</v>
      </c>
      <c r="H344" s="5" t="s">
        <v>18</v>
      </c>
      <c r="I344" s="7" t="s">
        <v>721</v>
      </c>
      <c r="L344" s="5" t="str">
        <f>IFERROR(__xludf.DUMMYFUNCTION("""COMPUTED_VALUE"""),"Ithaca")</f>
        <v>Ithaca</v>
      </c>
    </row>
    <row r="345">
      <c r="A345" s="5" t="s">
        <v>722</v>
      </c>
      <c r="B345" s="5" t="s">
        <v>715</v>
      </c>
      <c r="C345" s="5" t="s">
        <v>13</v>
      </c>
      <c r="D345" s="5" t="s">
        <v>702</v>
      </c>
      <c r="E345" s="5" t="s">
        <v>441</v>
      </c>
      <c r="F345" s="5" t="s">
        <v>137</v>
      </c>
      <c r="G345" s="5" t="s">
        <v>137</v>
      </c>
      <c r="H345" s="5" t="s">
        <v>18</v>
      </c>
      <c r="I345" s="7" t="s">
        <v>723</v>
      </c>
      <c r="L345" s="5" t="str">
        <f>IFERROR(__xludf.DUMMYFUNCTION("""COMPUTED_VALUE"""),"Peyton")</f>
        <v>Peyton</v>
      </c>
    </row>
    <row r="346">
      <c r="A346" s="5" t="s">
        <v>724</v>
      </c>
      <c r="B346" s="5" t="s">
        <v>25</v>
      </c>
      <c r="C346" s="5" t="s">
        <v>13</v>
      </c>
      <c r="D346" s="5" t="s">
        <v>702</v>
      </c>
      <c r="E346" s="5" t="s">
        <v>512</v>
      </c>
      <c r="F346" s="5" t="s">
        <v>137</v>
      </c>
      <c r="G346" s="5" t="s">
        <v>137</v>
      </c>
      <c r="H346" s="5" t="s">
        <v>18</v>
      </c>
      <c r="I346" s="7" t="s">
        <v>725</v>
      </c>
      <c r="L346" s="5" t="str">
        <f>IFERROR(__xludf.DUMMYFUNCTION("""COMPUTED_VALUE"""),"Bellevue")</f>
        <v>Bellevue</v>
      </c>
    </row>
    <row r="347">
      <c r="A347" s="5" t="s">
        <v>726</v>
      </c>
      <c r="B347" s="5" t="s">
        <v>715</v>
      </c>
      <c r="C347" s="5" t="s">
        <v>13</v>
      </c>
      <c r="D347" s="5" t="s">
        <v>702</v>
      </c>
      <c r="E347" s="5" t="s">
        <v>727</v>
      </c>
      <c r="F347" s="5" t="s">
        <v>137</v>
      </c>
      <c r="G347" s="5" t="s">
        <v>137</v>
      </c>
      <c r="H347" s="5" t="s">
        <v>18</v>
      </c>
      <c r="I347" s="7" t="s">
        <v>728</v>
      </c>
      <c r="L347" s="5" t="str">
        <f>IFERROR(__xludf.DUMMYFUNCTION("""COMPUTED_VALUE"""),"Federal Way")</f>
        <v>Federal Way</v>
      </c>
    </row>
    <row r="348">
      <c r="A348" s="5" t="s">
        <v>729</v>
      </c>
      <c r="B348" s="5" t="s">
        <v>25</v>
      </c>
      <c r="C348" s="5" t="s">
        <v>13</v>
      </c>
      <c r="D348" s="5" t="s">
        <v>702</v>
      </c>
      <c r="E348" s="5" t="s">
        <v>175</v>
      </c>
      <c r="F348" s="5" t="s">
        <v>137</v>
      </c>
      <c r="G348" s="5" t="s">
        <v>137</v>
      </c>
      <c r="H348" s="5" t="s">
        <v>18</v>
      </c>
      <c r="I348" s="7" t="s">
        <v>730</v>
      </c>
      <c r="L348" s="5" t="str">
        <f>IFERROR(__xludf.DUMMYFUNCTION("""COMPUTED_VALUE"""),"Issaquah")</f>
        <v>Issaquah</v>
      </c>
    </row>
    <row r="349">
      <c r="A349" s="5" t="s">
        <v>731</v>
      </c>
      <c r="B349" s="5" t="s">
        <v>25</v>
      </c>
      <c r="C349" s="5" t="s">
        <v>13</v>
      </c>
      <c r="D349" s="5" t="s">
        <v>702</v>
      </c>
      <c r="E349" s="5" t="s">
        <v>121</v>
      </c>
      <c r="F349" s="5" t="s">
        <v>137</v>
      </c>
      <c r="G349" s="5" t="s">
        <v>137</v>
      </c>
      <c r="H349" s="5" t="s">
        <v>18</v>
      </c>
      <c r="I349" s="7" t="s">
        <v>732</v>
      </c>
      <c r="L349" s="5" t="str">
        <f>IFERROR(__xludf.DUMMYFUNCTION("""COMPUTED_VALUE"""),"Lynnwood")</f>
        <v>Lynnwood</v>
      </c>
    </row>
    <row r="350">
      <c r="A350" s="5" t="s">
        <v>733</v>
      </c>
      <c r="B350" s="5" t="s">
        <v>715</v>
      </c>
      <c r="C350" s="5" t="s">
        <v>13</v>
      </c>
      <c r="D350" s="5" t="s">
        <v>702</v>
      </c>
      <c r="E350" s="5" t="s">
        <v>734</v>
      </c>
      <c r="F350" s="5" t="s">
        <v>137</v>
      </c>
      <c r="G350" s="5" t="s">
        <v>137</v>
      </c>
      <c r="H350" s="5" t="s">
        <v>18</v>
      </c>
      <c r="I350" s="7" t="s">
        <v>735</v>
      </c>
      <c r="L350" s="5" t="str">
        <f>IFERROR(__xludf.DUMMYFUNCTION("""COMPUTED_VALUE"""),"Monroe")</f>
        <v>Monroe</v>
      </c>
    </row>
    <row r="351">
      <c r="A351" s="5" t="s">
        <v>9153</v>
      </c>
      <c r="B351" s="5" t="s">
        <v>9154</v>
      </c>
      <c r="D351" s="5" t="s">
        <v>9155</v>
      </c>
      <c r="E351" s="5" t="s">
        <v>15</v>
      </c>
      <c r="F351" s="5" t="s">
        <v>5280</v>
      </c>
      <c r="G351" s="5" t="s">
        <v>4638</v>
      </c>
      <c r="H351" s="5" t="s">
        <v>4600</v>
      </c>
      <c r="I351" s="7" t="s">
        <v>9152</v>
      </c>
      <c r="L351" s="5" t="str">
        <f>IFERROR(__xludf.DUMMYFUNCTION("""COMPUTED_VALUE"""),"Santa Cruz")</f>
        <v>Santa Cruz</v>
      </c>
    </row>
    <row r="352">
      <c r="A352" s="5" t="s">
        <v>9162</v>
      </c>
      <c r="B352" s="5" t="s">
        <v>9163</v>
      </c>
      <c r="D352" s="5" t="s">
        <v>9155</v>
      </c>
      <c r="E352" s="5" t="s">
        <v>651</v>
      </c>
      <c r="F352" s="5" t="s">
        <v>5280</v>
      </c>
      <c r="G352" s="5" t="s">
        <v>4638</v>
      </c>
      <c r="H352" s="5" t="s">
        <v>4600</v>
      </c>
      <c r="I352" s="7" t="s">
        <v>10405</v>
      </c>
      <c r="L352" s="5" t="str">
        <f>IFERROR(__xludf.DUMMYFUNCTION("""COMPUTED_VALUE"""),"Virginia Beach")</f>
        <v>Virginia Beach</v>
      </c>
    </row>
    <row r="353">
      <c r="A353" s="5" t="s">
        <v>9233</v>
      </c>
      <c r="B353" s="5" t="s">
        <v>9234</v>
      </c>
      <c r="D353" s="5" t="s">
        <v>9155</v>
      </c>
      <c r="E353" s="5" t="s">
        <v>1123</v>
      </c>
      <c r="F353" s="5" t="s">
        <v>5280</v>
      </c>
      <c r="G353" s="5" t="s">
        <v>4638</v>
      </c>
      <c r="H353" s="5" t="s">
        <v>4600</v>
      </c>
      <c r="I353" s="17" t="s">
        <v>10406</v>
      </c>
      <c r="L353" s="5" t="str">
        <f>IFERROR(__xludf.DUMMYFUNCTION("""COMPUTED_VALUE"""),"Beverly Hills")</f>
        <v>Beverly Hills</v>
      </c>
    </row>
    <row r="354">
      <c r="A354" s="5" t="s">
        <v>9240</v>
      </c>
      <c r="B354" s="5" t="s">
        <v>3424</v>
      </c>
      <c r="D354" s="5" t="s">
        <v>9155</v>
      </c>
      <c r="E354" s="5" t="s">
        <v>496</v>
      </c>
      <c r="F354" s="5" t="s">
        <v>5280</v>
      </c>
      <c r="G354" s="5" t="s">
        <v>4638</v>
      </c>
      <c r="H354" s="5" t="s">
        <v>4600</v>
      </c>
      <c r="I354" s="7" t="s">
        <v>9239</v>
      </c>
      <c r="L354" s="5" t="str">
        <f>IFERROR(__xludf.DUMMYFUNCTION("""COMPUTED_VALUE"""),"Laval")</f>
        <v>Laval</v>
      </c>
    </row>
    <row r="355">
      <c r="A355" s="5" t="s">
        <v>9367</v>
      </c>
      <c r="B355" s="5" t="s">
        <v>9368</v>
      </c>
      <c r="D355" s="5" t="s">
        <v>9155</v>
      </c>
      <c r="E355" s="5" t="s">
        <v>686</v>
      </c>
      <c r="F355" s="5" t="s">
        <v>5280</v>
      </c>
      <c r="G355" s="5" t="s">
        <v>4638</v>
      </c>
      <c r="H355" s="5" t="s">
        <v>4600</v>
      </c>
      <c r="I355" s="17" t="s">
        <v>10407</v>
      </c>
      <c r="L355" s="5" t="str">
        <f>IFERROR(__xludf.DUMMYFUNCTION("""COMPUTED_VALUE"""),"White Plains")</f>
        <v>White Plains</v>
      </c>
    </row>
    <row r="356">
      <c r="A356" s="5" t="s">
        <v>8275</v>
      </c>
      <c r="B356" s="5" t="s">
        <v>8276</v>
      </c>
      <c r="D356" s="5" t="s">
        <v>8277</v>
      </c>
      <c r="E356" s="5" t="s">
        <v>237</v>
      </c>
      <c r="F356" s="5" t="s">
        <v>8273</v>
      </c>
      <c r="G356" s="5" t="s">
        <v>4757</v>
      </c>
      <c r="H356" s="5" t="s">
        <v>4607</v>
      </c>
      <c r="I356" s="7" t="s">
        <v>8274</v>
      </c>
      <c r="L356" s="5" t="str">
        <f>IFERROR(__xludf.DUMMYFUNCTION("""COMPUTED_VALUE"""),"Centerport")</f>
        <v>Centerport</v>
      </c>
    </row>
    <row r="357">
      <c r="A357" s="5" t="s">
        <v>7051</v>
      </c>
      <c r="B357" s="5" t="s">
        <v>5054</v>
      </c>
      <c r="D357" s="5" t="s">
        <v>7052</v>
      </c>
      <c r="E357" s="5" t="s">
        <v>7053</v>
      </c>
      <c r="F357" s="5" t="s">
        <v>6577</v>
      </c>
      <c r="G357" s="5" t="s">
        <v>4757</v>
      </c>
      <c r="H357" s="5" t="s">
        <v>4607</v>
      </c>
      <c r="I357" s="7" t="s">
        <v>7050</v>
      </c>
      <c r="L357" s="5" t="str">
        <f>IFERROR(__xludf.DUMMYFUNCTION("""COMPUTED_VALUE"""),"Rancho Cordova")</f>
        <v>Rancho Cordova</v>
      </c>
    </row>
    <row r="358">
      <c r="A358" s="5" t="s">
        <v>736</v>
      </c>
      <c r="B358" s="5" t="s">
        <v>25</v>
      </c>
      <c r="C358" s="5" t="s">
        <v>13</v>
      </c>
      <c r="D358" s="5" t="s">
        <v>737</v>
      </c>
      <c r="E358" s="5" t="s">
        <v>512</v>
      </c>
      <c r="F358" s="5" t="s">
        <v>738</v>
      </c>
      <c r="G358" s="5" t="s">
        <v>154</v>
      </c>
      <c r="H358" s="5" t="s">
        <v>18</v>
      </c>
      <c r="I358" s="17" t="s">
        <v>10408</v>
      </c>
      <c r="L358" s="5" t="str">
        <f>IFERROR(__xludf.DUMMYFUNCTION("""COMPUTED_VALUE"""),"Spokane")</f>
        <v>Spokane</v>
      </c>
    </row>
    <row r="359">
      <c r="A359" s="5" t="s">
        <v>740</v>
      </c>
      <c r="B359" s="5" t="s">
        <v>741</v>
      </c>
      <c r="C359" s="5" t="s">
        <v>13</v>
      </c>
      <c r="D359" s="5" t="s">
        <v>737</v>
      </c>
      <c r="E359" s="5" t="s">
        <v>222</v>
      </c>
      <c r="F359" s="5" t="s">
        <v>295</v>
      </c>
      <c r="G359" s="5" t="s">
        <v>154</v>
      </c>
      <c r="H359" s="5" t="s">
        <v>18</v>
      </c>
      <c r="I359" s="7" t="s">
        <v>742</v>
      </c>
      <c r="L359" s="5" t="str">
        <f>IFERROR(__xludf.DUMMYFUNCTION("""COMPUTED_VALUE"""),"Plymouth")</f>
        <v>Plymouth</v>
      </c>
    </row>
    <row r="360">
      <c r="A360" s="5" t="s">
        <v>743</v>
      </c>
      <c r="B360" s="5" t="s">
        <v>744</v>
      </c>
      <c r="C360" s="5" t="s">
        <v>13</v>
      </c>
      <c r="D360" s="5" t="s">
        <v>737</v>
      </c>
      <c r="E360" s="5" t="s">
        <v>228</v>
      </c>
      <c r="F360" s="5" t="s">
        <v>295</v>
      </c>
      <c r="G360" s="5" t="s">
        <v>154</v>
      </c>
      <c r="H360" s="5" t="s">
        <v>18</v>
      </c>
      <c r="I360" s="7" t="s">
        <v>745</v>
      </c>
      <c r="L360" s="5" t="str">
        <f>IFERROR(__xludf.DUMMYFUNCTION("""COMPUTED_VALUE"""),"Wallingford")</f>
        <v>Wallingford</v>
      </c>
    </row>
    <row r="361">
      <c r="A361" s="5" t="s">
        <v>746</v>
      </c>
      <c r="B361" s="5" t="s">
        <v>747</v>
      </c>
      <c r="C361" s="5" t="s">
        <v>13</v>
      </c>
      <c r="D361" s="5" t="s">
        <v>737</v>
      </c>
      <c r="E361" s="5" t="s">
        <v>79</v>
      </c>
      <c r="F361" s="5" t="s">
        <v>295</v>
      </c>
      <c r="G361" s="5" t="s">
        <v>154</v>
      </c>
      <c r="H361" s="5" t="s">
        <v>18</v>
      </c>
      <c r="I361" s="7" t="s">
        <v>748</v>
      </c>
      <c r="L361" s="5" t="str">
        <f>IFERROR(__xludf.DUMMYFUNCTION("""COMPUTED_VALUE"""),"Westchester County")</f>
        <v>Westchester County</v>
      </c>
    </row>
    <row r="362">
      <c r="A362" s="5" t="s">
        <v>749</v>
      </c>
      <c r="B362" s="5" t="s">
        <v>750</v>
      </c>
      <c r="C362" s="5" t="s">
        <v>13</v>
      </c>
      <c r="D362" s="5" t="s">
        <v>737</v>
      </c>
      <c r="E362" s="5" t="s">
        <v>192</v>
      </c>
      <c r="F362" s="5" t="s">
        <v>295</v>
      </c>
      <c r="G362" s="5" t="s">
        <v>154</v>
      </c>
      <c r="H362" s="5" t="s">
        <v>18</v>
      </c>
      <c r="I362" s="7" t="s">
        <v>751</v>
      </c>
      <c r="L362" s="5" t="str">
        <f>IFERROR(__xludf.DUMMYFUNCTION("""COMPUTED_VALUE"""),"Effort")</f>
        <v>Effort</v>
      </c>
    </row>
    <row r="363">
      <c r="A363" s="5" t="s">
        <v>752</v>
      </c>
      <c r="B363" s="5" t="s">
        <v>480</v>
      </c>
      <c r="C363" s="5" t="s">
        <v>13</v>
      </c>
      <c r="D363" s="5" t="s">
        <v>753</v>
      </c>
      <c r="E363" s="5" t="s">
        <v>754</v>
      </c>
      <c r="F363" s="5" t="s">
        <v>755</v>
      </c>
      <c r="G363" s="5" t="s">
        <v>756</v>
      </c>
      <c r="H363" s="5" t="s">
        <v>18</v>
      </c>
      <c r="I363" s="7" t="s">
        <v>757</v>
      </c>
      <c r="L363" s="5" t="str">
        <f>IFERROR(__xludf.DUMMYFUNCTION("""COMPUTED_VALUE"""),"Milton")</f>
        <v>Milton</v>
      </c>
    </row>
    <row r="364">
      <c r="A364" s="5" t="s">
        <v>758</v>
      </c>
      <c r="B364" s="5" t="s">
        <v>480</v>
      </c>
      <c r="C364" s="5" t="s">
        <v>13</v>
      </c>
      <c r="D364" s="5" t="s">
        <v>753</v>
      </c>
      <c r="F364" s="5" t="s">
        <v>382</v>
      </c>
      <c r="G364" s="5" t="s">
        <v>102</v>
      </c>
      <c r="H364" s="5" t="s">
        <v>18</v>
      </c>
      <c r="I364" s="7" t="s">
        <v>759</v>
      </c>
      <c r="L364" s="5" t="str">
        <f>IFERROR(__xludf.DUMMYFUNCTION("""COMPUTED_VALUE"""),"Indialantic")</f>
        <v>Indialantic</v>
      </c>
    </row>
    <row r="365">
      <c r="A365" s="5" t="s">
        <v>760</v>
      </c>
      <c r="B365" s="5" t="s">
        <v>761</v>
      </c>
      <c r="C365" s="5" t="s">
        <v>13</v>
      </c>
      <c r="D365" s="5" t="s">
        <v>753</v>
      </c>
      <c r="E365" s="5" t="s">
        <v>512</v>
      </c>
      <c r="F365" s="5" t="s">
        <v>762</v>
      </c>
      <c r="G365" s="5" t="s">
        <v>763</v>
      </c>
      <c r="H365" s="5" t="s">
        <v>18</v>
      </c>
      <c r="I365" s="17" t="s">
        <v>10409</v>
      </c>
      <c r="L365" s="5" t="str">
        <f>IFERROR(__xludf.DUMMYFUNCTION("""COMPUTED_VALUE"""),"Gatineau")</f>
        <v>Gatineau</v>
      </c>
    </row>
    <row r="366">
      <c r="A366" s="5" t="s">
        <v>765</v>
      </c>
      <c r="B366" s="5" t="s">
        <v>766</v>
      </c>
      <c r="C366" s="5" t="s">
        <v>13</v>
      </c>
      <c r="D366" s="5" t="s">
        <v>753</v>
      </c>
      <c r="E366" s="5" t="s">
        <v>94</v>
      </c>
      <c r="F366" s="5" t="s">
        <v>767</v>
      </c>
      <c r="G366" s="5" t="s">
        <v>102</v>
      </c>
      <c r="H366" s="5" t="s">
        <v>18</v>
      </c>
      <c r="I366" s="7" t="s">
        <v>768</v>
      </c>
      <c r="L366" s="5" t="str">
        <f>IFERROR(__xludf.DUMMYFUNCTION("""COMPUTED_VALUE"""),"Alexandria")</f>
        <v>Alexandria</v>
      </c>
    </row>
    <row r="367">
      <c r="A367" s="5" t="s">
        <v>769</v>
      </c>
      <c r="B367" s="5" t="s">
        <v>770</v>
      </c>
      <c r="C367" s="5" t="s">
        <v>13</v>
      </c>
      <c r="D367" s="5" t="s">
        <v>753</v>
      </c>
      <c r="E367" s="5" t="s">
        <v>268</v>
      </c>
      <c r="F367" s="5" t="s">
        <v>311</v>
      </c>
      <c r="G367" s="5" t="s">
        <v>102</v>
      </c>
      <c r="H367" s="5" t="s">
        <v>18</v>
      </c>
      <c r="I367" s="7" t="s">
        <v>771</v>
      </c>
      <c r="L367" s="5" t="str">
        <f>IFERROR(__xludf.DUMMYFUNCTION("""COMPUTED_VALUE"""),"Chico")</f>
        <v>Chico</v>
      </c>
    </row>
    <row r="368">
      <c r="A368" s="5" t="s">
        <v>772</v>
      </c>
      <c r="B368" s="5" t="s">
        <v>773</v>
      </c>
      <c r="C368" s="5" t="s">
        <v>13</v>
      </c>
      <c r="D368" s="5" t="s">
        <v>753</v>
      </c>
      <c r="E368" s="5" t="s">
        <v>774</v>
      </c>
      <c r="F368" s="5" t="s">
        <v>775</v>
      </c>
      <c r="G368" s="5" t="s">
        <v>102</v>
      </c>
      <c r="H368" s="5" t="s">
        <v>18</v>
      </c>
      <c r="I368" s="7" t="s">
        <v>776</v>
      </c>
      <c r="L368" s="5" t="str">
        <f>IFERROR(__xludf.DUMMYFUNCTION("""COMPUTED_VALUE"""),"Lexington")</f>
        <v>Lexington</v>
      </c>
    </row>
    <row r="369">
      <c r="A369" s="5" t="s">
        <v>777</v>
      </c>
      <c r="B369" s="5" t="s">
        <v>778</v>
      </c>
      <c r="C369" s="5" t="s">
        <v>13</v>
      </c>
      <c r="D369" s="5" t="s">
        <v>753</v>
      </c>
      <c r="E369" s="5" t="s">
        <v>779</v>
      </c>
      <c r="F369" s="5" t="s">
        <v>780</v>
      </c>
      <c r="G369" s="5" t="s">
        <v>781</v>
      </c>
      <c r="H369" s="5" t="s">
        <v>18</v>
      </c>
      <c r="I369" s="17" t="s">
        <v>10410</v>
      </c>
      <c r="L369" s="5" t="str">
        <f>IFERROR(__xludf.DUMMYFUNCTION("""COMPUTED_VALUE"""),"Lowell")</f>
        <v>Lowell</v>
      </c>
    </row>
    <row r="370">
      <c r="A370" s="5" t="s">
        <v>783</v>
      </c>
      <c r="B370" s="5" t="s">
        <v>480</v>
      </c>
      <c r="C370" s="5" t="s">
        <v>13</v>
      </c>
      <c r="D370" s="5" t="s">
        <v>753</v>
      </c>
      <c r="E370" s="5" t="s">
        <v>784</v>
      </c>
      <c r="F370" s="5" t="s">
        <v>311</v>
      </c>
      <c r="G370" s="5" t="s">
        <v>102</v>
      </c>
      <c r="H370" s="5" t="s">
        <v>18</v>
      </c>
      <c r="I370" s="7" t="s">
        <v>785</v>
      </c>
      <c r="L370" s="5" t="str">
        <f>IFERROR(__xludf.DUMMYFUNCTION("""COMPUTED_VALUE"""),"Braintree")</f>
        <v>Braintree</v>
      </c>
    </row>
    <row r="371">
      <c r="A371" s="5" t="s">
        <v>786</v>
      </c>
      <c r="B371" s="5" t="s">
        <v>787</v>
      </c>
      <c r="C371" s="5" t="s">
        <v>13</v>
      </c>
      <c r="D371" s="5" t="s">
        <v>753</v>
      </c>
      <c r="E371" s="5" t="s">
        <v>716</v>
      </c>
      <c r="F371" s="5" t="s">
        <v>788</v>
      </c>
      <c r="G371" s="5" t="s">
        <v>102</v>
      </c>
      <c r="H371" s="5" t="s">
        <v>18</v>
      </c>
      <c r="I371" s="7" t="s">
        <v>789</v>
      </c>
      <c r="L371" s="5" t="str">
        <f>IFERROR(__xludf.DUMMYFUNCTION("""COMPUTED_VALUE"""),"Eau Claire-Menomonie")</f>
        <v>Eau Claire-Menomonie</v>
      </c>
    </row>
    <row r="372">
      <c r="A372" s="5" t="s">
        <v>5302</v>
      </c>
      <c r="B372" s="5" t="s">
        <v>5303</v>
      </c>
      <c r="D372" s="5" t="s">
        <v>5304</v>
      </c>
      <c r="E372" s="5" t="s">
        <v>79</v>
      </c>
      <c r="F372" s="5" t="s">
        <v>5280</v>
      </c>
      <c r="G372" s="5" t="s">
        <v>4638</v>
      </c>
      <c r="H372" s="5" t="s">
        <v>4600</v>
      </c>
      <c r="I372" s="7" t="s">
        <v>5301</v>
      </c>
      <c r="L372" s="5" t="str">
        <f>IFERROR(__xludf.DUMMYFUNCTION("""COMPUTED_VALUE"""),"Brandon")</f>
        <v>Brandon</v>
      </c>
    </row>
    <row r="373">
      <c r="A373" s="5" t="s">
        <v>10217</v>
      </c>
      <c r="B373" s="5" t="s">
        <v>10218</v>
      </c>
      <c r="D373" s="5" t="s">
        <v>10219</v>
      </c>
      <c r="F373" s="5" t="s">
        <v>10184</v>
      </c>
      <c r="G373" s="5" t="s">
        <v>10185</v>
      </c>
      <c r="H373" s="5" t="s">
        <v>4600</v>
      </c>
      <c r="I373" s="7" t="s">
        <v>10216</v>
      </c>
      <c r="L373" s="5" t="str">
        <f>IFERROR(__xludf.DUMMYFUNCTION("""COMPUTED_VALUE"""),"Louisville")</f>
        <v>Louisville</v>
      </c>
    </row>
    <row r="374">
      <c r="A374" s="5" t="s">
        <v>790</v>
      </c>
      <c r="B374" s="5" t="s">
        <v>110</v>
      </c>
      <c r="C374" s="5" t="s">
        <v>13</v>
      </c>
      <c r="D374" s="5" t="s">
        <v>791</v>
      </c>
      <c r="E374" s="5" t="s">
        <v>792</v>
      </c>
      <c r="F374" s="5" t="s">
        <v>793</v>
      </c>
      <c r="G374" s="5" t="s">
        <v>184</v>
      </c>
      <c r="H374" s="5" t="s">
        <v>18</v>
      </c>
      <c r="I374" s="7" t="s">
        <v>794</v>
      </c>
      <c r="L374" s="5" t="str">
        <f>IFERROR(__xludf.DUMMYFUNCTION("""COMPUTED_VALUE"""),"Akron")</f>
        <v>Akron</v>
      </c>
    </row>
    <row r="375">
      <c r="A375" s="5" t="s">
        <v>795</v>
      </c>
      <c r="B375" s="5" t="s">
        <v>796</v>
      </c>
      <c r="C375" s="5" t="s">
        <v>13</v>
      </c>
      <c r="D375" s="5" t="s">
        <v>791</v>
      </c>
      <c r="E375" s="5" t="s">
        <v>797</v>
      </c>
      <c r="F375" s="5" t="s">
        <v>137</v>
      </c>
      <c r="G375" s="5" t="s">
        <v>137</v>
      </c>
      <c r="H375" s="5" t="s">
        <v>18</v>
      </c>
      <c r="I375" s="17" t="s">
        <v>10411</v>
      </c>
      <c r="L375" s="5" t="str">
        <f>IFERROR(__xludf.DUMMYFUNCTION("""COMPUTED_VALUE"""),"Independence")</f>
        <v>Independence</v>
      </c>
    </row>
    <row r="376">
      <c r="A376" s="5" t="s">
        <v>799</v>
      </c>
      <c r="B376" s="5" t="s">
        <v>800</v>
      </c>
      <c r="C376" s="5" t="s">
        <v>13</v>
      </c>
      <c r="D376" s="5" t="s">
        <v>791</v>
      </c>
      <c r="E376" s="5" t="s">
        <v>100</v>
      </c>
      <c r="F376" s="5" t="s">
        <v>801</v>
      </c>
      <c r="G376" s="5" t="s">
        <v>50</v>
      </c>
      <c r="H376" s="5" t="s">
        <v>18</v>
      </c>
      <c r="I376" s="7" t="s">
        <v>802</v>
      </c>
      <c r="L376" s="5" t="str">
        <f>IFERROR(__xludf.DUMMYFUNCTION("""COMPUTED_VALUE"""),"Hopkins")</f>
        <v>Hopkins</v>
      </c>
    </row>
    <row r="377">
      <c r="A377" s="5" t="s">
        <v>803</v>
      </c>
      <c r="B377" s="5" t="s">
        <v>804</v>
      </c>
      <c r="C377" s="5" t="s">
        <v>13</v>
      </c>
      <c r="D377" s="5" t="s">
        <v>791</v>
      </c>
      <c r="E377" s="5" t="s">
        <v>144</v>
      </c>
      <c r="F377" s="5" t="s">
        <v>805</v>
      </c>
      <c r="G377" s="5" t="s">
        <v>184</v>
      </c>
      <c r="H377" s="5" t="s">
        <v>18</v>
      </c>
      <c r="I377" s="7" t="s">
        <v>806</v>
      </c>
      <c r="L377" s="5" t="str">
        <f>IFERROR(__xludf.DUMMYFUNCTION("""COMPUTED_VALUE"""),"Melbourne")</f>
        <v>Melbourne</v>
      </c>
    </row>
    <row r="378">
      <c r="A378" s="5" t="s">
        <v>807</v>
      </c>
      <c r="B378" s="5" t="s">
        <v>808</v>
      </c>
      <c r="C378" s="5" t="s">
        <v>13</v>
      </c>
      <c r="D378" s="5" t="s">
        <v>791</v>
      </c>
      <c r="E378" s="5" t="s">
        <v>79</v>
      </c>
      <c r="F378" s="5" t="s">
        <v>102</v>
      </c>
      <c r="G378" s="5" t="s">
        <v>172</v>
      </c>
      <c r="H378" s="5" t="s">
        <v>18</v>
      </c>
      <c r="I378" s="17" t="s">
        <v>10412</v>
      </c>
      <c r="L378" s="5" t="str">
        <f>IFERROR(__xludf.DUMMYFUNCTION("""COMPUTED_VALUE"""),"Piscataway Township")</f>
        <v>Piscataway Township</v>
      </c>
    </row>
    <row r="379">
      <c r="A379" s="5" t="s">
        <v>6735</v>
      </c>
      <c r="B379" s="5" t="s">
        <v>766</v>
      </c>
      <c r="D379" s="5" t="s">
        <v>6736</v>
      </c>
      <c r="E379" s="5" t="s">
        <v>1123</v>
      </c>
      <c r="F379" s="5" t="s">
        <v>6577</v>
      </c>
      <c r="G379" s="5" t="s">
        <v>4757</v>
      </c>
      <c r="H379" s="5" t="s">
        <v>4607</v>
      </c>
      <c r="I379" s="7" t="s">
        <v>6734</v>
      </c>
      <c r="L379" s="5" t="str">
        <f>IFERROR(__xludf.DUMMYFUNCTION("""COMPUTED_VALUE"""),"Prairie Village")</f>
        <v>Prairie Village</v>
      </c>
    </row>
    <row r="380">
      <c r="A380" s="5" t="s">
        <v>6832</v>
      </c>
      <c r="B380" s="5" t="s">
        <v>6833</v>
      </c>
      <c r="D380" s="5" t="s">
        <v>6736</v>
      </c>
      <c r="E380" s="5" t="s">
        <v>579</v>
      </c>
      <c r="F380" s="5" t="s">
        <v>6577</v>
      </c>
      <c r="G380" s="5" t="s">
        <v>4757</v>
      </c>
      <c r="H380" s="5" t="s">
        <v>4607</v>
      </c>
      <c r="I380" s="7" t="s">
        <v>6831</v>
      </c>
      <c r="L380" s="5" t="str">
        <f>IFERROR(__xludf.DUMMYFUNCTION("""COMPUTED_VALUE"""),"Malden")</f>
        <v>Malden</v>
      </c>
    </row>
    <row r="381">
      <c r="A381" s="5" t="s">
        <v>6924</v>
      </c>
      <c r="B381" s="5" t="s">
        <v>6925</v>
      </c>
      <c r="D381" s="5" t="s">
        <v>6736</v>
      </c>
      <c r="E381" s="5" t="s">
        <v>36</v>
      </c>
      <c r="F381" s="5" t="s">
        <v>6577</v>
      </c>
      <c r="G381" s="5" t="s">
        <v>4757</v>
      </c>
      <c r="H381" s="5" t="s">
        <v>4607</v>
      </c>
      <c r="I381" s="7" t="s">
        <v>6923</v>
      </c>
      <c r="L381" s="5" t="str">
        <f>IFERROR(__xludf.DUMMYFUNCTION("""COMPUTED_VALUE"""),"Stockton")</f>
        <v>Stockton</v>
      </c>
    </row>
    <row r="382">
      <c r="A382" s="5" t="s">
        <v>9652</v>
      </c>
      <c r="B382" s="5" t="s">
        <v>110</v>
      </c>
      <c r="D382" s="5" t="s">
        <v>6736</v>
      </c>
      <c r="E382" s="5" t="s">
        <v>455</v>
      </c>
      <c r="F382" s="5" t="s">
        <v>6577</v>
      </c>
      <c r="G382" s="5" t="s">
        <v>4757</v>
      </c>
      <c r="H382" s="5" t="s">
        <v>4607</v>
      </c>
      <c r="I382" s="7" t="s">
        <v>9651</v>
      </c>
      <c r="L382" s="5" t="str">
        <f>IFERROR(__xludf.DUMMYFUNCTION("""COMPUTED_VALUE"""),"Blackburn with Darwen")</f>
        <v>Blackburn with Darwen</v>
      </c>
    </row>
    <row r="383">
      <c r="A383" s="5" t="s">
        <v>8891</v>
      </c>
      <c r="B383" s="5" t="s">
        <v>8892</v>
      </c>
      <c r="D383" s="5" t="s">
        <v>8893</v>
      </c>
      <c r="E383" s="5" t="s">
        <v>523</v>
      </c>
      <c r="F383" s="5" t="s">
        <v>8894</v>
      </c>
      <c r="G383" s="5" t="s">
        <v>4757</v>
      </c>
      <c r="H383" s="5" t="s">
        <v>4607</v>
      </c>
      <c r="I383" s="7" t="s">
        <v>8890</v>
      </c>
      <c r="L383" s="5" t="str">
        <f>IFERROR(__xludf.DUMMYFUNCTION("""COMPUTED_VALUE"""),"Chelmsford")</f>
        <v>Chelmsford</v>
      </c>
    </row>
    <row r="384">
      <c r="A384" s="5" t="s">
        <v>6022</v>
      </c>
      <c r="B384" s="5" t="s">
        <v>25</v>
      </c>
      <c r="D384" s="5" t="s">
        <v>6023</v>
      </c>
      <c r="E384" s="5" t="s">
        <v>15</v>
      </c>
      <c r="F384" s="5" t="s">
        <v>6016</v>
      </c>
      <c r="G384" s="5" t="s">
        <v>4606</v>
      </c>
      <c r="H384" s="5" t="s">
        <v>4607</v>
      </c>
      <c r="I384" s="7" t="s">
        <v>6021</v>
      </c>
      <c r="L384" s="5" t="str">
        <f>IFERROR(__xludf.DUMMYFUNCTION("""COMPUTED_VALUE"""),"Groveland")</f>
        <v>Groveland</v>
      </c>
    </row>
    <row r="385">
      <c r="A385" s="5" t="s">
        <v>5159</v>
      </c>
      <c r="B385" s="5" t="s">
        <v>5160</v>
      </c>
      <c r="D385" s="5" t="s">
        <v>5161</v>
      </c>
      <c r="E385" s="5" t="s">
        <v>694</v>
      </c>
      <c r="F385" s="5" t="s">
        <v>5162</v>
      </c>
      <c r="G385" s="5" t="s">
        <v>4638</v>
      </c>
      <c r="H385" s="5" t="s">
        <v>4600</v>
      </c>
      <c r="I385" s="7" t="s">
        <v>5158</v>
      </c>
      <c r="L385" s="5" t="str">
        <f>IFERROR(__xludf.DUMMYFUNCTION("""COMPUTED_VALUE"""),"Hawthorne")</f>
        <v>Hawthorne</v>
      </c>
    </row>
    <row r="386">
      <c r="A386" s="5" t="s">
        <v>5126</v>
      </c>
      <c r="B386" s="5" t="s">
        <v>4596</v>
      </c>
      <c r="D386" s="5" t="s">
        <v>5127</v>
      </c>
      <c r="E386" s="5" t="s">
        <v>237</v>
      </c>
      <c r="F386" s="5" t="s">
        <v>5128</v>
      </c>
      <c r="G386" s="5" t="s">
        <v>4599</v>
      </c>
      <c r="H386" s="5" t="s">
        <v>4600</v>
      </c>
      <c r="I386" s="7" t="s">
        <v>5125</v>
      </c>
      <c r="L386" s="5" t="str">
        <f>IFERROR(__xludf.DUMMYFUNCTION("""COMPUTED_VALUE"""),"Nashua")</f>
        <v>Nashua</v>
      </c>
    </row>
    <row r="387">
      <c r="A387" s="5" t="s">
        <v>5331</v>
      </c>
      <c r="B387" s="5" t="s">
        <v>4596</v>
      </c>
      <c r="D387" s="5" t="s">
        <v>5127</v>
      </c>
      <c r="E387" s="5" t="s">
        <v>351</v>
      </c>
      <c r="F387" s="5" t="s">
        <v>5280</v>
      </c>
      <c r="G387" s="5" t="s">
        <v>4638</v>
      </c>
      <c r="H387" s="5" t="s">
        <v>4600</v>
      </c>
      <c r="I387" s="7" t="s">
        <v>5330</v>
      </c>
      <c r="L387" s="5" t="str">
        <f>IFERROR(__xludf.DUMMYFUNCTION("""COMPUTED_VALUE"""),"Springfield")</f>
        <v>Springfield</v>
      </c>
    </row>
    <row r="388">
      <c r="A388" s="5" t="s">
        <v>6218</v>
      </c>
      <c r="B388" s="5" t="s">
        <v>6219</v>
      </c>
      <c r="D388" s="5" t="s">
        <v>5127</v>
      </c>
      <c r="E388" s="5" t="s">
        <v>697</v>
      </c>
      <c r="F388" s="5" t="s">
        <v>6220</v>
      </c>
      <c r="G388" s="5" t="s">
        <v>4638</v>
      </c>
      <c r="H388" s="5" t="s">
        <v>4600</v>
      </c>
      <c r="I388" s="7" t="s">
        <v>6217</v>
      </c>
      <c r="L388" s="5" t="str">
        <f>IFERROR(__xludf.DUMMYFUNCTION("""COMPUTED_VALUE"""),"Tewksbury")</f>
        <v>Tewksbury</v>
      </c>
    </row>
    <row r="389">
      <c r="A389" s="5" t="s">
        <v>4802</v>
      </c>
      <c r="B389" s="5" t="s">
        <v>4803</v>
      </c>
      <c r="D389" s="5" t="s">
        <v>4804</v>
      </c>
      <c r="E389" s="5" t="s">
        <v>2818</v>
      </c>
      <c r="F389" s="5" t="s">
        <v>4800</v>
      </c>
      <c r="G389" s="5" t="s">
        <v>4665</v>
      </c>
      <c r="H389" s="5" t="s">
        <v>4600</v>
      </c>
      <c r="I389" s="7" t="s">
        <v>4801</v>
      </c>
      <c r="L389" s="5" t="str">
        <f>IFERROR(__xludf.DUMMYFUNCTION("""COMPUTED_VALUE"""),"Stockport")</f>
        <v>Stockport</v>
      </c>
    </row>
    <row r="390">
      <c r="A390" s="5" t="s">
        <v>8203</v>
      </c>
      <c r="B390" s="5" t="s">
        <v>8204</v>
      </c>
      <c r="D390" s="5" t="s">
        <v>8205</v>
      </c>
      <c r="E390" s="5" t="s">
        <v>15</v>
      </c>
      <c r="F390" s="5" t="s">
        <v>8158</v>
      </c>
      <c r="G390" s="5" t="s">
        <v>4638</v>
      </c>
      <c r="H390" s="5" t="s">
        <v>4600</v>
      </c>
      <c r="I390" s="7" t="s">
        <v>8202</v>
      </c>
      <c r="L390" s="5" t="str">
        <f>IFERROR(__xludf.DUMMYFUNCTION("""COMPUTED_VALUE"""),"Bethalto")</f>
        <v>Bethalto</v>
      </c>
    </row>
    <row r="391">
      <c r="A391" s="5" t="s">
        <v>5939</v>
      </c>
      <c r="B391" s="5" t="s">
        <v>5940</v>
      </c>
      <c r="D391" s="5" t="s">
        <v>5941</v>
      </c>
      <c r="E391" s="5" t="s">
        <v>182</v>
      </c>
      <c r="F391" s="5" t="s">
        <v>5942</v>
      </c>
      <c r="G391" s="5" t="s">
        <v>4638</v>
      </c>
      <c r="H391" s="5" t="s">
        <v>4600</v>
      </c>
      <c r="I391" s="7" t="s">
        <v>10413</v>
      </c>
      <c r="L391" s="5" t="str">
        <f>IFERROR(__xludf.DUMMYFUNCTION("""COMPUTED_VALUE"""),"Cedar Rapids")</f>
        <v>Cedar Rapids</v>
      </c>
    </row>
    <row r="392">
      <c r="A392" s="5" t="s">
        <v>8262</v>
      </c>
      <c r="B392" s="5" t="s">
        <v>8263</v>
      </c>
      <c r="D392" s="5" t="s">
        <v>8264</v>
      </c>
      <c r="E392" s="5" t="s">
        <v>68</v>
      </c>
      <c r="F392" s="5" t="s">
        <v>8158</v>
      </c>
      <c r="G392" s="5" t="s">
        <v>4638</v>
      </c>
      <c r="H392" s="5" t="s">
        <v>4600</v>
      </c>
      <c r="I392" s="7" t="s">
        <v>10414</v>
      </c>
      <c r="L392" s="5" t="str">
        <f>IFERROR(__xludf.DUMMYFUNCTION("""COMPUTED_VALUE"""),"Lees Summit")</f>
        <v>Lees Summit</v>
      </c>
    </row>
    <row r="393">
      <c r="A393" s="5" t="s">
        <v>6775</v>
      </c>
      <c r="B393" s="5" t="s">
        <v>6502</v>
      </c>
      <c r="D393" s="5" t="s">
        <v>6776</v>
      </c>
      <c r="E393" s="5" t="s">
        <v>322</v>
      </c>
      <c r="F393" s="5" t="s">
        <v>6577</v>
      </c>
      <c r="G393" s="5" t="s">
        <v>4757</v>
      </c>
      <c r="H393" s="5" t="s">
        <v>4607</v>
      </c>
      <c r="I393" s="7" t="s">
        <v>6774</v>
      </c>
      <c r="L393" s="5" t="str">
        <f>IFERROR(__xludf.DUMMYFUNCTION("""COMPUTED_VALUE"""),"Concord")</f>
        <v>Concord</v>
      </c>
    </row>
    <row r="394">
      <c r="A394" s="5" t="s">
        <v>7111</v>
      </c>
      <c r="B394" s="5" t="s">
        <v>5054</v>
      </c>
      <c r="D394" s="5" t="s">
        <v>812</v>
      </c>
      <c r="F394" s="5" t="s">
        <v>6577</v>
      </c>
      <c r="G394" s="5" t="s">
        <v>4757</v>
      </c>
      <c r="H394" s="5" t="s">
        <v>4607</v>
      </c>
      <c r="I394" s="7" t="s">
        <v>7110</v>
      </c>
      <c r="L394" s="5" t="str">
        <f>IFERROR(__xludf.DUMMYFUNCTION("""COMPUTED_VALUE"""),"Elkins Park")</f>
        <v>Elkins Park</v>
      </c>
    </row>
    <row r="395">
      <c r="A395" s="5" t="s">
        <v>9697</v>
      </c>
      <c r="B395" s="5" t="s">
        <v>9698</v>
      </c>
      <c r="D395" s="5" t="s">
        <v>812</v>
      </c>
      <c r="E395" s="5" t="s">
        <v>686</v>
      </c>
      <c r="F395" s="5" t="s">
        <v>6577</v>
      </c>
      <c r="G395" s="5" t="s">
        <v>4757</v>
      </c>
      <c r="H395" s="5" t="s">
        <v>4607</v>
      </c>
      <c r="I395" s="7" t="s">
        <v>9696</v>
      </c>
      <c r="L395" s="5" t="str">
        <f>IFERROR(__xludf.DUMMYFUNCTION("""COMPUTED_VALUE"""),"Springfield Township")</f>
        <v>Springfield Township</v>
      </c>
    </row>
    <row r="396">
      <c r="A396" s="5" t="s">
        <v>9700</v>
      </c>
      <c r="B396" s="5" t="s">
        <v>5054</v>
      </c>
      <c r="D396" s="5" t="s">
        <v>812</v>
      </c>
      <c r="E396" s="5" t="s">
        <v>2840</v>
      </c>
      <c r="F396" s="5" t="s">
        <v>6577</v>
      </c>
      <c r="G396" s="5" t="s">
        <v>4757</v>
      </c>
      <c r="H396" s="5" t="s">
        <v>4607</v>
      </c>
      <c r="I396" s="7" t="s">
        <v>9699</v>
      </c>
      <c r="L396" s="5" t="str">
        <f>IFERROR(__xludf.DUMMYFUNCTION("""COMPUTED_VALUE"""),"Aberdeen")</f>
        <v>Aberdeen</v>
      </c>
    </row>
    <row r="397">
      <c r="A397" s="5" t="s">
        <v>810</v>
      </c>
      <c r="B397" s="5" t="s">
        <v>811</v>
      </c>
      <c r="C397" s="5" t="s">
        <v>13</v>
      </c>
      <c r="D397" s="5" t="s">
        <v>812</v>
      </c>
      <c r="E397" s="5" t="s">
        <v>94</v>
      </c>
      <c r="F397" s="5" t="s">
        <v>16</v>
      </c>
      <c r="G397" s="5" t="s">
        <v>17</v>
      </c>
      <c r="H397" s="5" t="s">
        <v>18</v>
      </c>
      <c r="I397" s="7" t="s">
        <v>813</v>
      </c>
      <c r="L397" s="5" t="str">
        <f>IFERROR(__xludf.DUMMYFUNCTION("""COMPUTED_VALUE"""),"Mississauga")</f>
        <v>Mississauga</v>
      </c>
    </row>
    <row r="398">
      <c r="A398" s="5" t="s">
        <v>814</v>
      </c>
      <c r="B398" s="5" t="s">
        <v>25</v>
      </c>
      <c r="C398" s="5" t="s">
        <v>13</v>
      </c>
      <c r="D398" s="5" t="s">
        <v>812</v>
      </c>
      <c r="E398" s="5" t="s">
        <v>207</v>
      </c>
      <c r="F398" s="5" t="s">
        <v>16</v>
      </c>
      <c r="G398" s="5" t="s">
        <v>17</v>
      </c>
      <c r="H398" s="5" t="s">
        <v>18</v>
      </c>
      <c r="I398" s="7" t="s">
        <v>815</v>
      </c>
      <c r="L398" s="5" t="str">
        <f>IFERROR(__xludf.DUMMYFUNCTION("""COMPUTED_VALUE"""),"North Vancouver")</f>
        <v>North Vancouver</v>
      </c>
    </row>
    <row r="399">
      <c r="A399" s="5" t="s">
        <v>816</v>
      </c>
      <c r="B399" s="5" t="s">
        <v>817</v>
      </c>
      <c r="C399" s="5" t="s">
        <v>13</v>
      </c>
      <c r="D399" s="5" t="s">
        <v>812</v>
      </c>
      <c r="E399" s="5" t="s">
        <v>222</v>
      </c>
      <c r="F399" s="5" t="s">
        <v>818</v>
      </c>
      <c r="G399" s="5" t="s">
        <v>763</v>
      </c>
      <c r="H399" s="5" t="s">
        <v>18</v>
      </c>
      <c r="I399" s="7" t="s">
        <v>819</v>
      </c>
      <c r="L399" s="5" t="str">
        <f>IFERROR(__xludf.DUMMYFUNCTION("""COMPUTED_VALUE"""),"Surrey")</f>
        <v>Surrey</v>
      </c>
    </row>
    <row r="400">
      <c r="A400" s="5" t="s">
        <v>820</v>
      </c>
      <c r="B400" s="5" t="s">
        <v>821</v>
      </c>
      <c r="C400" s="5" t="s">
        <v>13</v>
      </c>
      <c r="D400" s="5" t="s">
        <v>812</v>
      </c>
      <c r="E400" s="5" t="s">
        <v>822</v>
      </c>
      <c r="F400" s="5" t="s">
        <v>64</v>
      </c>
      <c r="G400" s="5" t="s">
        <v>65</v>
      </c>
      <c r="H400" s="5" t="s">
        <v>18</v>
      </c>
      <c r="I400" s="7" t="s">
        <v>823</v>
      </c>
      <c r="L400" s="5" t="str">
        <f>IFERROR(__xludf.DUMMYFUNCTION("""COMPUTED_VALUE"""),"West Vancouver")</f>
        <v>West Vancouver</v>
      </c>
    </row>
    <row r="401">
      <c r="A401" s="5" t="s">
        <v>824</v>
      </c>
      <c r="B401" s="5" t="s">
        <v>25</v>
      </c>
      <c r="C401" s="5" t="s">
        <v>13</v>
      </c>
      <c r="D401" s="5" t="s">
        <v>812</v>
      </c>
      <c r="E401" s="5" t="s">
        <v>42</v>
      </c>
      <c r="F401" s="5" t="s">
        <v>825</v>
      </c>
      <c r="G401" s="5" t="s">
        <v>756</v>
      </c>
      <c r="H401" s="5" t="s">
        <v>18</v>
      </c>
      <c r="I401" s="7" t="s">
        <v>826</v>
      </c>
      <c r="L401" s="5" t="str">
        <f>IFERROR(__xludf.DUMMYFUNCTION("""COMPUTED_VALUE"""),"Potwin")</f>
        <v>Potwin</v>
      </c>
    </row>
    <row r="402">
      <c r="A402" s="5" t="s">
        <v>827</v>
      </c>
      <c r="B402" s="5" t="s">
        <v>828</v>
      </c>
      <c r="C402" s="5" t="s">
        <v>13</v>
      </c>
      <c r="D402" s="5" t="s">
        <v>812</v>
      </c>
      <c r="E402" s="5" t="s">
        <v>165</v>
      </c>
      <c r="F402" s="5" t="s">
        <v>80</v>
      </c>
      <c r="G402" s="5" t="s">
        <v>38</v>
      </c>
      <c r="H402" s="5" t="s">
        <v>18</v>
      </c>
      <c r="I402" s="7" t="s">
        <v>829</v>
      </c>
      <c r="L402" s="5" t="str">
        <f>IFERROR(__xludf.DUMMYFUNCTION("""COMPUTED_VALUE"""),"Athens")</f>
        <v>Athens</v>
      </c>
    </row>
    <row r="403">
      <c r="A403" s="5" t="s">
        <v>830</v>
      </c>
      <c r="B403" s="5" t="s">
        <v>831</v>
      </c>
      <c r="C403" s="5" t="s">
        <v>13</v>
      </c>
      <c r="D403" s="5" t="s">
        <v>812</v>
      </c>
      <c r="E403" s="5" t="s">
        <v>832</v>
      </c>
      <c r="F403" s="5" t="s">
        <v>833</v>
      </c>
      <c r="G403" s="5" t="s">
        <v>203</v>
      </c>
      <c r="H403" s="5" t="s">
        <v>18</v>
      </c>
      <c r="I403" s="7" t="s">
        <v>834</v>
      </c>
      <c r="L403" s="5" t="str">
        <f>IFERROR(__xludf.DUMMYFUNCTION("""COMPUTED_VALUE"""),"Winter Haven")</f>
        <v>Winter Haven</v>
      </c>
    </row>
    <row r="404">
      <c r="A404" s="5" t="s">
        <v>835</v>
      </c>
      <c r="B404" s="5" t="s">
        <v>836</v>
      </c>
      <c r="C404" s="5" t="s">
        <v>13</v>
      </c>
      <c r="D404" s="5" t="s">
        <v>812</v>
      </c>
      <c r="E404" s="5" t="s">
        <v>512</v>
      </c>
      <c r="F404" s="5" t="s">
        <v>112</v>
      </c>
      <c r="G404" s="5" t="s">
        <v>38</v>
      </c>
      <c r="H404" s="5" t="s">
        <v>18</v>
      </c>
      <c r="I404" s="17" t="s">
        <v>10415</v>
      </c>
      <c r="L404" s="5" t="str">
        <f>IFERROR(__xludf.DUMMYFUNCTION("""COMPUTED_VALUE"""),"Halifax")</f>
        <v>Halifax</v>
      </c>
    </row>
    <row r="405">
      <c r="A405" s="5" t="s">
        <v>838</v>
      </c>
      <c r="B405" s="5" t="s">
        <v>839</v>
      </c>
      <c r="C405" s="5" t="s">
        <v>13</v>
      </c>
      <c r="D405" s="5" t="s">
        <v>812</v>
      </c>
      <c r="E405" s="5" t="s">
        <v>840</v>
      </c>
      <c r="F405" s="5" t="s">
        <v>299</v>
      </c>
      <c r="G405" s="5" t="s">
        <v>44</v>
      </c>
      <c r="H405" s="5" t="s">
        <v>18</v>
      </c>
      <c r="I405" s="7" t="s">
        <v>841</v>
      </c>
      <c r="L405" s="5" t="str">
        <f>IFERROR(__xludf.DUMMYFUNCTION("""COMPUTED_VALUE"""),"Portage")</f>
        <v>Portage</v>
      </c>
    </row>
    <row r="406">
      <c r="A406" s="5" t="s">
        <v>810</v>
      </c>
      <c r="B406" s="5" t="s">
        <v>25</v>
      </c>
      <c r="C406" s="5" t="s">
        <v>13</v>
      </c>
      <c r="D406" s="5" t="s">
        <v>812</v>
      </c>
      <c r="E406" s="5" t="s">
        <v>111</v>
      </c>
      <c r="F406" s="5" t="s">
        <v>16</v>
      </c>
      <c r="G406" s="5" t="s">
        <v>17</v>
      </c>
      <c r="H406" s="5" t="s">
        <v>18</v>
      </c>
      <c r="I406" s="7" t="s">
        <v>842</v>
      </c>
      <c r="L406" s="5" t="str">
        <f>IFERROR(__xludf.DUMMYFUNCTION("""COMPUTED_VALUE"""),"Canobolas")</f>
        <v>Canobolas</v>
      </c>
    </row>
    <row r="407">
      <c r="A407" s="5" t="s">
        <v>5253</v>
      </c>
      <c r="B407" s="5" t="s">
        <v>5254</v>
      </c>
      <c r="D407" s="5" t="s">
        <v>845</v>
      </c>
      <c r="E407" s="5" t="s">
        <v>149</v>
      </c>
      <c r="F407" s="5" t="s">
        <v>1914</v>
      </c>
      <c r="G407" s="5" t="s">
        <v>378</v>
      </c>
      <c r="H407" s="5" t="s">
        <v>18</v>
      </c>
      <c r="I407" s="18" t="s">
        <v>10416</v>
      </c>
      <c r="L407" s="5" t="str">
        <f>IFERROR(__xludf.DUMMYFUNCTION("""COMPUTED_VALUE"""),"Schenectady")</f>
        <v>Schenectady</v>
      </c>
    </row>
    <row r="408">
      <c r="A408" s="5" t="s">
        <v>5908</v>
      </c>
      <c r="B408" s="5" t="s">
        <v>5909</v>
      </c>
      <c r="D408" s="5" t="s">
        <v>845</v>
      </c>
      <c r="E408" s="5" t="s">
        <v>686</v>
      </c>
      <c r="F408" s="5" t="s">
        <v>80</v>
      </c>
      <c r="G408" s="5" t="s">
        <v>38</v>
      </c>
      <c r="H408" s="5" t="s">
        <v>18</v>
      </c>
      <c r="I408" s="17" t="s">
        <v>10417</v>
      </c>
      <c r="L408" s="5" t="str">
        <f>IFERROR(__xludf.DUMMYFUNCTION("""COMPUTED_VALUE"""),"Bullhead City")</f>
        <v>Bullhead City</v>
      </c>
    </row>
    <row r="409">
      <c r="A409" s="5" t="s">
        <v>6154</v>
      </c>
      <c r="B409" s="5" t="s">
        <v>5909</v>
      </c>
      <c r="D409" s="5" t="s">
        <v>845</v>
      </c>
      <c r="E409" s="5" t="s">
        <v>579</v>
      </c>
      <c r="F409" s="5" t="s">
        <v>2702</v>
      </c>
      <c r="G409" s="5" t="s">
        <v>38</v>
      </c>
      <c r="H409" s="5" t="s">
        <v>18</v>
      </c>
      <c r="I409" s="17" t="s">
        <v>10418</v>
      </c>
      <c r="L409" s="5" t="str">
        <f>IFERROR(__xludf.DUMMYFUNCTION("""COMPUTED_VALUE"""),"Chaska")</f>
        <v>Chaska</v>
      </c>
    </row>
    <row r="410">
      <c r="A410" s="5" t="s">
        <v>6294</v>
      </c>
      <c r="B410" s="5" t="s">
        <v>4749</v>
      </c>
      <c r="D410" s="5" t="s">
        <v>845</v>
      </c>
      <c r="E410" s="5" t="s">
        <v>228</v>
      </c>
      <c r="F410" s="5" t="s">
        <v>6295</v>
      </c>
      <c r="G410" s="5" t="s">
        <v>154</v>
      </c>
      <c r="H410" s="5" t="s">
        <v>18</v>
      </c>
      <c r="I410" s="17" t="s">
        <v>10419</v>
      </c>
      <c r="L410" s="5" t="str">
        <f>IFERROR(__xludf.DUMMYFUNCTION("""COMPUTED_VALUE"""),"De Kalb")</f>
        <v>De Kalb</v>
      </c>
    </row>
    <row r="411">
      <c r="A411" s="5" t="s">
        <v>860</v>
      </c>
      <c r="B411" s="5" t="s">
        <v>861</v>
      </c>
      <c r="D411" s="5" t="s">
        <v>845</v>
      </c>
      <c r="E411" s="5" t="s">
        <v>848</v>
      </c>
      <c r="F411" s="5" t="s">
        <v>862</v>
      </c>
      <c r="G411" s="5" t="s">
        <v>184</v>
      </c>
      <c r="H411" s="5" t="s">
        <v>18</v>
      </c>
      <c r="I411" s="17" t="s">
        <v>10420</v>
      </c>
      <c r="L411" s="5" t="str">
        <f>IFERROR(__xludf.DUMMYFUNCTION("""COMPUTED_VALUE"""),"Fremont")</f>
        <v>Fremont</v>
      </c>
    </row>
    <row r="412">
      <c r="A412" s="5" t="s">
        <v>7467</v>
      </c>
      <c r="B412" s="5" t="s">
        <v>7468</v>
      </c>
      <c r="D412" s="5" t="s">
        <v>845</v>
      </c>
      <c r="E412" s="5" t="s">
        <v>512</v>
      </c>
      <c r="F412" s="5" t="s">
        <v>865</v>
      </c>
      <c r="G412" s="5" t="s">
        <v>184</v>
      </c>
      <c r="H412" s="5" t="s">
        <v>18</v>
      </c>
      <c r="I412" s="7" t="s">
        <v>10421</v>
      </c>
      <c r="L412" s="5" t="str">
        <f>IFERROR(__xludf.DUMMYFUNCTION("""COMPUTED_VALUE"""),"Holmen")</f>
        <v>Holmen</v>
      </c>
    </row>
    <row r="413">
      <c r="A413" s="5" t="s">
        <v>7871</v>
      </c>
      <c r="B413" s="5" t="s">
        <v>7872</v>
      </c>
      <c r="D413" s="5" t="s">
        <v>845</v>
      </c>
      <c r="E413" s="5" t="s">
        <v>192</v>
      </c>
      <c r="F413" s="5" t="s">
        <v>137</v>
      </c>
      <c r="G413" s="5" t="s">
        <v>137</v>
      </c>
      <c r="H413" s="5" t="s">
        <v>18</v>
      </c>
      <c r="I413" s="7" t="s">
        <v>10422</v>
      </c>
      <c r="L413" s="5" t="str">
        <f>IFERROR(__xludf.DUMMYFUNCTION("""COMPUTED_VALUE"""),"New Alexandria")</f>
        <v>New Alexandria</v>
      </c>
    </row>
    <row r="414">
      <c r="A414" s="5" t="s">
        <v>8071</v>
      </c>
      <c r="B414" s="5" t="s">
        <v>8072</v>
      </c>
      <c r="D414" s="5" t="s">
        <v>845</v>
      </c>
      <c r="E414" s="5" t="s">
        <v>4250</v>
      </c>
      <c r="F414" s="5" t="s">
        <v>8069</v>
      </c>
      <c r="G414" s="5" t="s">
        <v>4757</v>
      </c>
      <c r="H414" s="5" t="s">
        <v>4607</v>
      </c>
      <c r="I414" s="7" t="s">
        <v>10423</v>
      </c>
      <c r="L414" s="5" t="str">
        <f>IFERROR(__xludf.DUMMYFUNCTION("""COMPUTED_VALUE"""),"Topeka")</f>
        <v>Topeka</v>
      </c>
    </row>
    <row r="415">
      <c r="A415" s="5" t="s">
        <v>8389</v>
      </c>
      <c r="B415" s="5" t="s">
        <v>8390</v>
      </c>
      <c r="D415" s="5" t="s">
        <v>845</v>
      </c>
      <c r="E415" s="5" t="s">
        <v>149</v>
      </c>
      <c r="F415" s="5" t="s">
        <v>1852</v>
      </c>
      <c r="G415" s="5" t="s">
        <v>38</v>
      </c>
      <c r="H415" s="5" t="s">
        <v>18</v>
      </c>
      <c r="I415" s="17" t="s">
        <v>10424</v>
      </c>
      <c r="L415" s="5" t="str">
        <f>IFERROR(__xludf.DUMMYFUNCTION("""COMPUTED_VALUE"""),"Ajax")</f>
        <v>Ajax</v>
      </c>
    </row>
    <row r="416">
      <c r="A416" s="5" t="s">
        <v>8451</v>
      </c>
      <c r="B416" s="5" t="s">
        <v>8452</v>
      </c>
      <c r="D416" s="5" t="s">
        <v>845</v>
      </c>
      <c r="E416" s="5" t="s">
        <v>1460</v>
      </c>
      <c r="F416" s="5" t="s">
        <v>801</v>
      </c>
      <c r="G416" s="5" t="s">
        <v>50</v>
      </c>
      <c r="H416" s="5" t="s">
        <v>18</v>
      </c>
      <c r="I416" s="7" t="s">
        <v>8450</v>
      </c>
      <c r="L416" s="5" t="str">
        <f>IFERROR(__xludf.DUMMYFUNCTION("""COMPUTED_VALUE"""),"Blyth")</f>
        <v>Blyth</v>
      </c>
    </row>
    <row r="417">
      <c r="A417" s="5" t="s">
        <v>8478</v>
      </c>
      <c r="B417" s="5" t="s">
        <v>7786</v>
      </c>
      <c r="D417" s="5" t="s">
        <v>845</v>
      </c>
      <c r="E417" s="5" t="s">
        <v>1300</v>
      </c>
      <c r="F417" s="5" t="s">
        <v>8479</v>
      </c>
      <c r="G417" s="5" t="s">
        <v>184</v>
      </c>
      <c r="H417" s="5" t="s">
        <v>18</v>
      </c>
      <c r="I417" s="17" t="s">
        <v>10425</v>
      </c>
      <c r="L417" s="5" t="str">
        <f>IFERROR(__xludf.DUMMYFUNCTION("""COMPUTED_VALUE"""),"Harrogate")</f>
        <v>Harrogate</v>
      </c>
    </row>
    <row r="418">
      <c r="A418" s="5" t="s">
        <v>8482</v>
      </c>
      <c r="B418" s="5" t="s">
        <v>8483</v>
      </c>
      <c r="D418" s="5" t="s">
        <v>845</v>
      </c>
      <c r="E418" s="5" t="s">
        <v>512</v>
      </c>
      <c r="F418" s="5" t="s">
        <v>876</v>
      </c>
      <c r="G418" s="5" t="s">
        <v>184</v>
      </c>
      <c r="H418" s="5" t="s">
        <v>18</v>
      </c>
      <c r="I418" s="18" t="s">
        <v>10426</v>
      </c>
      <c r="L418" s="5" t="str">
        <f>IFERROR(__xludf.DUMMYFUNCTION("""COMPUTED_VALUE"""),"Manchester")</f>
        <v>Manchester</v>
      </c>
    </row>
    <row r="419">
      <c r="A419" s="5" t="s">
        <v>8486</v>
      </c>
      <c r="B419" s="5" t="s">
        <v>1896</v>
      </c>
      <c r="D419" s="5" t="s">
        <v>845</v>
      </c>
      <c r="E419" s="5" t="s">
        <v>686</v>
      </c>
      <c r="F419" s="5" t="s">
        <v>876</v>
      </c>
      <c r="G419" s="5" t="s">
        <v>184</v>
      </c>
      <c r="H419" s="5" t="s">
        <v>18</v>
      </c>
      <c r="I419" s="7" t="s">
        <v>8485</v>
      </c>
      <c r="L419" s="5" t="str">
        <f>IFERROR(__xludf.DUMMYFUNCTION("""COMPUTED_VALUE"""),"Newcastle upon Tyne")</f>
        <v>Newcastle upon Tyne</v>
      </c>
    </row>
    <row r="420">
      <c r="A420" s="5" t="s">
        <v>8488</v>
      </c>
      <c r="B420" s="5" t="s">
        <v>8489</v>
      </c>
      <c r="D420" s="5" t="s">
        <v>845</v>
      </c>
      <c r="E420" s="5" t="s">
        <v>283</v>
      </c>
      <c r="F420" s="5" t="s">
        <v>876</v>
      </c>
      <c r="G420" s="5" t="s">
        <v>184</v>
      </c>
      <c r="H420" s="5" t="s">
        <v>18</v>
      </c>
      <c r="I420" s="17" t="s">
        <v>10427</v>
      </c>
      <c r="L420" s="5" t="str">
        <f>IFERROR(__xludf.DUMMYFUNCTION("""COMPUTED_VALUE"""),"Stevenage")</f>
        <v>Stevenage</v>
      </c>
    </row>
    <row r="421">
      <c r="A421" s="5" t="s">
        <v>900</v>
      </c>
      <c r="B421" s="5" t="s">
        <v>25</v>
      </c>
      <c r="D421" s="5" t="s">
        <v>845</v>
      </c>
      <c r="E421" s="5" t="s">
        <v>1531</v>
      </c>
      <c r="F421" s="5" t="s">
        <v>876</v>
      </c>
      <c r="G421" s="5" t="s">
        <v>184</v>
      </c>
      <c r="H421" s="5" t="s">
        <v>18</v>
      </c>
      <c r="I421" s="7" t="s">
        <v>8490</v>
      </c>
      <c r="L421" s="5" t="str">
        <f>IFERROR(__xludf.DUMMYFUNCTION("""COMPUTED_VALUE"""),"Noblesville")</f>
        <v>Noblesville</v>
      </c>
    </row>
    <row r="422">
      <c r="A422" s="5" t="s">
        <v>885</v>
      </c>
      <c r="B422" s="5" t="s">
        <v>8492</v>
      </c>
      <c r="D422" s="5" t="s">
        <v>845</v>
      </c>
      <c r="E422" s="5" t="s">
        <v>666</v>
      </c>
      <c r="F422" s="5" t="s">
        <v>876</v>
      </c>
      <c r="G422" s="5" t="s">
        <v>184</v>
      </c>
      <c r="H422" s="5" t="s">
        <v>18</v>
      </c>
      <c r="I422" s="17" t="s">
        <v>10428</v>
      </c>
      <c r="L422" s="5" t="str">
        <f>IFERROR(__xludf.DUMMYFUNCTION("""COMPUTED_VALUE"""),"College Station")</f>
        <v>College Station</v>
      </c>
    </row>
    <row r="423">
      <c r="A423" s="5" t="s">
        <v>888</v>
      </c>
      <c r="B423" s="5" t="s">
        <v>889</v>
      </c>
      <c r="D423" s="5" t="s">
        <v>845</v>
      </c>
      <c r="E423" s="5" t="s">
        <v>890</v>
      </c>
      <c r="F423" s="5" t="s">
        <v>876</v>
      </c>
      <c r="G423" s="5" t="s">
        <v>184</v>
      </c>
      <c r="H423" s="5" t="s">
        <v>18</v>
      </c>
      <c r="I423" s="17" t="s">
        <v>10429</v>
      </c>
      <c r="L423" s="5" t="str">
        <f>IFERROR(__xludf.DUMMYFUNCTION("""COMPUTED_VALUE"""),"Muncie")</f>
        <v>Muncie</v>
      </c>
    </row>
    <row r="424">
      <c r="A424" s="5" t="s">
        <v>8529</v>
      </c>
      <c r="B424" s="5" t="s">
        <v>8530</v>
      </c>
      <c r="D424" s="5" t="s">
        <v>845</v>
      </c>
      <c r="E424" s="5" t="s">
        <v>149</v>
      </c>
      <c r="F424" s="5" t="s">
        <v>8517</v>
      </c>
      <c r="G424" s="5" t="s">
        <v>4638</v>
      </c>
      <c r="H424" s="5" t="s">
        <v>4600</v>
      </c>
      <c r="I424" s="17" t="s">
        <v>10430</v>
      </c>
      <c r="L424" s="5" t="str">
        <f>IFERROR(__xludf.DUMMYFUNCTION("""COMPUTED_VALUE"""),"Windermere")</f>
        <v>Windermere</v>
      </c>
    </row>
    <row r="425">
      <c r="A425" s="5" t="s">
        <v>874</v>
      </c>
      <c r="B425" s="5" t="s">
        <v>875</v>
      </c>
      <c r="D425" s="5" t="s">
        <v>845</v>
      </c>
      <c r="E425" s="5" t="s">
        <v>29</v>
      </c>
      <c r="F425" s="5" t="s">
        <v>8517</v>
      </c>
      <c r="G425" s="5" t="s">
        <v>4638</v>
      </c>
      <c r="H425" s="5" t="s">
        <v>4600</v>
      </c>
      <c r="I425" s="17" t="s">
        <v>10431</v>
      </c>
      <c r="L425" s="5" t="str">
        <f>IFERROR(__xludf.DUMMYFUNCTION("""COMPUTED_VALUE"""),"Burbank")</f>
        <v>Burbank</v>
      </c>
    </row>
    <row r="426">
      <c r="A426" s="5" t="s">
        <v>8533</v>
      </c>
      <c r="B426" s="5" t="s">
        <v>8534</v>
      </c>
      <c r="D426" s="5" t="s">
        <v>845</v>
      </c>
      <c r="E426" s="5" t="s">
        <v>365</v>
      </c>
      <c r="F426" s="5" t="s">
        <v>8517</v>
      </c>
      <c r="G426" s="5" t="s">
        <v>4638</v>
      </c>
      <c r="H426" s="5" t="s">
        <v>4600</v>
      </c>
      <c r="I426" s="17" t="s">
        <v>10432</v>
      </c>
      <c r="L426" s="5" t="str">
        <f>IFERROR(__xludf.DUMMYFUNCTION("""COMPUTED_VALUE"""),"Mount Dora")</f>
        <v>Mount Dora</v>
      </c>
    </row>
    <row r="427">
      <c r="A427" s="5" t="s">
        <v>8617</v>
      </c>
      <c r="B427" s="5" t="s">
        <v>8618</v>
      </c>
      <c r="D427" s="5" t="s">
        <v>845</v>
      </c>
      <c r="E427" s="5" t="s">
        <v>574</v>
      </c>
      <c r="F427" s="5" t="s">
        <v>166</v>
      </c>
      <c r="G427" s="5" t="s">
        <v>44</v>
      </c>
      <c r="H427" s="5" t="s">
        <v>18</v>
      </c>
      <c r="I427" s="17" t="s">
        <v>10433</v>
      </c>
      <c r="L427" s="5" t="str">
        <f>IFERROR(__xludf.DUMMYFUNCTION("""COMPUTED_VALUE"""),"Norfolk")</f>
        <v>Norfolk</v>
      </c>
    </row>
    <row r="428">
      <c r="A428" s="5" t="s">
        <v>9201</v>
      </c>
      <c r="B428" s="5" t="s">
        <v>371</v>
      </c>
      <c r="D428" s="5" t="s">
        <v>845</v>
      </c>
      <c r="E428" s="5" t="s">
        <v>100</v>
      </c>
      <c r="F428" s="5" t="s">
        <v>5280</v>
      </c>
      <c r="G428" s="5" t="s">
        <v>4638</v>
      </c>
      <c r="H428" s="5" t="s">
        <v>4600</v>
      </c>
      <c r="I428" s="7" t="s">
        <v>9200</v>
      </c>
      <c r="L428" s="5" t="str">
        <f>IFERROR(__xludf.DUMMYFUNCTION("""COMPUTED_VALUE"""),"Palm Bay")</f>
        <v>Palm Bay</v>
      </c>
    </row>
    <row r="429">
      <c r="A429" s="5" t="s">
        <v>9224</v>
      </c>
      <c r="B429" s="5" t="s">
        <v>9225</v>
      </c>
      <c r="D429" s="5" t="s">
        <v>845</v>
      </c>
      <c r="E429" s="5" t="s">
        <v>121</v>
      </c>
      <c r="F429" s="5" t="s">
        <v>5280</v>
      </c>
      <c r="G429" s="5" t="s">
        <v>4638</v>
      </c>
      <c r="H429" s="5" t="s">
        <v>4600</v>
      </c>
      <c r="I429" s="17" t="s">
        <v>10434</v>
      </c>
      <c r="L429" s="5" t="str">
        <f>IFERROR(__xludf.DUMMYFUNCTION("""COMPUTED_VALUE"""),"Winter Garden")</f>
        <v>Winter Garden</v>
      </c>
    </row>
    <row r="430">
      <c r="A430" s="5" t="s">
        <v>913</v>
      </c>
      <c r="B430" s="5" t="s">
        <v>914</v>
      </c>
      <c r="D430" s="5" t="s">
        <v>845</v>
      </c>
      <c r="E430" s="5" t="s">
        <v>574</v>
      </c>
      <c r="F430" s="5" t="s">
        <v>102</v>
      </c>
      <c r="G430" s="5" t="s">
        <v>172</v>
      </c>
      <c r="H430" s="5" t="s">
        <v>18</v>
      </c>
      <c r="I430" s="17" t="s">
        <v>10435</v>
      </c>
      <c r="L430" s="5" t="str">
        <f>IFERROR(__xludf.DUMMYFUNCTION("""COMPUTED_VALUE"""),"Winston-Salem")</f>
        <v>Winston-Salem</v>
      </c>
    </row>
    <row r="431">
      <c r="A431" s="5" t="s">
        <v>911</v>
      </c>
      <c r="B431" s="5" t="s">
        <v>371</v>
      </c>
      <c r="D431" s="5" t="s">
        <v>845</v>
      </c>
      <c r="E431" s="5" t="s">
        <v>136</v>
      </c>
      <c r="F431" s="5" t="s">
        <v>102</v>
      </c>
      <c r="G431" s="5" t="s">
        <v>172</v>
      </c>
      <c r="H431" s="5" t="s">
        <v>18</v>
      </c>
      <c r="I431" s="17" t="s">
        <v>10436</v>
      </c>
      <c r="L431" s="5" t="str">
        <f>IFERROR(__xludf.DUMMYFUNCTION("""COMPUTED_VALUE"""),"Pelham")</f>
        <v>Pelham</v>
      </c>
    </row>
    <row r="432">
      <c r="A432" s="5" t="s">
        <v>10002</v>
      </c>
      <c r="B432" s="5" t="s">
        <v>4749</v>
      </c>
      <c r="D432" s="5" t="s">
        <v>845</v>
      </c>
      <c r="E432" s="5" t="s">
        <v>257</v>
      </c>
      <c r="F432" s="5" t="s">
        <v>102</v>
      </c>
      <c r="G432" s="5" t="s">
        <v>172</v>
      </c>
      <c r="H432" s="5" t="s">
        <v>18</v>
      </c>
      <c r="I432" s="7" t="s">
        <v>10001</v>
      </c>
      <c r="L432" s="5" t="str">
        <f>IFERROR(__xludf.DUMMYFUNCTION("""COMPUTED_VALUE"""),"Brighton")</f>
        <v>Brighton</v>
      </c>
    </row>
    <row r="433">
      <c r="A433" s="5" t="s">
        <v>923</v>
      </c>
      <c r="B433" s="5" t="s">
        <v>924</v>
      </c>
      <c r="D433" s="5" t="s">
        <v>845</v>
      </c>
      <c r="E433" s="5" t="s">
        <v>217</v>
      </c>
      <c r="F433" s="5" t="s">
        <v>102</v>
      </c>
      <c r="G433" s="5" t="s">
        <v>172</v>
      </c>
      <c r="H433" s="5" t="s">
        <v>18</v>
      </c>
      <c r="I433" s="7" t="s">
        <v>10437</v>
      </c>
      <c r="L433" s="5" t="str">
        <f>IFERROR(__xludf.DUMMYFUNCTION("""COMPUTED_VALUE"""),"Tulsa")</f>
        <v>Tulsa</v>
      </c>
    </row>
    <row r="434">
      <c r="A434" s="5" t="s">
        <v>10016</v>
      </c>
      <c r="B434" s="5" t="s">
        <v>1896</v>
      </c>
      <c r="D434" s="5" t="s">
        <v>845</v>
      </c>
      <c r="E434" s="5" t="s">
        <v>60</v>
      </c>
      <c r="F434" s="5" t="s">
        <v>102</v>
      </c>
      <c r="G434" s="5" t="s">
        <v>172</v>
      </c>
      <c r="H434" s="5" t="s">
        <v>18</v>
      </c>
      <c r="I434" s="7" t="s">
        <v>10015</v>
      </c>
      <c r="L434" s="5" t="str">
        <f>IFERROR(__xludf.DUMMYFUNCTION("""COMPUTED_VALUE"""),"Daly City")</f>
        <v>Daly City</v>
      </c>
    </row>
    <row r="435">
      <c r="A435" s="5" t="s">
        <v>10022</v>
      </c>
      <c r="B435" s="5" t="s">
        <v>10023</v>
      </c>
      <c r="D435" s="5" t="s">
        <v>845</v>
      </c>
      <c r="E435" s="5" t="s">
        <v>192</v>
      </c>
      <c r="F435" s="5" t="s">
        <v>102</v>
      </c>
      <c r="G435" s="5" t="s">
        <v>172</v>
      </c>
      <c r="H435" s="5" t="s">
        <v>18</v>
      </c>
      <c r="I435" s="17" t="s">
        <v>10438</v>
      </c>
      <c r="L435" s="5" t="str">
        <f>IFERROR(__xludf.DUMMYFUNCTION("""COMPUTED_VALUE"""),"Bentonville")</f>
        <v>Bentonville</v>
      </c>
    </row>
    <row r="436">
      <c r="A436" s="5" t="s">
        <v>10028</v>
      </c>
      <c r="B436" s="5" t="s">
        <v>10029</v>
      </c>
      <c r="D436" s="5" t="s">
        <v>845</v>
      </c>
      <c r="E436" s="5" t="s">
        <v>666</v>
      </c>
      <c r="F436" s="5" t="s">
        <v>102</v>
      </c>
      <c r="G436" s="5" t="s">
        <v>172</v>
      </c>
      <c r="H436" s="5" t="s">
        <v>18</v>
      </c>
      <c r="I436" s="17" t="s">
        <v>10439</v>
      </c>
      <c r="L436" s="5" t="str">
        <f>IFERROR(__xludf.DUMMYFUNCTION("""COMPUTED_VALUE"""),"Edmond")</f>
        <v>Edmond</v>
      </c>
    </row>
    <row r="437">
      <c r="A437" s="5" t="s">
        <v>10031</v>
      </c>
      <c r="B437" s="5" t="s">
        <v>10032</v>
      </c>
      <c r="D437" s="5" t="s">
        <v>845</v>
      </c>
      <c r="E437" s="5" t="s">
        <v>149</v>
      </c>
      <c r="F437" s="5" t="s">
        <v>102</v>
      </c>
      <c r="G437" s="5" t="s">
        <v>172</v>
      </c>
      <c r="H437" s="5" t="s">
        <v>18</v>
      </c>
      <c r="I437" s="17" t="s">
        <v>10440</v>
      </c>
      <c r="L437" s="5" t="str">
        <f>IFERROR(__xludf.DUMMYFUNCTION("""COMPUTED_VALUE"""),"Springdale")</f>
        <v>Springdale</v>
      </c>
    </row>
    <row r="438">
      <c r="A438" s="5" t="s">
        <v>10034</v>
      </c>
      <c r="B438" s="5" t="s">
        <v>10035</v>
      </c>
      <c r="D438" s="5" t="s">
        <v>845</v>
      </c>
      <c r="E438" s="5" t="s">
        <v>26</v>
      </c>
      <c r="F438" s="5" t="s">
        <v>102</v>
      </c>
      <c r="G438" s="5" t="s">
        <v>172</v>
      </c>
      <c r="H438" s="5" t="s">
        <v>18</v>
      </c>
      <c r="I438" s="17" t="s">
        <v>10441</v>
      </c>
      <c r="L438" s="5" t="str">
        <f>IFERROR(__xludf.DUMMYFUNCTION("""COMPUTED_VALUE"""),"Clifton")</f>
        <v>Clifton</v>
      </c>
    </row>
    <row r="439">
      <c r="A439" s="5" t="s">
        <v>918</v>
      </c>
      <c r="B439" s="5" t="s">
        <v>919</v>
      </c>
      <c r="D439" s="5" t="s">
        <v>845</v>
      </c>
      <c r="E439" s="5" t="s">
        <v>512</v>
      </c>
      <c r="F439" s="5" t="s">
        <v>102</v>
      </c>
      <c r="G439" s="5" t="s">
        <v>172</v>
      </c>
      <c r="H439" s="5" t="s">
        <v>18</v>
      </c>
      <c r="I439" s="7" t="s">
        <v>10036</v>
      </c>
      <c r="L439" s="5" t="str">
        <f>IFERROR(__xludf.DUMMYFUNCTION("""COMPUTED_VALUE"""),"Briarcliff Manor")</f>
        <v>Briarcliff Manor</v>
      </c>
    </row>
    <row r="440">
      <c r="A440" s="5" t="s">
        <v>10040</v>
      </c>
      <c r="B440" s="5" t="s">
        <v>10041</v>
      </c>
      <c r="D440" s="5" t="s">
        <v>845</v>
      </c>
      <c r="E440" s="5" t="s">
        <v>437</v>
      </c>
      <c r="F440" s="5" t="s">
        <v>102</v>
      </c>
      <c r="G440" s="5" t="s">
        <v>172</v>
      </c>
      <c r="H440" s="5" t="s">
        <v>18</v>
      </c>
      <c r="I440" s="17" t="s">
        <v>10442</v>
      </c>
      <c r="L440" s="5" t="str">
        <f>IFERROR(__xludf.DUMMYFUNCTION("""COMPUTED_VALUE"""),"Santa Monica")</f>
        <v>Santa Monica</v>
      </c>
    </row>
    <row r="441">
      <c r="A441" s="5" t="s">
        <v>921</v>
      </c>
      <c r="B441" s="5" t="s">
        <v>371</v>
      </c>
      <c r="D441" s="5" t="s">
        <v>845</v>
      </c>
      <c r="E441" s="5" t="s">
        <v>48</v>
      </c>
      <c r="F441" s="5" t="s">
        <v>102</v>
      </c>
      <c r="G441" s="5" t="s">
        <v>172</v>
      </c>
      <c r="H441" s="5" t="s">
        <v>18</v>
      </c>
      <c r="I441" s="7" t="s">
        <v>10047</v>
      </c>
      <c r="L441" s="5" t="str">
        <f>IFERROR(__xludf.DUMMYFUNCTION("""COMPUTED_VALUE"""),"Laveen")</f>
        <v>Laveen</v>
      </c>
    </row>
    <row r="442">
      <c r="A442" s="5" t="s">
        <v>10163</v>
      </c>
      <c r="B442" s="5" t="s">
        <v>10164</v>
      </c>
      <c r="D442" s="5" t="s">
        <v>845</v>
      </c>
      <c r="E442" s="5" t="s">
        <v>512</v>
      </c>
      <c r="F442" s="5" t="s">
        <v>608</v>
      </c>
      <c r="G442" s="5" t="s">
        <v>609</v>
      </c>
      <c r="H442" s="5" t="s">
        <v>18</v>
      </c>
      <c r="I442" s="7" t="s">
        <v>10443</v>
      </c>
      <c r="L442" s="5" t="str">
        <f>IFERROR(__xludf.DUMMYFUNCTION("""COMPUTED_VALUE"""),"Antioch")</f>
        <v>Antioch</v>
      </c>
    </row>
    <row r="443">
      <c r="A443" s="5" t="s">
        <v>843</v>
      </c>
      <c r="B443" s="5" t="s">
        <v>844</v>
      </c>
      <c r="C443" s="5" t="s">
        <v>13</v>
      </c>
      <c r="D443" s="5" t="s">
        <v>845</v>
      </c>
      <c r="E443" s="5" t="s">
        <v>228</v>
      </c>
      <c r="F443" s="5" t="s">
        <v>183</v>
      </c>
      <c r="G443" s="5" t="s">
        <v>184</v>
      </c>
      <c r="H443" s="5" t="s">
        <v>18</v>
      </c>
      <c r="I443" s="7" t="s">
        <v>10444</v>
      </c>
    </row>
    <row r="444">
      <c r="A444" s="5" t="s">
        <v>847</v>
      </c>
      <c r="B444" s="5" t="s">
        <v>25</v>
      </c>
      <c r="C444" s="5" t="s">
        <v>13</v>
      </c>
      <c r="D444" s="5" t="s">
        <v>845</v>
      </c>
      <c r="E444" s="5" t="s">
        <v>848</v>
      </c>
      <c r="F444" s="5" t="s">
        <v>189</v>
      </c>
      <c r="G444" s="5" t="s">
        <v>184</v>
      </c>
      <c r="H444" s="5" t="s">
        <v>18</v>
      </c>
      <c r="I444" s="7" t="s">
        <v>849</v>
      </c>
    </row>
    <row r="445">
      <c r="A445" s="5" t="s">
        <v>850</v>
      </c>
      <c r="B445" s="5" t="s">
        <v>25</v>
      </c>
      <c r="C445" s="5" t="s">
        <v>13</v>
      </c>
      <c r="D445" s="5" t="s">
        <v>845</v>
      </c>
      <c r="F445" s="5" t="s">
        <v>189</v>
      </c>
      <c r="G445" s="5" t="s">
        <v>184</v>
      </c>
      <c r="H445" s="5" t="s">
        <v>18</v>
      </c>
      <c r="I445" s="7" t="s">
        <v>851</v>
      </c>
    </row>
    <row r="446">
      <c r="A446" s="5" t="s">
        <v>852</v>
      </c>
      <c r="B446" s="5" t="s">
        <v>25</v>
      </c>
      <c r="C446" s="5" t="s">
        <v>13</v>
      </c>
      <c r="D446" s="5" t="s">
        <v>845</v>
      </c>
      <c r="E446" s="5" t="s">
        <v>192</v>
      </c>
      <c r="F446" s="5" t="s">
        <v>16</v>
      </c>
      <c r="G446" s="5" t="s">
        <v>17</v>
      </c>
      <c r="H446" s="5" t="s">
        <v>18</v>
      </c>
      <c r="I446" s="7" t="s">
        <v>853</v>
      </c>
    </row>
    <row r="447">
      <c r="A447" s="5" t="s">
        <v>854</v>
      </c>
      <c r="B447" s="5" t="s">
        <v>25</v>
      </c>
      <c r="C447" s="5" t="s">
        <v>13</v>
      </c>
      <c r="D447" s="5" t="s">
        <v>845</v>
      </c>
      <c r="E447" s="5" t="s">
        <v>331</v>
      </c>
      <c r="F447" s="5" t="s">
        <v>855</v>
      </c>
      <c r="G447" s="5" t="s">
        <v>184</v>
      </c>
      <c r="H447" s="5" t="s">
        <v>18</v>
      </c>
      <c r="I447" s="7" t="s">
        <v>856</v>
      </c>
    </row>
    <row r="448">
      <c r="A448" s="5" t="s">
        <v>857</v>
      </c>
      <c r="B448" s="5" t="s">
        <v>25</v>
      </c>
      <c r="C448" s="5" t="s">
        <v>13</v>
      </c>
      <c r="D448" s="5" t="s">
        <v>845</v>
      </c>
      <c r="E448" s="5" t="s">
        <v>228</v>
      </c>
      <c r="F448" s="5" t="s">
        <v>858</v>
      </c>
      <c r="G448" s="5" t="s">
        <v>38</v>
      </c>
      <c r="H448" s="5" t="s">
        <v>18</v>
      </c>
      <c r="I448" s="7" t="s">
        <v>859</v>
      </c>
    </row>
    <row r="449">
      <c r="A449" s="5" t="s">
        <v>860</v>
      </c>
      <c r="B449" s="5" t="s">
        <v>861</v>
      </c>
      <c r="C449" s="5" t="s">
        <v>13</v>
      </c>
      <c r="D449" s="5" t="s">
        <v>845</v>
      </c>
      <c r="E449" s="5" t="s">
        <v>848</v>
      </c>
      <c r="F449" s="5" t="s">
        <v>862</v>
      </c>
      <c r="G449" s="5" t="s">
        <v>184</v>
      </c>
      <c r="H449" s="5" t="s">
        <v>18</v>
      </c>
      <c r="I449" s="17" t="s">
        <v>10445</v>
      </c>
    </row>
    <row r="450">
      <c r="A450" s="5" t="s">
        <v>864</v>
      </c>
      <c r="B450" s="5" t="s">
        <v>25</v>
      </c>
      <c r="C450" s="5" t="s">
        <v>13</v>
      </c>
      <c r="D450" s="5" t="s">
        <v>845</v>
      </c>
      <c r="E450" s="5" t="s">
        <v>237</v>
      </c>
      <c r="F450" s="5" t="s">
        <v>865</v>
      </c>
      <c r="G450" s="5" t="s">
        <v>184</v>
      </c>
      <c r="H450" s="5" t="s">
        <v>18</v>
      </c>
      <c r="I450" s="7" t="s">
        <v>866</v>
      </c>
    </row>
    <row r="451">
      <c r="A451" s="5" t="s">
        <v>867</v>
      </c>
      <c r="B451" s="5" t="s">
        <v>25</v>
      </c>
      <c r="C451" s="5" t="s">
        <v>13</v>
      </c>
      <c r="D451" s="5" t="s">
        <v>845</v>
      </c>
      <c r="E451" s="5" t="s">
        <v>228</v>
      </c>
      <c r="F451" s="5" t="s">
        <v>137</v>
      </c>
      <c r="G451" s="5" t="s">
        <v>137</v>
      </c>
      <c r="H451" s="5" t="s">
        <v>18</v>
      </c>
      <c r="I451" s="7" t="s">
        <v>868</v>
      </c>
    </row>
    <row r="452">
      <c r="A452" s="5" t="s">
        <v>869</v>
      </c>
      <c r="B452" s="5" t="s">
        <v>870</v>
      </c>
      <c r="C452" s="5" t="s">
        <v>13</v>
      </c>
      <c r="D452" s="5" t="s">
        <v>845</v>
      </c>
      <c r="E452" s="5" t="s">
        <v>149</v>
      </c>
      <c r="F452" s="5" t="s">
        <v>137</v>
      </c>
      <c r="G452" s="5" t="s">
        <v>137</v>
      </c>
      <c r="H452" s="5" t="s">
        <v>18</v>
      </c>
      <c r="I452" s="18" t="s">
        <v>10446</v>
      </c>
    </row>
    <row r="453">
      <c r="A453" s="5" t="s">
        <v>872</v>
      </c>
      <c r="B453" s="5" t="s">
        <v>25</v>
      </c>
      <c r="C453" s="5" t="s">
        <v>13</v>
      </c>
      <c r="D453" s="5" t="s">
        <v>845</v>
      </c>
      <c r="E453" s="5" t="s">
        <v>228</v>
      </c>
      <c r="F453" s="5" t="s">
        <v>137</v>
      </c>
      <c r="G453" s="5" t="s">
        <v>137</v>
      </c>
      <c r="H453" s="5" t="s">
        <v>18</v>
      </c>
      <c r="I453" s="7" t="s">
        <v>873</v>
      </c>
    </row>
    <row r="454">
      <c r="A454" s="5" t="s">
        <v>874</v>
      </c>
      <c r="B454" s="5" t="s">
        <v>875</v>
      </c>
      <c r="C454" s="5" t="s">
        <v>13</v>
      </c>
      <c r="D454" s="5" t="s">
        <v>845</v>
      </c>
      <c r="E454" s="5" t="s">
        <v>29</v>
      </c>
      <c r="F454" s="5" t="s">
        <v>876</v>
      </c>
      <c r="G454" s="5" t="s">
        <v>184</v>
      </c>
      <c r="H454" s="5" t="s">
        <v>18</v>
      </c>
      <c r="I454" s="17" t="s">
        <v>10447</v>
      </c>
    </row>
    <row r="455">
      <c r="A455" s="5" t="s">
        <v>878</v>
      </c>
      <c r="B455" s="5" t="s">
        <v>879</v>
      </c>
      <c r="C455" s="5" t="s">
        <v>13</v>
      </c>
      <c r="D455" s="5" t="s">
        <v>845</v>
      </c>
      <c r="E455" s="5" t="s">
        <v>100</v>
      </c>
      <c r="F455" s="5" t="s">
        <v>876</v>
      </c>
      <c r="G455" s="5" t="s">
        <v>184</v>
      </c>
      <c r="H455" s="5" t="s">
        <v>18</v>
      </c>
      <c r="I455" s="17" t="s">
        <v>10448</v>
      </c>
    </row>
    <row r="456">
      <c r="A456" s="5" t="s">
        <v>881</v>
      </c>
      <c r="B456" s="5" t="s">
        <v>25</v>
      </c>
      <c r="C456" s="5" t="s">
        <v>13</v>
      </c>
      <c r="D456" s="5" t="s">
        <v>845</v>
      </c>
      <c r="E456" s="5" t="s">
        <v>100</v>
      </c>
      <c r="F456" s="5" t="s">
        <v>876</v>
      </c>
      <c r="G456" s="5" t="s">
        <v>184</v>
      </c>
      <c r="H456" s="5" t="s">
        <v>18</v>
      </c>
      <c r="I456" s="7" t="s">
        <v>882</v>
      </c>
    </row>
    <row r="457">
      <c r="A457" s="5" t="s">
        <v>883</v>
      </c>
      <c r="B457" s="5" t="s">
        <v>25</v>
      </c>
      <c r="C457" s="5" t="s">
        <v>13</v>
      </c>
      <c r="D457" s="5" t="s">
        <v>845</v>
      </c>
      <c r="E457" s="5" t="s">
        <v>228</v>
      </c>
      <c r="F457" s="5" t="s">
        <v>876</v>
      </c>
      <c r="G457" s="5" t="s">
        <v>184</v>
      </c>
      <c r="H457" s="5" t="s">
        <v>18</v>
      </c>
      <c r="I457" s="7" t="s">
        <v>884</v>
      </c>
    </row>
    <row r="458">
      <c r="A458" s="5" t="s">
        <v>885</v>
      </c>
      <c r="B458" s="5" t="s">
        <v>796</v>
      </c>
      <c r="C458" s="5" t="s">
        <v>13</v>
      </c>
      <c r="D458" s="5" t="s">
        <v>845</v>
      </c>
      <c r="E458" s="5" t="s">
        <v>886</v>
      </c>
      <c r="F458" s="5" t="s">
        <v>876</v>
      </c>
      <c r="G458" s="5" t="s">
        <v>184</v>
      </c>
      <c r="H458" s="5" t="s">
        <v>18</v>
      </c>
      <c r="I458" s="17" t="s">
        <v>10449</v>
      </c>
    </row>
    <row r="459">
      <c r="A459" s="5" t="s">
        <v>888</v>
      </c>
      <c r="B459" s="5" t="s">
        <v>889</v>
      </c>
      <c r="C459" s="5" t="s">
        <v>13</v>
      </c>
      <c r="D459" s="5" t="s">
        <v>845</v>
      </c>
      <c r="E459" s="5" t="s">
        <v>890</v>
      </c>
      <c r="F459" s="5" t="s">
        <v>876</v>
      </c>
      <c r="G459" s="5" t="s">
        <v>184</v>
      </c>
      <c r="H459" s="5" t="s">
        <v>18</v>
      </c>
      <c r="I459" s="17" t="s">
        <v>10450</v>
      </c>
    </row>
    <row r="460">
      <c r="A460" s="5" t="s">
        <v>892</v>
      </c>
      <c r="B460" s="5" t="s">
        <v>893</v>
      </c>
      <c r="C460" s="5" t="s">
        <v>13</v>
      </c>
      <c r="D460" s="5" t="s">
        <v>845</v>
      </c>
      <c r="E460" s="5" t="s">
        <v>149</v>
      </c>
      <c r="F460" s="5" t="s">
        <v>876</v>
      </c>
      <c r="G460" s="5" t="s">
        <v>184</v>
      </c>
      <c r="H460" s="5" t="s">
        <v>18</v>
      </c>
      <c r="I460" s="7" t="s">
        <v>10451</v>
      </c>
    </row>
    <row r="461">
      <c r="A461" s="5" t="s">
        <v>895</v>
      </c>
      <c r="B461" s="5" t="s">
        <v>25</v>
      </c>
      <c r="C461" s="5" t="s">
        <v>13</v>
      </c>
      <c r="D461" s="5" t="s">
        <v>845</v>
      </c>
      <c r="E461" s="5" t="s">
        <v>149</v>
      </c>
      <c r="F461" s="5" t="s">
        <v>876</v>
      </c>
      <c r="G461" s="5" t="s">
        <v>184</v>
      </c>
      <c r="H461" s="5" t="s">
        <v>18</v>
      </c>
      <c r="I461" s="17" t="s">
        <v>10452</v>
      </c>
    </row>
    <row r="462">
      <c r="A462" s="5" t="s">
        <v>897</v>
      </c>
      <c r="B462" s="5" t="s">
        <v>898</v>
      </c>
      <c r="C462" s="5" t="s">
        <v>13</v>
      </c>
      <c r="D462" s="5" t="s">
        <v>845</v>
      </c>
      <c r="E462" s="5" t="s">
        <v>100</v>
      </c>
      <c r="F462" s="5" t="s">
        <v>876</v>
      </c>
      <c r="G462" s="5" t="s">
        <v>184</v>
      </c>
      <c r="H462" s="5" t="s">
        <v>18</v>
      </c>
      <c r="I462" s="17" t="s">
        <v>10453</v>
      </c>
    </row>
    <row r="463">
      <c r="A463" s="5" t="s">
        <v>900</v>
      </c>
      <c r="B463" s="5" t="s">
        <v>25</v>
      </c>
      <c r="C463" s="5" t="s">
        <v>13</v>
      </c>
      <c r="D463" s="5" t="s">
        <v>845</v>
      </c>
      <c r="E463" s="5" t="s">
        <v>901</v>
      </c>
      <c r="F463" s="5" t="s">
        <v>876</v>
      </c>
      <c r="G463" s="5" t="s">
        <v>184</v>
      </c>
      <c r="H463" s="5" t="s">
        <v>18</v>
      </c>
      <c r="I463" s="7" t="s">
        <v>902</v>
      </c>
    </row>
    <row r="464">
      <c r="A464" s="5" t="s">
        <v>903</v>
      </c>
      <c r="B464" s="5" t="s">
        <v>25</v>
      </c>
      <c r="C464" s="5" t="s">
        <v>13</v>
      </c>
      <c r="D464" s="5" t="s">
        <v>845</v>
      </c>
      <c r="E464" s="5" t="s">
        <v>421</v>
      </c>
      <c r="F464" s="5" t="s">
        <v>876</v>
      </c>
      <c r="G464" s="5" t="s">
        <v>184</v>
      </c>
      <c r="H464" s="5" t="s">
        <v>18</v>
      </c>
      <c r="I464" s="7" t="s">
        <v>904</v>
      </c>
    </row>
    <row r="465">
      <c r="A465" s="5" t="s">
        <v>905</v>
      </c>
      <c r="B465" s="5" t="s">
        <v>906</v>
      </c>
      <c r="C465" s="5" t="s">
        <v>13</v>
      </c>
      <c r="D465" s="5" t="s">
        <v>845</v>
      </c>
      <c r="E465" s="5" t="s">
        <v>74</v>
      </c>
      <c r="F465" s="5" t="s">
        <v>876</v>
      </c>
      <c r="G465" s="5" t="s">
        <v>184</v>
      </c>
      <c r="H465" s="5" t="s">
        <v>18</v>
      </c>
      <c r="I465" s="17" t="s">
        <v>10454</v>
      </c>
    </row>
    <row r="466">
      <c r="A466" s="5" t="s">
        <v>908</v>
      </c>
      <c r="B466" s="5" t="s">
        <v>25</v>
      </c>
      <c r="C466" s="5" t="s">
        <v>13</v>
      </c>
      <c r="D466" s="5" t="s">
        <v>845</v>
      </c>
      <c r="E466" s="5" t="s">
        <v>909</v>
      </c>
      <c r="F466" s="5" t="s">
        <v>876</v>
      </c>
      <c r="G466" s="5" t="s">
        <v>184</v>
      </c>
      <c r="H466" s="5" t="s">
        <v>18</v>
      </c>
      <c r="I466" s="7" t="s">
        <v>910</v>
      </c>
    </row>
    <row r="467">
      <c r="A467" s="5" t="s">
        <v>911</v>
      </c>
      <c r="B467" s="5" t="s">
        <v>371</v>
      </c>
      <c r="C467" s="5" t="s">
        <v>13</v>
      </c>
      <c r="D467" s="5" t="s">
        <v>845</v>
      </c>
      <c r="E467" s="5" t="s">
        <v>136</v>
      </c>
      <c r="F467" s="5" t="s">
        <v>102</v>
      </c>
      <c r="G467" s="5" t="s">
        <v>172</v>
      </c>
      <c r="H467" s="5" t="s">
        <v>18</v>
      </c>
      <c r="I467" s="17" t="s">
        <v>10455</v>
      </c>
    </row>
    <row r="468">
      <c r="A468" s="5" t="s">
        <v>913</v>
      </c>
      <c r="B468" s="5" t="s">
        <v>914</v>
      </c>
      <c r="C468" s="5" t="s">
        <v>13</v>
      </c>
      <c r="D468" s="5" t="s">
        <v>845</v>
      </c>
      <c r="E468" s="5" t="s">
        <v>574</v>
      </c>
      <c r="F468" s="5" t="s">
        <v>102</v>
      </c>
      <c r="G468" s="5" t="s">
        <v>172</v>
      </c>
      <c r="H468" s="5" t="s">
        <v>18</v>
      </c>
      <c r="I468" s="17" t="s">
        <v>10456</v>
      </c>
    </row>
    <row r="469">
      <c r="A469" s="5" t="s">
        <v>916</v>
      </c>
      <c r="B469" s="5" t="s">
        <v>25</v>
      </c>
      <c r="C469" s="5" t="s">
        <v>13</v>
      </c>
      <c r="D469" s="5" t="s">
        <v>845</v>
      </c>
      <c r="E469" s="5" t="s">
        <v>182</v>
      </c>
      <c r="F469" s="5" t="s">
        <v>102</v>
      </c>
      <c r="G469" s="5" t="s">
        <v>172</v>
      </c>
      <c r="H469" s="5" t="s">
        <v>18</v>
      </c>
      <c r="I469" s="7" t="s">
        <v>917</v>
      </c>
    </row>
    <row r="470">
      <c r="A470" s="5" t="s">
        <v>918</v>
      </c>
      <c r="B470" s="5" t="s">
        <v>919</v>
      </c>
      <c r="C470" s="5" t="s">
        <v>13</v>
      </c>
      <c r="D470" s="5" t="s">
        <v>845</v>
      </c>
      <c r="E470" s="5" t="s">
        <v>512</v>
      </c>
      <c r="F470" s="5" t="s">
        <v>102</v>
      </c>
      <c r="G470" s="5" t="s">
        <v>172</v>
      </c>
      <c r="H470" s="5" t="s">
        <v>18</v>
      </c>
      <c r="I470" s="7" t="s">
        <v>920</v>
      </c>
    </row>
    <row r="471">
      <c r="A471" s="5" t="s">
        <v>921</v>
      </c>
      <c r="B471" s="5" t="s">
        <v>371</v>
      </c>
      <c r="C471" s="5" t="s">
        <v>13</v>
      </c>
      <c r="D471" s="5" t="s">
        <v>845</v>
      </c>
      <c r="E471" s="5" t="s">
        <v>48</v>
      </c>
      <c r="F471" s="5" t="s">
        <v>102</v>
      </c>
      <c r="G471" s="5" t="s">
        <v>172</v>
      </c>
      <c r="H471" s="5" t="s">
        <v>18</v>
      </c>
      <c r="I471" s="7" t="s">
        <v>922</v>
      </c>
    </row>
    <row r="472">
      <c r="A472" s="5" t="s">
        <v>923</v>
      </c>
      <c r="B472" s="5" t="s">
        <v>924</v>
      </c>
      <c r="C472" s="5" t="s">
        <v>13</v>
      </c>
      <c r="D472" s="5" t="s">
        <v>845</v>
      </c>
      <c r="E472" s="5" t="s">
        <v>217</v>
      </c>
      <c r="F472" s="5" t="s">
        <v>102</v>
      </c>
      <c r="G472" s="5" t="s">
        <v>172</v>
      </c>
      <c r="H472" s="5" t="s">
        <v>18</v>
      </c>
      <c r="I472" s="7" t="s">
        <v>10457</v>
      </c>
    </row>
    <row r="473">
      <c r="A473" s="5" t="s">
        <v>926</v>
      </c>
      <c r="B473" s="5" t="s">
        <v>927</v>
      </c>
      <c r="C473" s="5" t="s">
        <v>13</v>
      </c>
      <c r="D473" s="5" t="s">
        <v>845</v>
      </c>
      <c r="E473" s="5" t="s">
        <v>149</v>
      </c>
      <c r="F473" s="5" t="s">
        <v>102</v>
      </c>
      <c r="G473" s="5" t="s">
        <v>172</v>
      </c>
      <c r="H473" s="5" t="s">
        <v>18</v>
      </c>
      <c r="I473" s="7" t="s">
        <v>10458</v>
      </c>
    </row>
    <row r="474">
      <c r="A474" s="5" t="s">
        <v>929</v>
      </c>
      <c r="B474" s="5" t="s">
        <v>930</v>
      </c>
      <c r="C474" s="5" t="s">
        <v>13</v>
      </c>
      <c r="D474" s="5" t="s">
        <v>845</v>
      </c>
      <c r="E474" s="5" t="s">
        <v>60</v>
      </c>
      <c r="F474" s="5" t="s">
        <v>102</v>
      </c>
      <c r="G474" s="5" t="s">
        <v>172</v>
      </c>
      <c r="H474" s="5" t="s">
        <v>18</v>
      </c>
      <c r="I474" s="7" t="s">
        <v>931</v>
      </c>
    </row>
    <row r="475">
      <c r="A475" s="5" t="s">
        <v>932</v>
      </c>
      <c r="B475" s="5" t="s">
        <v>25</v>
      </c>
      <c r="C475" s="5" t="s">
        <v>13</v>
      </c>
      <c r="D475" s="5" t="s">
        <v>845</v>
      </c>
      <c r="E475" s="5" t="s">
        <v>100</v>
      </c>
      <c r="F475" s="5" t="s">
        <v>102</v>
      </c>
      <c r="G475" s="5" t="s">
        <v>172</v>
      </c>
      <c r="H475" s="5" t="s">
        <v>18</v>
      </c>
      <c r="I475" s="7" t="s">
        <v>933</v>
      </c>
    </row>
    <row r="476">
      <c r="A476" s="5" t="s">
        <v>934</v>
      </c>
      <c r="B476" s="5" t="s">
        <v>25</v>
      </c>
      <c r="C476" s="5" t="s">
        <v>13</v>
      </c>
      <c r="D476" s="5" t="s">
        <v>845</v>
      </c>
      <c r="E476" s="5" t="s">
        <v>100</v>
      </c>
      <c r="F476" s="5" t="s">
        <v>102</v>
      </c>
      <c r="G476" s="5" t="s">
        <v>172</v>
      </c>
      <c r="H476" s="5" t="s">
        <v>18</v>
      </c>
      <c r="I476" s="7" t="s">
        <v>935</v>
      </c>
    </row>
    <row r="477">
      <c r="A477" s="5" t="s">
        <v>936</v>
      </c>
      <c r="B477" s="5" t="s">
        <v>25</v>
      </c>
      <c r="C477" s="5" t="s">
        <v>13</v>
      </c>
      <c r="D477" s="5" t="s">
        <v>845</v>
      </c>
      <c r="E477" s="5" t="s">
        <v>228</v>
      </c>
      <c r="F477" s="5" t="s">
        <v>608</v>
      </c>
      <c r="G477" s="5" t="s">
        <v>609</v>
      </c>
      <c r="H477" s="5" t="s">
        <v>18</v>
      </c>
      <c r="I477" s="7" t="s">
        <v>937</v>
      </c>
    </row>
    <row r="478">
      <c r="A478" s="5" t="s">
        <v>6579</v>
      </c>
      <c r="B478" s="5" t="s">
        <v>6580</v>
      </c>
      <c r="D478" s="5" t="s">
        <v>940</v>
      </c>
      <c r="E478" s="5" t="s">
        <v>74</v>
      </c>
      <c r="F478" s="5" t="s">
        <v>6577</v>
      </c>
      <c r="G478" s="5" t="s">
        <v>4638</v>
      </c>
      <c r="H478" s="5" t="s">
        <v>4600</v>
      </c>
      <c r="I478" s="17" t="s">
        <v>10459</v>
      </c>
    </row>
    <row r="479">
      <c r="A479" s="5" t="s">
        <v>938</v>
      </c>
      <c r="B479" s="5" t="s">
        <v>939</v>
      </c>
      <c r="C479" s="5" t="s">
        <v>13</v>
      </c>
      <c r="D479" s="5" t="s">
        <v>940</v>
      </c>
      <c r="E479" s="5" t="s">
        <v>512</v>
      </c>
      <c r="F479" s="5" t="s">
        <v>80</v>
      </c>
      <c r="G479" s="5" t="s">
        <v>38</v>
      </c>
      <c r="H479" s="5" t="s">
        <v>18</v>
      </c>
      <c r="I479" s="7" t="s">
        <v>941</v>
      </c>
    </row>
    <row r="480">
      <c r="A480" s="5" t="s">
        <v>942</v>
      </c>
      <c r="B480" s="5" t="s">
        <v>943</v>
      </c>
      <c r="C480" s="5" t="s">
        <v>13</v>
      </c>
      <c r="D480" s="5" t="s">
        <v>940</v>
      </c>
      <c r="E480" s="5" t="s">
        <v>455</v>
      </c>
      <c r="F480" s="5" t="s">
        <v>944</v>
      </c>
      <c r="G480" s="5" t="s">
        <v>945</v>
      </c>
      <c r="H480" s="5" t="s">
        <v>18</v>
      </c>
      <c r="I480" s="7" t="s">
        <v>946</v>
      </c>
    </row>
    <row r="481">
      <c r="A481" s="5" t="s">
        <v>947</v>
      </c>
      <c r="B481" s="5" t="s">
        <v>110</v>
      </c>
      <c r="C481" s="5" t="s">
        <v>13</v>
      </c>
      <c r="D481" s="5" t="s">
        <v>940</v>
      </c>
      <c r="E481" s="5" t="s">
        <v>144</v>
      </c>
      <c r="F481" s="5" t="s">
        <v>948</v>
      </c>
      <c r="G481" s="5" t="s">
        <v>949</v>
      </c>
      <c r="H481" s="5" t="s">
        <v>18</v>
      </c>
      <c r="I481" s="17" t="s">
        <v>10460</v>
      </c>
    </row>
    <row r="482">
      <c r="A482" s="5" t="s">
        <v>951</v>
      </c>
      <c r="B482" s="5" t="s">
        <v>952</v>
      </c>
      <c r="C482" s="5" t="s">
        <v>13</v>
      </c>
      <c r="D482" s="5" t="s">
        <v>940</v>
      </c>
      <c r="E482" s="5" t="s">
        <v>441</v>
      </c>
      <c r="F482" s="5" t="s">
        <v>953</v>
      </c>
      <c r="G482" s="5" t="s">
        <v>954</v>
      </c>
      <c r="H482" s="5" t="s">
        <v>18</v>
      </c>
      <c r="I482" s="7" t="s">
        <v>955</v>
      </c>
    </row>
    <row r="483">
      <c r="A483" s="5" t="s">
        <v>956</v>
      </c>
      <c r="B483" s="5" t="s">
        <v>957</v>
      </c>
      <c r="C483" s="5" t="s">
        <v>13</v>
      </c>
      <c r="D483" s="5" t="s">
        <v>940</v>
      </c>
      <c r="E483" s="5" t="s">
        <v>958</v>
      </c>
      <c r="F483" s="5" t="s">
        <v>953</v>
      </c>
      <c r="G483" s="5" t="s">
        <v>954</v>
      </c>
      <c r="H483" s="5" t="s">
        <v>18</v>
      </c>
      <c r="I483" s="17" t="s">
        <v>10461</v>
      </c>
    </row>
    <row r="484">
      <c r="A484" s="5" t="s">
        <v>960</v>
      </c>
      <c r="B484" s="5" t="s">
        <v>25</v>
      </c>
      <c r="C484" s="5" t="s">
        <v>13</v>
      </c>
      <c r="D484" s="5" t="s">
        <v>940</v>
      </c>
      <c r="F484" s="5" t="s">
        <v>961</v>
      </c>
      <c r="G484" s="5" t="s">
        <v>962</v>
      </c>
      <c r="H484" s="5" t="s">
        <v>18</v>
      </c>
      <c r="I484" s="7" t="s">
        <v>963</v>
      </c>
    </row>
    <row r="485">
      <c r="A485" s="5" t="s">
        <v>8173</v>
      </c>
      <c r="B485" s="5" t="s">
        <v>8174</v>
      </c>
      <c r="D485" s="5" t="s">
        <v>8175</v>
      </c>
      <c r="E485" s="5" t="s">
        <v>228</v>
      </c>
      <c r="F485" s="5" t="s">
        <v>8158</v>
      </c>
      <c r="G485" s="5" t="s">
        <v>4638</v>
      </c>
      <c r="H485" s="5" t="s">
        <v>4600</v>
      </c>
      <c r="I485" s="7" t="s">
        <v>8172</v>
      </c>
    </row>
    <row r="486">
      <c r="A486" s="5" t="s">
        <v>8181</v>
      </c>
      <c r="B486" s="5" t="s">
        <v>8182</v>
      </c>
      <c r="D486" s="5" t="s">
        <v>8175</v>
      </c>
      <c r="E486" s="5" t="s">
        <v>207</v>
      </c>
      <c r="F486" s="5" t="s">
        <v>8158</v>
      </c>
      <c r="G486" s="5" t="s">
        <v>4638</v>
      </c>
      <c r="H486" s="5" t="s">
        <v>4600</v>
      </c>
      <c r="I486" s="17" t="s">
        <v>10462</v>
      </c>
    </row>
    <row r="487">
      <c r="A487" s="5" t="s">
        <v>8191</v>
      </c>
      <c r="B487" s="5" t="s">
        <v>8192</v>
      </c>
      <c r="D487" s="5" t="s">
        <v>8175</v>
      </c>
      <c r="E487" s="5" t="s">
        <v>651</v>
      </c>
      <c r="F487" s="5" t="s">
        <v>8158</v>
      </c>
      <c r="G487" s="5" t="s">
        <v>4638</v>
      </c>
      <c r="H487" s="5" t="s">
        <v>4600</v>
      </c>
      <c r="I487" s="7" t="s">
        <v>8190</v>
      </c>
    </row>
    <row r="488">
      <c r="A488" s="5" t="s">
        <v>8200</v>
      </c>
      <c r="B488" s="5" t="s">
        <v>8201</v>
      </c>
      <c r="D488" s="5" t="s">
        <v>8175</v>
      </c>
      <c r="E488" s="5" t="s">
        <v>48</v>
      </c>
      <c r="F488" s="5" t="s">
        <v>8158</v>
      </c>
      <c r="G488" s="5" t="s">
        <v>4638</v>
      </c>
      <c r="H488" s="5" t="s">
        <v>4600</v>
      </c>
      <c r="I488" s="7" t="s">
        <v>8199</v>
      </c>
    </row>
    <row r="489">
      <c r="A489" s="5" t="s">
        <v>8207</v>
      </c>
      <c r="B489" s="5" t="s">
        <v>8208</v>
      </c>
      <c r="D489" s="5" t="s">
        <v>8175</v>
      </c>
      <c r="E489" s="5" t="s">
        <v>79</v>
      </c>
      <c r="F489" s="5" t="s">
        <v>8158</v>
      </c>
      <c r="G489" s="5" t="s">
        <v>4638</v>
      </c>
      <c r="H489" s="5" t="s">
        <v>4600</v>
      </c>
      <c r="I489" s="7" t="s">
        <v>8206</v>
      </c>
    </row>
    <row r="490">
      <c r="A490" s="5" t="s">
        <v>8213</v>
      </c>
      <c r="B490" s="5" t="s">
        <v>8214</v>
      </c>
      <c r="D490" s="5" t="s">
        <v>8175</v>
      </c>
      <c r="E490" s="5" t="s">
        <v>345</v>
      </c>
      <c r="F490" s="5" t="s">
        <v>8158</v>
      </c>
      <c r="G490" s="5" t="s">
        <v>4638</v>
      </c>
      <c r="H490" s="5" t="s">
        <v>4600</v>
      </c>
      <c r="I490" s="17" t="s">
        <v>10463</v>
      </c>
    </row>
    <row r="491">
      <c r="A491" s="5" t="s">
        <v>8223</v>
      </c>
      <c r="B491" s="5" t="s">
        <v>8224</v>
      </c>
      <c r="D491" s="5" t="s">
        <v>8175</v>
      </c>
      <c r="E491" s="5" t="s">
        <v>237</v>
      </c>
      <c r="F491" s="5" t="s">
        <v>8158</v>
      </c>
      <c r="G491" s="5" t="s">
        <v>4638</v>
      </c>
      <c r="H491" s="5" t="s">
        <v>4600</v>
      </c>
      <c r="I491" s="18" t="s">
        <v>10464</v>
      </c>
    </row>
    <row r="492">
      <c r="A492" s="5" t="s">
        <v>8241</v>
      </c>
      <c r="B492" s="5" t="s">
        <v>8242</v>
      </c>
      <c r="D492" s="5" t="s">
        <v>8175</v>
      </c>
      <c r="E492" s="5" t="s">
        <v>1123</v>
      </c>
      <c r="F492" s="5" t="s">
        <v>8158</v>
      </c>
      <c r="G492" s="5" t="s">
        <v>4638</v>
      </c>
      <c r="H492" s="5" t="s">
        <v>4600</v>
      </c>
      <c r="I492" s="18" t="s">
        <v>10465</v>
      </c>
    </row>
    <row r="493">
      <c r="A493" s="5" t="s">
        <v>8249</v>
      </c>
      <c r="B493" s="5" t="s">
        <v>8250</v>
      </c>
      <c r="D493" s="5" t="s">
        <v>8175</v>
      </c>
      <c r="E493" s="5" t="s">
        <v>144</v>
      </c>
      <c r="F493" s="5" t="s">
        <v>8158</v>
      </c>
      <c r="G493" s="5" t="s">
        <v>4638</v>
      </c>
      <c r="H493" s="5" t="s">
        <v>4600</v>
      </c>
      <c r="I493" s="7" t="s">
        <v>8248</v>
      </c>
    </row>
    <row r="494">
      <c r="A494" s="5" t="s">
        <v>8259</v>
      </c>
      <c r="B494" s="5" t="s">
        <v>8260</v>
      </c>
      <c r="D494" s="5" t="s">
        <v>8175</v>
      </c>
      <c r="E494" s="5" t="s">
        <v>15</v>
      </c>
      <c r="F494" s="5" t="s">
        <v>8158</v>
      </c>
      <c r="G494" s="5" t="s">
        <v>4638</v>
      </c>
      <c r="H494" s="5" t="s">
        <v>4600</v>
      </c>
      <c r="I494" s="7" t="s">
        <v>8258</v>
      </c>
    </row>
    <row r="495">
      <c r="A495" s="5" t="s">
        <v>8226</v>
      </c>
      <c r="B495" s="5" t="s">
        <v>8227</v>
      </c>
      <c r="D495" s="5" t="s">
        <v>8175</v>
      </c>
      <c r="E495" s="5" t="s">
        <v>691</v>
      </c>
      <c r="F495" s="5" t="s">
        <v>8158</v>
      </c>
      <c r="G495" s="5" t="s">
        <v>4638</v>
      </c>
      <c r="H495" s="5" t="s">
        <v>4600</v>
      </c>
      <c r="I495" s="7" t="s">
        <v>8225</v>
      </c>
    </row>
    <row r="496">
      <c r="A496" s="5" t="s">
        <v>5423</v>
      </c>
      <c r="B496" s="5" t="s">
        <v>5424</v>
      </c>
      <c r="D496" s="5" t="s">
        <v>8175</v>
      </c>
      <c r="E496" s="5" t="s">
        <v>144</v>
      </c>
      <c r="F496" s="5" t="s">
        <v>5280</v>
      </c>
      <c r="G496" s="5" t="s">
        <v>4638</v>
      </c>
      <c r="H496" s="5" t="s">
        <v>4600</v>
      </c>
      <c r="I496" s="7" t="s">
        <v>5422</v>
      </c>
    </row>
    <row r="497">
      <c r="A497" s="5" t="s">
        <v>8184</v>
      </c>
      <c r="B497" s="5" t="s">
        <v>8185</v>
      </c>
      <c r="D497" s="5" t="s">
        <v>8175</v>
      </c>
      <c r="E497" s="5" t="s">
        <v>4141</v>
      </c>
      <c r="F497" s="5" t="s">
        <v>8158</v>
      </c>
      <c r="G497" s="5" t="s">
        <v>4638</v>
      </c>
      <c r="H497" s="5" t="s">
        <v>4600</v>
      </c>
      <c r="I497" s="17" t="s">
        <v>10466</v>
      </c>
    </row>
    <row r="498">
      <c r="A498" s="5" t="s">
        <v>8230</v>
      </c>
      <c r="B498" s="5" t="s">
        <v>8231</v>
      </c>
      <c r="D498" s="5" t="s">
        <v>8175</v>
      </c>
      <c r="E498" s="5" t="s">
        <v>257</v>
      </c>
      <c r="F498" s="5" t="s">
        <v>8158</v>
      </c>
      <c r="G498" s="5" t="s">
        <v>4638</v>
      </c>
      <c r="H498" s="5" t="s">
        <v>4600</v>
      </c>
      <c r="I498" s="7" t="s">
        <v>8229</v>
      </c>
    </row>
    <row r="499">
      <c r="A499" s="5" t="s">
        <v>964</v>
      </c>
      <c r="B499" s="5" t="s">
        <v>480</v>
      </c>
      <c r="C499" s="5" t="s">
        <v>13</v>
      </c>
      <c r="D499" s="5" t="s">
        <v>965</v>
      </c>
      <c r="F499" s="5" t="s">
        <v>16</v>
      </c>
      <c r="G499" s="5" t="s">
        <v>17</v>
      </c>
      <c r="H499" s="5" t="s">
        <v>18</v>
      </c>
      <c r="I499" s="7" t="s">
        <v>966</v>
      </c>
    </row>
    <row r="500">
      <c r="A500" s="5" t="s">
        <v>967</v>
      </c>
      <c r="B500" s="5" t="s">
        <v>480</v>
      </c>
      <c r="C500" s="5" t="s">
        <v>13</v>
      </c>
      <c r="D500" s="5" t="s">
        <v>965</v>
      </c>
      <c r="E500" s="5" t="s">
        <v>106</v>
      </c>
      <c r="F500" s="5" t="s">
        <v>968</v>
      </c>
      <c r="G500" s="5" t="s">
        <v>184</v>
      </c>
      <c r="H500" s="5" t="s">
        <v>18</v>
      </c>
      <c r="I500" s="7" t="s">
        <v>969</v>
      </c>
    </row>
    <row r="501">
      <c r="A501" s="5" t="s">
        <v>970</v>
      </c>
      <c r="B501" s="5" t="s">
        <v>971</v>
      </c>
      <c r="C501" s="5" t="s">
        <v>13</v>
      </c>
      <c r="D501" s="5" t="s">
        <v>965</v>
      </c>
      <c r="E501" s="5" t="s">
        <v>15</v>
      </c>
      <c r="F501" s="5" t="s">
        <v>85</v>
      </c>
      <c r="G501" s="5" t="s">
        <v>86</v>
      </c>
      <c r="H501" s="5" t="s">
        <v>18</v>
      </c>
      <c r="I501" s="7" t="s">
        <v>10467</v>
      </c>
    </row>
    <row r="502">
      <c r="A502" s="5" t="s">
        <v>973</v>
      </c>
      <c r="B502" s="5" t="s">
        <v>974</v>
      </c>
      <c r="C502" s="5" t="s">
        <v>13</v>
      </c>
      <c r="D502" s="5" t="s">
        <v>965</v>
      </c>
      <c r="E502" s="5" t="s">
        <v>217</v>
      </c>
      <c r="F502" s="5" t="s">
        <v>975</v>
      </c>
      <c r="G502" s="5" t="s">
        <v>427</v>
      </c>
      <c r="H502" s="5" t="s">
        <v>18</v>
      </c>
      <c r="I502" s="17" t="s">
        <v>10468</v>
      </c>
    </row>
    <row r="503">
      <c r="A503" s="5" t="s">
        <v>977</v>
      </c>
      <c r="B503" s="5" t="s">
        <v>480</v>
      </c>
      <c r="C503" s="5" t="s">
        <v>13</v>
      </c>
      <c r="D503" s="5" t="s">
        <v>965</v>
      </c>
      <c r="E503" s="5" t="s">
        <v>29</v>
      </c>
      <c r="F503" s="5" t="s">
        <v>975</v>
      </c>
      <c r="G503" s="5" t="s">
        <v>427</v>
      </c>
      <c r="H503" s="5" t="s">
        <v>18</v>
      </c>
      <c r="I503" s="7" t="s">
        <v>978</v>
      </c>
    </row>
    <row r="504">
      <c r="A504" s="5" t="s">
        <v>979</v>
      </c>
      <c r="B504" s="5" t="s">
        <v>480</v>
      </c>
      <c r="C504" s="5" t="s">
        <v>13</v>
      </c>
      <c r="D504" s="5" t="s">
        <v>965</v>
      </c>
      <c r="E504" s="5" t="s">
        <v>980</v>
      </c>
      <c r="F504" s="5" t="s">
        <v>975</v>
      </c>
      <c r="G504" s="5" t="s">
        <v>427</v>
      </c>
      <c r="H504" s="5" t="s">
        <v>18</v>
      </c>
      <c r="I504" s="7" t="s">
        <v>981</v>
      </c>
    </row>
    <row r="505">
      <c r="A505" s="5" t="s">
        <v>982</v>
      </c>
      <c r="B505" s="5" t="s">
        <v>25</v>
      </c>
      <c r="C505" s="5" t="s">
        <v>13</v>
      </c>
      <c r="D505" s="5" t="s">
        <v>965</v>
      </c>
      <c r="E505" s="5" t="s">
        <v>222</v>
      </c>
      <c r="F505" s="5" t="s">
        <v>975</v>
      </c>
      <c r="G505" s="5" t="s">
        <v>427</v>
      </c>
      <c r="H505" s="5" t="s">
        <v>18</v>
      </c>
      <c r="I505" s="7" t="s">
        <v>983</v>
      </c>
    </row>
    <row r="506">
      <c r="A506" s="5" t="s">
        <v>984</v>
      </c>
      <c r="B506" s="5" t="s">
        <v>985</v>
      </c>
      <c r="C506" s="5" t="s">
        <v>13</v>
      </c>
      <c r="D506" s="5" t="s">
        <v>965</v>
      </c>
      <c r="E506" s="5" t="s">
        <v>666</v>
      </c>
      <c r="F506" s="5" t="s">
        <v>986</v>
      </c>
      <c r="G506" s="5" t="s">
        <v>184</v>
      </c>
      <c r="H506" s="5" t="s">
        <v>18</v>
      </c>
      <c r="I506" s="7" t="s">
        <v>987</v>
      </c>
    </row>
    <row r="507">
      <c r="A507" s="5" t="s">
        <v>988</v>
      </c>
      <c r="B507" s="5" t="s">
        <v>480</v>
      </c>
      <c r="C507" s="5" t="s">
        <v>13</v>
      </c>
      <c r="D507" s="5" t="s">
        <v>965</v>
      </c>
      <c r="E507" s="5" t="s">
        <v>48</v>
      </c>
      <c r="F507" s="5" t="s">
        <v>295</v>
      </c>
      <c r="G507" s="5" t="s">
        <v>154</v>
      </c>
      <c r="H507" s="5" t="s">
        <v>18</v>
      </c>
      <c r="I507" s="7" t="s">
        <v>989</v>
      </c>
    </row>
    <row r="508">
      <c r="A508" s="5" t="s">
        <v>990</v>
      </c>
      <c r="B508" s="5" t="s">
        <v>991</v>
      </c>
      <c r="C508" s="5" t="s">
        <v>13</v>
      </c>
      <c r="D508" s="5" t="s">
        <v>965</v>
      </c>
      <c r="E508" s="5" t="s">
        <v>268</v>
      </c>
      <c r="F508" s="5" t="s">
        <v>102</v>
      </c>
      <c r="G508" s="5" t="s">
        <v>172</v>
      </c>
      <c r="H508" s="5" t="s">
        <v>18</v>
      </c>
      <c r="I508" s="7" t="s">
        <v>992</v>
      </c>
    </row>
    <row r="509">
      <c r="A509" s="5" t="s">
        <v>6574</v>
      </c>
      <c r="B509" s="5" t="s">
        <v>6575</v>
      </c>
      <c r="D509" s="5" t="s">
        <v>6576</v>
      </c>
      <c r="E509" s="5" t="s">
        <v>574</v>
      </c>
      <c r="F509" s="5" t="s">
        <v>6577</v>
      </c>
      <c r="G509" s="5" t="s">
        <v>4638</v>
      </c>
      <c r="H509" s="5" t="s">
        <v>4600</v>
      </c>
      <c r="I509" s="7" t="s">
        <v>6573</v>
      </c>
    </row>
    <row r="510">
      <c r="A510" s="5" t="s">
        <v>7279</v>
      </c>
      <c r="B510" s="5" t="s">
        <v>7280</v>
      </c>
      <c r="D510" s="5" t="s">
        <v>6576</v>
      </c>
      <c r="E510" s="5" t="s">
        <v>686</v>
      </c>
      <c r="F510" s="5" t="s">
        <v>7281</v>
      </c>
      <c r="G510" s="5" t="s">
        <v>4638</v>
      </c>
      <c r="H510" s="5" t="s">
        <v>4600</v>
      </c>
      <c r="I510" s="17" t="s">
        <v>10469</v>
      </c>
    </row>
    <row r="511">
      <c r="A511" s="5" t="s">
        <v>8156</v>
      </c>
      <c r="B511" s="5" t="s">
        <v>8157</v>
      </c>
      <c r="D511" s="5" t="s">
        <v>6576</v>
      </c>
      <c r="E511" s="5" t="s">
        <v>188</v>
      </c>
      <c r="F511" s="5" t="s">
        <v>8158</v>
      </c>
      <c r="G511" s="5" t="s">
        <v>4638</v>
      </c>
      <c r="H511" s="5" t="s">
        <v>4600</v>
      </c>
      <c r="I511" s="17" t="s">
        <v>10470</v>
      </c>
    </row>
    <row r="512">
      <c r="A512" s="5" t="s">
        <v>9181</v>
      </c>
      <c r="B512" s="5" t="s">
        <v>4596</v>
      </c>
      <c r="D512" s="5" t="s">
        <v>6576</v>
      </c>
      <c r="E512" s="5" t="s">
        <v>691</v>
      </c>
      <c r="F512" s="5" t="s">
        <v>5280</v>
      </c>
      <c r="G512" s="5" t="s">
        <v>4638</v>
      </c>
      <c r="H512" s="5" t="s">
        <v>4600</v>
      </c>
      <c r="I512" s="7" t="s">
        <v>9180</v>
      </c>
    </row>
    <row r="513">
      <c r="A513" s="5" t="s">
        <v>9183</v>
      </c>
      <c r="B513" s="5" t="s">
        <v>4596</v>
      </c>
      <c r="D513" s="5" t="s">
        <v>6576</v>
      </c>
      <c r="E513" s="5" t="s">
        <v>136</v>
      </c>
      <c r="F513" s="5" t="s">
        <v>5280</v>
      </c>
      <c r="G513" s="5" t="s">
        <v>4638</v>
      </c>
      <c r="H513" s="5" t="s">
        <v>4600</v>
      </c>
      <c r="I513" s="7" t="s">
        <v>9182</v>
      </c>
    </row>
    <row r="514">
      <c r="A514" s="5" t="s">
        <v>9189</v>
      </c>
      <c r="B514" s="5" t="s">
        <v>9190</v>
      </c>
      <c r="D514" s="5" t="s">
        <v>6576</v>
      </c>
      <c r="E514" s="5" t="s">
        <v>179</v>
      </c>
      <c r="F514" s="5" t="s">
        <v>5280</v>
      </c>
      <c r="G514" s="5" t="s">
        <v>4638</v>
      </c>
      <c r="H514" s="5" t="s">
        <v>4600</v>
      </c>
      <c r="I514" s="7" t="s">
        <v>9188</v>
      </c>
    </row>
    <row r="515">
      <c r="A515" s="5" t="s">
        <v>9205</v>
      </c>
      <c r="B515" s="5" t="s">
        <v>9206</v>
      </c>
      <c r="D515" s="5" t="s">
        <v>6576</v>
      </c>
      <c r="E515" s="5" t="s">
        <v>125</v>
      </c>
      <c r="F515" s="5" t="s">
        <v>5280</v>
      </c>
      <c r="G515" s="5" t="s">
        <v>4638</v>
      </c>
      <c r="H515" s="5" t="s">
        <v>4600</v>
      </c>
      <c r="I515" s="7" t="s">
        <v>10471</v>
      </c>
    </row>
    <row r="516">
      <c r="A516" s="5" t="s">
        <v>9210</v>
      </c>
      <c r="B516" s="5" t="s">
        <v>4596</v>
      </c>
      <c r="D516" s="5" t="s">
        <v>6576</v>
      </c>
      <c r="E516" s="5" t="s">
        <v>654</v>
      </c>
      <c r="F516" s="5" t="s">
        <v>5280</v>
      </c>
      <c r="G516" s="5" t="s">
        <v>4638</v>
      </c>
      <c r="H516" s="5" t="s">
        <v>4600</v>
      </c>
      <c r="I516" s="7" t="s">
        <v>9209</v>
      </c>
    </row>
    <row r="517">
      <c r="A517" s="5" t="s">
        <v>9216</v>
      </c>
      <c r="B517" s="5" t="s">
        <v>4596</v>
      </c>
      <c r="D517" s="5" t="s">
        <v>6576</v>
      </c>
      <c r="E517" s="5" t="s">
        <v>182</v>
      </c>
      <c r="F517" s="5" t="s">
        <v>5280</v>
      </c>
      <c r="G517" s="5" t="s">
        <v>4638</v>
      </c>
      <c r="H517" s="5" t="s">
        <v>4600</v>
      </c>
      <c r="I517" s="7" t="s">
        <v>9215</v>
      </c>
    </row>
    <row r="518">
      <c r="A518" s="5" t="s">
        <v>9231</v>
      </c>
      <c r="B518" s="5" t="s">
        <v>4596</v>
      </c>
      <c r="D518" s="5" t="s">
        <v>6576</v>
      </c>
      <c r="E518" s="5" t="s">
        <v>574</v>
      </c>
      <c r="F518" s="5" t="s">
        <v>5280</v>
      </c>
      <c r="G518" s="5" t="s">
        <v>4638</v>
      </c>
      <c r="H518" s="5" t="s">
        <v>4600</v>
      </c>
      <c r="I518" s="7" t="s">
        <v>9230</v>
      </c>
    </row>
    <row r="519">
      <c r="A519" s="5" t="s">
        <v>9244</v>
      </c>
      <c r="B519" s="5" t="s">
        <v>4596</v>
      </c>
      <c r="D519" s="5" t="s">
        <v>6576</v>
      </c>
      <c r="E519" s="5" t="s">
        <v>1846</v>
      </c>
      <c r="F519" s="5" t="s">
        <v>5280</v>
      </c>
      <c r="G519" s="5" t="s">
        <v>4638</v>
      </c>
      <c r="H519" s="5" t="s">
        <v>4600</v>
      </c>
      <c r="I519" s="17" t="s">
        <v>10472</v>
      </c>
    </row>
    <row r="520">
      <c r="A520" s="5" t="s">
        <v>9258</v>
      </c>
      <c r="B520" s="5" t="s">
        <v>9259</v>
      </c>
      <c r="D520" s="5" t="s">
        <v>6576</v>
      </c>
      <c r="E520" s="5" t="s">
        <v>2975</v>
      </c>
      <c r="F520" s="5" t="s">
        <v>5280</v>
      </c>
      <c r="G520" s="5" t="s">
        <v>4638</v>
      </c>
      <c r="H520" s="5" t="s">
        <v>4600</v>
      </c>
      <c r="I520" s="7" t="s">
        <v>10473</v>
      </c>
    </row>
    <row r="521">
      <c r="A521" s="5" t="s">
        <v>9333</v>
      </c>
      <c r="B521" s="5" t="s">
        <v>4596</v>
      </c>
      <c r="D521" s="5" t="s">
        <v>6576</v>
      </c>
      <c r="E521" s="5" t="s">
        <v>5985</v>
      </c>
      <c r="F521" s="5" t="s">
        <v>5280</v>
      </c>
      <c r="G521" s="5" t="s">
        <v>4638</v>
      </c>
      <c r="H521" s="5" t="s">
        <v>4600</v>
      </c>
      <c r="I521" s="7" t="s">
        <v>9332</v>
      </c>
    </row>
    <row r="522">
      <c r="A522" s="5" t="s">
        <v>993</v>
      </c>
      <c r="B522" s="5" t="s">
        <v>25</v>
      </c>
      <c r="C522" s="5" t="s">
        <v>13</v>
      </c>
      <c r="D522" s="5" t="s">
        <v>994</v>
      </c>
      <c r="E522" s="5" t="s">
        <v>399</v>
      </c>
      <c r="F522" s="5" t="s">
        <v>377</v>
      </c>
      <c r="G522" s="5" t="s">
        <v>378</v>
      </c>
      <c r="H522" s="5" t="s">
        <v>18</v>
      </c>
      <c r="I522" s="7" t="s">
        <v>995</v>
      </c>
    </row>
    <row r="523">
      <c r="A523" s="5" t="s">
        <v>996</v>
      </c>
      <c r="B523" s="5" t="s">
        <v>25</v>
      </c>
      <c r="C523" s="5" t="s">
        <v>13</v>
      </c>
      <c r="D523" s="5" t="s">
        <v>994</v>
      </c>
      <c r="E523" s="5" t="s">
        <v>136</v>
      </c>
      <c r="F523" s="5" t="s">
        <v>377</v>
      </c>
      <c r="G523" s="5" t="s">
        <v>378</v>
      </c>
      <c r="H523" s="5" t="s">
        <v>18</v>
      </c>
      <c r="I523" s="7" t="s">
        <v>997</v>
      </c>
    </row>
    <row r="524">
      <c r="A524" s="5" t="s">
        <v>998</v>
      </c>
      <c r="B524" s="5" t="s">
        <v>47</v>
      </c>
      <c r="C524" s="5" t="s">
        <v>13</v>
      </c>
      <c r="D524" s="5" t="s">
        <v>994</v>
      </c>
      <c r="E524" s="5" t="s">
        <v>455</v>
      </c>
      <c r="F524" s="5" t="s">
        <v>377</v>
      </c>
      <c r="G524" s="5" t="s">
        <v>378</v>
      </c>
      <c r="H524" s="5" t="s">
        <v>18</v>
      </c>
      <c r="I524" s="7" t="s">
        <v>999</v>
      </c>
    </row>
    <row r="525">
      <c r="A525" s="5" t="s">
        <v>1000</v>
      </c>
      <c r="B525" s="5" t="s">
        <v>25</v>
      </c>
      <c r="C525" s="5" t="s">
        <v>13</v>
      </c>
      <c r="D525" s="5" t="s">
        <v>994</v>
      </c>
      <c r="E525" s="5" t="s">
        <v>222</v>
      </c>
      <c r="F525" s="5" t="s">
        <v>388</v>
      </c>
      <c r="G525" s="5" t="s">
        <v>203</v>
      </c>
      <c r="H525" s="5" t="s">
        <v>18</v>
      </c>
      <c r="I525" s="7" t="s">
        <v>1001</v>
      </c>
    </row>
    <row r="526">
      <c r="A526" s="5" t="s">
        <v>1002</v>
      </c>
      <c r="B526" s="5" t="s">
        <v>1003</v>
      </c>
      <c r="C526" s="5" t="s">
        <v>13</v>
      </c>
      <c r="D526" s="5" t="s">
        <v>994</v>
      </c>
      <c r="E526" s="5" t="s">
        <v>237</v>
      </c>
      <c r="F526" s="5" t="s">
        <v>1004</v>
      </c>
      <c r="G526" s="5" t="s">
        <v>378</v>
      </c>
      <c r="H526" s="5" t="s">
        <v>18</v>
      </c>
      <c r="I526" s="18" t="s">
        <v>10474</v>
      </c>
    </row>
    <row r="527">
      <c r="A527" s="5" t="s">
        <v>9172</v>
      </c>
      <c r="B527" s="5" t="s">
        <v>9173</v>
      </c>
      <c r="D527" s="5" t="s">
        <v>9174</v>
      </c>
      <c r="E527" s="5" t="s">
        <v>26</v>
      </c>
      <c r="F527" s="5" t="s">
        <v>5280</v>
      </c>
      <c r="G527" s="5" t="s">
        <v>4638</v>
      </c>
      <c r="H527" s="5" t="s">
        <v>4600</v>
      </c>
      <c r="I527" s="17" t="s">
        <v>10475</v>
      </c>
    </row>
    <row r="528">
      <c r="A528" s="5" t="s">
        <v>9246</v>
      </c>
      <c r="B528" s="5" t="s">
        <v>9247</v>
      </c>
      <c r="D528" s="5" t="s">
        <v>9174</v>
      </c>
      <c r="E528" s="5" t="s">
        <v>1460</v>
      </c>
      <c r="F528" s="5" t="s">
        <v>5280</v>
      </c>
      <c r="G528" s="5" t="s">
        <v>4638</v>
      </c>
      <c r="H528" s="5" t="s">
        <v>4600</v>
      </c>
      <c r="I528" s="18" t="s">
        <v>10476</v>
      </c>
    </row>
    <row r="529">
      <c r="A529" s="5" t="s">
        <v>5155</v>
      </c>
      <c r="B529" s="5" t="s">
        <v>5156</v>
      </c>
      <c r="D529" s="5" t="s">
        <v>1007</v>
      </c>
      <c r="E529" s="5" t="s">
        <v>144</v>
      </c>
      <c r="F529" s="5" t="s">
        <v>5157</v>
      </c>
      <c r="G529" s="5" t="s">
        <v>4757</v>
      </c>
      <c r="H529" s="5" t="s">
        <v>4607</v>
      </c>
      <c r="I529" s="7" t="s">
        <v>5154</v>
      </c>
    </row>
    <row r="530">
      <c r="A530" s="5" t="s">
        <v>6985</v>
      </c>
      <c r="B530" s="5" t="s">
        <v>6986</v>
      </c>
      <c r="D530" s="5" t="s">
        <v>1007</v>
      </c>
      <c r="E530" s="5" t="s">
        <v>409</v>
      </c>
      <c r="F530" s="5" t="s">
        <v>6577</v>
      </c>
      <c r="G530" s="5" t="s">
        <v>4757</v>
      </c>
      <c r="H530" s="5" t="s">
        <v>4607</v>
      </c>
      <c r="I530" s="7" t="s">
        <v>10477</v>
      </c>
    </row>
    <row r="531">
      <c r="A531" s="5" t="s">
        <v>8967</v>
      </c>
      <c r="B531" s="5" t="s">
        <v>8968</v>
      </c>
      <c r="D531" s="5" t="s">
        <v>1007</v>
      </c>
      <c r="E531" s="5" t="s">
        <v>2120</v>
      </c>
      <c r="F531" s="5" t="s">
        <v>7722</v>
      </c>
      <c r="G531" s="5" t="s">
        <v>5566</v>
      </c>
      <c r="H531" s="5" t="s">
        <v>4619</v>
      </c>
      <c r="I531" s="7" t="s">
        <v>10478</v>
      </c>
    </row>
    <row r="532">
      <c r="A532" s="5" t="s">
        <v>9005</v>
      </c>
      <c r="B532" s="5" t="s">
        <v>9006</v>
      </c>
      <c r="D532" s="5" t="s">
        <v>1007</v>
      </c>
      <c r="E532" s="5" t="s">
        <v>331</v>
      </c>
      <c r="F532" s="5" t="s">
        <v>7722</v>
      </c>
      <c r="G532" s="5" t="s">
        <v>5566</v>
      </c>
      <c r="H532" s="5" t="s">
        <v>4619</v>
      </c>
      <c r="I532" s="7" t="s">
        <v>10479</v>
      </c>
    </row>
    <row r="533">
      <c r="A533" s="5" t="s">
        <v>9623</v>
      </c>
      <c r="B533" s="5" t="s">
        <v>5054</v>
      </c>
      <c r="D533" s="5" t="s">
        <v>1007</v>
      </c>
      <c r="E533" s="5" t="s">
        <v>222</v>
      </c>
      <c r="F533" s="5" t="s">
        <v>6577</v>
      </c>
      <c r="G533" s="5" t="s">
        <v>4757</v>
      </c>
      <c r="H533" s="5" t="s">
        <v>4607</v>
      </c>
      <c r="I533" s="7" t="s">
        <v>9622</v>
      </c>
    </row>
    <row r="534">
      <c r="A534" s="5" t="s">
        <v>1006</v>
      </c>
      <c r="B534" s="5" t="s">
        <v>110</v>
      </c>
      <c r="C534" s="5" t="s">
        <v>13</v>
      </c>
      <c r="D534" s="5" t="s">
        <v>1007</v>
      </c>
      <c r="F534" s="5" t="s">
        <v>1008</v>
      </c>
      <c r="G534" s="5" t="s">
        <v>44</v>
      </c>
      <c r="H534" s="5" t="s">
        <v>18</v>
      </c>
      <c r="I534" s="7" t="s">
        <v>1009</v>
      </c>
    </row>
    <row r="535">
      <c r="A535" s="5" t="s">
        <v>1010</v>
      </c>
      <c r="B535" s="5" t="s">
        <v>1011</v>
      </c>
      <c r="C535" s="5" t="s">
        <v>13</v>
      </c>
      <c r="D535" s="5" t="s">
        <v>1007</v>
      </c>
      <c r="E535" s="5" t="s">
        <v>217</v>
      </c>
      <c r="F535" s="5" t="s">
        <v>85</v>
      </c>
      <c r="G535" s="5" t="s">
        <v>86</v>
      </c>
      <c r="H535" s="5" t="s">
        <v>18</v>
      </c>
      <c r="I535" s="7" t="s">
        <v>10480</v>
      </c>
    </row>
    <row r="536">
      <c r="A536" s="5" t="s">
        <v>1013</v>
      </c>
      <c r="B536" s="5" t="s">
        <v>110</v>
      </c>
      <c r="C536" s="5" t="s">
        <v>13</v>
      </c>
      <c r="D536" s="5" t="s">
        <v>1007</v>
      </c>
      <c r="E536" s="5" t="s">
        <v>345</v>
      </c>
      <c r="F536" s="5" t="s">
        <v>801</v>
      </c>
      <c r="G536" s="5" t="s">
        <v>50</v>
      </c>
      <c r="H536" s="5" t="s">
        <v>18</v>
      </c>
      <c r="I536" s="17" t="s">
        <v>10481</v>
      </c>
    </row>
    <row r="537">
      <c r="A537" s="5" t="s">
        <v>1015</v>
      </c>
      <c r="B537" s="5" t="s">
        <v>110</v>
      </c>
      <c r="C537" s="5" t="s">
        <v>13</v>
      </c>
      <c r="D537" s="5" t="s">
        <v>1007</v>
      </c>
      <c r="E537" s="5" t="s">
        <v>351</v>
      </c>
      <c r="F537" s="5" t="s">
        <v>166</v>
      </c>
      <c r="G537" s="5" t="s">
        <v>44</v>
      </c>
      <c r="H537" s="5" t="s">
        <v>18</v>
      </c>
      <c r="I537" s="7" t="s">
        <v>1016</v>
      </c>
    </row>
    <row r="538">
      <c r="A538" s="5" t="s">
        <v>1017</v>
      </c>
      <c r="B538" s="5" t="s">
        <v>110</v>
      </c>
      <c r="C538" s="5" t="s">
        <v>13</v>
      </c>
      <c r="D538" s="5" t="s">
        <v>1007</v>
      </c>
      <c r="E538" s="5" t="s">
        <v>331</v>
      </c>
      <c r="F538" s="5" t="s">
        <v>1018</v>
      </c>
      <c r="G538" s="5" t="s">
        <v>203</v>
      </c>
      <c r="H538" s="5" t="s">
        <v>18</v>
      </c>
      <c r="I538" s="7" t="s">
        <v>1019</v>
      </c>
    </row>
    <row r="539">
      <c r="A539" s="5" t="s">
        <v>1020</v>
      </c>
      <c r="B539" s="5" t="s">
        <v>1021</v>
      </c>
      <c r="C539" s="5" t="s">
        <v>13</v>
      </c>
      <c r="D539" s="5" t="s">
        <v>1007</v>
      </c>
      <c r="E539" s="5" t="s">
        <v>268</v>
      </c>
      <c r="F539" s="5" t="s">
        <v>1022</v>
      </c>
      <c r="G539" s="5" t="s">
        <v>264</v>
      </c>
      <c r="H539" s="5" t="s">
        <v>18</v>
      </c>
      <c r="I539" s="17" t="s">
        <v>10482</v>
      </c>
    </row>
    <row r="540">
      <c r="A540" s="5" t="s">
        <v>1020</v>
      </c>
      <c r="B540" s="5" t="s">
        <v>1024</v>
      </c>
      <c r="C540" s="5" t="s">
        <v>13</v>
      </c>
      <c r="D540" s="5" t="s">
        <v>1007</v>
      </c>
      <c r="E540" s="5" t="s">
        <v>1025</v>
      </c>
      <c r="F540" s="5" t="s">
        <v>1022</v>
      </c>
      <c r="G540" s="5" t="s">
        <v>264</v>
      </c>
      <c r="H540" s="5" t="s">
        <v>18</v>
      </c>
      <c r="I540" s="7" t="s">
        <v>1026</v>
      </c>
    </row>
    <row r="541">
      <c r="A541" s="5" t="s">
        <v>1027</v>
      </c>
      <c r="B541" s="5" t="s">
        <v>1028</v>
      </c>
      <c r="C541" s="5" t="s">
        <v>13</v>
      </c>
      <c r="D541" s="5" t="s">
        <v>1007</v>
      </c>
      <c r="E541" s="5" t="s">
        <v>727</v>
      </c>
      <c r="F541" s="5" t="s">
        <v>64</v>
      </c>
      <c r="G541" s="5" t="s">
        <v>65</v>
      </c>
      <c r="H541" s="5" t="s">
        <v>18</v>
      </c>
      <c r="I541" s="7" t="s">
        <v>1029</v>
      </c>
    </row>
    <row r="542">
      <c r="A542" s="5" t="s">
        <v>1030</v>
      </c>
      <c r="B542" s="5" t="s">
        <v>480</v>
      </c>
      <c r="C542" s="5" t="s">
        <v>13</v>
      </c>
      <c r="D542" s="5" t="s">
        <v>1007</v>
      </c>
      <c r="F542" s="5" t="s">
        <v>801</v>
      </c>
      <c r="G542" s="5" t="s">
        <v>50</v>
      </c>
      <c r="H542" s="5" t="s">
        <v>18</v>
      </c>
      <c r="I542" s="7" t="s">
        <v>1031</v>
      </c>
    </row>
    <row r="543">
      <c r="A543" s="5" t="s">
        <v>1032</v>
      </c>
      <c r="B543" s="5" t="s">
        <v>1033</v>
      </c>
      <c r="C543" s="5" t="s">
        <v>13</v>
      </c>
      <c r="D543" s="5" t="s">
        <v>1007</v>
      </c>
      <c r="E543" s="5" t="s">
        <v>1034</v>
      </c>
      <c r="F543" s="5" t="s">
        <v>1035</v>
      </c>
      <c r="G543" s="5" t="s">
        <v>38</v>
      </c>
      <c r="H543" s="5" t="s">
        <v>18</v>
      </c>
      <c r="I543" s="7" t="s">
        <v>1036</v>
      </c>
    </row>
    <row r="544">
      <c r="A544" s="5" t="s">
        <v>1037</v>
      </c>
      <c r="B544" s="5" t="s">
        <v>110</v>
      </c>
      <c r="C544" s="5" t="s">
        <v>13</v>
      </c>
      <c r="D544" s="5" t="s">
        <v>1007</v>
      </c>
      <c r="F544" s="5" t="s">
        <v>169</v>
      </c>
      <c r="G544" s="5" t="s">
        <v>44</v>
      </c>
      <c r="H544" s="5" t="s">
        <v>18</v>
      </c>
      <c r="I544" s="17" t="s">
        <v>10483</v>
      </c>
    </row>
    <row r="545">
      <c r="A545" s="5" t="s">
        <v>1039</v>
      </c>
      <c r="B545" s="5" t="s">
        <v>480</v>
      </c>
      <c r="C545" s="5" t="s">
        <v>13</v>
      </c>
      <c r="D545" s="5" t="s">
        <v>1007</v>
      </c>
      <c r="F545" s="5" t="s">
        <v>1040</v>
      </c>
      <c r="G545" s="5" t="s">
        <v>50</v>
      </c>
      <c r="H545" s="5" t="s">
        <v>18</v>
      </c>
      <c r="I545" s="17" t="s">
        <v>10484</v>
      </c>
    </row>
    <row r="546">
      <c r="A546" s="5" t="s">
        <v>6822</v>
      </c>
      <c r="B546" s="5" t="s">
        <v>6823</v>
      </c>
      <c r="D546" s="5" t="s">
        <v>1043</v>
      </c>
      <c r="E546" s="5" t="s">
        <v>100</v>
      </c>
      <c r="F546" s="5" t="s">
        <v>6577</v>
      </c>
      <c r="G546" s="5" t="s">
        <v>4757</v>
      </c>
      <c r="H546" s="5" t="s">
        <v>4607</v>
      </c>
      <c r="I546" s="7" t="s">
        <v>6821</v>
      </c>
    </row>
    <row r="547">
      <c r="A547" s="5" t="s">
        <v>1042</v>
      </c>
      <c r="B547" s="5" t="s">
        <v>25</v>
      </c>
      <c r="C547" s="5" t="s">
        <v>13</v>
      </c>
      <c r="D547" s="5" t="s">
        <v>1043</v>
      </c>
      <c r="E547" s="5" t="s">
        <v>512</v>
      </c>
      <c r="F547" s="5" t="s">
        <v>64</v>
      </c>
      <c r="G547" s="5" t="s">
        <v>65</v>
      </c>
      <c r="H547" s="5" t="s">
        <v>18</v>
      </c>
      <c r="I547" s="7" t="s">
        <v>1044</v>
      </c>
    </row>
    <row r="548">
      <c r="A548" s="5" t="s">
        <v>1045</v>
      </c>
      <c r="B548" s="5" t="s">
        <v>371</v>
      </c>
      <c r="C548" s="5" t="s">
        <v>13</v>
      </c>
      <c r="D548" s="5" t="s">
        <v>1043</v>
      </c>
      <c r="E548" s="5" t="s">
        <v>182</v>
      </c>
      <c r="F548" s="5" t="s">
        <v>64</v>
      </c>
      <c r="G548" s="5" t="s">
        <v>65</v>
      </c>
      <c r="H548" s="5" t="s">
        <v>18</v>
      </c>
      <c r="I548" s="7" t="s">
        <v>1046</v>
      </c>
    </row>
    <row r="549">
      <c r="A549" s="5" t="s">
        <v>1047</v>
      </c>
      <c r="B549" s="5" t="s">
        <v>1048</v>
      </c>
      <c r="C549" s="5" t="s">
        <v>13</v>
      </c>
      <c r="D549" s="5" t="s">
        <v>1043</v>
      </c>
      <c r="E549" s="5" t="s">
        <v>74</v>
      </c>
      <c r="F549" s="5" t="s">
        <v>64</v>
      </c>
      <c r="G549" s="5" t="s">
        <v>65</v>
      </c>
      <c r="H549" s="5" t="s">
        <v>18</v>
      </c>
      <c r="I549" s="7" t="s">
        <v>10485</v>
      </c>
    </row>
    <row r="550">
      <c r="A550" s="5" t="s">
        <v>1050</v>
      </c>
      <c r="B550" s="5" t="s">
        <v>1051</v>
      </c>
      <c r="C550" s="5" t="s">
        <v>13</v>
      </c>
      <c r="D550" s="5" t="s">
        <v>1043</v>
      </c>
      <c r="E550" s="5" t="s">
        <v>79</v>
      </c>
      <c r="F550" s="5" t="s">
        <v>137</v>
      </c>
      <c r="G550" s="5" t="s">
        <v>137</v>
      </c>
      <c r="H550" s="5" t="s">
        <v>18</v>
      </c>
      <c r="I550" s="17" t="s">
        <v>10486</v>
      </c>
    </row>
    <row r="551">
      <c r="A551" s="5" t="s">
        <v>1053</v>
      </c>
      <c r="B551" s="5" t="s">
        <v>25</v>
      </c>
      <c r="C551" s="5" t="s">
        <v>13</v>
      </c>
      <c r="D551" s="5" t="s">
        <v>1043</v>
      </c>
      <c r="E551" s="5" t="s">
        <v>15</v>
      </c>
      <c r="F551" s="5" t="s">
        <v>137</v>
      </c>
      <c r="G551" s="5" t="s">
        <v>137</v>
      </c>
      <c r="H551" s="5" t="s">
        <v>18</v>
      </c>
      <c r="I551" s="7" t="s">
        <v>1054</v>
      </c>
    </row>
    <row r="552">
      <c r="A552" s="5" t="s">
        <v>1055</v>
      </c>
      <c r="B552" s="5" t="s">
        <v>25</v>
      </c>
      <c r="C552" s="5" t="s">
        <v>13</v>
      </c>
      <c r="D552" s="5" t="s">
        <v>1043</v>
      </c>
      <c r="E552" s="5" t="s">
        <v>165</v>
      </c>
      <c r="F552" s="5" t="s">
        <v>137</v>
      </c>
      <c r="G552" s="5" t="s">
        <v>137</v>
      </c>
      <c r="H552" s="5" t="s">
        <v>18</v>
      </c>
      <c r="I552" s="7" t="s">
        <v>1056</v>
      </c>
    </row>
    <row r="553">
      <c r="A553" s="5" t="s">
        <v>1057</v>
      </c>
      <c r="B553" s="5" t="s">
        <v>25</v>
      </c>
      <c r="C553" s="5" t="s">
        <v>13</v>
      </c>
      <c r="D553" s="5" t="s">
        <v>1043</v>
      </c>
      <c r="E553" s="5" t="s">
        <v>79</v>
      </c>
      <c r="F553" s="5" t="s">
        <v>137</v>
      </c>
      <c r="G553" s="5" t="s">
        <v>137</v>
      </c>
      <c r="H553" s="5" t="s">
        <v>18</v>
      </c>
      <c r="I553" s="7" t="s">
        <v>1058</v>
      </c>
    </row>
    <row r="554">
      <c r="A554" s="5" t="s">
        <v>1059</v>
      </c>
      <c r="B554" s="5" t="s">
        <v>25</v>
      </c>
      <c r="C554" s="5" t="s">
        <v>13</v>
      </c>
      <c r="D554" s="5" t="s">
        <v>1043</v>
      </c>
      <c r="E554" s="5" t="s">
        <v>734</v>
      </c>
      <c r="F554" s="5" t="s">
        <v>64</v>
      </c>
      <c r="G554" s="5" t="s">
        <v>65</v>
      </c>
      <c r="H554" s="5" t="s">
        <v>18</v>
      </c>
      <c r="I554" s="7" t="s">
        <v>1060</v>
      </c>
    </row>
    <row r="555">
      <c r="A555" s="5" t="s">
        <v>1061</v>
      </c>
      <c r="B555" s="5" t="s">
        <v>1048</v>
      </c>
      <c r="C555" s="5" t="s">
        <v>13</v>
      </c>
      <c r="D555" s="5" t="s">
        <v>1043</v>
      </c>
      <c r="E555" s="5" t="s">
        <v>734</v>
      </c>
      <c r="F555" s="5" t="s">
        <v>64</v>
      </c>
      <c r="G555" s="5" t="s">
        <v>65</v>
      </c>
      <c r="H555" s="5" t="s">
        <v>18</v>
      </c>
      <c r="I555" s="7" t="s">
        <v>10487</v>
      </c>
    </row>
    <row r="556">
      <c r="A556" s="5" t="s">
        <v>1067</v>
      </c>
      <c r="B556" s="5" t="s">
        <v>371</v>
      </c>
      <c r="D556" s="5" t="s">
        <v>1064</v>
      </c>
      <c r="E556" s="5" t="s">
        <v>1068</v>
      </c>
      <c r="F556" s="5" t="s">
        <v>1069</v>
      </c>
      <c r="G556" s="5" t="s">
        <v>96</v>
      </c>
      <c r="H556" s="5" t="s">
        <v>18</v>
      </c>
      <c r="I556" s="7" t="s">
        <v>4941</v>
      </c>
    </row>
    <row r="557">
      <c r="A557" s="5" t="s">
        <v>5104</v>
      </c>
      <c r="B557" s="5" t="s">
        <v>5105</v>
      </c>
      <c r="D557" s="5" t="s">
        <v>1064</v>
      </c>
      <c r="E557" s="5" t="s">
        <v>694</v>
      </c>
      <c r="F557" s="5" t="s">
        <v>4537</v>
      </c>
      <c r="G557" s="5" t="s">
        <v>137</v>
      </c>
      <c r="H557" s="5" t="s">
        <v>18</v>
      </c>
      <c r="I557" s="7" t="s">
        <v>5103</v>
      </c>
    </row>
    <row r="558">
      <c r="A558" s="5" t="s">
        <v>5256</v>
      </c>
      <c r="B558" s="5" t="s">
        <v>5257</v>
      </c>
      <c r="D558" s="5" t="s">
        <v>1064</v>
      </c>
      <c r="E558" s="5" t="s">
        <v>121</v>
      </c>
      <c r="F558" s="5" t="s">
        <v>1914</v>
      </c>
      <c r="G558" s="5" t="s">
        <v>4638</v>
      </c>
      <c r="H558" s="5" t="s">
        <v>4600</v>
      </c>
      <c r="I558" s="18" t="s">
        <v>10488</v>
      </c>
    </row>
    <row r="559">
      <c r="A559" s="5" t="s">
        <v>5762</v>
      </c>
      <c r="B559" s="5" t="s">
        <v>1378</v>
      </c>
      <c r="D559" s="5" t="s">
        <v>1064</v>
      </c>
      <c r="E559" s="5" t="s">
        <v>331</v>
      </c>
      <c r="F559" s="5" t="s">
        <v>5763</v>
      </c>
      <c r="G559" s="5" t="s">
        <v>203</v>
      </c>
      <c r="H559" s="5" t="s">
        <v>18</v>
      </c>
      <c r="I559" s="7" t="s">
        <v>5761</v>
      </c>
    </row>
    <row r="560">
      <c r="A560" s="5" t="s">
        <v>6803</v>
      </c>
      <c r="B560" s="5" t="s">
        <v>6804</v>
      </c>
      <c r="D560" s="5" t="s">
        <v>1064</v>
      </c>
      <c r="E560" s="5" t="s">
        <v>3110</v>
      </c>
      <c r="F560" s="5" t="s">
        <v>6577</v>
      </c>
      <c r="G560" s="5" t="s">
        <v>4757</v>
      </c>
      <c r="H560" s="5" t="s">
        <v>4607</v>
      </c>
      <c r="I560" s="7" t="s">
        <v>10489</v>
      </c>
    </row>
    <row r="561">
      <c r="A561" s="5" t="s">
        <v>6888</v>
      </c>
      <c r="B561" s="5" t="s">
        <v>6889</v>
      </c>
      <c r="D561" s="5" t="s">
        <v>1064</v>
      </c>
      <c r="E561" s="5" t="s">
        <v>15</v>
      </c>
      <c r="F561" s="5" t="s">
        <v>6577</v>
      </c>
      <c r="G561" s="5" t="s">
        <v>4757</v>
      </c>
      <c r="H561" s="5" t="s">
        <v>4607</v>
      </c>
      <c r="I561" s="7" t="s">
        <v>10490</v>
      </c>
    </row>
    <row r="562">
      <c r="A562" s="5" t="s">
        <v>1107</v>
      </c>
      <c r="B562" s="5" t="s">
        <v>1108</v>
      </c>
      <c r="D562" s="5" t="s">
        <v>1064</v>
      </c>
      <c r="E562" s="5" t="s">
        <v>512</v>
      </c>
      <c r="F562" s="5" t="s">
        <v>137</v>
      </c>
      <c r="G562" s="5" t="s">
        <v>137</v>
      </c>
      <c r="H562" s="5" t="s">
        <v>18</v>
      </c>
      <c r="I562" s="17" t="s">
        <v>10491</v>
      </c>
    </row>
    <row r="563">
      <c r="A563" s="5" t="s">
        <v>1119</v>
      </c>
      <c r="B563" s="5" t="s">
        <v>1120</v>
      </c>
      <c r="D563" s="5" t="s">
        <v>1064</v>
      </c>
      <c r="E563" s="5" t="s">
        <v>441</v>
      </c>
      <c r="F563" s="5" t="s">
        <v>137</v>
      </c>
      <c r="G563" s="5" t="s">
        <v>137</v>
      </c>
      <c r="H563" s="5" t="s">
        <v>18</v>
      </c>
      <c r="I563" s="18" t="s">
        <v>10492</v>
      </c>
    </row>
    <row r="564">
      <c r="A564" s="5" t="s">
        <v>1081</v>
      </c>
      <c r="B564" s="5" t="s">
        <v>1082</v>
      </c>
      <c r="D564" s="5" t="s">
        <v>1064</v>
      </c>
      <c r="E564" s="5" t="s">
        <v>42</v>
      </c>
      <c r="F564" s="5" t="s">
        <v>137</v>
      </c>
      <c r="G564" s="5" t="s">
        <v>137</v>
      </c>
      <c r="H564" s="5" t="s">
        <v>18</v>
      </c>
      <c r="I564" s="17" t="s">
        <v>10493</v>
      </c>
    </row>
    <row r="565">
      <c r="A565" s="5" t="s">
        <v>1110</v>
      </c>
      <c r="B565" s="5" t="s">
        <v>1111</v>
      </c>
      <c r="D565" s="5" t="s">
        <v>1064</v>
      </c>
      <c r="E565" s="5" t="s">
        <v>712</v>
      </c>
      <c r="F565" s="5" t="s">
        <v>137</v>
      </c>
      <c r="G565" s="5" t="s">
        <v>137</v>
      </c>
      <c r="H565" s="5" t="s">
        <v>18</v>
      </c>
      <c r="I565" s="17" t="s">
        <v>10494</v>
      </c>
    </row>
    <row r="566">
      <c r="A566" s="5" t="s">
        <v>7895</v>
      </c>
      <c r="B566" s="5" t="s">
        <v>7896</v>
      </c>
      <c r="D566" s="5" t="s">
        <v>1064</v>
      </c>
      <c r="E566" s="5" t="s">
        <v>331</v>
      </c>
      <c r="F566" s="5" t="s">
        <v>137</v>
      </c>
      <c r="G566" s="5" t="s">
        <v>137</v>
      </c>
      <c r="H566" s="5" t="s">
        <v>18</v>
      </c>
      <c r="I566" s="7" t="s">
        <v>7894</v>
      </c>
    </row>
    <row r="567">
      <c r="A567" s="5" t="s">
        <v>7966</v>
      </c>
      <c r="B567" s="5" t="s">
        <v>7967</v>
      </c>
      <c r="D567" s="5" t="s">
        <v>1064</v>
      </c>
      <c r="E567" s="5" t="s">
        <v>7968</v>
      </c>
      <c r="F567" s="5" t="s">
        <v>137</v>
      </c>
      <c r="G567" s="5" t="s">
        <v>137</v>
      </c>
      <c r="H567" s="5" t="s">
        <v>18</v>
      </c>
      <c r="I567" s="7" t="s">
        <v>7965</v>
      </c>
    </row>
    <row r="568">
      <c r="A568" s="5" t="s">
        <v>8924</v>
      </c>
      <c r="B568" s="5" t="s">
        <v>8925</v>
      </c>
      <c r="D568" s="5" t="s">
        <v>1064</v>
      </c>
      <c r="E568" s="5" t="s">
        <v>455</v>
      </c>
      <c r="F568" s="5" t="s">
        <v>7722</v>
      </c>
      <c r="G568" s="5" t="s">
        <v>5566</v>
      </c>
      <c r="H568" s="5" t="s">
        <v>4619</v>
      </c>
      <c r="I568" s="7" t="s">
        <v>8923</v>
      </c>
    </row>
    <row r="569">
      <c r="A569" s="5" t="s">
        <v>9176</v>
      </c>
      <c r="B569" s="5" t="s">
        <v>9177</v>
      </c>
      <c r="D569" s="5" t="s">
        <v>1064</v>
      </c>
      <c r="E569" s="5" t="s">
        <v>399</v>
      </c>
      <c r="F569" s="5" t="s">
        <v>5280</v>
      </c>
      <c r="G569" s="5" t="s">
        <v>4638</v>
      </c>
      <c r="H569" s="5" t="s">
        <v>4600</v>
      </c>
      <c r="I569" s="7" t="s">
        <v>9175</v>
      </c>
    </row>
    <row r="570">
      <c r="A570" s="5" t="s">
        <v>9677</v>
      </c>
      <c r="B570" s="5" t="s">
        <v>9678</v>
      </c>
      <c r="D570" s="5" t="s">
        <v>1064</v>
      </c>
      <c r="E570" s="5" t="s">
        <v>144</v>
      </c>
      <c r="F570" s="5" t="s">
        <v>6577</v>
      </c>
      <c r="G570" s="5" t="s">
        <v>4757</v>
      </c>
      <c r="H570" s="5" t="s">
        <v>4607</v>
      </c>
      <c r="I570" s="7" t="s">
        <v>9676</v>
      </c>
    </row>
    <row r="571">
      <c r="A571" s="5" t="s">
        <v>1063</v>
      </c>
      <c r="B571" s="5" t="s">
        <v>25</v>
      </c>
      <c r="C571" s="5" t="s">
        <v>13</v>
      </c>
      <c r="D571" s="5" t="s">
        <v>1064</v>
      </c>
      <c r="E571" s="5" t="s">
        <v>1065</v>
      </c>
      <c r="F571" s="5" t="s">
        <v>16</v>
      </c>
      <c r="G571" s="5" t="s">
        <v>17</v>
      </c>
      <c r="H571" s="5" t="s">
        <v>18</v>
      </c>
      <c r="I571" s="7" t="s">
        <v>1066</v>
      </c>
    </row>
    <row r="572">
      <c r="A572" s="5" t="s">
        <v>1067</v>
      </c>
      <c r="B572" s="5" t="s">
        <v>371</v>
      </c>
      <c r="C572" s="5" t="s">
        <v>13</v>
      </c>
      <c r="D572" s="5" t="s">
        <v>1064</v>
      </c>
      <c r="E572" s="5" t="s">
        <v>1068</v>
      </c>
      <c r="F572" s="5" t="s">
        <v>1069</v>
      </c>
      <c r="G572" s="5" t="s">
        <v>96</v>
      </c>
      <c r="H572" s="5" t="s">
        <v>18</v>
      </c>
      <c r="I572" s="7" t="s">
        <v>1070</v>
      </c>
    </row>
    <row r="573">
      <c r="A573" s="5" t="s">
        <v>1071</v>
      </c>
      <c r="B573" s="5" t="s">
        <v>25</v>
      </c>
      <c r="C573" s="5" t="s">
        <v>13</v>
      </c>
      <c r="D573" s="5" t="s">
        <v>1064</v>
      </c>
      <c r="E573" s="5" t="s">
        <v>430</v>
      </c>
      <c r="F573" s="5" t="s">
        <v>64</v>
      </c>
      <c r="G573" s="5" t="s">
        <v>65</v>
      </c>
      <c r="H573" s="5" t="s">
        <v>18</v>
      </c>
      <c r="I573" s="7" t="s">
        <v>1072</v>
      </c>
    </row>
    <row r="574">
      <c r="A574" s="5" t="s">
        <v>1073</v>
      </c>
      <c r="B574" s="5" t="s">
        <v>25</v>
      </c>
      <c r="C574" s="5" t="s">
        <v>13</v>
      </c>
      <c r="D574" s="5" t="s">
        <v>1064</v>
      </c>
      <c r="E574" s="5" t="s">
        <v>500</v>
      </c>
      <c r="F574" s="5" t="s">
        <v>80</v>
      </c>
      <c r="G574" s="5" t="s">
        <v>38</v>
      </c>
      <c r="H574" s="5" t="s">
        <v>18</v>
      </c>
      <c r="I574" s="7" t="s">
        <v>1074</v>
      </c>
    </row>
    <row r="575">
      <c r="A575" s="5" t="s">
        <v>1075</v>
      </c>
      <c r="B575" s="5" t="s">
        <v>1076</v>
      </c>
      <c r="C575" s="5" t="s">
        <v>13</v>
      </c>
      <c r="D575" s="5" t="s">
        <v>1064</v>
      </c>
      <c r="E575" s="5" t="s">
        <v>579</v>
      </c>
      <c r="F575" s="5" t="s">
        <v>80</v>
      </c>
      <c r="G575" s="5" t="s">
        <v>38</v>
      </c>
      <c r="H575" s="5" t="s">
        <v>18</v>
      </c>
      <c r="I575" s="7" t="s">
        <v>10495</v>
      </c>
    </row>
    <row r="576">
      <c r="A576" s="5" t="s">
        <v>1078</v>
      </c>
      <c r="B576" s="5" t="s">
        <v>25</v>
      </c>
      <c r="C576" s="5" t="s">
        <v>13</v>
      </c>
      <c r="D576" s="5" t="s">
        <v>1064</v>
      </c>
      <c r="E576" s="5" t="s">
        <v>626</v>
      </c>
      <c r="F576" s="5" t="s">
        <v>1079</v>
      </c>
      <c r="G576" s="5" t="s">
        <v>259</v>
      </c>
      <c r="H576" s="5" t="s">
        <v>18</v>
      </c>
      <c r="I576" s="7" t="s">
        <v>1080</v>
      </c>
    </row>
    <row r="577">
      <c r="A577" s="5" t="s">
        <v>1081</v>
      </c>
      <c r="B577" s="5" t="s">
        <v>1082</v>
      </c>
      <c r="C577" s="5" t="s">
        <v>13</v>
      </c>
      <c r="D577" s="5" t="s">
        <v>1064</v>
      </c>
      <c r="E577" s="5" t="s">
        <v>42</v>
      </c>
      <c r="F577" s="5" t="s">
        <v>137</v>
      </c>
      <c r="G577" s="5" t="s">
        <v>137</v>
      </c>
      <c r="H577" s="5" t="s">
        <v>18</v>
      </c>
      <c r="I577" s="17" t="s">
        <v>10496</v>
      </c>
    </row>
    <row r="578">
      <c r="A578" s="5" t="s">
        <v>1084</v>
      </c>
      <c r="B578" s="5" t="s">
        <v>1085</v>
      </c>
      <c r="C578" s="5" t="s">
        <v>13</v>
      </c>
      <c r="D578" s="5" t="s">
        <v>1064</v>
      </c>
      <c r="E578" s="5" t="s">
        <v>84</v>
      </c>
      <c r="F578" s="5" t="s">
        <v>137</v>
      </c>
      <c r="G578" s="5" t="s">
        <v>137</v>
      </c>
      <c r="H578" s="5" t="s">
        <v>18</v>
      </c>
      <c r="I578" s="17" t="s">
        <v>10497</v>
      </c>
    </row>
    <row r="579">
      <c r="A579" s="5" t="s">
        <v>1087</v>
      </c>
      <c r="B579" s="5" t="s">
        <v>1088</v>
      </c>
      <c r="C579" s="5" t="s">
        <v>13</v>
      </c>
      <c r="D579" s="5" t="s">
        <v>1064</v>
      </c>
      <c r="E579" s="5" t="s">
        <v>1089</v>
      </c>
      <c r="F579" s="5" t="s">
        <v>137</v>
      </c>
      <c r="G579" s="5" t="s">
        <v>137</v>
      </c>
      <c r="H579" s="5" t="s">
        <v>18</v>
      </c>
      <c r="I579" s="7" t="s">
        <v>10498</v>
      </c>
    </row>
    <row r="580">
      <c r="A580" s="5" t="s">
        <v>1091</v>
      </c>
      <c r="B580" s="5" t="s">
        <v>511</v>
      </c>
      <c r="C580" s="5" t="s">
        <v>13</v>
      </c>
      <c r="D580" s="5" t="s">
        <v>1064</v>
      </c>
      <c r="E580" s="5" t="s">
        <v>94</v>
      </c>
      <c r="F580" s="5" t="s">
        <v>137</v>
      </c>
      <c r="G580" s="5" t="s">
        <v>137</v>
      </c>
      <c r="H580" s="5" t="s">
        <v>18</v>
      </c>
      <c r="I580" s="17" t="s">
        <v>10499</v>
      </c>
    </row>
    <row r="581">
      <c r="A581" s="5" t="s">
        <v>1093</v>
      </c>
      <c r="B581" s="5" t="s">
        <v>1094</v>
      </c>
      <c r="C581" s="5" t="s">
        <v>4</v>
      </c>
      <c r="D581" s="5" t="s">
        <v>1064</v>
      </c>
      <c r="E581" s="5" t="s">
        <v>651</v>
      </c>
      <c r="F581" s="5" t="s">
        <v>137</v>
      </c>
      <c r="G581" s="5" t="s">
        <v>137</v>
      </c>
      <c r="H581" s="5" t="s">
        <v>18</v>
      </c>
      <c r="I581" s="17" t="s">
        <v>10500</v>
      </c>
    </row>
    <row r="582">
      <c r="A582" s="5" t="s">
        <v>1096</v>
      </c>
      <c r="B582" s="5" t="s">
        <v>1097</v>
      </c>
      <c r="C582" s="5" t="s">
        <v>13</v>
      </c>
      <c r="D582" s="5" t="s">
        <v>1064</v>
      </c>
      <c r="E582" s="5" t="s">
        <v>1098</v>
      </c>
      <c r="F582" s="5" t="s">
        <v>137</v>
      </c>
      <c r="G582" s="5" t="s">
        <v>137</v>
      </c>
      <c r="H582" s="5" t="s">
        <v>18</v>
      </c>
      <c r="I582" s="17" t="s">
        <v>10501</v>
      </c>
    </row>
    <row r="583">
      <c r="A583" s="5" t="s">
        <v>1100</v>
      </c>
      <c r="B583" s="5" t="s">
        <v>1101</v>
      </c>
      <c r="C583" s="5" t="s">
        <v>13</v>
      </c>
      <c r="D583" s="5" t="s">
        <v>1064</v>
      </c>
      <c r="E583" s="5" t="s">
        <v>144</v>
      </c>
      <c r="F583" s="5" t="s">
        <v>137</v>
      </c>
      <c r="G583" s="5" t="s">
        <v>137</v>
      </c>
      <c r="H583" s="5" t="s">
        <v>18</v>
      </c>
      <c r="I583" s="18" t="s">
        <v>10502</v>
      </c>
    </row>
    <row r="584">
      <c r="A584" s="5" t="s">
        <v>1084</v>
      </c>
      <c r="B584" s="5" t="s">
        <v>1103</v>
      </c>
      <c r="C584" s="5" t="s">
        <v>13</v>
      </c>
      <c r="D584" s="5" t="s">
        <v>1064</v>
      </c>
      <c r="E584" s="5" t="s">
        <v>848</v>
      </c>
      <c r="F584" s="5" t="s">
        <v>137</v>
      </c>
      <c r="G584" s="5" t="s">
        <v>137</v>
      </c>
      <c r="H584" s="5" t="s">
        <v>18</v>
      </c>
      <c r="I584" s="17" t="s">
        <v>10503</v>
      </c>
    </row>
    <row r="585">
      <c r="A585" s="5" t="s">
        <v>1067</v>
      </c>
      <c r="B585" s="5" t="s">
        <v>25</v>
      </c>
      <c r="C585" s="5" t="s">
        <v>13</v>
      </c>
      <c r="D585" s="5" t="s">
        <v>1064</v>
      </c>
      <c r="E585" s="5" t="s">
        <v>1105</v>
      </c>
      <c r="F585" s="5" t="s">
        <v>137</v>
      </c>
      <c r="G585" s="5" t="s">
        <v>137</v>
      </c>
      <c r="H585" s="5" t="s">
        <v>18</v>
      </c>
      <c r="I585" s="7" t="s">
        <v>1106</v>
      </c>
    </row>
    <row r="586">
      <c r="A586" s="5" t="s">
        <v>1107</v>
      </c>
      <c r="B586" s="5" t="s">
        <v>1108</v>
      </c>
      <c r="C586" s="5" t="s">
        <v>13</v>
      </c>
      <c r="D586" s="5" t="s">
        <v>1064</v>
      </c>
      <c r="E586" s="5" t="s">
        <v>512</v>
      </c>
      <c r="F586" s="5" t="s">
        <v>137</v>
      </c>
      <c r="G586" s="5" t="s">
        <v>137</v>
      </c>
      <c r="H586" s="5" t="s">
        <v>18</v>
      </c>
      <c r="I586" s="17" t="s">
        <v>10504</v>
      </c>
    </row>
    <row r="587">
      <c r="A587" s="5" t="s">
        <v>1110</v>
      </c>
      <c r="B587" s="5" t="s">
        <v>1111</v>
      </c>
      <c r="C587" s="5" t="s">
        <v>13</v>
      </c>
      <c r="D587" s="5" t="s">
        <v>1064</v>
      </c>
      <c r="E587" s="5" t="s">
        <v>712</v>
      </c>
      <c r="F587" s="5" t="s">
        <v>137</v>
      </c>
      <c r="G587" s="5" t="s">
        <v>137</v>
      </c>
      <c r="H587" s="5" t="s">
        <v>18</v>
      </c>
      <c r="I587" s="17" t="s">
        <v>10505</v>
      </c>
    </row>
    <row r="588">
      <c r="A588" s="5" t="s">
        <v>1113</v>
      </c>
      <c r="B588" s="5" t="s">
        <v>1114</v>
      </c>
      <c r="C588" s="5" t="s">
        <v>13</v>
      </c>
      <c r="D588" s="5" t="s">
        <v>1064</v>
      </c>
      <c r="E588" s="5" t="s">
        <v>222</v>
      </c>
      <c r="F588" s="5" t="s">
        <v>137</v>
      </c>
      <c r="G588" s="5" t="s">
        <v>137</v>
      </c>
      <c r="H588" s="5" t="s">
        <v>18</v>
      </c>
      <c r="I588" s="7" t="s">
        <v>10506</v>
      </c>
    </row>
    <row r="589">
      <c r="A589" s="5" t="s">
        <v>1116</v>
      </c>
      <c r="B589" s="5" t="s">
        <v>1117</v>
      </c>
      <c r="C589" s="5" t="s">
        <v>13</v>
      </c>
      <c r="D589" s="5" t="s">
        <v>1064</v>
      </c>
      <c r="E589" s="5" t="s">
        <v>29</v>
      </c>
      <c r="F589" s="5" t="s">
        <v>137</v>
      </c>
      <c r="G589" s="5" t="s">
        <v>137</v>
      </c>
      <c r="H589" s="5" t="s">
        <v>18</v>
      </c>
      <c r="I589" s="7" t="s">
        <v>10507</v>
      </c>
    </row>
    <row r="590">
      <c r="A590" s="5" t="s">
        <v>1119</v>
      </c>
      <c r="B590" s="5" t="s">
        <v>1120</v>
      </c>
      <c r="C590" s="5" t="s">
        <v>13</v>
      </c>
      <c r="D590" s="5" t="s">
        <v>1064</v>
      </c>
      <c r="E590" s="5" t="s">
        <v>441</v>
      </c>
      <c r="F590" s="5" t="s">
        <v>137</v>
      </c>
      <c r="G590" s="5" t="s">
        <v>137</v>
      </c>
      <c r="H590" s="5" t="s">
        <v>18</v>
      </c>
      <c r="I590" s="18" t="s">
        <v>10508</v>
      </c>
    </row>
    <row r="591">
      <c r="A591" s="5" t="s">
        <v>1122</v>
      </c>
      <c r="B591" s="5" t="s">
        <v>1101</v>
      </c>
      <c r="C591" s="5" t="s">
        <v>13</v>
      </c>
      <c r="D591" s="5" t="s">
        <v>1064</v>
      </c>
      <c r="E591" s="5" t="s">
        <v>1123</v>
      </c>
      <c r="F591" s="5" t="s">
        <v>137</v>
      </c>
      <c r="G591" s="5" t="s">
        <v>137</v>
      </c>
      <c r="H591" s="5" t="s">
        <v>18</v>
      </c>
      <c r="I591" s="18" t="s">
        <v>10509</v>
      </c>
    </row>
    <row r="592">
      <c r="A592" s="5" t="s">
        <v>1125</v>
      </c>
      <c r="B592" s="5" t="s">
        <v>511</v>
      </c>
      <c r="C592" s="5" t="s">
        <v>13</v>
      </c>
      <c r="D592" s="5" t="s">
        <v>1064</v>
      </c>
      <c r="E592" s="5" t="s">
        <v>421</v>
      </c>
      <c r="F592" s="5" t="s">
        <v>137</v>
      </c>
      <c r="G592" s="5" t="s">
        <v>137</v>
      </c>
      <c r="H592" s="5" t="s">
        <v>18</v>
      </c>
      <c r="I592" s="18" t="s">
        <v>10510</v>
      </c>
    </row>
    <row r="593">
      <c r="A593" s="5" t="s">
        <v>1127</v>
      </c>
      <c r="B593" s="5" t="s">
        <v>1128</v>
      </c>
      <c r="C593" s="5" t="s">
        <v>13</v>
      </c>
      <c r="D593" s="5" t="s">
        <v>1064</v>
      </c>
      <c r="E593" s="5" t="s">
        <v>694</v>
      </c>
      <c r="F593" s="5" t="s">
        <v>137</v>
      </c>
      <c r="G593" s="5" t="s">
        <v>137</v>
      </c>
      <c r="H593" s="5" t="s">
        <v>18</v>
      </c>
      <c r="I593" s="7" t="s">
        <v>1129</v>
      </c>
    </row>
    <row r="594">
      <c r="A594" s="5" t="s">
        <v>1130</v>
      </c>
      <c r="B594" s="5" t="s">
        <v>25</v>
      </c>
      <c r="C594" s="5" t="s">
        <v>13</v>
      </c>
      <c r="D594" s="5" t="s">
        <v>1064</v>
      </c>
      <c r="E594" s="5" t="s">
        <v>585</v>
      </c>
      <c r="F594" s="5" t="s">
        <v>1131</v>
      </c>
      <c r="G594" s="5" t="s">
        <v>203</v>
      </c>
      <c r="H594" s="5" t="s">
        <v>18</v>
      </c>
      <c r="I594" s="7" t="s">
        <v>1132</v>
      </c>
    </row>
    <row r="595">
      <c r="A595" s="5" t="s">
        <v>1133</v>
      </c>
      <c r="B595" s="5" t="s">
        <v>25</v>
      </c>
      <c r="C595" s="5" t="s">
        <v>13</v>
      </c>
      <c r="D595" s="5" t="s">
        <v>1064</v>
      </c>
      <c r="E595" s="5" t="s">
        <v>1134</v>
      </c>
      <c r="F595" s="5" t="s">
        <v>1135</v>
      </c>
      <c r="G595" s="5" t="s">
        <v>96</v>
      </c>
      <c r="H595" s="5" t="s">
        <v>18</v>
      </c>
      <c r="I595" s="7" t="s">
        <v>1136</v>
      </c>
    </row>
    <row r="596">
      <c r="A596" s="5" t="s">
        <v>1137</v>
      </c>
      <c r="B596" s="5" t="s">
        <v>1138</v>
      </c>
      <c r="C596" s="5" t="s">
        <v>13</v>
      </c>
      <c r="D596" s="5" t="s">
        <v>1139</v>
      </c>
      <c r="E596" s="5" t="s">
        <v>149</v>
      </c>
      <c r="F596" s="5" t="s">
        <v>833</v>
      </c>
      <c r="G596" s="5" t="s">
        <v>203</v>
      </c>
      <c r="H596" s="5" t="s">
        <v>18</v>
      </c>
      <c r="I596" s="7" t="s">
        <v>1140</v>
      </c>
    </row>
    <row r="597">
      <c r="A597" s="5" t="s">
        <v>1141</v>
      </c>
      <c r="B597" s="5" t="s">
        <v>110</v>
      </c>
      <c r="C597" s="5" t="s">
        <v>13</v>
      </c>
      <c r="D597" s="5" t="s">
        <v>1139</v>
      </c>
      <c r="E597" s="5" t="s">
        <v>421</v>
      </c>
      <c r="F597" s="5" t="s">
        <v>833</v>
      </c>
      <c r="G597" s="5" t="s">
        <v>203</v>
      </c>
      <c r="H597" s="5" t="s">
        <v>18</v>
      </c>
      <c r="I597" s="7" t="s">
        <v>1142</v>
      </c>
    </row>
    <row r="598">
      <c r="A598" s="5" t="s">
        <v>1143</v>
      </c>
      <c r="B598" s="5" t="s">
        <v>1144</v>
      </c>
      <c r="C598" s="5" t="s">
        <v>13</v>
      </c>
      <c r="D598" s="5" t="s">
        <v>1139</v>
      </c>
      <c r="E598" s="5" t="s">
        <v>351</v>
      </c>
      <c r="F598" s="5" t="s">
        <v>876</v>
      </c>
      <c r="G598" s="5" t="s">
        <v>184</v>
      </c>
      <c r="H598" s="5" t="s">
        <v>18</v>
      </c>
      <c r="I598" s="17" t="s">
        <v>10511</v>
      </c>
    </row>
    <row r="599">
      <c r="A599" s="5" t="s">
        <v>1146</v>
      </c>
      <c r="B599" s="5" t="s">
        <v>1147</v>
      </c>
      <c r="C599" s="5" t="s">
        <v>13</v>
      </c>
      <c r="D599" s="5" t="s">
        <v>1139</v>
      </c>
      <c r="E599" s="5" t="s">
        <v>1148</v>
      </c>
      <c r="F599" s="5" t="s">
        <v>1131</v>
      </c>
      <c r="G599" s="5" t="s">
        <v>203</v>
      </c>
      <c r="H599" s="5" t="s">
        <v>18</v>
      </c>
      <c r="I599" s="7" t="s">
        <v>1149</v>
      </c>
    </row>
    <row r="600">
      <c r="A600" s="5" t="s">
        <v>6655</v>
      </c>
      <c r="B600" s="5" t="s">
        <v>6656</v>
      </c>
      <c r="D600" s="5" t="s">
        <v>1151</v>
      </c>
      <c r="E600" s="5" t="s">
        <v>4799</v>
      </c>
      <c r="F600" s="5" t="s">
        <v>6577</v>
      </c>
      <c r="G600" s="5" t="s">
        <v>4757</v>
      </c>
      <c r="H600" s="5" t="s">
        <v>4607</v>
      </c>
      <c r="I600" s="7" t="s">
        <v>6654</v>
      </c>
    </row>
    <row r="601">
      <c r="A601" s="5" t="s">
        <v>1150</v>
      </c>
      <c r="B601" s="5" t="s">
        <v>110</v>
      </c>
      <c r="C601" s="5" t="s">
        <v>13</v>
      </c>
      <c r="D601" s="5" t="s">
        <v>1151</v>
      </c>
      <c r="E601" s="5" t="s">
        <v>1089</v>
      </c>
      <c r="F601" s="5" t="s">
        <v>1152</v>
      </c>
      <c r="G601" s="5" t="s">
        <v>38</v>
      </c>
      <c r="H601" s="5" t="s">
        <v>18</v>
      </c>
      <c r="I601" s="7" t="s">
        <v>1153</v>
      </c>
    </row>
    <row r="602">
      <c r="A602" s="5" t="s">
        <v>1154</v>
      </c>
      <c r="B602" s="5" t="s">
        <v>1155</v>
      </c>
      <c r="C602" s="5" t="s">
        <v>13</v>
      </c>
      <c r="D602" s="5" t="s">
        <v>1151</v>
      </c>
      <c r="E602" s="5" t="s">
        <v>60</v>
      </c>
      <c r="F602" s="5" t="s">
        <v>833</v>
      </c>
      <c r="G602" s="5" t="s">
        <v>203</v>
      </c>
      <c r="H602" s="5" t="s">
        <v>18</v>
      </c>
      <c r="I602" s="17" t="s">
        <v>10512</v>
      </c>
    </row>
    <row r="603">
      <c r="A603" s="5" t="s">
        <v>1157</v>
      </c>
      <c r="B603" s="5" t="s">
        <v>1158</v>
      </c>
      <c r="C603" s="5" t="s">
        <v>13</v>
      </c>
      <c r="D603" s="5" t="s">
        <v>1151</v>
      </c>
      <c r="E603" s="5" t="s">
        <v>430</v>
      </c>
      <c r="F603" s="5" t="s">
        <v>64</v>
      </c>
      <c r="G603" s="5" t="s">
        <v>65</v>
      </c>
      <c r="H603" s="5" t="s">
        <v>18</v>
      </c>
      <c r="I603" s="18" t="s">
        <v>10513</v>
      </c>
    </row>
    <row r="604">
      <c r="A604" s="5" t="s">
        <v>1160</v>
      </c>
      <c r="B604" s="5" t="s">
        <v>404</v>
      </c>
      <c r="C604" s="5" t="s">
        <v>13</v>
      </c>
      <c r="D604" s="5" t="s">
        <v>1161</v>
      </c>
      <c r="E604" s="5" t="s">
        <v>136</v>
      </c>
      <c r="F604" s="5" t="s">
        <v>16</v>
      </c>
      <c r="G604" s="5" t="s">
        <v>17</v>
      </c>
      <c r="H604" s="5" t="s">
        <v>18</v>
      </c>
      <c r="I604" s="7" t="s">
        <v>1162</v>
      </c>
    </row>
    <row r="605">
      <c r="A605" s="5" t="s">
        <v>1163</v>
      </c>
      <c r="B605" s="5" t="s">
        <v>1164</v>
      </c>
      <c r="C605" s="5" t="s">
        <v>13</v>
      </c>
      <c r="D605" s="5" t="s">
        <v>1161</v>
      </c>
      <c r="E605" s="5" t="s">
        <v>84</v>
      </c>
      <c r="F605" s="5" t="s">
        <v>16</v>
      </c>
      <c r="G605" s="5" t="s">
        <v>17</v>
      </c>
      <c r="H605" s="5" t="s">
        <v>18</v>
      </c>
      <c r="I605" s="7" t="s">
        <v>1165</v>
      </c>
    </row>
    <row r="606">
      <c r="A606" s="5" t="s">
        <v>1166</v>
      </c>
      <c r="B606" s="5" t="s">
        <v>1167</v>
      </c>
      <c r="C606" s="5" t="s">
        <v>13</v>
      </c>
      <c r="D606" s="5" t="s">
        <v>1161</v>
      </c>
      <c r="E606" s="5" t="s">
        <v>283</v>
      </c>
      <c r="F606" s="5" t="s">
        <v>153</v>
      </c>
      <c r="G606" s="5" t="s">
        <v>154</v>
      </c>
      <c r="H606" s="5" t="s">
        <v>18</v>
      </c>
      <c r="I606" s="7" t="s">
        <v>1168</v>
      </c>
    </row>
    <row r="607">
      <c r="A607" s="5" t="s">
        <v>1169</v>
      </c>
      <c r="B607" s="5" t="s">
        <v>1170</v>
      </c>
      <c r="C607" s="5" t="s">
        <v>13</v>
      </c>
      <c r="D607" s="5" t="s">
        <v>1161</v>
      </c>
      <c r="E607" s="5" t="s">
        <v>217</v>
      </c>
      <c r="F607" s="5" t="s">
        <v>153</v>
      </c>
      <c r="G607" s="5" t="s">
        <v>154</v>
      </c>
      <c r="H607" s="5" t="s">
        <v>18</v>
      </c>
      <c r="I607" s="17" t="s">
        <v>10514</v>
      </c>
    </row>
    <row r="608">
      <c r="A608" s="5" t="s">
        <v>1166</v>
      </c>
      <c r="B608" s="5" t="s">
        <v>1172</v>
      </c>
      <c r="C608" s="5" t="s">
        <v>13</v>
      </c>
      <c r="D608" s="5" t="s">
        <v>1161</v>
      </c>
      <c r="E608" s="5" t="s">
        <v>523</v>
      </c>
      <c r="F608" s="5" t="s">
        <v>153</v>
      </c>
      <c r="G608" s="5" t="s">
        <v>154</v>
      </c>
      <c r="H608" s="5" t="s">
        <v>18</v>
      </c>
      <c r="I608" s="7" t="s">
        <v>1173</v>
      </c>
    </row>
    <row r="609">
      <c r="A609" s="5" t="s">
        <v>1174</v>
      </c>
      <c r="B609" s="5" t="s">
        <v>1175</v>
      </c>
      <c r="C609" s="5" t="s">
        <v>13</v>
      </c>
      <c r="D609" s="5" t="s">
        <v>1161</v>
      </c>
      <c r="E609" s="5" t="s">
        <v>165</v>
      </c>
      <c r="F609" s="5" t="s">
        <v>153</v>
      </c>
      <c r="G609" s="5" t="s">
        <v>154</v>
      </c>
      <c r="H609" s="5" t="s">
        <v>18</v>
      </c>
      <c r="I609" s="7" t="s">
        <v>1176</v>
      </c>
    </row>
    <row r="610">
      <c r="A610" s="5" t="s">
        <v>1177</v>
      </c>
      <c r="B610" s="5" t="s">
        <v>404</v>
      </c>
      <c r="C610" s="5" t="s">
        <v>13</v>
      </c>
      <c r="D610" s="5" t="s">
        <v>1161</v>
      </c>
      <c r="E610" s="5" t="s">
        <v>686</v>
      </c>
      <c r="F610" s="5" t="s">
        <v>153</v>
      </c>
      <c r="G610" s="5" t="s">
        <v>154</v>
      </c>
      <c r="H610" s="5" t="s">
        <v>18</v>
      </c>
      <c r="I610" s="7" t="s">
        <v>1178</v>
      </c>
    </row>
    <row r="611">
      <c r="A611" s="5" t="s">
        <v>1179</v>
      </c>
      <c r="B611" s="5" t="s">
        <v>1180</v>
      </c>
      <c r="C611" s="5" t="s">
        <v>4</v>
      </c>
      <c r="D611" s="5" t="s">
        <v>1161</v>
      </c>
      <c r="E611" s="5" t="s">
        <v>890</v>
      </c>
      <c r="F611" s="5" t="s">
        <v>153</v>
      </c>
      <c r="G611" s="5" t="s">
        <v>154</v>
      </c>
      <c r="H611" s="5" t="s">
        <v>18</v>
      </c>
      <c r="I611" s="7" t="s">
        <v>1181</v>
      </c>
    </row>
    <row r="612">
      <c r="A612" s="5" t="s">
        <v>1182</v>
      </c>
      <c r="B612" s="5" t="s">
        <v>1183</v>
      </c>
      <c r="C612" s="5" t="s">
        <v>13</v>
      </c>
      <c r="D612" s="5" t="s">
        <v>1161</v>
      </c>
      <c r="E612" s="5" t="s">
        <v>523</v>
      </c>
      <c r="F612" s="5" t="s">
        <v>153</v>
      </c>
      <c r="G612" s="5" t="s">
        <v>154</v>
      </c>
      <c r="H612" s="5" t="s">
        <v>18</v>
      </c>
      <c r="I612" s="7" t="s">
        <v>1184</v>
      </c>
    </row>
    <row r="613">
      <c r="A613" s="5" t="s">
        <v>6840</v>
      </c>
      <c r="B613" s="5" t="s">
        <v>6841</v>
      </c>
      <c r="D613" s="5" t="s">
        <v>1186</v>
      </c>
      <c r="E613" s="5" t="s">
        <v>3110</v>
      </c>
      <c r="F613" s="5" t="s">
        <v>6577</v>
      </c>
      <c r="G613" s="5" t="s">
        <v>4757</v>
      </c>
      <c r="H613" s="5" t="s">
        <v>4607</v>
      </c>
      <c r="I613" s="7" t="s">
        <v>6839</v>
      </c>
    </row>
    <row r="614">
      <c r="A614" s="5" t="s">
        <v>6878</v>
      </c>
      <c r="B614" s="5" t="s">
        <v>25</v>
      </c>
      <c r="D614" s="5" t="s">
        <v>1186</v>
      </c>
      <c r="E614" s="5" t="s">
        <v>121</v>
      </c>
      <c r="F614" s="5" t="s">
        <v>6577</v>
      </c>
      <c r="G614" s="5" t="s">
        <v>4757</v>
      </c>
      <c r="H614" s="5" t="s">
        <v>4607</v>
      </c>
      <c r="I614" s="7" t="s">
        <v>6877</v>
      </c>
    </row>
    <row r="615">
      <c r="A615" s="5" t="s">
        <v>9736</v>
      </c>
      <c r="B615" s="5" t="s">
        <v>9737</v>
      </c>
      <c r="D615" s="5" t="s">
        <v>1186</v>
      </c>
      <c r="E615" s="5" t="s">
        <v>1676</v>
      </c>
      <c r="F615" s="5" t="s">
        <v>6577</v>
      </c>
      <c r="G615" s="5" t="s">
        <v>4757</v>
      </c>
      <c r="H615" s="5" t="s">
        <v>4607</v>
      </c>
      <c r="I615" s="17" t="s">
        <v>10515</v>
      </c>
    </row>
    <row r="616">
      <c r="A616" s="5" t="s">
        <v>1185</v>
      </c>
      <c r="B616" s="5" t="s">
        <v>25</v>
      </c>
      <c r="C616" s="5" t="s">
        <v>13</v>
      </c>
      <c r="D616" s="5" t="s">
        <v>1186</v>
      </c>
      <c r="F616" s="5" t="s">
        <v>1187</v>
      </c>
      <c r="G616" s="5" t="s">
        <v>96</v>
      </c>
      <c r="H616" s="5" t="s">
        <v>18</v>
      </c>
      <c r="I616" s="7" t="s">
        <v>1188</v>
      </c>
    </row>
    <row r="617">
      <c r="A617" s="5" t="s">
        <v>1189</v>
      </c>
      <c r="B617" s="5" t="s">
        <v>1190</v>
      </c>
      <c r="C617" s="5" t="s">
        <v>13</v>
      </c>
      <c r="D617" s="5" t="s">
        <v>1186</v>
      </c>
      <c r="E617" s="5" t="s">
        <v>241</v>
      </c>
      <c r="F617" s="5" t="s">
        <v>137</v>
      </c>
      <c r="G617" s="5" t="s">
        <v>137</v>
      </c>
      <c r="H617" s="5" t="s">
        <v>18</v>
      </c>
      <c r="I617" s="17" t="s">
        <v>10516</v>
      </c>
    </row>
    <row r="618">
      <c r="A618" s="5" t="s">
        <v>1192</v>
      </c>
      <c r="B618" s="5" t="s">
        <v>1193</v>
      </c>
      <c r="C618" s="5" t="s">
        <v>13</v>
      </c>
      <c r="D618" s="5" t="s">
        <v>1186</v>
      </c>
      <c r="E618" s="5" t="s">
        <v>1194</v>
      </c>
      <c r="F618" s="5" t="s">
        <v>137</v>
      </c>
      <c r="G618" s="5" t="s">
        <v>137</v>
      </c>
      <c r="H618" s="5" t="s">
        <v>18</v>
      </c>
      <c r="I618" s="7" t="s">
        <v>1195</v>
      </c>
    </row>
    <row r="619">
      <c r="A619" s="5" t="s">
        <v>1196</v>
      </c>
      <c r="B619" s="5" t="s">
        <v>1197</v>
      </c>
      <c r="C619" s="5" t="s">
        <v>13</v>
      </c>
      <c r="D619" s="5" t="s">
        <v>1186</v>
      </c>
      <c r="E619" s="5" t="s">
        <v>512</v>
      </c>
      <c r="F619" s="5" t="s">
        <v>137</v>
      </c>
      <c r="G619" s="5" t="s">
        <v>137</v>
      </c>
      <c r="H619" s="5" t="s">
        <v>18</v>
      </c>
      <c r="I619" s="7" t="s">
        <v>10517</v>
      </c>
    </row>
    <row r="620">
      <c r="A620" s="5" t="s">
        <v>1199</v>
      </c>
      <c r="B620" s="5" t="s">
        <v>1200</v>
      </c>
      <c r="C620" s="5" t="s">
        <v>13</v>
      </c>
      <c r="D620" s="5" t="s">
        <v>1186</v>
      </c>
      <c r="E620" s="5" t="s">
        <v>666</v>
      </c>
      <c r="F620" s="5" t="s">
        <v>137</v>
      </c>
      <c r="G620" s="5" t="s">
        <v>137</v>
      </c>
      <c r="H620" s="5" t="s">
        <v>18</v>
      </c>
      <c r="I620" s="17" t="s">
        <v>10518</v>
      </c>
    </row>
    <row r="621">
      <c r="A621" s="5" t="s">
        <v>1202</v>
      </c>
      <c r="B621" s="5" t="s">
        <v>25</v>
      </c>
      <c r="C621" s="5" t="s">
        <v>13</v>
      </c>
      <c r="D621" s="5" t="s">
        <v>1186</v>
      </c>
      <c r="E621" s="5" t="s">
        <v>697</v>
      </c>
      <c r="F621" s="5" t="s">
        <v>137</v>
      </c>
      <c r="G621" s="5" t="s">
        <v>137</v>
      </c>
      <c r="H621" s="5" t="s">
        <v>18</v>
      </c>
      <c r="I621" s="7" t="s">
        <v>1203</v>
      </c>
    </row>
    <row r="622">
      <c r="A622" s="5" t="s">
        <v>1204</v>
      </c>
      <c r="B622" s="5" t="s">
        <v>25</v>
      </c>
      <c r="C622" s="5" t="s">
        <v>13</v>
      </c>
      <c r="D622" s="5" t="s">
        <v>1186</v>
      </c>
      <c r="E622" s="5" t="s">
        <v>144</v>
      </c>
      <c r="F622" s="5" t="s">
        <v>801</v>
      </c>
      <c r="G622" s="5" t="s">
        <v>50</v>
      </c>
      <c r="H622" s="5" t="s">
        <v>18</v>
      </c>
      <c r="I622" s="7" t="s">
        <v>1205</v>
      </c>
    </row>
    <row r="623">
      <c r="A623" s="5" t="s">
        <v>6606</v>
      </c>
      <c r="B623" s="5" t="s">
        <v>6607</v>
      </c>
      <c r="D623" s="5" t="s">
        <v>6608</v>
      </c>
      <c r="E623" s="5" t="s">
        <v>441</v>
      </c>
      <c r="F623" s="5" t="s">
        <v>6577</v>
      </c>
      <c r="G623" s="5" t="s">
        <v>4757</v>
      </c>
      <c r="H623" s="5" t="s">
        <v>4607</v>
      </c>
      <c r="I623" s="7" t="s">
        <v>6605</v>
      </c>
    </row>
    <row r="624">
      <c r="A624" s="5" t="s">
        <v>1206</v>
      </c>
      <c r="B624" s="5" t="s">
        <v>25</v>
      </c>
      <c r="C624" s="5" t="s">
        <v>13</v>
      </c>
      <c r="D624" s="5" t="s">
        <v>1207</v>
      </c>
      <c r="E624" s="5" t="s">
        <v>48</v>
      </c>
      <c r="F624" s="5" t="s">
        <v>64</v>
      </c>
      <c r="G624" s="5" t="s">
        <v>65</v>
      </c>
      <c r="H624" s="5" t="s">
        <v>18</v>
      </c>
      <c r="I624" s="17" t="s">
        <v>10519</v>
      </c>
    </row>
    <row r="625">
      <c r="A625" s="5" t="s">
        <v>1209</v>
      </c>
      <c r="B625" s="5" t="s">
        <v>25</v>
      </c>
      <c r="C625" s="5" t="s">
        <v>13</v>
      </c>
      <c r="D625" s="5" t="s">
        <v>1207</v>
      </c>
      <c r="E625" s="5" t="s">
        <v>182</v>
      </c>
      <c r="F625" s="5" t="s">
        <v>137</v>
      </c>
      <c r="G625" s="5" t="s">
        <v>137</v>
      </c>
      <c r="H625" s="5" t="s">
        <v>18</v>
      </c>
      <c r="I625" s="7" t="s">
        <v>1210</v>
      </c>
    </row>
    <row r="626">
      <c r="A626" s="5" t="s">
        <v>1211</v>
      </c>
      <c r="B626" s="5" t="s">
        <v>1212</v>
      </c>
      <c r="C626" s="5" t="s">
        <v>13</v>
      </c>
      <c r="D626" s="5" t="s">
        <v>1207</v>
      </c>
      <c r="E626" s="5" t="s">
        <v>421</v>
      </c>
      <c r="F626" s="5" t="s">
        <v>166</v>
      </c>
      <c r="G626" s="5" t="s">
        <v>44</v>
      </c>
      <c r="H626" s="5" t="s">
        <v>18</v>
      </c>
      <c r="I626" s="17" t="s">
        <v>10520</v>
      </c>
    </row>
    <row r="627">
      <c r="A627" s="5" t="s">
        <v>1214</v>
      </c>
      <c r="B627" s="5" t="s">
        <v>25</v>
      </c>
      <c r="C627" s="5" t="s">
        <v>13</v>
      </c>
      <c r="D627" s="5" t="s">
        <v>1207</v>
      </c>
      <c r="E627" s="5" t="s">
        <v>36</v>
      </c>
      <c r="F627" s="5" t="s">
        <v>1022</v>
      </c>
      <c r="G627" s="5" t="s">
        <v>264</v>
      </c>
      <c r="H627" s="5" t="s">
        <v>18</v>
      </c>
      <c r="I627" s="7" t="s">
        <v>1215</v>
      </c>
    </row>
    <row r="628">
      <c r="A628" s="5" t="s">
        <v>1216</v>
      </c>
      <c r="B628" s="5" t="s">
        <v>1217</v>
      </c>
      <c r="C628" s="5" t="s">
        <v>13</v>
      </c>
      <c r="D628" s="5" t="s">
        <v>1218</v>
      </c>
      <c r="E628" s="5" t="s">
        <v>15</v>
      </c>
      <c r="F628" s="5" t="s">
        <v>37</v>
      </c>
      <c r="G628" s="5" t="s">
        <v>38</v>
      </c>
      <c r="H628" s="5" t="s">
        <v>18</v>
      </c>
      <c r="I628" s="17" t="s">
        <v>10521</v>
      </c>
    </row>
    <row r="629">
      <c r="A629" s="5" t="s">
        <v>1220</v>
      </c>
      <c r="B629" s="5" t="s">
        <v>1221</v>
      </c>
      <c r="C629" s="5" t="s">
        <v>13</v>
      </c>
      <c r="D629" s="5" t="s">
        <v>1218</v>
      </c>
      <c r="E629" s="5" t="s">
        <v>446</v>
      </c>
      <c r="F629" s="5" t="s">
        <v>377</v>
      </c>
      <c r="G629" s="5" t="s">
        <v>378</v>
      </c>
      <c r="H629" s="5" t="s">
        <v>18</v>
      </c>
      <c r="I629" s="17" t="s">
        <v>10522</v>
      </c>
    </row>
    <row r="630">
      <c r="A630" s="5" t="s">
        <v>1223</v>
      </c>
      <c r="B630" s="5" t="s">
        <v>1224</v>
      </c>
      <c r="C630" s="5" t="s">
        <v>13</v>
      </c>
      <c r="D630" s="5" t="s">
        <v>1218</v>
      </c>
      <c r="E630" s="5" t="s">
        <v>686</v>
      </c>
      <c r="F630" s="5" t="s">
        <v>112</v>
      </c>
      <c r="G630" s="5" t="s">
        <v>38</v>
      </c>
      <c r="H630" s="5" t="s">
        <v>18</v>
      </c>
      <c r="I630" s="7" t="s">
        <v>1225</v>
      </c>
    </row>
    <row r="631">
      <c r="A631" s="5" t="s">
        <v>1226</v>
      </c>
      <c r="B631" s="5" t="s">
        <v>1227</v>
      </c>
      <c r="C631" s="5" t="s">
        <v>13</v>
      </c>
      <c r="D631" s="5" t="s">
        <v>1218</v>
      </c>
      <c r="E631" s="5" t="s">
        <v>192</v>
      </c>
      <c r="F631" s="5" t="s">
        <v>377</v>
      </c>
      <c r="G631" s="5" t="s">
        <v>378</v>
      </c>
      <c r="H631" s="5" t="s">
        <v>18</v>
      </c>
      <c r="I631" s="17" t="s">
        <v>10523</v>
      </c>
    </row>
    <row r="632">
      <c r="A632" s="5" t="s">
        <v>1229</v>
      </c>
      <c r="B632" s="5" t="s">
        <v>413</v>
      </c>
      <c r="C632" s="5" t="s">
        <v>13</v>
      </c>
      <c r="D632" s="5" t="s">
        <v>1218</v>
      </c>
      <c r="E632" s="5" t="s">
        <v>144</v>
      </c>
      <c r="F632" s="5" t="s">
        <v>377</v>
      </c>
      <c r="G632" s="5" t="s">
        <v>378</v>
      </c>
      <c r="H632" s="5" t="s">
        <v>18</v>
      </c>
      <c r="I632" s="17" t="s">
        <v>10524</v>
      </c>
    </row>
    <row r="633">
      <c r="A633" s="5" t="s">
        <v>4673</v>
      </c>
      <c r="B633" s="5" t="s">
        <v>4674</v>
      </c>
      <c r="D633" s="5" t="s">
        <v>1233</v>
      </c>
      <c r="E633" s="5" t="s">
        <v>26</v>
      </c>
      <c r="F633" s="5" t="s">
        <v>183</v>
      </c>
      <c r="G633" s="5" t="s">
        <v>184</v>
      </c>
      <c r="H633" s="5" t="s">
        <v>18</v>
      </c>
      <c r="I633" s="7" t="s">
        <v>4672</v>
      </c>
    </row>
    <row r="634">
      <c r="A634" s="5" t="s">
        <v>4676</v>
      </c>
      <c r="B634" s="5" t="s">
        <v>4677</v>
      </c>
      <c r="D634" s="5" t="s">
        <v>1233</v>
      </c>
      <c r="E634" s="5" t="s">
        <v>48</v>
      </c>
      <c r="F634" s="5" t="s">
        <v>183</v>
      </c>
      <c r="G634" s="5" t="s">
        <v>184</v>
      </c>
      <c r="H634" s="5" t="s">
        <v>18</v>
      </c>
      <c r="I634" s="7" t="s">
        <v>4675</v>
      </c>
    </row>
    <row r="635">
      <c r="A635" s="5" t="s">
        <v>4683</v>
      </c>
      <c r="B635" s="5" t="s">
        <v>1378</v>
      </c>
      <c r="D635" s="5" t="s">
        <v>1233</v>
      </c>
      <c r="E635" s="5" t="s">
        <v>4033</v>
      </c>
      <c r="F635" s="5" t="s">
        <v>183</v>
      </c>
      <c r="G635" s="5" t="s">
        <v>184</v>
      </c>
      <c r="H635" s="5" t="s">
        <v>18</v>
      </c>
      <c r="I635" s="7" t="s">
        <v>4682</v>
      </c>
    </row>
    <row r="636">
      <c r="A636" s="5" t="s">
        <v>4685</v>
      </c>
      <c r="B636" s="5" t="s">
        <v>1378</v>
      </c>
      <c r="D636" s="5" t="s">
        <v>1233</v>
      </c>
      <c r="E636" s="5" t="s">
        <v>182</v>
      </c>
      <c r="F636" s="5" t="s">
        <v>183</v>
      </c>
      <c r="G636" s="5" t="s">
        <v>184</v>
      </c>
      <c r="H636" s="5" t="s">
        <v>18</v>
      </c>
      <c r="I636" s="7" t="s">
        <v>4684</v>
      </c>
    </row>
    <row r="637">
      <c r="A637" s="5" t="s">
        <v>1235</v>
      </c>
      <c r="B637" s="5" t="s">
        <v>371</v>
      </c>
      <c r="D637" s="5" t="s">
        <v>1233</v>
      </c>
      <c r="E637" s="5" t="s">
        <v>192</v>
      </c>
      <c r="F637" s="5" t="s">
        <v>183</v>
      </c>
      <c r="G637" s="5" t="s">
        <v>184</v>
      </c>
      <c r="H637" s="5" t="s">
        <v>18</v>
      </c>
      <c r="I637" s="7" t="s">
        <v>4686</v>
      </c>
    </row>
    <row r="638">
      <c r="A638" s="5" t="s">
        <v>1237</v>
      </c>
      <c r="B638" s="5" t="s">
        <v>371</v>
      </c>
      <c r="D638" s="5" t="s">
        <v>1233</v>
      </c>
      <c r="E638" s="5" t="s">
        <v>144</v>
      </c>
      <c r="F638" s="5" t="s">
        <v>183</v>
      </c>
      <c r="G638" s="5" t="s">
        <v>184</v>
      </c>
      <c r="H638" s="5" t="s">
        <v>18</v>
      </c>
      <c r="I638" s="7" t="s">
        <v>4687</v>
      </c>
    </row>
    <row r="639">
      <c r="A639" s="5" t="s">
        <v>1242</v>
      </c>
      <c r="B639" s="5" t="s">
        <v>1243</v>
      </c>
      <c r="D639" s="5" t="s">
        <v>1233</v>
      </c>
      <c r="E639" s="5" t="s">
        <v>1244</v>
      </c>
      <c r="F639" s="5" t="s">
        <v>16</v>
      </c>
      <c r="G639" s="5" t="s">
        <v>17</v>
      </c>
      <c r="H639" s="5" t="s">
        <v>18</v>
      </c>
      <c r="I639" s="7" t="s">
        <v>4688</v>
      </c>
    </row>
    <row r="640">
      <c r="A640" s="5" t="s">
        <v>4690</v>
      </c>
      <c r="B640" s="5" t="s">
        <v>4674</v>
      </c>
      <c r="D640" s="5" t="s">
        <v>1233</v>
      </c>
      <c r="E640" s="5" t="s">
        <v>192</v>
      </c>
      <c r="F640" s="5" t="s">
        <v>16</v>
      </c>
      <c r="G640" s="5" t="s">
        <v>17</v>
      </c>
      <c r="H640" s="5" t="s">
        <v>18</v>
      </c>
      <c r="I640" s="7" t="s">
        <v>4689</v>
      </c>
    </row>
    <row r="641">
      <c r="A641" s="5" t="s">
        <v>4692</v>
      </c>
      <c r="B641" s="5" t="s">
        <v>1378</v>
      </c>
      <c r="D641" s="5" t="s">
        <v>1233</v>
      </c>
      <c r="E641" s="5" t="s">
        <v>207</v>
      </c>
      <c r="F641" s="5" t="s">
        <v>16</v>
      </c>
      <c r="G641" s="5" t="s">
        <v>17</v>
      </c>
      <c r="H641" s="5" t="s">
        <v>18</v>
      </c>
      <c r="I641" s="7" t="s">
        <v>4691</v>
      </c>
    </row>
    <row r="642">
      <c r="A642" s="5" t="s">
        <v>4694</v>
      </c>
      <c r="B642" s="5" t="s">
        <v>4695</v>
      </c>
      <c r="D642" s="5" t="s">
        <v>1233</v>
      </c>
      <c r="E642" s="5" t="s">
        <v>512</v>
      </c>
      <c r="F642" s="5" t="s">
        <v>16</v>
      </c>
      <c r="G642" s="5" t="s">
        <v>17</v>
      </c>
      <c r="H642" s="5" t="s">
        <v>18</v>
      </c>
      <c r="I642" s="7" t="s">
        <v>4693</v>
      </c>
    </row>
    <row r="643">
      <c r="A643" s="5" t="s">
        <v>4697</v>
      </c>
      <c r="B643" s="5" t="s">
        <v>4674</v>
      </c>
      <c r="D643" s="5" t="s">
        <v>1233</v>
      </c>
      <c r="E643" s="5" t="s">
        <v>192</v>
      </c>
      <c r="F643" s="5" t="s">
        <v>16</v>
      </c>
      <c r="G643" s="5" t="s">
        <v>17</v>
      </c>
      <c r="H643" s="5" t="s">
        <v>18</v>
      </c>
      <c r="I643" s="7" t="s">
        <v>4696</v>
      </c>
    </row>
    <row r="644">
      <c r="A644" s="5" t="s">
        <v>4703</v>
      </c>
      <c r="B644" s="5" t="s">
        <v>1378</v>
      </c>
      <c r="D644" s="5" t="s">
        <v>1233</v>
      </c>
      <c r="E644" s="5" t="s">
        <v>441</v>
      </c>
      <c r="F644" s="5" t="s">
        <v>16</v>
      </c>
      <c r="G644" s="5" t="s">
        <v>17</v>
      </c>
      <c r="H644" s="5" t="s">
        <v>18</v>
      </c>
      <c r="I644" s="7" t="s">
        <v>4702</v>
      </c>
    </row>
    <row r="645">
      <c r="A645" s="5" t="s">
        <v>4708</v>
      </c>
      <c r="B645" s="5" t="s">
        <v>4709</v>
      </c>
      <c r="D645" s="5" t="s">
        <v>1233</v>
      </c>
      <c r="E645" s="5" t="s">
        <v>228</v>
      </c>
      <c r="F645" s="5" t="s">
        <v>16</v>
      </c>
      <c r="G645" s="5" t="s">
        <v>17</v>
      </c>
      <c r="H645" s="5" t="s">
        <v>18</v>
      </c>
      <c r="I645" s="7" t="s">
        <v>4707</v>
      </c>
    </row>
    <row r="646">
      <c r="A646" s="5" t="s">
        <v>4711</v>
      </c>
      <c r="B646" s="5" t="s">
        <v>4709</v>
      </c>
      <c r="D646" s="5" t="s">
        <v>1233</v>
      </c>
      <c r="E646" s="5" t="s">
        <v>192</v>
      </c>
      <c r="F646" s="5" t="s">
        <v>16</v>
      </c>
      <c r="G646" s="5" t="s">
        <v>17</v>
      </c>
      <c r="H646" s="5" t="s">
        <v>18</v>
      </c>
      <c r="I646" s="7" t="s">
        <v>4710</v>
      </c>
    </row>
    <row r="647">
      <c r="A647" s="5" t="s">
        <v>1248</v>
      </c>
      <c r="B647" s="5" t="s">
        <v>32</v>
      </c>
      <c r="D647" s="5" t="s">
        <v>1233</v>
      </c>
      <c r="E647" s="5" t="s">
        <v>1249</v>
      </c>
      <c r="F647" s="5" t="s">
        <v>16</v>
      </c>
      <c r="G647" s="5" t="s">
        <v>17</v>
      </c>
      <c r="H647" s="5" t="s">
        <v>18</v>
      </c>
      <c r="I647" s="7" t="s">
        <v>4736</v>
      </c>
    </row>
    <row r="648">
      <c r="A648" s="5" t="s">
        <v>4748</v>
      </c>
      <c r="B648" s="5" t="s">
        <v>4749</v>
      </c>
      <c r="D648" s="5" t="s">
        <v>1233</v>
      </c>
      <c r="E648" s="5" t="s">
        <v>29</v>
      </c>
      <c r="F648" s="5" t="s">
        <v>16</v>
      </c>
      <c r="G648" s="5" t="s">
        <v>17</v>
      </c>
      <c r="H648" s="5" t="s">
        <v>18</v>
      </c>
      <c r="I648" s="7" t="s">
        <v>4747</v>
      </c>
    </row>
    <row r="649">
      <c r="A649" s="5" t="s">
        <v>4763</v>
      </c>
      <c r="B649" s="5" t="s">
        <v>1378</v>
      </c>
      <c r="D649" s="5" t="s">
        <v>1233</v>
      </c>
      <c r="E649" s="5" t="s">
        <v>651</v>
      </c>
      <c r="F649" s="5" t="s">
        <v>37</v>
      </c>
      <c r="G649" s="5" t="s">
        <v>38</v>
      </c>
      <c r="H649" s="5" t="s">
        <v>18</v>
      </c>
      <c r="I649" s="7" t="s">
        <v>4762</v>
      </c>
    </row>
    <row r="650">
      <c r="A650" s="5" t="s">
        <v>4768</v>
      </c>
      <c r="B650" s="5" t="s">
        <v>4709</v>
      </c>
      <c r="D650" s="5" t="s">
        <v>1233</v>
      </c>
      <c r="E650" s="5" t="s">
        <v>1289</v>
      </c>
      <c r="F650" s="5" t="s">
        <v>37</v>
      </c>
      <c r="G650" s="5" t="s">
        <v>38</v>
      </c>
      <c r="H650" s="5" t="s">
        <v>18</v>
      </c>
      <c r="I650" s="7" t="s">
        <v>4767</v>
      </c>
    </row>
    <row r="651">
      <c r="A651" s="5" t="s">
        <v>4842</v>
      </c>
      <c r="B651" s="5" t="s">
        <v>1378</v>
      </c>
      <c r="D651" s="5" t="s">
        <v>1233</v>
      </c>
      <c r="E651" s="5" t="s">
        <v>399</v>
      </c>
      <c r="F651" s="5" t="s">
        <v>377</v>
      </c>
      <c r="G651" s="5" t="s">
        <v>378</v>
      </c>
      <c r="H651" s="5" t="s">
        <v>18</v>
      </c>
      <c r="I651" s="7" t="s">
        <v>4841</v>
      </c>
    </row>
    <row r="652">
      <c r="A652" s="5" t="s">
        <v>4855</v>
      </c>
      <c r="B652" s="5" t="s">
        <v>4674</v>
      </c>
      <c r="D652" s="5" t="s">
        <v>1233</v>
      </c>
      <c r="E652" s="5" t="s">
        <v>1634</v>
      </c>
      <c r="F652" s="5" t="s">
        <v>377</v>
      </c>
      <c r="G652" s="5" t="s">
        <v>378</v>
      </c>
      <c r="H652" s="5" t="s">
        <v>18</v>
      </c>
      <c r="I652" s="7" t="s">
        <v>4854</v>
      </c>
    </row>
    <row r="653">
      <c r="A653" s="5" t="s">
        <v>4861</v>
      </c>
      <c r="B653" s="5" t="s">
        <v>4677</v>
      </c>
      <c r="D653" s="5" t="s">
        <v>1233</v>
      </c>
      <c r="E653" s="5" t="s">
        <v>192</v>
      </c>
      <c r="F653" s="5" t="s">
        <v>377</v>
      </c>
      <c r="G653" s="5" t="s">
        <v>378</v>
      </c>
      <c r="H653" s="5" t="s">
        <v>18</v>
      </c>
      <c r="I653" s="7" t="s">
        <v>4860</v>
      </c>
    </row>
    <row r="654">
      <c r="A654" s="5" t="s">
        <v>1253</v>
      </c>
      <c r="B654" s="5" t="s">
        <v>1254</v>
      </c>
      <c r="D654" s="5" t="s">
        <v>1233</v>
      </c>
      <c r="E654" s="5" t="s">
        <v>365</v>
      </c>
      <c r="F654" s="5" t="s">
        <v>377</v>
      </c>
      <c r="G654" s="5" t="s">
        <v>378</v>
      </c>
      <c r="H654" s="5" t="s">
        <v>18</v>
      </c>
      <c r="I654" s="17" t="s">
        <v>10525</v>
      </c>
    </row>
    <row r="655">
      <c r="A655" s="5" t="s">
        <v>5110</v>
      </c>
      <c r="B655" s="5" t="s">
        <v>5111</v>
      </c>
      <c r="D655" s="5" t="s">
        <v>1233</v>
      </c>
      <c r="E655" s="5" t="s">
        <v>5112</v>
      </c>
      <c r="F655" s="5" t="s">
        <v>703</v>
      </c>
      <c r="G655" s="5" t="s">
        <v>137</v>
      </c>
      <c r="H655" s="5" t="s">
        <v>18</v>
      </c>
      <c r="I655" s="7" t="s">
        <v>5109</v>
      </c>
    </row>
    <row r="656">
      <c r="A656" s="5" t="s">
        <v>5117</v>
      </c>
      <c r="B656" s="5" t="s">
        <v>4677</v>
      </c>
      <c r="D656" s="5" t="s">
        <v>1233</v>
      </c>
      <c r="E656" s="5" t="s">
        <v>1148</v>
      </c>
      <c r="F656" s="5" t="s">
        <v>703</v>
      </c>
      <c r="G656" s="5" t="s">
        <v>137</v>
      </c>
      <c r="H656" s="5" t="s">
        <v>18</v>
      </c>
      <c r="I656" s="7" t="s">
        <v>5116</v>
      </c>
    </row>
    <row r="657">
      <c r="A657" s="5" t="s">
        <v>5611</v>
      </c>
      <c r="B657" s="5" t="s">
        <v>4677</v>
      </c>
      <c r="D657" s="5" t="s">
        <v>1233</v>
      </c>
      <c r="E657" s="5" t="s">
        <v>121</v>
      </c>
      <c r="F657" s="5" t="s">
        <v>49</v>
      </c>
      <c r="G657" s="5" t="s">
        <v>50</v>
      </c>
      <c r="H657" s="5" t="s">
        <v>18</v>
      </c>
      <c r="I657" s="7" t="s">
        <v>5610</v>
      </c>
    </row>
    <row r="658">
      <c r="A658" s="5" t="s">
        <v>5640</v>
      </c>
      <c r="B658" s="5" t="s">
        <v>5641</v>
      </c>
      <c r="D658" s="5" t="s">
        <v>1233</v>
      </c>
      <c r="E658" s="5" t="s">
        <v>144</v>
      </c>
      <c r="F658" s="5" t="s">
        <v>64</v>
      </c>
      <c r="G658" s="5" t="s">
        <v>65</v>
      </c>
      <c r="H658" s="5" t="s">
        <v>18</v>
      </c>
      <c r="I658" s="7" t="s">
        <v>10526</v>
      </c>
    </row>
    <row r="659">
      <c r="A659" s="5" t="s">
        <v>5646</v>
      </c>
      <c r="B659" s="5" t="s">
        <v>1378</v>
      </c>
      <c r="D659" s="5" t="s">
        <v>1233</v>
      </c>
      <c r="E659" s="5" t="s">
        <v>574</v>
      </c>
      <c r="F659" s="5" t="s">
        <v>64</v>
      </c>
      <c r="G659" s="5" t="s">
        <v>65</v>
      </c>
      <c r="H659" s="5" t="s">
        <v>18</v>
      </c>
      <c r="I659" s="7" t="s">
        <v>5645</v>
      </c>
    </row>
    <row r="660">
      <c r="A660" s="5" t="s">
        <v>5649</v>
      </c>
      <c r="B660" s="5" t="s">
        <v>1378</v>
      </c>
      <c r="D660" s="5" t="s">
        <v>1233</v>
      </c>
      <c r="E660" s="5" t="s">
        <v>15</v>
      </c>
      <c r="F660" s="5" t="s">
        <v>64</v>
      </c>
      <c r="G660" s="5" t="s">
        <v>65</v>
      </c>
      <c r="H660" s="5" t="s">
        <v>18</v>
      </c>
      <c r="I660" s="7" t="s">
        <v>5648</v>
      </c>
    </row>
    <row r="661">
      <c r="A661" s="5" t="s">
        <v>1263</v>
      </c>
      <c r="B661" s="5" t="s">
        <v>371</v>
      </c>
      <c r="D661" s="5" t="s">
        <v>1233</v>
      </c>
      <c r="E661" s="5" t="s">
        <v>496</v>
      </c>
      <c r="F661" s="5" t="s">
        <v>64</v>
      </c>
      <c r="G661" s="5" t="s">
        <v>65</v>
      </c>
      <c r="H661" s="5" t="s">
        <v>18</v>
      </c>
      <c r="I661" s="7" t="s">
        <v>5650</v>
      </c>
    </row>
    <row r="662">
      <c r="A662" s="5" t="s">
        <v>5652</v>
      </c>
      <c r="B662" s="5" t="s">
        <v>5653</v>
      </c>
      <c r="D662" s="5" t="s">
        <v>1233</v>
      </c>
      <c r="E662" s="5" t="s">
        <v>2544</v>
      </c>
      <c r="F662" s="5" t="s">
        <v>64</v>
      </c>
      <c r="G662" s="5" t="s">
        <v>65</v>
      </c>
      <c r="H662" s="5" t="s">
        <v>18</v>
      </c>
      <c r="I662" s="7" t="s">
        <v>5651</v>
      </c>
    </row>
    <row r="663">
      <c r="A663" s="5" t="s">
        <v>5657</v>
      </c>
      <c r="B663" s="5" t="s">
        <v>1378</v>
      </c>
      <c r="D663" s="5" t="s">
        <v>1233</v>
      </c>
      <c r="E663" s="5" t="s">
        <v>106</v>
      </c>
      <c r="F663" s="5" t="s">
        <v>64</v>
      </c>
      <c r="G663" s="5" t="s">
        <v>65</v>
      </c>
      <c r="H663" s="5" t="s">
        <v>18</v>
      </c>
      <c r="I663" s="7" t="s">
        <v>5656</v>
      </c>
    </row>
    <row r="664">
      <c r="A664" s="5" t="s">
        <v>1265</v>
      </c>
      <c r="B664" s="5" t="s">
        <v>371</v>
      </c>
      <c r="D664" s="5" t="s">
        <v>1233</v>
      </c>
      <c r="E664" s="5" t="s">
        <v>15</v>
      </c>
      <c r="F664" s="5" t="s">
        <v>64</v>
      </c>
      <c r="G664" s="5" t="s">
        <v>65</v>
      </c>
      <c r="H664" s="5" t="s">
        <v>18</v>
      </c>
      <c r="I664" s="7" t="s">
        <v>5658</v>
      </c>
    </row>
    <row r="665">
      <c r="A665" s="5" t="s">
        <v>5660</v>
      </c>
      <c r="B665" s="5" t="s">
        <v>1378</v>
      </c>
      <c r="D665" s="5" t="s">
        <v>1233</v>
      </c>
      <c r="E665" s="5" t="s">
        <v>192</v>
      </c>
      <c r="F665" s="5" t="s">
        <v>64</v>
      </c>
      <c r="G665" s="5" t="s">
        <v>65</v>
      </c>
      <c r="H665" s="5" t="s">
        <v>18</v>
      </c>
      <c r="I665" s="7" t="s">
        <v>5659</v>
      </c>
    </row>
    <row r="666">
      <c r="A666" s="5" t="s">
        <v>5662</v>
      </c>
      <c r="B666" s="5" t="s">
        <v>4674</v>
      </c>
      <c r="D666" s="5" t="s">
        <v>1233</v>
      </c>
      <c r="E666" s="5" t="s">
        <v>192</v>
      </c>
      <c r="F666" s="5" t="s">
        <v>64</v>
      </c>
      <c r="G666" s="5" t="s">
        <v>65</v>
      </c>
      <c r="H666" s="5" t="s">
        <v>18</v>
      </c>
      <c r="I666" s="7" t="s">
        <v>5661</v>
      </c>
    </row>
    <row r="667">
      <c r="A667" s="5" t="s">
        <v>5664</v>
      </c>
      <c r="B667" s="5" t="s">
        <v>4674</v>
      </c>
      <c r="D667" s="5" t="s">
        <v>1233</v>
      </c>
      <c r="E667" s="5" t="s">
        <v>268</v>
      </c>
      <c r="F667" s="5" t="s">
        <v>64</v>
      </c>
      <c r="G667" s="5" t="s">
        <v>65</v>
      </c>
      <c r="H667" s="5" t="s">
        <v>18</v>
      </c>
      <c r="I667" s="7" t="s">
        <v>5663</v>
      </c>
    </row>
    <row r="668">
      <c r="A668" s="5" t="s">
        <v>5680</v>
      </c>
      <c r="B668" s="5" t="s">
        <v>1378</v>
      </c>
      <c r="D668" s="5" t="s">
        <v>1233</v>
      </c>
      <c r="E668" s="5" t="s">
        <v>79</v>
      </c>
      <c r="F668" s="5" t="s">
        <v>64</v>
      </c>
      <c r="G668" s="5" t="s">
        <v>65</v>
      </c>
      <c r="H668" s="5" t="s">
        <v>18</v>
      </c>
      <c r="I668" s="7" t="s">
        <v>5679</v>
      </c>
    </row>
    <row r="669">
      <c r="A669" s="5" t="s">
        <v>5682</v>
      </c>
      <c r="B669" s="5" t="s">
        <v>1378</v>
      </c>
      <c r="D669" s="5" t="s">
        <v>1233</v>
      </c>
      <c r="E669" s="5" t="s">
        <v>207</v>
      </c>
      <c r="F669" s="5" t="s">
        <v>64</v>
      </c>
      <c r="G669" s="5" t="s">
        <v>65</v>
      </c>
      <c r="H669" s="5" t="s">
        <v>18</v>
      </c>
      <c r="I669" s="7" t="s">
        <v>5681</v>
      </c>
    </row>
    <row r="670">
      <c r="A670" s="5" t="s">
        <v>1267</v>
      </c>
      <c r="B670" s="5" t="s">
        <v>371</v>
      </c>
      <c r="D670" s="5" t="s">
        <v>1233</v>
      </c>
      <c r="E670" s="5" t="s">
        <v>94</v>
      </c>
      <c r="F670" s="5" t="s">
        <v>64</v>
      </c>
      <c r="G670" s="5" t="s">
        <v>65</v>
      </c>
      <c r="H670" s="5" t="s">
        <v>18</v>
      </c>
      <c r="I670" s="7" t="s">
        <v>5688</v>
      </c>
    </row>
    <row r="671">
      <c r="A671" s="5" t="s">
        <v>5701</v>
      </c>
      <c r="B671" s="5" t="s">
        <v>4677</v>
      </c>
      <c r="D671" s="5" t="s">
        <v>1233</v>
      </c>
      <c r="E671" s="5" t="s">
        <v>36</v>
      </c>
      <c r="F671" s="5" t="s">
        <v>64</v>
      </c>
      <c r="G671" s="5" t="s">
        <v>65</v>
      </c>
      <c r="H671" s="5" t="s">
        <v>18</v>
      </c>
      <c r="I671" s="7" t="s">
        <v>5700</v>
      </c>
    </row>
    <row r="672">
      <c r="A672" s="5" t="s">
        <v>5703</v>
      </c>
      <c r="B672" s="5" t="s">
        <v>5641</v>
      </c>
      <c r="D672" s="5" t="s">
        <v>1233</v>
      </c>
      <c r="E672" s="5" t="s">
        <v>1676</v>
      </c>
      <c r="F672" s="5" t="s">
        <v>64</v>
      </c>
      <c r="G672" s="5" t="s">
        <v>65</v>
      </c>
      <c r="H672" s="5" t="s">
        <v>18</v>
      </c>
      <c r="I672" s="7" t="s">
        <v>10527</v>
      </c>
    </row>
    <row r="673">
      <c r="A673" s="5" t="s">
        <v>1269</v>
      </c>
      <c r="B673" s="5" t="s">
        <v>371</v>
      </c>
      <c r="D673" s="5" t="s">
        <v>1233</v>
      </c>
      <c r="E673" s="5" t="s">
        <v>144</v>
      </c>
      <c r="F673" s="5" t="s">
        <v>64</v>
      </c>
      <c r="G673" s="5" t="s">
        <v>65</v>
      </c>
      <c r="H673" s="5" t="s">
        <v>18</v>
      </c>
      <c r="I673" s="7" t="s">
        <v>5709</v>
      </c>
    </row>
    <row r="674">
      <c r="A674" s="5" t="s">
        <v>803</v>
      </c>
      <c r="B674" s="5" t="s">
        <v>1378</v>
      </c>
      <c r="D674" s="5" t="s">
        <v>1233</v>
      </c>
      <c r="E674" s="5" t="s">
        <v>222</v>
      </c>
      <c r="F674" s="5" t="s">
        <v>64</v>
      </c>
      <c r="G674" s="5" t="s">
        <v>65</v>
      </c>
      <c r="H674" s="5" t="s">
        <v>18</v>
      </c>
      <c r="I674" s="7" t="s">
        <v>5713</v>
      </c>
    </row>
    <row r="675">
      <c r="A675" s="5" t="s">
        <v>5717</v>
      </c>
      <c r="B675" s="5" t="s">
        <v>4749</v>
      </c>
      <c r="D675" s="5" t="s">
        <v>1233</v>
      </c>
      <c r="E675" s="5" t="s">
        <v>691</v>
      </c>
      <c r="F675" s="5" t="s">
        <v>64</v>
      </c>
      <c r="G675" s="5" t="s">
        <v>65</v>
      </c>
      <c r="H675" s="5" t="s">
        <v>18</v>
      </c>
      <c r="I675" s="7" t="s">
        <v>5716</v>
      </c>
    </row>
    <row r="676">
      <c r="A676" s="5" t="s">
        <v>5723</v>
      </c>
      <c r="B676" s="5" t="s">
        <v>4749</v>
      </c>
      <c r="D676" s="5" t="s">
        <v>1233</v>
      </c>
      <c r="F676" s="5" t="s">
        <v>64</v>
      </c>
      <c r="G676" s="5" t="s">
        <v>65</v>
      </c>
      <c r="H676" s="5" t="s">
        <v>18</v>
      </c>
      <c r="I676" s="7" t="s">
        <v>5722</v>
      </c>
    </row>
    <row r="677">
      <c r="A677" s="5" t="s">
        <v>5738</v>
      </c>
      <c r="B677" s="5" t="s">
        <v>4674</v>
      </c>
      <c r="D677" s="5" t="s">
        <v>1233</v>
      </c>
      <c r="E677" s="5" t="s">
        <v>192</v>
      </c>
      <c r="F677" s="5" t="s">
        <v>1274</v>
      </c>
      <c r="G677" s="5" t="s">
        <v>76</v>
      </c>
      <c r="H677" s="5" t="s">
        <v>18</v>
      </c>
      <c r="I677" s="7" t="s">
        <v>5737</v>
      </c>
    </row>
    <row r="678">
      <c r="A678" s="5" t="s">
        <v>5789</v>
      </c>
      <c r="B678" s="5" t="s">
        <v>1378</v>
      </c>
      <c r="D678" s="5" t="s">
        <v>1233</v>
      </c>
      <c r="E678" s="5" t="s">
        <v>241</v>
      </c>
      <c r="F678" s="5" t="s">
        <v>75</v>
      </c>
      <c r="G678" s="5" t="s">
        <v>76</v>
      </c>
      <c r="H678" s="5" t="s">
        <v>18</v>
      </c>
      <c r="I678" s="17" t="s">
        <v>10528</v>
      </c>
    </row>
    <row r="679">
      <c r="A679" s="5" t="s">
        <v>5859</v>
      </c>
      <c r="B679" s="5" t="s">
        <v>4674</v>
      </c>
      <c r="D679" s="5" t="s">
        <v>1233</v>
      </c>
      <c r="E679" s="5" t="s">
        <v>228</v>
      </c>
      <c r="F679" s="5" t="s">
        <v>80</v>
      </c>
      <c r="G679" s="5" t="s">
        <v>38</v>
      </c>
      <c r="H679" s="5" t="s">
        <v>18</v>
      </c>
      <c r="I679" s="7" t="s">
        <v>5858</v>
      </c>
    </row>
    <row r="680">
      <c r="A680" s="5" t="s">
        <v>5861</v>
      </c>
      <c r="B680" s="5" t="s">
        <v>5862</v>
      </c>
      <c r="D680" s="5" t="s">
        <v>1233</v>
      </c>
      <c r="E680" s="5" t="s">
        <v>774</v>
      </c>
      <c r="F680" s="5" t="s">
        <v>80</v>
      </c>
      <c r="G680" s="5" t="s">
        <v>38</v>
      </c>
      <c r="H680" s="5" t="s">
        <v>18</v>
      </c>
      <c r="I680" s="7" t="s">
        <v>5860</v>
      </c>
    </row>
    <row r="681">
      <c r="A681" s="5" t="s">
        <v>5864</v>
      </c>
      <c r="B681" s="5" t="s">
        <v>1378</v>
      </c>
      <c r="D681" s="5" t="s">
        <v>1233</v>
      </c>
      <c r="E681" s="5" t="s">
        <v>15</v>
      </c>
      <c r="F681" s="5" t="s">
        <v>80</v>
      </c>
      <c r="G681" s="5" t="s">
        <v>38</v>
      </c>
      <c r="H681" s="5" t="s">
        <v>18</v>
      </c>
      <c r="I681" s="7" t="s">
        <v>5863</v>
      </c>
    </row>
    <row r="682">
      <c r="A682" s="5" t="s">
        <v>1427</v>
      </c>
      <c r="B682" s="5" t="s">
        <v>1378</v>
      </c>
      <c r="D682" s="5" t="s">
        <v>1233</v>
      </c>
      <c r="E682" s="5" t="s">
        <v>3559</v>
      </c>
      <c r="F682" s="5" t="s">
        <v>80</v>
      </c>
      <c r="G682" s="5" t="s">
        <v>38</v>
      </c>
      <c r="H682" s="5" t="s">
        <v>18</v>
      </c>
      <c r="I682" s="7" t="s">
        <v>5868</v>
      </c>
    </row>
    <row r="683">
      <c r="A683" s="5" t="s">
        <v>5883</v>
      </c>
      <c r="B683" s="5" t="s">
        <v>5884</v>
      </c>
      <c r="D683" s="5" t="s">
        <v>1233</v>
      </c>
      <c r="E683" s="5" t="s">
        <v>228</v>
      </c>
      <c r="F683" s="5" t="s">
        <v>80</v>
      </c>
      <c r="G683" s="5" t="s">
        <v>38</v>
      </c>
      <c r="H683" s="5" t="s">
        <v>18</v>
      </c>
      <c r="I683" s="17" t="s">
        <v>10529</v>
      </c>
    </row>
    <row r="684">
      <c r="A684" s="5" t="s">
        <v>1280</v>
      </c>
      <c r="B684" s="5" t="s">
        <v>1281</v>
      </c>
      <c r="D684" s="5" t="s">
        <v>1233</v>
      </c>
      <c r="E684" s="5" t="s">
        <v>1282</v>
      </c>
      <c r="F684" s="5" t="s">
        <v>80</v>
      </c>
      <c r="G684" s="5" t="s">
        <v>38</v>
      </c>
      <c r="H684" s="5" t="s">
        <v>18</v>
      </c>
      <c r="I684" s="7" t="s">
        <v>5893</v>
      </c>
    </row>
    <row r="685">
      <c r="A685" s="5" t="s">
        <v>5895</v>
      </c>
      <c r="B685" s="5" t="s">
        <v>4677</v>
      </c>
      <c r="D685" s="5" t="s">
        <v>1233</v>
      </c>
      <c r="E685" s="5" t="s">
        <v>694</v>
      </c>
      <c r="F685" s="5" t="s">
        <v>80</v>
      </c>
      <c r="G685" s="5" t="s">
        <v>38</v>
      </c>
      <c r="H685" s="5" t="s">
        <v>18</v>
      </c>
      <c r="I685" s="7" t="s">
        <v>5894</v>
      </c>
    </row>
    <row r="686">
      <c r="A686" s="5" t="s">
        <v>5905</v>
      </c>
      <c r="B686" s="5" t="s">
        <v>5906</v>
      </c>
      <c r="D686" s="5" t="s">
        <v>1233</v>
      </c>
      <c r="E686" s="5" t="s">
        <v>697</v>
      </c>
      <c r="F686" s="5" t="s">
        <v>80</v>
      </c>
      <c r="G686" s="5" t="s">
        <v>38</v>
      </c>
      <c r="H686" s="5" t="s">
        <v>18</v>
      </c>
      <c r="I686" s="7" t="s">
        <v>10530</v>
      </c>
    </row>
    <row r="687">
      <c r="A687" s="5" t="s">
        <v>5929</v>
      </c>
      <c r="B687" s="5" t="s">
        <v>4674</v>
      </c>
      <c r="D687" s="5" t="s">
        <v>1233</v>
      </c>
      <c r="E687" s="5" t="s">
        <v>1718</v>
      </c>
      <c r="F687" s="5" t="s">
        <v>80</v>
      </c>
      <c r="G687" s="5" t="s">
        <v>38</v>
      </c>
      <c r="H687" s="5" t="s">
        <v>18</v>
      </c>
      <c r="I687" s="7" t="s">
        <v>5928</v>
      </c>
    </row>
    <row r="688">
      <c r="A688" s="5" t="s">
        <v>5954</v>
      </c>
      <c r="B688" s="5" t="s">
        <v>1378</v>
      </c>
      <c r="D688" s="5" t="s">
        <v>1233</v>
      </c>
      <c r="E688" s="5" t="s">
        <v>712</v>
      </c>
      <c r="F688" s="5" t="s">
        <v>85</v>
      </c>
      <c r="G688" s="5" t="s">
        <v>86</v>
      </c>
      <c r="H688" s="5" t="s">
        <v>18</v>
      </c>
      <c r="I688" s="17" t="s">
        <v>10531</v>
      </c>
    </row>
    <row r="689">
      <c r="A689" s="5" t="s">
        <v>5961</v>
      </c>
      <c r="B689" s="5" t="s">
        <v>4674</v>
      </c>
      <c r="D689" s="5" t="s">
        <v>1233</v>
      </c>
      <c r="E689" s="5" t="s">
        <v>106</v>
      </c>
      <c r="F689" s="5" t="s">
        <v>85</v>
      </c>
      <c r="G689" s="5" t="s">
        <v>86</v>
      </c>
      <c r="H689" s="5" t="s">
        <v>18</v>
      </c>
      <c r="I689" s="7" t="s">
        <v>5960</v>
      </c>
    </row>
    <row r="690">
      <c r="A690" s="5" t="s">
        <v>5976</v>
      </c>
      <c r="B690" s="5" t="s">
        <v>4674</v>
      </c>
      <c r="D690" s="5" t="s">
        <v>1233</v>
      </c>
      <c r="E690" s="5" t="s">
        <v>228</v>
      </c>
      <c r="F690" s="5" t="s">
        <v>90</v>
      </c>
      <c r="G690" s="5" t="s">
        <v>91</v>
      </c>
      <c r="H690" s="5" t="s">
        <v>18</v>
      </c>
      <c r="I690" s="7" t="s">
        <v>5975</v>
      </c>
    </row>
    <row r="691">
      <c r="A691" s="5" t="s">
        <v>5978</v>
      </c>
      <c r="B691" s="5" t="s">
        <v>4674</v>
      </c>
      <c r="D691" s="5" t="s">
        <v>1233</v>
      </c>
      <c r="E691" s="5" t="s">
        <v>345</v>
      </c>
      <c r="F691" s="5" t="s">
        <v>90</v>
      </c>
      <c r="G691" s="5" t="s">
        <v>91</v>
      </c>
      <c r="H691" s="5" t="s">
        <v>18</v>
      </c>
      <c r="I691" s="7" t="s">
        <v>5977</v>
      </c>
    </row>
    <row r="692">
      <c r="A692" s="5" t="s">
        <v>5980</v>
      </c>
      <c r="B692" s="5" t="s">
        <v>4674</v>
      </c>
      <c r="D692" s="5" t="s">
        <v>1233</v>
      </c>
      <c r="E692" s="5" t="s">
        <v>228</v>
      </c>
      <c r="F692" s="5" t="s">
        <v>90</v>
      </c>
      <c r="G692" s="5" t="s">
        <v>91</v>
      </c>
      <c r="H692" s="5" t="s">
        <v>18</v>
      </c>
      <c r="I692" s="7" t="s">
        <v>5979</v>
      </c>
    </row>
    <row r="693">
      <c r="A693" s="5" t="s">
        <v>1291</v>
      </c>
      <c r="B693" s="5" t="s">
        <v>371</v>
      </c>
      <c r="D693" s="5" t="s">
        <v>1233</v>
      </c>
      <c r="E693" s="5" t="s">
        <v>1292</v>
      </c>
      <c r="F693" s="5" t="s">
        <v>90</v>
      </c>
      <c r="G693" s="5" t="s">
        <v>91</v>
      </c>
      <c r="H693" s="5" t="s">
        <v>18</v>
      </c>
      <c r="I693" s="7" t="s">
        <v>5981</v>
      </c>
    </row>
    <row r="694">
      <c r="A694" s="5" t="s">
        <v>6137</v>
      </c>
      <c r="B694" s="5" t="s">
        <v>1378</v>
      </c>
      <c r="D694" s="5" t="s">
        <v>1233</v>
      </c>
      <c r="E694" s="5" t="s">
        <v>48</v>
      </c>
      <c r="F694" s="5" t="s">
        <v>6138</v>
      </c>
      <c r="G694" s="5" t="s">
        <v>184</v>
      </c>
      <c r="H694" s="5" t="s">
        <v>18</v>
      </c>
      <c r="I694" s="7" t="s">
        <v>6136</v>
      </c>
    </row>
    <row r="695">
      <c r="A695" s="5" t="s">
        <v>1298</v>
      </c>
      <c r="B695" s="5" t="s">
        <v>1299</v>
      </c>
      <c r="D695" s="5" t="s">
        <v>1233</v>
      </c>
      <c r="E695" s="5" t="s">
        <v>1300</v>
      </c>
      <c r="F695" s="5" t="s">
        <v>1301</v>
      </c>
      <c r="G695" s="5" t="s">
        <v>96</v>
      </c>
      <c r="H695" s="5" t="s">
        <v>18</v>
      </c>
      <c r="I695" s="7" t="s">
        <v>6152</v>
      </c>
    </row>
    <row r="696">
      <c r="A696" s="5" t="s">
        <v>6200</v>
      </c>
      <c r="B696" s="5" t="s">
        <v>6201</v>
      </c>
      <c r="D696" s="5" t="s">
        <v>1233</v>
      </c>
      <c r="E696" s="5" t="s">
        <v>1357</v>
      </c>
      <c r="F696" s="5" t="s">
        <v>253</v>
      </c>
      <c r="G696" s="5" t="s">
        <v>44</v>
      </c>
      <c r="H696" s="5" t="s">
        <v>18</v>
      </c>
      <c r="I696" s="7" t="s">
        <v>6199</v>
      </c>
    </row>
    <row r="697">
      <c r="A697" s="5" t="s">
        <v>6215</v>
      </c>
      <c r="B697" s="5" t="s">
        <v>1378</v>
      </c>
      <c r="D697" s="5" t="s">
        <v>1233</v>
      </c>
      <c r="E697" s="5" t="s">
        <v>42</v>
      </c>
      <c r="F697" s="5" t="s">
        <v>6216</v>
      </c>
      <c r="G697" s="5" t="s">
        <v>756</v>
      </c>
      <c r="H697" s="5" t="s">
        <v>18</v>
      </c>
      <c r="I697" s="7" t="s">
        <v>6214</v>
      </c>
    </row>
    <row r="698">
      <c r="A698" s="5" t="s">
        <v>6282</v>
      </c>
      <c r="B698" s="5" t="s">
        <v>4674</v>
      </c>
      <c r="D698" s="5" t="s">
        <v>1233</v>
      </c>
      <c r="E698" s="5" t="s">
        <v>228</v>
      </c>
      <c r="F698" s="5" t="s">
        <v>6283</v>
      </c>
      <c r="G698" s="5" t="s">
        <v>154</v>
      </c>
      <c r="H698" s="5" t="s">
        <v>18</v>
      </c>
      <c r="I698" s="7" t="s">
        <v>6281</v>
      </c>
    </row>
    <row r="699">
      <c r="A699" s="5" t="s">
        <v>6322</v>
      </c>
      <c r="B699" s="5" t="s">
        <v>1378</v>
      </c>
      <c r="D699" s="5" t="s">
        <v>1233</v>
      </c>
      <c r="E699" s="5" t="s">
        <v>1718</v>
      </c>
      <c r="F699" s="5" t="s">
        <v>112</v>
      </c>
      <c r="G699" s="5" t="s">
        <v>38</v>
      </c>
      <c r="H699" s="5" t="s">
        <v>18</v>
      </c>
      <c r="I699" s="7" t="s">
        <v>6321</v>
      </c>
    </row>
    <row r="700">
      <c r="A700" s="5" t="s">
        <v>6329</v>
      </c>
      <c r="B700" s="5" t="s">
        <v>4674</v>
      </c>
      <c r="D700" s="5" t="s">
        <v>1233</v>
      </c>
      <c r="E700" s="5" t="s">
        <v>192</v>
      </c>
      <c r="F700" s="5" t="s">
        <v>112</v>
      </c>
      <c r="G700" s="5" t="s">
        <v>38</v>
      </c>
      <c r="H700" s="5" t="s">
        <v>18</v>
      </c>
      <c r="I700" s="7" t="s">
        <v>6328</v>
      </c>
    </row>
    <row r="701">
      <c r="A701" s="5" t="s">
        <v>6331</v>
      </c>
      <c r="B701" s="5" t="s">
        <v>4674</v>
      </c>
      <c r="D701" s="5" t="s">
        <v>1233</v>
      </c>
      <c r="E701" s="5" t="s">
        <v>79</v>
      </c>
      <c r="F701" s="5" t="s">
        <v>112</v>
      </c>
      <c r="G701" s="5" t="s">
        <v>38</v>
      </c>
      <c r="H701" s="5" t="s">
        <v>18</v>
      </c>
      <c r="I701" s="7" t="s">
        <v>6330</v>
      </c>
    </row>
    <row r="702">
      <c r="A702" s="5" t="s">
        <v>6333</v>
      </c>
      <c r="B702" s="5" t="s">
        <v>4674</v>
      </c>
      <c r="D702" s="5" t="s">
        <v>1233</v>
      </c>
      <c r="E702" s="5" t="s">
        <v>5985</v>
      </c>
      <c r="F702" s="5" t="s">
        <v>112</v>
      </c>
      <c r="G702" s="5" t="s">
        <v>38</v>
      </c>
      <c r="H702" s="5" t="s">
        <v>18</v>
      </c>
      <c r="I702" s="7" t="s">
        <v>6332</v>
      </c>
    </row>
    <row r="703">
      <c r="A703" s="5" t="s">
        <v>6344</v>
      </c>
      <c r="B703" s="5" t="s">
        <v>4677</v>
      </c>
      <c r="D703" s="5" t="s">
        <v>1233</v>
      </c>
      <c r="E703" s="5" t="s">
        <v>192</v>
      </c>
      <c r="F703" s="5" t="s">
        <v>112</v>
      </c>
      <c r="G703" s="5" t="s">
        <v>38</v>
      </c>
      <c r="H703" s="5" t="s">
        <v>18</v>
      </c>
      <c r="I703" s="7" t="s">
        <v>6343</v>
      </c>
    </row>
    <row r="704">
      <c r="A704" s="5" t="s">
        <v>6349</v>
      </c>
      <c r="B704" s="5" t="s">
        <v>1378</v>
      </c>
      <c r="D704" s="5" t="s">
        <v>1233</v>
      </c>
      <c r="E704" s="5" t="s">
        <v>376</v>
      </c>
      <c r="F704" s="5" t="s">
        <v>112</v>
      </c>
      <c r="G704" s="5" t="s">
        <v>38</v>
      </c>
      <c r="H704" s="5" t="s">
        <v>18</v>
      </c>
      <c r="I704" s="7" t="s">
        <v>6348</v>
      </c>
    </row>
    <row r="705">
      <c r="A705" s="5" t="s">
        <v>6351</v>
      </c>
      <c r="B705" s="5" t="s">
        <v>4674</v>
      </c>
      <c r="D705" s="5" t="s">
        <v>1233</v>
      </c>
      <c r="E705" s="5" t="s">
        <v>345</v>
      </c>
      <c r="F705" s="5" t="s">
        <v>112</v>
      </c>
      <c r="G705" s="5" t="s">
        <v>38</v>
      </c>
      <c r="H705" s="5" t="s">
        <v>18</v>
      </c>
      <c r="I705" s="7" t="s">
        <v>6350</v>
      </c>
    </row>
    <row r="706">
      <c r="A706" s="5" t="s">
        <v>6365</v>
      </c>
      <c r="B706" s="5" t="s">
        <v>6366</v>
      </c>
      <c r="D706" s="5" t="s">
        <v>1233</v>
      </c>
      <c r="E706" s="5" t="s">
        <v>1642</v>
      </c>
      <c r="F706" s="5" t="s">
        <v>6367</v>
      </c>
      <c r="G706" s="5" t="s">
        <v>763</v>
      </c>
      <c r="H706" s="5" t="s">
        <v>18</v>
      </c>
      <c r="I706" s="7" t="s">
        <v>6364</v>
      </c>
    </row>
    <row r="707">
      <c r="A707" s="5" t="s">
        <v>1314</v>
      </c>
      <c r="B707" s="5" t="s">
        <v>371</v>
      </c>
      <c r="D707" s="5" t="s">
        <v>1233</v>
      </c>
      <c r="F707" s="5" t="s">
        <v>975</v>
      </c>
      <c r="G707" s="5" t="s">
        <v>44</v>
      </c>
      <c r="H707" s="5" t="s">
        <v>18</v>
      </c>
      <c r="I707" s="7" t="s">
        <v>6471</v>
      </c>
    </row>
    <row r="708">
      <c r="A708" s="5" t="s">
        <v>6493</v>
      </c>
      <c r="B708" s="5" t="s">
        <v>1378</v>
      </c>
      <c r="D708" s="5" t="s">
        <v>1233</v>
      </c>
      <c r="E708" s="5" t="s">
        <v>2035</v>
      </c>
      <c r="F708" s="5" t="s">
        <v>6494</v>
      </c>
      <c r="G708" s="5" t="s">
        <v>962</v>
      </c>
      <c r="H708" s="5" t="s">
        <v>18</v>
      </c>
      <c r="I708" s="7" t="s">
        <v>6492</v>
      </c>
    </row>
    <row r="709">
      <c r="A709" s="5" t="s">
        <v>1316</v>
      </c>
      <c r="B709" s="5" t="s">
        <v>371</v>
      </c>
      <c r="D709" s="5" t="s">
        <v>1233</v>
      </c>
      <c r="E709" s="5" t="s">
        <v>26</v>
      </c>
      <c r="F709" s="5" t="s">
        <v>122</v>
      </c>
      <c r="G709" s="5" t="s">
        <v>44</v>
      </c>
      <c r="H709" s="5" t="s">
        <v>18</v>
      </c>
      <c r="I709" s="7" t="s">
        <v>7165</v>
      </c>
    </row>
    <row r="710">
      <c r="A710" s="5" t="s">
        <v>7167</v>
      </c>
      <c r="B710" s="5" t="s">
        <v>1378</v>
      </c>
      <c r="D710" s="5" t="s">
        <v>1233</v>
      </c>
      <c r="E710" s="5" t="s">
        <v>79</v>
      </c>
      <c r="F710" s="5" t="s">
        <v>122</v>
      </c>
      <c r="G710" s="5" t="s">
        <v>44</v>
      </c>
      <c r="H710" s="5" t="s">
        <v>18</v>
      </c>
      <c r="I710" s="7" t="s">
        <v>7166</v>
      </c>
    </row>
    <row r="711">
      <c r="A711" s="5" t="s">
        <v>7169</v>
      </c>
      <c r="B711" s="5" t="s">
        <v>4674</v>
      </c>
      <c r="D711" s="5" t="s">
        <v>1233</v>
      </c>
      <c r="E711" s="5" t="s">
        <v>228</v>
      </c>
      <c r="F711" s="5" t="s">
        <v>122</v>
      </c>
      <c r="G711" s="5" t="s">
        <v>44</v>
      </c>
      <c r="H711" s="5" t="s">
        <v>18</v>
      </c>
      <c r="I711" s="7" t="s">
        <v>7168</v>
      </c>
    </row>
    <row r="712">
      <c r="A712" s="5" t="s">
        <v>1320</v>
      </c>
      <c r="B712" s="5" t="s">
        <v>371</v>
      </c>
      <c r="D712" s="5" t="s">
        <v>1233</v>
      </c>
      <c r="E712" s="5" t="s">
        <v>1321</v>
      </c>
      <c r="F712" s="5" t="s">
        <v>122</v>
      </c>
      <c r="G712" s="5" t="s">
        <v>44</v>
      </c>
      <c r="H712" s="5" t="s">
        <v>18</v>
      </c>
      <c r="I712" s="17" t="s">
        <v>10532</v>
      </c>
    </row>
    <row r="713">
      <c r="A713" s="5" t="s">
        <v>7178</v>
      </c>
      <c r="B713" s="5" t="s">
        <v>7179</v>
      </c>
      <c r="D713" s="5" t="s">
        <v>1233</v>
      </c>
      <c r="E713" s="5" t="s">
        <v>257</v>
      </c>
      <c r="F713" s="5" t="s">
        <v>122</v>
      </c>
      <c r="G713" s="5" t="s">
        <v>44</v>
      </c>
      <c r="H713" s="5" t="s">
        <v>18</v>
      </c>
      <c r="I713" s="18" t="s">
        <v>10533</v>
      </c>
    </row>
    <row r="714">
      <c r="A714" s="5" t="s">
        <v>7184</v>
      </c>
      <c r="B714" s="5" t="s">
        <v>1378</v>
      </c>
      <c r="D714" s="5" t="s">
        <v>1233</v>
      </c>
      <c r="E714" s="5" t="s">
        <v>455</v>
      </c>
      <c r="F714" s="5" t="s">
        <v>122</v>
      </c>
      <c r="G714" s="5" t="s">
        <v>44</v>
      </c>
      <c r="H714" s="5" t="s">
        <v>18</v>
      </c>
      <c r="I714" s="7" t="s">
        <v>7183</v>
      </c>
    </row>
    <row r="715">
      <c r="A715" s="5" t="s">
        <v>7191</v>
      </c>
      <c r="B715" s="5" t="s">
        <v>1378</v>
      </c>
      <c r="D715" s="5" t="s">
        <v>1233</v>
      </c>
      <c r="E715" s="5" t="s">
        <v>26</v>
      </c>
      <c r="F715" s="5" t="s">
        <v>122</v>
      </c>
      <c r="G715" s="5" t="s">
        <v>44</v>
      </c>
      <c r="H715" s="5" t="s">
        <v>18</v>
      </c>
      <c r="I715" s="7" t="s">
        <v>7190</v>
      </c>
    </row>
    <row r="716">
      <c r="A716" s="5" t="s">
        <v>7197</v>
      </c>
      <c r="B716" s="5" t="s">
        <v>7198</v>
      </c>
      <c r="D716" s="5" t="s">
        <v>1233</v>
      </c>
      <c r="E716" s="5" t="s">
        <v>7199</v>
      </c>
      <c r="F716" s="5" t="s">
        <v>122</v>
      </c>
      <c r="G716" s="5" t="s">
        <v>44</v>
      </c>
      <c r="H716" s="5" t="s">
        <v>18</v>
      </c>
      <c r="I716" s="17" t="s">
        <v>10534</v>
      </c>
    </row>
    <row r="717">
      <c r="A717" s="5" t="s">
        <v>7207</v>
      </c>
      <c r="B717" s="5" t="s">
        <v>4674</v>
      </c>
      <c r="D717" s="5" t="s">
        <v>1233</v>
      </c>
      <c r="E717" s="5" t="s">
        <v>418</v>
      </c>
      <c r="F717" s="5" t="s">
        <v>122</v>
      </c>
      <c r="G717" s="5" t="s">
        <v>44</v>
      </c>
      <c r="H717" s="5" t="s">
        <v>18</v>
      </c>
      <c r="I717" s="7" t="s">
        <v>7206</v>
      </c>
    </row>
    <row r="718">
      <c r="A718" s="5" t="s">
        <v>1323</v>
      </c>
      <c r="B718" s="5" t="s">
        <v>1324</v>
      </c>
      <c r="D718" s="5" t="s">
        <v>1233</v>
      </c>
      <c r="E718" s="5" t="s">
        <v>570</v>
      </c>
      <c r="F718" s="5" t="s">
        <v>793</v>
      </c>
      <c r="G718" s="5" t="s">
        <v>184</v>
      </c>
      <c r="H718" s="5" t="s">
        <v>18</v>
      </c>
      <c r="I718" s="7" t="s">
        <v>7300</v>
      </c>
    </row>
    <row r="719">
      <c r="A719" s="5" t="s">
        <v>7452</v>
      </c>
      <c r="B719" s="5" t="s">
        <v>1378</v>
      </c>
      <c r="D719" s="5" t="s">
        <v>1233</v>
      </c>
      <c r="E719" s="5" t="s">
        <v>207</v>
      </c>
      <c r="F719" s="5" t="s">
        <v>2872</v>
      </c>
      <c r="G719" s="5" t="s">
        <v>133</v>
      </c>
      <c r="H719" s="5" t="s">
        <v>18</v>
      </c>
      <c r="I719" s="7" t="s">
        <v>7451</v>
      </c>
    </row>
    <row r="720">
      <c r="A720" s="5" t="s">
        <v>7455</v>
      </c>
      <c r="B720" s="5" t="s">
        <v>4674</v>
      </c>
      <c r="D720" s="5" t="s">
        <v>1233</v>
      </c>
      <c r="E720" s="5" t="s">
        <v>84</v>
      </c>
      <c r="F720" s="5" t="s">
        <v>7456</v>
      </c>
      <c r="G720" s="5" t="s">
        <v>1305</v>
      </c>
      <c r="H720" s="5" t="s">
        <v>18</v>
      </c>
      <c r="I720" s="7" t="s">
        <v>7454</v>
      </c>
    </row>
    <row r="721">
      <c r="A721" s="5" t="s">
        <v>7458</v>
      </c>
      <c r="B721" s="5" t="s">
        <v>4749</v>
      </c>
      <c r="D721" s="5" t="s">
        <v>1233</v>
      </c>
      <c r="E721" s="5" t="s">
        <v>63</v>
      </c>
      <c r="F721" s="5" t="s">
        <v>388</v>
      </c>
      <c r="G721" s="5" t="s">
        <v>203</v>
      </c>
      <c r="H721" s="5" t="s">
        <v>18</v>
      </c>
      <c r="I721" s="17" t="s">
        <v>10535</v>
      </c>
    </row>
    <row r="722">
      <c r="A722" s="5" t="s">
        <v>7460</v>
      </c>
      <c r="B722" s="5" t="s">
        <v>1378</v>
      </c>
      <c r="D722" s="5" t="s">
        <v>1233</v>
      </c>
      <c r="E722" s="5" t="s">
        <v>121</v>
      </c>
      <c r="F722" s="5" t="s">
        <v>388</v>
      </c>
      <c r="G722" s="5" t="s">
        <v>203</v>
      </c>
      <c r="H722" s="5" t="s">
        <v>18</v>
      </c>
      <c r="I722" s="17" t="s">
        <v>10536</v>
      </c>
    </row>
    <row r="723">
      <c r="A723" s="5" t="s">
        <v>7484</v>
      </c>
      <c r="B723" s="5" t="s">
        <v>4677</v>
      </c>
      <c r="D723" s="5" t="s">
        <v>1233</v>
      </c>
      <c r="E723" s="5" t="s">
        <v>84</v>
      </c>
      <c r="F723" s="5" t="s">
        <v>218</v>
      </c>
      <c r="G723" s="5" t="s">
        <v>65</v>
      </c>
      <c r="H723" s="5" t="s">
        <v>18</v>
      </c>
      <c r="I723" s="7" t="s">
        <v>7483</v>
      </c>
    </row>
    <row r="724">
      <c r="A724" s="5" t="s">
        <v>1326</v>
      </c>
      <c r="B724" s="5" t="s">
        <v>1327</v>
      </c>
      <c r="D724" s="5" t="s">
        <v>1233</v>
      </c>
      <c r="E724" s="5" t="s">
        <v>26</v>
      </c>
      <c r="F724" s="5" t="s">
        <v>218</v>
      </c>
      <c r="G724" s="5" t="s">
        <v>219</v>
      </c>
      <c r="H724" s="5" t="s">
        <v>18</v>
      </c>
      <c r="I724" s="7" t="s">
        <v>10537</v>
      </c>
    </row>
    <row r="725">
      <c r="A725" s="5" t="s">
        <v>7490</v>
      </c>
      <c r="B725" s="5" t="s">
        <v>1378</v>
      </c>
      <c r="D725" s="5" t="s">
        <v>1233</v>
      </c>
      <c r="E725" s="5" t="s">
        <v>207</v>
      </c>
      <c r="F725" s="5" t="s">
        <v>953</v>
      </c>
      <c r="G725" s="5" t="s">
        <v>954</v>
      </c>
      <c r="H725" s="5" t="s">
        <v>18</v>
      </c>
      <c r="I725" s="7" t="s">
        <v>7489</v>
      </c>
    </row>
    <row r="726">
      <c r="A726" s="5" t="s">
        <v>7492</v>
      </c>
      <c r="B726" s="5" t="s">
        <v>4674</v>
      </c>
      <c r="D726" s="5" t="s">
        <v>1233</v>
      </c>
      <c r="E726" s="5" t="s">
        <v>446</v>
      </c>
      <c r="F726" s="5" t="s">
        <v>953</v>
      </c>
      <c r="G726" s="5" t="s">
        <v>954</v>
      </c>
      <c r="H726" s="5" t="s">
        <v>18</v>
      </c>
      <c r="I726" s="7" t="s">
        <v>7491</v>
      </c>
    </row>
    <row r="727">
      <c r="A727" s="5" t="s">
        <v>7509</v>
      </c>
      <c r="B727" s="5" t="s">
        <v>7510</v>
      </c>
      <c r="D727" s="5" t="s">
        <v>1233</v>
      </c>
      <c r="E727" s="5" t="s">
        <v>322</v>
      </c>
      <c r="F727" s="5" t="s">
        <v>953</v>
      </c>
      <c r="G727" s="5" t="s">
        <v>954</v>
      </c>
      <c r="H727" s="5" t="s">
        <v>18</v>
      </c>
      <c r="I727" s="18" t="s">
        <v>10538</v>
      </c>
    </row>
    <row r="728">
      <c r="A728" s="5" t="s">
        <v>7514</v>
      </c>
      <c r="B728" s="5" t="s">
        <v>1378</v>
      </c>
      <c r="D728" s="5" t="s">
        <v>1233</v>
      </c>
      <c r="E728" s="5" t="s">
        <v>574</v>
      </c>
      <c r="F728" s="5" t="s">
        <v>953</v>
      </c>
      <c r="G728" s="5" t="s">
        <v>954</v>
      </c>
      <c r="H728" s="5" t="s">
        <v>18</v>
      </c>
      <c r="I728" s="7" t="s">
        <v>7513</v>
      </c>
    </row>
    <row r="729">
      <c r="A729" s="5" t="s">
        <v>7662</v>
      </c>
      <c r="B729" s="5" t="s">
        <v>4674</v>
      </c>
      <c r="D729" s="5" t="s">
        <v>1233</v>
      </c>
      <c r="E729" s="5" t="s">
        <v>48</v>
      </c>
      <c r="F729" s="5" t="s">
        <v>7663</v>
      </c>
      <c r="G729" s="5" t="s">
        <v>96</v>
      </c>
      <c r="H729" s="5" t="s">
        <v>18</v>
      </c>
      <c r="I729" s="7" t="s">
        <v>7661</v>
      </c>
    </row>
    <row r="730">
      <c r="A730" s="5" t="s">
        <v>7676</v>
      </c>
      <c r="B730" s="5" t="s">
        <v>7677</v>
      </c>
      <c r="D730" s="5" t="s">
        <v>1233</v>
      </c>
      <c r="E730" s="5" t="s">
        <v>188</v>
      </c>
      <c r="F730" s="5" t="s">
        <v>7678</v>
      </c>
      <c r="G730" s="5" t="s">
        <v>945</v>
      </c>
      <c r="H730" s="5" t="s">
        <v>18</v>
      </c>
      <c r="I730" s="7" t="s">
        <v>7675</v>
      </c>
    </row>
    <row r="731">
      <c r="A731" s="5" t="s">
        <v>7694</v>
      </c>
      <c r="B731" s="5" t="s">
        <v>1378</v>
      </c>
      <c r="D731" s="5" t="s">
        <v>1233</v>
      </c>
      <c r="E731" s="5" t="s">
        <v>15</v>
      </c>
      <c r="F731" s="5" t="s">
        <v>132</v>
      </c>
      <c r="G731" s="5" t="s">
        <v>133</v>
      </c>
      <c r="H731" s="5" t="s">
        <v>18</v>
      </c>
      <c r="I731" s="7" t="s">
        <v>7693</v>
      </c>
    </row>
    <row r="732">
      <c r="A732" s="5" t="s">
        <v>7748</v>
      </c>
      <c r="B732" s="5" t="s">
        <v>1378</v>
      </c>
      <c r="D732" s="5" t="s">
        <v>1233</v>
      </c>
      <c r="E732" s="5" t="s">
        <v>207</v>
      </c>
      <c r="F732" s="5" t="s">
        <v>137</v>
      </c>
      <c r="G732" s="5" t="s">
        <v>137</v>
      </c>
      <c r="H732" s="5" t="s">
        <v>18</v>
      </c>
      <c r="I732" s="7" t="s">
        <v>7747</v>
      </c>
    </row>
    <row r="733">
      <c r="A733" s="5" t="s">
        <v>7758</v>
      </c>
      <c r="B733" s="5" t="s">
        <v>1378</v>
      </c>
      <c r="D733" s="5" t="s">
        <v>1233</v>
      </c>
      <c r="E733" s="5" t="s">
        <v>42</v>
      </c>
      <c r="F733" s="5" t="s">
        <v>137</v>
      </c>
      <c r="G733" s="5" t="s">
        <v>137</v>
      </c>
      <c r="H733" s="5" t="s">
        <v>18</v>
      </c>
      <c r="I733" s="7" t="s">
        <v>7757</v>
      </c>
    </row>
    <row r="734">
      <c r="A734" s="5" t="s">
        <v>7765</v>
      </c>
      <c r="B734" s="5" t="s">
        <v>4677</v>
      </c>
      <c r="D734" s="5" t="s">
        <v>1233</v>
      </c>
      <c r="E734" s="5" t="s">
        <v>354</v>
      </c>
      <c r="F734" s="5" t="s">
        <v>137</v>
      </c>
      <c r="G734" s="5" t="s">
        <v>137</v>
      </c>
      <c r="H734" s="5" t="s">
        <v>18</v>
      </c>
      <c r="I734" s="7" t="s">
        <v>7764</v>
      </c>
    </row>
    <row r="735">
      <c r="A735" s="5" t="s">
        <v>7780</v>
      </c>
      <c r="B735" s="5" t="s">
        <v>4674</v>
      </c>
      <c r="D735" s="5" t="s">
        <v>1233</v>
      </c>
      <c r="E735" s="5" t="s">
        <v>192</v>
      </c>
      <c r="F735" s="5" t="s">
        <v>137</v>
      </c>
      <c r="G735" s="5" t="s">
        <v>137</v>
      </c>
      <c r="H735" s="5" t="s">
        <v>18</v>
      </c>
      <c r="I735" s="7" t="s">
        <v>7779</v>
      </c>
    </row>
    <row r="736">
      <c r="A736" s="5" t="s">
        <v>7788</v>
      </c>
      <c r="B736" s="5" t="s">
        <v>1378</v>
      </c>
      <c r="D736" s="5" t="s">
        <v>1233</v>
      </c>
      <c r="E736" s="5" t="s">
        <v>29</v>
      </c>
      <c r="F736" s="5" t="s">
        <v>137</v>
      </c>
      <c r="G736" s="5" t="s">
        <v>137</v>
      </c>
      <c r="H736" s="5" t="s">
        <v>18</v>
      </c>
      <c r="I736" s="7" t="s">
        <v>7787</v>
      </c>
    </row>
    <row r="737">
      <c r="A737" s="5" t="s">
        <v>7808</v>
      </c>
      <c r="B737" s="5" t="s">
        <v>1378</v>
      </c>
      <c r="D737" s="5" t="s">
        <v>1233</v>
      </c>
      <c r="E737" s="5" t="s">
        <v>144</v>
      </c>
      <c r="F737" s="5" t="s">
        <v>137</v>
      </c>
      <c r="G737" s="5" t="s">
        <v>137</v>
      </c>
      <c r="H737" s="5" t="s">
        <v>18</v>
      </c>
      <c r="I737" s="7" t="s">
        <v>7807</v>
      </c>
    </row>
    <row r="738">
      <c r="A738" s="5" t="s">
        <v>1334</v>
      </c>
      <c r="B738" s="5" t="s">
        <v>371</v>
      </c>
      <c r="D738" s="5" t="s">
        <v>1233</v>
      </c>
      <c r="E738" s="5" t="s">
        <v>60</v>
      </c>
      <c r="F738" s="5" t="s">
        <v>137</v>
      </c>
      <c r="G738" s="5" t="s">
        <v>137</v>
      </c>
      <c r="H738" s="5" t="s">
        <v>18</v>
      </c>
      <c r="I738" s="17" t="s">
        <v>10539</v>
      </c>
    </row>
    <row r="739">
      <c r="A739" s="5" t="s">
        <v>1331</v>
      </c>
      <c r="B739" s="5" t="s">
        <v>1332</v>
      </c>
      <c r="D739" s="5" t="s">
        <v>1233</v>
      </c>
      <c r="E739" s="5" t="s">
        <v>570</v>
      </c>
      <c r="F739" s="5" t="s">
        <v>137</v>
      </c>
      <c r="G739" s="5" t="s">
        <v>137</v>
      </c>
      <c r="H739" s="5" t="s">
        <v>18</v>
      </c>
      <c r="I739" s="17" t="s">
        <v>10540</v>
      </c>
    </row>
    <row r="740">
      <c r="A740" s="5" t="s">
        <v>7851</v>
      </c>
      <c r="B740" s="5" t="s">
        <v>5294</v>
      </c>
      <c r="D740" s="5" t="s">
        <v>1233</v>
      </c>
      <c r="E740" s="5" t="s">
        <v>283</v>
      </c>
      <c r="F740" s="5" t="s">
        <v>137</v>
      </c>
      <c r="G740" s="5" t="s">
        <v>137</v>
      </c>
      <c r="H740" s="5" t="s">
        <v>18</v>
      </c>
      <c r="I740" s="17" t="s">
        <v>10541</v>
      </c>
    </row>
    <row r="741">
      <c r="A741" s="5" t="s">
        <v>7853</v>
      </c>
      <c r="B741" s="5" t="s">
        <v>7854</v>
      </c>
      <c r="D741" s="5" t="s">
        <v>1233</v>
      </c>
      <c r="E741" s="5" t="s">
        <v>455</v>
      </c>
      <c r="F741" s="5" t="s">
        <v>137</v>
      </c>
      <c r="G741" s="5" t="s">
        <v>137</v>
      </c>
      <c r="H741" s="5" t="s">
        <v>18</v>
      </c>
      <c r="I741" s="7" t="s">
        <v>7852</v>
      </c>
    </row>
    <row r="742">
      <c r="A742" s="5" t="s">
        <v>7887</v>
      </c>
      <c r="B742" s="5" t="s">
        <v>4749</v>
      </c>
      <c r="D742" s="5" t="s">
        <v>1233</v>
      </c>
      <c r="E742" s="5" t="s">
        <v>909</v>
      </c>
      <c r="F742" s="5" t="s">
        <v>137</v>
      </c>
      <c r="G742" s="5" t="s">
        <v>137</v>
      </c>
      <c r="H742" s="5" t="s">
        <v>18</v>
      </c>
      <c r="I742" s="7" t="s">
        <v>7886</v>
      </c>
    </row>
    <row r="743">
      <c r="A743" s="5" t="s">
        <v>7920</v>
      </c>
      <c r="B743" s="5" t="s">
        <v>1378</v>
      </c>
      <c r="D743" s="5" t="s">
        <v>1233</v>
      </c>
      <c r="E743" s="5" t="s">
        <v>106</v>
      </c>
      <c r="F743" s="5" t="s">
        <v>137</v>
      </c>
      <c r="G743" s="5" t="s">
        <v>137</v>
      </c>
      <c r="H743" s="5" t="s">
        <v>18</v>
      </c>
      <c r="I743" s="7" t="s">
        <v>7919</v>
      </c>
    </row>
    <row r="744">
      <c r="A744" s="5" t="s">
        <v>7938</v>
      </c>
      <c r="B744" s="5" t="s">
        <v>7939</v>
      </c>
      <c r="D744" s="5" t="s">
        <v>1233</v>
      </c>
      <c r="E744" s="5" t="s">
        <v>2975</v>
      </c>
      <c r="F744" s="5" t="s">
        <v>137</v>
      </c>
      <c r="G744" s="5" t="s">
        <v>137</v>
      </c>
      <c r="H744" s="5" t="s">
        <v>18</v>
      </c>
      <c r="I744" s="7" t="s">
        <v>7937</v>
      </c>
    </row>
    <row r="745">
      <c r="A745" s="5" t="s">
        <v>1336</v>
      </c>
      <c r="B745" s="5" t="s">
        <v>1337</v>
      </c>
      <c r="D745" s="5" t="s">
        <v>1233</v>
      </c>
      <c r="E745" s="5" t="s">
        <v>15</v>
      </c>
      <c r="F745" s="5" t="s">
        <v>137</v>
      </c>
      <c r="G745" s="5" t="s">
        <v>137</v>
      </c>
      <c r="H745" s="5" t="s">
        <v>18</v>
      </c>
      <c r="I745" s="17" t="s">
        <v>10542</v>
      </c>
    </row>
    <row r="746">
      <c r="A746" s="5" t="s">
        <v>1343</v>
      </c>
      <c r="B746" s="5" t="s">
        <v>1344</v>
      </c>
      <c r="D746" s="5" t="s">
        <v>1233</v>
      </c>
      <c r="E746" s="5" t="s">
        <v>192</v>
      </c>
      <c r="F746" s="5" t="s">
        <v>137</v>
      </c>
      <c r="G746" s="5" t="s">
        <v>137</v>
      </c>
      <c r="H746" s="5" t="s">
        <v>18</v>
      </c>
      <c r="I746" s="7" t="s">
        <v>7980</v>
      </c>
    </row>
    <row r="747">
      <c r="A747" s="5" t="s">
        <v>8063</v>
      </c>
      <c r="B747" s="5" t="s">
        <v>4709</v>
      </c>
      <c r="D747" s="5" t="s">
        <v>1233</v>
      </c>
      <c r="E747" s="5" t="s">
        <v>192</v>
      </c>
      <c r="F747" s="5" t="s">
        <v>8064</v>
      </c>
      <c r="G747" s="5" t="s">
        <v>1305</v>
      </c>
      <c r="H747" s="5" t="s">
        <v>18</v>
      </c>
      <c r="I747" s="7" t="s">
        <v>8062</v>
      </c>
    </row>
    <row r="748">
      <c r="A748" s="5" t="s">
        <v>8097</v>
      </c>
      <c r="B748" s="5" t="s">
        <v>1378</v>
      </c>
      <c r="D748" s="5" t="s">
        <v>1233</v>
      </c>
      <c r="E748" s="5" t="s">
        <v>651</v>
      </c>
      <c r="F748" s="5" t="s">
        <v>1960</v>
      </c>
      <c r="G748" s="5" t="s">
        <v>1961</v>
      </c>
      <c r="H748" s="5" t="s">
        <v>18</v>
      </c>
      <c r="I748" s="7" t="s">
        <v>8096</v>
      </c>
    </row>
    <row r="749">
      <c r="A749" s="5" t="s">
        <v>8119</v>
      </c>
      <c r="B749" s="5" t="s">
        <v>1378</v>
      </c>
      <c r="D749" s="5" t="s">
        <v>1233</v>
      </c>
      <c r="E749" s="5" t="s">
        <v>48</v>
      </c>
      <c r="F749" s="5" t="s">
        <v>2491</v>
      </c>
      <c r="G749" s="5" t="s">
        <v>44</v>
      </c>
      <c r="H749" s="5" t="s">
        <v>18</v>
      </c>
      <c r="I749" s="7" t="s">
        <v>8118</v>
      </c>
    </row>
    <row r="750">
      <c r="A750" s="5" t="s">
        <v>8121</v>
      </c>
      <c r="B750" s="5" t="s">
        <v>1378</v>
      </c>
      <c r="D750" s="5" t="s">
        <v>1233</v>
      </c>
      <c r="E750" s="5" t="s">
        <v>121</v>
      </c>
      <c r="F750" s="5" t="s">
        <v>2491</v>
      </c>
      <c r="G750" s="5" t="s">
        <v>44</v>
      </c>
      <c r="H750" s="5" t="s">
        <v>18</v>
      </c>
      <c r="I750" s="7" t="s">
        <v>8120</v>
      </c>
    </row>
    <row r="751">
      <c r="A751" s="5" t="s">
        <v>8137</v>
      </c>
      <c r="B751" s="5" t="s">
        <v>1378</v>
      </c>
      <c r="D751" s="5" t="s">
        <v>1233</v>
      </c>
      <c r="E751" s="5" t="s">
        <v>207</v>
      </c>
      <c r="F751" s="5" t="s">
        <v>1437</v>
      </c>
      <c r="G751" s="5" t="s">
        <v>203</v>
      </c>
      <c r="H751" s="5" t="s">
        <v>18</v>
      </c>
      <c r="I751" s="7" t="s">
        <v>8136</v>
      </c>
    </row>
    <row r="752">
      <c r="A752" s="5" t="s">
        <v>8139</v>
      </c>
      <c r="B752" s="5" t="s">
        <v>4674</v>
      </c>
      <c r="D752" s="5" t="s">
        <v>1233</v>
      </c>
      <c r="E752" s="5" t="s">
        <v>106</v>
      </c>
      <c r="F752" s="5" t="s">
        <v>1437</v>
      </c>
      <c r="G752" s="5" t="s">
        <v>203</v>
      </c>
      <c r="H752" s="5" t="s">
        <v>18</v>
      </c>
      <c r="I752" s="17" t="s">
        <v>10543</v>
      </c>
    </row>
    <row r="753">
      <c r="A753" s="5" t="s">
        <v>8141</v>
      </c>
      <c r="B753" s="5" t="s">
        <v>4677</v>
      </c>
      <c r="D753" s="5" t="s">
        <v>1233</v>
      </c>
      <c r="E753" s="5" t="s">
        <v>144</v>
      </c>
      <c r="F753" s="5" t="s">
        <v>1437</v>
      </c>
      <c r="G753" s="5" t="s">
        <v>203</v>
      </c>
      <c r="H753" s="5" t="s">
        <v>18</v>
      </c>
      <c r="I753" s="7" t="s">
        <v>8140</v>
      </c>
    </row>
    <row r="754">
      <c r="A754" s="5" t="s">
        <v>8286</v>
      </c>
      <c r="B754" s="5" t="s">
        <v>4749</v>
      </c>
      <c r="D754" s="5" t="s">
        <v>1233</v>
      </c>
      <c r="E754" s="5" t="s">
        <v>7195</v>
      </c>
      <c r="F754" s="5" t="s">
        <v>8287</v>
      </c>
      <c r="G754" s="5" t="s">
        <v>96</v>
      </c>
      <c r="H754" s="5" t="s">
        <v>18</v>
      </c>
      <c r="I754" s="7" t="s">
        <v>8285</v>
      </c>
    </row>
    <row r="755">
      <c r="A755" s="5" t="s">
        <v>8323</v>
      </c>
      <c r="B755" s="5" t="s">
        <v>4674</v>
      </c>
      <c r="D755" s="5" t="s">
        <v>1233</v>
      </c>
      <c r="E755" s="5" t="s">
        <v>192</v>
      </c>
      <c r="F755" s="5" t="s">
        <v>153</v>
      </c>
      <c r="G755" s="5" t="s">
        <v>154</v>
      </c>
      <c r="H755" s="5" t="s">
        <v>18</v>
      </c>
      <c r="I755" s="7" t="s">
        <v>8322</v>
      </c>
    </row>
    <row r="756">
      <c r="A756" s="5" t="s">
        <v>8329</v>
      </c>
      <c r="B756" s="5" t="s">
        <v>1378</v>
      </c>
      <c r="D756" s="5" t="s">
        <v>1233</v>
      </c>
      <c r="E756" s="5" t="s">
        <v>691</v>
      </c>
      <c r="F756" s="5" t="s">
        <v>153</v>
      </c>
      <c r="G756" s="5" t="s">
        <v>154</v>
      </c>
      <c r="H756" s="5" t="s">
        <v>18</v>
      </c>
      <c r="I756" s="7" t="s">
        <v>8328</v>
      </c>
    </row>
    <row r="757">
      <c r="A757" s="5" t="s">
        <v>1346</v>
      </c>
      <c r="B757" s="5" t="s">
        <v>1347</v>
      </c>
      <c r="D757" s="5" t="s">
        <v>1233</v>
      </c>
      <c r="E757" s="5" t="s">
        <v>106</v>
      </c>
      <c r="F757" s="5" t="s">
        <v>153</v>
      </c>
      <c r="G757" s="5" t="s">
        <v>154</v>
      </c>
      <c r="H757" s="5" t="s">
        <v>18</v>
      </c>
      <c r="I757" s="17" t="s">
        <v>10544</v>
      </c>
    </row>
    <row r="758">
      <c r="A758" s="5" t="s">
        <v>8371</v>
      </c>
      <c r="B758" s="5" t="s">
        <v>1378</v>
      </c>
      <c r="D758" s="5" t="s">
        <v>1233</v>
      </c>
      <c r="E758" s="5" t="s">
        <v>192</v>
      </c>
      <c r="F758" s="5" t="s">
        <v>223</v>
      </c>
      <c r="G758" s="5" t="s">
        <v>224</v>
      </c>
      <c r="H758" s="5" t="s">
        <v>18</v>
      </c>
      <c r="I758" s="7" t="s">
        <v>8370</v>
      </c>
    </row>
    <row r="759">
      <c r="A759" s="5" t="s">
        <v>8382</v>
      </c>
      <c r="B759" s="5" t="s">
        <v>1378</v>
      </c>
      <c r="D759" s="5" t="s">
        <v>1233</v>
      </c>
      <c r="E759" s="5" t="s">
        <v>1993</v>
      </c>
      <c r="F759" s="5" t="s">
        <v>295</v>
      </c>
      <c r="G759" s="5" t="s">
        <v>154</v>
      </c>
      <c r="H759" s="5" t="s">
        <v>18</v>
      </c>
      <c r="I759" s="7" t="s">
        <v>8381</v>
      </c>
    </row>
    <row r="760">
      <c r="A760" s="5" t="s">
        <v>8384</v>
      </c>
      <c r="B760" s="5" t="s">
        <v>4677</v>
      </c>
      <c r="D760" s="5" t="s">
        <v>1233</v>
      </c>
      <c r="E760" s="5" t="s">
        <v>1637</v>
      </c>
      <c r="F760" s="5" t="s">
        <v>295</v>
      </c>
      <c r="G760" s="5" t="s">
        <v>154</v>
      </c>
      <c r="H760" s="5" t="s">
        <v>18</v>
      </c>
      <c r="I760" s="7" t="s">
        <v>8383</v>
      </c>
    </row>
    <row r="761">
      <c r="A761" s="5" t="s">
        <v>8386</v>
      </c>
      <c r="B761" s="5" t="s">
        <v>8387</v>
      </c>
      <c r="D761" s="5" t="s">
        <v>1233</v>
      </c>
      <c r="E761" s="5" t="s">
        <v>958</v>
      </c>
      <c r="F761" s="5" t="s">
        <v>295</v>
      </c>
      <c r="G761" s="5" t="s">
        <v>154</v>
      </c>
      <c r="H761" s="5" t="s">
        <v>18</v>
      </c>
      <c r="I761" s="17" t="s">
        <v>10545</v>
      </c>
    </row>
    <row r="762">
      <c r="A762" s="5" t="s">
        <v>8405</v>
      </c>
      <c r="B762" s="5" t="s">
        <v>4674</v>
      </c>
      <c r="D762" s="5" t="s">
        <v>1233</v>
      </c>
      <c r="E762" s="5" t="s">
        <v>472</v>
      </c>
      <c r="F762" s="5" t="s">
        <v>1353</v>
      </c>
      <c r="G762" s="5" t="s">
        <v>1354</v>
      </c>
      <c r="H762" s="5" t="s">
        <v>18</v>
      </c>
      <c r="I762" s="7" t="s">
        <v>8404</v>
      </c>
    </row>
    <row r="763">
      <c r="A763" s="5" t="s">
        <v>8432</v>
      </c>
      <c r="B763" s="5" t="s">
        <v>1378</v>
      </c>
      <c r="D763" s="5" t="s">
        <v>1233</v>
      </c>
      <c r="E763" s="5" t="s">
        <v>36</v>
      </c>
      <c r="F763" s="5" t="s">
        <v>2339</v>
      </c>
      <c r="G763" s="5" t="s">
        <v>781</v>
      </c>
      <c r="H763" s="5" t="s">
        <v>18</v>
      </c>
      <c r="I763" s="7" t="s">
        <v>8431</v>
      </c>
    </row>
    <row r="764">
      <c r="A764" s="5" t="s">
        <v>8496</v>
      </c>
      <c r="B764" s="5" t="s">
        <v>4749</v>
      </c>
      <c r="D764" s="5" t="s">
        <v>1233</v>
      </c>
      <c r="E764" s="5" t="s">
        <v>79</v>
      </c>
      <c r="F764" s="5" t="s">
        <v>876</v>
      </c>
      <c r="G764" s="5" t="s">
        <v>184</v>
      </c>
      <c r="H764" s="5" t="s">
        <v>18</v>
      </c>
      <c r="I764" s="7" t="s">
        <v>8495</v>
      </c>
    </row>
    <row r="765">
      <c r="A765" s="5" t="s">
        <v>1359</v>
      </c>
      <c r="B765" s="5" t="s">
        <v>371</v>
      </c>
      <c r="D765" s="5" t="s">
        <v>1233</v>
      </c>
      <c r="E765" s="5" t="s">
        <v>1360</v>
      </c>
      <c r="F765" s="5" t="s">
        <v>1361</v>
      </c>
      <c r="G765" s="5" t="s">
        <v>91</v>
      </c>
      <c r="H765" s="5" t="s">
        <v>18</v>
      </c>
      <c r="I765" s="7" t="s">
        <v>8556</v>
      </c>
    </row>
    <row r="766">
      <c r="A766" s="5" t="s">
        <v>8607</v>
      </c>
      <c r="B766" s="5" t="s">
        <v>4674</v>
      </c>
      <c r="D766" s="5" t="s">
        <v>1233</v>
      </c>
      <c r="E766" s="5" t="s">
        <v>228</v>
      </c>
      <c r="F766" s="5" t="s">
        <v>1867</v>
      </c>
      <c r="G766" s="5" t="s">
        <v>44</v>
      </c>
      <c r="H766" s="5" t="s">
        <v>18</v>
      </c>
      <c r="I766" s="7" t="s">
        <v>8606</v>
      </c>
    </row>
    <row r="767">
      <c r="A767" s="5" t="s">
        <v>8612</v>
      </c>
      <c r="B767" s="5" t="s">
        <v>1378</v>
      </c>
      <c r="D767" s="5" t="s">
        <v>1233</v>
      </c>
      <c r="E767" s="5" t="s">
        <v>106</v>
      </c>
      <c r="F767" s="5" t="s">
        <v>1867</v>
      </c>
      <c r="G767" s="5" t="s">
        <v>44</v>
      </c>
      <c r="H767" s="5" t="s">
        <v>18</v>
      </c>
      <c r="I767" s="7" t="s">
        <v>8611</v>
      </c>
    </row>
    <row r="768">
      <c r="A768" s="5" t="s">
        <v>8620</v>
      </c>
      <c r="B768" s="5" t="s">
        <v>1378</v>
      </c>
      <c r="D768" s="5" t="s">
        <v>1233</v>
      </c>
      <c r="E768" s="5" t="s">
        <v>26</v>
      </c>
      <c r="F768" s="5" t="s">
        <v>166</v>
      </c>
      <c r="G768" s="5" t="s">
        <v>44</v>
      </c>
      <c r="H768" s="5" t="s">
        <v>18</v>
      </c>
      <c r="I768" s="7" t="s">
        <v>8619</v>
      </c>
    </row>
    <row r="769">
      <c r="A769" s="5" t="s">
        <v>1363</v>
      </c>
      <c r="B769" s="5" t="s">
        <v>371</v>
      </c>
      <c r="D769" s="5" t="s">
        <v>1233</v>
      </c>
      <c r="E769" s="5" t="s">
        <v>1364</v>
      </c>
      <c r="F769" s="5" t="s">
        <v>166</v>
      </c>
      <c r="G769" s="5" t="s">
        <v>44</v>
      </c>
      <c r="H769" s="5" t="s">
        <v>18</v>
      </c>
      <c r="I769" s="7" t="s">
        <v>8625</v>
      </c>
    </row>
    <row r="770">
      <c r="A770" s="5" t="s">
        <v>1370</v>
      </c>
      <c r="B770" s="5" t="s">
        <v>25</v>
      </c>
      <c r="D770" s="5" t="s">
        <v>1233</v>
      </c>
      <c r="E770" s="5" t="s">
        <v>1371</v>
      </c>
      <c r="F770" s="5" t="s">
        <v>166</v>
      </c>
      <c r="G770" s="5" t="s">
        <v>44</v>
      </c>
      <c r="H770" s="5" t="s">
        <v>18</v>
      </c>
      <c r="I770" s="7" t="s">
        <v>8635</v>
      </c>
    </row>
    <row r="771">
      <c r="A771" s="5" t="s">
        <v>1366</v>
      </c>
      <c r="B771" s="5" t="s">
        <v>371</v>
      </c>
      <c r="D771" s="5" t="s">
        <v>1233</v>
      </c>
      <c r="F771" s="5" t="s">
        <v>166</v>
      </c>
      <c r="G771" s="5" t="s">
        <v>44</v>
      </c>
      <c r="H771" s="5" t="s">
        <v>18</v>
      </c>
      <c r="I771" s="7" t="s">
        <v>8644</v>
      </c>
    </row>
    <row r="772">
      <c r="A772" s="5" t="s">
        <v>8649</v>
      </c>
      <c r="B772" s="5" t="s">
        <v>371</v>
      </c>
      <c r="D772" s="5" t="s">
        <v>1233</v>
      </c>
      <c r="F772" s="5" t="s">
        <v>166</v>
      </c>
      <c r="G772" s="5" t="s">
        <v>44</v>
      </c>
      <c r="H772" s="5" t="s">
        <v>18</v>
      </c>
      <c r="I772" s="7" t="s">
        <v>8648</v>
      </c>
    </row>
    <row r="773">
      <c r="A773" s="5" t="s">
        <v>8656</v>
      </c>
      <c r="B773" s="5" t="s">
        <v>1378</v>
      </c>
      <c r="D773" s="5" t="s">
        <v>1233</v>
      </c>
      <c r="E773" s="5" t="s">
        <v>121</v>
      </c>
      <c r="F773" s="5" t="s">
        <v>166</v>
      </c>
      <c r="G773" s="5" t="s">
        <v>44</v>
      </c>
      <c r="H773" s="5" t="s">
        <v>18</v>
      </c>
      <c r="I773" s="7" t="s">
        <v>8655</v>
      </c>
    </row>
    <row r="774">
      <c r="A774" s="5" t="s">
        <v>8658</v>
      </c>
      <c r="B774" s="5" t="s">
        <v>4674</v>
      </c>
      <c r="D774" s="5" t="s">
        <v>1233</v>
      </c>
      <c r="E774" s="5" t="s">
        <v>228</v>
      </c>
      <c r="F774" s="5" t="s">
        <v>166</v>
      </c>
      <c r="G774" s="5" t="s">
        <v>44</v>
      </c>
      <c r="H774" s="5" t="s">
        <v>18</v>
      </c>
      <c r="I774" s="7" t="s">
        <v>8657</v>
      </c>
    </row>
    <row r="775">
      <c r="A775" s="5" t="s">
        <v>8665</v>
      </c>
      <c r="B775" s="5" t="s">
        <v>4677</v>
      </c>
      <c r="D775" s="5" t="s">
        <v>1233</v>
      </c>
      <c r="E775" s="5" t="s">
        <v>106</v>
      </c>
      <c r="F775" s="5" t="s">
        <v>166</v>
      </c>
      <c r="G775" s="5" t="s">
        <v>44</v>
      </c>
      <c r="H775" s="5" t="s">
        <v>18</v>
      </c>
      <c r="I775" s="7" t="s">
        <v>8664</v>
      </c>
    </row>
    <row r="776">
      <c r="A776" s="5" t="s">
        <v>8680</v>
      </c>
      <c r="B776" s="5" t="s">
        <v>1378</v>
      </c>
      <c r="D776" s="5" t="s">
        <v>1233</v>
      </c>
      <c r="E776" s="5" t="s">
        <v>437</v>
      </c>
      <c r="F776" s="5" t="s">
        <v>169</v>
      </c>
      <c r="G776" s="5" t="s">
        <v>44</v>
      </c>
      <c r="H776" s="5" t="s">
        <v>18</v>
      </c>
      <c r="I776" s="7" t="s">
        <v>8679</v>
      </c>
    </row>
    <row r="777">
      <c r="A777" s="5" t="s">
        <v>1377</v>
      </c>
      <c r="B777" s="5" t="s">
        <v>1378</v>
      </c>
      <c r="D777" s="5" t="s">
        <v>1233</v>
      </c>
      <c r="E777" s="5" t="s">
        <v>651</v>
      </c>
      <c r="F777" s="5" t="s">
        <v>1379</v>
      </c>
      <c r="G777" s="5" t="s">
        <v>224</v>
      </c>
      <c r="H777" s="5" t="s">
        <v>18</v>
      </c>
      <c r="I777" s="7" t="s">
        <v>8711</v>
      </c>
    </row>
    <row r="778">
      <c r="A778" s="5" t="s">
        <v>8714</v>
      </c>
      <c r="B778" s="5" t="s">
        <v>4709</v>
      </c>
      <c r="D778" s="5" t="s">
        <v>1233</v>
      </c>
      <c r="E778" s="5" t="s">
        <v>192</v>
      </c>
      <c r="F778" s="5" t="s">
        <v>311</v>
      </c>
      <c r="G778" s="5" t="s">
        <v>102</v>
      </c>
      <c r="H778" s="5" t="s">
        <v>18</v>
      </c>
      <c r="I778" s="7" t="s">
        <v>8713</v>
      </c>
    </row>
    <row r="779">
      <c r="A779" s="5" t="s">
        <v>8744</v>
      </c>
      <c r="B779" s="5" t="s">
        <v>4674</v>
      </c>
      <c r="D779" s="5" t="s">
        <v>1233</v>
      </c>
      <c r="E779" s="5" t="s">
        <v>192</v>
      </c>
      <c r="F779" s="5" t="s">
        <v>311</v>
      </c>
      <c r="G779" s="5" t="s">
        <v>102</v>
      </c>
      <c r="H779" s="5" t="s">
        <v>18</v>
      </c>
      <c r="I779" s="7" t="s">
        <v>8743</v>
      </c>
    </row>
    <row r="780">
      <c r="A780" s="5" t="s">
        <v>1386</v>
      </c>
      <c r="B780" s="5" t="s">
        <v>1387</v>
      </c>
      <c r="D780" s="5" t="s">
        <v>1233</v>
      </c>
      <c r="E780" s="5" t="s">
        <v>1364</v>
      </c>
      <c r="F780" s="5" t="s">
        <v>669</v>
      </c>
      <c r="G780" s="5" t="s">
        <v>17</v>
      </c>
      <c r="H780" s="5" t="s">
        <v>18</v>
      </c>
      <c r="I780" s="7" t="s">
        <v>10546</v>
      </c>
    </row>
    <row r="781">
      <c r="A781" s="5" t="s">
        <v>8849</v>
      </c>
      <c r="B781" s="5" t="s">
        <v>1378</v>
      </c>
      <c r="D781" s="5" t="s">
        <v>1233</v>
      </c>
      <c r="E781" s="5" t="s">
        <v>125</v>
      </c>
      <c r="F781" s="5" t="s">
        <v>1022</v>
      </c>
      <c r="G781" s="5" t="s">
        <v>264</v>
      </c>
      <c r="H781" s="5" t="s">
        <v>18</v>
      </c>
      <c r="I781" s="7" t="s">
        <v>8848</v>
      </c>
    </row>
    <row r="782">
      <c r="A782" s="5" t="s">
        <v>1389</v>
      </c>
      <c r="B782" s="5" t="s">
        <v>1390</v>
      </c>
      <c r="D782" s="5" t="s">
        <v>1233</v>
      </c>
      <c r="E782" s="5" t="s">
        <v>106</v>
      </c>
      <c r="F782" s="5" t="s">
        <v>1391</v>
      </c>
      <c r="G782" s="5" t="s">
        <v>954</v>
      </c>
      <c r="H782" s="5" t="s">
        <v>18</v>
      </c>
      <c r="I782" s="7" t="s">
        <v>10547</v>
      </c>
    </row>
    <row r="783">
      <c r="A783" s="5" t="s">
        <v>1396</v>
      </c>
      <c r="B783" s="5" t="s">
        <v>1397</v>
      </c>
      <c r="D783" s="5" t="s">
        <v>1233</v>
      </c>
      <c r="E783" s="5" t="s">
        <v>1398</v>
      </c>
      <c r="F783" s="5" t="s">
        <v>1399</v>
      </c>
      <c r="G783" s="5" t="s">
        <v>96</v>
      </c>
      <c r="H783" s="5" t="s">
        <v>18</v>
      </c>
      <c r="I783" s="17" t="s">
        <v>10548</v>
      </c>
    </row>
    <row r="784">
      <c r="A784" s="5" t="s">
        <v>9595</v>
      </c>
      <c r="B784" s="5" t="s">
        <v>4677</v>
      </c>
      <c r="D784" s="5" t="s">
        <v>1233</v>
      </c>
      <c r="E784" s="5" t="s">
        <v>694</v>
      </c>
      <c r="F784" s="5" t="s">
        <v>9596</v>
      </c>
      <c r="G784" s="5" t="s">
        <v>91</v>
      </c>
      <c r="H784" s="5" t="s">
        <v>18</v>
      </c>
      <c r="I784" s="7" t="s">
        <v>9594</v>
      </c>
    </row>
    <row r="785">
      <c r="A785" s="5" t="s">
        <v>1401</v>
      </c>
      <c r="B785" s="5" t="s">
        <v>371</v>
      </c>
      <c r="D785" s="5" t="s">
        <v>1233</v>
      </c>
      <c r="E785" s="5" t="s">
        <v>1123</v>
      </c>
      <c r="F785" s="5" t="s">
        <v>102</v>
      </c>
      <c r="G785" s="5" t="s">
        <v>172</v>
      </c>
      <c r="H785" s="5" t="s">
        <v>18</v>
      </c>
      <c r="I785" s="7" t="s">
        <v>9990</v>
      </c>
    </row>
    <row r="786">
      <c r="A786" s="5" t="s">
        <v>9994</v>
      </c>
      <c r="B786" s="5" t="s">
        <v>1378</v>
      </c>
      <c r="D786" s="5" t="s">
        <v>1233</v>
      </c>
      <c r="E786" s="5" t="s">
        <v>106</v>
      </c>
      <c r="F786" s="5" t="s">
        <v>102</v>
      </c>
      <c r="G786" s="5" t="s">
        <v>172</v>
      </c>
      <c r="H786" s="5" t="s">
        <v>18</v>
      </c>
      <c r="I786" s="7" t="s">
        <v>9993</v>
      </c>
    </row>
    <row r="787">
      <c r="A787" s="5" t="s">
        <v>9997</v>
      </c>
      <c r="B787" s="5" t="s">
        <v>4709</v>
      </c>
      <c r="D787" s="5" t="s">
        <v>1233</v>
      </c>
      <c r="E787" s="5" t="s">
        <v>345</v>
      </c>
      <c r="F787" s="5" t="s">
        <v>102</v>
      </c>
      <c r="G787" s="5" t="s">
        <v>172</v>
      </c>
      <c r="H787" s="5" t="s">
        <v>18</v>
      </c>
      <c r="I787" s="7" t="s">
        <v>9996</v>
      </c>
    </row>
    <row r="788">
      <c r="A788" s="5" t="s">
        <v>9999</v>
      </c>
      <c r="B788" s="5" t="s">
        <v>1378</v>
      </c>
      <c r="D788" s="5" t="s">
        <v>1233</v>
      </c>
      <c r="E788" s="5" t="s">
        <v>345</v>
      </c>
      <c r="F788" s="5" t="s">
        <v>102</v>
      </c>
      <c r="G788" s="5" t="s">
        <v>172</v>
      </c>
      <c r="H788" s="5" t="s">
        <v>18</v>
      </c>
      <c r="I788" s="7" t="s">
        <v>9998</v>
      </c>
    </row>
    <row r="789">
      <c r="A789" s="5" t="s">
        <v>10004</v>
      </c>
      <c r="B789" s="5" t="s">
        <v>4749</v>
      </c>
      <c r="D789" s="5" t="s">
        <v>1233</v>
      </c>
      <c r="E789" s="5" t="s">
        <v>222</v>
      </c>
      <c r="F789" s="5" t="s">
        <v>102</v>
      </c>
      <c r="G789" s="5" t="s">
        <v>172</v>
      </c>
      <c r="H789" s="5" t="s">
        <v>18</v>
      </c>
      <c r="I789" s="7" t="s">
        <v>10003</v>
      </c>
    </row>
    <row r="790">
      <c r="A790" s="5" t="s">
        <v>10006</v>
      </c>
      <c r="B790" s="5" t="s">
        <v>10007</v>
      </c>
      <c r="D790" s="5" t="s">
        <v>1233</v>
      </c>
      <c r="E790" s="5" t="s">
        <v>418</v>
      </c>
      <c r="F790" s="5" t="s">
        <v>102</v>
      </c>
      <c r="G790" s="5" t="s">
        <v>172</v>
      </c>
      <c r="H790" s="5" t="s">
        <v>18</v>
      </c>
      <c r="I790" s="7" t="s">
        <v>10005</v>
      </c>
    </row>
    <row r="791">
      <c r="A791" s="5" t="s">
        <v>10013</v>
      </c>
      <c r="B791" s="5" t="s">
        <v>4674</v>
      </c>
      <c r="D791" s="5" t="s">
        <v>1233</v>
      </c>
      <c r="E791" s="5" t="s">
        <v>228</v>
      </c>
      <c r="F791" s="5" t="s">
        <v>102</v>
      </c>
      <c r="G791" s="5" t="s">
        <v>172</v>
      </c>
      <c r="H791" s="5" t="s">
        <v>18</v>
      </c>
      <c r="I791" s="7" t="s">
        <v>10012</v>
      </c>
    </row>
    <row r="792">
      <c r="A792" s="5" t="s">
        <v>10020</v>
      </c>
      <c r="B792" s="5" t="s">
        <v>1378</v>
      </c>
      <c r="D792" s="5" t="s">
        <v>1233</v>
      </c>
      <c r="E792" s="5" t="s">
        <v>694</v>
      </c>
      <c r="F792" s="5" t="s">
        <v>102</v>
      </c>
      <c r="G792" s="5" t="s">
        <v>172</v>
      </c>
      <c r="H792" s="5" t="s">
        <v>18</v>
      </c>
      <c r="I792" s="7" t="s">
        <v>10019</v>
      </c>
    </row>
    <row r="793">
      <c r="A793" s="5" t="s">
        <v>10038</v>
      </c>
      <c r="B793" s="5" t="s">
        <v>4677</v>
      </c>
      <c r="D793" s="5" t="s">
        <v>1233</v>
      </c>
      <c r="E793" s="5" t="s">
        <v>182</v>
      </c>
      <c r="F793" s="5" t="s">
        <v>102</v>
      </c>
      <c r="G793" s="5" t="s">
        <v>172</v>
      </c>
      <c r="H793" s="5" t="s">
        <v>18</v>
      </c>
      <c r="I793" s="7" t="s">
        <v>10037</v>
      </c>
    </row>
    <row r="794">
      <c r="A794" s="5" t="s">
        <v>10043</v>
      </c>
      <c r="B794" s="5" t="s">
        <v>10044</v>
      </c>
      <c r="D794" s="5" t="s">
        <v>1233</v>
      </c>
      <c r="E794" s="5" t="s">
        <v>228</v>
      </c>
      <c r="F794" s="5" t="s">
        <v>102</v>
      </c>
      <c r="G794" s="5" t="s">
        <v>172</v>
      </c>
      <c r="H794" s="5" t="s">
        <v>18</v>
      </c>
      <c r="I794" s="7" t="s">
        <v>10549</v>
      </c>
    </row>
    <row r="795">
      <c r="A795" s="5" t="s">
        <v>10049</v>
      </c>
      <c r="B795" s="5" t="s">
        <v>4674</v>
      </c>
      <c r="D795" s="5" t="s">
        <v>1233</v>
      </c>
      <c r="E795" s="5" t="s">
        <v>192</v>
      </c>
      <c r="F795" s="5" t="s">
        <v>102</v>
      </c>
      <c r="G795" s="5" t="s">
        <v>172</v>
      </c>
      <c r="H795" s="5" t="s">
        <v>18</v>
      </c>
      <c r="I795" s="7" t="s">
        <v>10048</v>
      </c>
    </row>
    <row r="796">
      <c r="A796" s="5" t="s">
        <v>1231</v>
      </c>
      <c r="B796" s="5" t="s">
        <v>1232</v>
      </c>
      <c r="C796" s="5" t="s">
        <v>13</v>
      </c>
      <c r="D796" s="5" t="s">
        <v>1233</v>
      </c>
      <c r="E796" s="5" t="s">
        <v>980</v>
      </c>
      <c r="F796" s="5" t="s">
        <v>183</v>
      </c>
      <c r="G796" s="5" t="s">
        <v>184</v>
      </c>
      <c r="H796" s="5" t="s">
        <v>18</v>
      </c>
      <c r="I796" s="17" t="s">
        <v>10550</v>
      </c>
    </row>
    <row r="797">
      <c r="A797" s="5" t="s">
        <v>1235</v>
      </c>
      <c r="B797" s="5" t="s">
        <v>371</v>
      </c>
      <c r="C797" s="5" t="s">
        <v>13</v>
      </c>
      <c r="D797" s="5" t="s">
        <v>1233</v>
      </c>
      <c r="E797" s="5" t="s">
        <v>192</v>
      </c>
      <c r="F797" s="5" t="s">
        <v>183</v>
      </c>
      <c r="G797" s="5" t="s">
        <v>184</v>
      </c>
      <c r="H797" s="5" t="s">
        <v>18</v>
      </c>
      <c r="I797" s="7" t="s">
        <v>1236</v>
      </c>
    </row>
    <row r="798">
      <c r="A798" s="5" t="s">
        <v>1237</v>
      </c>
      <c r="B798" s="5" t="s">
        <v>371</v>
      </c>
      <c r="C798" s="5" t="s">
        <v>13</v>
      </c>
      <c r="D798" s="5" t="s">
        <v>1233</v>
      </c>
      <c r="E798" s="5" t="s">
        <v>144</v>
      </c>
      <c r="F798" s="5" t="s">
        <v>183</v>
      </c>
      <c r="G798" s="5" t="s">
        <v>184</v>
      </c>
      <c r="H798" s="5" t="s">
        <v>18</v>
      </c>
      <c r="I798" s="7" t="s">
        <v>1238</v>
      </c>
    </row>
    <row r="799">
      <c r="A799" s="5" t="s">
        <v>1239</v>
      </c>
      <c r="B799" s="5" t="s">
        <v>25</v>
      </c>
      <c r="C799" s="5" t="s">
        <v>13</v>
      </c>
      <c r="D799" s="5" t="s">
        <v>1233</v>
      </c>
      <c r="E799" s="5" t="s">
        <v>1240</v>
      </c>
      <c r="F799" s="5" t="s">
        <v>183</v>
      </c>
      <c r="G799" s="5" t="s">
        <v>184</v>
      </c>
      <c r="H799" s="5" t="s">
        <v>18</v>
      </c>
      <c r="I799" s="17" t="s">
        <v>10551</v>
      </c>
    </row>
    <row r="800">
      <c r="A800" s="5" t="s">
        <v>1242</v>
      </c>
      <c r="B800" s="5" t="s">
        <v>1243</v>
      </c>
      <c r="C800" s="5" t="s">
        <v>13</v>
      </c>
      <c r="D800" s="5" t="s">
        <v>1233</v>
      </c>
      <c r="E800" s="5" t="s">
        <v>1244</v>
      </c>
      <c r="F800" s="5" t="s">
        <v>16</v>
      </c>
      <c r="G800" s="5" t="s">
        <v>17</v>
      </c>
      <c r="H800" s="5" t="s">
        <v>18</v>
      </c>
      <c r="I800" s="7" t="s">
        <v>1245</v>
      </c>
    </row>
    <row r="801">
      <c r="A801" s="5" t="s">
        <v>1246</v>
      </c>
      <c r="B801" s="5" t="s">
        <v>25</v>
      </c>
      <c r="C801" s="5" t="s">
        <v>13</v>
      </c>
      <c r="D801" s="5" t="s">
        <v>1233</v>
      </c>
      <c r="E801" s="5" t="s">
        <v>106</v>
      </c>
      <c r="F801" s="5" t="s">
        <v>16</v>
      </c>
      <c r="G801" s="5" t="s">
        <v>17</v>
      </c>
      <c r="H801" s="5" t="s">
        <v>18</v>
      </c>
      <c r="I801" s="7" t="s">
        <v>1247</v>
      </c>
    </row>
    <row r="802">
      <c r="A802" s="5" t="s">
        <v>1248</v>
      </c>
      <c r="B802" s="5" t="s">
        <v>32</v>
      </c>
      <c r="C802" s="5" t="s">
        <v>13</v>
      </c>
      <c r="D802" s="5" t="s">
        <v>1233</v>
      </c>
      <c r="E802" s="5" t="s">
        <v>1249</v>
      </c>
      <c r="F802" s="5" t="s">
        <v>16</v>
      </c>
      <c r="G802" s="5" t="s">
        <v>17</v>
      </c>
      <c r="H802" s="5" t="s">
        <v>18</v>
      </c>
      <c r="I802" s="7" t="s">
        <v>1250</v>
      </c>
    </row>
    <row r="803">
      <c r="A803" s="5" t="s">
        <v>1251</v>
      </c>
      <c r="B803" s="5" t="s">
        <v>25</v>
      </c>
      <c r="C803" s="5" t="s">
        <v>13</v>
      </c>
      <c r="D803" s="5" t="s">
        <v>1233</v>
      </c>
      <c r="E803" s="5" t="s">
        <v>15</v>
      </c>
      <c r="F803" s="5" t="s">
        <v>16</v>
      </c>
      <c r="G803" s="5" t="s">
        <v>17</v>
      </c>
      <c r="H803" s="5" t="s">
        <v>18</v>
      </c>
      <c r="I803" s="7" t="s">
        <v>1252</v>
      </c>
    </row>
    <row r="804">
      <c r="A804" s="5" t="s">
        <v>1253</v>
      </c>
      <c r="B804" s="5" t="s">
        <v>1254</v>
      </c>
      <c r="C804" s="5" t="s">
        <v>13</v>
      </c>
      <c r="D804" s="5" t="s">
        <v>1233</v>
      </c>
      <c r="E804" s="5" t="s">
        <v>365</v>
      </c>
      <c r="F804" s="5" t="s">
        <v>377</v>
      </c>
      <c r="G804" s="5" t="s">
        <v>378</v>
      </c>
      <c r="H804" s="5" t="s">
        <v>18</v>
      </c>
      <c r="I804" s="17" t="s">
        <v>10552</v>
      </c>
    </row>
    <row r="805">
      <c r="A805" s="5" t="s">
        <v>1256</v>
      </c>
      <c r="B805" s="5" t="s">
        <v>25</v>
      </c>
      <c r="C805" s="5" t="s">
        <v>13</v>
      </c>
      <c r="D805" s="5" t="s">
        <v>1233</v>
      </c>
      <c r="E805" s="5" t="s">
        <v>63</v>
      </c>
      <c r="F805" s="5" t="s">
        <v>377</v>
      </c>
      <c r="G805" s="5" t="s">
        <v>378</v>
      </c>
      <c r="H805" s="5" t="s">
        <v>18</v>
      </c>
      <c r="I805" s="7" t="s">
        <v>1257</v>
      </c>
    </row>
    <row r="806">
      <c r="A806" s="5" t="s">
        <v>1258</v>
      </c>
      <c r="B806" s="5" t="s">
        <v>25</v>
      </c>
      <c r="C806" s="5" t="s">
        <v>13</v>
      </c>
      <c r="D806" s="5" t="s">
        <v>1233</v>
      </c>
      <c r="F806" s="5" t="s">
        <v>1259</v>
      </c>
      <c r="G806" s="5" t="s">
        <v>945</v>
      </c>
      <c r="H806" s="5" t="s">
        <v>18</v>
      </c>
      <c r="I806" s="7" t="s">
        <v>1260</v>
      </c>
    </row>
    <row r="807">
      <c r="A807" s="5" t="s">
        <v>1261</v>
      </c>
      <c r="B807" s="5" t="s">
        <v>25</v>
      </c>
      <c r="C807" s="5" t="s">
        <v>13</v>
      </c>
      <c r="D807" s="5" t="s">
        <v>1233</v>
      </c>
      <c r="E807" s="5" t="s">
        <v>648</v>
      </c>
      <c r="F807" s="5" t="s">
        <v>49</v>
      </c>
      <c r="G807" s="5" t="s">
        <v>50</v>
      </c>
      <c r="H807" s="5" t="s">
        <v>18</v>
      </c>
      <c r="I807" s="7" t="s">
        <v>1262</v>
      </c>
    </row>
    <row r="808">
      <c r="A808" s="5" t="s">
        <v>1263</v>
      </c>
      <c r="B808" s="5" t="s">
        <v>371</v>
      </c>
      <c r="C808" s="5" t="s">
        <v>13</v>
      </c>
      <c r="D808" s="5" t="s">
        <v>1233</v>
      </c>
      <c r="E808" s="5" t="s">
        <v>496</v>
      </c>
      <c r="F808" s="5" t="s">
        <v>64</v>
      </c>
      <c r="G808" s="5" t="s">
        <v>65</v>
      </c>
      <c r="H808" s="5" t="s">
        <v>18</v>
      </c>
      <c r="I808" s="7" t="s">
        <v>1264</v>
      </c>
    </row>
    <row r="809">
      <c r="A809" s="5" t="s">
        <v>1265</v>
      </c>
      <c r="B809" s="5" t="s">
        <v>371</v>
      </c>
      <c r="C809" s="5" t="s">
        <v>13</v>
      </c>
      <c r="D809" s="5" t="s">
        <v>1233</v>
      </c>
      <c r="E809" s="5" t="s">
        <v>15</v>
      </c>
      <c r="F809" s="5" t="s">
        <v>64</v>
      </c>
      <c r="G809" s="5" t="s">
        <v>65</v>
      </c>
      <c r="H809" s="5" t="s">
        <v>18</v>
      </c>
      <c r="I809" s="7" t="s">
        <v>1266</v>
      </c>
    </row>
    <row r="810">
      <c r="A810" s="5" t="s">
        <v>1267</v>
      </c>
      <c r="B810" s="5" t="s">
        <v>371</v>
      </c>
      <c r="C810" s="5" t="s">
        <v>13</v>
      </c>
      <c r="D810" s="5" t="s">
        <v>1233</v>
      </c>
      <c r="E810" s="5" t="s">
        <v>94</v>
      </c>
      <c r="F810" s="5" t="s">
        <v>64</v>
      </c>
      <c r="G810" s="5" t="s">
        <v>65</v>
      </c>
      <c r="H810" s="5" t="s">
        <v>18</v>
      </c>
      <c r="I810" s="7" t="s">
        <v>1268</v>
      </c>
    </row>
    <row r="811">
      <c r="A811" s="5" t="s">
        <v>1269</v>
      </c>
      <c r="B811" s="5" t="s">
        <v>371</v>
      </c>
      <c r="C811" s="5" t="s">
        <v>13</v>
      </c>
      <c r="D811" s="5" t="s">
        <v>1233</v>
      </c>
      <c r="E811" s="5" t="s">
        <v>144</v>
      </c>
      <c r="F811" s="5" t="s">
        <v>64</v>
      </c>
      <c r="G811" s="5" t="s">
        <v>65</v>
      </c>
      <c r="H811" s="5" t="s">
        <v>18</v>
      </c>
      <c r="I811" s="7" t="s">
        <v>1270</v>
      </c>
    </row>
    <row r="812">
      <c r="A812" s="5" t="s">
        <v>1271</v>
      </c>
      <c r="B812" s="5" t="s">
        <v>32</v>
      </c>
      <c r="C812" s="5" t="s">
        <v>13</v>
      </c>
      <c r="D812" s="5" t="s">
        <v>1233</v>
      </c>
      <c r="E812" s="5" t="s">
        <v>228</v>
      </c>
      <c r="F812" s="5" t="s">
        <v>64</v>
      </c>
      <c r="G812" s="5" t="s">
        <v>65</v>
      </c>
      <c r="H812" s="5" t="s">
        <v>18</v>
      </c>
      <c r="I812" s="7" t="s">
        <v>1272</v>
      </c>
    </row>
    <row r="813">
      <c r="A813" s="5" t="s">
        <v>1273</v>
      </c>
      <c r="B813" s="5" t="s">
        <v>32</v>
      </c>
      <c r="C813" s="5" t="s">
        <v>13</v>
      </c>
      <c r="D813" s="5" t="s">
        <v>1233</v>
      </c>
      <c r="E813" s="5" t="s">
        <v>182</v>
      </c>
      <c r="F813" s="5" t="s">
        <v>1274</v>
      </c>
      <c r="G813" s="5" t="s">
        <v>76</v>
      </c>
      <c r="H813" s="5" t="s">
        <v>18</v>
      </c>
      <c r="I813" s="7" t="s">
        <v>1275</v>
      </c>
    </row>
    <row r="814">
      <c r="A814" s="5" t="s">
        <v>1276</v>
      </c>
      <c r="B814" s="5" t="s">
        <v>1277</v>
      </c>
      <c r="C814" s="5" t="s">
        <v>13</v>
      </c>
      <c r="D814" s="5" t="s">
        <v>1233</v>
      </c>
      <c r="E814" s="5" t="s">
        <v>980</v>
      </c>
      <c r="F814" s="5" t="s">
        <v>1278</v>
      </c>
      <c r="G814" s="5" t="s">
        <v>44</v>
      </c>
      <c r="H814" s="5" t="s">
        <v>18</v>
      </c>
      <c r="I814" s="7" t="s">
        <v>1279</v>
      </c>
    </row>
    <row r="815">
      <c r="A815" s="5" t="s">
        <v>1280</v>
      </c>
      <c r="B815" s="5" t="s">
        <v>1281</v>
      </c>
      <c r="C815" s="5" t="s">
        <v>13</v>
      </c>
      <c r="D815" s="5" t="s">
        <v>1233</v>
      </c>
      <c r="E815" s="5" t="s">
        <v>1282</v>
      </c>
      <c r="F815" s="5" t="s">
        <v>80</v>
      </c>
      <c r="G815" s="5" t="s">
        <v>38</v>
      </c>
      <c r="H815" s="5" t="s">
        <v>18</v>
      </c>
      <c r="I815" s="7" t="s">
        <v>1283</v>
      </c>
    </row>
    <row r="816">
      <c r="A816" s="5" t="s">
        <v>1284</v>
      </c>
      <c r="B816" s="5" t="s">
        <v>25</v>
      </c>
      <c r="C816" s="5" t="s">
        <v>13</v>
      </c>
      <c r="D816" s="5" t="s">
        <v>1233</v>
      </c>
      <c r="E816" s="5" t="s">
        <v>100</v>
      </c>
      <c r="F816" s="5" t="s">
        <v>80</v>
      </c>
      <c r="G816" s="5" t="s">
        <v>38</v>
      </c>
      <c r="H816" s="5" t="s">
        <v>18</v>
      </c>
      <c r="I816" s="7" t="s">
        <v>1285</v>
      </c>
    </row>
    <row r="817">
      <c r="A817" s="5" t="s">
        <v>1286</v>
      </c>
      <c r="B817" s="5" t="s">
        <v>32</v>
      </c>
      <c r="C817" s="5" t="s">
        <v>13</v>
      </c>
      <c r="D817" s="5" t="s">
        <v>1233</v>
      </c>
      <c r="E817" s="5" t="s">
        <v>228</v>
      </c>
      <c r="F817" s="5" t="s">
        <v>85</v>
      </c>
      <c r="G817" s="5" t="s">
        <v>86</v>
      </c>
      <c r="H817" s="5" t="s">
        <v>18</v>
      </c>
      <c r="I817" s="7" t="s">
        <v>1287</v>
      </c>
    </row>
    <row r="818">
      <c r="A818" s="5" t="s">
        <v>1288</v>
      </c>
      <c r="B818" s="5" t="s">
        <v>25</v>
      </c>
      <c r="C818" s="5" t="s">
        <v>13</v>
      </c>
      <c r="D818" s="5" t="s">
        <v>1233</v>
      </c>
      <c r="E818" s="5" t="s">
        <v>1289</v>
      </c>
      <c r="F818" s="5" t="s">
        <v>85</v>
      </c>
      <c r="G818" s="5" t="s">
        <v>86</v>
      </c>
      <c r="H818" s="5" t="s">
        <v>18</v>
      </c>
      <c r="I818" s="7" t="s">
        <v>1290</v>
      </c>
    </row>
    <row r="819">
      <c r="A819" s="5" t="s">
        <v>1291</v>
      </c>
      <c r="B819" s="5" t="s">
        <v>371</v>
      </c>
      <c r="C819" s="5" t="s">
        <v>13</v>
      </c>
      <c r="D819" s="5" t="s">
        <v>1233</v>
      </c>
      <c r="E819" s="5" t="s">
        <v>1292</v>
      </c>
      <c r="F819" s="5" t="s">
        <v>90</v>
      </c>
      <c r="G819" s="5" t="s">
        <v>91</v>
      </c>
      <c r="H819" s="5" t="s">
        <v>18</v>
      </c>
      <c r="I819" s="7" t="s">
        <v>1293</v>
      </c>
    </row>
    <row r="820">
      <c r="A820" s="5" t="s">
        <v>1294</v>
      </c>
      <c r="B820" s="5" t="s">
        <v>1295</v>
      </c>
      <c r="C820" s="5" t="s">
        <v>13</v>
      </c>
      <c r="D820" s="5" t="s">
        <v>1233</v>
      </c>
      <c r="E820" s="5" t="s">
        <v>192</v>
      </c>
      <c r="F820" s="5" t="s">
        <v>1296</v>
      </c>
      <c r="G820" s="5" t="s">
        <v>96</v>
      </c>
      <c r="H820" s="5" t="s">
        <v>18</v>
      </c>
      <c r="I820" s="7" t="s">
        <v>1297</v>
      </c>
    </row>
    <row r="821">
      <c r="A821" s="5" t="s">
        <v>1298</v>
      </c>
      <c r="B821" s="5" t="s">
        <v>1299</v>
      </c>
      <c r="C821" s="5" t="s">
        <v>13</v>
      </c>
      <c r="D821" s="5" t="s">
        <v>1233</v>
      </c>
      <c r="E821" s="5" t="s">
        <v>1300</v>
      </c>
      <c r="F821" s="5" t="s">
        <v>1301</v>
      </c>
      <c r="G821" s="5" t="s">
        <v>96</v>
      </c>
      <c r="H821" s="5" t="s">
        <v>18</v>
      </c>
      <c r="I821" s="7" t="s">
        <v>1302</v>
      </c>
    </row>
    <row r="822">
      <c r="A822" s="5" t="s">
        <v>1303</v>
      </c>
      <c r="B822" s="5" t="s">
        <v>32</v>
      </c>
      <c r="C822" s="5" t="s">
        <v>13</v>
      </c>
      <c r="D822" s="5" t="s">
        <v>1233</v>
      </c>
      <c r="E822" s="5" t="s">
        <v>26</v>
      </c>
      <c r="F822" s="5" t="s">
        <v>1304</v>
      </c>
      <c r="G822" s="5" t="s">
        <v>1305</v>
      </c>
      <c r="H822" s="5" t="s">
        <v>18</v>
      </c>
      <c r="I822" s="7" t="s">
        <v>1306</v>
      </c>
    </row>
    <row r="823">
      <c r="A823" s="5" t="s">
        <v>1307</v>
      </c>
      <c r="B823" s="5" t="s">
        <v>25</v>
      </c>
      <c r="C823" s="5" t="s">
        <v>13</v>
      </c>
      <c r="D823" s="5" t="s">
        <v>1233</v>
      </c>
      <c r="E823" s="5" t="s">
        <v>459</v>
      </c>
      <c r="F823" s="5" t="s">
        <v>112</v>
      </c>
      <c r="G823" s="5" t="s">
        <v>38</v>
      </c>
      <c r="H823" s="5" t="s">
        <v>18</v>
      </c>
      <c r="I823" s="7" t="s">
        <v>1308</v>
      </c>
    </row>
    <row r="824">
      <c r="A824" s="5" t="s">
        <v>1309</v>
      </c>
      <c r="B824" s="5" t="s">
        <v>32</v>
      </c>
      <c r="C824" s="5" t="s">
        <v>13</v>
      </c>
      <c r="D824" s="5" t="s">
        <v>1233</v>
      </c>
      <c r="E824" s="5" t="s">
        <v>418</v>
      </c>
      <c r="F824" s="5" t="s">
        <v>112</v>
      </c>
      <c r="G824" s="5" t="s">
        <v>38</v>
      </c>
      <c r="H824" s="5" t="s">
        <v>18</v>
      </c>
      <c r="I824" s="7" t="s">
        <v>1310</v>
      </c>
    </row>
    <row r="825">
      <c r="A825" s="5" t="s">
        <v>1311</v>
      </c>
      <c r="B825" s="5" t="s">
        <v>25</v>
      </c>
      <c r="C825" s="5" t="s">
        <v>13</v>
      </c>
      <c r="D825" s="5" t="s">
        <v>1233</v>
      </c>
      <c r="E825" s="5" t="s">
        <v>376</v>
      </c>
      <c r="F825" s="5" t="s">
        <v>1312</v>
      </c>
      <c r="G825" s="5" t="s">
        <v>219</v>
      </c>
      <c r="H825" s="5" t="s">
        <v>18</v>
      </c>
      <c r="I825" s="7" t="s">
        <v>1313</v>
      </c>
    </row>
    <row r="826">
      <c r="A826" s="5" t="s">
        <v>1314</v>
      </c>
      <c r="B826" s="5" t="s">
        <v>371</v>
      </c>
      <c r="C826" s="5" t="s">
        <v>13</v>
      </c>
      <c r="D826" s="5" t="s">
        <v>1233</v>
      </c>
      <c r="F826" s="5" t="s">
        <v>975</v>
      </c>
      <c r="G826" s="5" t="s">
        <v>44</v>
      </c>
      <c r="H826" s="5" t="s">
        <v>18</v>
      </c>
      <c r="I826" s="7" t="s">
        <v>1315</v>
      </c>
    </row>
    <row r="827">
      <c r="A827" s="5" t="s">
        <v>1316</v>
      </c>
      <c r="B827" s="5" t="s">
        <v>371</v>
      </c>
      <c r="C827" s="5" t="s">
        <v>13</v>
      </c>
      <c r="D827" s="5" t="s">
        <v>1233</v>
      </c>
      <c r="E827" s="5" t="s">
        <v>26</v>
      </c>
      <c r="F827" s="5" t="s">
        <v>122</v>
      </c>
      <c r="G827" s="5" t="s">
        <v>44</v>
      </c>
      <c r="H827" s="5" t="s">
        <v>18</v>
      </c>
      <c r="I827" s="7" t="s">
        <v>1317</v>
      </c>
    </row>
    <row r="828">
      <c r="A828" s="5" t="s">
        <v>1318</v>
      </c>
      <c r="B828" s="5" t="s">
        <v>25</v>
      </c>
      <c r="C828" s="5" t="s">
        <v>13</v>
      </c>
      <c r="D828" s="5" t="s">
        <v>1233</v>
      </c>
      <c r="F828" s="5" t="s">
        <v>122</v>
      </c>
      <c r="G828" s="5" t="s">
        <v>44</v>
      </c>
      <c r="H828" s="5" t="s">
        <v>18</v>
      </c>
      <c r="I828" s="7" t="s">
        <v>1319</v>
      </c>
    </row>
    <row r="829">
      <c r="A829" s="5" t="s">
        <v>1320</v>
      </c>
      <c r="B829" s="5" t="s">
        <v>371</v>
      </c>
      <c r="C829" s="5" t="s">
        <v>13</v>
      </c>
      <c r="D829" s="5" t="s">
        <v>1233</v>
      </c>
      <c r="E829" s="5" t="s">
        <v>1321</v>
      </c>
      <c r="F829" s="5" t="s">
        <v>122</v>
      </c>
      <c r="G829" s="5" t="s">
        <v>44</v>
      </c>
      <c r="H829" s="5" t="s">
        <v>18</v>
      </c>
      <c r="I829" s="17" t="s">
        <v>10553</v>
      </c>
    </row>
    <row r="830">
      <c r="A830" s="5" t="s">
        <v>1323</v>
      </c>
      <c r="B830" s="5" t="s">
        <v>1324</v>
      </c>
      <c r="C830" s="5" t="s">
        <v>13</v>
      </c>
      <c r="D830" s="5" t="s">
        <v>1233</v>
      </c>
      <c r="E830" s="5" t="s">
        <v>570</v>
      </c>
      <c r="F830" s="5" t="s">
        <v>793</v>
      </c>
      <c r="G830" s="5" t="s">
        <v>184</v>
      </c>
      <c r="H830" s="5" t="s">
        <v>18</v>
      </c>
      <c r="I830" s="7" t="s">
        <v>1325</v>
      </c>
    </row>
    <row r="831">
      <c r="A831" s="5" t="s">
        <v>1326</v>
      </c>
      <c r="B831" s="5" t="s">
        <v>1327</v>
      </c>
      <c r="C831" s="5" t="s">
        <v>13</v>
      </c>
      <c r="D831" s="5" t="s">
        <v>1233</v>
      </c>
      <c r="E831" s="5" t="s">
        <v>26</v>
      </c>
      <c r="F831" s="5" t="s">
        <v>218</v>
      </c>
      <c r="G831" s="5" t="s">
        <v>219</v>
      </c>
      <c r="H831" s="5" t="s">
        <v>18</v>
      </c>
      <c r="I831" s="7" t="s">
        <v>10554</v>
      </c>
    </row>
    <row r="832">
      <c r="A832" s="5" t="s">
        <v>1329</v>
      </c>
      <c r="B832" s="5" t="s">
        <v>766</v>
      </c>
      <c r="C832" s="5" t="s">
        <v>13</v>
      </c>
      <c r="D832" s="5" t="s">
        <v>1233</v>
      </c>
      <c r="E832" s="5" t="s">
        <v>421</v>
      </c>
      <c r="F832" s="5" t="s">
        <v>137</v>
      </c>
      <c r="G832" s="5" t="s">
        <v>137</v>
      </c>
      <c r="H832" s="5" t="s">
        <v>18</v>
      </c>
      <c r="I832" s="7" t="s">
        <v>1330</v>
      </c>
    </row>
    <row r="833">
      <c r="A833" s="5" t="s">
        <v>1331</v>
      </c>
      <c r="B833" s="5" t="s">
        <v>1332</v>
      </c>
      <c r="C833" s="5" t="s">
        <v>13</v>
      </c>
      <c r="D833" s="5" t="s">
        <v>1233</v>
      </c>
      <c r="E833" s="5" t="s">
        <v>570</v>
      </c>
      <c r="F833" s="5" t="s">
        <v>137</v>
      </c>
      <c r="G833" s="5" t="s">
        <v>137</v>
      </c>
      <c r="H833" s="5" t="s">
        <v>18</v>
      </c>
      <c r="I833" s="17" t="s">
        <v>10555</v>
      </c>
    </row>
    <row r="834">
      <c r="A834" s="5" t="s">
        <v>1334</v>
      </c>
      <c r="B834" s="5" t="s">
        <v>371</v>
      </c>
      <c r="C834" s="5" t="s">
        <v>13</v>
      </c>
      <c r="D834" s="5" t="s">
        <v>1233</v>
      </c>
      <c r="E834" s="5" t="s">
        <v>60</v>
      </c>
      <c r="F834" s="5" t="s">
        <v>137</v>
      </c>
      <c r="G834" s="5" t="s">
        <v>137</v>
      </c>
      <c r="H834" s="5" t="s">
        <v>18</v>
      </c>
      <c r="I834" s="17" t="s">
        <v>10556</v>
      </c>
    </row>
    <row r="835">
      <c r="A835" s="5" t="s">
        <v>1336</v>
      </c>
      <c r="B835" s="5" t="s">
        <v>1337</v>
      </c>
      <c r="C835" s="5" t="s">
        <v>13</v>
      </c>
      <c r="D835" s="5" t="s">
        <v>1233</v>
      </c>
      <c r="E835" s="5" t="s">
        <v>15</v>
      </c>
      <c r="F835" s="5" t="s">
        <v>137</v>
      </c>
      <c r="G835" s="5" t="s">
        <v>137</v>
      </c>
      <c r="H835" s="5" t="s">
        <v>18</v>
      </c>
      <c r="I835" s="17" t="s">
        <v>10557</v>
      </c>
    </row>
    <row r="836">
      <c r="A836" s="5" t="s">
        <v>1339</v>
      </c>
      <c r="B836" s="5" t="s">
        <v>25</v>
      </c>
      <c r="C836" s="5" t="s">
        <v>13</v>
      </c>
      <c r="D836" s="5" t="s">
        <v>1233</v>
      </c>
      <c r="E836" s="5" t="s">
        <v>207</v>
      </c>
      <c r="F836" s="5" t="s">
        <v>137</v>
      </c>
      <c r="G836" s="5" t="s">
        <v>137</v>
      </c>
      <c r="H836" s="5" t="s">
        <v>18</v>
      </c>
      <c r="I836" s="7" t="s">
        <v>1340</v>
      </c>
    </row>
    <row r="837">
      <c r="A837" s="5" t="s">
        <v>1341</v>
      </c>
      <c r="B837" s="5" t="s">
        <v>25</v>
      </c>
      <c r="C837" s="5" t="s">
        <v>13</v>
      </c>
      <c r="D837" s="5" t="s">
        <v>1233</v>
      </c>
      <c r="E837" s="5" t="s">
        <v>574</v>
      </c>
      <c r="F837" s="5" t="s">
        <v>137</v>
      </c>
      <c r="G837" s="5" t="s">
        <v>137</v>
      </c>
      <c r="H837" s="5" t="s">
        <v>18</v>
      </c>
      <c r="I837" s="7" t="s">
        <v>1342</v>
      </c>
    </row>
    <row r="838">
      <c r="A838" s="5" t="s">
        <v>1343</v>
      </c>
      <c r="B838" s="5" t="s">
        <v>1344</v>
      </c>
      <c r="C838" s="5" t="s">
        <v>13</v>
      </c>
      <c r="D838" s="5" t="s">
        <v>1233</v>
      </c>
      <c r="E838" s="5" t="s">
        <v>192</v>
      </c>
      <c r="F838" s="5" t="s">
        <v>137</v>
      </c>
      <c r="G838" s="5" t="s">
        <v>137</v>
      </c>
      <c r="H838" s="5" t="s">
        <v>18</v>
      </c>
      <c r="I838" s="7" t="s">
        <v>1345</v>
      </c>
    </row>
    <row r="839">
      <c r="A839" s="5" t="s">
        <v>1346</v>
      </c>
      <c r="B839" s="5" t="s">
        <v>1347</v>
      </c>
      <c r="C839" s="5" t="s">
        <v>13</v>
      </c>
      <c r="D839" s="5" t="s">
        <v>1233</v>
      </c>
      <c r="E839" s="5" t="s">
        <v>106</v>
      </c>
      <c r="F839" s="5" t="s">
        <v>153</v>
      </c>
      <c r="G839" s="5" t="s">
        <v>154</v>
      </c>
      <c r="H839" s="5" t="s">
        <v>18</v>
      </c>
      <c r="I839" s="17" t="s">
        <v>10558</v>
      </c>
    </row>
    <row r="840">
      <c r="A840" s="5" t="s">
        <v>1349</v>
      </c>
      <c r="B840" s="5" t="s">
        <v>25</v>
      </c>
      <c r="C840" s="5" t="s">
        <v>13</v>
      </c>
      <c r="D840" s="5" t="s">
        <v>1233</v>
      </c>
      <c r="E840" s="5" t="s">
        <v>15</v>
      </c>
      <c r="F840" s="5" t="s">
        <v>223</v>
      </c>
      <c r="G840" s="5" t="s">
        <v>224</v>
      </c>
      <c r="H840" s="5" t="s">
        <v>18</v>
      </c>
      <c r="I840" s="17" t="s">
        <v>10559</v>
      </c>
    </row>
    <row r="841">
      <c r="A841" s="5" t="s">
        <v>1351</v>
      </c>
      <c r="B841" s="5" t="s">
        <v>25</v>
      </c>
      <c r="C841" s="5" t="s">
        <v>13</v>
      </c>
      <c r="D841" s="5" t="s">
        <v>1233</v>
      </c>
      <c r="E841" s="5" t="s">
        <v>1352</v>
      </c>
      <c r="F841" s="5" t="s">
        <v>1353</v>
      </c>
      <c r="G841" s="5" t="s">
        <v>1354</v>
      </c>
      <c r="H841" s="5" t="s">
        <v>18</v>
      </c>
      <c r="I841" s="7" t="s">
        <v>1355</v>
      </c>
    </row>
    <row r="842">
      <c r="A842" s="5" t="s">
        <v>1356</v>
      </c>
      <c r="B842" s="5" t="s">
        <v>25</v>
      </c>
      <c r="C842" s="5" t="s">
        <v>13</v>
      </c>
      <c r="D842" s="5" t="s">
        <v>1233</v>
      </c>
      <c r="E842" s="5" t="s">
        <v>1357</v>
      </c>
      <c r="F842" s="5" t="s">
        <v>801</v>
      </c>
      <c r="G842" s="5" t="s">
        <v>50</v>
      </c>
      <c r="H842" s="5" t="s">
        <v>18</v>
      </c>
      <c r="I842" s="7" t="s">
        <v>1358</v>
      </c>
    </row>
    <row r="843">
      <c r="A843" s="5" t="s">
        <v>1359</v>
      </c>
      <c r="B843" s="5" t="s">
        <v>371</v>
      </c>
      <c r="C843" s="5" t="s">
        <v>13</v>
      </c>
      <c r="D843" s="5" t="s">
        <v>1233</v>
      </c>
      <c r="E843" s="5" t="s">
        <v>1360</v>
      </c>
      <c r="F843" s="5" t="s">
        <v>1361</v>
      </c>
      <c r="G843" s="5" t="s">
        <v>91</v>
      </c>
      <c r="H843" s="5" t="s">
        <v>18</v>
      </c>
      <c r="I843" s="7" t="s">
        <v>1362</v>
      </c>
    </row>
    <row r="844">
      <c r="A844" s="5" t="s">
        <v>1363</v>
      </c>
      <c r="B844" s="5" t="s">
        <v>371</v>
      </c>
      <c r="C844" s="5" t="s">
        <v>13</v>
      </c>
      <c r="D844" s="5" t="s">
        <v>1233</v>
      </c>
      <c r="E844" s="5" t="s">
        <v>1364</v>
      </c>
      <c r="F844" s="5" t="s">
        <v>166</v>
      </c>
      <c r="G844" s="5" t="s">
        <v>44</v>
      </c>
      <c r="H844" s="5" t="s">
        <v>18</v>
      </c>
      <c r="I844" s="7" t="s">
        <v>1365</v>
      </c>
    </row>
    <row r="845">
      <c r="A845" s="5" t="s">
        <v>1366</v>
      </c>
      <c r="B845" s="5" t="s">
        <v>371</v>
      </c>
      <c r="C845" s="5" t="s">
        <v>13</v>
      </c>
      <c r="D845" s="5" t="s">
        <v>1233</v>
      </c>
      <c r="F845" s="5" t="s">
        <v>166</v>
      </c>
      <c r="G845" s="5" t="s">
        <v>44</v>
      </c>
      <c r="H845" s="5" t="s">
        <v>18</v>
      </c>
      <c r="I845" s="7" t="s">
        <v>1367</v>
      </c>
    </row>
    <row r="846">
      <c r="A846" s="5" t="s">
        <v>1368</v>
      </c>
      <c r="B846" s="5" t="s">
        <v>25</v>
      </c>
      <c r="C846" s="5" t="s">
        <v>13</v>
      </c>
      <c r="D846" s="5" t="s">
        <v>1233</v>
      </c>
      <c r="E846" s="5" t="s">
        <v>36</v>
      </c>
      <c r="F846" s="5" t="s">
        <v>166</v>
      </c>
      <c r="G846" s="5" t="s">
        <v>44</v>
      </c>
      <c r="H846" s="5" t="s">
        <v>18</v>
      </c>
      <c r="I846" s="7" t="s">
        <v>1369</v>
      </c>
    </row>
    <row r="847">
      <c r="A847" s="5" t="s">
        <v>1370</v>
      </c>
      <c r="B847" s="5" t="s">
        <v>25</v>
      </c>
      <c r="C847" s="5" t="s">
        <v>13</v>
      </c>
      <c r="D847" s="5" t="s">
        <v>1233</v>
      </c>
      <c r="E847" s="5" t="s">
        <v>1371</v>
      </c>
      <c r="F847" s="5" t="s">
        <v>166</v>
      </c>
      <c r="G847" s="5" t="s">
        <v>44</v>
      </c>
      <c r="H847" s="5" t="s">
        <v>18</v>
      </c>
      <c r="I847" s="7" t="s">
        <v>1372</v>
      </c>
    </row>
    <row r="848">
      <c r="A848" s="5" t="s">
        <v>1373</v>
      </c>
      <c r="B848" s="5" t="s">
        <v>32</v>
      </c>
      <c r="C848" s="5" t="s">
        <v>13</v>
      </c>
      <c r="D848" s="5" t="s">
        <v>1233</v>
      </c>
      <c r="E848" s="5" t="s">
        <v>666</v>
      </c>
      <c r="F848" s="5" t="s">
        <v>166</v>
      </c>
      <c r="G848" s="5" t="s">
        <v>44</v>
      </c>
      <c r="H848" s="5" t="s">
        <v>18</v>
      </c>
      <c r="I848" s="7" t="s">
        <v>1374</v>
      </c>
    </row>
    <row r="849">
      <c r="A849" s="5" t="s">
        <v>1375</v>
      </c>
      <c r="B849" s="5" t="s">
        <v>110</v>
      </c>
      <c r="C849" s="5" t="s">
        <v>13</v>
      </c>
      <c r="D849" s="5" t="s">
        <v>1233</v>
      </c>
      <c r="E849" s="5" t="s">
        <v>909</v>
      </c>
      <c r="F849" s="5" t="s">
        <v>169</v>
      </c>
      <c r="G849" s="5" t="s">
        <v>44</v>
      </c>
      <c r="H849" s="5" t="s">
        <v>18</v>
      </c>
      <c r="I849" s="7" t="s">
        <v>1376</v>
      </c>
    </row>
    <row r="850">
      <c r="A850" s="5" t="s">
        <v>1377</v>
      </c>
      <c r="B850" s="5" t="s">
        <v>1378</v>
      </c>
      <c r="C850" s="5" t="s">
        <v>13</v>
      </c>
      <c r="D850" s="5" t="s">
        <v>1233</v>
      </c>
      <c r="E850" s="5" t="s">
        <v>651</v>
      </c>
      <c r="F850" s="5" t="s">
        <v>1379</v>
      </c>
      <c r="G850" s="5" t="s">
        <v>224</v>
      </c>
      <c r="H850" s="5" t="s">
        <v>18</v>
      </c>
      <c r="I850" s="7" t="s">
        <v>1380</v>
      </c>
    </row>
    <row r="851">
      <c r="A851" s="5" t="s">
        <v>1381</v>
      </c>
      <c r="B851" s="5" t="s">
        <v>25</v>
      </c>
      <c r="C851" s="5" t="s">
        <v>13</v>
      </c>
      <c r="D851" s="5" t="s">
        <v>1233</v>
      </c>
      <c r="E851" s="5" t="s">
        <v>421</v>
      </c>
      <c r="F851" s="5" t="s">
        <v>311</v>
      </c>
      <c r="G851" s="5" t="s">
        <v>102</v>
      </c>
      <c r="H851" s="5" t="s">
        <v>18</v>
      </c>
      <c r="I851" s="7" t="s">
        <v>1382</v>
      </c>
    </row>
    <row r="852">
      <c r="A852" s="5" t="s">
        <v>1383</v>
      </c>
      <c r="B852" s="5" t="s">
        <v>1384</v>
      </c>
      <c r="C852" s="5" t="s">
        <v>13</v>
      </c>
      <c r="D852" s="5" t="s">
        <v>1233</v>
      </c>
      <c r="E852" s="5" t="s">
        <v>365</v>
      </c>
      <c r="F852" s="5" t="s">
        <v>311</v>
      </c>
      <c r="G852" s="5" t="s">
        <v>102</v>
      </c>
      <c r="H852" s="5" t="s">
        <v>18</v>
      </c>
      <c r="I852" s="7" t="s">
        <v>1385</v>
      </c>
    </row>
    <row r="853">
      <c r="A853" s="5" t="s">
        <v>1386</v>
      </c>
      <c r="B853" s="5" t="s">
        <v>1387</v>
      </c>
      <c r="C853" s="5" t="s">
        <v>13</v>
      </c>
      <c r="D853" s="5" t="s">
        <v>1233</v>
      </c>
      <c r="E853" s="5" t="s">
        <v>1364</v>
      </c>
      <c r="F853" s="5" t="s">
        <v>669</v>
      </c>
      <c r="G853" s="5" t="s">
        <v>17</v>
      </c>
      <c r="H853" s="5" t="s">
        <v>18</v>
      </c>
      <c r="I853" s="7" t="s">
        <v>10560</v>
      </c>
    </row>
    <row r="854">
      <c r="A854" s="5" t="s">
        <v>1389</v>
      </c>
      <c r="B854" s="5" t="s">
        <v>1390</v>
      </c>
      <c r="C854" s="5" t="s">
        <v>13</v>
      </c>
      <c r="D854" s="5" t="s">
        <v>1233</v>
      </c>
      <c r="E854" s="5" t="s">
        <v>106</v>
      </c>
      <c r="F854" s="5" t="s">
        <v>1391</v>
      </c>
      <c r="G854" s="5" t="s">
        <v>954</v>
      </c>
      <c r="H854" s="5" t="s">
        <v>18</v>
      </c>
      <c r="I854" s="7" t="s">
        <v>10561</v>
      </c>
    </row>
    <row r="855">
      <c r="A855" s="5" t="s">
        <v>1393</v>
      </c>
      <c r="B855" s="5" t="s">
        <v>25</v>
      </c>
      <c r="C855" s="5" t="s">
        <v>13</v>
      </c>
      <c r="D855" s="5" t="s">
        <v>1233</v>
      </c>
      <c r="F855" s="5" t="s">
        <v>1394</v>
      </c>
      <c r="G855" s="5" t="s">
        <v>184</v>
      </c>
      <c r="H855" s="5" t="s">
        <v>18</v>
      </c>
      <c r="I855" s="7" t="s">
        <v>1395</v>
      </c>
    </row>
    <row r="856">
      <c r="A856" s="5" t="s">
        <v>1396</v>
      </c>
      <c r="B856" s="5" t="s">
        <v>1397</v>
      </c>
      <c r="C856" s="5" t="s">
        <v>13</v>
      </c>
      <c r="D856" s="5" t="s">
        <v>1233</v>
      </c>
      <c r="E856" s="5" t="s">
        <v>1398</v>
      </c>
      <c r="F856" s="5" t="s">
        <v>1399</v>
      </c>
      <c r="G856" s="5" t="s">
        <v>96</v>
      </c>
      <c r="H856" s="5" t="s">
        <v>18</v>
      </c>
      <c r="I856" s="17" t="s">
        <v>10562</v>
      </c>
    </row>
    <row r="857">
      <c r="A857" s="5" t="s">
        <v>1401</v>
      </c>
      <c r="B857" s="5" t="s">
        <v>371</v>
      </c>
      <c r="C857" s="5" t="s">
        <v>13</v>
      </c>
      <c r="D857" s="5" t="s">
        <v>1233</v>
      </c>
      <c r="E857" s="5" t="s">
        <v>1123</v>
      </c>
      <c r="F857" s="5" t="s">
        <v>102</v>
      </c>
      <c r="G857" s="5" t="s">
        <v>172</v>
      </c>
      <c r="H857" s="5" t="s">
        <v>18</v>
      </c>
      <c r="I857" s="7" t="s">
        <v>1402</v>
      </c>
    </row>
    <row r="858">
      <c r="A858" s="5" t="s">
        <v>1403</v>
      </c>
      <c r="B858" s="5" t="s">
        <v>32</v>
      </c>
      <c r="C858" s="5" t="s">
        <v>13</v>
      </c>
      <c r="D858" s="5" t="s">
        <v>1233</v>
      </c>
      <c r="E858" s="5" t="s">
        <v>192</v>
      </c>
      <c r="F858" s="5" t="s">
        <v>102</v>
      </c>
      <c r="G858" s="5" t="s">
        <v>172</v>
      </c>
      <c r="H858" s="5" t="s">
        <v>18</v>
      </c>
      <c r="I858" s="17" t="s">
        <v>10563</v>
      </c>
    </row>
    <row r="859">
      <c r="A859" s="5" t="s">
        <v>1405</v>
      </c>
      <c r="B859" s="5" t="s">
        <v>1406</v>
      </c>
      <c r="C859" s="5" t="s">
        <v>13</v>
      </c>
      <c r="D859" s="5" t="s">
        <v>1233</v>
      </c>
      <c r="E859" s="5" t="s">
        <v>1407</v>
      </c>
      <c r="F859" s="5" t="s">
        <v>49</v>
      </c>
      <c r="G859" s="5" t="s">
        <v>50</v>
      </c>
      <c r="H859" s="5" t="s">
        <v>18</v>
      </c>
      <c r="I859" s="7" t="s">
        <v>1408</v>
      </c>
    </row>
    <row r="860">
      <c r="A860" s="5" t="s">
        <v>1409</v>
      </c>
      <c r="B860" s="5" t="s">
        <v>1410</v>
      </c>
      <c r="C860" s="5" t="s">
        <v>13</v>
      </c>
      <c r="D860" s="5" t="s">
        <v>1233</v>
      </c>
      <c r="E860" s="5" t="s">
        <v>1411</v>
      </c>
      <c r="F860" s="5" t="s">
        <v>1412</v>
      </c>
      <c r="G860" s="5" t="s">
        <v>96</v>
      </c>
      <c r="H860" s="5" t="s">
        <v>18</v>
      </c>
      <c r="I860" s="7" t="s">
        <v>1413</v>
      </c>
    </row>
    <row r="861">
      <c r="A861" s="5" t="s">
        <v>1414</v>
      </c>
      <c r="B861" s="5" t="s">
        <v>371</v>
      </c>
      <c r="C861" s="5" t="s">
        <v>13</v>
      </c>
      <c r="D861" s="5" t="s">
        <v>1233</v>
      </c>
      <c r="F861" s="5" t="s">
        <v>1415</v>
      </c>
      <c r="G861" s="5" t="s">
        <v>65</v>
      </c>
      <c r="H861" s="5" t="s">
        <v>18</v>
      </c>
      <c r="I861" s="7" t="s">
        <v>1416</v>
      </c>
    </row>
    <row r="862">
      <c r="A862" s="5" t="s">
        <v>1417</v>
      </c>
      <c r="B862" s="5" t="s">
        <v>25</v>
      </c>
      <c r="C862" s="5" t="s">
        <v>13</v>
      </c>
      <c r="D862" s="5" t="s">
        <v>1233</v>
      </c>
      <c r="F862" s="5" t="s">
        <v>1418</v>
      </c>
      <c r="G862" s="5" t="s">
        <v>96</v>
      </c>
      <c r="H862" s="5" t="s">
        <v>18</v>
      </c>
      <c r="I862" s="7" t="s">
        <v>1419</v>
      </c>
    </row>
    <row r="863">
      <c r="A863" s="5" t="s">
        <v>1420</v>
      </c>
      <c r="B863" s="5" t="s">
        <v>25</v>
      </c>
      <c r="C863" s="5" t="s">
        <v>13</v>
      </c>
      <c r="D863" s="5" t="s">
        <v>1233</v>
      </c>
      <c r="E863" s="5" t="s">
        <v>1421</v>
      </c>
      <c r="F863" s="5" t="s">
        <v>80</v>
      </c>
      <c r="G863" s="5" t="s">
        <v>38</v>
      </c>
      <c r="H863" s="5" t="s">
        <v>18</v>
      </c>
      <c r="I863" s="7" t="s">
        <v>1422</v>
      </c>
    </row>
    <row r="864">
      <c r="A864" s="5" t="s">
        <v>1405</v>
      </c>
      <c r="B864" s="5" t="s">
        <v>1406</v>
      </c>
      <c r="D864" s="5" t="s">
        <v>1233</v>
      </c>
      <c r="E864" s="5" t="s">
        <v>1407</v>
      </c>
      <c r="F864" s="5" t="s">
        <v>49</v>
      </c>
      <c r="G864" s="5" t="s">
        <v>50</v>
      </c>
      <c r="H864" s="5" t="s">
        <v>18</v>
      </c>
      <c r="I864" s="7" t="s">
        <v>5604</v>
      </c>
    </row>
    <row r="865">
      <c r="A865" s="5" t="s">
        <v>1409</v>
      </c>
      <c r="B865" s="5" t="s">
        <v>1410</v>
      </c>
      <c r="D865" s="5" t="s">
        <v>1233</v>
      </c>
      <c r="E865" s="5" t="s">
        <v>1411</v>
      </c>
      <c r="F865" s="5" t="s">
        <v>1412</v>
      </c>
      <c r="G865" s="5" t="s">
        <v>96</v>
      </c>
      <c r="H865" s="5" t="s">
        <v>18</v>
      </c>
      <c r="I865" s="7" t="s">
        <v>6146</v>
      </c>
    </row>
    <row r="866">
      <c r="A866" s="5" t="s">
        <v>9549</v>
      </c>
      <c r="B866" s="5" t="s">
        <v>9550</v>
      </c>
      <c r="D866" s="5" t="s">
        <v>1233</v>
      </c>
      <c r="E866" s="5" t="s">
        <v>9551</v>
      </c>
      <c r="F866" s="5" t="s">
        <v>5280</v>
      </c>
      <c r="G866" s="5" t="s">
        <v>4638</v>
      </c>
      <c r="H866" s="5" t="s">
        <v>4600</v>
      </c>
      <c r="I866" s="7" t="s">
        <v>9548</v>
      </c>
    </row>
    <row r="867">
      <c r="A867" s="5" t="s">
        <v>4872</v>
      </c>
      <c r="B867" s="5" t="s">
        <v>1378</v>
      </c>
      <c r="D867" s="5" t="s">
        <v>1424</v>
      </c>
      <c r="E867" s="5" t="s">
        <v>574</v>
      </c>
      <c r="F867" s="5" t="s">
        <v>377</v>
      </c>
      <c r="G867" s="5" t="s">
        <v>378</v>
      </c>
      <c r="H867" s="5" t="s">
        <v>18</v>
      </c>
      <c r="I867" s="7" t="s">
        <v>4871</v>
      </c>
    </row>
    <row r="868">
      <c r="A868" s="5" t="s">
        <v>7994</v>
      </c>
      <c r="B868" s="5" t="s">
        <v>4709</v>
      </c>
      <c r="D868" s="5" t="s">
        <v>1424</v>
      </c>
      <c r="E868" s="5" t="s">
        <v>691</v>
      </c>
      <c r="F868" s="5" t="s">
        <v>137</v>
      </c>
      <c r="G868" s="5" t="s">
        <v>137</v>
      </c>
      <c r="H868" s="5" t="s">
        <v>18</v>
      </c>
      <c r="I868" s="7" t="s">
        <v>7993</v>
      </c>
    </row>
    <row r="869">
      <c r="A869" s="5" t="s">
        <v>8373</v>
      </c>
      <c r="B869" s="5" t="s">
        <v>8374</v>
      </c>
      <c r="D869" s="5" t="s">
        <v>1424</v>
      </c>
      <c r="E869" s="5" t="s">
        <v>165</v>
      </c>
      <c r="F869" s="5" t="s">
        <v>223</v>
      </c>
      <c r="G869" s="5" t="s">
        <v>224</v>
      </c>
      <c r="H869" s="5" t="s">
        <v>18</v>
      </c>
      <c r="I869" s="7" t="s">
        <v>8372</v>
      </c>
    </row>
    <row r="870">
      <c r="A870" s="5" t="s">
        <v>1423</v>
      </c>
      <c r="B870" s="5" t="s">
        <v>25</v>
      </c>
      <c r="C870" s="5" t="s">
        <v>13</v>
      </c>
      <c r="D870" s="5" t="s">
        <v>1424</v>
      </c>
      <c r="E870" s="5" t="s">
        <v>1425</v>
      </c>
      <c r="F870" s="5" t="s">
        <v>183</v>
      </c>
      <c r="G870" s="5" t="s">
        <v>184</v>
      </c>
      <c r="H870" s="5" t="s">
        <v>18</v>
      </c>
      <c r="I870" s="7" t="s">
        <v>1426</v>
      </c>
    </row>
    <row r="871">
      <c r="A871" s="5" t="s">
        <v>1427</v>
      </c>
      <c r="B871" s="5" t="s">
        <v>1428</v>
      </c>
      <c r="C871" s="5" t="s">
        <v>13</v>
      </c>
      <c r="D871" s="5" t="s">
        <v>1424</v>
      </c>
      <c r="E871" s="5" t="s">
        <v>500</v>
      </c>
      <c r="F871" s="5" t="s">
        <v>80</v>
      </c>
      <c r="G871" s="5" t="s">
        <v>38</v>
      </c>
      <c r="H871" s="5" t="s">
        <v>18</v>
      </c>
      <c r="I871" s="7" t="s">
        <v>1429</v>
      </c>
    </row>
    <row r="872">
      <c r="A872" s="5" t="s">
        <v>1430</v>
      </c>
      <c r="B872" s="5" t="s">
        <v>25</v>
      </c>
      <c r="C872" s="5" t="s">
        <v>13</v>
      </c>
      <c r="D872" s="5" t="s">
        <v>1424</v>
      </c>
      <c r="E872" s="5" t="s">
        <v>1431</v>
      </c>
      <c r="F872" s="5" t="s">
        <v>80</v>
      </c>
      <c r="G872" s="5" t="s">
        <v>38</v>
      </c>
      <c r="H872" s="5" t="s">
        <v>18</v>
      </c>
      <c r="I872" s="7" t="s">
        <v>1432</v>
      </c>
    </row>
    <row r="873">
      <c r="A873" s="5" t="s">
        <v>1433</v>
      </c>
      <c r="B873" s="5" t="s">
        <v>1128</v>
      </c>
      <c r="C873" s="5" t="s">
        <v>13</v>
      </c>
      <c r="D873" s="5" t="s">
        <v>1424</v>
      </c>
      <c r="F873" s="5" t="s">
        <v>793</v>
      </c>
      <c r="G873" s="5" t="s">
        <v>184</v>
      </c>
      <c r="H873" s="5" t="s">
        <v>18</v>
      </c>
      <c r="I873" s="7" t="s">
        <v>1434</v>
      </c>
    </row>
    <row r="874">
      <c r="A874" s="5" t="s">
        <v>1435</v>
      </c>
      <c r="B874" s="5" t="s">
        <v>1436</v>
      </c>
      <c r="C874" s="5" t="s">
        <v>13</v>
      </c>
      <c r="D874" s="5" t="s">
        <v>1424</v>
      </c>
      <c r="E874" s="5" t="s">
        <v>207</v>
      </c>
      <c r="F874" s="5" t="s">
        <v>1437</v>
      </c>
      <c r="G874" s="5" t="s">
        <v>203</v>
      </c>
      <c r="H874" s="5" t="s">
        <v>18</v>
      </c>
      <c r="I874" s="17" t="s">
        <v>10564</v>
      </c>
    </row>
    <row r="875">
      <c r="A875" s="5" t="s">
        <v>1439</v>
      </c>
      <c r="B875" s="5" t="s">
        <v>1440</v>
      </c>
      <c r="C875" s="5" t="s">
        <v>4</v>
      </c>
      <c r="D875" s="5" t="s">
        <v>1424</v>
      </c>
      <c r="E875" s="5" t="s">
        <v>26</v>
      </c>
      <c r="F875" s="5" t="s">
        <v>153</v>
      </c>
      <c r="G875" s="5" t="s">
        <v>154</v>
      </c>
      <c r="H875" s="5" t="s">
        <v>18</v>
      </c>
      <c r="I875" s="7" t="s">
        <v>1441</v>
      </c>
    </row>
    <row r="876">
      <c r="A876" s="5" t="s">
        <v>1442</v>
      </c>
      <c r="B876" s="5" t="s">
        <v>25</v>
      </c>
      <c r="C876" s="5" t="s">
        <v>13</v>
      </c>
      <c r="D876" s="5" t="s">
        <v>1424</v>
      </c>
      <c r="F876" s="5" t="s">
        <v>669</v>
      </c>
      <c r="G876" s="5" t="s">
        <v>17</v>
      </c>
      <c r="H876" s="5" t="s">
        <v>18</v>
      </c>
      <c r="I876" s="7" t="s">
        <v>1443</v>
      </c>
    </row>
    <row r="877">
      <c r="A877" s="5" t="s">
        <v>1444</v>
      </c>
      <c r="B877" s="5" t="s">
        <v>47</v>
      </c>
      <c r="C877" s="5" t="s">
        <v>13</v>
      </c>
      <c r="D877" s="5" t="s">
        <v>1424</v>
      </c>
      <c r="E877" s="5" t="s">
        <v>331</v>
      </c>
      <c r="F877" s="5" t="s">
        <v>102</v>
      </c>
      <c r="G877" s="5" t="s">
        <v>172</v>
      </c>
      <c r="H877" s="5" t="s">
        <v>18</v>
      </c>
      <c r="I877" s="7" t="s">
        <v>1445</v>
      </c>
    </row>
    <row r="878">
      <c r="A878" s="5" t="s">
        <v>7213</v>
      </c>
      <c r="B878" s="5" t="s">
        <v>1896</v>
      </c>
      <c r="D878" s="5" t="s">
        <v>1233</v>
      </c>
      <c r="E878" s="5" t="s">
        <v>3578</v>
      </c>
      <c r="F878" s="5" t="s">
        <v>122</v>
      </c>
      <c r="G878" s="5" t="s">
        <v>44</v>
      </c>
      <c r="H878" s="5" t="s">
        <v>18</v>
      </c>
      <c r="I878" s="7" t="s">
        <v>7212</v>
      </c>
    </row>
    <row r="879">
      <c r="A879" s="5" t="s">
        <v>1414</v>
      </c>
      <c r="B879" s="5" t="s">
        <v>371</v>
      </c>
      <c r="D879" s="5" t="s">
        <v>1233</v>
      </c>
      <c r="F879" s="5" t="s">
        <v>1415</v>
      </c>
      <c r="G879" s="5" t="s">
        <v>65</v>
      </c>
      <c r="H879" s="5" t="s">
        <v>18</v>
      </c>
      <c r="I879" s="7" t="s">
        <v>5575</v>
      </c>
    </row>
    <row r="880">
      <c r="A880" s="5" t="s">
        <v>8210</v>
      </c>
      <c r="B880" s="5" t="s">
        <v>6081</v>
      </c>
      <c r="D880" s="5" t="s">
        <v>8211</v>
      </c>
      <c r="E880" s="5" t="s">
        <v>2288</v>
      </c>
      <c r="F880" s="5" t="s">
        <v>8158</v>
      </c>
      <c r="G880" s="5" t="s">
        <v>4638</v>
      </c>
      <c r="H880" s="5" t="s">
        <v>4600</v>
      </c>
      <c r="I880" s="17" t="s">
        <v>10565</v>
      </c>
    </row>
    <row r="881">
      <c r="A881" s="5" t="s">
        <v>9860</v>
      </c>
      <c r="B881" s="5" t="s">
        <v>9861</v>
      </c>
      <c r="D881" s="5" t="s">
        <v>8211</v>
      </c>
      <c r="E881" s="5" t="s">
        <v>7978</v>
      </c>
      <c r="F881" s="5" t="s">
        <v>2113</v>
      </c>
      <c r="G881" s="5" t="s">
        <v>4599</v>
      </c>
      <c r="H881" s="5" t="s">
        <v>4600</v>
      </c>
      <c r="I881" s="17" t="s">
        <v>10566</v>
      </c>
    </row>
    <row r="882">
      <c r="A882" s="5" t="s">
        <v>6080</v>
      </c>
      <c r="B882" s="5" t="s">
        <v>6081</v>
      </c>
      <c r="D882" s="5" t="s">
        <v>8211</v>
      </c>
      <c r="E882" s="5" t="s">
        <v>666</v>
      </c>
      <c r="F882" s="5" t="s">
        <v>6036</v>
      </c>
      <c r="G882" s="5" t="s">
        <v>4644</v>
      </c>
      <c r="H882" s="5" t="s">
        <v>4600</v>
      </c>
      <c r="I882" s="17" t="s">
        <v>10567</v>
      </c>
    </row>
    <row r="883">
      <c r="A883" s="5" t="s">
        <v>7113</v>
      </c>
      <c r="B883" s="5" t="s">
        <v>5054</v>
      </c>
      <c r="D883" s="5" t="s">
        <v>7114</v>
      </c>
      <c r="F883" s="5" t="s">
        <v>6577</v>
      </c>
      <c r="G883" s="5" t="s">
        <v>4757</v>
      </c>
      <c r="H883" s="5" t="s">
        <v>4607</v>
      </c>
      <c r="I883" s="7" t="s">
        <v>7112</v>
      </c>
    </row>
    <row r="884">
      <c r="A884" s="5" t="s">
        <v>6664</v>
      </c>
      <c r="B884" s="5" t="s">
        <v>6665</v>
      </c>
      <c r="D884" s="5" t="s">
        <v>1447</v>
      </c>
      <c r="E884" s="5" t="s">
        <v>237</v>
      </c>
      <c r="F884" s="5" t="s">
        <v>6577</v>
      </c>
      <c r="G884" s="5" t="s">
        <v>4757</v>
      </c>
      <c r="H884" s="5" t="s">
        <v>4607</v>
      </c>
      <c r="I884" s="7" t="s">
        <v>10568</v>
      </c>
    </row>
    <row r="885">
      <c r="A885" s="5" t="s">
        <v>6738</v>
      </c>
      <c r="B885" s="5" t="s">
        <v>6739</v>
      </c>
      <c r="D885" s="5" t="s">
        <v>1447</v>
      </c>
      <c r="E885" s="5" t="s">
        <v>165</v>
      </c>
      <c r="F885" s="5" t="s">
        <v>6577</v>
      </c>
      <c r="G885" s="5" t="s">
        <v>4757</v>
      </c>
      <c r="H885" s="5" t="s">
        <v>4607</v>
      </c>
      <c r="I885" s="18" t="s">
        <v>10569</v>
      </c>
    </row>
    <row r="886">
      <c r="A886" s="5" t="s">
        <v>6922</v>
      </c>
      <c r="B886" s="5" t="s">
        <v>5054</v>
      </c>
      <c r="D886" s="5" t="s">
        <v>1447</v>
      </c>
      <c r="E886" s="5" t="s">
        <v>585</v>
      </c>
      <c r="F886" s="5" t="s">
        <v>6577</v>
      </c>
      <c r="G886" s="5" t="s">
        <v>4757</v>
      </c>
      <c r="H886" s="5" t="s">
        <v>4607</v>
      </c>
      <c r="I886" s="7" t="s">
        <v>6921</v>
      </c>
    </row>
    <row r="887">
      <c r="A887" s="5" t="s">
        <v>6932</v>
      </c>
      <c r="B887" s="5" t="s">
        <v>6933</v>
      </c>
      <c r="D887" s="5" t="s">
        <v>1447</v>
      </c>
      <c r="E887" s="5" t="s">
        <v>74</v>
      </c>
      <c r="F887" s="5" t="s">
        <v>6577</v>
      </c>
      <c r="G887" s="5" t="s">
        <v>4757</v>
      </c>
      <c r="H887" s="5" t="s">
        <v>4607</v>
      </c>
      <c r="I887" s="17" t="s">
        <v>10570</v>
      </c>
    </row>
    <row r="888">
      <c r="A888" s="5" t="s">
        <v>6974</v>
      </c>
      <c r="B888" s="5" t="s">
        <v>6975</v>
      </c>
      <c r="D888" s="5" t="s">
        <v>1447</v>
      </c>
      <c r="E888" s="5" t="s">
        <v>3110</v>
      </c>
      <c r="F888" s="5" t="s">
        <v>6577</v>
      </c>
      <c r="G888" s="5" t="s">
        <v>4757</v>
      </c>
      <c r="H888" s="5" t="s">
        <v>4607</v>
      </c>
      <c r="I888" s="7" t="s">
        <v>6973</v>
      </c>
    </row>
    <row r="889">
      <c r="A889" s="5" t="s">
        <v>1446</v>
      </c>
      <c r="B889" s="5" t="s">
        <v>25</v>
      </c>
      <c r="C889" s="5" t="s">
        <v>13</v>
      </c>
      <c r="D889" s="5" t="s">
        <v>1447</v>
      </c>
      <c r="E889" s="5" t="s">
        <v>1448</v>
      </c>
      <c r="F889" s="5" t="s">
        <v>1449</v>
      </c>
      <c r="G889" s="5" t="s">
        <v>203</v>
      </c>
      <c r="H889" s="5" t="s">
        <v>18</v>
      </c>
      <c r="I889" s="7" t="s">
        <v>1450</v>
      </c>
    </row>
    <row r="890">
      <c r="A890" s="5" t="s">
        <v>1451</v>
      </c>
      <c r="B890" s="5" t="s">
        <v>1452</v>
      </c>
      <c r="C890" s="5" t="s">
        <v>13</v>
      </c>
      <c r="D890" s="5" t="s">
        <v>1447</v>
      </c>
      <c r="E890" s="5" t="s">
        <v>354</v>
      </c>
      <c r="F890" s="5" t="s">
        <v>1449</v>
      </c>
      <c r="G890" s="5" t="s">
        <v>203</v>
      </c>
      <c r="H890" s="5" t="s">
        <v>18</v>
      </c>
      <c r="I890" s="7" t="s">
        <v>10571</v>
      </c>
    </row>
    <row r="891">
      <c r="A891" s="5" t="s">
        <v>1454</v>
      </c>
      <c r="B891" s="5" t="s">
        <v>404</v>
      </c>
      <c r="C891" s="5" t="s">
        <v>13</v>
      </c>
      <c r="D891" s="5" t="s">
        <v>1455</v>
      </c>
      <c r="E891" s="5" t="s">
        <v>651</v>
      </c>
      <c r="F891" s="5" t="s">
        <v>85</v>
      </c>
      <c r="G891" s="5" t="s">
        <v>86</v>
      </c>
      <c r="H891" s="5" t="s">
        <v>18</v>
      </c>
      <c r="I891" s="17" t="s">
        <v>10572</v>
      </c>
    </row>
    <row r="892">
      <c r="A892" s="5" t="s">
        <v>1457</v>
      </c>
      <c r="B892" s="5" t="s">
        <v>404</v>
      </c>
      <c r="C892" s="5" t="s">
        <v>13</v>
      </c>
      <c r="D892" s="5" t="s">
        <v>1455</v>
      </c>
      <c r="E892" s="5" t="s">
        <v>48</v>
      </c>
      <c r="F892" s="5" t="s">
        <v>85</v>
      </c>
      <c r="G892" s="5" t="s">
        <v>86</v>
      </c>
      <c r="H892" s="5" t="s">
        <v>18</v>
      </c>
      <c r="I892" s="7" t="s">
        <v>1458</v>
      </c>
    </row>
    <row r="893">
      <c r="A893" s="5" t="s">
        <v>1459</v>
      </c>
      <c r="B893" s="5" t="s">
        <v>404</v>
      </c>
      <c r="C893" s="5" t="s">
        <v>13</v>
      </c>
      <c r="D893" s="5" t="s">
        <v>1455</v>
      </c>
      <c r="E893" s="5" t="s">
        <v>1460</v>
      </c>
      <c r="F893" s="5" t="s">
        <v>1461</v>
      </c>
      <c r="G893" s="5" t="s">
        <v>86</v>
      </c>
      <c r="H893" s="5" t="s">
        <v>18</v>
      </c>
      <c r="I893" s="7" t="s">
        <v>1462</v>
      </c>
    </row>
    <row r="894">
      <c r="A894" s="5" t="s">
        <v>1463</v>
      </c>
      <c r="B894" s="5" t="s">
        <v>25</v>
      </c>
      <c r="C894" s="5" t="s">
        <v>13</v>
      </c>
      <c r="D894" s="5" t="s">
        <v>1464</v>
      </c>
      <c r="E894" s="5" t="s">
        <v>980</v>
      </c>
      <c r="F894" s="5" t="s">
        <v>16</v>
      </c>
      <c r="G894" s="5" t="s">
        <v>17</v>
      </c>
      <c r="H894" s="5" t="s">
        <v>18</v>
      </c>
      <c r="I894" s="17" t="s">
        <v>10573</v>
      </c>
    </row>
    <row r="895">
      <c r="A895" s="5" t="s">
        <v>1466</v>
      </c>
      <c r="B895" s="5" t="s">
        <v>1467</v>
      </c>
      <c r="C895" s="5" t="s">
        <v>13</v>
      </c>
      <c r="D895" s="5" t="s">
        <v>1464</v>
      </c>
      <c r="E895" s="5" t="s">
        <v>26</v>
      </c>
      <c r="F895" s="5" t="s">
        <v>49</v>
      </c>
      <c r="G895" s="5" t="s">
        <v>50</v>
      </c>
      <c r="H895" s="5" t="s">
        <v>18</v>
      </c>
      <c r="I895" s="17" t="s">
        <v>10574</v>
      </c>
    </row>
    <row r="896">
      <c r="A896" s="5" t="s">
        <v>1469</v>
      </c>
      <c r="B896" s="5" t="s">
        <v>1470</v>
      </c>
      <c r="C896" s="5" t="s">
        <v>13</v>
      </c>
      <c r="D896" s="5" t="s">
        <v>1464</v>
      </c>
      <c r="E896" s="5" t="s">
        <v>26</v>
      </c>
      <c r="F896" s="5" t="s">
        <v>49</v>
      </c>
      <c r="G896" s="5" t="s">
        <v>50</v>
      </c>
      <c r="H896" s="5" t="s">
        <v>18</v>
      </c>
      <c r="I896" s="17" t="s">
        <v>10575</v>
      </c>
    </row>
    <row r="897">
      <c r="A897" s="5" t="s">
        <v>1472</v>
      </c>
      <c r="B897" s="5" t="s">
        <v>25</v>
      </c>
      <c r="C897" s="5" t="s">
        <v>13</v>
      </c>
      <c r="D897" s="5" t="s">
        <v>1464</v>
      </c>
      <c r="E897" s="5" t="s">
        <v>121</v>
      </c>
      <c r="F897" s="5" t="s">
        <v>1473</v>
      </c>
      <c r="G897" s="5" t="s">
        <v>50</v>
      </c>
      <c r="H897" s="5" t="s">
        <v>18</v>
      </c>
      <c r="I897" s="7" t="s">
        <v>1474</v>
      </c>
    </row>
    <row r="898">
      <c r="A898" s="5" t="s">
        <v>1475</v>
      </c>
      <c r="B898" s="5" t="s">
        <v>371</v>
      </c>
      <c r="C898" s="5" t="s">
        <v>13</v>
      </c>
      <c r="D898" s="5" t="s">
        <v>1464</v>
      </c>
      <c r="E898" s="5" t="s">
        <v>26</v>
      </c>
      <c r="F898" s="5" t="s">
        <v>862</v>
      </c>
      <c r="G898" s="5" t="s">
        <v>184</v>
      </c>
      <c r="H898" s="5" t="s">
        <v>18</v>
      </c>
      <c r="I898" s="7" t="s">
        <v>1476</v>
      </c>
    </row>
    <row r="899">
      <c r="A899" s="5" t="s">
        <v>1477</v>
      </c>
      <c r="B899" s="5" t="s">
        <v>25</v>
      </c>
      <c r="C899" s="5" t="s">
        <v>13</v>
      </c>
      <c r="D899" s="5" t="s">
        <v>1464</v>
      </c>
      <c r="E899" s="5" t="s">
        <v>651</v>
      </c>
      <c r="F899" s="5" t="s">
        <v>1478</v>
      </c>
      <c r="G899" s="5" t="s">
        <v>184</v>
      </c>
      <c r="H899" s="5" t="s">
        <v>18</v>
      </c>
      <c r="I899" s="7" t="s">
        <v>1479</v>
      </c>
    </row>
    <row r="900">
      <c r="A900" s="5" t="s">
        <v>1480</v>
      </c>
      <c r="B900" s="5" t="s">
        <v>25</v>
      </c>
      <c r="C900" s="5" t="s">
        <v>13</v>
      </c>
      <c r="D900" s="5" t="s">
        <v>1464</v>
      </c>
      <c r="E900" s="5" t="s">
        <v>207</v>
      </c>
      <c r="F900" s="5" t="s">
        <v>102</v>
      </c>
      <c r="G900" s="5" t="s">
        <v>172</v>
      </c>
      <c r="H900" s="5" t="s">
        <v>18</v>
      </c>
      <c r="I900" s="17" t="s">
        <v>10576</v>
      </c>
    </row>
    <row r="901">
      <c r="A901" s="5" t="s">
        <v>6594</v>
      </c>
      <c r="B901" s="5" t="s">
        <v>5054</v>
      </c>
      <c r="D901" s="5" t="s">
        <v>6595</v>
      </c>
      <c r="E901" s="5" t="s">
        <v>351</v>
      </c>
      <c r="F901" s="5" t="s">
        <v>6577</v>
      </c>
      <c r="G901" s="5" t="s">
        <v>4757</v>
      </c>
      <c r="H901" s="5" t="s">
        <v>4607</v>
      </c>
      <c r="I901" s="7" t="s">
        <v>6593</v>
      </c>
    </row>
    <row r="902">
      <c r="A902" s="5" t="s">
        <v>6812</v>
      </c>
      <c r="B902" s="5" t="s">
        <v>5054</v>
      </c>
      <c r="D902" s="5" t="s">
        <v>6595</v>
      </c>
      <c r="E902" s="5" t="s">
        <v>144</v>
      </c>
      <c r="F902" s="5" t="s">
        <v>6577</v>
      </c>
      <c r="G902" s="5" t="s">
        <v>4757</v>
      </c>
      <c r="H902" s="5" t="s">
        <v>4607</v>
      </c>
      <c r="I902" s="7" t="s">
        <v>6811</v>
      </c>
    </row>
    <row r="903">
      <c r="A903" s="5" t="s">
        <v>8935</v>
      </c>
      <c r="B903" s="5" t="s">
        <v>8936</v>
      </c>
      <c r="D903" s="5" t="s">
        <v>6595</v>
      </c>
      <c r="E903" s="5" t="s">
        <v>74</v>
      </c>
      <c r="F903" s="5" t="s">
        <v>7722</v>
      </c>
      <c r="G903" s="5" t="s">
        <v>5566</v>
      </c>
      <c r="H903" s="5" t="s">
        <v>4619</v>
      </c>
      <c r="I903" s="17" t="s">
        <v>10577</v>
      </c>
    </row>
    <row r="904">
      <c r="A904" s="5" t="s">
        <v>1482</v>
      </c>
      <c r="B904" s="5" t="s">
        <v>1483</v>
      </c>
      <c r="C904" s="5" t="s">
        <v>13</v>
      </c>
      <c r="D904" s="5" t="s">
        <v>1484</v>
      </c>
      <c r="E904" s="5" t="s">
        <v>237</v>
      </c>
      <c r="F904" s="5" t="s">
        <v>1485</v>
      </c>
      <c r="G904" s="5" t="s">
        <v>44</v>
      </c>
      <c r="H904" s="5" t="s">
        <v>18</v>
      </c>
      <c r="I904" s="17" t="s">
        <v>10578</v>
      </c>
    </row>
    <row r="905">
      <c r="A905" s="5" t="s">
        <v>1487</v>
      </c>
      <c r="B905" s="5" t="s">
        <v>110</v>
      </c>
      <c r="C905" s="5" t="s">
        <v>13</v>
      </c>
      <c r="D905" s="5" t="s">
        <v>1484</v>
      </c>
      <c r="E905" s="5" t="s">
        <v>1123</v>
      </c>
      <c r="F905" s="5" t="s">
        <v>166</v>
      </c>
      <c r="G905" s="5" t="s">
        <v>44</v>
      </c>
      <c r="H905" s="5" t="s">
        <v>18</v>
      </c>
      <c r="I905" s="7" t="s">
        <v>1488</v>
      </c>
    </row>
    <row r="906">
      <c r="A906" s="5" t="s">
        <v>1489</v>
      </c>
      <c r="B906" s="5" t="s">
        <v>110</v>
      </c>
      <c r="C906" s="5" t="s">
        <v>13</v>
      </c>
      <c r="D906" s="5" t="s">
        <v>1484</v>
      </c>
      <c r="E906" s="5" t="s">
        <v>455</v>
      </c>
      <c r="F906" s="5" t="s">
        <v>311</v>
      </c>
      <c r="G906" s="5" t="s">
        <v>102</v>
      </c>
      <c r="H906" s="5" t="s">
        <v>18</v>
      </c>
      <c r="I906" s="7" t="s">
        <v>1490</v>
      </c>
    </row>
    <row r="907">
      <c r="A907" s="5" t="s">
        <v>1491</v>
      </c>
      <c r="B907" s="5" t="s">
        <v>1492</v>
      </c>
      <c r="C907" s="5" t="s">
        <v>13</v>
      </c>
      <c r="D907" s="5" t="s">
        <v>1493</v>
      </c>
      <c r="E907" s="5" t="s">
        <v>237</v>
      </c>
      <c r="F907" s="5" t="s">
        <v>166</v>
      </c>
      <c r="G907" s="5" t="s">
        <v>44</v>
      </c>
      <c r="H907" s="5" t="s">
        <v>18</v>
      </c>
      <c r="I907" s="17" t="s">
        <v>10579</v>
      </c>
    </row>
    <row r="908">
      <c r="A908" s="5" t="s">
        <v>1495</v>
      </c>
      <c r="B908" s="5" t="s">
        <v>110</v>
      </c>
      <c r="C908" s="5" t="s">
        <v>13</v>
      </c>
      <c r="D908" s="5" t="s">
        <v>1496</v>
      </c>
      <c r="E908" s="5" t="s">
        <v>496</v>
      </c>
      <c r="F908" s="5" t="s">
        <v>37</v>
      </c>
      <c r="G908" s="5" t="s">
        <v>38</v>
      </c>
      <c r="H908" s="5" t="s">
        <v>18</v>
      </c>
      <c r="I908" s="7" t="s">
        <v>1497</v>
      </c>
    </row>
    <row r="909">
      <c r="A909" s="5" t="s">
        <v>1498</v>
      </c>
      <c r="B909" s="5" t="s">
        <v>766</v>
      </c>
      <c r="C909" s="5" t="s">
        <v>13</v>
      </c>
      <c r="D909" s="5" t="s">
        <v>1496</v>
      </c>
      <c r="E909" s="5" t="s">
        <v>100</v>
      </c>
      <c r="F909" s="5" t="s">
        <v>166</v>
      </c>
      <c r="G909" s="5" t="s">
        <v>44</v>
      </c>
      <c r="H909" s="5" t="s">
        <v>18</v>
      </c>
      <c r="I909" s="7" t="s">
        <v>1499</v>
      </c>
    </row>
    <row r="910">
      <c r="A910" s="5" t="s">
        <v>1500</v>
      </c>
      <c r="B910" s="5" t="s">
        <v>25</v>
      </c>
      <c r="C910" s="5" t="s">
        <v>13</v>
      </c>
      <c r="D910" s="5" t="s">
        <v>1501</v>
      </c>
      <c r="E910" s="5" t="s">
        <v>68</v>
      </c>
      <c r="F910" s="5" t="s">
        <v>377</v>
      </c>
      <c r="G910" s="5" t="s">
        <v>378</v>
      </c>
      <c r="H910" s="5" t="s">
        <v>18</v>
      </c>
      <c r="I910" s="7" t="s">
        <v>1502</v>
      </c>
    </row>
    <row r="911">
      <c r="A911" s="5" t="s">
        <v>1503</v>
      </c>
      <c r="B911" s="5" t="s">
        <v>404</v>
      </c>
      <c r="C911" s="5" t="s">
        <v>13</v>
      </c>
      <c r="D911" s="5" t="s">
        <v>1501</v>
      </c>
      <c r="E911" s="5" t="s">
        <v>36</v>
      </c>
      <c r="F911" s="5" t="s">
        <v>153</v>
      </c>
      <c r="G911" s="5" t="s">
        <v>154</v>
      </c>
      <c r="H911" s="5" t="s">
        <v>18</v>
      </c>
      <c r="I911" s="17" t="s">
        <v>10580</v>
      </c>
    </row>
    <row r="912">
      <c r="A912" s="5" t="s">
        <v>1505</v>
      </c>
      <c r="B912" s="5" t="s">
        <v>404</v>
      </c>
      <c r="C912" s="5" t="s">
        <v>13</v>
      </c>
      <c r="D912" s="5" t="s">
        <v>1501</v>
      </c>
      <c r="E912" s="5" t="s">
        <v>446</v>
      </c>
      <c r="F912" s="5" t="s">
        <v>608</v>
      </c>
      <c r="G912" s="5" t="s">
        <v>609</v>
      </c>
      <c r="H912" s="5" t="s">
        <v>18</v>
      </c>
      <c r="I912" s="7" t="s">
        <v>1506</v>
      </c>
    </row>
    <row r="913">
      <c r="A913" s="5" t="s">
        <v>1507</v>
      </c>
      <c r="B913" s="5" t="s">
        <v>25</v>
      </c>
      <c r="C913" s="5" t="s">
        <v>13</v>
      </c>
      <c r="D913" s="5" t="s">
        <v>1501</v>
      </c>
      <c r="F913" s="5" t="s">
        <v>608</v>
      </c>
      <c r="G913" s="5" t="s">
        <v>609</v>
      </c>
      <c r="H913" s="5" t="s">
        <v>18</v>
      </c>
      <c r="I913" s="7" t="s">
        <v>1508</v>
      </c>
    </row>
    <row r="914">
      <c r="A914" s="5" t="s">
        <v>6752</v>
      </c>
      <c r="B914" s="5" t="s">
        <v>6753</v>
      </c>
      <c r="D914" s="5" t="s">
        <v>1511</v>
      </c>
      <c r="E914" s="5" t="s">
        <v>15</v>
      </c>
      <c r="F914" s="5" t="s">
        <v>6577</v>
      </c>
      <c r="G914" s="5" t="s">
        <v>4757</v>
      </c>
      <c r="H914" s="5" t="s">
        <v>4607</v>
      </c>
      <c r="I914" s="7" t="s">
        <v>10581</v>
      </c>
    </row>
    <row r="915">
      <c r="A915" s="5" t="s">
        <v>1509</v>
      </c>
      <c r="B915" s="5" t="s">
        <v>1510</v>
      </c>
      <c r="C915" s="5" t="s">
        <v>13</v>
      </c>
      <c r="D915" s="5" t="s">
        <v>1511</v>
      </c>
      <c r="E915" s="5" t="s">
        <v>1089</v>
      </c>
      <c r="F915" s="5" t="s">
        <v>166</v>
      </c>
      <c r="G915" s="5" t="s">
        <v>44</v>
      </c>
      <c r="H915" s="5" t="s">
        <v>18</v>
      </c>
      <c r="I915" s="7" t="s">
        <v>1512</v>
      </c>
    </row>
    <row r="916">
      <c r="A916" s="5" t="s">
        <v>1513</v>
      </c>
      <c r="B916" s="5" t="s">
        <v>110</v>
      </c>
      <c r="C916" s="5" t="s">
        <v>13</v>
      </c>
      <c r="D916" s="5" t="s">
        <v>1511</v>
      </c>
      <c r="E916" s="5" t="s">
        <v>222</v>
      </c>
      <c r="F916" s="5" t="s">
        <v>311</v>
      </c>
      <c r="G916" s="5" t="s">
        <v>102</v>
      </c>
      <c r="H916" s="5" t="s">
        <v>18</v>
      </c>
      <c r="I916" s="7" t="s">
        <v>1514</v>
      </c>
    </row>
    <row r="917">
      <c r="A917" s="5" t="s">
        <v>4998</v>
      </c>
      <c r="B917" s="5" t="s">
        <v>4999</v>
      </c>
      <c r="D917" s="5" t="s">
        <v>5000</v>
      </c>
      <c r="F917" s="5" t="s">
        <v>4970</v>
      </c>
      <c r="G917" s="5" t="s">
        <v>4971</v>
      </c>
      <c r="H917" s="5" t="s">
        <v>4619</v>
      </c>
      <c r="I917" s="7" t="s">
        <v>10582</v>
      </c>
    </row>
    <row r="918">
      <c r="A918" s="5" t="s">
        <v>4973</v>
      </c>
      <c r="B918" s="5" t="s">
        <v>4974</v>
      </c>
      <c r="D918" s="5" t="s">
        <v>5000</v>
      </c>
      <c r="E918" s="5" t="s">
        <v>1065</v>
      </c>
      <c r="F918" s="5" t="s">
        <v>4970</v>
      </c>
      <c r="G918" s="5" t="s">
        <v>4971</v>
      </c>
      <c r="H918" s="5" t="s">
        <v>4619</v>
      </c>
      <c r="I918" s="17" t="s">
        <v>10583</v>
      </c>
    </row>
    <row r="919">
      <c r="A919" s="5" t="s">
        <v>5015</v>
      </c>
      <c r="B919" s="5" t="s">
        <v>5016</v>
      </c>
      <c r="D919" s="5" t="s">
        <v>5000</v>
      </c>
      <c r="E919" s="5" t="s">
        <v>63</v>
      </c>
      <c r="F919" s="5" t="s">
        <v>4970</v>
      </c>
      <c r="G919" s="5" t="s">
        <v>4971</v>
      </c>
      <c r="H919" s="5" t="s">
        <v>4619</v>
      </c>
      <c r="I919" s="18" t="s">
        <v>10584</v>
      </c>
    </row>
    <row r="920">
      <c r="A920" s="5" t="s">
        <v>4981</v>
      </c>
      <c r="B920" s="5" t="s">
        <v>4982</v>
      </c>
      <c r="D920" s="5" t="s">
        <v>5000</v>
      </c>
      <c r="E920" s="5" t="s">
        <v>188</v>
      </c>
      <c r="F920" s="5" t="s">
        <v>4970</v>
      </c>
      <c r="G920" s="5" t="s">
        <v>4971</v>
      </c>
      <c r="H920" s="5" t="s">
        <v>4619</v>
      </c>
      <c r="I920" s="18" t="s">
        <v>10585</v>
      </c>
    </row>
    <row r="921">
      <c r="A921" s="5" t="s">
        <v>9338</v>
      </c>
      <c r="B921" s="5" t="s">
        <v>4596</v>
      </c>
      <c r="D921" s="5" t="s">
        <v>9339</v>
      </c>
      <c r="E921" s="5" t="s">
        <v>5386</v>
      </c>
      <c r="F921" s="5" t="s">
        <v>5280</v>
      </c>
      <c r="G921" s="5" t="s">
        <v>4638</v>
      </c>
      <c r="H921" s="5" t="s">
        <v>4600</v>
      </c>
      <c r="I921" s="7" t="s">
        <v>9337</v>
      </c>
    </row>
    <row r="922">
      <c r="A922" s="5" t="s">
        <v>1515</v>
      </c>
      <c r="B922" s="5" t="s">
        <v>1516</v>
      </c>
      <c r="C922" s="5" t="s">
        <v>13</v>
      </c>
      <c r="D922" s="5" t="s">
        <v>1517</v>
      </c>
      <c r="E922" s="5" t="s">
        <v>399</v>
      </c>
      <c r="F922" s="5" t="s">
        <v>37</v>
      </c>
      <c r="G922" s="5" t="s">
        <v>38</v>
      </c>
      <c r="H922" s="5" t="s">
        <v>18</v>
      </c>
      <c r="I922" s="7" t="s">
        <v>10586</v>
      </c>
    </row>
    <row r="923">
      <c r="A923" s="5" t="s">
        <v>1519</v>
      </c>
      <c r="B923" s="5" t="s">
        <v>1516</v>
      </c>
      <c r="C923" s="5" t="s">
        <v>13</v>
      </c>
      <c r="D923" s="5" t="s">
        <v>1517</v>
      </c>
      <c r="E923" s="5" t="s">
        <v>63</v>
      </c>
      <c r="F923" s="5" t="s">
        <v>37</v>
      </c>
      <c r="G923" s="5" t="s">
        <v>38</v>
      </c>
      <c r="H923" s="5" t="s">
        <v>18</v>
      </c>
      <c r="I923" s="7" t="s">
        <v>10587</v>
      </c>
    </row>
    <row r="924">
      <c r="A924" s="5" t="s">
        <v>1521</v>
      </c>
      <c r="B924" s="5" t="s">
        <v>1522</v>
      </c>
      <c r="C924" s="5" t="s">
        <v>13</v>
      </c>
      <c r="D924" s="5" t="s">
        <v>1517</v>
      </c>
      <c r="E924" s="5" t="s">
        <v>1089</v>
      </c>
      <c r="F924" s="5" t="s">
        <v>311</v>
      </c>
      <c r="G924" s="5" t="s">
        <v>102</v>
      </c>
      <c r="H924" s="5" t="s">
        <v>18</v>
      </c>
      <c r="I924" s="17" t="s">
        <v>10588</v>
      </c>
    </row>
    <row r="925">
      <c r="A925" s="5" t="s">
        <v>9794</v>
      </c>
      <c r="B925" s="5" t="s">
        <v>9795</v>
      </c>
      <c r="D925" s="5" t="s">
        <v>1517</v>
      </c>
      <c r="E925" s="5" t="s">
        <v>136</v>
      </c>
      <c r="F925" s="5" t="s">
        <v>2113</v>
      </c>
      <c r="G925" s="5" t="s">
        <v>4599</v>
      </c>
      <c r="H925" s="5" t="s">
        <v>4600</v>
      </c>
      <c r="I925" s="17" t="s">
        <v>10589</v>
      </c>
    </row>
    <row r="926">
      <c r="A926" s="5" t="s">
        <v>9804</v>
      </c>
      <c r="B926" s="5" t="s">
        <v>9805</v>
      </c>
      <c r="D926" s="5" t="s">
        <v>1517</v>
      </c>
      <c r="E926" s="5" t="s">
        <v>2544</v>
      </c>
      <c r="F926" s="5" t="s">
        <v>2113</v>
      </c>
      <c r="G926" s="5" t="s">
        <v>4599</v>
      </c>
      <c r="H926" s="5" t="s">
        <v>4600</v>
      </c>
      <c r="I926" s="7" t="s">
        <v>9803</v>
      </c>
    </row>
    <row r="927">
      <c r="A927" s="5" t="s">
        <v>1524</v>
      </c>
      <c r="B927" s="5" t="s">
        <v>1525</v>
      </c>
      <c r="C927" s="5" t="s">
        <v>13</v>
      </c>
      <c r="D927" s="5" t="s">
        <v>1526</v>
      </c>
      <c r="E927" s="5" t="s">
        <v>1148</v>
      </c>
      <c r="F927" s="5" t="s">
        <v>1527</v>
      </c>
      <c r="G927" s="5" t="s">
        <v>945</v>
      </c>
      <c r="H927" s="5" t="s">
        <v>18</v>
      </c>
      <c r="I927" s="17" t="s">
        <v>10590</v>
      </c>
    </row>
    <row r="928">
      <c r="A928" s="5" t="s">
        <v>1529</v>
      </c>
      <c r="B928" s="5" t="s">
        <v>1530</v>
      </c>
      <c r="C928" s="5" t="s">
        <v>13</v>
      </c>
      <c r="D928" s="5" t="s">
        <v>1526</v>
      </c>
      <c r="E928" s="5" t="s">
        <v>1531</v>
      </c>
      <c r="F928" s="5" t="s">
        <v>1532</v>
      </c>
      <c r="G928" s="5" t="s">
        <v>945</v>
      </c>
      <c r="H928" s="5" t="s">
        <v>18</v>
      </c>
      <c r="I928" s="18" t="s">
        <v>10591</v>
      </c>
    </row>
    <row r="929">
      <c r="A929" s="5" t="s">
        <v>1534</v>
      </c>
      <c r="B929" s="5" t="s">
        <v>25</v>
      </c>
      <c r="C929" s="5" t="s">
        <v>13</v>
      </c>
      <c r="D929" s="5" t="s">
        <v>1526</v>
      </c>
      <c r="E929" s="5" t="s">
        <v>268</v>
      </c>
      <c r="F929" s="5" t="s">
        <v>1527</v>
      </c>
      <c r="G929" s="5" t="s">
        <v>945</v>
      </c>
      <c r="H929" s="5" t="s">
        <v>18</v>
      </c>
      <c r="I929" s="7" t="s">
        <v>1535</v>
      </c>
    </row>
    <row r="930">
      <c r="A930" s="5" t="s">
        <v>1536</v>
      </c>
      <c r="B930" s="5" t="s">
        <v>1537</v>
      </c>
      <c r="C930" s="5" t="s">
        <v>13</v>
      </c>
      <c r="D930" s="5" t="s">
        <v>1526</v>
      </c>
      <c r="E930" s="5" t="s">
        <v>1538</v>
      </c>
      <c r="F930" s="5" t="s">
        <v>1527</v>
      </c>
      <c r="G930" s="5" t="s">
        <v>945</v>
      </c>
      <c r="H930" s="5" t="s">
        <v>18</v>
      </c>
      <c r="I930" s="7" t="s">
        <v>1539</v>
      </c>
    </row>
    <row r="931">
      <c r="A931" s="5" t="s">
        <v>1540</v>
      </c>
      <c r="B931" s="5" t="s">
        <v>1541</v>
      </c>
      <c r="C931" s="5" t="s">
        <v>13</v>
      </c>
      <c r="D931" s="5" t="s">
        <v>1526</v>
      </c>
      <c r="E931" s="5" t="s">
        <v>1300</v>
      </c>
      <c r="F931" s="5" t="s">
        <v>1527</v>
      </c>
      <c r="G931" s="5" t="s">
        <v>945</v>
      </c>
      <c r="H931" s="5" t="s">
        <v>18</v>
      </c>
      <c r="I931" s="7" t="s">
        <v>10592</v>
      </c>
    </row>
    <row r="932">
      <c r="A932" s="5" t="s">
        <v>1543</v>
      </c>
      <c r="B932" s="5" t="s">
        <v>1544</v>
      </c>
      <c r="C932" s="5" t="s">
        <v>13</v>
      </c>
      <c r="D932" s="5" t="s">
        <v>1526</v>
      </c>
      <c r="E932" s="5" t="s">
        <v>63</v>
      </c>
      <c r="F932" s="5" t="s">
        <v>1527</v>
      </c>
      <c r="G932" s="5" t="s">
        <v>945</v>
      </c>
      <c r="H932" s="5" t="s">
        <v>18</v>
      </c>
      <c r="I932" s="17" t="s">
        <v>10593</v>
      </c>
    </row>
    <row r="933">
      <c r="A933" s="5" t="s">
        <v>1546</v>
      </c>
      <c r="B933" s="5" t="s">
        <v>1547</v>
      </c>
      <c r="C933" s="5" t="s">
        <v>13</v>
      </c>
      <c r="D933" s="5" t="s">
        <v>1526</v>
      </c>
      <c r="E933" s="5" t="s">
        <v>418</v>
      </c>
      <c r="F933" s="5" t="s">
        <v>1527</v>
      </c>
      <c r="G933" s="5" t="s">
        <v>945</v>
      </c>
      <c r="H933" s="5" t="s">
        <v>18</v>
      </c>
      <c r="I933" s="17" t="s">
        <v>10594</v>
      </c>
    </row>
    <row r="934">
      <c r="A934" s="5" t="s">
        <v>1549</v>
      </c>
      <c r="B934" s="5" t="s">
        <v>1550</v>
      </c>
      <c r="C934" s="5" t="s">
        <v>13</v>
      </c>
      <c r="D934" s="5" t="s">
        <v>1526</v>
      </c>
      <c r="E934" s="5" t="s">
        <v>26</v>
      </c>
      <c r="F934" s="5" t="s">
        <v>1527</v>
      </c>
      <c r="G934" s="5" t="s">
        <v>945</v>
      </c>
      <c r="H934" s="5" t="s">
        <v>18</v>
      </c>
      <c r="I934" s="7" t="s">
        <v>1551</v>
      </c>
    </row>
    <row r="935">
      <c r="A935" s="5" t="s">
        <v>1552</v>
      </c>
      <c r="B935" s="5" t="s">
        <v>1553</v>
      </c>
      <c r="C935" s="5" t="s">
        <v>13</v>
      </c>
      <c r="D935" s="5" t="s">
        <v>1526</v>
      </c>
      <c r="E935" s="5" t="s">
        <v>144</v>
      </c>
      <c r="F935" s="5" t="s">
        <v>388</v>
      </c>
      <c r="G935" s="5" t="s">
        <v>203</v>
      </c>
      <c r="H935" s="5" t="s">
        <v>18</v>
      </c>
      <c r="I935" s="18" t="s">
        <v>10595</v>
      </c>
    </row>
    <row r="936">
      <c r="A936" s="5" t="s">
        <v>1555</v>
      </c>
      <c r="B936" s="5" t="s">
        <v>25</v>
      </c>
      <c r="C936" s="5" t="s">
        <v>13</v>
      </c>
      <c r="D936" s="5" t="s">
        <v>1526</v>
      </c>
      <c r="E936" s="5" t="s">
        <v>496</v>
      </c>
      <c r="F936" s="5" t="s">
        <v>1556</v>
      </c>
      <c r="G936" s="5" t="s">
        <v>76</v>
      </c>
      <c r="H936" s="5" t="s">
        <v>18</v>
      </c>
      <c r="I936" s="7" t="s">
        <v>1557</v>
      </c>
    </row>
    <row r="937">
      <c r="A937" s="5" t="s">
        <v>5306</v>
      </c>
      <c r="B937" s="5" t="s">
        <v>404</v>
      </c>
      <c r="D937" s="5" t="s">
        <v>5307</v>
      </c>
      <c r="E937" s="5" t="s">
        <v>222</v>
      </c>
      <c r="F937" s="5" t="s">
        <v>5280</v>
      </c>
      <c r="G937" s="5" t="s">
        <v>4638</v>
      </c>
      <c r="H937" s="5" t="s">
        <v>4600</v>
      </c>
      <c r="I937" s="7" t="s">
        <v>5305</v>
      </c>
    </row>
    <row r="938">
      <c r="A938" s="5" t="s">
        <v>7579</v>
      </c>
      <c r="B938" s="5" t="s">
        <v>7580</v>
      </c>
      <c r="D938" s="5" t="s">
        <v>5307</v>
      </c>
      <c r="E938" s="5" t="s">
        <v>1570</v>
      </c>
      <c r="F938" s="5" t="s">
        <v>7548</v>
      </c>
      <c r="G938" s="5" t="s">
        <v>6159</v>
      </c>
      <c r="H938" s="5" t="s">
        <v>4600</v>
      </c>
      <c r="I938" s="7" t="s">
        <v>7578</v>
      </c>
    </row>
    <row r="939">
      <c r="A939" s="5" t="s">
        <v>4751</v>
      </c>
      <c r="B939" s="5" t="s">
        <v>4749</v>
      </c>
      <c r="D939" s="5" t="s">
        <v>1560</v>
      </c>
      <c r="F939" s="5" t="s">
        <v>16</v>
      </c>
      <c r="G939" s="5" t="s">
        <v>17</v>
      </c>
      <c r="H939" s="5" t="s">
        <v>18</v>
      </c>
      <c r="I939" s="7" t="s">
        <v>4750</v>
      </c>
    </row>
    <row r="940">
      <c r="A940" s="5" t="s">
        <v>1566</v>
      </c>
      <c r="B940" s="5" t="s">
        <v>1567</v>
      </c>
      <c r="D940" s="5" t="s">
        <v>1560</v>
      </c>
      <c r="E940" s="5" t="s">
        <v>100</v>
      </c>
      <c r="F940" s="5" t="s">
        <v>377</v>
      </c>
      <c r="G940" s="5" t="s">
        <v>378</v>
      </c>
      <c r="H940" s="5" t="s">
        <v>18</v>
      </c>
      <c r="I940" s="7" t="s">
        <v>4862</v>
      </c>
    </row>
    <row r="941">
      <c r="A941" s="5" t="s">
        <v>5596</v>
      </c>
      <c r="B941" s="5" t="s">
        <v>5597</v>
      </c>
      <c r="D941" s="5" t="s">
        <v>1560</v>
      </c>
      <c r="F941" s="5" t="s">
        <v>49</v>
      </c>
      <c r="G941" s="5" t="s">
        <v>50</v>
      </c>
      <c r="H941" s="5" t="s">
        <v>18</v>
      </c>
      <c r="I941" s="7" t="s">
        <v>5595</v>
      </c>
    </row>
    <row r="942">
      <c r="A942" s="5" t="s">
        <v>5777</v>
      </c>
      <c r="B942" s="5" t="s">
        <v>5778</v>
      </c>
      <c r="D942" s="5" t="s">
        <v>1560</v>
      </c>
      <c r="F942" s="5" t="s">
        <v>635</v>
      </c>
      <c r="G942" s="5" t="s">
        <v>76</v>
      </c>
      <c r="H942" s="5" t="s">
        <v>18</v>
      </c>
      <c r="I942" s="7" t="s">
        <v>5776</v>
      </c>
    </row>
    <row r="943">
      <c r="A943" s="5" t="s">
        <v>5897</v>
      </c>
      <c r="B943" s="5" t="s">
        <v>5898</v>
      </c>
      <c r="D943" s="5" t="s">
        <v>1560</v>
      </c>
      <c r="F943" s="5" t="s">
        <v>80</v>
      </c>
      <c r="G943" s="5" t="s">
        <v>38</v>
      </c>
      <c r="H943" s="5" t="s">
        <v>18</v>
      </c>
      <c r="I943" s="7" t="s">
        <v>10596</v>
      </c>
    </row>
    <row r="944">
      <c r="A944" s="5" t="s">
        <v>1589</v>
      </c>
      <c r="B944" s="5" t="s">
        <v>371</v>
      </c>
      <c r="D944" s="5" t="s">
        <v>1560</v>
      </c>
      <c r="F944" s="5" t="s">
        <v>1590</v>
      </c>
      <c r="G944" s="5" t="s">
        <v>76</v>
      </c>
      <c r="H944" s="5" t="s">
        <v>18</v>
      </c>
      <c r="I944" s="7" t="s">
        <v>5995</v>
      </c>
    </row>
    <row r="945">
      <c r="A945" s="5" t="s">
        <v>6125</v>
      </c>
      <c r="B945" s="5" t="s">
        <v>4749</v>
      </c>
      <c r="D945" s="5" t="s">
        <v>1560</v>
      </c>
      <c r="E945" s="5" t="s">
        <v>144</v>
      </c>
      <c r="F945" s="5" t="s">
        <v>1296</v>
      </c>
      <c r="G945" s="5" t="s">
        <v>96</v>
      </c>
      <c r="H945" s="5" t="s">
        <v>18</v>
      </c>
      <c r="I945" s="7" t="s">
        <v>6124</v>
      </c>
    </row>
    <row r="946">
      <c r="A946" s="5" t="s">
        <v>6315</v>
      </c>
      <c r="B946" s="5" t="s">
        <v>6316</v>
      </c>
      <c r="D946" s="5" t="s">
        <v>1560</v>
      </c>
      <c r="F946" s="5" t="s">
        <v>1187</v>
      </c>
      <c r="G946" s="5" t="s">
        <v>96</v>
      </c>
      <c r="H946" s="5" t="s">
        <v>18</v>
      </c>
      <c r="I946" s="7" t="s">
        <v>6314</v>
      </c>
    </row>
    <row r="947">
      <c r="A947" s="5" t="s">
        <v>6324</v>
      </c>
      <c r="B947" s="5" t="s">
        <v>4749</v>
      </c>
      <c r="D947" s="5" t="s">
        <v>1560</v>
      </c>
      <c r="E947" s="5" t="s">
        <v>144</v>
      </c>
      <c r="F947" s="5" t="s">
        <v>112</v>
      </c>
      <c r="G947" s="5" t="s">
        <v>38</v>
      </c>
      <c r="H947" s="5" t="s">
        <v>18</v>
      </c>
      <c r="I947" s="7" t="s">
        <v>6323</v>
      </c>
    </row>
    <row r="948">
      <c r="A948" s="5" t="s">
        <v>7913</v>
      </c>
      <c r="B948" s="5" t="s">
        <v>2911</v>
      </c>
      <c r="D948" s="5" t="s">
        <v>1560</v>
      </c>
      <c r="E948" s="5" t="s">
        <v>7914</v>
      </c>
      <c r="F948" s="5" t="s">
        <v>137</v>
      </c>
      <c r="G948" s="5" t="s">
        <v>137</v>
      </c>
      <c r="H948" s="5" t="s">
        <v>18</v>
      </c>
      <c r="I948" s="17" t="s">
        <v>10597</v>
      </c>
    </row>
    <row r="949">
      <c r="A949" s="5" t="s">
        <v>8366</v>
      </c>
      <c r="B949" s="5" t="s">
        <v>371</v>
      </c>
      <c r="D949" s="5" t="s">
        <v>1560</v>
      </c>
      <c r="F949" s="5" t="s">
        <v>153</v>
      </c>
      <c r="G949" s="5" t="s">
        <v>154</v>
      </c>
      <c r="H949" s="5" t="s">
        <v>18</v>
      </c>
      <c r="I949" s="7" t="s">
        <v>8365</v>
      </c>
    </row>
    <row r="950">
      <c r="A950" s="5" t="s">
        <v>8539</v>
      </c>
      <c r="B950" s="5" t="s">
        <v>8540</v>
      </c>
      <c r="D950" s="5" t="s">
        <v>1560</v>
      </c>
      <c r="F950" s="5" t="s">
        <v>8541</v>
      </c>
      <c r="G950" s="5" t="s">
        <v>76</v>
      </c>
      <c r="H950" s="5" t="s">
        <v>18</v>
      </c>
      <c r="I950" s="7" t="s">
        <v>8538</v>
      </c>
    </row>
    <row r="951">
      <c r="A951" s="5" t="s">
        <v>8851</v>
      </c>
      <c r="B951" s="5" t="s">
        <v>7194</v>
      </c>
      <c r="D951" s="5" t="s">
        <v>1560</v>
      </c>
      <c r="E951" s="5" t="s">
        <v>1249</v>
      </c>
      <c r="F951" s="5" t="s">
        <v>1022</v>
      </c>
      <c r="G951" s="5" t="s">
        <v>264</v>
      </c>
      <c r="H951" s="5" t="s">
        <v>18</v>
      </c>
      <c r="I951" s="7" t="s">
        <v>10598</v>
      </c>
    </row>
    <row r="952">
      <c r="A952" s="5" t="s">
        <v>10011</v>
      </c>
      <c r="B952" s="5" t="s">
        <v>4749</v>
      </c>
      <c r="D952" s="5" t="s">
        <v>1560</v>
      </c>
      <c r="F952" s="5" t="s">
        <v>102</v>
      </c>
      <c r="G952" s="5" t="s">
        <v>172</v>
      </c>
      <c r="H952" s="5" t="s">
        <v>18</v>
      </c>
      <c r="I952" s="7" t="s">
        <v>10010</v>
      </c>
    </row>
    <row r="953">
      <c r="A953" s="5" t="s">
        <v>1558</v>
      </c>
      <c r="B953" s="5" t="s">
        <v>1559</v>
      </c>
      <c r="C953" s="5" t="s">
        <v>13</v>
      </c>
      <c r="D953" s="5" t="s">
        <v>1560</v>
      </c>
      <c r="E953" s="5" t="s">
        <v>1561</v>
      </c>
      <c r="F953" s="5" t="s">
        <v>16</v>
      </c>
      <c r="G953" s="5" t="s">
        <v>17</v>
      </c>
      <c r="H953" s="5" t="s">
        <v>18</v>
      </c>
      <c r="I953" s="7" t="s">
        <v>1562</v>
      </c>
    </row>
    <row r="954">
      <c r="A954" s="5" t="s">
        <v>1563</v>
      </c>
      <c r="B954" s="5" t="s">
        <v>25</v>
      </c>
      <c r="C954" s="5" t="s">
        <v>13</v>
      </c>
      <c r="D954" s="5" t="s">
        <v>1560</v>
      </c>
      <c r="E954" s="5" t="s">
        <v>1564</v>
      </c>
      <c r="F954" s="5" t="s">
        <v>377</v>
      </c>
      <c r="G954" s="5" t="s">
        <v>378</v>
      </c>
      <c r="H954" s="5" t="s">
        <v>18</v>
      </c>
      <c r="I954" s="7" t="s">
        <v>1565</v>
      </c>
    </row>
    <row r="955">
      <c r="A955" s="5" t="s">
        <v>1566</v>
      </c>
      <c r="B955" s="5" t="s">
        <v>1567</v>
      </c>
      <c r="C955" s="5" t="s">
        <v>13</v>
      </c>
      <c r="D955" s="5" t="s">
        <v>1560</v>
      </c>
      <c r="E955" s="5" t="s">
        <v>100</v>
      </c>
      <c r="F955" s="5" t="s">
        <v>377</v>
      </c>
      <c r="G955" s="5" t="s">
        <v>378</v>
      </c>
      <c r="H955" s="5" t="s">
        <v>18</v>
      </c>
      <c r="I955" s="7" t="s">
        <v>1568</v>
      </c>
    </row>
    <row r="956">
      <c r="A956" s="5" t="s">
        <v>1569</v>
      </c>
      <c r="B956" s="5" t="s">
        <v>1128</v>
      </c>
      <c r="C956" s="5" t="s">
        <v>13</v>
      </c>
      <c r="D956" s="5" t="s">
        <v>1560</v>
      </c>
      <c r="E956" s="5" t="s">
        <v>1570</v>
      </c>
      <c r="F956" s="5" t="s">
        <v>703</v>
      </c>
      <c r="G956" s="5" t="s">
        <v>137</v>
      </c>
      <c r="H956" s="5" t="s">
        <v>18</v>
      </c>
      <c r="I956" s="7" t="s">
        <v>1571</v>
      </c>
    </row>
    <row r="957">
      <c r="A957" s="5" t="s">
        <v>1572</v>
      </c>
      <c r="B957" s="5" t="s">
        <v>1573</v>
      </c>
      <c r="C957" s="5" t="s">
        <v>13</v>
      </c>
      <c r="D957" s="5" t="s">
        <v>1560</v>
      </c>
      <c r="F957" s="5" t="s">
        <v>703</v>
      </c>
      <c r="G957" s="5" t="s">
        <v>137</v>
      </c>
      <c r="H957" s="5" t="s">
        <v>18</v>
      </c>
      <c r="I957" s="7" t="s">
        <v>1574</v>
      </c>
    </row>
    <row r="958">
      <c r="A958" s="5" t="s">
        <v>1575</v>
      </c>
      <c r="B958" s="5" t="s">
        <v>25</v>
      </c>
      <c r="C958" s="5" t="s">
        <v>13</v>
      </c>
      <c r="D958" s="5" t="s">
        <v>1560</v>
      </c>
      <c r="F958" s="5" t="s">
        <v>64</v>
      </c>
      <c r="G958" s="5" t="s">
        <v>65</v>
      </c>
      <c r="H958" s="5" t="s">
        <v>18</v>
      </c>
      <c r="I958" s="7" t="s">
        <v>1576</v>
      </c>
    </row>
    <row r="959">
      <c r="A959" s="5" t="s">
        <v>1577</v>
      </c>
      <c r="B959" s="5" t="s">
        <v>25</v>
      </c>
      <c r="C959" s="5" t="s">
        <v>13</v>
      </c>
      <c r="D959" s="5" t="s">
        <v>1560</v>
      </c>
      <c r="E959" s="5" t="s">
        <v>1578</v>
      </c>
      <c r="F959" s="5" t="s">
        <v>64</v>
      </c>
      <c r="G959" s="5" t="s">
        <v>65</v>
      </c>
      <c r="H959" s="5" t="s">
        <v>18</v>
      </c>
      <c r="I959" s="7" t="s">
        <v>1579</v>
      </c>
    </row>
    <row r="960">
      <c r="A960" s="5" t="s">
        <v>1580</v>
      </c>
      <c r="B960" s="5" t="s">
        <v>25</v>
      </c>
      <c r="C960" s="5" t="s">
        <v>13</v>
      </c>
      <c r="D960" s="5" t="s">
        <v>1560</v>
      </c>
      <c r="E960" s="5" t="s">
        <v>1249</v>
      </c>
      <c r="F960" s="5" t="s">
        <v>1581</v>
      </c>
      <c r="G960" s="5" t="s">
        <v>96</v>
      </c>
      <c r="H960" s="5" t="s">
        <v>18</v>
      </c>
      <c r="I960" s="7" t="s">
        <v>1582</v>
      </c>
    </row>
    <row r="961">
      <c r="A961" s="5" t="s">
        <v>1583</v>
      </c>
      <c r="B961" s="5" t="s">
        <v>25</v>
      </c>
      <c r="C961" s="5" t="s">
        <v>13</v>
      </c>
      <c r="D961" s="5" t="s">
        <v>1560</v>
      </c>
      <c r="E961" s="5" t="s">
        <v>1584</v>
      </c>
      <c r="F961" s="5" t="s">
        <v>80</v>
      </c>
      <c r="G961" s="5" t="s">
        <v>38</v>
      </c>
      <c r="H961" s="5" t="s">
        <v>18</v>
      </c>
      <c r="I961" s="7" t="s">
        <v>1585</v>
      </c>
    </row>
    <row r="962">
      <c r="A962" s="5" t="s">
        <v>1586</v>
      </c>
      <c r="B962" s="5" t="s">
        <v>25</v>
      </c>
      <c r="C962" s="5" t="s">
        <v>13</v>
      </c>
      <c r="D962" s="5" t="s">
        <v>1560</v>
      </c>
      <c r="E962" s="5" t="s">
        <v>1587</v>
      </c>
      <c r="F962" s="5" t="s">
        <v>85</v>
      </c>
      <c r="G962" s="5" t="s">
        <v>86</v>
      </c>
      <c r="H962" s="5" t="s">
        <v>18</v>
      </c>
      <c r="I962" s="7" t="s">
        <v>1588</v>
      </c>
    </row>
    <row r="963">
      <c r="A963" s="5" t="s">
        <v>1589</v>
      </c>
      <c r="B963" s="5" t="s">
        <v>371</v>
      </c>
      <c r="C963" s="5" t="s">
        <v>13</v>
      </c>
      <c r="D963" s="5" t="s">
        <v>1560</v>
      </c>
      <c r="F963" s="5" t="s">
        <v>1590</v>
      </c>
      <c r="G963" s="5" t="s">
        <v>76</v>
      </c>
      <c r="H963" s="5" t="s">
        <v>18</v>
      </c>
      <c r="I963" s="7" t="s">
        <v>1591</v>
      </c>
    </row>
    <row r="964">
      <c r="A964" s="5" t="s">
        <v>1592</v>
      </c>
      <c r="B964" s="5" t="s">
        <v>1593</v>
      </c>
      <c r="C964" s="5" t="s">
        <v>13</v>
      </c>
      <c r="D964" s="5" t="s">
        <v>1560</v>
      </c>
      <c r="F964" s="5" t="s">
        <v>833</v>
      </c>
      <c r="G964" s="5" t="s">
        <v>203</v>
      </c>
      <c r="H964" s="5" t="s">
        <v>18</v>
      </c>
      <c r="I964" s="7" t="s">
        <v>1594</v>
      </c>
    </row>
    <row r="965">
      <c r="A965" s="5" t="s">
        <v>1595</v>
      </c>
      <c r="B965" s="5" t="s">
        <v>25</v>
      </c>
      <c r="C965" s="5" t="s">
        <v>13</v>
      </c>
      <c r="D965" s="5" t="s">
        <v>1560</v>
      </c>
      <c r="E965" s="5" t="s">
        <v>1596</v>
      </c>
      <c r="F965" s="5" t="s">
        <v>1597</v>
      </c>
      <c r="G965" s="5" t="s">
        <v>96</v>
      </c>
      <c r="H965" s="5" t="s">
        <v>18</v>
      </c>
      <c r="I965" s="7" t="s">
        <v>1598</v>
      </c>
    </row>
    <row r="966">
      <c r="A966" s="5" t="s">
        <v>1599</v>
      </c>
      <c r="B966" s="5" t="s">
        <v>25</v>
      </c>
      <c r="C966" s="5" t="s">
        <v>13</v>
      </c>
      <c r="D966" s="5" t="s">
        <v>1560</v>
      </c>
      <c r="F966" s="5" t="s">
        <v>1600</v>
      </c>
      <c r="G966" s="5" t="s">
        <v>44</v>
      </c>
      <c r="H966" s="5" t="s">
        <v>18</v>
      </c>
      <c r="I966" s="7" t="s">
        <v>1601</v>
      </c>
    </row>
    <row r="967">
      <c r="A967" s="5" t="s">
        <v>1602</v>
      </c>
      <c r="B967" s="5" t="s">
        <v>25</v>
      </c>
      <c r="C967" s="5" t="s">
        <v>13</v>
      </c>
      <c r="D967" s="5" t="s">
        <v>1560</v>
      </c>
      <c r="E967" s="5" t="s">
        <v>1603</v>
      </c>
      <c r="F967" s="5" t="s">
        <v>1604</v>
      </c>
      <c r="G967" s="5" t="s">
        <v>96</v>
      </c>
      <c r="H967" s="5" t="s">
        <v>18</v>
      </c>
      <c r="I967" s="7" t="s">
        <v>1605</v>
      </c>
    </row>
    <row r="968">
      <c r="A968" s="5" t="s">
        <v>1606</v>
      </c>
      <c r="B968" s="5" t="s">
        <v>25</v>
      </c>
      <c r="C968" s="5" t="s">
        <v>13</v>
      </c>
      <c r="D968" s="5" t="s">
        <v>1560</v>
      </c>
      <c r="E968" s="5" t="s">
        <v>1607</v>
      </c>
      <c r="F968" s="5" t="s">
        <v>122</v>
      </c>
      <c r="G968" s="5" t="s">
        <v>44</v>
      </c>
      <c r="H968" s="5" t="s">
        <v>18</v>
      </c>
      <c r="I968" s="7" t="s">
        <v>1608</v>
      </c>
    </row>
    <row r="969">
      <c r="A969" s="5" t="s">
        <v>1609</v>
      </c>
      <c r="B969" s="5" t="s">
        <v>25</v>
      </c>
      <c r="C969" s="5" t="s">
        <v>13</v>
      </c>
      <c r="D969" s="5" t="s">
        <v>1560</v>
      </c>
      <c r="E969" s="5" t="s">
        <v>622</v>
      </c>
      <c r="F969" s="5" t="s">
        <v>218</v>
      </c>
      <c r="G969" s="5" t="s">
        <v>219</v>
      </c>
      <c r="H969" s="5" t="s">
        <v>18</v>
      </c>
      <c r="I969" s="7" t="s">
        <v>1610</v>
      </c>
    </row>
    <row r="970">
      <c r="A970" s="5" t="s">
        <v>1611</v>
      </c>
      <c r="B970" s="5" t="s">
        <v>25</v>
      </c>
      <c r="C970" s="5" t="s">
        <v>13</v>
      </c>
      <c r="D970" s="5" t="s">
        <v>1560</v>
      </c>
      <c r="E970" s="5" t="s">
        <v>144</v>
      </c>
      <c r="F970" s="5" t="s">
        <v>137</v>
      </c>
      <c r="G970" s="5" t="s">
        <v>137</v>
      </c>
      <c r="H970" s="5" t="s">
        <v>18</v>
      </c>
      <c r="I970" s="7" t="s">
        <v>1612</v>
      </c>
    </row>
    <row r="971">
      <c r="A971" s="5" t="s">
        <v>1613</v>
      </c>
      <c r="B971" s="5" t="s">
        <v>25</v>
      </c>
      <c r="C971" s="5" t="s">
        <v>13</v>
      </c>
      <c r="D971" s="5" t="s">
        <v>1560</v>
      </c>
      <c r="F971" s="5" t="s">
        <v>1022</v>
      </c>
      <c r="G971" s="5" t="s">
        <v>264</v>
      </c>
      <c r="H971" s="5" t="s">
        <v>18</v>
      </c>
      <c r="I971" s="7" t="s">
        <v>1614</v>
      </c>
    </row>
    <row r="972">
      <c r="A972" s="5" t="s">
        <v>1615</v>
      </c>
      <c r="B972" s="5" t="s">
        <v>1616</v>
      </c>
      <c r="C972" s="5" t="s">
        <v>13</v>
      </c>
      <c r="D972" s="5" t="s">
        <v>1560</v>
      </c>
      <c r="E972" s="5" t="s">
        <v>1617</v>
      </c>
      <c r="F972" s="5" t="s">
        <v>1618</v>
      </c>
      <c r="G972" s="5" t="s">
        <v>44</v>
      </c>
      <c r="H972" s="5" t="s">
        <v>18</v>
      </c>
      <c r="I972" s="7" t="s">
        <v>1619</v>
      </c>
    </row>
    <row r="973">
      <c r="A973" s="5" t="s">
        <v>1620</v>
      </c>
      <c r="B973" s="5" t="s">
        <v>25</v>
      </c>
      <c r="C973" s="5" t="s">
        <v>13</v>
      </c>
      <c r="D973" s="5" t="s">
        <v>1560</v>
      </c>
      <c r="E973" s="5" t="s">
        <v>268</v>
      </c>
      <c r="F973" s="5" t="s">
        <v>16</v>
      </c>
      <c r="G973" s="5" t="s">
        <v>17</v>
      </c>
      <c r="H973" s="5" t="s">
        <v>18</v>
      </c>
      <c r="I973" s="7" t="s">
        <v>1621</v>
      </c>
    </row>
    <row r="974">
      <c r="A974" s="5" t="s">
        <v>1622</v>
      </c>
      <c r="B974" s="5" t="s">
        <v>25</v>
      </c>
      <c r="C974" s="5" t="s">
        <v>13</v>
      </c>
      <c r="D974" s="5" t="s">
        <v>1560</v>
      </c>
      <c r="E974" s="5" t="s">
        <v>1623</v>
      </c>
      <c r="F974" s="5" t="s">
        <v>16</v>
      </c>
      <c r="G974" s="5" t="s">
        <v>17</v>
      </c>
      <c r="H974" s="5" t="s">
        <v>18</v>
      </c>
      <c r="I974" s="7" t="s">
        <v>1624</v>
      </c>
    </row>
    <row r="975">
      <c r="A975" s="5" t="s">
        <v>1625</v>
      </c>
      <c r="B975" s="5" t="s">
        <v>25</v>
      </c>
      <c r="C975" s="5" t="s">
        <v>13</v>
      </c>
      <c r="D975" s="5" t="s">
        <v>1560</v>
      </c>
      <c r="E975" s="5" t="s">
        <v>716</v>
      </c>
      <c r="F975" s="5" t="s">
        <v>16</v>
      </c>
      <c r="G975" s="5" t="s">
        <v>17</v>
      </c>
      <c r="H975" s="5" t="s">
        <v>18</v>
      </c>
      <c r="I975" s="7" t="s">
        <v>1626</v>
      </c>
    </row>
    <row r="976">
      <c r="A976" s="5" t="s">
        <v>1627</v>
      </c>
      <c r="B976" s="5" t="s">
        <v>1628</v>
      </c>
      <c r="C976" s="5" t="s">
        <v>13</v>
      </c>
      <c r="D976" s="5" t="s">
        <v>1560</v>
      </c>
      <c r="E976" s="5" t="s">
        <v>1629</v>
      </c>
      <c r="F976" s="5" t="s">
        <v>16</v>
      </c>
      <c r="G976" s="5" t="s">
        <v>17</v>
      </c>
      <c r="H976" s="5" t="s">
        <v>18</v>
      </c>
      <c r="I976" s="7" t="s">
        <v>10599</v>
      </c>
    </row>
    <row r="977">
      <c r="A977" s="5" t="s">
        <v>1631</v>
      </c>
      <c r="B977" s="5" t="s">
        <v>1632</v>
      </c>
      <c r="C977" s="5" t="s">
        <v>13</v>
      </c>
      <c r="D977" s="5" t="s">
        <v>1560</v>
      </c>
      <c r="E977" s="5" t="s">
        <v>125</v>
      </c>
      <c r="F977" s="5" t="s">
        <v>37</v>
      </c>
      <c r="G977" s="5" t="s">
        <v>38</v>
      </c>
      <c r="H977" s="5" t="s">
        <v>18</v>
      </c>
      <c r="I977" s="17" t="s">
        <v>10600</v>
      </c>
    </row>
    <row r="978">
      <c r="A978" s="5" t="s">
        <v>1216</v>
      </c>
      <c r="B978" s="5" t="s">
        <v>25</v>
      </c>
      <c r="C978" s="5" t="s">
        <v>13</v>
      </c>
      <c r="D978" s="5" t="s">
        <v>1560</v>
      </c>
      <c r="E978" s="5" t="s">
        <v>1634</v>
      </c>
      <c r="F978" s="5" t="s">
        <v>37</v>
      </c>
      <c r="G978" s="5" t="s">
        <v>38</v>
      </c>
      <c r="H978" s="5" t="s">
        <v>18</v>
      </c>
      <c r="I978" s="7" t="s">
        <v>1635</v>
      </c>
    </row>
    <row r="979">
      <c r="A979" s="5" t="s">
        <v>1636</v>
      </c>
      <c r="B979" s="5" t="s">
        <v>25</v>
      </c>
      <c r="C979" s="5" t="s">
        <v>13</v>
      </c>
      <c r="D979" s="5" t="s">
        <v>1560</v>
      </c>
      <c r="E979" s="5" t="s">
        <v>1637</v>
      </c>
      <c r="F979" s="5" t="s">
        <v>1638</v>
      </c>
      <c r="G979" s="5" t="s">
        <v>1639</v>
      </c>
      <c r="H979" s="5" t="s">
        <v>18</v>
      </c>
      <c r="I979" s="7" t="s">
        <v>1640</v>
      </c>
    </row>
    <row r="980">
      <c r="A980" s="5" t="s">
        <v>1641</v>
      </c>
      <c r="B980" s="5" t="s">
        <v>25</v>
      </c>
      <c r="C980" s="5" t="s">
        <v>13</v>
      </c>
      <c r="D980" s="5" t="s">
        <v>1560</v>
      </c>
      <c r="E980" s="5" t="s">
        <v>1642</v>
      </c>
      <c r="F980" s="5" t="s">
        <v>1643</v>
      </c>
      <c r="G980" s="5" t="s">
        <v>91</v>
      </c>
      <c r="H980" s="5" t="s">
        <v>18</v>
      </c>
      <c r="I980" s="7" t="s">
        <v>1644</v>
      </c>
    </row>
    <row r="981">
      <c r="A981" s="5" t="s">
        <v>1645</v>
      </c>
      <c r="B981" s="5" t="s">
        <v>25</v>
      </c>
      <c r="C981" s="5" t="s">
        <v>13</v>
      </c>
      <c r="D981" s="5" t="s">
        <v>1560</v>
      </c>
      <c r="E981" s="5" t="s">
        <v>26</v>
      </c>
      <c r="F981" s="5" t="s">
        <v>377</v>
      </c>
      <c r="G981" s="5" t="s">
        <v>378</v>
      </c>
      <c r="H981" s="5" t="s">
        <v>18</v>
      </c>
      <c r="I981" s="7" t="s">
        <v>1646</v>
      </c>
    </row>
    <row r="982">
      <c r="A982" s="5" t="s">
        <v>1647</v>
      </c>
      <c r="B982" s="5" t="s">
        <v>1648</v>
      </c>
      <c r="C982" s="5" t="s">
        <v>13</v>
      </c>
      <c r="D982" s="5" t="s">
        <v>1560</v>
      </c>
      <c r="E982" s="5" t="s">
        <v>277</v>
      </c>
      <c r="F982" s="5" t="s">
        <v>377</v>
      </c>
      <c r="G982" s="5" t="s">
        <v>378</v>
      </c>
      <c r="H982" s="5" t="s">
        <v>18</v>
      </c>
      <c r="I982" s="17" t="s">
        <v>10601</v>
      </c>
    </row>
    <row r="983">
      <c r="A983" s="5" t="s">
        <v>1650</v>
      </c>
      <c r="B983" s="5" t="s">
        <v>25</v>
      </c>
      <c r="C983" s="5" t="s">
        <v>13</v>
      </c>
      <c r="D983" s="5" t="s">
        <v>1560</v>
      </c>
      <c r="E983" s="5" t="s">
        <v>144</v>
      </c>
      <c r="F983" s="5" t="s">
        <v>377</v>
      </c>
      <c r="G983" s="5" t="s">
        <v>378</v>
      </c>
      <c r="H983" s="5" t="s">
        <v>18</v>
      </c>
      <c r="I983" s="7" t="s">
        <v>1651</v>
      </c>
    </row>
    <row r="984">
      <c r="A984" s="5" t="s">
        <v>1652</v>
      </c>
      <c r="B984" s="5" t="s">
        <v>1653</v>
      </c>
      <c r="C984" s="5" t="s">
        <v>13</v>
      </c>
      <c r="D984" s="5" t="s">
        <v>1560</v>
      </c>
      <c r="E984" s="5" t="s">
        <v>268</v>
      </c>
      <c r="F984" s="5" t="s">
        <v>377</v>
      </c>
      <c r="G984" s="5" t="s">
        <v>378</v>
      </c>
      <c r="H984" s="5" t="s">
        <v>18</v>
      </c>
      <c r="I984" s="17" t="s">
        <v>10602</v>
      </c>
    </row>
    <row r="985">
      <c r="A985" s="5" t="s">
        <v>1655</v>
      </c>
      <c r="B985" s="5" t="s">
        <v>1656</v>
      </c>
      <c r="C985" s="5" t="s">
        <v>13</v>
      </c>
      <c r="D985" s="5" t="s">
        <v>1560</v>
      </c>
      <c r="E985" s="5" t="s">
        <v>277</v>
      </c>
      <c r="F985" s="5" t="s">
        <v>377</v>
      </c>
      <c r="G985" s="5" t="s">
        <v>378</v>
      </c>
      <c r="H985" s="5" t="s">
        <v>18</v>
      </c>
      <c r="I985" s="17" t="s">
        <v>10603</v>
      </c>
    </row>
    <row r="986">
      <c r="A986" s="5" t="s">
        <v>1658</v>
      </c>
      <c r="B986" s="5" t="s">
        <v>1659</v>
      </c>
      <c r="C986" s="5" t="s">
        <v>13</v>
      </c>
      <c r="D986" s="5" t="s">
        <v>1560</v>
      </c>
      <c r="E986" s="5" t="s">
        <v>277</v>
      </c>
      <c r="F986" s="5" t="s">
        <v>377</v>
      </c>
      <c r="G986" s="5" t="s">
        <v>378</v>
      </c>
      <c r="H986" s="5" t="s">
        <v>18</v>
      </c>
      <c r="I986" s="17" t="s">
        <v>10604</v>
      </c>
    </row>
    <row r="987">
      <c r="A987" s="5" t="s">
        <v>1661</v>
      </c>
      <c r="B987" s="5" t="s">
        <v>25</v>
      </c>
      <c r="C987" s="5" t="s">
        <v>13</v>
      </c>
      <c r="D987" s="5" t="s">
        <v>1560</v>
      </c>
      <c r="E987" s="5" t="s">
        <v>774</v>
      </c>
      <c r="F987" s="5" t="s">
        <v>377</v>
      </c>
      <c r="G987" s="5" t="s">
        <v>378</v>
      </c>
      <c r="H987" s="5" t="s">
        <v>18</v>
      </c>
      <c r="I987" s="7" t="s">
        <v>1662</v>
      </c>
    </row>
    <row r="988">
      <c r="A988" s="5" t="s">
        <v>1663</v>
      </c>
      <c r="B988" s="5" t="s">
        <v>25</v>
      </c>
      <c r="C988" s="5" t="s">
        <v>13</v>
      </c>
      <c r="D988" s="5" t="s">
        <v>1560</v>
      </c>
      <c r="E988" s="5" t="s">
        <v>136</v>
      </c>
      <c r="F988" s="5" t="s">
        <v>1664</v>
      </c>
      <c r="G988" s="5" t="s">
        <v>1305</v>
      </c>
      <c r="H988" s="5" t="s">
        <v>18</v>
      </c>
      <c r="I988" s="7" t="s">
        <v>1665</v>
      </c>
    </row>
    <row r="989">
      <c r="A989" s="5" t="s">
        <v>1666</v>
      </c>
      <c r="B989" s="5" t="s">
        <v>371</v>
      </c>
      <c r="C989" s="5" t="s">
        <v>13</v>
      </c>
      <c r="D989" s="5" t="s">
        <v>1560</v>
      </c>
      <c r="E989" s="5" t="s">
        <v>1667</v>
      </c>
      <c r="F989" s="5" t="s">
        <v>49</v>
      </c>
      <c r="G989" s="5" t="s">
        <v>50</v>
      </c>
      <c r="H989" s="5" t="s">
        <v>18</v>
      </c>
      <c r="I989" s="7" t="s">
        <v>1668</v>
      </c>
    </row>
    <row r="990">
      <c r="A990" s="5" t="s">
        <v>1669</v>
      </c>
      <c r="B990" s="5" t="s">
        <v>25</v>
      </c>
      <c r="C990" s="5" t="s">
        <v>13</v>
      </c>
      <c r="D990" s="5" t="s">
        <v>1560</v>
      </c>
      <c r="E990" s="5" t="s">
        <v>26</v>
      </c>
      <c r="F990" s="5" t="s">
        <v>49</v>
      </c>
      <c r="G990" s="5" t="s">
        <v>50</v>
      </c>
      <c r="H990" s="5" t="s">
        <v>18</v>
      </c>
      <c r="I990" s="7" t="s">
        <v>1670</v>
      </c>
    </row>
    <row r="991">
      <c r="A991" s="5" t="s">
        <v>1671</v>
      </c>
      <c r="B991" s="5" t="s">
        <v>25</v>
      </c>
      <c r="C991" s="5" t="s">
        <v>13</v>
      </c>
      <c r="D991" s="5" t="s">
        <v>1560</v>
      </c>
      <c r="E991" s="5" t="s">
        <v>691</v>
      </c>
      <c r="F991" s="5" t="s">
        <v>49</v>
      </c>
      <c r="G991" s="5" t="s">
        <v>50</v>
      </c>
      <c r="H991" s="5" t="s">
        <v>18</v>
      </c>
      <c r="I991" s="7" t="s">
        <v>1672</v>
      </c>
    </row>
    <row r="992">
      <c r="A992" s="5" t="s">
        <v>1673</v>
      </c>
      <c r="B992" s="5" t="s">
        <v>25</v>
      </c>
      <c r="C992" s="5" t="s">
        <v>13</v>
      </c>
      <c r="D992" s="5" t="s">
        <v>1560</v>
      </c>
      <c r="E992" s="5" t="s">
        <v>1282</v>
      </c>
      <c r="F992" s="5" t="s">
        <v>49</v>
      </c>
      <c r="G992" s="5" t="s">
        <v>50</v>
      </c>
      <c r="H992" s="5" t="s">
        <v>18</v>
      </c>
      <c r="I992" s="7" t="s">
        <v>1674</v>
      </c>
    </row>
    <row r="993">
      <c r="A993" s="5" t="s">
        <v>1675</v>
      </c>
      <c r="B993" s="5" t="s">
        <v>25</v>
      </c>
      <c r="C993" s="5" t="s">
        <v>13</v>
      </c>
      <c r="D993" s="5" t="s">
        <v>1560</v>
      </c>
      <c r="E993" s="5" t="s">
        <v>1676</v>
      </c>
      <c r="F993" s="5" t="s">
        <v>64</v>
      </c>
      <c r="G993" s="5" t="s">
        <v>65</v>
      </c>
      <c r="H993" s="5" t="s">
        <v>18</v>
      </c>
      <c r="I993" s="7" t="s">
        <v>1677</v>
      </c>
    </row>
    <row r="994">
      <c r="A994" s="5" t="s">
        <v>1678</v>
      </c>
      <c r="B994" s="5" t="s">
        <v>25</v>
      </c>
      <c r="C994" s="5" t="s">
        <v>13</v>
      </c>
      <c r="D994" s="5" t="s">
        <v>1560</v>
      </c>
      <c r="E994" s="5" t="s">
        <v>1634</v>
      </c>
      <c r="F994" s="5" t="s">
        <v>64</v>
      </c>
      <c r="G994" s="5" t="s">
        <v>65</v>
      </c>
      <c r="H994" s="5" t="s">
        <v>18</v>
      </c>
      <c r="I994" s="7" t="s">
        <v>1679</v>
      </c>
    </row>
    <row r="995">
      <c r="A995" s="5" t="s">
        <v>1680</v>
      </c>
      <c r="B995" s="5" t="s">
        <v>25</v>
      </c>
      <c r="C995" s="5" t="s">
        <v>13</v>
      </c>
      <c r="D995" s="5" t="s">
        <v>1560</v>
      </c>
      <c r="E995" s="5" t="s">
        <v>29</v>
      </c>
      <c r="F995" s="5" t="s">
        <v>64</v>
      </c>
      <c r="G995" s="5" t="s">
        <v>65</v>
      </c>
      <c r="H995" s="5" t="s">
        <v>18</v>
      </c>
      <c r="I995" s="7" t="s">
        <v>1681</v>
      </c>
    </row>
    <row r="996">
      <c r="A996" s="5" t="s">
        <v>1682</v>
      </c>
      <c r="B996" s="5" t="s">
        <v>1683</v>
      </c>
      <c r="C996" s="5" t="s">
        <v>13</v>
      </c>
      <c r="D996" s="5" t="s">
        <v>1560</v>
      </c>
      <c r="E996" s="5" t="s">
        <v>1684</v>
      </c>
      <c r="F996" s="5" t="s">
        <v>64</v>
      </c>
      <c r="G996" s="5" t="s">
        <v>65</v>
      </c>
      <c r="H996" s="5" t="s">
        <v>18</v>
      </c>
      <c r="I996" s="17" t="s">
        <v>10605</v>
      </c>
    </row>
    <row r="997">
      <c r="A997" s="5" t="s">
        <v>1686</v>
      </c>
      <c r="B997" s="5" t="s">
        <v>25</v>
      </c>
      <c r="C997" s="5" t="s">
        <v>13</v>
      </c>
      <c r="D997" s="5" t="s">
        <v>1560</v>
      </c>
      <c r="E997" s="5" t="s">
        <v>354</v>
      </c>
      <c r="F997" s="5" t="s">
        <v>64</v>
      </c>
      <c r="G997" s="5" t="s">
        <v>65</v>
      </c>
      <c r="H997" s="5" t="s">
        <v>18</v>
      </c>
      <c r="I997" s="7" t="s">
        <v>1687</v>
      </c>
    </row>
    <row r="998">
      <c r="A998" s="5" t="s">
        <v>1688</v>
      </c>
      <c r="B998" s="5" t="s">
        <v>25</v>
      </c>
      <c r="C998" s="5" t="s">
        <v>13</v>
      </c>
      <c r="D998" s="5" t="s">
        <v>1560</v>
      </c>
      <c r="E998" s="5" t="s">
        <v>409</v>
      </c>
      <c r="F998" s="5" t="s">
        <v>64</v>
      </c>
      <c r="G998" s="5" t="s">
        <v>65</v>
      </c>
      <c r="H998" s="5" t="s">
        <v>18</v>
      </c>
      <c r="I998" s="7" t="s">
        <v>1689</v>
      </c>
    </row>
    <row r="999">
      <c r="A999" s="5" t="s">
        <v>1690</v>
      </c>
      <c r="B999" s="5" t="s">
        <v>1691</v>
      </c>
      <c r="C999" s="5" t="s">
        <v>13</v>
      </c>
      <c r="D999" s="5" t="s">
        <v>1560</v>
      </c>
      <c r="E999" s="5" t="s">
        <v>1692</v>
      </c>
      <c r="F999" s="5" t="s">
        <v>64</v>
      </c>
      <c r="G999" s="5" t="s">
        <v>65</v>
      </c>
      <c r="H999" s="5" t="s">
        <v>18</v>
      </c>
      <c r="I999" s="18" t="s">
        <v>10606</v>
      </c>
    </row>
    <row r="1000">
      <c r="A1000" s="5" t="s">
        <v>1694</v>
      </c>
      <c r="B1000" s="5" t="s">
        <v>1656</v>
      </c>
      <c r="C1000" s="5" t="s">
        <v>13</v>
      </c>
      <c r="D1000" s="5" t="s">
        <v>1560</v>
      </c>
      <c r="E1000" s="5" t="s">
        <v>22</v>
      </c>
      <c r="F1000" s="5" t="s">
        <v>64</v>
      </c>
      <c r="G1000" s="5" t="s">
        <v>65</v>
      </c>
      <c r="H1000" s="5" t="s">
        <v>18</v>
      </c>
      <c r="I1000" s="17" t="s">
        <v>10607</v>
      </c>
    </row>
    <row r="1001">
      <c r="A1001" s="5" t="s">
        <v>1696</v>
      </c>
      <c r="B1001" s="5" t="s">
        <v>25</v>
      </c>
      <c r="C1001" s="5" t="s">
        <v>13</v>
      </c>
      <c r="D1001" s="5" t="s">
        <v>1560</v>
      </c>
      <c r="E1001" s="5" t="s">
        <v>345</v>
      </c>
      <c r="F1001" s="5" t="s">
        <v>1274</v>
      </c>
      <c r="G1001" s="5" t="s">
        <v>76</v>
      </c>
      <c r="H1001" s="5" t="s">
        <v>18</v>
      </c>
      <c r="I1001" s="7" t="s">
        <v>1697</v>
      </c>
    </row>
    <row r="1002">
      <c r="A1002" s="5" t="s">
        <v>1698</v>
      </c>
      <c r="B1002" s="5" t="s">
        <v>1699</v>
      </c>
      <c r="C1002" s="5" t="s">
        <v>13</v>
      </c>
      <c r="D1002" s="5" t="s">
        <v>1560</v>
      </c>
      <c r="E1002" s="5" t="s">
        <v>1148</v>
      </c>
      <c r="F1002" s="5" t="s">
        <v>1700</v>
      </c>
      <c r="G1002" s="5" t="s">
        <v>44</v>
      </c>
      <c r="H1002" s="5" t="s">
        <v>18</v>
      </c>
      <c r="I1002" s="7" t="s">
        <v>1701</v>
      </c>
    </row>
    <row r="1003">
      <c r="A1003" s="5" t="s">
        <v>1702</v>
      </c>
      <c r="B1003" s="5" t="s">
        <v>1703</v>
      </c>
      <c r="C1003" s="5" t="s">
        <v>13</v>
      </c>
      <c r="D1003" s="5" t="s">
        <v>1560</v>
      </c>
      <c r="E1003" s="5" t="s">
        <v>1098</v>
      </c>
      <c r="F1003" s="5" t="s">
        <v>635</v>
      </c>
      <c r="G1003" s="5" t="s">
        <v>76</v>
      </c>
      <c r="H1003" s="5" t="s">
        <v>18</v>
      </c>
      <c r="I1003" s="7" t="s">
        <v>1704</v>
      </c>
    </row>
    <row r="1004">
      <c r="A1004" s="5" t="s">
        <v>1705</v>
      </c>
      <c r="B1004" s="5" t="s">
        <v>1706</v>
      </c>
      <c r="C1004" s="5" t="s">
        <v>13</v>
      </c>
      <c r="D1004" s="5" t="s">
        <v>1560</v>
      </c>
      <c r="E1004" s="5" t="s">
        <v>268</v>
      </c>
      <c r="F1004" s="5" t="s">
        <v>75</v>
      </c>
      <c r="G1004" s="5" t="s">
        <v>76</v>
      </c>
      <c r="H1004" s="5" t="s">
        <v>18</v>
      </c>
      <c r="I1004" s="7" t="s">
        <v>1707</v>
      </c>
    </row>
    <row r="1005">
      <c r="A1005" s="5" t="s">
        <v>1708</v>
      </c>
      <c r="B1005" s="5" t="s">
        <v>25</v>
      </c>
      <c r="C1005" s="5" t="s">
        <v>13</v>
      </c>
      <c r="D1005" s="5" t="s">
        <v>1560</v>
      </c>
      <c r="E1005" s="5" t="s">
        <v>268</v>
      </c>
      <c r="F1005" s="5" t="s">
        <v>75</v>
      </c>
      <c r="G1005" s="5" t="s">
        <v>945</v>
      </c>
      <c r="H1005" s="5" t="s">
        <v>18</v>
      </c>
      <c r="I1005" s="7" t="s">
        <v>1709</v>
      </c>
    </row>
    <row r="1006">
      <c r="A1006" s="5" t="s">
        <v>1710</v>
      </c>
      <c r="B1006" s="5" t="s">
        <v>25</v>
      </c>
      <c r="C1006" s="5" t="s">
        <v>13</v>
      </c>
      <c r="D1006" s="5" t="s">
        <v>1560</v>
      </c>
      <c r="E1006" s="5" t="s">
        <v>188</v>
      </c>
      <c r="F1006" s="5" t="s">
        <v>80</v>
      </c>
      <c r="G1006" s="5" t="s">
        <v>38</v>
      </c>
      <c r="H1006" s="5" t="s">
        <v>18</v>
      </c>
      <c r="I1006" s="7" t="s">
        <v>1711</v>
      </c>
    </row>
    <row r="1007">
      <c r="A1007" s="5" t="s">
        <v>1712</v>
      </c>
      <c r="B1007" s="5" t="s">
        <v>1713</v>
      </c>
      <c r="C1007" s="5" t="s">
        <v>13</v>
      </c>
      <c r="D1007" s="5" t="s">
        <v>1560</v>
      </c>
      <c r="E1007" s="5" t="s">
        <v>421</v>
      </c>
      <c r="F1007" s="5" t="s">
        <v>80</v>
      </c>
      <c r="G1007" s="5" t="s">
        <v>38</v>
      </c>
      <c r="H1007" s="5" t="s">
        <v>18</v>
      </c>
      <c r="I1007" s="17" t="s">
        <v>10608</v>
      </c>
    </row>
    <row r="1008">
      <c r="A1008" s="5" t="s">
        <v>1715</v>
      </c>
      <c r="B1008" s="5" t="s">
        <v>25</v>
      </c>
      <c r="C1008" s="5" t="s">
        <v>13</v>
      </c>
      <c r="D1008" s="5" t="s">
        <v>1560</v>
      </c>
      <c r="E1008" s="5" t="s">
        <v>42</v>
      </c>
      <c r="F1008" s="5" t="s">
        <v>80</v>
      </c>
      <c r="G1008" s="5" t="s">
        <v>38</v>
      </c>
      <c r="H1008" s="5" t="s">
        <v>18</v>
      </c>
      <c r="I1008" s="7" t="s">
        <v>1716</v>
      </c>
    </row>
    <row r="1009">
      <c r="A1009" s="5" t="s">
        <v>1717</v>
      </c>
      <c r="B1009" s="5" t="s">
        <v>25</v>
      </c>
      <c r="C1009" s="5" t="s">
        <v>13</v>
      </c>
      <c r="D1009" s="5" t="s">
        <v>1560</v>
      </c>
      <c r="E1009" s="5" t="s">
        <v>1718</v>
      </c>
      <c r="F1009" s="5" t="s">
        <v>80</v>
      </c>
      <c r="G1009" s="5" t="s">
        <v>38</v>
      </c>
      <c r="H1009" s="5" t="s">
        <v>18</v>
      </c>
      <c r="I1009" s="7" t="s">
        <v>1719</v>
      </c>
    </row>
    <row r="1010">
      <c r="A1010" s="5" t="s">
        <v>1720</v>
      </c>
      <c r="B1010" s="5" t="s">
        <v>1721</v>
      </c>
      <c r="C1010" s="5" t="s">
        <v>13</v>
      </c>
      <c r="D1010" s="5" t="s">
        <v>1560</v>
      </c>
      <c r="E1010" s="5" t="s">
        <v>121</v>
      </c>
      <c r="F1010" s="5" t="s">
        <v>80</v>
      </c>
      <c r="G1010" s="5" t="s">
        <v>38</v>
      </c>
      <c r="H1010" s="5" t="s">
        <v>18</v>
      </c>
      <c r="I1010" s="18" t="s">
        <v>10609</v>
      </c>
    </row>
    <row r="1011">
      <c r="A1011" s="5" t="s">
        <v>1723</v>
      </c>
      <c r="B1011" s="5" t="s">
        <v>1724</v>
      </c>
      <c r="C1011" s="5" t="s">
        <v>13</v>
      </c>
      <c r="D1011" s="5" t="s">
        <v>1560</v>
      </c>
      <c r="E1011" s="5" t="s">
        <v>1105</v>
      </c>
      <c r="F1011" s="5" t="s">
        <v>80</v>
      </c>
      <c r="G1011" s="5" t="s">
        <v>38</v>
      </c>
      <c r="H1011" s="5" t="s">
        <v>18</v>
      </c>
      <c r="I1011" s="17" t="s">
        <v>10610</v>
      </c>
    </row>
    <row r="1012">
      <c r="A1012" s="5" t="s">
        <v>1726</v>
      </c>
      <c r="B1012" s="5" t="s">
        <v>25</v>
      </c>
      <c r="C1012" s="5" t="s">
        <v>13</v>
      </c>
      <c r="D1012" s="5" t="s">
        <v>1560</v>
      </c>
      <c r="E1012" s="5" t="s">
        <v>626</v>
      </c>
      <c r="F1012" s="5" t="s">
        <v>85</v>
      </c>
      <c r="G1012" s="5" t="s">
        <v>86</v>
      </c>
      <c r="H1012" s="5" t="s">
        <v>18</v>
      </c>
      <c r="I1012" s="7" t="s">
        <v>1727</v>
      </c>
    </row>
    <row r="1013">
      <c r="A1013" s="5" t="s">
        <v>1728</v>
      </c>
      <c r="B1013" s="5" t="s">
        <v>25</v>
      </c>
      <c r="C1013" s="5" t="s">
        <v>13</v>
      </c>
      <c r="D1013" s="5" t="s">
        <v>1560</v>
      </c>
      <c r="E1013" s="5" t="s">
        <v>1729</v>
      </c>
      <c r="F1013" s="5" t="s">
        <v>85</v>
      </c>
      <c r="G1013" s="5" t="s">
        <v>86</v>
      </c>
      <c r="H1013" s="5" t="s">
        <v>18</v>
      </c>
      <c r="I1013" s="7" t="s">
        <v>1730</v>
      </c>
    </row>
    <row r="1014">
      <c r="A1014" s="5" t="s">
        <v>1731</v>
      </c>
      <c r="B1014" s="5" t="s">
        <v>25</v>
      </c>
      <c r="C1014" s="5" t="s">
        <v>13</v>
      </c>
      <c r="D1014" s="5" t="s">
        <v>1560</v>
      </c>
      <c r="E1014" s="5" t="s">
        <v>339</v>
      </c>
      <c r="F1014" s="5" t="s">
        <v>90</v>
      </c>
      <c r="G1014" s="5" t="s">
        <v>91</v>
      </c>
      <c r="H1014" s="5" t="s">
        <v>18</v>
      </c>
      <c r="I1014" s="7" t="s">
        <v>1732</v>
      </c>
    </row>
    <row r="1015">
      <c r="A1015" s="5" t="s">
        <v>1733</v>
      </c>
      <c r="B1015" s="5" t="s">
        <v>1734</v>
      </c>
      <c r="C1015" s="5" t="s">
        <v>13</v>
      </c>
      <c r="D1015" s="5" t="s">
        <v>1560</v>
      </c>
      <c r="E1015" s="5" t="s">
        <v>175</v>
      </c>
      <c r="F1015" s="5" t="s">
        <v>90</v>
      </c>
      <c r="G1015" s="5" t="s">
        <v>91</v>
      </c>
      <c r="H1015" s="5" t="s">
        <v>18</v>
      </c>
      <c r="I1015" s="17" t="s">
        <v>10611</v>
      </c>
    </row>
    <row r="1016">
      <c r="A1016" s="5" t="s">
        <v>1736</v>
      </c>
      <c r="B1016" s="5" t="s">
        <v>25</v>
      </c>
      <c r="C1016" s="5" t="s">
        <v>13</v>
      </c>
      <c r="D1016" s="5" t="s">
        <v>1560</v>
      </c>
      <c r="E1016" s="5" t="s">
        <v>686</v>
      </c>
      <c r="F1016" s="5" t="s">
        <v>90</v>
      </c>
      <c r="G1016" s="5" t="s">
        <v>91</v>
      </c>
      <c r="H1016" s="5" t="s">
        <v>18</v>
      </c>
      <c r="I1016" s="7" t="s">
        <v>1737</v>
      </c>
    </row>
    <row r="1017">
      <c r="A1017" s="5" t="s">
        <v>1738</v>
      </c>
      <c r="B1017" s="5" t="s">
        <v>1739</v>
      </c>
      <c r="C1017" s="5" t="s">
        <v>13</v>
      </c>
      <c r="D1017" s="5" t="s">
        <v>1560</v>
      </c>
      <c r="E1017" s="5" t="s">
        <v>712</v>
      </c>
      <c r="F1017" s="5" t="s">
        <v>1187</v>
      </c>
      <c r="G1017" s="5" t="s">
        <v>96</v>
      </c>
      <c r="H1017" s="5" t="s">
        <v>18</v>
      </c>
      <c r="I1017" s="7" t="s">
        <v>1740</v>
      </c>
    </row>
    <row r="1018">
      <c r="A1018" s="5" t="s">
        <v>1741</v>
      </c>
      <c r="B1018" s="5" t="s">
        <v>25</v>
      </c>
      <c r="C1018" s="5" t="s">
        <v>13</v>
      </c>
      <c r="D1018" s="5" t="s">
        <v>1560</v>
      </c>
      <c r="E1018" s="5" t="s">
        <v>94</v>
      </c>
      <c r="F1018" s="5" t="s">
        <v>112</v>
      </c>
      <c r="G1018" s="5" t="s">
        <v>38</v>
      </c>
      <c r="H1018" s="5" t="s">
        <v>18</v>
      </c>
      <c r="I1018" s="7" t="s">
        <v>1742</v>
      </c>
    </row>
    <row r="1019">
      <c r="A1019" s="5" t="s">
        <v>1743</v>
      </c>
      <c r="B1019" s="5" t="s">
        <v>1744</v>
      </c>
      <c r="C1019" s="5" t="s">
        <v>13</v>
      </c>
      <c r="D1019" s="5" t="s">
        <v>1560</v>
      </c>
      <c r="E1019" s="5" t="s">
        <v>421</v>
      </c>
      <c r="F1019" s="5" t="s">
        <v>112</v>
      </c>
      <c r="G1019" s="5" t="s">
        <v>38</v>
      </c>
      <c r="H1019" s="5" t="s">
        <v>18</v>
      </c>
      <c r="I1019" s="7" t="s">
        <v>1745</v>
      </c>
    </row>
    <row r="1020">
      <c r="A1020" s="5" t="s">
        <v>1746</v>
      </c>
      <c r="B1020" s="5" t="s">
        <v>25</v>
      </c>
      <c r="C1020" s="5" t="s">
        <v>13</v>
      </c>
      <c r="D1020" s="5" t="s">
        <v>1560</v>
      </c>
      <c r="E1020" s="5" t="s">
        <v>48</v>
      </c>
      <c r="F1020" s="5" t="s">
        <v>112</v>
      </c>
      <c r="G1020" s="5" t="s">
        <v>38</v>
      </c>
      <c r="H1020" s="5" t="s">
        <v>18</v>
      </c>
      <c r="I1020" s="7" t="s">
        <v>1747</v>
      </c>
    </row>
    <row r="1021">
      <c r="A1021" s="5" t="s">
        <v>1748</v>
      </c>
      <c r="B1021" s="5" t="s">
        <v>1656</v>
      </c>
      <c r="C1021" s="5" t="s">
        <v>13</v>
      </c>
      <c r="D1021" s="5" t="s">
        <v>1560</v>
      </c>
      <c r="E1021" s="5" t="s">
        <v>277</v>
      </c>
      <c r="F1021" s="5" t="s">
        <v>112</v>
      </c>
      <c r="G1021" s="5" t="s">
        <v>38</v>
      </c>
      <c r="H1021" s="5" t="s">
        <v>18</v>
      </c>
      <c r="I1021" s="17" t="s">
        <v>10612</v>
      </c>
    </row>
    <row r="1022">
      <c r="A1022" s="5" t="s">
        <v>1750</v>
      </c>
      <c r="B1022" s="5" t="s">
        <v>25</v>
      </c>
      <c r="C1022" s="5" t="s">
        <v>13</v>
      </c>
      <c r="D1022" s="5" t="s">
        <v>1560</v>
      </c>
      <c r="E1022" s="5" t="s">
        <v>1751</v>
      </c>
      <c r="F1022" s="5" t="s">
        <v>112</v>
      </c>
      <c r="G1022" s="5" t="s">
        <v>38</v>
      </c>
      <c r="H1022" s="5" t="s">
        <v>18</v>
      </c>
      <c r="I1022" s="7" t="s">
        <v>1752</v>
      </c>
    </row>
    <row r="1023">
      <c r="A1023" s="5" t="s">
        <v>1753</v>
      </c>
      <c r="B1023" s="5" t="s">
        <v>25</v>
      </c>
      <c r="C1023" s="5" t="s">
        <v>13</v>
      </c>
      <c r="D1023" s="5" t="s">
        <v>1560</v>
      </c>
      <c r="E1023" s="5" t="s">
        <v>268</v>
      </c>
      <c r="F1023" s="5" t="s">
        <v>112</v>
      </c>
      <c r="G1023" s="5" t="s">
        <v>38</v>
      </c>
      <c r="H1023" s="5" t="s">
        <v>18</v>
      </c>
      <c r="I1023" s="7" t="s">
        <v>1754</v>
      </c>
    </row>
    <row r="1024">
      <c r="A1024" s="5" t="s">
        <v>1755</v>
      </c>
      <c r="B1024" s="5" t="s">
        <v>1756</v>
      </c>
      <c r="C1024" s="5" t="s">
        <v>13</v>
      </c>
      <c r="D1024" s="5" t="s">
        <v>1560</v>
      </c>
      <c r="E1024" s="5" t="s">
        <v>421</v>
      </c>
      <c r="F1024" s="5" t="s">
        <v>112</v>
      </c>
      <c r="G1024" s="5" t="s">
        <v>38</v>
      </c>
      <c r="H1024" s="5" t="s">
        <v>18</v>
      </c>
      <c r="I1024" s="7" t="s">
        <v>10613</v>
      </c>
    </row>
    <row r="1025">
      <c r="A1025" s="5" t="s">
        <v>1758</v>
      </c>
      <c r="B1025" s="5" t="s">
        <v>25</v>
      </c>
      <c r="C1025" s="5" t="s">
        <v>13</v>
      </c>
      <c r="D1025" s="5" t="s">
        <v>1560</v>
      </c>
      <c r="E1025" s="5" t="s">
        <v>1759</v>
      </c>
      <c r="F1025" s="5" t="s">
        <v>1527</v>
      </c>
      <c r="G1025" s="5" t="s">
        <v>945</v>
      </c>
      <c r="H1025" s="5" t="s">
        <v>18</v>
      </c>
      <c r="I1025" s="7" t="s">
        <v>1760</v>
      </c>
    </row>
    <row r="1026">
      <c r="A1026" s="5" t="s">
        <v>1761</v>
      </c>
      <c r="B1026" s="5" t="s">
        <v>25</v>
      </c>
      <c r="C1026" s="5" t="s">
        <v>13</v>
      </c>
      <c r="D1026" s="5" t="s">
        <v>1560</v>
      </c>
      <c r="E1026" s="5" t="s">
        <v>331</v>
      </c>
      <c r="F1026" s="5" t="s">
        <v>1449</v>
      </c>
      <c r="G1026" s="5" t="s">
        <v>203</v>
      </c>
      <c r="H1026" s="5" t="s">
        <v>18</v>
      </c>
      <c r="I1026" s="7" t="s">
        <v>1762</v>
      </c>
    </row>
    <row r="1027">
      <c r="A1027" s="5" t="s">
        <v>1763</v>
      </c>
      <c r="B1027" s="5" t="s">
        <v>25</v>
      </c>
      <c r="C1027" s="5" t="s">
        <v>13</v>
      </c>
      <c r="D1027" s="5" t="s">
        <v>1560</v>
      </c>
      <c r="E1027" s="5" t="s">
        <v>192</v>
      </c>
      <c r="F1027" s="5" t="s">
        <v>1449</v>
      </c>
      <c r="G1027" s="5" t="s">
        <v>203</v>
      </c>
      <c r="H1027" s="5" t="s">
        <v>18</v>
      </c>
      <c r="I1027" s="7" t="s">
        <v>1764</v>
      </c>
    </row>
    <row r="1028">
      <c r="A1028" s="5" t="s">
        <v>1765</v>
      </c>
      <c r="B1028" s="5" t="s">
        <v>1766</v>
      </c>
      <c r="C1028" s="5" t="s">
        <v>13</v>
      </c>
      <c r="D1028" s="5" t="s">
        <v>1560</v>
      </c>
      <c r="E1028" s="5" t="s">
        <v>268</v>
      </c>
      <c r="F1028" s="5" t="s">
        <v>122</v>
      </c>
      <c r="G1028" s="5" t="s">
        <v>44</v>
      </c>
      <c r="H1028" s="5" t="s">
        <v>18</v>
      </c>
      <c r="I1028" s="7" t="s">
        <v>10614</v>
      </c>
    </row>
    <row r="1029">
      <c r="A1029" s="5" t="s">
        <v>1768</v>
      </c>
      <c r="B1029" s="5" t="s">
        <v>1769</v>
      </c>
      <c r="C1029" s="5" t="s">
        <v>13</v>
      </c>
      <c r="D1029" s="5" t="s">
        <v>1560</v>
      </c>
      <c r="E1029" s="5" t="s">
        <v>488</v>
      </c>
      <c r="F1029" s="5" t="s">
        <v>122</v>
      </c>
      <c r="G1029" s="5" t="s">
        <v>44</v>
      </c>
      <c r="H1029" s="5" t="s">
        <v>18</v>
      </c>
      <c r="I1029" s="17" t="s">
        <v>10615</v>
      </c>
    </row>
    <row r="1030">
      <c r="A1030" s="5" t="s">
        <v>1771</v>
      </c>
      <c r="B1030" s="5" t="s">
        <v>1772</v>
      </c>
      <c r="C1030" s="5" t="s">
        <v>13</v>
      </c>
      <c r="D1030" s="5" t="s">
        <v>1560</v>
      </c>
      <c r="E1030" s="5" t="s">
        <v>277</v>
      </c>
      <c r="F1030" s="5" t="s">
        <v>122</v>
      </c>
      <c r="G1030" s="5" t="s">
        <v>44</v>
      </c>
      <c r="H1030" s="5" t="s">
        <v>18</v>
      </c>
      <c r="I1030" s="17" t="s">
        <v>10616</v>
      </c>
    </row>
    <row r="1031">
      <c r="A1031" s="5" t="s">
        <v>1774</v>
      </c>
      <c r="B1031" s="5" t="s">
        <v>1775</v>
      </c>
      <c r="C1031" s="5" t="s">
        <v>13</v>
      </c>
      <c r="D1031" s="5" t="s">
        <v>1560</v>
      </c>
      <c r="E1031" s="5" t="s">
        <v>79</v>
      </c>
      <c r="F1031" s="5" t="s">
        <v>122</v>
      </c>
      <c r="G1031" s="5" t="s">
        <v>44</v>
      </c>
      <c r="H1031" s="5" t="s">
        <v>18</v>
      </c>
      <c r="I1031" s="7" t="s">
        <v>10617</v>
      </c>
    </row>
    <row r="1032">
      <c r="A1032" s="5" t="s">
        <v>1777</v>
      </c>
      <c r="B1032" s="5" t="s">
        <v>25</v>
      </c>
      <c r="C1032" s="5" t="s">
        <v>13</v>
      </c>
      <c r="D1032" s="5" t="s">
        <v>1560</v>
      </c>
      <c r="E1032" s="5" t="s">
        <v>207</v>
      </c>
      <c r="F1032" s="5" t="s">
        <v>122</v>
      </c>
      <c r="G1032" s="5" t="s">
        <v>44</v>
      </c>
      <c r="H1032" s="5" t="s">
        <v>18</v>
      </c>
      <c r="I1032" s="7" t="s">
        <v>1778</v>
      </c>
    </row>
    <row r="1033">
      <c r="A1033" s="5" t="s">
        <v>1779</v>
      </c>
      <c r="B1033" s="5" t="s">
        <v>1780</v>
      </c>
      <c r="C1033" s="5" t="s">
        <v>13</v>
      </c>
      <c r="D1033" s="5" t="s">
        <v>1560</v>
      </c>
      <c r="E1033" s="5" t="s">
        <v>1123</v>
      </c>
      <c r="F1033" s="5" t="s">
        <v>122</v>
      </c>
      <c r="G1033" s="5" t="s">
        <v>44</v>
      </c>
      <c r="H1033" s="5" t="s">
        <v>18</v>
      </c>
      <c r="I1033" s="17" t="s">
        <v>10618</v>
      </c>
    </row>
    <row r="1034">
      <c r="A1034" s="5" t="s">
        <v>1782</v>
      </c>
      <c r="B1034" s="5" t="s">
        <v>25</v>
      </c>
      <c r="C1034" s="5" t="s">
        <v>13</v>
      </c>
      <c r="D1034" s="5" t="s">
        <v>1560</v>
      </c>
      <c r="E1034" s="5" t="s">
        <v>53</v>
      </c>
      <c r="F1034" s="5" t="s">
        <v>122</v>
      </c>
      <c r="G1034" s="5" t="s">
        <v>44</v>
      </c>
      <c r="H1034" s="5" t="s">
        <v>18</v>
      </c>
      <c r="I1034" s="7" t="s">
        <v>1783</v>
      </c>
    </row>
    <row r="1035">
      <c r="A1035" s="5" t="s">
        <v>1784</v>
      </c>
      <c r="B1035" s="5" t="s">
        <v>1785</v>
      </c>
      <c r="C1035" s="5" t="s">
        <v>13</v>
      </c>
      <c r="D1035" s="5" t="s">
        <v>1560</v>
      </c>
      <c r="E1035" s="5" t="s">
        <v>79</v>
      </c>
      <c r="F1035" s="5" t="s">
        <v>793</v>
      </c>
      <c r="G1035" s="5" t="s">
        <v>184</v>
      </c>
      <c r="H1035" s="5" t="s">
        <v>18</v>
      </c>
      <c r="I1035" s="7" t="s">
        <v>10619</v>
      </c>
    </row>
    <row r="1036">
      <c r="A1036" s="5" t="s">
        <v>1787</v>
      </c>
      <c r="B1036" s="5" t="s">
        <v>25</v>
      </c>
      <c r="C1036" s="5" t="s">
        <v>13</v>
      </c>
      <c r="D1036" s="5" t="s">
        <v>1560</v>
      </c>
      <c r="E1036" s="5" t="s">
        <v>1098</v>
      </c>
      <c r="F1036" s="5" t="s">
        <v>953</v>
      </c>
      <c r="G1036" s="5" t="s">
        <v>954</v>
      </c>
      <c r="H1036" s="5" t="s">
        <v>18</v>
      </c>
      <c r="I1036" s="7" t="s">
        <v>1788</v>
      </c>
    </row>
    <row r="1037">
      <c r="A1037" s="5" t="s">
        <v>1789</v>
      </c>
      <c r="B1037" s="5" t="s">
        <v>25</v>
      </c>
      <c r="C1037" s="5" t="s">
        <v>13</v>
      </c>
      <c r="D1037" s="5" t="s">
        <v>1560</v>
      </c>
      <c r="E1037" s="5" t="s">
        <v>512</v>
      </c>
      <c r="F1037" s="5" t="s">
        <v>575</v>
      </c>
      <c r="G1037" s="5" t="s">
        <v>137</v>
      </c>
      <c r="H1037" s="5" t="s">
        <v>18</v>
      </c>
      <c r="I1037" s="17" t="s">
        <v>10620</v>
      </c>
    </row>
    <row r="1038">
      <c r="A1038" s="5" t="s">
        <v>1791</v>
      </c>
      <c r="B1038" s="5" t="s">
        <v>25</v>
      </c>
      <c r="C1038" s="5" t="s">
        <v>13</v>
      </c>
      <c r="D1038" s="5" t="s">
        <v>1560</v>
      </c>
      <c r="E1038" s="5" t="s">
        <v>63</v>
      </c>
      <c r="F1038" s="5" t="s">
        <v>132</v>
      </c>
      <c r="G1038" s="5" t="s">
        <v>133</v>
      </c>
      <c r="H1038" s="5" t="s">
        <v>18</v>
      </c>
      <c r="I1038" s="7" t="s">
        <v>1792</v>
      </c>
    </row>
    <row r="1039">
      <c r="A1039" s="5" t="s">
        <v>1793</v>
      </c>
      <c r="B1039" s="5" t="s">
        <v>1794</v>
      </c>
      <c r="C1039" s="5" t="s">
        <v>13</v>
      </c>
      <c r="D1039" s="5" t="s">
        <v>1560</v>
      </c>
      <c r="E1039" s="5" t="s">
        <v>84</v>
      </c>
      <c r="F1039" s="5" t="s">
        <v>132</v>
      </c>
      <c r="G1039" s="5" t="s">
        <v>133</v>
      </c>
      <c r="H1039" s="5" t="s">
        <v>18</v>
      </c>
      <c r="I1039" s="18" t="s">
        <v>10621</v>
      </c>
    </row>
    <row r="1040">
      <c r="A1040" s="5" t="s">
        <v>1796</v>
      </c>
      <c r="B1040" s="5" t="s">
        <v>25</v>
      </c>
      <c r="C1040" s="5" t="s">
        <v>13</v>
      </c>
      <c r="D1040" s="5" t="s">
        <v>1560</v>
      </c>
      <c r="E1040" s="5" t="s">
        <v>1025</v>
      </c>
      <c r="F1040" s="5" t="s">
        <v>137</v>
      </c>
      <c r="G1040" s="5" t="s">
        <v>137</v>
      </c>
      <c r="H1040" s="5" t="s">
        <v>18</v>
      </c>
      <c r="I1040" s="7" t="s">
        <v>1797</v>
      </c>
    </row>
    <row r="1041">
      <c r="A1041" s="5" t="s">
        <v>1798</v>
      </c>
      <c r="B1041" s="5" t="s">
        <v>1470</v>
      </c>
      <c r="C1041" s="5" t="s">
        <v>13</v>
      </c>
      <c r="D1041" s="5" t="s">
        <v>1560</v>
      </c>
      <c r="E1041" s="5" t="s">
        <v>106</v>
      </c>
      <c r="F1041" s="5" t="s">
        <v>137</v>
      </c>
      <c r="G1041" s="5" t="s">
        <v>137</v>
      </c>
      <c r="H1041" s="5" t="s">
        <v>18</v>
      </c>
      <c r="I1041" s="17" t="s">
        <v>10622</v>
      </c>
    </row>
    <row r="1042">
      <c r="A1042" s="5" t="s">
        <v>1800</v>
      </c>
      <c r="B1042" s="5" t="s">
        <v>25</v>
      </c>
      <c r="C1042" s="5" t="s">
        <v>13</v>
      </c>
      <c r="D1042" s="5" t="s">
        <v>1560</v>
      </c>
      <c r="E1042" s="5" t="s">
        <v>1629</v>
      </c>
      <c r="F1042" s="5" t="s">
        <v>137</v>
      </c>
      <c r="G1042" s="5" t="s">
        <v>137</v>
      </c>
      <c r="H1042" s="5" t="s">
        <v>18</v>
      </c>
      <c r="I1042" s="7" t="s">
        <v>1801</v>
      </c>
    </row>
    <row r="1043">
      <c r="A1043" s="5" t="s">
        <v>1802</v>
      </c>
      <c r="B1043" s="5" t="s">
        <v>25</v>
      </c>
      <c r="C1043" s="5" t="s">
        <v>13</v>
      </c>
      <c r="D1043" s="5" t="s">
        <v>1560</v>
      </c>
      <c r="E1043" s="5" t="s">
        <v>1629</v>
      </c>
      <c r="F1043" s="5" t="s">
        <v>137</v>
      </c>
      <c r="G1043" s="5" t="s">
        <v>137</v>
      </c>
      <c r="H1043" s="5" t="s">
        <v>18</v>
      </c>
      <c r="I1043" s="7" t="s">
        <v>1803</v>
      </c>
    </row>
    <row r="1044">
      <c r="A1044" s="5" t="s">
        <v>1804</v>
      </c>
      <c r="B1044" s="5" t="s">
        <v>1805</v>
      </c>
      <c r="C1044" s="5" t="s">
        <v>13</v>
      </c>
      <c r="D1044" s="5" t="s">
        <v>1560</v>
      </c>
      <c r="E1044" s="5" t="s">
        <v>1806</v>
      </c>
      <c r="F1044" s="5" t="s">
        <v>137</v>
      </c>
      <c r="G1044" s="5" t="s">
        <v>137</v>
      </c>
      <c r="H1044" s="5" t="s">
        <v>18</v>
      </c>
      <c r="I1044" s="17" t="s">
        <v>10623</v>
      </c>
    </row>
    <row r="1045">
      <c r="A1045" s="5" t="s">
        <v>1808</v>
      </c>
      <c r="B1045" s="5" t="s">
        <v>25</v>
      </c>
      <c r="C1045" s="5" t="s">
        <v>13</v>
      </c>
      <c r="D1045" s="5" t="s">
        <v>1560</v>
      </c>
      <c r="E1045" s="5" t="s">
        <v>1809</v>
      </c>
      <c r="F1045" s="5" t="s">
        <v>137</v>
      </c>
      <c r="G1045" s="5" t="s">
        <v>137</v>
      </c>
      <c r="H1045" s="5" t="s">
        <v>18</v>
      </c>
      <c r="I1045" s="7" t="s">
        <v>1810</v>
      </c>
    </row>
    <row r="1046">
      <c r="A1046" s="5" t="s">
        <v>1811</v>
      </c>
      <c r="B1046" s="5" t="s">
        <v>1812</v>
      </c>
      <c r="C1046" s="5" t="s">
        <v>13</v>
      </c>
      <c r="D1046" s="5" t="s">
        <v>1560</v>
      </c>
      <c r="E1046" s="5" t="s">
        <v>496</v>
      </c>
      <c r="F1046" s="5" t="s">
        <v>137</v>
      </c>
      <c r="G1046" s="5" t="s">
        <v>137</v>
      </c>
      <c r="H1046" s="5" t="s">
        <v>18</v>
      </c>
      <c r="I1046" s="7" t="s">
        <v>10624</v>
      </c>
    </row>
    <row r="1047">
      <c r="A1047" s="5" t="s">
        <v>1814</v>
      </c>
      <c r="B1047" s="5" t="s">
        <v>1815</v>
      </c>
      <c r="C1047" s="5" t="s">
        <v>13</v>
      </c>
      <c r="D1047" s="5" t="s">
        <v>1560</v>
      </c>
      <c r="E1047" s="5" t="s">
        <v>144</v>
      </c>
      <c r="F1047" s="5" t="s">
        <v>137</v>
      </c>
      <c r="G1047" s="5" t="s">
        <v>137</v>
      </c>
      <c r="H1047" s="5" t="s">
        <v>18</v>
      </c>
      <c r="I1047" s="17" t="s">
        <v>10625</v>
      </c>
    </row>
    <row r="1048">
      <c r="A1048" s="5" t="s">
        <v>1817</v>
      </c>
      <c r="B1048" s="5" t="s">
        <v>1818</v>
      </c>
      <c r="C1048" s="5" t="s">
        <v>13</v>
      </c>
      <c r="D1048" s="5" t="s">
        <v>1560</v>
      </c>
      <c r="E1048" s="5" t="s">
        <v>1460</v>
      </c>
      <c r="F1048" s="5" t="s">
        <v>137</v>
      </c>
      <c r="G1048" s="5" t="s">
        <v>137</v>
      </c>
      <c r="H1048" s="5" t="s">
        <v>18</v>
      </c>
      <c r="I1048" s="17" t="s">
        <v>10626</v>
      </c>
    </row>
    <row r="1049">
      <c r="A1049" s="5" t="s">
        <v>1820</v>
      </c>
      <c r="B1049" s="5" t="s">
        <v>1821</v>
      </c>
      <c r="C1049" s="5" t="s">
        <v>4</v>
      </c>
      <c r="D1049" s="5" t="s">
        <v>1560</v>
      </c>
      <c r="E1049" s="5" t="s">
        <v>651</v>
      </c>
      <c r="F1049" s="5" t="s">
        <v>137</v>
      </c>
      <c r="G1049" s="5" t="s">
        <v>137</v>
      </c>
      <c r="H1049" s="5" t="s">
        <v>18</v>
      </c>
      <c r="I1049" s="7" t="s">
        <v>10627</v>
      </c>
    </row>
    <row r="1050">
      <c r="A1050" s="5" t="s">
        <v>1823</v>
      </c>
      <c r="B1050" s="5" t="s">
        <v>1780</v>
      </c>
      <c r="C1050" s="5" t="s">
        <v>13</v>
      </c>
      <c r="D1050" s="5" t="s">
        <v>1560</v>
      </c>
      <c r="E1050" s="5" t="s">
        <v>1065</v>
      </c>
      <c r="F1050" s="5" t="s">
        <v>137</v>
      </c>
      <c r="G1050" s="5" t="s">
        <v>137</v>
      </c>
      <c r="H1050" s="5" t="s">
        <v>18</v>
      </c>
      <c r="I1050" s="17" t="s">
        <v>10628</v>
      </c>
    </row>
    <row r="1051">
      <c r="A1051" s="5" t="s">
        <v>1825</v>
      </c>
      <c r="B1051" s="5" t="s">
        <v>25</v>
      </c>
      <c r="C1051" s="5" t="s">
        <v>13</v>
      </c>
      <c r="D1051" s="5" t="s">
        <v>1560</v>
      </c>
      <c r="E1051" s="5" t="s">
        <v>840</v>
      </c>
      <c r="F1051" s="5" t="s">
        <v>137</v>
      </c>
      <c r="G1051" s="5" t="s">
        <v>137</v>
      </c>
      <c r="H1051" s="5" t="s">
        <v>18</v>
      </c>
      <c r="I1051" s="7" t="s">
        <v>1826</v>
      </c>
    </row>
    <row r="1052">
      <c r="A1052" s="5" t="s">
        <v>1827</v>
      </c>
      <c r="B1052" s="5" t="s">
        <v>1470</v>
      </c>
      <c r="C1052" s="5" t="s">
        <v>13</v>
      </c>
      <c r="D1052" s="5" t="s">
        <v>1560</v>
      </c>
      <c r="E1052" s="5" t="s">
        <v>165</v>
      </c>
      <c r="F1052" s="5" t="s">
        <v>137</v>
      </c>
      <c r="G1052" s="5" t="s">
        <v>137</v>
      </c>
      <c r="H1052" s="5" t="s">
        <v>18</v>
      </c>
      <c r="I1052" s="17" t="s">
        <v>10629</v>
      </c>
    </row>
    <row r="1053">
      <c r="A1053" s="5" t="s">
        <v>1829</v>
      </c>
      <c r="B1053" s="5" t="s">
        <v>1706</v>
      </c>
      <c r="C1053" s="5" t="s">
        <v>13</v>
      </c>
      <c r="D1053" s="5" t="s">
        <v>1560</v>
      </c>
      <c r="E1053" s="5" t="s">
        <v>1830</v>
      </c>
      <c r="F1053" s="5" t="s">
        <v>137</v>
      </c>
      <c r="G1053" s="5" t="s">
        <v>137</v>
      </c>
      <c r="H1053" s="5" t="s">
        <v>18</v>
      </c>
      <c r="I1053" s="7" t="s">
        <v>1831</v>
      </c>
    </row>
    <row r="1054">
      <c r="A1054" s="5" t="s">
        <v>1832</v>
      </c>
      <c r="B1054" s="5" t="s">
        <v>25</v>
      </c>
      <c r="C1054" s="5" t="s">
        <v>13</v>
      </c>
      <c r="D1054" s="5" t="s">
        <v>1560</v>
      </c>
      <c r="E1054" s="5" t="s">
        <v>1300</v>
      </c>
      <c r="F1054" s="5" t="s">
        <v>153</v>
      </c>
      <c r="G1054" s="5" t="s">
        <v>154</v>
      </c>
      <c r="H1054" s="5" t="s">
        <v>18</v>
      </c>
      <c r="I1054" s="7" t="s">
        <v>1833</v>
      </c>
    </row>
    <row r="1055">
      <c r="A1055" s="5" t="s">
        <v>1834</v>
      </c>
      <c r="B1055" s="5" t="s">
        <v>25</v>
      </c>
      <c r="C1055" s="5" t="s">
        <v>13</v>
      </c>
      <c r="D1055" s="5" t="s">
        <v>1560</v>
      </c>
      <c r="E1055" s="5" t="s">
        <v>376</v>
      </c>
      <c r="F1055" s="5" t="s">
        <v>153</v>
      </c>
      <c r="G1055" s="5" t="s">
        <v>154</v>
      </c>
      <c r="H1055" s="5" t="s">
        <v>18</v>
      </c>
      <c r="I1055" s="7" t="s">
        <v>1835</v>
      </c>
    </row>
    <row r="1056">
      <c r="A1056" s="5" t="s">
        <v>1836</v>
      </c>
      <c r="B1056" s="5" t="s">
        <v>25</v>
      </c>
      <c r="C1056" s="5" t="s">
        <v>13</v>
      </c>
      <c r="D1056" s="5" t="s">
        <v>1560</v>
      </c>
      <c r="E1056" s="5" t="s">
        <v>901</v>
      </c>
      <c r="F1056" s="5" t="s">
        <v>153</v>
      </c>
      <c r="G1056" s="5" t="s">
        <v>154</v>
      </c>
      <c r="H1056" s="5" t="s">
        <v>18</v>
      </c>
      <c r="I1056" s="7" t="s">
        <v>1837</v>
      </c>
    </row>
    <row r="1057">
      <c r="A1057" s="5" t="s">
        <v>1838</v>
      </c>
      <c r="B1057" s="5" t="s">
        <v>1839</v>
      </c>
      <c r="C1057" s="5" t="s">
        <v>13</v>
      </c>
      <c r="D1057" s="5" t="s">
        <v>1560</v>
      </c>
      <c r="E1057" s="5" t="s">
        <v>1098</v>
      </c>
      <c r="F1057" s="5" t="s">
        <v>153</v>
      </c>
      <c r="G1057" s="5" t="s">
        <v>154</v>
      </c>
      <c r="H1057" s="5" t="s">
        <v>18</v>
      </c>
      <c r="I1057" s="17" t="s">
        <v>10630</v>
      </c>
    </row>
    <row r="1058">
      <c r="A1058" s="5" t="s">
        <v>1841</v>
      </c>
      <c r="B1058" s="5" t="s">
        <v>1842</v>
      </c>
      <c r="C1058" s="5" t="s">
        <v>13</v>
      </c>
      <c r="D1058" s="5" t="s">
        <v>1560</v>
      </c>
      <c r="E1058" s="5" t="s">
        <v>345</v>
      </c>
      <c r="F1058" s="5" t="s">
        <v>153</v>
      </c>
      <c r="G1058" s="5" t="s">
        <v>154</v>
      </c>
      <c r="H1058" s="5" t="s">
        <v>18</v>
      </c>
      <c r="I1058" s="17" t="s">
        <v>10631</v>
      </c>
    </row>
    <row r="1059">
      <c r="A1059" s="5" t="s">
        <v>1844</v>
      </c>
      <c r="B1059" s="5" t="s">
        <v>1845</v>
      </c>
      <c r="C1059" s="5" t="s">
        <v>13</v>
      </c>
      <c r="D1059" s="5" t="s">
        <v>1560</v>
      </c>
      <c r="E1059" s="5" t="s">
        <v>1846</v>
      </c>
      <c r="F1059" s="5" t="s">
        <v>223</v>
      </c>
      <c r="G1059" s="5" t="s">
        <v>224</v>
      </c>
      <c r="H1059" s="5" t="s">
        <v>18</v>
      </c>
      <c r="I1059" s="17" t="s">
        <v>10632</v>
      </c>
    </row>
    <row r="1060">
      <c r="A1060" s="5" t="s">
        <v>1848</v>
      </c>
      <c r="B1060" s="5" t="s">
        <v>25</v>
      </c>
      <c r="C1060" s="5" t="s">
        <v>13</v>
      </c>
      <c r="D1060" s="5" t="s">
        <v>1560</v>
      </c>
      <c r="E1060" s="5" t="s">
        <v>1849</v>
      </c>
      <c r="F1060" s="5" t="s">
        <v>295</v>
      </c>
      <c r="G1060" s="5" t="s">
        <v>154</v>
      </c>
      <c r="H1060" s="5" t="s">
        <v>18</v>
      </c>
      <c r="I1060" s="7" t="s">
        <v>1850</v>
      </c>
    </row>
    <row r="1061">
      <c r="A1061" s="5" t="s">
        <v>1851</v>
      </c>
      <c r="B1061" s="5" t="s">
        <v>1785</v>
      </c>
      <c r="C1061" s="5" t="s">
        <v>13</v>
      </c>
      <c r="D1061" s="5" t="s">
        <v>1560</v>
      </c>
      <c r="E1061" s="5" t="s">
        <v>79</v>
      </c>
      <c r="F1061" s="5" t="s">
        <v>1852</v>
      </c>
      <c r="G1061" s="5" t="s">
        <v>38</v>
      </c>
      <c r="H1061" s="5" t="s">
        <v>18</v>
      </c>
      <c r="I1061" s="7" t="s">
        <v>1853</v>
      </c>
    </row>
    <row r="1062">
      <c r="A1062" s="5" t="s">
        <v>1854</v>
      </c>
      <c r="B1062" s="5" t="s">
        <v>25</v>
      </c>
      <c r="C1062" s="5" t="s">
        <v>13</v>
      </c>
      <c r="D1062" s="5" t="s">
        <v>1560</v>
      </c>
      <c r="E1062" s="5" t="s">
        <v>1300</v>
      </c>
      <c r="F1062" s="5" t="s">
        <v>1855</v>
      </c>
      <c r="G1062" s="5" t="s">
        <v>96</v>
      </c>
      <c r="H1062" s="5" t="s">
        <v>18</v>
      </c>
      <c r="I1062" s="7" t="s">
        <v>1856</v>
      </c>
    </row>
    <row r="1063">
      <c r="A1063" s="5" t="s">
        <v>1857</v>
      </c>
      <c r="B1063" s="5" t="s">
        <v>1858</v>
      </c>
      <c r="C1063" s="5" t="s">
        <v>13</v>
      </c>
      <c r="D1063" s="5" t="s">
        <v>1560</v>
      </c>
      <c r="E1063" s="5" t="s">
        <v>1460</v>
      </c>
      <c r="F1063" s="5" t="s">
        <v>1859</v>
      </c>
      <c r="G1063" s="5" t="s">
        <v>44</v>
      </c>
      <c r="H1063" s="5" t="s">
        <v>18</v>
      </c>
      <c r="I1063" s="7" t="s">
        <v>1860</v>
      </c>
    </row>
    <row r="1064">
      <c r="A1064" s="5" t="s">
        <v>1861</v>
      </c>
      <c r="B1064" s="5" t="s">
        <v>25</v>
      </c>
      <c r="C1064" s="5" t="s">
        <v>13</v>
      </c>
      <c r="D1064" s="5" t="s">
        <v>1560</v>
      </c>
      <c r="E1064" s="5" t="s">
        <v>1148</v>
      </c>
      <c r="F1064" s="5" t="s">
        <v>780</v>
      </c>
      <c r="G1064" s="5" t="s">
        <v>781</v>
      </c>
      <c r="H1064" s="5" t="s">
        <v>18</v>
      </c>
      <c r="I1064" s="7" t="s">
        <v>1862</v>
      </c>
    </row>
    <row r="1065">
      <c r="A1065" s="5" t="s">
        <v>1863</v>
      </c>
      <c r="B1065" s="5" t="s">
        <v>25</v>
      </c>
      <c r="C1065" s="5" t="s">
        <v>13</v>
      </c>
      <c r="D1065" s="5" t="s">
        <v>1560</v>
      </c>
      <c r="E1065" s="5" t="s">
        <v>125</v>
      </c>
      <c r="F1065" s="5" t="s">
        <v>1035</v>
      </c>
      <c r="G1065" s="5" t="s">
        <v>38</v>
      </c>
      <c r="H1065" s="5" t="s">
        <v>18</v>
      </c>
      <c r="I1065" s="7" t="s">
        <v>1864</v>
      </c>
    </row>
    <row r="1066">
      <c r="A1066" s="5" t="s">
        <v>1865</v>
      </c>
      <c r="B1066" s="5" t="s">
        <v>1866</v>
      </c>
      <c r="C1066" s="5" t="s">
        <v>13</v>
      </c>
      <c r="D1066" s="5" t="s">
        <v>1560</v>
      </c>
      <c r="E1066" s="5" t="s">
        <v>1642</v>
      </c>
      <c r="F1066" s="5" t="s">
        <v>1867</v>
      </c>
      <c r="G1066" s="5" t="s">
        <v>44</v>
      </c>
      <c r="H1066" s="5" t="s">
        <v>18</v>
      </c>
      <c r="I1066" s="18" t="s">
        <v>10633</v>
      </c>
    </row>
    <row r="1067">
      <c r="A1067" s="5" t="s">
        <v>1869</v>
      </c>
      <c r="B1067" s="5" t="s">
        <v>371</v>
      </c>
      <c r="C1067" s="5" t="s">
        <v>13</v>
      </c>
      <c r="D1067" s="5" t="s">
        <v>1560</v>
      </c>
      <c r="E1067" s="5" t="s">
        <v>217</v>
      </c>
      <c r="F1067" s="5" t="s">
        <v>166</v>
      </c>
      <c r="G1067" s="5" t="s">
        <v>44</v>
      </c>
      <c r="H1067" s="5" t="s">
        <v>18</v>
      </c>
      <c r="I1067" s="7" t="s">
        <v>1870</v>
      </c>
    </row>
    <row r="1068">
      <c r="A1068" s="5" t="s">
        <v>1871</v>
      </c>
      <c r="B1068" s="5" t="s">
        <v>25</v>
      </c>
      <c r="C1068" s="5" t="s">
        <v>13</v>
      </c>
      <c r="D1068" s="5" t="s">
        <v>1560</v>
      </c>
      <c r="E1068" s="5" t="s">
        <v>1460</v>
      </c>
      <c r="F1068" s="5" t="s">
        <v>166</v>
      </c>
      <c r="G1068" s="5" t="s">
        <v>44</v>
      </c>
      <c r="H1068" s="5" t="s">
        <v>18</v>
      </c>
      <c r="I1068" s="7" t="s">
        <v>1872</v>
      </c>
    </row>
    <row r="1069">
      <c r="A1069" s="5" t="s">
        <v>1873</v>
      </c>
      <c r="B1069" s="5" t="s">
        <v>1874</v>
      </c>
      <c r="C1069" s="5" t="s">
        <v>13</v>
      </c>
      <c r="D1069" s="5" t="s">
        <v>1560</v>
      </c>
      <c r="E1069" s="5" t="s">
        <v>277</v>
      </c>
      <c r="F1069" s="5" t="s">
        <v>169</v>
      </c>
      <c r="G1069" s="5" t="s">
        <v>44</v>
      </c>
      <c r="H1069" s="5" t="s">
        <v>18</v>
      </c>
      <c r="I1069" s="17" t="s">
        <v>10634</v>
      </c>
    </row>
    <row r="1070">
      <c r="A1070" s="5" t="s">
        <v>1876</v>
      </c>
      <c r="B1070" s="5" t="s">
        <v>1877</v>
      </c>
      <c r="C1070" s="5" t="s">
        <v>13</v>
      </c>
      <c r="D1070" s="5" t="s">
        <v>1560</v>
      </c>
      <c r="F1070" s="5" t="s">
        <v>169</v>
      </c>
      <c r="G1070" s="5" t="s">
        <v>44</v>
      </c>
      <c r="H1070" s="5" t="s">
        <v>18</v>
      </c>
      <c r="I1070" s="7" t="s">
        <v>1878</v>
      </c>
    </row>
    <row r="1071">
      <c r="A1071" s="5" t="s">
        <v>1879</v>
      </c>
      <c r="B1071" s="5" t="s">
        <v>25</v>
      </c>
      <c r="C1071" s="5" t="s">
        <v>13</v>
      </c>
      <c r="D1071" s="5" t="s">
        <v>1560</v>
      </c>
      <c r="E1071" s="5" t="s">
        <v>1880</v>
      </c>
      <c r="F1071" s="5" t="s">
        <v>311</v>
      </c>
      <c r="G1071" s="5" t="s">
        <v>102</v>
      </c>
      <c r="H1071" s="5" t="s">
        <v>18</v>
      </c>
      <c r="I1071" s="7" t="s">
        <v>1881</v>
      </c>
    </row>
    <row r="1072">
      <c r="A1072" s="5" t="s">
        <v>1882</v>
      </c>
      <c r="B1072" s="5" t="s">
        <v>1883</v>
      </c>
      <c r="C1072" s="5" t="s">
        <v>13</v>
      </c>
      <c r="D1072" s="5" t="s">
        <v>1560</v>
      </c>
      <c r="E1072" s="5" t="s">
        <v>111</v>
      </c>
      <c r="F1072" s="5" t="s">
        <v>311</v>
      </c>
      <c r="G1072" s="5" t="s">
        <v>102</v>
      </c>
      <c r="H1072" s="5" t="s">
        <v>18</v>
      </c>
      <c r="I1072" s="7" t="s">
        <v>10635</v>
      </c>
    </row>
    <row r="1073">
      <c r="A1073" s="5" t="s">
        <v>1885</v>
      </c>
      <c r="B1073" s="5" t="s">
        <v>25</v>
      </c>
      <c r="C1073" s="5" t="s">
        <v>13</v>
      </c>
      <c r="D1073" s="5" t="s">
        <v>1560</v>
      </c>
      <c r="E1073" s="5" t="s">
        <v>182</v>
      </c>
      <c r="F1073" s="5" t="s">
        <v>1886</v>
      </c>
      <c r="G1073" s="5" t="s">
        <v>184</v>
      </c>
      <c r="H1073" s="5" t="s">
        <v>18</v>
      </c>
      <c r="I1073" s="7" t="s">
        <v>1887</v>
      </c>
    </row>
    <row r="1074">
      <c r="A1074" s="5" t="s">
        <v>1888</v>
      </c>
      <c r="B1074" s="5" t="s">
        <v>1889</v>
      </c>
      <c r="C1074" s="5" t="s">
        <v>13</v>
      </c>
      <c r="D1074" s="5" t="s">
        <v>1560</v>
      </c>
      <c r="E1074" s="5" t="s">
        <v>277</v>
      </c>
      <c r="F1074" s="5" t="s">
        <v>1131</v>
      </c>
      <c r="G1074" s="5" t="s">
        <v>203</v>
      </c>
      <c r="H1074" s="5" t="s">
        <v>18</v>
      </c>
      <c r="I1074" s="7" t="s">
        <v>10636</v>
      </c>
    </row>
    <row r="1075">
      <c r="A1075" s="5" t="s">
        <v>1891</v>
      </c>
      <c r="B1075" s="5" t="s">
        <v>1656</v>
      </c>
      <c r="C1075" s="5" t="s">
        <v>13</v>
      </c>
      <c r="D1075" s="5" t="s">
        <v>1560</v>
      </c>
      <c r="E1075" s="5" t="s">
        <v>1892</v>
      </c>
      <c r="F1075" s="5" t="s">
        <v>1893</v>
      </c>
      <c r="G1075" s="5" t="s">
        <v>96</v>
      </c>
      <c r="H1075" s="5" t="s">
        <v>18</v>
      </c>
      <c r="I1075" s="17" t="s">
        <v>10637</v>
      </c>
    </row>
    <row r="1076">
      <c r="A1076" s="5" t="s">
        <v>1895</v>
      </c>
      <c r="B1076" s="5" t="s">
        <v>1896</v>
      </c>
      <c r="C1076" s="5" t="s">
        <v>13</v>
      </c>
      <c r="D1076" s="5" t="s">
        <v>1560</v>
      </c>
      <c r="E1076" s="5" t="s">
        <v>686</v>
      </c>
      <c r="F1076" s="5" t="s">
        <v>102</v>
      </c>
      <c r="G1076" s="5" t="s">
        <v>172</v>
      </c>
      <c r="H1076" s="5" t="s">
        <v>18</v>
      </c>
      <c r="I1076" s="7" t="s">
        <v>1897</v>
      </c>
    </row>
    <row r="1077">
      <c r="A1077" s="5" t="s">
        <v>1898</v>
      </c>
      <c r="B1077" s="5" t="s">
        <v>1899</v>
      </c>
      <c r="C1077" s="5" t="s">
        <v>13</v>
      </c>
      <c r="D1077" s="5" t="s">
        <v>1560</v>
      </c>
      <c r="E1077" s="5" t="s">
        <v>277</v>
      </c>
      <c r="F1077" s="5" t="s">
        <v>102</v>
      </c>
      <c r="G1077" s="5" t="s">
        <v>172</v>
      </c>
      <c r="H1077" s="5" t="s">
        <v>18</v>
      </c>
      <c r="I1077" s="17" t="s">
        <v>10638</v>
      </c>
    </row>
    <row r="1078">
      <c r="A1078" s="5" t="s">
        <v>1901</v>
      </c>
      <c r="B1078" s="5" t="s">
        <v>1902</v>
      </c>
      <c r="C1078" s="5" t="s">
        <v>13</v>
      </c>
      <c r="D1078" s="5" t="s">
        <v>1560</v>
      </c>
      <c r="E1078" s="5" t="s">
        <v>182</v>
      </c>
      <c r="F1078" s="5" t="s">
        <v>102</v>
      </c>
      <c r="G1078" s="5" t="s">
        <v>172</v>
      </c>
      <c r="H1078" s="5" t="s">
        <v>18</v>
      </c>
      <c r="I1078" s="17" t="s">
        <v>10639</v>
      </c>
    </row>
    <row r="1079">
      <c r="A1079" s="5" t="s">
        <v>1904</v>
      </c>
      <c r="B1079" s="5" t="s">
        <v>1905</v>
      </c>
      <c r="C1079" s="5" t="s">
        <v>13</v>
      </c>
      <c r="D1079" s="5" t="s">
        <v>1560</v>
      </c>
      <c r="E1079" s="5" t="s">
        <v>84</v>
      </c>
      <c r="F1079" s="5" t="s">
        <v>608</v>
      </c>
      <c r="G1079" s="5" t="s">
        <v>50</v>
      </c>
      <c r="H1079" s="5" t="s">
        <v>18</v>
      </c>
      <c r="I1079" s="17" t="s">
        <v>10640</v>
      </c>
    </row>
    <row r="1080">
      <c r="A1080" s="5" t="s">
        <v>5195</v>
      </c>
      <c r="B1080" s="5" t="s">
        <v>5196</v>
      </c>
      <c r="D1080" s="5" t="s">
        <v>1560</v>
      </c>
      <c r="F1080" s="5" t="s">
        <v>4643</v>
      </c>
      <c r="G1080" s="5" t="s">
        <v>4644</v>
      </c>
      <c r="H1080" s="5" t="s">
        <v>4600</v>
      </c>
      <c r="I1080" s="7" t="s">
        <v>5194</v>
      </c>
    </row>
    <row r="1081">
      <c r="A1081" s="5" t="s">
        <v>5711</v>
      </c>
      <c r="B1081" s="5" t="s">
        <v>5712</v>
      </c>
      <c r="D1081" s="5" t="s">
        <v>1560</v>
      </c>
      <c r="F1081" s="5" t="s">
        <v>64</v>
      </c>
      <c r="G1081" s="5" t="s">
        <v>65</v>
      </c>
      <c r="H1081" s="5" t="s">
        <v>18</v>
      </c>
      <c r="I1081" s="7" t="s">
        <v>5710</v>
      </c>
    </row>
    <row r="1082">
      <c r="A1082" s="5" t="s">
        <v>10103</v>
      </c>
      <c r="B1082" s="5" t="s">
        <v>10104</v>
      </c>
      <c r="D1082" s="5" t="s">
        <v>1560</v>
      </c>
      <c r="F1082" s="5" t="s">
        <v>10106</v>
      </c>
      <c r="G1082" s="5" t="s">
        <v>154</v>
      </c>
      <c r="H1082" s="5" t="s">
        <v>18</v>
      </c>
      <c r="I1082" s="7" t="s">
        <v>10102</v>
      </c>
    </row>
    <row r="1083">
      <c r="A1083" s="5" t="s">
        <v>4699</v>
      </c>
      <c r="B1083" s="5" t="s">
        <v>4700</v>
      </c>
      <c r="D1083" s="5" t="s">
        <v>1560</v>
      </c>
      <c r="E1083" s="5" t="s">
        <v>60</v>
      </c>
      <c r="F1083" s="5" t="s">
        <v>16</v>
      </c>
      <c r="G1083" s="5" t="s">
        <v>17</v>
      </c>
      <c r="H1083" s="5" t="s">
        <v>18</v>
      </c>
      <c r="I1083" s="7" t="s">
        <v>4698</v>
      </c>
    </row>
    <row r="1084">
      <c r="A1084" s="5" t="s">
        <v>4717</v>
      </c>
      <c r="B1084" s="5" t="s">
        <v>4718</v>
      </c>
      <c r="D1084" s="5" t="s">
        <v>1560</v>
      </c>
      <c r="E1084" s="5" t="s">
        <v>84</v>
      </c>
      <c r="F1084" s="5" t="s">
        <v>16</v>
      </c>
      <c r="G1084" s="5" t="s">
        <v>17</v>
      </c>
      <c r="H1084" s="5" t="s">
        <v>18</v>
      </c>
      <c r="I1084" s="17" t="s">
        <v>10641</v>
      </c>
    </row>
    <row r="1085">
      <c r="A1085" s="5" t="s">
        <v>4720</v>
      </c>
      <c r="B1085" s="5" t="s">
        <v>4718</v>
      </c>
      <c r="D1085" s="5" t="s">
        <v>1560</v>
      </c>
      <c r="E1085" s="5" t="s">
        <v>2252</v>
      </c>
      <c r="F1085" s="5" t="s">
        <v>16</v>
      </c>
      <c r="G1085" s="5" t="s">
        <v>17</v>
      </c>
      <c r="H1085" s="5" t="s">
        <v>18</v>
      </c>
      <c r="I1085" s="17" t="s">
        <v>10642</v>
      </c>
    </row>
    <row r="1086">
      <c r="A1086" s="5" t="s">
        <v>4727</v>
      </c>
      <c r="B1086" s="5" t="s">
        <v>4728</v>
      </c>
      <c r="D1086" s="5" t="s">
        <v>1560</v>
      </c>
      <c r="E1086" s="5" t="s">
        <v>106</v>
      </c>
      <c r="F1086" s="5" t="s">
        <v>16</v>
      </c>
      <c r="G1086" s="5" t="s">
        <v>17</v>
      </c>
      <c r="H1086" s="5" t="s">
        <v>18</v>
      </c>
      <c r="I1086" s="7" t="s">
        <v>4726</v>
      </c>
    </row>
    <row r="1087">
      <c r="A1087" s="5" t="s">
        <v>4824</v>
      </c>
      <c r="B1087" s="5" t="s">
        <v>4825</v>
      </c>
      <c r="D1087" s="5" t="s">
        <v>1560</v>
      </c>
      <c r="E1087" s="5" t="s">
        <v>1098</v>
      </c>
      <c r="F1087" s="5" t="s">
        <v>1643</v>
      </c>
      <c r="G1087" s="5" t="s">
        <v>763</v>
      </c>
      <c r="H1087" s="5" t="s">
        <v>18</v>
      </c>
      <c r="I1087" s="17" t="s">
        <v>10643</v>
      </c>
    </row>
    <row r="1088">
      <c r="A1088" s="5" t="s">
        <v>4852</v>
      </c>
      <c r="B1088" s="5" t="s">
        <v>4749</v>
      </c>
      <c r="D1088" s="5" t="s">
        <v>1560</v>
      </c>
      <c r="E1088" s="5" t="s">
        <v>651</v>
      </c>
      <c r="F1088" s="5" t="s">
        <v>377</v>
      </c>
      <c r="G1088" s="5" t="s">
        <v>378</v>
      </c>
      <c r="H1088" s="5" t="s">
        <v>18</v>
      </c>
      <c r="I1088" s="17" t="s">
        <v>10644</v>
      </c>
    </row>
    <row r="1089">
      <c r="A1089" s="5" t="s">
        <v>4865</v>
      </c>
      <c r="B1089" s="5" t="s">
        <v>4866</v>
      </c>
      <c r="D1089" s="5" t="s">
        <v>1560</v>
      </c>
      <c r="E1089" s="5" t="s">
        <v>165</v>
      </c>
      <c r="F1089" s="5" t="s">
        <v>377</v>
      </c>
      <c r="G1089" s="5" t="s">
        <v>378</v>
      </c>
      <c r="H1089" s="5" t="s">
        <v>18</v>
      </c>
      <c r="I1089" s="7" t="s">
        <v>4864</v>
      </c>
    </row>
    <row r="1090">
      <c r="A1090" s="5" t="s">
        <v>4868</v>
      </c>
      <c r="B1090" s="5" t="s">
        <v>4869</v>
      </c>
      <c r="D1090" s="5" t="s">
        <v>1560</v>
      </c>
      <c r="E1090" s="5" t="s">
        <v>4870</v>
      </c>
      <c r="F1090" s="5" t="s">
        <v>377</v>
      </c>
      <c r="G1090" s="5" t="s">
        <v>378</v>
      </c>
      <c r="H1090" s="5" t="s">
        <v>18</v>
      </c>
      <c r="I1090" s="7" t="s">
        <v>10645</v>
      </c>
    </row>
    <row r="1091">
      <c r="A1091" s="5" t="s">
        <v>4874</v>
      </c>
      <c r="B1091" s="5" t="s">
        <v>4749</v>
      </c>
      <c r="D1091" s="5" t="s">
        <v>1560</v>
      </c>
      <c r="E1091" s="5" t="s">
        <v>106</v>
      </c>
      <c r="F1091" s="5" t="s">
        <v>377</v>
      </c>
      <c r="G1091" s="5" t="s">
        <v>378</v>
      </c>
      <c r="H1091" s="5" t="s">
        <v>18</v>
      </c>
      <c r="I1091" s="7" t="s">
        <v>4873</v>
      </c>
    </row>
    <row r="1092">
      <c r="A1092" s="5" t="s">
        <v>4883</v>
      </c>
      <c r="B1092" s="5" t="s">
        <v>4884</v>
      </c>
      <c r="D1092" s="5" t="s">
        <v>1560</v>
      </c>
      <c r="E1092" s="5" t="s">
        <v>1921</v>
      </c>
      <c r="F1092" s="5" t="s">
        <v>377</v>
      </c>
      <c r="G1092" s="5" t="s">
        <v>378</v>
      </c>
      <c r="H1092" s="5" t="s">
        <v>18</v>
      </c>
      <c r="I1092" s="17" t="s">
        <v>10646</v>
      </c>
    </row>
    <row r="1093">
      <c r="A1093" s="5" t="s">
        <v>5167</v>
      </c>
      <c r="B1093" s="5" t="s">
        <v>25</v>
      </c>
      <c r="D1093" s="5" t="s">
        <v>1560</v>
      </c>
      <c r="E1093" s="5" t="s">
        <v>144</v>
      </c>
      <c r="F1093" s="5" t="s">
        <v>4643</v>
      </c>
      <c r="G1093" s="5" t="s">
        <v>4644</v>
      </c>
      <c r="H1093" s="5" t="s">
        <v>4600</v>
      </c>
      <c r="I1093" s="7" t="s">
        <v>5166</v>
      </c>
    </row>
    <row r="1094">
      <c r="A1094" s="5" t="s">
        <v>5297</v>
      </c>
      <c r="B1094" s="5" t="s">
        <v>1378</v>
      </c>
      <c r="D1094" s="5" t="s">
        <v>1560</v>
      </c>
      <c r="E1094" s="5" t="s">
        <v>237</v>
      </c>
      <c r="F1094" s="5" t="s">
        <v>5280</v>
      </c>
      <c r="G1094" s="5" t="s">
        <v>4638</v>
      </c>
      <c r="H1094" s="5" t="s">
        <v>4600</v>
      </c>
      <c r="I1094" s="7" t="s">
        <v>5296</v>
      </c>
    </row>
    <row r="1095">
      <c r="A1095" s="5" t="s">
        <v>5583</v>
      </c>
      <c r="B1095" s="5" t="s">
        <v>2871</v>
      </c>
      <c r="D1095" s="5" t="s">
        <v>1560</v>
      </c>
      <c r="E1095" s="5" t="s">
        <v>421</v>
      </c>
      <c r="F1095" s="5" t="s">
        <v>49</v>
      </c>
      <c r="G1095" s="5" t="s">
        <v>50</v>
      </c>
      <c r="H1095" s="5" t="s">
        <v>18</v>
      </c>
      <c r="I1095" s="17" t="s">
        <v>10647</v>
      </c>
    </row>
    <row r="1096">
      <c r="A1096" s="5" t="s">
        <v>5586</v>
      </c>
      <c r="B1096" s="5" t="s">
        <v>4749</v>
      </c>
      <c r="D1096" s="5" t="s">
        <v>1560</v>
      </c>
      <c r="E1096" s="5" t="s">
        <v>136</v>
      </c>
      <c r="F1096" s="5" t="s">
        <v>49</v>
      </c>
      <c r="G1096" s="5" t="s">
        <v>50</v>
      </c>
      <c r="H1096" s="5" t="s">
        <v>18</v>
      </c>
      <c r="I1096" s="7" t="s">
        <v>5585</v>
      </c>
    </row>
    <row r="1097">
      <c r="A1097" s="5" t="s">
        <v>5588</v>
      </c>
      <c r="B1097" s="5" t="s">
        <v>5589</v>
      </c>
      <c r="D1097" s="5" t="s">
        <v>1560</v>
      </c>
      <c r="E1097" s="5" t="s">
        <v>192</v>
      </c>
      <c r="F1097" s="5" t="s">
        <v>49</v>
      </c>
      <c r="G1097" s="5" t="s">
        <v>50</v>
      </c>
      <c r="H1097" s="5" t="s">
        <v>18</v>
      </c>
      <c r="I1097" s="17" t="s">
        <v>10648</v>
      </c>
    </row>
    <row r="1098">
      <c r="A1098" s="5" t="s">
        <v>5591</v>
      </c>
      <c r="B1098" s="5" t="s">
        <v>4749</v>
      </c>
      <c r="D1098" s="5" t="s">
        <v>1560</v>
      </c>
      <c r="E1098" s="5" t="s">
        <v>79</v>
      </c>
      <c r="F1098" s="5" t="s">
        <v>49</v>
      </c>
      <c r="G1098" s="5" t="s">
        <v>50</v>
      </c>
      <c r="H1098" s="5" t="s">
        <v>18</v>
      </c>
      <c r="I1098" s="7" t="s">
        <v>5590</v>
      </c>
    </row>
    <row r="1099">
      <c r="A1099" s="5" t="s">
        <v>1666</v>
      </c>
      <c r="B1099" s="5" t="s">
        <v>371</v>
      </c>
      <c r="D1099" s="5" t="s">
        <v>1560</v>
      </c>
      <c r="E1099" s="5" t="s">
        <v>1667</v>
      </c>
      <c r="F1099" s="5" t="s">
        <v>49</v>
      </c>
      <c r="G1099" s="5" t="s">
        <v>50</v>
      </c>
      <c r="H1099" s="5" t="s">
        <v>18</v>
      </c>
      <c r="I1099" s="7" t="s">
        <v>5592</v>
      </c>
    </row>
    <row r="1100">
      <c r="A1100" s="5" t="s">
        <v>5655</v>
      </c>
      <c r="B1100" s="5" t="s">
        <v>4749</v>
      </c>
      <c r="D1100" s="5" t="s">
        <v>1560</v>
      </c>
      <c r="E1100" s="5" t="s">
        <v>36</v>
      </c>
      <c r="F1100" s="5" t="s">
        <v>64</v>
      </c>
      <c r="G1100" s="5" t="s">
        <v>65</v>
      </c>
      <c r="H1100" s="5" t="s">
        <v>18</v>
      </c>
      <c r="I1100" s="17" t="s">
        <v>10649</v>
      </c>
    </row>
    <row r="1101">
      <c r="A1101" s="5" t="s">
        <v>5666</v>
      </c>
      <c r="B1101" s="5" t="s">
        <v>5667</v>
      </c>
      <c r="D1101" s="5" t="s">
        <v>1560</v>
      </c>
      <c r="E1101" s="5" t="s">
        <v>144</v>
      </c>
      <c r="F1101" s="5" t="s">
        <v>64</v>
      </c>
      <c r="G1101" s="5" t="s">
        <v>65</v>
      </c>
      <c r="H1101" s="5" t="s">
        <v>18</v>
      </c>
      <c r="I1101" s="17" t="s">
        <v>10650</v>
      </c>
    </row>
    <row r="1102">
      <c r="A1102" s="5" t="s">
        <v>5669</v>
      </c>
      <c r="B1102" s="5" t="s">
        <v>4749</v>
      </c>
      <c r="D1102" s="5" t="s">
        <v>1560</v>
      </c>
      <c r="E1102" s="5" t="s">
        <v>63</v>
      </c>
      <c r="F1102" s="5" t="s">
        <v>64</v>
      </c>
      <c r="G1102" s="5" t="s">
        <v>65</v>
      </c>
      <c r="H1102" s="5" t="s">
        <v>18</v>
      </c>
      <c r="I1102" s="7" t="s">
        <v>5668</v>
      </c>
    </row>
    <row r="1103">
      <c r="A1103" s="5" t="s">
        <v>5677</v>
      </c>
      <c r="B1103" s="5" t="s">
        <v>5678</v>
      </c>
      <c r="D1103" s="5" t="s">
        <v>1560</v>
      </c>
      <c r="E1103" s="5" t="s">
        <v>192</v>
      </c>
      <c r="F1103" s="5" t="s">
        <v>64</v>
      </c>
      <c r="G1103" s="5" t="s">
        <v>65</v>
      </c>
      <c r="H1103" s="5" t="s">
        <v>18</v>
      </c>
      <c r="I1103" s="7" t="s">
        <v>5676</v>
      </c>
    </row>
    <row r="1104">
      <c r="A1104" s="5" t="s">
        <v>5696</v>
      </c>
      <c r="B1104" s="5" t="s">
        <v>5697</v>
      </c>
      <c r="D1104" s="5" t="s">
        <v>1560</v>
      </c>
      <c r="E1104" s="5" t="s">
        <v>1531</v>
      </c>
      <c r="F1104" s="5" t="s">
        <v>64</v>
      </c>
      <c r="G1104" s="5" t="s">
        <v>65</v>
      </c>
      <c r="H1104" s="5" t="s">
        <v>18</v>
      </c>
      <c r="I1104" s="17" t="s">
        <v>10651</v>
      </c>
    </row>
    <row r="1105">
      <c r="A1105" s="5" t="s">
        <v>5707</v>
      </c>
      <c r="B1105" s="5" t="s">
        <v>5708</v>
      </c>
      <c r="D1105" s="5" t="s">
        <v>1560</v>
      </c>
      <c r="E1105" s="5" t="s">
        <v>4033</v>
      </c>
      <c r="F1105" s="5" t="s">
        <v>64</v>
      </c>
      <c r="G1105" s="5" t="s">
        <v>65</v>
      </c>
      <c r="H1105" s="5" t="s">
        <v>18</v>
      </c>
      <c r="I1105" s="7" t="s">
        <v>5706</v>
      </c>
    </row>
    <row r="1106">
      <c r="A1106" s="5" t="s">
        <v>5715</v>
      </c>
      <c r="B1106" s="5" t="s">
        <v>5712</v>
      </c>
      <c r="D1106" s="5" t="s">
        <v>1560</v>
      </c>
      <c r="E1106" s="5" t="s">
        <v>268</v>
      </c>
      <c r="F1106" s="5" t="s">
        <v>64</v>
      </c>
      <c r="G1106" s="5" t="s">
        <v>65</v>
      </c>
      <c r="H1106" s="5" t="s">
        <v>18</v>
      </c>
      <c r="I1106" s="7" t="s">
        <v>5714</v>
      </c>
    </row>
    <row r="1107">
      <c r="A1107" s="5" t="s">
        <v>5719</v>
      </c>
      <c r="B1107" s="5" t="s">
        <v>4749</v>
      </c>
      <c r="D1107" s="5" t="s">
        <v>1560</v>
      </c>
      <c r="E1107" s="5" t="s">
        <v>222</v>
      </c>
      <c r="F1107" s="5" t="s">
        <v>64</v>
      </c>
      <c r="G1107" s="5" t="s">
        <v>65</v>
      </c>
      <c r="H1107" s="5" t="s">
        <v>18</v>
      </c>
      <c r="I1107" s="7" t="s">
        <v>5718</v>
      </c>
    </row>
    <row r="1108">
      <c r="A1108" s="5" t="s">
        <v>5729</v>
      </c>
      <c r="B1108" s="5" t="s">
        <v>5730</v>
      </c>
      <c r="D1108" s="5" t="s">
        <v>1560</v>
      </c>
      <c r="E1108" s="5" t="s">
        <v>268</v>
      </c>
      <c r="F1108" s="5" t="s">
        <v>5731</v>
      </c>
      <c r="G1108" s="5" t="s">
        <v>44</v>
      </c>
      <c r="H1108" s="5" t="s">
        <v>18</v>
      </c>
      <c r="I1108" s="17" t="s">
        <v>10652</v>
      </c>
    </row>
    <row r="1109">
      <c r="A1109" s="5" t="s">
        <v>5740</v>
      </c>
      <c r="B1109" s="5" t="s">
        <v>4749</v>
      </c>
      <c r="D1109" s="5" t="s">
        <v>1560</v>
      </c>
      <c r="E1109" s="5" t="s">
        <v>1880</v>
      </c>
      <c r="F1109" s="5" t="s">
        <v>1274</v>
      </c>
      <c r="G1109" s="5" t="s">
        <v>76</v>
      </c>
      <c r="H1109" s="5" t="s">
        <v>18</v>
      </c>
      <c r="I1109" s="7" t="s">
        <v>5739</v>
      </c>
    </row>
    <row r="1110">
      <c r="A1110" s="5" t="s">
        <v>5742</v>
      </c>
      <c r="B1110" s="5" t="s">
        <v>5743</v>
      </c>
      <c r="D1110" s="5" t="s">
        <v>1560</v>
      </c>
      <c r="E1110" s="5" t="s">
        <v>2265</v>
      </c>
      <c r="F1110" s="5" t="s">
        <v>1274</v>
      </c>
      <c r="G1110" s="5" t="s">
        <v>76</v>
      </c>
      <c r="H1110" s="5" t="s">
        <v>18</v>
      </c>
      <c r="I1110" s="18" t="s">
        <v>10653</v>
      </c>
    </row>
    <row r="1111">
      <c r="A1111" s="5" t="s">
        <v>5767</v>
      </c>
      <c r="B1111" s="5" t="s">
        <v>4749</v>
      </c>
      <c r="D1111" s="5" t="s">
        <v>1560</v>
      </c>
      <c r="E1111" s="5" t="s">
        <v>68</v>
      </c>
      <c r="F1111" s="5" t="s">
        <v>635</v>
      </c>
      <c r="G1111" s="5" t="s">
        <v>76</v>
      </c>
      <c r="H1111" s="5" t="s">
        <v>18</v>
      </c>
      <c r="I1111" s="7" t="s">
        <v>5766</v>
      </c>
    </row>
    <row r="1112">
      <c r="A1112" s="5" t="s">
        <v>5769</v>
      </c>
      <c r="B1112" s="5" t="s">
        <v>5770</v>
      </c>
      <c r="D1112" s="5" t="s">
        <v>1560</v>
      </c>
      <c r="E1112" s="5" t="s">
        <v>496</v>
      </c>
      <c r="F1112" s="5" t="s">
        <v>635</v>
      </c>
      <c r="G1112" s="5" t="s">
        <v>76</v>
      </c>
      <c r="H1112" s="5" t="s">
        <v>18</v>
      </c>
      <c r="I1112" s="7" t="s">
        <v>5768</v>
      </c>
    </row>
    <row r="1113">
      <c r="A1113" s="5" t="s">
        <v>5772</v>
      </c>
      <c r="B1113" s="5" t="s">
        <v>5773</v>
      </c>
      <c r="D1113" s="5" t="s">
        <v>1560</v>
      </c>
      <c r="E1113" s="5" t="s">
        <v>277</v>
      </c>
      <c r="F1113" s="5" t="s">
        <v>635</v>
      </c>
      <c r="G1113" s="5" t="s">
        <v>76</v>
      </c>
      <c r="H1113" s="5" t="s">
        <v>18</v>
      </c>
      <c r="I1113" s="18" t="s">
        <v>10654</v>
      </c>
    </row>
    <row r="1114">
      <c r="A1114" s="5" t="s">
        <v>5775</v>
      </c>
      <c r="B1114" s="5" t="s">
        <v>4749</v>
      </c>
      <c r="D1114" s="5" t="s">
        <v>1560</v>
      </c>
      <c r="E1114" s="5" t="s">
        <v>2975</v>
      </c>
      <c r="F1114" s="5" t="s">
        <v>635</v>
      </c>
      <c r="G1114" s="5" t="s">
        <v>76</v>
      </c>
      <c r="H1114" s="5" t="s">
        <v>18</v>
      </c>
      <c r="I1114" s="7" t="s">
        <v>5774</v>
      </c>
    </row>
    <row r="1115">
      <c r="A1115" s="5" t="s">
        <v>1708</v>
      </c>
      <c r="B1115" s="5" t="s">
        <v>25</v>
      </c>
      <c r="D1115" s="5" t="s">
        <v>1560</v>
      </c>
      <c r="E1115" s="5" t="s">
        <v>268</v>
      </c>
      <c r="F1115" s="5" t="s">
        <v>75</v>
      </c>
      <c r="G1115" s="5" t="s">
        <v>945</v>
      </c>
      <c r="H1115" s="5" t="s">
        <v>18</v>
      </c>
      <c r="I1115" s="7" t="s">
        <v>5800</v>
      </c>
    </row>
    <row r="1116">
      <c r="A1116" s="5" t="s">
        <v>5806</v>
      </c>
      <c r="B1116" s="5" t="s">
        <v>4749</v>
      </c>
      <c r="D1116" s="5" t="s">
        <v>1560</v>
      </c>
      <c r="E1116" s="5" t="s">
        <v>192</v>
      </c>
      <c r="F1116" s="5" t="s">
        <v>5807</v>
      </c>
      <c r="G1116" s="5" t="s">
        <v>137</v>
      </c>
      <c r="H1116" s="5" t="s">
        <v>18</v>
      </c>
      <c r="I1116" s="7" t="s">
        <v>5805</v>
      </c>
    </row>
    <row r="1117">
      <c r="A1117" s="5" t="s">
        <v>5847</v>
      </c>
      <c r="B1117" s="5" t="s">
        <v>4749</v>
      </c>
      <c r="D1117" s="5" t="s">
        <v>1560</v>
      </c>
      <c r="E1117" s="5" t="s">
        <v>1637</v>
      </c>
      <c r="F1117" s="5" t="s">
        <v>5848</v>
      </c>
      <c r="G1117" s="5" t="s">
        <v>44</v>
      </c>
      <c r="H1117" s="5" t="s">
        <v>18</v>
      </c>
      <c r="I1117" s="7" t="s">
        <v>5846</v>
      </c>
    </row>
    <row r="1118">
      <c r="A1118" s="5" t="s">
        <v>5853</v>
      </c>
      <c r="B1118" s="5" t="s">
        <v>4749</v>
      </c>
      <c r="D1118" s="5" t="s">
        <v>1560</v>
      </c>
      <c r="E1118" s="5" t="s">
        <v>339</v>
      </c>
      <c r="F1118" s="5" t="s">
        <v>80</v>
      </c>
      <c r="G1118" s="5" t="s">
        <v>38</v>
      </c>
      <c r="H1118" s="5" t="s">
        <v>18</v>
      </c>
      <c r="I1118" s="7" t="s">
        <v>5852</v>
      </c>
    </row>
    <row r="1119">
      <c r="A1119" s="5" t="s">
        <v>5870</v>
      </c>
      <c r="B1119" s="5" t="s">
        <v>4749</v>
      </c>
      <c r="D1119" s="5" t="s">
        <v>1560</v>
      </c>
      <c r="E1119" s="5" t="s">
        <v>48</v>
      </c>
      <c r="F1119" s="5" t="s">
        <v>80</v>
      </c>
      <c r="G1119" s="5" t="s">
        <v>38</v>
      </c>
      <c r="H1119" s="5" t="s">
        <v>18</v>
      </c>
      <c r="I1119" s="7" t="s">
        <v>5869</v>
      </c>
    </row>
    <row r="1120">
      <c r="A1120" s="5" t="s">
        <v>5872</v>
      </c>
      <c r="B1120" s="5" t="s">
        <v>5873</v>
      </c>
      <c r="D1120" s="5" t="s">
        <v>1560</v>
      </c>
      <c r="E1120" s="5" t="s">
        <v>1729</v>
      </c>
      <c r="F1120" s="5" t="s">
        <v>80</v>
      </c>
      <c r="G1120" s="5" t="s">
        <v>38</v>
      </c>
      <c r="H1120" s="5" t="s">
        <v>18</v>
      </c>
      <c r="I1120" s="7" t="s">
        <v>10655</v>
      </c>
    </row>
    <row r="1121">
      <c r="A1121" s="5" t="s">
        <v>5875</v>
      </c>
      <c r="B1121" s="5" t="s">
        <v>5876</v>
      </c>
      <c r="D1121" s="5" t="s">
        <v>1560</v>
      </c>
      <c r="E1121" s="5" t="s">
        <v>268</v>
      </c>
      <c r="F1121" s="5" t="s">
        <v>80</v>
      </c>
      <c r="G1121" s="5" t="s">
        <v>38</v>
      </c>
      <c r="H1121" s="5" t="s">
        <v>18</v>
      </c>
      <c r="I1121" s="7" t="s">
        <v>5874</v>
      </c>
    </row>
    <row r="1122">
      <c r="A1122" s="5" t="s">
        <v>5881</v>
      </c>
      <c r="B1122" s="5" t="s">
        <v>4749</v>
      </c>
      <c r="D1122" s="5" t="s">
        <v>1560</v>
      </c>
      <c r="E1122" s="5" t="s">
        <v>144</v>
      </c>
      <c r="F1122" s="5" t="s">
        <v>80</v>
      </c>
      <c r="G1122" s="5" t="s">
        <v>38</v>
      </c>
      <c r="H1122" s="5" t="s">
        <v>18</v>
      </c>
      <c r="I1122" s="7" t="s">
        <v>5880</v>
      </c>
    </row>
    <row r="1123">
      <c r="A1123" s="5" t="s">
        <v>1723</v>
      </c>
      <c r="B1123" s="5" t="s">
        <v>1724</v>
      </c>
      <c r="D1123" s="5" t="s">
        <v>1560</v>
      </c>
      <c r="E1123" s="5" t="s">
        <v>1105</v>
      </c>
      <c r="F1123" s="5" t="s">
        <v>80</v>
      </c>
      <c r="G1123" s="5" t="s">
        <v>38</v>
      </c>
      <c r="H1123" s="5" t="s">
        <v>18</v>
      </c>
      <c r="I1123" s="17" t="s">
        <v>10656</v>
      </c>
    </row>
    <row r="1124">
      <c r="A1124" s="5" t="s">
        <v>1720</v>
      </c>
      <c r="B1124" s="5" t="s">
        <v>1721</v>
      </c>
      <c r="D1124" s="5" t="s">
        <v>1560</v>
      </c>
      <c r="E1124" s="5" t="s">
        <v>121</v>
      </c>
      <c r="F1124" s="5" t="s">
        <v>80</v>
      </c>
      <c r="G1124" s="5" t="s">
        <v>38</v>
      </c>
      <c r="H1124" s="5" t="s">
        <v>18</v>
      </c>
      <c r="I1124" s="18" t="s">
        <v>10657</v>
      </c>
    </row>
    <row r="1125">
      <c r="A1125" s="5" t="s">
        <v>5922</v>
      </c>
      <c r="B1125" s="5" t="s">
        <v>5923</v>
      </c>
      <c r="D1125" s="5" t="s">
        <v>1560</v>
      </c>
      <c r="E1125" s="5" t="s">
        <v>570</v>
      </c>
      <c r="F1125" s="5" t="s">
        <v>80</v>
      </c>
      <c r="G1125" s="5" t="s">
        <v>38</v>
      </c>
      <c r="H1125" s="5" t="s">
        <v>18</v>
      </c>
      <c r="I1125" s="7" t="s">
        <v>10658</v>
      </c>
    </row>
    <row r="1126">
      <c r="A1126" s="5" t="s">
        <v>5931</v>
      </c>
      <c r="B1126" s="5" t="s">
        <v>4749</v>
      </c>
      <c r="D1126" s="5" t="s">
        <v>1560</v>
      </c>
      <c r="E1126" s="5" t="s">
        <v>5932</v>
      </c>
      <c r="F1126" s="5" t="s">
        <v>80</v>
      </c>
      <c r="G1126" s="5" t="s">
        <v>38</v>
      </c>
      <c r="H1126" s="5" t="s">
        <v>18</v>
      </c>
      <c r="I1126" s="7" t="s">
        <v>5930</v>
      </c>
    </row>
    <row r="1127">
      <c r="A1127" s="5" t="s">
        <v>5984</v>
      </c>
      <c r="B1127" s="5" t="s">
        <v>1896</v>
      </c>
      <c r="D1127" s="5" t="s">
        <v>1560</v>
      </c>
      <c r="E1127" s="5" t="s">
        <v>5985</v>
      </c>
      <c r="F1127" s="5" t="s">
        <v>90</v>
      </c>
      <c r="G1127" s="5" t="s">
        <v>91</v>
      </c>
      <c r="H1127" s="5" t="s">
        <v>18</v>
      </c>
      <c r="I1127" s="7" t="s">
        <v>5983</v>
      </c>
    </row>
    <row r="1128">
      <c r="A1128" s="5" t="s">
        <v>6002</v>
      </c>
      <c r="B1128" s="5" t="s">
        <v>4749</v>
      </c>
      <c r="D1128" s="5" t="s">
        <v>1560</v>
      </c>
      <c r="E1128" s="5" t="s">
        <v>441</v>
      </c>
      <c r="F1128" s="5" t="s">
        <v>4262</v>
      </c>
      <c r="G1128" s="5" t="s">
        <v>17</v>
      </c>
      <c r="H1128" s="5" t="s">
        <v>18</v>
      </c>
      <c r="I1128" s="7" t="s">
        <v>6001</v>
      </c>
    </row>
    <row r="1129">
      <c r="A1129" s="5" t="s">
        <v>6135</v>
      </c>
      <c r="B1129" s="5" t="s">
        <v>4749</v>
      </c>
      <c r="D1129" s="5" t="s">
        <v>1560</v>
      </c>
      <c r="E1129" s="5" t="s">
        <v>1830</v>
      </c>
      <c r="F1129" s="5" t="s">
        <v>3111</v>
      </c>
      <c r="G1129" s="5" t="s">
        <v>184</v>
      </c>
      <c r="H1129" s="5" t="s">
        <v>18</v>
      </c>
      <c r="I1129" s="7" t="s">
        <v>6134</v>
      </c>
    </row>
    <row r="1130">
      <c r="A1130" s="5" t="s">
        <v>6211</v>
      </c>
      <c r="B1130" s="5" t="s">
        <v>6212</v>
      </c>
      <c r="D1130" s="5" t="s">
        <v>1560</v>
      </c>
      <c r="E1130" s="5" t="s">
        <v>526</v>
      </c>
      <c r="F1130" s="5" t="s">
        <v>658</v>
      </c>
      <c r="G1130" s="5" t="s">
        <v>91</v>
      </c>
      <c r="H1130" s="5" t="s">
        <v>18</v>
      </c>
      <c r="I1130" s="7" t="s">
        <v>6210</v>
      </c>
    </row>
    <row r="1131">
      <c r="A1131" s="5" t="s">
        <v>1738</v>
      </c>
      <c r="B1131" s="5" t="s">
        <v>1739</v>
      </c>
      <c r="D1131" s="5" t="s">
        <v>1560</v>
      </c>
      <c r="E1131" s="5" t="s">
        <v>712</v>
      </c>
      <c r="F1131" s="5" t="s">
        <v>1187</v>
      </c>
      <c r="G1131" s="5" t="s">
        <v>96</v>
      </c>
      <c r="H1131" s="5" t="s">
        <v>18</v>
      </c>
      <c r="I1131" s="7" t="s">
        <v>6317</v>
      </c>
    </row>
    <row r="1132">
      <c r="A1132" s="5" t="s">
        <v>6335</v>
      </c>
      <c r="B1132" s="5" t="s">
        <v>4749</v>
      </c>
      <c r="D1132" s="5" t="s">
        <v>1560</v>
      </c>
      <c r="E1132" s="5" t="s">
        <v>48</v>
      </c>
      <c r="F1132" s="5" t="s">
        <v>112</v>
      </c>
      <c r="G1132" s="5" t="s">
        <v>38</v>
      </c>
      <c r="H1132" s="5" t="s">
        <v>18</v>
      </c>
      <c r="I1132" s="7" t="s">
        <v>6334</v>
      </c>
    </row>
    <row r="1133">
      <c r="A1133" s="5" t="s">
        <v>6347</v>
      </c>
      <c r="B1133" s="5" t="s">
        <v>4749</v>
      </c>
      <c r="D1133" s="5" t="s">
        <v>1560</v>
      </c>
      <c r="E1133" s="5" t="s">
        <v>36</v>
      </c>
      <c r="F1133" s="5" t="s">
        <v>112</v>
      </c>
      <c r="G1133" s="5" t="s">
        <v>38</v>
      </c>
      <c r="H1133" s="5" t="s">
        <v>18</v>
      </c>
      <c r="I1133" s="7" t="s">
        <v>6346</v>
      </c>
    </row>
    <row r="1134">
      <c r="A1134" s="5" t="s">
        <v>6353</v>
      </c>
      <c r="B1134" s="5" t="s">
        <v>6354</v>
      </c>
      <c r="D1134" s="5" t="s">
        <v>1560</v>
      </c>
      <c r="E1134" s="5" t="s">
        <v>192</v>
      </c>
      <c r="F1134" s="5" t="s">
        <v>112</v>
      </c>
      <c r="G1134" s="5" t="s">
        <v>38</v>
      </c>
      <c r="H1134" s="5" t="s">
        <v>18</v>
      </c>
      <c r="I1134" s="17" t="s">
        <v>10659</v>
      </c>
    </row>
    <row r="1135">
      <c r="A1135" s="5" t="s">
        <v>6372</v>
      </c>
      <c r="B1135" s="5" t="s">
        <v>4749</v>
      </c>
      <c r="D1135" s="5" t="s">
        <v>1560</v>
      </c>
      <c r="E1135" s="5" t="s">
        <v>192</v>
      </c>
      <c r="F1135" s="5" t="s">
        <v>1527</v>
      </c>
      <c r="G1135" s="5" t="s">
        <v>945</v>
      </c>
      <c r="H1135" s="5" t="s">
        <v>18</v>
      </c>
      <c r="I1135" s="7" t="s">
        <v>6371</v>
      </c>
    </row>
    <row r="1136">
      <c r="A1136" s="5" t="s">
        <v>6374</v>
      </c>
      <c r="B1136" s="5" t="s">
        <v>4749</v>
      </c>
      <c r="D1136" s="5" t="s">
        <v>1560</v>
      </c>
      <c r="E1136" s="5" t="s">
        <v>68</v>
      </c>
      <c r="F1136" s="5" t="s">
        <v>4137</v>
      </c>
      <c r="G1136" s="5" t="s">
        <v>44</v>
      </c>
      <c r="H1136" s="5" t="s">
        <v>18</v>
      </c>
      <c r="I1136" s="7" t="s">
        <v>6373</v>
      </c>
    </row>
    <row r="1137">
      <c r="A1137" s="5" t="s">
        <v>7171</v>
      </c>
      <c r="B1137" s="5" t="s">
        <v>7172</v>
      </c>
      <c r="D1137" s="5" t="s">
        <v>1560</v>
      </c>
      <c r="E1137" s="5" t="s">
        <v>100</v>
      </c>
      <c r="F1137" s="5" t="s">
        <v>122</v>
      </c>
      <c r="G1137" s="5" t="s">
        <v>44</v>
      </c>
      <c r="H1137" s="5" t="s">
        <v>18</v>
      </c>
      <c r="I1137" s="17" t="s">
        <v>10660</v>
      </c>
    </row>
    <row r="1138">
      <c r="A1138" s="5" t="s">
        <v>7174</v>
      </c>
      <c r="B1138" s="5" t="s">
        <v>7175</v>
      </c>
      <c r="D1138" s="5" t="s">
        <v>1560</v>
      </c>
      <c r="E1138" s="5" t="s">
        <v>74</v>
      </c>
      <c r="F1138" s="5" t="s">
        <v>122</v>
      </c>
      <c r="G1138" s="5" t="s">
        <v>44</v>
      </c>
      <c r="H1138" s="5" t="s">
        <v>18</v>
      </c>
      <c r="I1138" s="7" t="s">
        <v>10661</v>
      </c>
    </row>
    <row r="1139">
      <c r="A1139" s="5" t="s">
        <v>7181</v>
      </c>
      <c r="B1139" s="5" t="s">
        <v>4749</v>
      </c>
      <c r="D1139" s="5" t="s">
        <v>1560</v>
      </c>
      <c r="E1139" s="5" t="s">
        <v>188</v>
      </c>
      <c r="F1139" s="5" t="s">
        <v>122</v>
      </c>
      <c r="G1139" s="5" t="s">
        <v>44</v>
      </c>
      <c r="H1139" s="5" t="s">
        <v>18</v>
      </c>
      <c r="I1139" s="17" t="s">
        <v>10662</v>
      </c>
    </row>
    <row r="1140">
      <c r="A1140" s="5" t="s">
        <v>1765</v>
      </c>
      <c r="B1140" s="5" t="s">
        <v>1766</v>
      </c>
      <c r="D1140" s="5" t="s">
        <v>1560</v>
      </c>
      <c r="E1140" s="5" t="s">
        <v>268</v>
      </c>
      <c r="F1140" s="5" t="s">
        <v>122</v>
      </c>
      <c r="G1140" s="5" t="s">
        <v>44</v>
      </c>
      <c r="H1140" s="5" t="s">
        <v>18</v>
      </c>
      <c r="I1140" s="7" t="s">
        <v>10663</v>
      </c>
    </row>
    <row r="1141">
      <c r="A1141" s="5" t="s">
        <v>7193</v>
      </c>
      <c r="B1141" s="5" t="s">
        <v>7194</v>
      </c>
      <c r="D1141" s="5" t="s">
        <v>1560</v>
      </c>
      <c r="E1141" s="5" t="s">
        <v>7195</v>
      </c>
      <c r="F1141" s="5" t="s">
        <v>122</v>
      </c>
      <c r="G1141" s="5" t="s">
        <v>44</v>
      </c>
      <c r="H1141" s="5" t="s">
        <v>18</v>
      </c>
      <c r="I1141" s="7" t="s">
        <v>10664</v>
      </c>
    </row>
    <row r="1142">
      <c r="A1142" s="5" t="s">
        <v>7201</v>
      </c>
      <c r="B1142" s="5" t="s">
        <v>4749</v>
      </c>
      <c r="D1142" s="5" t="s">
        <v>1560</v>
      </c>
      <c r="E1142" s="5" t="s">
        <v>188</v>
      </c>
      <c r="F1142" s="5" t="s">
        <v>122</v>
      </c>
      <c r="G1142" s="5" t="s">
        <v>44</v>
      </c>
      <c r="H1142" s="5" t="s">
        <v>18</v>
      </c>
      <c r="I1142" s="7" t="s">
        <v>7200</v>
      </c>
    </row>
    <row r="1143">
      <c r="A1143" s="5" t="s">
        <v>7295</v>
      </c>
      <c r="B1143" s="5" t="s">
        <v>7296</v>
      </c>
      <c r="D1143" s="5" t="s">
        <v>1560</v>
      </c>
      <c r="E1143" s="5" t="s">
        <v>79</v>
      </c>
      <c r="F1143" s="5" t="s">
        <v>793</v>
      </c>
      <c r="G1143" s="5" t="s">
        <v>184</v>
      </c>
      <c r="H1143" s="5" t="s">
        <v>18</v>
      </c>
      <c r="I1143" s="17" t="s">
        <v>10665</v>
      </c>
    </row>
    <row r="1144">
      <c r="A1144" s="5" t="s">
        <v>7298</v>
      </c>
      <c r="B1144" s="5" t="s">
        <v>7299</v>
      </c>
      <c r="D1144" s="5" t="s">
        <v>1560</v>
      </c>
      <c r="E1144" s="5" t="s">
        <v>149</v>
      </c>
      <c r="F1144" s="5" t="s">
        <v>793</v>
      </c>
      <c r="G1144" s="5" t="s">
        <v>184</v>
      </c>
      <c r="H1144" s="5" t="s">
        <v>18</v>
      </c>
      <c r="I1144" s="17" t="s">
        <v>10666</v>
      </c>
    </row>
    <row r="1145">
      <c r="A1145" s="5" t="s">
        <v>7308</v>
      </c>
      <c r="B1145" s="5" t="s">
        <v>4749</v>
      </c>
      <c r="D1145" s="5" t="s">
        <v>1560</v>
      </c>
      <c r="E1145" s="5" t="s">
        <v>79</v>
      </c>
      <c r="F1145" s="5" t="s">
        <v>7309</v>
      </c>
      <c r="G1145" s="5" t="s">
        <v>378</v>
      </c>
      <c r="H1145" s="5" t="s">
        <v>18</v>
      </c>
      <c r="I1145" s="7" t="s">
        <v>7307</v>
      </c>
    </row>
    <row r="1146">
      <c r="A1146" s="5" t="s">
        <v>7494</v>
      </c>
      <c r="B1146" s="5" t="s">
        <v>7495</v>
      </c>
      <c r="D1146" s="5" t="s">
        <v>1560</v>
      </c>
      <c r="E1146" s="5" t="s">
        <v>441</v>
      </c>
      <c r="F1146" s="5" t="s">
        <v>953</v>
      </c>
      <c r="G1146" s="5" t="s">
        <v>954</v>
      </c>
      <c r="H1146" s="5" t="s">
        <v>18</v>
      </c>
      <c r="I1146" s="18" t="s">
        <v>10667</v>
      </c>
    </row>
    <row r="1147">
      <c r="A1147" s="5" t="s">
        <v>7497</v>
      </c>
      <c r="B1147" s="5" t="s">
        <v>4749</v>
      </c>
      <c r="D1147" s="5" t="s">
        <v>1560</v>
      </c>
      <c r="E1147" s="5" t="s">
        <v>712</v>
      </c>
      <c r="F1147" s="5" t="s">
        <v>953</v>
      </c>
      <c r="G1147" s="5" t="s">
        <v>954</v>
      </c>
      <c r="H1147" s="5" t="s">
        <v>18</v>
      </c>
      <c r="I1147" s="7" t="s">
        <v>7496</v>
      </c>
    </row>
    <row r="1148">
      <c r="A1148" s="5" t="s">
        <v>7665</v>
      </c>
      <c r="B1148" s="5" t="s">
        <v>7666</v>
      </c>
      <c r="D1148" s="5" t="s">
        <v>1560</v>
      </c>
      <c r="E1148" s="5" t="s">
        <v>626</v>
      </c>
      <c r="F1148" s="5" t="s">
        <v>7667</v>
      </c>
      <c r="G1148" s="5" t="s">
        <v>184</v>
      </c>
      <c r="H1148" s="5" t="s">
        <v>18</v>
      </c>
      <c r="I1148" s="7" t="s">
        <v>7664</v>
      </c>
    </row>
    <row r="1149">
      <c r="A1149" s="5" t="s">
        <v>1789</v>
      </c>
      <c r="B1149" s="5" t="s">
        <v>25</v>
      </c>
      <c r="D1149" s="5" t="s">
        <v>1560</v>
      </c>
      <c r="E1149" s="5" t="s">
        <v>512</v>
      </c>
      <c r="F1149" s="5" t="s">
        <v>575</v>
      </c>
      <c r="G1149" s="5" t="s">
        <v>137</v>
      </c>
      <c r="H1149" s="5" t="s">
        <v>18</v>
      </c>
      <c r="I1149" s="17" t="s">
        <v>10668</v>
      </c>
    </row>
    <row r="1150">
      <c r="A1150" s="5" t="s">
        <v>1793</v>
      </c>
      <c r="B1150" s="5" t="s">
        <v>1794</v>
      </c>
      <c r="D1150" s="5" t="s">
        <v>1560</v>
      </c>
      <c r="E1150" s="5" t="s">
        <v>84</v>
      </c>
      <c r="F1150" s="5" t="s">
        <v>132</v>
      </c>
      <c r="G1150" s="5" t="s">
        <v>133</v>
      </c>
      <c r="H1150" s="5" t="s">
        <v>18</v>
      </c>
      <c r="I1150" s="18" t="s">
        <v>10669</v>
      </c>
    </row>
    <row r="1151">
      <c r="A1151" s="5" t="s">
        <v>7790</v>
      </c>
      <c r="B1151" s="5" t="s">
        <v>7791</v>
      </c>
      <c r="D1151" s="5" t="s">
        <v>1560</v>
      </c>
      <c r="E1151" s="5" t="s">
        <v>1846</v>
      </c>
      <c r="F1151" s="5" t="s">
        <v>137</v>
      </c>
      <c r="G1151" s="5" t="s">
        <v>137</v>
      </c>
      <c r="H1151" s="5" t="s">
        <v>18</v>
      </c>
      <c r="I1151" s="17" t="s">
        <v>10670</v>
      </c>
    </row>
    <row r="1152">
      <c r="A1152" s="5" t="s">
        <v>7818</v>
      </c>
      <c r="B1152" s="5" t="s">
        <v>7819</v>
      </c>
      <c r="D1152" s="5" t="s">
        <v>1560</v>
      </c>
      <c r="E1152" s="5" t="s">
        <v>106</v>
      </c>
      <c r="F1152" s="5" t="s">
        <v>137</v>
      </c>
      <c r="G1152" s="5" t="s">
        <v>137</v>
      </c>
      <c r="H1152" s="5" t="s">
        <v>18</v>
      </c>
      <c r="I1152" s="7" t="s">
        <v>7817</v>
      </c>
    </row>
    <row r="1153">
      <c r="A1153" s="5" t="s">
        <v>7830</v>
      </c>
      <c r="B1153" s="5" t="s">
        <v>4749</v>
      </c>
      <c r="D1153" s="5" t="s">
        <v>1560</v>
      </c>
      <c r="E1153" s="5" t="s">
        <v>79</v>
      </c>
      <c r="F1153" s="5" t="s">
        <v>137</v>
      </c>
      <c r="G1153" s="5" t="s">
        <v>137</v>
      </c>
      <c r="H1153" s="5" t="s">
        <v>18</v>
      </c>
      <c r="I1153" s="7" t="s">
        <v>7829</v>
      </c>
    </row>
    <row r="1154">
      <c r="A1154" s="5" t="s">
        <v>7832</v>
      </c>
      <c r="B1154" s="5" t="s">
        <v>4749</v>
      </c>
      <c r="D1154" s="5" t="s">
        <v>1560</v>
      </c>
      <c r="E1154" s="5" t="s">
        <v>29</v>
      </c>
      <c r="F1154" s="5" t="s">
        <v>137</v>
      </c>
      <c r="G1154" s="5" t="s">
        <v>137</v>
      </c>
      <c r="H1154" s="5" t="s">
        <v>18</v>
      </c>
      <c r="I1154" s="7" t="s">
        <v>7831</v>
      </c>
    </row>
    <row r="1155">
      <c r="A1155" s="5" t="s">
        <v>7841</v>
      </c>
      <c r="B1155" s="5" t="s">
        <v>4749</v>
      </c>
      <c r="D1155" s="5" t="s">
        <v>1560</v>
      </c>
      <c r="E1155" s="5" t="s">
        <v>574</v>
      </c>
      <c r="F1155" s="5" t="s">
        <v>137</v>
      </c>
      <c r="G1155" s="5" t="s">
        <v>137</v>
      </c>
      <c r="H1155" s="5" t="s">
        <v>18</v>
      </c>
      <c r="I1155" s="7" t="s">
        <v>7840</v>
      </c>
    </row>
    <row r="1156">
      <c r="A1156" s="5" t="s">
        <v>7844</v>
      </c>
      <c r="B1156" s="5" t="s">
        <v>7845</v>
      </c>
      <c r="D1156" s="5" t="s">
        <v>1560</v>
      </c>
      <c r="E1156" s="5" t="s">
        <v>277</v>
      </c>
      <c r="F1156" s="5" t="s">
        <v>137</v>
      </c>
      <c r="G1156" s="5" t="s">
        <v>137</v>
      </c>
      <c r="H1156" s="5" t="s">
        <v>18</v>
      </c>
      <c r="I1156" s="17" t="s">
        <v>10671</v>
      </c>
    </row>
    <row r="1157">
      <c r="A1157" s="5" t="s">
        <v>7908</v>
      </c>
      <c r="B1157" s="5" t="s">
        <v>1896</v>
      </c>
      <c r="D1157" s="5" t="s">
        <v>1560</v>
      </c>
      <c r="E1157" s="5" t="s">
        <v>26</v>
      </c>
      <c r="F1157" s="5" t="s">
        <v>137</v>
      </c>
      <c r="G1157" s="5" t="s">
        <v>137</v>
      </c>
      <c r="H1157" s="5" t="s">
        <v>18</v>
      </c>
      <c r="I1157" s="7" t="s">
        <v>7907</v>
      </c>
    </row>
    <row r="1158">
      <c r="A1158" s="5" t="s">
        <v>7934</v>
      </c>
      <c r="B1158" s="5" t="s">
        <v>7935</v>
      </c>
      <c r="D1158" s="5" t="s">
        <v>1560</v>
      </c>
      <c r="E1158" s="5" t="s">
        <v>7936</v>
      </c>
      <c r="F1158" s="5" t="s">
        <v>137</v>
      </c>
      <c r="G1158" s="5" t="s">
        <v>137</v>
      </c>
      <c r="H1158" s="5" t="s">
        <v>18</v>
      </c>
      <c r="I1158" s="17" t="s">
        <v>10672</v>
      </c>
    </row>
    <row r="1159">
      <c r="A1159" s="5" t="s">
        <v>7951</v>
      </c>
      <c r="B1159" s="5" t="s">
        <v>7952</v>
      </c>
      <c r="D1159" s="5" t="s">
        <v>1560</v>
      </c>
      <c r="E1159" s="5" t="s">
        <v>7472</v>
      </c>
      <c r="F1159" s="5" t="s">
        <v>137</v>
      </c>
      <c r="G1159" s="5" t="s">
        <v>137</v>
      </c>
      <c r="H1159" s="5" t="s">
        <v>18</v>
      </c>
      <c r="I1159" s="17" t="s">
        <v>10673</v>
      </c>
    </row>
    <row r="1160">
      <c r="A1160" s="5" t="s">
        <v>8008</v>
      </c>
      <c r="B1160" s="5" t="s">
        <v>4749</v>
      </c>
      <c r="D1160" s="5" t="s">
        <v>1560</v>
      </c>
      <c r="E1160" s="5" t="s">
        <v>694</v>
      </c>
      <c r="F1160" s="5" t="s">
        <v>2725</v>
      </c>
      <c r="G1160" s="5" t="s">
        <v>96</v>
      </c>
      <c r="H1160" s="5" t="s">
        <v>18</v>
      </c>
      <c r="I1160" s="7" t="s">
        <v>8007</v>
      </c>
    </row>
    <row r="1161">
      <c r="A1161" s="5" t="s">
        <v>8124</v>
      </c>
      <c r="B1161" s="5" t="s">
        <v>8125</v>
      </c>
      <c r="D1161" s="5" t="s">
        <v>1560</v>
      </c>
      <c r="E1161" s="5" t="s">
        <v>8126</v>
      </c>
      <c r="F1161" s="5" t="s">
        <v>2491</v>
      </c>
      <c r="G1161" s="5" t="s">
        <v>44</v>
      </c>
      <c r="H1161" s="5" t="s">
        <v>18</v>
      </c>
      <c r="I1161" s="17" t="s">
        <v>10674</v>
      </c>
    </row>
    <row r="1162">
      <c r="A1162" s="5" t="s">
        <v>8279</v>
      </c>
      <c r="B1162" s="5" t="s">
        <v>4749</v>
      </c>
      <c r="D1162" s="5" t="s">
        <v>1560</v>
      </c>
      <c r="E1162" s="5" t="s">
        <v>136</v>
      </c>
      <c r="F1162" s="5" t="s">
        <v>1965</v>
      </c>
      <c r="G1162" s="5" t="s">
        <v>44</v>
      </c>
      <c r="H1162" s="5" t="s">
        <v>18</v>
      </c>
      <c r="I1162" s="7" t="s">
        <v>8278</v>
      </c>
    </row>
    <row r="1163">
      <c r="A1163" s="5" t="s">
        <v>8300</v>
      </c>
      <c r="B1163" s="5" t="s">
        <v>25</v>
      </c>
      <c r="D1163" s="5" t="s">
        <v>1560</v>
      </c>
      <c r="E1163" s="5" t="s">
        <v>651</v>
      </c>
      <c r="F1163" s="5" t="s">
        <v>8297</v>
      </c>
      <c r="G1163" s="5" t="s">
        <v>8298</v>
      </c>
      <c r="H1163" s="5" t="s">
        <v>4619</v>
      </c>
      <c r="I1163" s="7" t="s">
        <v>8299</v>
      </c>
    </row>
    <row r="1164">
      <c r="A1164" s="5" t="s">
        <v>8334</v>
      </c>
      <c r="B1164" s="5" t="s">
        <v>1896</v>
      </c>
      <c r="D1164" s="5" t="s">
        <v>1560</v>
      </c>
      <c r="E1164" s="5" t="s">
        <v>691</v>
      </c>
      <c r="F1164" s="5" t="s">
        <v>153</v>
      </c>
      <c r="G1164" s="5" t="s">
        <v>154</v>
      </c>
      <c r="H1164" s="5" t="s">
        <v>18</v>
      </c>
      <c r="I1164" s="7" t="s">
        <v>8333</v>
      </c>
    </row>
    <row r="1165">
      <c r="A1165" s="5" t="s">
        <v>8336</v>
      </c>
      <c r="B1165" s="5" t="s">
        <v>1896</v>
      </c>
      <c r="D1165" s="5" t="s">
        <v>1560</v>
      </c>
      <c r="E1165" s="5" t="s">
        <v>651</v>
      </c>
      <c r="F1165" s="5" t="s">
        <v>153</v>
      </c>
      <c r="G1165" s="5" t="s">
        <v>154</v>
      </c>
      <c r="H1165" s="5" t="s">
        <v>18</v>
      </c>
      <c r="I1165" s="7" t="s">
        <v>8335</v>
      </c>
    </row>
    <row r="1166">
      <c r="A1166" s="5" t="s">
        <v>1832</v>
      </c>
      <c r="B1166" s="5" t="s">
        <v>25</v>
      </c>
      <c r="D1166" s="5" t="s">
        <v>1560</v>
      </c>
      <c r="E1166" s="5" t="s">
        <v>1300</v>
      </c>
      <c r="F1166" s="5" t="s">
        <v>153</v>
      </c>
      <c r="G1166" s="5" t="s">
        <v>154</v>
      </c>
      <c r="H1166" s="5" t="s">
        <v>18</v>
      </c>
      <c r="I1166" s="7" t="s">
        <v>8338</v>
      </c>
    </row>
    <row r="1167">
      <c r="A1167" s="5" t="s">
        <v>8360</v>
      </c>
      <c r="B1167" s="5" t="s">
        <v>4749</v>
      </c>
      <c r="D1167" s="5" t="s">
        <v>1560</v>
      </c>
      <c r="E1167" s="5" t="s">
        <v>136</v>
      </c>
      <c r="F1167" s="5" t="s">
        <v>153</v>
      </c>
      <c r="G1167" s="5" t="s">
        <v>154</v>
      </c>
      <c r="H1167" s="5" t="s">
        <v>18</v>
      </c>
      <c r="I1167" s="7" t="s">
        <v>8359</v>
      </c>
    </row>
    <row r="1168">
      <c r="A1168" s="5" t="s">
        <v>8427</v>
      </c>
      <c r="B1168" s="5" t="s">
        <v>8428</v>
      </c>
      <c r="D1168" s="5" t="s">
        <v>1560</v>
      </c>
      <c r="E1168" s="5" t="s">
        <v>268</v>
      </c>
      <c r="F1168" s="5" t="s">
        <v>8429</v>
      </c>
      <c r="G1168" s="5" t="s">
        <v>8430</v>
      </c>
      <c r="H1168" s="5" t="s">
        <v>18</v>
      </c>
      <c r="I1168" s="17" t="s">
        <v>10675</v>
      </c>
    </row>
    <row r="1169">
      <c r="A1169" s="5" t="s">
        <v>1857</v>
      </c>
      <c r="B1169" s="5" t="s">
        <v>1858</v>
      </c>
      <c r="D1169" s="5" t="s">
        <v>1560</v>
      </c>
      <c r="E1169" s="5" t="s">
        <v>1460</v>
      </c>
      <c r="F1169" s="5" t="s">
        <v>1859</v>
      </c>
      <c r="G1169" s="5" t="s">
        <v>44</v>
      </c>
      <c r="H1169" s="5" t="s">
        <v>18</v>
      </c>
      <c r="I1169" s="7" t="s">
        <v>8561</v>
      </c>
    </row>
    <row r="1170">
      <c r="A1170" s="5" t="s">
        <v>8585</v>
      </c>
      <c r="B1170" s="5" t="s">
        <v>8586</v>
      </c>
      <c r="D1170" s="5" t="s">
        <v>1560</v>
      </c>
      <c r="E1170" s="5" t="s">
        <v>441</v>
      </c>
      <c r="F1170" s="5" t="s">
        <v>780</v>
      </c>
      <c r="G1170" s="5" t="s">
        <v>781</v>
      </c>
      <c r="H1170" s="5" t="s">
        <v>18</v>
      </c>
      <c r="I1170" s="7" t="s">
        <v>8584</v>
      </c>
    </row>
    <row r="1171">
      <c r="A1171" s="5" t="s">
        <v>8627</v>
      </c>
      <c r="B1171" s="5" t="s">
        <v>7172</v>
      </c>
      <c r="D1171" s="5" t="s">
        <v>1560</v>
      </c>
      <c r="E1171" s="5" t="s">
        <v>188</v>
      </c>
      <c r="F1171" s="5" t="s">
        <v>166</v>
      </c>
      <c r="G1171" s="5" t="s">
        <v>44</v>
      </c>
      <c r="H1171" s="5" t="s">
        <v>18</v>
      </c>
      <c r="I1171" s="17" t="s">
        <v>10676</v>
      </c>
    </row>
    <row r="1172">
      <c r="A1172" s="5" t="s">
        <v>1869</v>
      </c>
      <c r="B1172" s="5" t="s">
        <v>371</v>
      </c>
      <c r="D1172" s="5" t="s">
        <v>1560</v>
      </c>
      <c r="E1172" s="5" t="s">
        <v>217</v>
      </c>
      <c r="F1172" s="5" t="s">
        <v>166</v>
      </c>
      <c r="G1172" s="5" t="s">
        <v>44</v>
      </c>
      <c r="H1172" s="5" t="s">
        <v>18</v>
      </c>
      <c r="I1172" s="7" t="s">
        <v>8632</v>
      </c>
    </row>
    <row r="1173">
      <c r="A1173" s="5" t="s">
        <v>1876</v>
      </c>
      <c r="B1173" s="5" t="s">
        <v>1877</v>
      </c>
      <c r="D1173" s="5" t="s">
        <v>1560</v>
      </c>
      <c r="F1173" s="5" t="s">
        <v>169</v>
      </c>
      <c r="G1173" s="5" t="s">
        <v>44</v>
      </c>
      <c r="H1173" s="5" t="s">
        <v>18</v>
      </c>
      <c r="I1173" s="7" t="s">
        <v>8682</v>
      </c>
    </row>
    <row r="1174">
      <c r="A1174" s="5" t="s">
        <v>8685</v>
      </c>
      <c r="B1174" s="5" t="s">
        <v>4749</v>
      </c>
      <c r="D1174" s="5" t="s">
        <v>1560</v>
      </c>
      <c r="E1174" s="5" t="s">
        <v>648</v>
      </c>
      <c r="F1174" s="5" t="s">
        <v>169</v>
      </c>
      <c r="G1174" s="5" t="s">
        <v>44</v>
      </c>
      <c r="H1174" s="5" t="s">
        <v>18</v>
      </c>
      <c r="I1174" s="7" t="s">
        <v>8684</v>
      </c>
    </row>
    <row r="1175">
      <c r="A1175" s="5" t="s">
        <v>8698</v>
      </c>
      <c r="B1175" s="5" t="s">
        <v>25</v>
      </c>
      <c r="D1175" s="5" t="s">
        <v>1560</v>
      </c>
      <c r="E1175" s="5" t="s">
        <v>1065</v>
      </c>
      <c r="F1175" s="5" t="s">
        <v>8693</v>
      </c>
      <c r="G1175" s="5" t="s">
        <v>7660</v>
      </c>
      <c r="H1175" s="5" t="s">
        <v>4600</v>
      </c>
      <c r="I1175" s="17" t="s">
        <v>10677</v>
      </c>
    </row>
    <row r="1176">
      <c r="A1176" s="5" t="s">
        <v>8759</v>
      </c>
      <c r="B1176" s="5" t="s">
        <v>4749</v>
      </c>
      <c r="D1176" s="5" t="s">
        <v>1560</v>
      </c>
      <c r="E1176" s="5" t="s">
        <v>958</v>
      </c>
      <c r="F1176" s="5" t="s">
        <v>311</v>
      </c>
      <c r="G1176" s="5" t="s">
        <v>102</v>
      </c>
      <c r="H1176" s="5" t="s">
        <v>18</v>
      </c>
      <c r="I1176" s="7" t="s">
        <v>8758</v>
      </c>
    </row>
    <row r="1177">
      <c r="A1177" s="5" t="s">
        <v>8865</v>
      </c>
      <c r="B1177" s="5" t="s">
        <v>4718</v>
      </c>
      <c r="D1177" s="5" t="s">
        <v>1560</v>
      </c>
      <c r="E1177" s="5" t="s">
        <v>84</v>
      </c>
      <c r="F1177" s="5" t="s">
        <v>2178</v>
      </c>
      <c r="G1177" s="5" t="s">
        <v>1305</v>
      </c>
      <c r="H1177" s="5" t="s">
        <v>18</v>
      </c>
      <c r="I1177" s="17" t="s">
        <v>10678</v>
      </c>
    </row>
    <row r="1178">
      <c r="A1178" s="5" t="s">
        <v>8932</v>
      </c>
      <c r="B1178" s="5" t="s">
        <v>8933</v>
      </c>
      <c r="D1178" s="5" t="s">
        <v>1560</v>
      </c>
      <c r="E1178" s="5" t="s">
        <v>29</v>
      </c>
      <c r="F1178" s="5" t="s">
        <v>7722</v>
      </c>
      <c r="G1178" s="5" t="s">
        <v>5566</v>
      </c>
      <c r="H1178" s="5" t="s">
        <v>4619</v>
      </c>
      <c r="I1178" s="7" t="s">
        <v>10679</v>
      </c>
    </row>
    <row r="1179">
      <c r="A1179" s="5" t="s">
        <v>8953</v>
      </c>
      <c r="B1179" s="5" t="s">
        <v>8933</v>
      </c>
      <c r="D1179" s="5" t="s">
        <v>1560</v>
      </c>
      <c r="E1179" s="5" t="s">
        <v>106</v>
      </c>
      <c r="F1179" s="5" t="s">
        <v>7722</v>
      </c>
      <c r="G1179" s="5" t="s">
        <v>5566</v>
      </c>
      <c r="H1179" s="5" t="s">
        <v>4619</v>
      </c>
      <c r="I1179" s="7" t="s">
        <v>10680</v>
      </c>
    </row>
    <row r="1180">
      <c r="A1180" s="5" t="s">
        <v>9113</v>
      </c>
      <c r="B1180" s="5" t="s">
        <v>7194</v>
      </c>
      <c r="D1180" s="5" t="s">
        <v>1560</v>
      </c>
      <c r="E1180" s="5" t="s">
        <v>1607</v>
      </c>
      <c r="F1180" s="5" t="s">
        <v>1131</v>
      </c>
      <c r="G1180" s="5" t="s">
        <v>203</v>
      </c>
      <c r="H1180" s="5" t="s">
        <v>18</v>
      </c>
      <c r="I1180" s="7" t="s">
        <v>10681</v>
      </c>
    </row>
    <row r="1181">
      <c r="A1181" s="5" t="s">
        <v>9208</v>
      </c>
      <c r="B1181" s="5" t="s">
        <v>4745</v>
      </c>
      <c r="D1181" s="5" t="s">
        <v>1560</v>
      </c>
      <c r="E1181" s="5" t="s">
        <v>331</v>
      </c>
      <c r="F1181" s="5" t="s">
        <v>5280</v>
      </c>
      <c r="G1181" s="5" t="s">
        <v>4638</v>
      </c>
      <c r="H1181" s="5" t="s">
        <v>4600</v>
      </c>
      <c r="I1181" s="7" t="s">
        <v>9207</v>
      </c>
    </row>
    <row r="1182">
      <c r="A1182" s="5" t="s">
        <v>9218</v>
      </c>
      <c r="B1182" s="5" t="s">
        <v>25</v>
      </c>
      <c r="D1182" s="5" t="s">
        <v>1560</v>
      </c>
      <c r="E1182" s="5" t="s">
        <v>179</v>
      </c>
      <c r="F1182" s="5" t="s">
        <v>5280</v>
      </c>
      <c r="G1182" s="5" t="s">
        <v>4638</v>
      </c>
      <c r="H1182" s="5" t="s">
        <v>4600</v>
      </c>
      <c r="I1182" s="17" t="s">
        <v>10682</v>
      </c>
    </row>
    <row r="1183">
      <c r="A1183" s="5" t="s">
        <v>9249</v>
      </c>
      <c r="B1183" s="5" t="s">
        <v>9250</v>
      </c>
      <c r="D1183" s="5" t="s">
        <v>1560</v>
      </c>
      <c r="E1183" s="5" t="s">
        <v>1300</v>
      </c>
      <c r="F1183" s="5" t="s">
        <v>5280</v>
      </c>
      <c r="G1183" s="5" t="s">
        <v>4638</v>
      </c>
      <c r="H1183" s="5" t="s">
        <v>4600</v>
      </c>
      <c r="I1183" s="17" t="s">
        <v>10683</v>
      </c>
    </row>
    <row r="1184">
      <c r="A1184" s="5" t="s">
        <v>9305</v>
      </c>
      <c r="B1184" s="5" t="s">
        <v>25</v>
      </c>
      <c r="D1184" s="5" t="s">
        <v>1560</v>
      </c>
      <c r="E1184" s="5" t="s">
        <v>654</v>
      </c>
      <c r="F1184" s="5" t="s">
        <v>5280</v>
      </c>
      <c r="G1184" s="5" t="s">
        <v>4638</v>
      </c>
      <c r="H1184" s="5" t="s">
        <v>4600</v>
      </c>
      <c r="I1184" s="7" t="s">
        <v>9304</v>
      </c>
    </row>
    <row r="1185">
      <c r="A1185" s="5" t="s">
        <v>9311</v>
      </c>
      <c r="B1185" s="5" t="s">
        <v>9312</v>
      </c>
      <c r="D1185" s="5" t="s">
        <v>1560</v>
      </c>
      <c r="E1185" s="5" t="s">
        <v>268</v>
      </c>
      <c r="F1185" s="5" t="s">
        <v>5280</v>
      </c>
      <c r="G1185" s="5" t="s">
        <v>4638</v>
      </c>
      <c r="H1185" s="5" t="s">
        <v>4600</v>
      </c>
      <c r="I1185" s="7" t="s">
        <v>10684</v>
      </c>
    </row>
    <row r="1186">
      <c r="A1186" s="5" t="s">
        <v>9772</v>
      </c>
      <c r="B1186" s="5" t="s">
        <v>9773</v>
      </c>
      <c r="D1186" s="5" t="s">
        <v>1560</v>
      </c>
      <c r="E1186" s="5" t="s">
        <v>2241</v>
      </c>
      <c r="F1186" s="5" t="s">
        <v>2113</v>
      </c>
      <c r="G1186" s="5" t="s">
        <v>4599</v>
      </c>
      <c r="H1186" s="5" t="s">
        <v>4600</v>
      </c>
      <c r="I1186" s="7" t="s">
        <v>9771</v>
      </c>
    </row>
    <row r="1187">
      <c r="A1187" s="5" t="s">
        <v>10009</v>
      </c>
      <c r="B1187" s="5" t="s">
        <v>1896</v>
      </c>
      <c r="D1187" s="5" t="s">
        <v>1560</v>
      </c>
      <c r="E1187" s="5" t="s">
        <v>125</v>
      </c>
      <c r="F1187" s="5" t="s">
        <v>102</v>
      </c>
      <c r="G1187" s="5" t="s">
        <v>172</v>
      </c>
      <c r="H1187" s="5" t="s">
        <v>18</v>
      </c>
      <c r="I1187" s="7" t="s">
        <v>10008</v>
      </c>
    </row>
    <row r="1188">
      <c r="A1188" s="5" t="s">
        <v>10025</v>
      </c>
      <c r="B1188" s="5" t="s">
        <v>1905</v>
      </c>
      <c r="D1188" s="5" t="s">
        <v>1560</v>
      </c>
      <c r="E1188" s="5" t="s">
        <v>144</v>
      </c>
      <c r="F1188" s="5" t="s">
        <v>102</v>
      </c>
      <c r="G1188" s="5" t="s">
        <v>172</v>
      </c>
      <c r="H1188" s="5" t="s">
        <v>18</v>
      </c>
      <c r="I1188" s="17" t="s">
        <v>10685</v>
      </c>
    </row>
    <row r="1189">
      <c r="A1189" s="5" t="s">
        <v>1898</v>
      </c>
      <c r="B1189" s="5" t="s">
        <v>1899</v>
      </c>
      <c r="D1189" s="5" t="s">
        <v>1560</v>
      </c>
      <c r="E1189" s="5" t="s">
        <v>277</v>
      </c>
      <c r="F1189" s="5" t="s">
        <v>102</v>
      </c>
      <c r="G1189" s="5" t="s">
        <v>172</v>
      </c>
      <c r="H1189" s="5" t="s">
        <v>18</v>
      </c>
      <c r="I1189" s="17" t="s">
        <v>10686</v>
      </c>
    </row>
    <row r="1190">
      <c r="A1190" s="5" t="s">
        <v>10051</v>
      </c>
      <c r="B1190" s="5" t="s">
        <v>10052</v>
      </c>
      <c r="D1190" s="5" t="s">
        <v>1560</v>
      </c>
      <c r="E1190" s="5" t="s">
        <v>10053</v>
      </c>
      <c r="F1190" s="5" t="s">
        <v>102</v>
      </c>
      <c r="G1190" s="5" t="s">
        <v>172</v>
      </c>
      <c r="H1190" s="5" t="s">
        <v>18</v>
      </c>
      <c r="I1190" s="17" t="s">
        <v>10687</v>
      </c>
    </row>
    <row r="1191">
      <c r="A1191" s="5" t="s">
        <v>10055</v>
      </c>
      <c r="B1191" s="5" t="s">
        <v>4749</v>
      </c>
      <c r="D1191" s="5" t="s">
        <v>1560</v>
      </c>
      <c r="E1191" s="5" t="s">
        <v>446</v>
      </c>
      <c r="F1191" s="5" t="s">
        <v>102</v>
      </c>
      <c r="G1191" s="5" t="s">
        <v>172</v>
      </c>
      <c r="H1191" s="5" t="s">
        <v>18</v>
      </c>
      <c r="I1191" s="7" t="s">
        <v>10054</v>
      </c>
    </row>
    <row r="1192">
      <c r="A1192" s="5" t="s">
        <v>1895</v>
      </c>
      <c r="B1192" s="5" t="s">
        <v>1896</v>
      </c>
      <c r="D1192" s="5" t="s">
        <v>1560</v>
      </c>
      <c r="E1192" s="5" t="s">
        <v>686</v>
      </c>
      <c r="F1192" s="5" t="s">
        <v>102</v>
      </c>
      <c r="G1192" s="5" t="s">
        <v>172</v>
      </c>
      <c r="H1192" s="5" t="s">
        <v>18</v>
      </c>
      <c r="I1192" s="7" t="s">
        <v>10056</v>
      </c>
    </row>
    <row r="1193">
      <c r="A1193" s="5" t="s">
        <v>10132</v>
      </c>
      <c r="B1193" s="5" t="s">
        <v>4596</v>
      </c>
      <c r="D1193" s="5" t="s">
        <v>1560</v>
      </c>
      <c r="E1193" s="5" t="s">
        <v>2362</v>
      </c>
      <c r="F1193" s="5" t="s">
        <v>10114</v>
      </c>
      <c r="G1193" s="5" t="s">
        <v>4757</v>
      </c>
      <c r="H1193" s="5" t="s">
        <v>4607</v>
      </c>
      <c r="I1193" s="7" t="s">
        <v>10131</v>
      </c>
    </row>
    <row r="1194">
      <c r="A1194" s="5" t="s">
        <v>1904</v>
      </c>
      <c r="B1194" s="5" t="s">
        <v>1905</v>
      </c>
      <c r="D1194" s="5" t="s">
        <v>1560</v>
      </c>
      <c r="E1194" s="5" t="s">
        <v>84</v>
      </c>
      <c r="F1194" s="5" t="s">
        <v>608</v>
      </c>
      <c r="G1194" s="5" t="s">
        <v>50</v>
      </c>
      <c r="H1194" s="5" t="s">
        <v>18</v>
      </c>
      <c r="I1194" s="17" t="s">
        <v>10688</v>
      </c>
    </row>
    <row r="1195">
      <c r="A1195" s="5" t="s">
        <v>6004</v>
      </c>
      <c r="B1195" s="5" t="s">
        <v>6005</v>
      </c>
      <c r="D1195" s="5" t="s">
        <v>1908</v>
      </c>
      <c r="E1195" s="5" t="s">
        <v>727</v>
      </c>
      <c r="F1195" s="5" t="s">
        <v>4262</v>
      </c>
      <c r="G1195" s="5" t="s">
        <v>17</v>
      </c>
      <c r="H1195" s="5" t="s">
        <v>18</v>
      </c>
      <c r="I1195" s="7" t="s">
        <v>6003</v>
      </c>
    </row>
    <row r="1196">
      <c r="A1196" s="5" t="s">
        <v>6835</v>
      </c>
      <c r="B1196" s="5" t="s">
        <v>6836</v>
      </c>
      <c r="D1196" s="5" t="s">
        <v>1908</v>
      </c>
      <c r="E1196" s="5" t="s">
        <v>36</v>
      </c>
      <c r="F1196" s="5" t="s">
        <v>6577</v>
      </c>
      <c r="G1196" s="5" t="s">
        <v>4757</v>
      </c>
      <c r="H1196" s="5" t="s">
        <v>4607</v>
      </c>
      <c r="I1196" s="7" t="s">
        <v>10689</v>
      </c>
    </row>
    <row r="1197">
      <c r="A1197" s="5" t="s">
        <v>6861</v>
      </c>
      <c r="B1197" s="5" t="s">
        <v>6862</v>
      </c>
      <c r="D1197" s="5" t="s">
        <v>1908</v>
      </c>
      <c r="E1197" s="5" t="s">
        <v>125</v>
      </c>
      <c r="F1197" s="5" t="s">
        <v>6577</v>
      </c>
      <c r="G1197" s="5" t="s">
        <v>4757</v>
      </c>
      <c r="H1197" s="5" t="s">
        <v>4607</v>
      </c>
      <c r="I1197" s="7" t="s">
        <v>6860</v>
      </c>
    </row>
    <row r="1198">
      <c r="A1198" s="5" t="s">
        <v>6886</v>
      </c>
      <c r="B1198" s="5" t="s">
        <v>5054</v>
      </c>
      <c r="D1198" s="5" t="s">
        <v>1908</v>
      </c>
      <c r="E1198" s="5" t="s">
        <v>354</v>
      </c>
      <c r="F1198" s="5" t="s">
        <v>6577</v>
      </c>
      <c r="G1198" s="5" t="s">
        <v>4757</v>
      </c>
      <c r="H1198" s="5" t="s">
        <v>4607</v>
      </c>
      <c r="I1198" s="7" t="s">
        <v>6885</v>
      </c>
    </row>
    <row r="1199">
      <c r="A1199" s="5" t="s">
        <v>6927</v>
      </c>
      <c r="B1199" s="5" t="s">
        <v>110</v>
      </c>
      <c r="D1199" s="5" t="s">
        <v>1908</v>
      </c>
      <c r="E1199" s="5" t="s">
        <v>697</v>
      </c>
      <c r="F1199" s="5" t="s">
        <v>6577</v>
      </c>
      <c r="G1199" s="5" t="s">
        <v>4757</v>
      </c>
      <c r="H1199" s="5" t="s">
        <v>4607</v>
      </c>
      <c r="I1199" s="7" t="s">
        <v>6926</v>
      </c>
    </row>
    <row r="1200">
      <c r="A1200" s="5" t="s">
        <v>7010</v>
      </c>
      <c r="B1200" s="5" t="s">
        <v>110</v>
      </c>
      <c r="D1200" s="5" t="s">
        <v>1908</v>
      </c>
      <c r="E1200" s="5" t="s">
        <v>2265</v>
      </c>
      <c r="F1200" s="5" t="s">
        <v>6577</v>
      </c>
      <c r="G1200" s="5" t="s">
        <v>4757</v>
      </c>
      <c r="H1200" s="5" t="s">
        <v>4607</v>
      </c>
      <c r="I1200" s="7" t="s">
        <v>7009</v>
      </c>
    </row>
    <row r="1201">
      <c r="A1201" s="5" t="s">
        <v>7046</v>
      </c>
      <c r="B1201" s="5" t="s">
        <v>110</v>
      </c>
      <c r="D1201" s="5" t="s">
        <v>1908</v>
      </c>
      <c r="E1201" s="5" t="s">
        <v>354</v>
      </c>
      <c r="F1201" s="5" t="s">
        <v>6577</v>
      </c>
      <c r="G1201" s="5" t="s">
        <v>4757</v>
      </c>
      <c r="H1201" s="5" t="s">
        <v>4607</v>
      </c>
      <c r="I1201" s="7" t="s">
        <v>7045</v>
      </c>
    </row>
    <row r="1202">
      <c r="A1202" s="5" t="s">
        <v>7076</v>
      </c>
      <c r="B1202" s="5" t="s">
        <v>7077</v>
      </c>
      <c r="D1202" s="5" t="s">
        <v>1908</v>
      </c>
      <c r="E1202" s="5" t="s">
        <v>500</v>
      </c>
      <c r="F1202" s="5" t="s">
        <v>6577</v>
      </c>
      <c r="G1202" s="5" t="s">
        <v>4757</v>
      </c>
      <c r="H1202" s="5" t="s">
        <v>4607</v>
      </c>
      <c r="I1202" s="17" t="s">
        <v>10690</v>
      </c>
    </row>
    <row r="1203">
      <c r="A1203" s="5" t="s">
        <v>2016</v>
      </c>
      <c r="B1203" s="5" t="s">
        <v>2017</v>
      </c>
      <c r="D1203" s="5" t="s">
        <v>1908</v>
      </c>
      <c r="E1203" s="5" t="s">
        <v>694</v>
      </c>
      <c r="F1203" s="5" t="s">
        <v>166</v>
      </c>
      <c r="G1203" s="5" t="s">
        <v>44</v>
      </c>
      <c r="H1203" s="5" t="s">
        <v>18</v>
      </c>
      <c r="I1203" s="17" t="s">
        <v>10691</v>
      </c>
    </row>
    <row r="1204">
      <c r="A1204" s="5" t="s">
        <v>9625</v>
      </c>
      <c r="B1204" s="5" t="s">
        <v>110</v>
      </c>
      <c r="D1204" s="5" t="s">
        <v>1908</v>
      </c>
      <c r="E1204" s="5" t="s">
        <v>455</v>
      </c>
      <c r="F1204" s="5" t="s">
        <v>6577</v>
      </c>
      <c r="G1204" s="5" t="s">
        <v>4757</v>
      </c>
      <c r="H1204" s="5" t="s">
        <v>4607</v>
      </c>
      <c r="I1204" s="7" t="s">
        <v>9624</v>
      </c>
    </row>
    <row r="1205">
      <c r="A1205" s="5" t="s">
        <v>9630</v>
      </c>
      <c r="B1205" s="5" t="s">
        <v>110</v>
      </c>
      <c r="D1205" s="5" t="s">
        <v>1908</v>
      </c>
      <c r="E1205" s="5" t="s">
        <v>207</v>
      </c>
      <c r="F1205" s="5" t="s">
        <v>6577</v>
      </c>
      <c r="G1205" s="5" t="s">
        <v>4757</v>
      </c>
      <c r="H1205" s="5" t="s">
        <v>4607</v>
      </c>
      <c r="I1205" s="7" t="s">
        <v>9629</v>
      </c>
    </row>
    <row r="1206">
      <c r="A1206" s="5" t="s">
        <v>9663</v>
      </c>
      <c r="B1206" s="5" t="s">
        <v>5341</v>
      </c>
      <c r="D1206" s="5" t="s">
        <v>1908</v>
      </c>
      <c r="E1206" s="5" t="s">
        <v>727</v>
      </c>
      <c r="F1206" s="5" t="s">
        <v>6577</v>
      </c>
      <c r="G1206" s="5" t="s">
        <v>4757</v>
      </c>
      <c r="H1206" s="5" t="s">
        <v>4607</v>
      </c>
      <c r="I1206" s="7" t="s">
        <v>9662</v>
      </c>
    </row>
    <row r="1207">
      <c r="A1207" s="5" t="s">
        <v>9748</v>
      </c>
      <c r="B1207" s="5" t="s">
        <v>5341</v>
      </c>
      <c r="D1207" s="5" t="s">
        <v>1908</v>
      </c>
      <c r="F1207" s="5" t="s">
        <v>6577</v>
      </c>
      <c r="G1207" s="5" t="s">
        <v>4757</v>
      </c>
      <c r="H1207" s="5" t="s">
        <v>4607</v>
      </c>
      <c r="I1207" s="7" t="s">
        <v>9747</v>
      </c>
    </row>
    <row r="1208">
      <c r="A1208" s="5" t="s">
        <v>1907</v>
      </c>
      <c r="B1208" s="5" t="s">
        <v>110</v>
      </c>
      <c r="C1208" s="5" t="s">
        <v>13</v>
      </c>
      <c r="D1208" s="5" t="s">
        <v>1908</v>
      </c>
      <c r="E1208" s="5" t="s">
        <v>165</v>
      </c>
      <c r="F1208" s="5" t="s">
        <v>37</v>
      </c>
      <c r="G1208" s="5" t="s">
        <v>38</v>
      </c>
      <c r="H1208" s="5" t="s">
        <v>18</v>
      </c>
      <c r="I1208" s="7" t="s">
        <v>1909</v>
      </c>
    </row>
    <row r="1209">
      <c r="A1209" s="5" t="s">
        <v>1910</v>
      </c>
      <c r="B1209" s="5" t="s">
        <v>110</v>
      </c>
      <c r="C1209" s="5" t="s">
        <v>13</v>
      </c>
      <c r="D1209" s="5" t="s">
        <v>1908</v>
      </c>
      <c r="E1209" s="5" t="s">
        <v>136</v>
      </c>
      <c r="F1209" s="5" t="s">
        <v>377</v>
      </c>
      <c r="G1209" s="5" t="s">
        <v>378</v>
      </c>
      <c r="H1209" s="5" t="s">
        <v>18</v>
      </c>
      <c r="I1209" s="7" t="s">
        <v>1911</v>
      </c>
    </row>
    <row r="1210">
      <c r="A1210" s="5" t="s">
        <v>1912</v>
      </c>
      <c r="B1210" s="5" t="s">
        <v>1913</v>
      </c>
      <c r="C1210" s="5" t="s">
        <v>13</v>
      </c>
      <c r="D1210" s="5" t="s">
        <v>1908</v>
      </c>
      <c r="E1210" s="5" t="s">
        <v>131</v>
      </c>
      <c r="F1210" s="5" t="s">
        <v>1914</v>
      </c>
      <c r="G1210" s="5" t="s">
        <v>378</v>
      </c>
      <c r="H1210" s="5" t="s">
        <v>18</v>
      </c>
      <c r="I1210" s="7" t="s">
        <v>10692</v>
      </c>
    </row>
    <row r="1211">
      <c r="A1211" s="5" t="s">
        <v>1916</v>
      </c>
      <c r="B1211" s="5" t="s">
        <v>110</v>
      </c>
      <c r="C1211" s="5" t="s">
        <v>13</v>
      </c>
      <c r="D1211" s="5" t="s">
        <v>1908</v>
      </c>
      <c r="E1211" s="5" t="s">
        <v>179</v>
      </c>
      <c r="F1211" s="5" t="s">
        <v>1917</v>
      </c>
      <c r="G1211" s="5" t="s">
        <v>44</v>
      </c>
      <c r="H1211" s="5" t="s">
        <v>18</v>
      </c>
      <c r="I1211" s="7" t="s">
        <v>1918</v>
      </c>
    </row>
    <row r="1212">
      <c r="A1212" s="5" t="s">
        <v>1919</v>
      </c>
      <c r="B1212" s="5" t="s">
        <v>1920</v>
      </c>
      <c r="C1212" s="5" t="s">
        <v>13</v>
      </c>
      <c r="D1212" s="5" t="s">
        <v>1908</v>
      </c>
      <c r="E1212" s="5" t="s">
        <v>1921</v>
      </c>
      <c r="F1212" s="5" t="s">
        <v>1922</v>
      </c>
      <c r="G1212" s="5" t="s">
        <v>44</v>
      </c>
      <c r="H1212" s="5" t="s">
        <v>18</v>
      </c>
      <c r="I1212" s="7" t="s">
        <v>1923</v>
      </c>
    </row>
    <row r="1213">
      <c r="A1213" s="5" t="s">
        <v>1924</v>
      </c>
      <c r="B1213" s="5" t="s">
        <v>1925</v>
      </c>
      <c r="C1213" s="5" t="s">
        <v>13</v>
      </c>
      <c r="D1213" s="5" t="s">
        <v>1908</v>
      </c>
      <c r="E1213" s="5" t="s">
        <v>585</v>
      </c>
      <c r="F1213" s="5" t="s">
        <v>122</v>
      </c>
      <c r="G1213" s="5" t="s">
        <v>44</v>
      </c>
      <c r="H1213" s="5" t="s">
        <v>18</v>
      </c>
      <c r="I1213" s="17" t="s">
        <v>10693</v>
      </c>
    </row>
    <row r="1214">
      <c r="A1214" s="5" t="s">
        <v>1927</v>
      </c>
      <c r="B1214" s="5" t="s">
        <v>110</v>
      </c>
      <c r="C1214" s="5" t="s">
        <v>13</v>
      </c>
      <c r="D1214" s="5" t="s">
        <v>1908</v>
      </c>
      <c r="E1214" s="5" t="s">
        <v>697</v>
      </c>
      <c r="F1214" s="5" t="s">
        <v>122</v>
      </c>
      <c r="G1214" s="5" t="s">
        <v>44</v>
      </c>
      <c r="H1214" s="5" t="s">
        <v>18</v>
      </c>
      <c r="I1214" s="7" t="s">
        <v>1928</v>
      </c>
    </row>
    <row r="1215">
      <c r="A1215" s="5" t="s">
        <v>1929</v>
      </c>
      <c r="B1215" s="5" t="s">
        <v>1930</v>
      </c>
      <c r="C1215" s="5" t="s">
        <v>13</v>
      </c>
      <c r="D1215" s="5" t="s">
        <v>1908</v>
      </c>
      <c r="E1215" s="5" t="s">
        <v>409</v>
      </c>
      <c r="F1215" s="5" t="s">
        <v>1931</v>
      </c>
      <c r="G1215" s="5" t="s">
        <v>44</v>
      </c>
      <c r="H1215" s="5" t="s">
        <v>18</v>
      </c>
      <c r="I1215" s="7" t="s">
        <v>1932</v>
      </c>
    </row>
    <row r="1216">
      <c r="A1216" s="5" t="s">
        <v>1933</v>
      </c>
      <c r="B1216" s="5" t="s">
        <v>1934</v>
      </c>
      <c r="C1216" s="5" t="s">
        <v>13</v>
      </c>
      <c r="D1216" s="5" t="s">
        <v>1908</v>
      </c>
      <c r="E1216" s="5" t="s">
        <v>691</v>
      </c>
      <c r="F1216" s="5" t="s">
        <v>1931</v>
      </c>
      <c r="G1216" s="5" t="s">
        <v>44</v>
      </c>
      <c r="H1216" s="5" t="s">
        <v>18</v>
      </c>
      <c r="I1216" s="7" t="s">
        <v>1935</v>
      </c>
    </row>
    <row r="1217">
      <c r="A1217" s="5" t="s">
        <v>1936</v>
      </c>
      <c r="B1217" s="5" t="s">
        <v>110</v>
      </c>
      <c r="C1217" s="5" t="s">
        <v>13</v>
      </c>
      <c r="D1217" s="5" t="s">
        <v>1908</v>
      </c>
      <c r="E1217" s="5" t="s">
        <v>727</v>
      </c>
      <c r="F1217" s="5" t="s">
        <v>218</v>
      </c>
      <c r="G1217" s="5" t="s">
        <v>219</v>
      </c>
      <c r="H1217" s="5" t="s">
        <v>18</v>
      </c>
      <c r="I1217" s="17" t="s">
        <v>10694</v>
      </c>
    </row>
    <row r="1218">
      <c r="A1218" s="5" t="s">
        <v>1938</v>
      </c>
      <c r="B1218" s="5" t="s">
        <v>1939</v>
      </c>
      <c r="C1218" s="5" t="s">
        <v>13</v>
      </c>
      <c r="D1218" s="5" t="s">
        <v>1908</v>
      </c>
      <c r="E1218" s="5" t="s">
        <v>399</v>
      </c>
      <c r="F1218" s="5" t="s">
        <v>433</v>
      </c>
      <c r="G1218" s="5" t="s">
        <v>44</v>
      </c>
      <c r="H1218" s="5" t="s">
        <v>18</v>
      </c>
      <c r="I1218" s="17" t="s">
        <v>10695</v>
      </c>
    </row>
    <row r="1219">
      <c r="A1219" s="5" t="s">
        <v>1941</v>
      </c>
      <c r="B1219" s="5" t="s">
        <v>1942</v>
      </c>
      <c r="C1219" s="5" t="s">
        <v>13</v>
      </c>
      <c r="D1219" s="5" t="s">
        <v>1908</v>
      </c>
      <c r="E1219" s="5" t="s">
        <v>446</v>
      </c>
      <c r="F1219" s="5" t="s">
        <v>433</v>
      </c>
      <c r="G1219" s="5" t="s">
        <v>44</v>
      </c>
      <c r="H1219" s="5" t="s">
        <v>18</v>
      </c>
      <c r="I1219" s="17" t="s">
        <v>10696</v>
      </c>
    </row>
    <row r="1220">
      <c r="A1220" s="5" t="s">
        <v>1944</v>
      </c>
      <c r="B1220" s="5" t="s">
        <v>1945</v>
      </c>
      <c r="C1220" s="5" t="s">
        <v>13</v>
      </c>
      <c r="D1220" s="5" t="s">
        <v>1908</v>
      </c>
      <c r="E1220" s="5" t="s">
        <v>496</v>
      </c>
      <c r="F1220" s="5" t="s">
        <v>137</v>
      </c>
      <c r="G1220" s="5" t="s">
        <v>137</v>
      </c>
      <c r="H1220" s="5" t="s">
        <v>18</v>
      </c>
      <c r="I1220" s="17" t="s">
        <v>10697</v>
      </c>
    </row>
    <row r="1221">
      <c r="A1221" s="5" t="s">
        <v>1947</v>
      </c>
      <c r="B1221" s="5" t="s">
        <v>110</v>
      </c>
      <c r="C1221" s="5" t="s">
        <v>13</v>
      </c>
      <c r="D1221" s="5" t="s">
        <v>1908</v>
      </c>
      <c r="E1221" s="5" t="s">
        <v>1634</v>
      </c>
      <c r="F1221" s="5" t="s">
        <v>137</v>
      </c>
      <c r="G1221" s="5" t="s">
        <v>137</v>
      </c>
      <c r="H1221" s="5" t="s">
        <v>18</v>
      </c>
      <c r="I1221" s="7" t="s">
        <v>1948</v>
      </c>
    </row>
    <row r="1222">
      <c r="A1222" s="5" t="s">
        <v>1949</v>
      </c>
      <c r="B1222" s="5" t="s">
        <v>110</v>
      </c>
      <c r="C1222" s="5" t="s">
        <v>13</v>
      </c>
      <c r="D1222" s="5" t="s">
        <v>1908</v>
      </c>
      <c r="E1222" s="5" t="s">
        <v>1950</v>
      </c>
      <c r="F1222" s="5" t="s">
        <v>137</v>
      </c>
      <c r="G1222" s="5" t="s">
        <v>137</v>
      </c>
      <c r="H1222" s="5" t="s">
        <v>18</v>
      </c>
      <c r="I1222" s="7" t="s">
        <v>1951</v>
      </c>
    </row>
    <row r="1223">
      <c r="A1223" s="5" t="s">
        <v>1952</v>
      </c>
      <c r="B1223" s="5" t="s">
        <v>110</v>
      </c>
      <c r="C1223" s="5" t="s">
        <v>13</v>
      </c>
      <c r="D1223" s="5" t="s">
        <v>1908</v>
      </c>
      <c r="E1223" s="5" t="s">
        <v>68</v>
      </c>
      <c r="F1223" s="5" t="s">
        <v>137</v>
      </c>
      <c r="G1223" s="5" t="s">
        <v>137</v>
      </c>
      <c r="H1223" s="5" t="s">
        <v>18</v>
      </c>
      <c r="I1223" s="7" t="s">
        <v>1953</v>
      </c>
    </row>
    <row r="1224">
      <c r="A1224" s="5" t="s">
        <v>1954</v>
      </c>
      <c r="B1224" s="5" t="s">
        <v>1955</v>
      </c>
      <c r="C1224" s="5" t="s">
        <v>13</v>
      </c>
      <c r="D1224" s="5" t="s">
        <v>1908</v>
      </c>
      <c r="E1224" s="5" t="s">
        <v>182</v>
      </c>
      <c r="F1224" s="5" t="s">
        <v>137</v>
      </c>
      <c r="G1224" s="5" t="s">
        <v>137</v>
      </c>
      <c r="H1224" s="5" t="s">
        <v>18</v>
      </c>
      <c r="I1224" s="7" t="s">
        <v>10698</v>
      </c>
    </row>
    <row r="1225">
      <c r="A1225" s="5" t="s">
        <v>1957</v>
      </c>
      <c r="B1225" s="5" t="s">
        <v>110</v>
      </c>
      <c r="C1225" s="5" t="s">
        <v>13</v>
      </c>
      <c r="D1225" s="5" t="s">
        <v>1908</v>
      </c>
      <c r="E1225" s="5" t="s">
        <v>100</v>
      </c>
      <c r="F1225" s="5" t="s">
        <v>137</v>
      </c>
      <c r="G1225" s="5" t="s">
        <v>137</v>
      </c>
      <c r="H1225" s="5" t="s">
        <v>18</v>
      </c>
      <c r="I1225" s="7" t="s">
        <v>1958</v>
      </c>
    </row>
    <row r="1226">
      <c r="A1226" s="5" t="s">
        <v>1959</v>
      </c>
      <c r="B1226" s="5" t="s">
        <v>25</v>
      </c>
      <c r="C1226" s="5" t="s">
        <v>13</v>
      </c>
      <c r="D1226" s="5" t="s">
        <v>1908</v>
      </c>
      <c r="E1226" s="5" t="s">
        <v>901</v>
      </c>
      <c r="F1226" s="5" t="s">
        <v>1960</v>
      </c>
      <c r="G1226" s="5" t="s">
        <v>1961</v>
      </c>
      <c r="H1226" s="5" t="s">
        <v>18</v>
      </c>
      <c r="I1226" s="7" t="s">
        <v>1962</v>
      </c>
    </row>
    <row r="1227">
      <c r="A1227" s="5" t="s">
        <v>1963</v>
      </c>
      <c r="B1227" s="5" t="s">
        <v>1964</v>
      </c>
      <c r="C1227" s="5" t="s">
        <v>13</v>
      </c>
      <c r="D1227" s="5" t="s">
        <v>1908</v>
      </c>
      <c r="E1227" s="5" t="s">
        <v>1123</v>
      </c>
      <c r="F1227" s="5" t="s">
        <v>1965</v>
      </c>
      <c r="G1227" s="5" t="s">
        <v>44</v>
      </c>
      <c r="H1227" s="5" t="s">
        <v>18</v>
      </c>
      <c r="I1227" s="7" t="s">
        <v>1966</v>
      </c>
    </row>
    <row r="1228">
      <c r="A1228" s="5" t="s">
        <v>1967</v>
      </c>
      <c r="B1228" s="5" t="s">
        <v>1968</v>
      </c>
      <c r="C1228" s="5" t="s">
        <v>13</v>
      </c>
      <c r="D1228" s="5" t="s">
        <v>1908</v>
      </c>
      <c r="E1228" s="5" t="s">
        <v>691</v>
      </c>
      <c r="F1228" s="5" t="s">
        <v>1969</v>
      </c>
      <c r="G1228" s="5" t="s">
        <v>44</v>
      </c>
      <c r="H1228" s="5" t="s">
        <v>18</v>
      </c>
      <c r="I1228" s="7" t="s">
        <v>1970</v>
      </c>
    </row>
    <row r="1229">
      <c r="A1229" s="5" t="s">
        <v>1971</v>
      </c>
      <c r="B1229" s="5" t="s">
        <v>1972</v>
      </c>
      <c r="C1229" s="5" t="s">
        <v>13</v>
      </c>
      <c r="D1229" s="5" t="s">
        <v>1908</v>
      </c>
      <c r="E1229" s="5" t="s">
        <v>68</v>
      </c>
      <c r="F1229" s="5" t="s">
        <v>166</v>
      </c>
      <c r="G1229" s="5" t="s">
        <v>44</v>
      </c>
      <c r="H1229" s="5" t="s">
        <v>18</v>
      </c>
      <c r="I1229" s="17" t="s">
        <v>10699</v>
      </c>
    </row>
    <row r="1230">
      <c r="A1230" s="5" t="s">
        <v>1974</v>
      </c>
      <c r="B1230" s="5" t="s">
        <v>1939</v>
      </c>
      <c r="C1230" s="5" t="s">
        <v>13</v>
      </c>
      <c r="D1230" s="5" t="s">
        <v>1908</v>
      </c>
      <c r="E1230" s="5" t="s">
        <v>512</v>
      </c>
      <c r="F1230" s="5" t="s">
        <v>166</v>
      </c>
      <c r="G1230" s="5" t="s">
        <v>44</v>
      </c>
      <c r="H1230" s="5" t="s">
        <v>18</v>
      </c>
      <c r="I1230" s="17" t="s">
        <v>10700</v>
      </c>
    </row>
    <row r="1231">
      <c r="A1231" s="5" t="s">
        <v>1976</v>
      </c>
      <c r="B1231" s="5" t="s">
        <v>110</v>
      </c>
      <c r="C1231" s="5" t="s">
        <v>13</v>
      </c>
      <c r="D1231" s="5" t="s">
        <v>1908</v>
      </c>
      <c r="E1231" s="5" t="s">
        <v>585</v>
      </c>
      <c r="F1231" s="5" t="s">
        <v>166</v>
      </c>
      <c r="G1231" s="5" t="s">
        <v>44</v>
      </c>
      <c r="H1231" s="5" t="s">
        <v>18</v>
      </c>
      <c r="I1231" s="7" t="s">
        <v>1977</v>
      </c>
    </row>
    <row r="1232">
      <c r="A1232" s="5" t="s">
        <v>1978</v>
      </c>
      <c r="B1232" s="5" t="s">
        <v>1979</v>
      </c>
      <c r="C1232" s="5" t="s">
        <v>13</v>
      </c>
      <c r="D1232" s="5" t="s">
        <v>1908</v>
      </c>
      <c r="E1232" s="5" t="s">
        <v>1729</v>
      </c>
      <c r="F1232" s="5" t="s">
        <v>166</v>
      </c>
      <c r="G1232" s="5" t="s">
        <v>44</v>
      </c>
      <c r="H1232" s="5" t="s">
        <v>18</v>
      </c>
      <c r="I1232" s="7" t="s">
        <v>10701</v>
      </c>
    </row>
    <row r="1233">
      <c r="A1233" s="5" t="s">
        <v>1981</v>
      </c>
      <c r="B1233" s="5" t="s">
        <v>1982</v>
      </c>
      <c r="C1233" s="5" t="s">
        <v>13</v>
      </c>
      <c r="D1233" s="5" t="s">
        <v>1908</v>
      </c>
      <c r="E1233" s="5" t="s">
        <v>697</v>
      </c>
      <c r="F1233" s="5" t="s">
        <v>166</v>
      </c>
      <c r="G1233" s="5" t="s">
        <v>44</v>
      </c>
      <c r="H1233" s="5" t="s">
        <v>18</v>
      </c>
      <c r="I1233" s="7" t="s">
        <v>1983</v>
      </c>
    </row>
    <row r="1234">
      <c r="A1234" s="5" t="s">
        <v>1984</v>
      </c>
      <c r="B1234" s="5" t="s">
        <v>1985</v>
      </c>
      <c r="C1234" s="5" t="s">
        <v>13</v>
      </c>
      <c r="D1234" s="5" t="s">
        <v>1908</v>
      </c>
      <c r="E1234" s="5" t="s">
        <v>727</v>
      </c>
      <c r="F1234" s="5" t="s">
        <v>166</v>
      </c>
      <c r="G1234" s="5" t="s">
        <v>44</v>
      </c>
      <c r="H1234" s="5" t="s">
        <v>18</v>
      </c>
      <c r="I1234" s="17" t="s">
        <v>10702</v>
      </c>
    </row>
    <row r="1235">
      <c r="A1235" s="5" t="s">
        <v>1987</v>
      </c>
      <c r="B1235" s="5" t="s">
        <v>110</v>
      </c>
      <c r="C1235" s="5" t="s">
        <v>13</v>
      </c>
      <c r="D1235" s="5" t="s">
        <v>1908</v>
      </c>
      <c r="E1235" s="5" t="s">
        <v>1282</v>
      </c>
      <c r="F1235" s="5" t="s">
        <v>166</v>
      </c>
      <c r="G1235" s="5" t="s">
        <v>44</v>
      </c>
      <c r="H1235" s="5" t="s">
        <v>18</v>
      </c>
      <c r="I1235" s="7" t="s">
        <v>1988</v>
      </c>
    </row>
    <row r="1236">
      <c r="A1236" s="5" t="s">
        <v>1989</v>
      </c>
      <c r="B1236" s="5" t="s">
        <v>1990</v>
      </c>
      <c r="C1236" s="5" t="s">
        <v>13</v>
      </c>
      <c r="D1236" s="5" t="s">
        <v>1908</v>
      </c>
      <c r="E1236" s="5" t="s">
        <v>585</v>
      </c>
      <c r="F1236" s="5" t="s">
        <v>166</v>
      </c>
      <c r="G1236" s="5" t="s">
        <v>44</v>
      </c>
      <c r="H1236" s="5" t="s">
        <v>18</v>
      </c>
      <c r="I1236" s="17" t="s">
        <v>10703</v>
      </c>
    </row>
    <row r="1237">
      <c r="A1237" s="5" t="s">
        <v>1992</v>
      </c>
      <c r="B1237" s="5" t="s">
        <v>1939</v>
      </c>
      <c r="C1237" s="5" t="s">
        <v>13</v>
      </c>
      <c r="D1237" s="5" t="s">
        <v>1908</v>
      </c>
      <c r="E1237" s="5" t="s">
        <v>1993</v>
      </c>
      <c r="F1237" s="5" t="s">
        <v>166</v>
      </c>
      <c r="G1237" s="5" t="s">
        <v>44</v>
      </c>
      <c r="H1237" s="5" t="s">
        <v>18</v>
      </c>
      <c r="I1237" s="17" t="s">
        <v>10704</v>
      </c>
    </row>
    <row r="1238">
      <c r="A1238" s="5" t="s">
        <v>1995</v>
      </c>
      <c r="B1238" s="5" t="s">
        <v>1996</v>
      </c>
      <c r="C1238" s="5" t="s">
        <v>13</v>
      </c>
      <c r="D1238" s="5" t="s">
        <v>1908</v>
      </c>
      <c r="E1238" s="5" t="s">
        <v>579</v>
      </c>
      <c r="F1238" s="5" t="s">
        <v>166</v>
      </c>
      <c r="G1238" s="5" t="s">
        <v>44</v>
      </c>
      <c r="H1238" s="5" t="s">
        <v>18</v>
      </c>
      <c r="I1238" s="17" t="s">
        <v>10705</v>
      </c>
    </row>
    <row r="1239">
      <c r="A1239" s="5" t="s">
        <v>1998</v>
      </c>
      <c r="B1239" s="5" t="s">
        <v>110</v>
      </c>
      <c r="C1239" s="5" t="s">
        <v>13</v>
      </c>
      <c r="D1239" s="5" t="s">
        <v>1908</v>
      </c>
      <c r="E1239" s="5" t="s">
        <v>165</v>
      </c>
      <c r="F1239" s="5" t="s">
        <v>166</v>
      </c>
      <c r="G1239" s="5" t="s">
        <v>44</v>
      </c>
      <c r="H1239" s="5" t="s">
        <v>18</v>
      </c>
      <c r="I1239" s="7" t="s">
        <v>1999</v>
      </c>
    </row>
    <row r="1240">
      <c r="A1240" s="5" t="s">
        <v>2000</v>
      </c>
      <c r="B1240" s="5" t="s">
        <v>1996</v>
      </c>
      <c r="C1240" s="5" t="s">
        <v>13</v>
      </c>
      <c r="D1240" s="5" t="s">
        <v>1908</v>
      </c>
      <c r="E1240" s="5" t="s">
        <v>84</v>
      </c>
      <c r="F1240" s="5" t="s">
        <v>166</v>
      </c>
      <c r="G1240" s="5" t="s">
        <v>44</v>
      </c>
      <c r="H1240" s="5" t="s">
        <v>18</v>
      </c>
      <c r="I1240" s="17" t="s">
        <v>10706</v>
      </c>
    </row>
    <row r="1241">
      <c r="A1241" s="5" t="s">
        <v>2002</v>
      </c>
      <c r="B1241" s="5" t="s">
        <v>110</v>
      </c>
      <c r="C1241" s="5" t="s">
        <v>13</v>
      </c>
      <c r="D1241" s="5" t="s">
        <v>1908</v>
      </c>
      <c r="E1241" s="5" t="s">
        <v>179</v>
      </c>
      <c r="F1241" s="5" t="s">
        <v>166</v>
      </c>
      <c r="G1241" s="5" t="s">
        <v>44</v>
      </c>
      <c r="H1241" s="5" t="s">
        <v>18</v>
      </c>
      <c r="I1241" s="7" t="s">
        <v>2003</v>
      </c>
    </row>
    <row r="1242">
      <c r="A1242" s="5" t="s">
        <v>2004</v>
      </c>
      <c r="B1242" s="5" t="s">
        <v>110</v>
      </c>
      <c r="C1242" s="5" t="s">
        <v>13</v>
      </c>
      <c r="D1242" s="5" t="s">
        <v>1908</v>
      </c>
      <c r="E1242" s="5" t="s">
        <v>125</v>
      </c>
      <c r="F1242" s="5" t="s">
        <v>166</v>
      </c>
      <c r="G1242" s="5" t="s">
        <v>44</v>
      </c>
      <c r="H1242" s="5" t="s">
        <v>18</v>
      </c>
      <c r="I1242" s="7" t="s">
        <v>2005</v>
      </c>
    </row>
    <row r="1243">
      <c r="A1243" s="5" t="s">
        <v>2006</v>
      </c>
      <c r="B1243" s="5" t="s">
        <v>110</v>
      </c>
      <c r="C1243" s="5" t="s">
        <v>13</v>
      </c>
      <c r="D1243" s="5" t="s">
        <v>1908</v>
      </c>
      <c r="E1243" s="5" t="s">
        <v>179</v>
      </c>
      <c r="F1243" s="5" t="s">
        <v>166</v>
      </c>
      <c r="G1243" s="5" t="s">
        <v>44</v>
      </c>
      <c r="H1243" s="5" t="s">
        <v>18</v>
      </c>
      <c r="I1243" s="7" t="s">
        <v>2007</v>
      </c>
    </row>
    <row r="1244">
      <c r="A1244" s="5" t="s">
        <v>2008</v>
      </c>
      <c r="B1244" s="5" t="s">
        <v>2009</v>
      </c>
      <c r="C1244" s="5" t="s">
        <v>13</v>
      </c>
      <c r="D1244" s="5" t="s">
        <v>1908</v>
      </c>
      <c r="E1244" s="5" t="s">
        <v>697</v>
      </c>
      <c r="F1244" s="5" t="s">
        <v>166</v>
      </c>
      <c r="G1244" s="5" t="s">
        <v>44</v>
      </c>
      <c r="H1244" s="5" t="s">
        <v>18</v>
      </c>
      <c r="I1244" s="7" t="s">
        <v>2010</v>
      </c>
    </row>
    <row r="1245">
      <c r="A1245" s="5" t="s">
        <v>2011</v>
      </c>
      <c r="B1245" s="5" t="s">
        <v>1939</v>
      </c>
      <c r="C1245" s="5" t="s">
        <v>13</v>
      </c>
      <c r="D1245" s="5" t="s">
        <v>1908</v>
      </c>
      <c r="E1245" s="5" t="s">
        <v>1880</v>
      </c>
      <c r="F1245" s="5" t="s">
        <v>166</v>
      </c>
      <c r="G1245" s="5" t="s">
        <v>44</v>
      </c>
      <c r="H1245" s="5" t="s">
        <v>18</v>
      </c>
      <c r="I1245" s="17" t="s">
        <v>10707</v>
      </c>
    </row>
    <row r="1246">
      <c r="A1246" s="5" t="s">
        <v>2013</v>
      </c>
      <c r="B1246" s="5" t="s">
        <v>2014</v>
      </c>
      <c r="C1246" s="5" t="s">
        <v>13</v>
      </c>
      <c r="D1246" s="5" t="s">
        <v>1908</v>
      </c>
      <c r="E1246" s="5" t="s">
        <v>84</v>
      </c>
      <c r="F1246" s="5" t="s">
        <v>166</v>
      </c>
      <c r="G1246" s="5" t="s">
        <v>44</v>
      </c>
      <c r="H1246" s="5" t="s">
        <v>18</v>
      </c>
      <c r="I1246" s="17" t="s">
        <v>10708</v>
      </c>
    </row>
    <row r="1247">
      <c r="A1247" s="5" t="s">
        <v>2016</v>
      </c>
      <c r="B1247" s="5" t="s">
        <v>2017</v>
      </c>
      <c r="C1247" s="5" t="s">
        <v>13</v>
      </c>
      <c r="D1247" s="5" t="s">
        <v>1908</v>
      </c>
      <c r="E1247" s="5" t="s">
        <v>694</v>
      </c>
      <c r="F1247" s="5" t="s">
        <v>166</v>
      </c>
      <c r="G1247" s="5" t="s">
        <v>44</v>
      </c>
      <c r="H1247" s="5" t="s">
        <v>18</v>
      </c>
      <c r="I1247" s="17" t="s">
        <v>10709</v>
      </c>
    </row>
    <row r="1248">
      <c r="A1248" s="5" t="s">
        <v>2019</v>
      </c>
      <c r="B1248" s="5" t="s">
        <v>2020</v>
      </c>
      <c r="C1248" s="5" t="s">
        <v>13</v>
      </c>
      <c r="D1248" s="5" t="s">
        <v>1908</v>
      </c>
      <c r="E1248" s="5" t="s">
        <v>331</v>
      </c>
      <c r="F1248" s="5" t="s">
        <v>166</v>
      </c>
      <c r="G1248" s="5" t="s">
        <v>44</v>
      </c>
      <c r="H1248" s="5" t="s">
        <v>18</v>
      </c>
      <c r="I1248" s="7" t="s">
        <v>2021</v>
      </c>
    </row>
    <row r="1249">
      <c r="A1249" s="5" t="s">
        <v>2022</v>
      </c>
      <c r="B1249" s="5" t="s">
        <v>110</v>
      </c>
      <c r="C1249" s="5" t="s">
        <v>13</v>
      </c>
      <c r="D1249" s="5" t="s">
        <v>1908</v>
      </c>
      <c r="E1249" s="5" t="s">
        <v>716</v>
      </c>
      <c r="F1249" s="5" t="s">
        <v>166</v>
      </c>
      <c r="G1249" s="5" t="s">
        <v>44</v>
      </c>
      <c r="H1249" s="5" t="s">
        <v>18</v>
      </c>
      <c r="I1249" s="7" t="s">
        <v>2023</v>
      </c>
    </row>
    <row r="1250">
      <c r="A1250" s="5" t="s">
        <v>2024</v>
      </c>
      <c r="B1250" s="5" t="s">
        <v>110</v>
      </c>
      <c r="C1250" s="5" t="s">
        <v>13</v>
      </c>
      <c r="D1250" s="5" t="s">
        <v>1908</v>
      </c>
      <c r="E1250" s="5" t="s">
        <v>1538</v>
      </c>
      <c r="F1250" s="5" t="s">
        <v>166</v>
      </c>
      <c r="G1250" s="5" t="s">
        <v>44</v>
      </c>
      <c r="H1250" s="5" t="s">
        <v>18</v>
      </c>
      <c r="I1250" s="7" t="s">
        <v>2025</v>
      </c>
    </row>
    <row r="1251">
      <c r="A1251" s="5" t="s">
        <v>2026</v>
      </c>
      <c r="B1251" s="5" t="s">
        <v>110</v>
      </c>
      <c r="C1251" s="5" t="s">
        <v>13</v>
      </c>
      <c r="D1251" s="5" t="s">
        <v>1908</v>
      </c>
      <c r="E1251" s="5" t="s">
        <v>526</v>
      </c>
      <c r="F1251" s="5" t="s">
        <v>166</v>
      </c>
      <c r="G1251" s="5" t="s">
        <v>44</v>
      </c>
      <c r="H1251" s="5" t="s">
        <v>18</v>
      </c>
      <c r="I1251" s="7" t="s">
        <v>2027</v>
      </c>
    </row>
    <row r="1252">
      <c r="A1252" s="5" t="s">
        <v>2028</v>
      </c>
      <c r="B1252" s="5" t="s">
        <v>2029</v>
      </c>
      <c r="C1252" s="5" t="s">
        <v>13</v>
      </c>
      <c r="D1252" s="5" t="s">
        <v>1908</v>
      </c>
      <c r="E1252" s="5" t="s">
        <v>15</v>
      </c>
      <c r="F1252" s="5" t="s">
        <v>169</v>
      </c>
      <c r="G1252" s="5" t="s">
        <v>44</v>
      </c>
      <c r="H1252" s="5" t="s">
        <v>18</v>
      </c>
      <c r="I1252" s="7" t="s">
        <v>10710</v>
      </c>
    </row>
    <row r="1253">
      <c r="A1253" s="5" t="s">
        <v>2031</v>
      </c>
      <c r="B1253" s="5" t="s">
        <v>110</v>
      </c>
      <c r="C1253" s="5" t="s">
        <v>13</v>
      </c>
      <c r="D1253" s="5" t="s">
        <v>1908</v>
      </c>
      <c r="E1253" s="5" t="s">
        <v>2032</v>
      </c>
      <c r="F1253" s="5" t="s">
        <v>169</v>
      </c>
      <c r="G1253" s="5" t="s">
        <v>44</v>
      </c>
      <c r="H1253" s="5" t="s">
        <v>18</v>
      </c>
      <c r="I1253" s="7" t="s">
        <v>2033</v>
      </c>
    </row>
    <row r="1254">
      <c r="A1254" s="5" t="s">
        <v>2034</v>
      </c>
      <c r="B1254" s="5" t="s">
        <v>110</v>
      </c>
      <c r="C1254" s="5" t="s">
        <v>13</v>
      </c>
      <c r="D1254" s="5" t="s">
        <v>1908</v>
      </c>
      <c r="E1254" s="5" t="s">
        <v>2035</v>
      </c>
      <c r="F1254" s="5" t="s">
        <v>169</v>
      </c>
      <c r="G1254" s="5" t="s">
        <v>44</v>
      </c>
      <c r="H1254" s="5" t="s">
        <v>18</v>
      </c>
      <c r="I1254" s="7" t="s">
        <v>2036</v>
      </c>
    </row>
    <row r="1255">
      <c r="A1255" s="5" t="s">
        <v>2037</v>
      </c>
      <c r="B1255" s="5" t="s">
        <v>110</v>
      </c>
      <c r="C1255" s="5" t="s">
        <v>13</v>
      </c>
      <c r="D1255" s="5" t="s">
        <v>1908</v>
      </c>
      <c r="E1255" s="5" t="s">
        <v>2035</v>
      </c>
      <c r="F1255" s="5" t="s">
        <v>169</v>
      </c>
      <c r="G1255" s="5" t="s">
        <v>44</v>
      </c>
      <c r="H1255" s="5" t="s">
        <v>18</v>
      </c>
      <c r="I1255" s="7" t="s">
        <v>2038</v>
      </c>
    </row>
    <row r="1256">
      <c r="A1256" s="5" t="s">
        <v>2039</v>
      </c>
      <c r="B1256" s="5" t="s">
        <v>110</v>
      </c>
      <c r="C1256" s="5" t="s">
        <v>13</v>
      </c>
      <c r="D1256" s="5" t="s">
        <v>1908</v>
      </c>
      <c r="E1256" s="5" t="s">
        <v>331</v>
      </c>
      <c r="F1256" s="5" t="s">
        <v>169</v>
      </c>
      <c r="G1256" s="5" t="s">
        <v>44</v>
      </c>
      <c r="H1256" s="5" t="s">
        <v>18</v>
      </c>
      <c r="I1256" s="7" t="s">
        <v>2040</v>
      </c>
    </row>
    <row r="1257">
      <c r="A1257" s="5" t="s">
        <v>2041</v>
      </c>
      <c r="B1257" s="5" t="s">
        <v>110</v>
      </c>
      <c r="C1257" s="5" t="s">
        <v>13</v>
      </c>
      <c r="D1257" s="5" t="s">
        <v>1908</v>
      </c>
      <c r="E1257" s="5" t="s">
        <v>42</v>
      </c>
      <c r="F1257" s="5" t="s">
        <v>2042</v>
      </c>
      <c r="G1257" s="5" t="s">
        <v>44</v>
      </c>
      <c r="H1257" s="5" t="s">
        <v>18</v>
      </c>
      <c r="I1257" s="7" t="s">
        <v>2043</v>
      </c>
    </row>
    <row r="1258">
      <c r="A1258" s="5" t="s">
        <v>2044</v>
      </c>
      <c r="B1258" s="5" t="s">
        <v>1985</v>
      </c>
      <c r="C1258" s="5" t="s">
        <v>13</v>
      </c>
      <c r="D1258" s="5" t="s">
        <v>1908</v>
      </c>
      <c r="E1258" s="5" t="s">
        <v>213</v>
      </c>
      <c r="F1258" s="5" t="s">
        <v>485</v>
      </c>
      <c r="G1258" s="5" t="s">
        <v>44</v>
      </c>
      <c r="H1258" s="5" t="s">
        <v>18</v>
      </c>
      <c r="I1258" s="17" t="s">
        <v>10711</v>
      </c>
    </row>
    <row r="1259">
      <c r="A1259" s="5" t="s">
        <v>2046</v>
      </c>
      <c r="B1259" s="5" t="s">
        <v>1945</v>
      </c>
      <c r="C1259" s="5" t="s">
        <v>13</v>
      </c>
      <c r="D1259" s="5" t="s">
        <v>1908</v>
      </c>
      <c r="E1259" s="5" t="s">
        <v>512</v>
      </c>
      <c r="F1259" s="5" t="s">
        <v>2047</v>
      </c>
      <c r="G1259" s="5" t="s">
        <v>44</v>
      </c>
      <c r="H1259" s="5" t="s">
        <v>18</v>
      </c>
      <c r="I1259" s="17" t="s">
        <v>10712</v>
      </c>
    </row>
    <row r="1260">
      <c r="A1260" s="5" t="s">
        <v>2049</v>
      </c>
      <c r="B1260" s="5" t="s">
        <v>110</v>
      </c>
      <c r="C1260" s="5" t="s">
        <v>13</v>
      </c>
      <c r="D1260" s="5" t="s">
        <v>1908</v>
      </c>
      <c r="E1260" s="5" t="s">
        <v>712</v>
      </c>
      <c r="F1260" s="5" t="s">
        <v>2047</v>
      </c>
      <c r="G1260" s="5" t="s">
        <v>44</v>
      </c>
      <c r="H1260" s="5" t="s">
        <v>18</v>
      </c>
      <c r="I1260" s="7" t="s">
        <v>2050</v>
      </c>
    </row>
    <row r="1261">
      <c r="A1261" s="5" t="s">
        <v>2051</v>
      </c>
      <c r="B1261" s="5" t="s">
        <v>2052</v>
      </c>
      <c r="C1261" s="5" t="s">
        <v>13</v>
      </c>
      <c r="D1261" s="5" t="s">
        <v>1908</v>
      </c>
      <c r="E1261" s="5" t="s">
        <v>512</v>
      </c>
      <c r="F1261" s="5" t="s">
        <v>311</v>
      </c>
      <c r="G1261" s="5" t="s">
        <v>102</v>
      </c>
      <c r="H1261" s="5" t="s">
        <v>18</v>
      </c>
      <c r="I1261" s="7" t="s">
        <v>10713</v>
      </c>
    </row>
    <row r="1262">
      <c r="A1262" s="5" t="s">
        <v>2054</v>
      </c>
      <c r="B1262" s="5" t="s">
        <v>110</v>
      </c>
      <c r="C1262" s="5" t="s">
        <v>13</v>
      </c>
      <c r="D1262" s="5" t="s">
        <v>1908</v>
      </c>
      <c r="E1262" s="5" t="s">
        <v>15</v>
      </c>
      <c r="F1262" s="5" t="s">
        <v>311</v>
      </c>
      <c r="G1262" s="5" t="s">
        <v>102</v>
      </c>
      <c r="H1262" s="5" t="s">
        <v>18</v>
      </c>
      <c r="I1262" s="7" t="s">
        <v>2055</v>
      </c>
    </row>
    <row r="1263">
      <c r="A1263" s="5" t="s">
        <v>2056</v>
      </c>
      <c r="B1263" s="5" t="s">
        <v>2057</v>
      </c>
      <c r="C1263" s="5" t="s">
        <v>13</v>
      </c>
      <c r="D1263" s="5" t="s">
        <v>1908</v>
      </c>
      <c r="E1263" s="5" t="s">
        <v>136</v>
      </c>
      <c r="F1263" s="5" t="s">
        <v>311</v>
      </c>
      <c r="G1263" s="5" t="s">
        <v>102</v>
      </c>
      <c r="H1263" s="5" t="s">
        <v>18</v>
      </c>
      <c r="I1263" s="17" t="s">
        <v>10714</v>
      </c>
    </row>
    <row r="1264">
      <c r="A1264" s="5" t="s">
        <v>2059</v>
      </c>
      <c r="B1264" s="5" t="s">
        <v>2060</v>
      </c>
      <c r="C1264" s="5" t="s">
        <v>13</v>
      </c>
      <c r="D1264" s="5" t="s">
        <v>1908</v>
      </c>
      <c r="E1264" s="5" t="s">
        <v>182</v>
      </c>
      <c r="F1264" s="5" t="s">
        <v>311</v>
      </c>
      <c r="G1264" s="5" t="s">
        <v>102</v>
      </c>
      <c r="H1264" s="5" t="s">
        <v>18</v>
      </c>
      <c r="I1264" s="7" t="s">
        <v>2061</v>
      </c>
    </row>
    <row r="1265">
      <c r="A1265" s="5" t="s">
        <v>2062</v>
      </c>
      <c r="B1265" s="5" t="s">
        <v>110</v>
      </c>
      <c r="C1265" s="5" t="s">
        <v>13</v>
      </c>
      <c r="D1265" s="5" t="s">
        <v>1908</v>
      </c>
      <c r="E1265" s="5" t="s">
        <v>418</v>
      </c>
      <c r="F1265" s="5" t="s">
        <v>311</v>
      </c>
      <c r="G1265" s="5" t="s">
        <v>102</v>
      </c>
      <c r="H1265" s="5" t="s">
        <v>18</v>
      </c>
      <c r="I1265" s="7" t="s">
        <v>2063</v>
      </c>
    </row>
    <row r="1266">
      <c r="A1266" s="5" t="s">
        <v>2064</v>
      </c>
      <c r="B1266" s="5" t="s">
        <v>2065</v>
      </c>
      <c r="C1266" s="5" t="s">
        <v>13</v>
      </c>
      <c r="D1266" s="5" t="s">
        <v>1908</v>
      </c>
      <c r="E1266" s="5" t="s">
        <v>207</v>
      </c>
      <c r="F1266" s="5" t="s">
        <v>311</v>
      </c>
      <c r="G1266" s="5" t="s">
        <v>102</v>
      </c>
      <c r="H1266" s="5" t="s">
        <v>18</v>
      </c>
      <c r="I1266" s="17" t="s">
        <v>10715</v>
      </c>
    </row>
    <row r="1267">
      <c r="A1267" s="5" t="s">
        <v>2067</v>
      </c>
      <c r="B1267" s="5" t="s">
        <v>2068</v>
      </c>
      <c r="C1267" s="5" t="s">
        <v>13</v>
      </c>
      <c r="D1267" s="5" t="s">
        <v>1908</v>
      </c>
      <c r="E1267" s="5" t="s">
        <v>399</v>
      </c>
      <c r="F1267" s="5" t="s">
        <v>311</v>
      </c>
      <c r="G1267" s="5" t="s">
        <v>102</v>
      </c>
      <c r="H1267" s="5" t="s">
        <v>18</v>
      </c>
      <c r="I1267" s="7" t="s">
        <v>10716</v>
      </c>
    </row>
    <row r="1268">
      <c r="A1268" s="5" t="s">
        <v>2070</v>
      </c>
      <c r="B1268" s="5" t="s">
        <v>2057</v>
      </c>
      <c r="C1268" s="5" t="s">
        <v>13</v>
      </c>
      <c r="D1268" s="5" t="s">
        <v>1908</v>
      </c>
      <c r="E1268" s="5" t="s">
        <v>651</v>
      </c>
      <c r="F1268" s="5" t="s">
        <v>311</v>
      </c>
      <c r="G1268" s="5" t="s">
        <v>102</v>
      </c>
      <c r="H1268" s="5" t="s">
        <v>18</v>
      </c>
      <c r="I1268" s="17" t="s">
        <v>10717</v>
      </c>
    </row>
    <row r="1269">
      <c r="A1269" s="5" t="s">
        <v>2072</v>
      </c>
      <c r="B1269" s="5" t="s">
        <v>110</v>
      </c>
      <c r="C1269" s="5" t="s">
        <v>13</v>
      </c>
      <c r="D1269" s="5" t="s">
        <v>1908</v>
      </c>
      <c r="E1269" s="5" t="s">
        <v>331</v>
      </c>
      <c r="F1269" s="5" t="s">
        <v>311</v>
      </c>
      <c r="G1269" s="5" t="s">
        <v>102</v>
      </c>
      <c r="H1269" s="5" t="s">
        <v>18</v>
      </c>
      <c r="I1269" s="7" t="s">
        <v>2073</v>
      </c>
    </row>
    <row r="1270">
      <c r="A1270" s="5" t="s">
        <v>2074</v>
      </c>
      <c r="B1270" s="5" t="s">
        <v>2075</v>
      </c>
      <c r="C1270" s="5" t="s">
        <v>13</v>
      </c>
      <c r="D1270" s="5" t="s">
        <v>1908</v>
      </c>
      <c r="E1270" s="5" t="s">
        <v>446</v>
      </c>
      <c r="F1270" s="5" t="s">
        <v>311</v>
      </c>
      <c r="G1270" s="5" t="s">
        <v>102</v>
      </c>
      <c r="H1270" s="5" t="s">
        <v>18</v>
      </c>
      <c r="I1270" s="17" t="s">
        <v>10718</v>
      </c>
    </row>
    <row r="1271">
      <c r="A1271" s="5" t="s">
        <v>2077</v>
      </c>
      <c r="B1271" s="5" t="s">
        <v>110</v>
      </c>
      <c r="C1271" s="5" t="s">
        <v>13</v>
      </c>
      <c r="D1271" s="5" t="s">
        <v>1908</v>
      </c>
      <c r="E1271" s="5" t="s">
        <v>179</v>
      </c>
      <c r="F1271" s="5" t="s">
        <v>468</v>
      </c>
      <c r="G1271" s="5" t="s">
        <v>44</v>
      </c>
      <c r="H1271" s="5" t="s">
        <v>18</v>
      </c>
      <c r="I1271" s="7" t="s">
        <v>2078</v>
      </c>
    </row>
    <row r="1272">
      <c r="A1272" s="5" t="s">
        <v>2079</v>
      </c>
      <c r="B1272" s="5" t="s">
        <v>110</v>
      </c>
      <c r="C1272" s="5" t="s">
        <v>13</v>
      </c>
      <c r="D1272" s="5" t="s">
        <v>1908</v>
      </c>
      <c r="E1272" s="5" t="s">
        <v>661</v>
      </c>
      <c r="F1272" s="5" t="s">
        <v>468</v>
      </c>
      <c r="G1272" s="5" t="s">
        <v>44</v>
      </c>
      <c r="H1272" s="5" t="s">
        <v>18</v>
      </c>
      <c r="I1272" s="7" t="s">
        <v>2080</v>
      </c>
    </row>
    <row r="1273">
      <c r="A1273" s="5" t="s">
        <v>2081</v>
      </c>
      <c r="B1273" s="5" t="s">
        <v>110</v>
      </c>
      <c r="C1273" s="5" t="s">
        <v>13</v>
      </c>
      <c r="D1273" s="5" t="s">
        <v>1908</v>
      </c>
      <c r="E1273" s="5" t="s">
        <v>1321</v>
      </c>
      <c r="F1273" s="5" t="s">
        <v>1135</v>
      </c>
      <c r="G1273" s="5" t="s">
        <v>44</v>
      </c>
      <c r="H1273" s="5" t="s">
        <v>18</v>
      </c>
      <c r="I1273" s="7" t="s">
        <v>2082</v>
      </c>
    </row>
    <row r="1274">
      <c r="A1274" s="5" t="s">
        <v>4630</v>
      </c>
      <c r="B1274" s="5" t="s">
        <v>4631</v>
      </c>
      <c r="D1274" s="5" t="s">
        <v>4632</v>
      </c>
      <c r="E1274" s="5" t="s">
        <v>1460</v>
      </c>
      <c r="F1274" s="5" t="s">
        <v>4633</v>
      </c>
      <c r="G1274" s="5" t="s">
        <v>4606</v>
      </c>
      <c r="H1274" s="5" t="s">
        <v>4607</v>
      </c>
      <c r="I1274" s="7" t="s">
        <v>4629</v>
      </c>
    </row>
    <row r="1275">
      <c r="A1275" s="5" t="s">
        <v>5099</v>
      </c>
      <c r="B1275" s="5" t="s">
        <v>5054</v>
      </c>
      <c r="D1275" s="5" t="s">
        <v>4632</v>
      </c>
      <c r="E1275" s="5" t="s">
        <v>29</v>
      </c>
      <c r="F1275" s="5" t="s">
        <v>5097</v>
      </c>
      <c r="G1275" s="5" t="s">
        <v>4757</v>
      </c>
      <c r="H1275" s="5" t="s">
        <v>4607</v>
      </c>
      <c r="I1275" s="7" t="s">
        <v>5098</v>
      </c>
    </row>
    <row r="1276">
      <c r="A1276" s="5" t="s">
        <v>5122</v>
      </c>
      <c r="B1276" s="5" t="s">
        <v>5123</v>
      </c>
      <c r="D1276" s="5" t="s">
        <v>4632</v>
      </c>
      <c r="E1276" s="5" t="s">
        <v>222</v>
      </c>
      <c r="F1276" s="5" t="s">
        <v>5124</v>
      </c>
      <c r="G1276" s="5" t="s">
        <v>4757</v>
      </c>
      <c r="H1276" s="5" t="s">
        <v>4607</v>
      </c>
      <c r="I1276" s="7" t="s">
        <v>5121</v>
      </c>
    </row>
    <row r="1277">
      <c r="A1277" s="5" t="s">
        <v>6164</v>
      </c>
      <c r="B1277" s="5" t="s">
        <v>5054</v>
      </c>
      <c r="D1277" s="5" t="s">
        <v>4632</v>
      </c>
      <c r="E1277" s="5" t="s">
        <v>165</v>
      </c>
      <c r="F1277" s="5" t="s">
        <v>6165</v>
      </c>
      <c r="G1277" s="5" t="s">
        <v>4606</v>
      </c>
      <c r="H1277" s="5" t="s">
        <v>4607</v>
      </c>
      <c r="I1277" s="7" t="s">
        <v>6163</v>
      </c>
    </row>
    <row r="1278">
      <c r="A1278" s="5" t="s">
        <v>6176</v>
      </c>
      <c r="B1278" s="5" t="s">
        <v>5054</v>
      </c>
      <c r="D1278" s="5" t="s">
        <v>4632</v>
      </c>
      <c r="E1278" s="5" t="s">
        <v>136</v>
      </c>
      <c r="F1278" s="5" t="s">
        <v>6165</v>
      </c>
      <c r="G1278" s="5" t="s">
        <v>4606</v>
      </c>
      <c r="H1278" s="5" t="s">
        <v>4607</v>
      </c>
      <c r="I1278" s="7" t="s">
        <v>6175</v>
      </c>
    </row>
    <row r="1279">
      <c r="A1279" s="5" t="s">
        <v>6182</v>
      </c>
      <c r="B1279" s="5" t="s">
        <v>6183</v>
      </c>
      <c r="D1279" s="5" t="s">
        <v>4632</v>
      </c>
      <c r="E1279" s="5" t="s">
        <v>712</v>
      </c>
      <c r="F1279" s="5" t="s">
        <v>6165</v>
      </c>
      <c r="G1279" s="5" t="s">
        <v>4606</v>
      </c>
      <c r="H1279" s="5" t="s">
        <v>4607</v>
      </c>
      <c r="I1279" s="7" t="s">
        <v>6181</v>
      </c>
    </row>
    <row r="1280">
      <c r="A1280" s="5" t="s">
        <v>6185</v>
      </c>
      <c r="B1280" s="5" t="s">
        <v>6186</v>
      </c>
      <c r="D1280" s="5" t="s">
        <v>4632</v>
      </c>
      <c r="E1280" s="5" t="s">
        <v>26</v>
      </c>
      <c r="F1280" s="5" t="s">
        <v>6165</v>
      </c>
      <c r="G1280" s="5" t="s">
        <v>4606</v>
      </c>
      <c r="H1280" s="5" t="s">
        <v>4607</v>
      </c>
      <c r="I1280" s="7" t="s">
        <v>6184</v>
      </c>
    </row>
    <row r="1281">
      <c r="A1281" s="5" t="s">
        <v>6191</v>
      </c>
      <c r="B1281" s="5" t="s">
        <v>5054</v>
      </c>
      <c r="D1281" s="5" t="s">
        <v>4632</v>
      </c>
      <c r="E1281" s="5" t="s">
        <v>446</v>
      </c>
      <c r="F1281" s="5" t="s">
        <v>6165</v>
      </c>
      <c r="G1281" s="5" t="s">
        <v>4606</v>
      </c>
      <c r="H1281" s="5" t="s">
        <v>4607</v>
      </c>
      <c r="I1281" s="7" t="s">
        <v>6190</v>
      </c>
    </row>
    <row r="1282">
      <c r="A1282" s="5" t="s">
        <v>6376</v>
      </c>
      <c r="B1282" s="5" t="s">
        <v>6377</v>
      </c>
      <c r="D1282" s="5" t="s">
        <v>4632</v>
      </c>
      <c r="E1282" s="5" t="s">
        <v>1123</v>
      </c>
      <c r="F1282" s="5" t="s">
        <v>6378</v>
      </c>
      <c r="G1282" s="5" t="s">
        <v>4757</v>
      </c>
      <c r="H1282" s="5" t="s">
        <v>4607</v>
      </c>
      <c r="I1282" s="7" t="s">
        <v>6375</v>
      </c>
    </row>
    <row r="1283">
      <c r="A1283" s="5" t="s">
        <v>6501</v>
      </c>
      <c r="B1283" s="5" t="s">
        <v>6502</v>
      </c>
      <c r="D1283" s="5" t="s">
        <v>4632</v>
      </c>
      <c r="E1283" s="5" t="s">
        <v>666</v>
      </c>
      <c r="F1283" s="5" t="s">
        <v>6499</v>
      </c>
      <c r="G1283" s="5" t="s">
        <v>4757</v>
      </c>
      <c r="H1283" s="5" t="s">
        <v>4607</v>
      </c>
      <c r="I1283" s="7" t="s">
        <v>6500</v>
      </c>
    </row>
    <row r="1284">
      <c r="A1284" s="5" t="s">
        <v>6504</v>
      </c>
      <c r="B1284" s="5" t="s">
        <v>6505</v>
      </c>
      <c r="D1284" s="5" t="s">
        <v>4632</v>
      </c>
      <c r="E1284" s="5" t="s">
        <v>188</v>
      </c>
      <c r="F1284" s="5" t="s">
        <v>6499</v>
      </c>
      <c r="G1284" s="5" t="s">
        <v>4757</v>
      </c>
      <c r="H1284" s="5" t="s">
        <v>4607</v>
      </c>
      <c r="I1284" s="7" t="s">
        <v>6503</v>
      </c>
    </row>
    <row r="1285">
      <c r="A1285" s="5" t="s">
        <v>6507</v>
      </c>
      <c r="B1285" s="5" t="s">
        <v>6508</v>
      </c>
      <c r="D1285" s="5" t="s">
        <v>4632</v>
      </c>
      <c r="E1285" s="5" t="s">
        <v>144</v>
      </c>
      <c r="F1285" s="5" t="s">
        <v>6499</v>
      </c>
      <c r="G1285" s="5" t="s">
        <v>4757</v>
      </c>
      <c r="H1285" s="5" t="s">
        <v>4607</v>
      </c>
      <c r="I1285" s="7" t="s">
        <v>6506</v>
      </c>
    </row>
    <row r="1286">
      <c r="A1286" s="5" t="s">
        <v>6513</v>
      </c>
      <c r="B1286" s="5" t="s">
        <v>6514</v>
      </c>
      <c r="D1286" s="5" t="s">
        <v>4632</v>
      </c>
      <c r="E1286" s="5" t="s">
        <v>579</v>
      </c>
      <c r="F1286" s="5" t="s">
        <v>6499</v>
      </c>
      <c r="G1286" s="5" t="s">
        <v>4757</v>
      </c>
      <c r="H1286" s="5" t="s">
        <v>4607</v>
      </c>
      <c r="I1286" s="7" t="s">
        <v>6512</v>
      </c>
    </row>
    <row r="1287">
      <c r="A1287" s="5" t="s">
        <v>6516</v>
      </c>
      <c r="B1287" s="5" t="s">
        <v>6517</v>
      </c>
      <c r="D1287" s="5" t="s">
        <v>4632</v>
      </c>
      <c r="E1287" s="5" t="s">
        <v>277</v>
      </c>
      <c r="F1287" s="5" t="s">
        <v>6499</v>
      </c>
      <c r="G1287" s="5" t="s">
        <v>4757</v>
      </c>
      <c r="H1287" s="5" t="s">
        <v>4607</v>
      </c>
      <c r="I1287" s="7" t="s">
        <v>6515</v>
      </c>
    </row>
    <row r="1288">
      <c r="A1288" s="5" t="s">
        <v>6519</v>
      </c>
      <c r="B1288" s="5" t="s">
        <v>5054</v>
      </c>
      <c r="D1288" s="5" t="s">
        <v>4632</v>
      </c>
      <c r="E1288" s="5" t="s">
        <v>441</v>
      </c>
      <c r="F1288" s="5" t="s">
        <v>6499</v>
      </c>
      <c r="G1288" s="5" t="s">
        <v>4757</v>
      </c>
      <c r="H1288" s="5" t="s">
        <v>4607</v>
      </c>
      <c r="I1288" s="7" t="s">
        <v>6518</v>
      </c>
    </row>
    <row r="1289">
      <c r="A1289" s="5" t="s">
        <v>6521</v>
      </c>
      <c r="B1289" s="5" t="s">
        <v>5054</v>
      </c>
      <c r="D1289" s="5" t="s">
        <v>4632</v>
      </c>
      <c r="E1289" s="5" t="s">
        <v>222</v>
      </c>
      <c r="F1289" s="5" t="s">
        <v>6499</v>
      </c>
      <c r="G1289" s="5" t="s">
        <v>4757</v>
      </c>
      <c r="H1289" s="5" t="s">
        <v>4607</v>
      </c>
      <c r="I1289" s="7" t="s">
        <v>6520</v>
      </c>
    </row>
    <row r="1290">
      <c r="A1290" s="5" t="s">
        <v>6516</v>
      </c>
      <c r="B1290" s="5" t="s">
        <v>5054</v>
      </c>
      <c r="D1290" s="5" t="s">
        <v>4632</v>
      </c>
      <c r="F1290" s="5" t="s">
        <v>6499</v>
      </c>
      <c r="G1290" s="5" t="s">
        <v>4757</v>
      </c>
      <c r="H1290" s="5" t="s">
        <v>4607</v>
      </c>
      <c r="I1290" s="7" t="s">
        <v>6531</v>
      </c>
    </row>
    <row r="1291">
      <c r="A1291" s="5" t="s">
        <v>6627</v>
      </c>
      <c r="B1291" s="5" t="s">
        <v>6628</v>
      </c>
      <c r="D1291" s="5" t="s">
        <v>4632</v>
      </c>
      <c r="E1291" s="5" t="s">
        <v>1123</v>
      </c>
      <c r="F1291" s="5" t="s">
        <v>6577</v>
      </c>
      <c r="G1291" s="5" t="s">
        <v>4757</v>
      </c>
      <c r="H1291" s="5" t="s">
        <v>4607</v>
      </c>
      <c r="I1291" s="7" t="s">
        <v>6626</v>
      </c>
    </row>
    <row r="1292">
      <c r="A1292" s="5" t="s">
        <v>6755</v>
      </c>
      <c r="B1292" s="5" t="s">
        <v>6756</v>
      </c>
      <c r="D1292" s="5" t="s">
        <v>4632</v>
      </c>
      <c r="E1292" s="5" t="s">
        <v>144</v>
      </c>
      <c r="F1292" s="5" t="s">
        <v>6577</v>
      </c>
      <c r="G1292" s="5" t="s">
        <v>4757</v>
      </c>
      <c r="H1292" s="5" t="s">
        <v>4607</v>
      </c>
      <c r="I1292" s="7" t="s">
        <v>6754</v>
      </c>
    </row>
    <row r="1293">
      <c r="A1293" s="5" t="s">
        <v>6801</v>
      </c>
      <c r="B1293" s="5" t="s">
        <v>5054</v>
      </c>
      <c r="D1293" s="5" t="s">
        <v>4632</v>
      </c>
      <c r="E1293" s="5" t="s">
        <v>136</v>
      </c>
      <c r="F1293" s="5" t="s">
        <v>6577</v>
      </c>
      <c r="G1293" s="5" t="s">
        <v>4757</v>
      </c>
      <c r="H1293" s="5" t="s">
        <v>4607</v>
      </c>
      <c r="I1293" s="7" t="s">
        <v>6800</v>
      </c>
    </row>
    <row r="1294">
      <c r="A1294" s="5" t="s">
        <v>6959</v>
      </c>
      <c r="B1294" s="5" t="s">
        <v>6502</v>
      </c>
      <c r="D1294" s="5" t="s">
        <v>4632</v>
      </c>
      <c r="E1294" s="5" t="s">
        <v>1123</v>
      </c>
      <c r="F1294" s="5" t="s">
        <v>6577</v>
      </c>
      <c r="G1294" s="5" t="s">
        <v>4757</v>
      </c>
      <c r="H1294" s="5" t="s">
        <v>4607</v>
      </c>
      <c r="I1294" s="7" t="s">
        <v>6958</v>
      </c>
    </row>
    <row r="1295">
      <c r="A1295" s="5" t="s">
        <v>7222</v>
      </c>
      <c r="B1295" s="5" t="s">
        <v>7223</v>
      </c>
      <c r="D1295" s="5" t="s">
        <v>4632</v>
      </c>
      <c r="E1295" s="5" t="s">
        <v>165</v>
      </c>
      <c r="F1295" s="5" t="s">
        <v>7224</v>
      </c>
      <c r="G1295" s="5" t="s">
        <v>5566</v>
      </c>
      <c r="H1295" s="5" t="s">
        <v>4619</v>
      </c>
      <c r="I1295" s="7" t="s">
        <v>7221</v>
      </c>
    </row>
    <row r="1296">
      <c r="A1296" s="5" t="s">
        <v>8927</v>
      </c>
      <c r="B1296" s="5" t="s">
        <v>6756</v>
      </c>
      <c r="D1296" s="5" t="s">
        <v>4632</v>
      </c>
      <c r="E1296" s="5" t="s">
        <v>165</v>
      </c>
      <c r="F1296" s="5" t="s">
        <v>7722</v>
      </c>
      <c r="G1296" s="5" t="s">
        <v>5566</v>
      </c>
      <c r="H1296" s="5" t="s">
        <v>4619</v>
      </c>
      <c r="I1296" s="7" t="s">
        <v>8926</v>
      </c>
    </row>
    <row r="1297">
      <c r="A1297" s="5" t="s">
        <v>8941</v>
      </c>
      <c r="B1297" s="5" t="s">
        <v>7223</v>
      </c>
      <c r="D1297" s="5" t="s">
        <v>4632</v>
      </c>
      <c r="E1297" s="5" t="s">
        <v>165</v>
      </c>
      <c r="F1297" s="5" t="s">
        <v>7722</v>
      </c>
      <c r="G1297" s="5" t="s">
        <v>5566</v>
      </c>
      <c r="H1297" s="5" t="s">
        <v>4619</v>
      </c>
      <c r="I1297" s="7" t="s">
        <v>8940</v>
      </c>
    </row>
    <row r="1298">
      <c r="A1298" s="5" t="s">
        <v>8947</v>
      </c>
      <c r="B1298" s="5" t="s">
        <v>8948</v>
      </c>
      <c r="D1298" s="5" t="s">
        <v>4632</v>
      </c>
      <c r="E1298" s="5" t="s">
        <v>60</v>
      </c>
      <c r="F1298" s="5" t="s">
        <v>7722</v>
      </c>
      <c r="G1298" s="5" t="s">
        <v>5566</v>
      </c>
      <c r="H1298" s="5" t="s">
        <v>4619</v>
      </c>
      <c r="I1298" s="7" t="s">
        <v>8946</v>
      </c>
    </row>
    <row r="1299">
      <c r="A1299" s="5" t="s">
        <v>9592</v>
      </c>
      <c r="B1299" s="5" t="s">
        <v>5054</v>
      </c>
      <c r="D1299" s="5" t="s">
        <v>4632</v>
      </c>
      <c r="E1299" s="5" t="s">
        <v>26</v>
      </c>
      <c r="F1299" s="5" t="s">
        <v>9593</v>
      </c>
      <c r="G1299" s="5" t="s">
        <v>4606</v>
      </c>
      <c r="H1299" s="5" t="s">
        <v>4607</v>
      </c>
      <c r="I1299" s="7" t="s">
        <v>9591</v>
      </c>
    </row>
    <row r="1300">
      <c r="A1300" s="5" t="s">
        <v>9615</v>
      </c>
      <c r="B1300" s="5" t="s">
        <v>9616</v>
      </c>
      <c r="D1300" s="5" t="s">
        <v>4632</v>
      </c>
      <c r="E1300" s="5" t="s">
        <v>222</v>
      </c>
      <c r="F1300" s="5" t="s">
        <v>6577</v>
      </c>
      <c r="G1300" s="5" t="s">
        <v>4757</v>
      </c>
      <c r="H1300" s="5" t="s">
        <v>4607</v>
      </c>
      <c r="I1300" s="7" t="s">
        <v>9614</v>
      </c>
    </row>
    <row r="1301">
      <c r="A1301" s="5" t="s">
        <v>9638</v>
      </c>
      <c r="B1301" s="5" t="s">
        <v>5054</v>
      </c>
      <c r="D1301" s="5" t="s">
        <v>4632</v>
      </c>
      <c r="E1301" s="5" t="s">
        <v>697</v>
      </c>
      <c r="F1301" s="5" t="s">
        <v>6577</v>
      </c>
      <c r="G1301" s="5" t="s">
        <v>4757</v>
      </c>
      <c r="H1301" s="5" t="s">
        <v>4607</v>
      </c>
      <c r="I1301" s="7" t="s">
        <v>9637</v>
      </c>
    </row>
    <row r="1302">
      <c r="A1302" s="5" t="s">
        <v>10116</v>
      </c>
      <c r="B1302" s="5" t="s">
        <v>5123</v>
      </c>
      <c r="D1302" s="5" t="s">
        <v>4632</v>
      </c>
      <c r="E1302" s="5" t="s">
        <v>26</v>
      </c>
      <c r="F1302" s="5" t="s">
        <v>10114</v>
      </c>
      <c r="G1302" s="5" t="s">
        <v>4757</v>
      </c>
      <c r="H1302" s="5" t="s">
        <v>4607</v>
      </c>
      <c r="I1302" s="7" t="s">
        <v>10115</v>
      </c>
    </row>
    <row r="1303">
      <c r="A1303" s="5" t="s">
        <v>2083</v>
      </c>
      <c r="B1303" s="5" t="s">
        <v>2084</v>
      </c>
      <c r="C1303" s="5" t="s">
        <v>13</v>
      </c>
      <c r="D1303" s="5" t="s">
        <v>2085</v>
      </c>
      <c r="E1303" s="5" t="s">
        <v>579</v>
      </c>
      <c r="F1303" s="5" t="s">
        <v>2086</v>
      </c>
      <c r="G1303" s="5" t="s">
        <v>91</v>
      </c>
      <c r="H1303" s="5" t="s">
        <v>18</v>
      </c>
      <c r="I1303" s="7" t="s">
        <v>10719</v>
      </c>
    </row>
    <row r="1304">
      <c r="A1304" s="5" t="s">
        <v>2088</v>
      </c>
      <c r="B1304" s="5" t="s">
        <v>25</v>
      </c>
      <c r="C1304" s="5" t="s">
        <v>13</v>
      </c>
      <c r="D1304" s="5" t="s">
        <v>2085</v>
      </c>
      <c r="E1304" s="5" t="s">
        <v>2089</v>
      </c>
      <c r="F1304" s="5" t="s">
        <v>2086</v>
      </c>
      <c r="G1304" s="5" t="s">
        <v>91</v>
      </c>
      <c r="H1304" s="5" t="s">
        <v>18</v>
      </c>
      <c r="I1304" s="7" t="s">
        <v>2090</v>
      </c>
    </row>
    <row r="1305">
      <c r="A1305" s="5" t="s">
        <v>2091</v>
      </c>
      <c r="B1305" s="5" t="s">
        <v>2092</v>
      </c>
      <c r="C1305" s="5" t="s">
        <v>13</v>
      </c>
      <c r="D1305" s="5" t="s">
        <v>2085</v>
      </c>
      <c r="E1305" s="5" t="s">
        <v>345</v>
      </c>
      <c r="F1305" s="5" t="s">
        <v>90</v>
      </c>
      <c r="G1305" s="5" t="s">
        <v>91</v>
      </c>
      <c r="H1305" s="5" t="s">
        <v>18</v>
      </c>
      <c r="I1305" s="7" t="s">
        <v>2093</v>
      </c>
    </row>
    <row r="1306">
      <c r="A1306" s="5" t="s">
        <v>2094</v>
      </c>
      <c r="B1306" s="5" t="s">
        <v>2095</v>
      </c>
      <c r="C1306" s="5" t="s">
        <v>13</v>
      </c>
      <c r="D1306" s="5" t="s">
        <v>2085</v>
      </c>
      <c r="E1306" s="5" t="s">
        <v>22</v>
      </c>
      <c r="F1306" s="5" t="s">
        <v>2096</v>
      </c>
      <c r="G1306" s="5" t="s">
        <v>91</v>
      </c>
      <c r="H1306" s="5" t="s">
        <v>18</v>
      </c>
      <c r="I1306" s="7" t="s">
        <v>2097</v>
      </c>
    </row>
    <row r="1307">
      <c r="A1307" s="5" t="s">
        <v>2098</v>
      </c>
      <c r="B1307" s="5" t="s">
        <v>110</v>
      </c>
      <c r="C1307" s="5" t="s">
        <v>13</v>
      </c>
      <c r="D1307" s="5" t="s">
        <v>2099</v>
      </c>
      <c r="E1307" s="5" t="s">
        <v>496</v>
      </c>
      <c r="F1307" s="5" t="s">
        <v>2100</v>
      </c>
      <c r="G1307" s="5" t="s">
        <v>264</v>
      </c>
      <c r="H1307" s="5" t="s">
        <v>18</v>
      </c>
      <c r="I1307" s="17" t="s">
        <v>10720</v>
      </c>
    </row>
    <row r="1308">
      <c r="A1308" s="5" t="s">
        <v>2102</v>
      </c>
      <c r="B1308" s="5" t="s">
        <v>404</v>
      </c>
      <c r="C1308" s="5" t="s">
        <v>13</v>
      </c>
      <c r="D1308" s="5" t="s">
        <v>2099</v>
      </c>
      <c r="E1308" s="5" t="s">
        <v>354</v>
      </c>
      <c r="F1308" s="5" t="s">
        <v>2103</v>
      </c>
      <c r="G1308" s="5" t="s">
        <v>962</v>
      </c>
      <c r="H1308" s="5" t="s">
        <v>18</v>
      </c>
      <c r="I1308" s="7" t="s">
        <v>2104</v>
      </c>
    </row>
    <row r="1309">
      <c r="A1309" s="5" t="s">
        <v>2105</v>
      </c>
      <c r="B1309" s="5" t="s">
        <v>404</v>
      </c>
      <c r="C1309" s="5" t="s">
        <v>13</v>
      </c>
      <c r="D1309" s="5" t="s">
        <v>2099</v>
      </c>
      <c r="E1309" s="5" t="s">
        <v>136</v>
      </c>
      <c r="F1309" s="5" t="s">
        <v>2100</v>
      </c>
      <c r="G1309" s="5" t="s">
        <v>264</v>
      </c>
      <c r="H1309" s="5" t="s">
        <v>18</v>
      </c>
      <c r="I1309" s="7" t="s">
        <v>2106</v>
      </c>
    </row>
    <row r="1310">
      <c r="A1310" s="5" t="s">
        <v>2107</v>
      </c>
      <c r="B1310" s="5" t="s">
        <v>404</v>
      </c>
      <c r="C1310" s="5" t="s">
        <v>13</v>
      </c>
      <c r="D1310" s="5" t="s">
        <v>2099</v>
      </c>
      <c r="E1310" s="5" t="s">
        <v>100</v>
      </c>
      <c r="F1310" s="5" t="s">
        <v>2100</v>
      </c>
      <c r="G1310" s="5" t="s">
        <v>264</v>
      </c>
      <c r="H1310" s="5" t="s">
        <v>18</v>
      </c>
      <c r="I1310" s="7" t="s">
        <v>2108</v>
      </c>
    </row>
    <row r="1311">
      <c r="A1311" s="5" t="s">
        <v>2109</v>
      </c>
      <c r="B1311" s="5" t="s">
        <v>404</v>
      </c>
      <c r="C1311" s="5" t="s">
        <v>13</v>
      </c>
      <c r="D1311" s="5" t="s">
        <v>2099</v>
      </c>
      <c r="E1311" s="5" t="s">
        <v>217</v>
      </c>
      <c r="F1311" s="5" t="s">
        <v>2110</v>
      </c>
      <c r="G1311" s="5" t="s">
        <v>962</v>
      </c>
      <c r="H1311" s="5" t="s">
        <v>18</v>
      </c>
      <c r="I1311" s="17" t="s">
        <v>10721</v>
      </c>
    </row>
    <row r="1312">
      <c r="A1312" s="5" t="s">
        <v>2112</v>
      </c>
      <c r="B1312" s="5" t="s">
        <v>404</v>
      </c>
      <c r="C1312" s="5" t="s">
        <v>13</v>
      </c>
      <c r="D1312" s="5" t="s">
        <v>2099</v>
      </c>
      <c r="E1312" s="5" t="s">
        <v>2035</v>
      </c>
      <c r="F1312" s="5" t="s">
        <v>2113</v>
      </c>
      <c r="G1312" s="5" t="s">
        <v>102</v>
      </c>
      <c r="H1312" s="5" t="s">
        <v>18</v>
      </c>
      <c r="I1312" s="7" t="s">
        <v>2114</v>
      </c>
    </row>
    <row r="1313">
      <c r="A1313" s="5" t="s">
        <v>2139</v>
      </c>
      <c r="B1313" s="5" t="s">
        <v>2140</v>
      </c>
      <c r="D1313" s="5" t="s">
        <v>2117</v>
      </c>
      <c r="E1313" s="5" t="s">
        <v>712</v>
      </c>
      <c r="F1313" s="5" t="s">
        <v>2141</v>
      </c>
      <c r="G1313" s="5" t="s">
        <v>50</v>
      </c>
      <c r="H1313" s="5" t="s">
        <v>18</v>
      </c>
      <c r="I1313" s="17" t="s">
        <v>10722</v>
      </c>
    </row>
    <row r="1314">
      <c r="A1314" s="5" t="s">
        <v>6148</v>
      </c>
      <c r="B1314" s="5" t="s">
        <v>6149</v>
      </c>
      <c r="D1314" s="5" t="s">
        <v>2117</v>
      </c>
      <c r="E1314" s="5" t="s">
        <v>496</v>
      </c>
      <c r="F1314" s="5" t="s">
        <v>2145</v>
      </c>
      <c r="G1314" s="5" t="s">
        <v>203</v>
      </c>
      <c r="H1314" s="5" t="s">
        <v>18</v>
      </c>
      <c r="I1314" s="17" t="s">
        <v>10723</v>
      </c>
    </row>
    <row r="1315">
      <c r="A1315" s="5" t="s">
        <v>2149</v>
      </c>
      <c r="B1315" s="5" t="s">
        <v>2150</v>
      </c>
      <c r="D1315" s="5" t="s">
        <v>2117</v>
      </c>
      <c r="E1315" s="5" t="s">
        <v>283</v>
      </c>
      <c r="F1315" s="5" t="s">
        <v>2145</v>
      </c>
      <c r="G1315" s="5" t="s">
        <v>203</v>
      </c>
      <c r="H1315" s="5" t="s">
        <v>18</v>
      </c>
      <c r="I1315" s="17" t="s">
        <v>10724</v>
      </c>
    </row>
    <row r="1316">
      <c r="A1316" s="5" t="s">
        <v>2152</v>
      </c>
      <c r="B1316" s="5" t="s">
        <v>2153</v>
      </c>
      <c r="D1316" s="5" t="s">
        <v>2117</v>
      </c>
      <c r="E1316" s="5" t="s">
        <v>446</v>
      </c>
      <c r="F1316" s="5" t="s">
        <v>2145</v>
      </c>
      <c r="G1316" s="5" t="s">
        <v>203</v>
      </c>
      <c r="H1316" s="5" t="s">
        <v>18</v>
      </c>
      <c r="I1316" s="7" t="s">
        <v>10725</v>
      </c>
    </row>
    <row r="1317">
      <c r="A1317" s="5" t="s">
        <v>6687</v>
      </c>
      <c r="B1317" s="5" t="s">
        <v>110</v>
      </c>
      <c r="D1317" s="5" t="s">
        <v>2117</v>
      </c>
      <c r="E1317" s="5" t="s">
        <v>727</v>
      </c>
      <c r="F1317" s="5" t="s">
        <v>6577</v>
      </c>
      <c r="G1317" s="5" t="s">
        <v>4757</v>
      </c>
      <c r="H1317" s="5" t="s">
        <v>4607</v>
      </c>
      <c r="I1317" s="7" t="s">
        <v>6686</v>
      </c>
    </row>
    <row r="1318">
      <c r="A1318" s="5" t="s">
        <v>6714</v>
      </c>
      <c r="B1318" s="5" t="s">
        <v>6715</v>
      </c>
      <c r="D1318" s="5" t="s">
        <v>2117</v>
      </c>
      <c r="E1318" s="5" t="s">
        <v>144</v>
      </c>
      <c r="F1318" s="5" t="s">
        <v>6577</v>
      </c>
      <c r="G1318" s="5" t="s">
        <v>4757</v>
      </c>
      <c r="H1318" s="5" t="s">
        <v>4607</v>
      </c>
      <c r="I1318" s="18" t="s">
        <v>10726</v>
      </c>
    </row>
    <row r="1319">
      <c r="A1319" s="5" t="s">
        <v>6894</v>
      </c>
      <c r="B1319" s="5" t="s">
        <v>110</v>
      </c>
      <c r="D1319" s="5" t="s">
        <v>2117</v>
      </c>
      <c r="E1319" s="5" t="s">
        <v>15</v>
      </c>
      <c r="F1319" s="5" t="s">
        <v>6577</v>
      </c>
      <c r="G1319" s="5" t="s">
        <v>4757</v>
      </c>
      <c r="H1319" s="5" t="s">
        <v>4607</v>
      </c>
      <c r="I1319" s="7" t="s">
        <v>6893</v>
      </c>
    </row>
    <row r="1320">
      <c r="A1320" s="5" t="s">
        <v>2159</v>
      </c>
      <c r="B1320" s="5" t="s">
        <v>2160</v>
      </c>
      <c r="D1320" s="5" t="s">
        <v>2117</v>
      </c>
      <c r="E1320" s="5" t="s">
        <v>74</v>
      </c>
      <c r="F1320" s="5" t="s">
        <v>2161</v>
      </c>
      <c r="G1320" s="5" t="s">
        <v>76</v>
      </c>
      <c r="H1320" s="5" t="s">
        <v>18</v>
      </c>
      <c r="I1320" s="17" t="s">
        <v>10727</v>
      </c>
    </row>
    <row r="1321">
      <c r="A1321" s="5" t="s">
        <v>2115</v>
      </c>
      <c r="B1321" s="5" t="s">
        <v>2116</v>
      </c>
      <c r="C1321" s="5" t="s">
        <v>13</v>
      </c>
      <c r="D1321" s="5" t="s">
        <v>2117</v>
      </c>
      <c r="E1321" s="5" t="s">
        <v>192</v>
      </c>
      <c r="F1321" s="5" t="s">
        <v>16</v>
      </c>
      <c r="G1321" s="5" t="s">
        <v>17</v>
      </c>
      <c r="H1321" s="5" t="s">
        <v>18</v>
      </c>
      <c r="I1321" s="7" t="s">
        <v>10728</v>
      </c>
    </row>
    <row r="1322">
      <c r="A1322" s="5" t="s">
        <v>2119</v>
      </c>
      <c r="B1322" s="5" t="s">
        <v>25</v>
      </c>
      <c r="C1322" s="5" t="s">
        <v>13</v>
      </c>
      <c r="D1322" s="5" t="s">
        <v>2117</v>
      </c>
      <c r="E1322" s="5" t="s">
        <v>2120</v>
      </c>
      <c r="F1322" s="5" t="s">
        <v>16</v>
      </c>
      <c r="G1322" s="5" t="s">
        <v>17</v>
      </c>
      <c r="H1322" s="5" t="s">
        <v>18</v>
      </c>
      <c r="I1322" s="7" t="s">
        <v>2121</v>
      </c>
    </row>
    <row r="1323">
      <c r="A1323" s="5" t="s">
        <v>2122</v>
      </c>
      <c r="B1323" s="5" t="s">
        <v>766</v>
      </c>
      <c r="C1323" s="5" t="s">
        <v>13</v>
      </c>
      <c r="D1323" s="5" t="s">
        <v>2117</v>
      </c>
      <c r="E1323" s="5" t="s">
        <v>496</v>
      </c>
      <c r="F1323" s="5" t="s">
        <v>37</v>
      </c>
      <c r="G1323" s="5" t="s">
        <v>38</v>
      </c>
      <c r="H1323" s="5" t="s">
        <v>18</v>
      </c>
      <c r="I1323" s="7" t="s">
        <v>2123</v>
      </c>
    </row>
    <row r="1324">
      <c r="A1324" s="5" t="s">
        <v>2124</v>
      </c>
      <c r="B1324" s="5" t="s">
        <v>2125</v>
      </c>
      <c r="C1324" s="5" t="s">
        <v>13</v>
      </c>
      <c r="D1324" s="5" t="s">
        <v>2117</v>
      </c>
      <c r="E1324" s="5" t="s">
        <v>26</v>
      </c>
      <c r="F1324" s="5" t="s">
        <v>2126</v>
      </c>
      <c r="G1324" s="5" t="s">
        <v>203</v>
      </c>
      <c r="H1324" s="5" t="s">
        <v>18</v>
      </c>
      <c r="I1324" s="17" t="s">
        <v>10729</v>
      </c>
    </row>
    <row r="1325">
      <c r="A1325" s="5" t="s">
        <v>2128</v>
      </c>
      <c r="B1325" s="5" t="s">
        <v>110</v>
      </c>
      <c r="C1325" s="5" t="s">
        <v>13</v>
      </c>
      <c r="D1325" s="5" t="s">
        <v>2117</v>
      </c>
      <c r="E1325" s="5" t="s">
        <v>15</v>
      </c>
      <c r="F1325" s="5" t="s">
        <v>49</v>
      </c>
      <c r="G1325" s="5" t="s">
        <v>50</v>
      </c>
      <c r="H1325" s="5" t="s">
        <v>18</v>
      </c>
      <c r="I1325" s="7" t="s">
        <v>2129</v>
      </c>
    </row>
    <row r="1326">
      <c r="A1326" s="5" t="s">
        <v>2130</v>
      </c>
      <c r="B1326" s="5" t="s">
        <v>952</v>
      </c>
      <c r="C1326" s="5" t="s">
        <v>13</v>
      </c>
      <c r="D1326" s="5" t="s">
        <v>2117</v>
      </c>
      <c r="E1326" s="5" t="s">
        <v>268</v>
      </c>
      <c r="F1326" s="5" t="s">
        <v>49</v>
      </c>
      <c r="G1326" s="5" t="s">
        <v>50</v>
      </c>
      <c r="H1326" s="5" t="s">
        <v>18</v>
      </c>
      <c r="I1326" s="7" t="s">
        <v>2131</v>
      </c>
    </row>
    <row r="1327">
      <c r="A1327" s="5" t="s">
        <v>2132</v>
      </c>
      <c r="B1327" s="5" t="s">
        <v>2133</v>
      </c>
      <c r="C1327" s="5" t="s">
        <v>4</v>
      </c>
      <c r="D1327" s="5" t="s">
        <v>2117</v>
      </c>
      <c r="E1327" s="5" t="s">
        <v>48</v>
      </c>
      <c r="F1327" s="5" t="s">
        <v>64</v>
      </c>
      <c r="G1327" s="5" t="s">
        <v>65</v>
      </c>
      <c r="H1327" s="5" t="s">
        <v>18</v>
      </c>
      <c r="I1327" s="7" t="s">
        <v>2134</v>
      </c>
    </row>
    <row r="1328">
      <c r="A1328" s="5" t="s">
        <v>2135</v>
      </c>
      <c r="B1328" s="5" t="s">
        <v>25</v>
      </c>
      <c r="C1328" s="5" t="s">
        <v>13</v>
      </c>
      <c r="D1328" s="5" t="s">
        <v>2117</v>
      </c>
      <c r="E1328" s="5" t="s">
        <v>283</v>
      </c>
      <c r="F1328" s="5" t="s">
        <v>635</v>
      </c>
      <c r="G1328" s="5" t="s">
        <v>76</v>
      </c>
      <c r="H1328" s="5" t="s">
        <v>18</v>
      </c>
      <c r="I1328" s="7" t="s">
        <v>2136</v>
      </c>
    </row>
    <row r="1329">
      <c r="A1329" s="5" t="s">
        <v>2137</v>
      </c>
      <c r="B1329" s="5" t="s">
        <v>110</v>
      </c>
      <c r="C1329" s="5" t="s">
        <v>13</v>
      </c>
      <c r="D1329" s="5" t="s">
        <v>2117</v>
      </c>
      <c r="E1329" s="5" t="s">
        <v>106</v>
      </c>
      <c r="F1329" s="5" t="s">
        <v>80</v>
      </c>
      <c r="G1329" s="5" t="s">
        <v>38</v>
      </c>
      <c r="H1329" s="5" t="s">
        <v>18</v>
      </c>
      <c r="I1329" s="7" t="s">
        <v>2138</v>
      </c>
    </row>
    <row r="1330">
      <c r="A1330" s="5" t="s">
        <v>2139</v>
      </c>
      <c r="B1330" s="5" t="s">
        <v>2140</v>
      </c>
      <c r="C1330" s="5" t="s">
        <v>13</v>
      </c>
      <c r="D1330" s="5" t="s">
        <v>2117</v>
      </c>
      <c r="E1330" s="5" t="s">
        <v>712</v>
      </c>
      <c r="F1330" s="5" t="s">
        <v>2141</v>
      </c>
      <c r="G1330" s="5" t="s">
        <v>50</v>
      </c>
      <c r="H1330" s="5" t="s">
        <v>18</v>
      </c>
      <c r="I1330" s="17" t="s">
        <v>10730</v>
      </c>
    </row>
    <row r="1331">
      <c r="A1331" s="5" t="s">
        <v>2139</v>
      </c>
      <c r="B1331" s="5" t="s">
        <v>32</v>
      </c>
      <c r="C1331" s="5" t="s">
        <v>13</v>
      </c>
      <c r="D1331" s="5" t="s">
        <v>2117</v>
      </c>
      <c r="E1331" s="5" t="s">
        <v>585</v>
      </c>
      <c r="F1331" s="5" t="s">
        <v>2141</v>
      </c>
      <c r="G1331" s="5" t="s">
        <v>50</v>
      </c>
      <c r="H1331" s="5" t="s">
        <v>18</v>
      </c>
      <c r="I1331" s="7" t="s">
        <v>2143</v>
      </c>
    </row>
    <row r="1332">
      <c r="A1332" s="5" t="s">
        <v>2144</v>
      </c>
      <c r="B1332" s="5" t="s">
        <v>110</v>
      </c>
      <c r="C1332" s="5" t="s">
        <v>13</v>
      </c>
      <c r="D1332" s="5" t="s">
        <v>2117</v>
      </c>
      <c r="E1332" s="5" t="s">
        <v>496</v>
      </c>
      <c r="F1332" s="5" t="s">
        <v>2145</v>
      </c>
      <c r="G1332" s="5" t="s">
        <v>203</v>
      </c>
      <c r="H1332" s="5" t="s">
        <v>18</v>
      </c>
      <c r="I1332" s="7" t="s">
        <v>2146</v>
      </c>
    </row>
    <row r="1333">
      <c r="A1333" s="5" t="s">
        <v>2147</v>
      </c>
      <c r="B1333" s="5" t="s">
        <v>110</v>
      </c>
      <c r="C1333" s="5" t="s">
        <v>13</v>
      </c>
      <c r="D1333" s="5" t="s">
        <v>2117</v>
      </c>
      <c r="E1333" s="5" t="s">
        <v>686</v>
      </c>
      <c r="F1333" s="5" t="s">
        <v>2145</v>
      </c>
      <c r="G1333" s="5" t="s">
        <v>203</v>
      </c>
      <c r="H1333" s="5" t="s">
        <v>18</v>
      </c>
      <c r="I1333" s="7" t="s">
        <v>2148</v>
      </c>
    </row>
    <row r="1334">
      <c r="A1334" s="5" t="s">
        <v>2149</v>
      </c>
      <c r="B1334" s="5" t="s">
        <v>2150</v>
      </c>
      <c r="C1334" s="5" t="s">
        <v>13</v>
      </c>
      <c r="D1334" s="5" t="s">
        <v>2117</v>
      </c>
      <c r="E1334" s="5" t="s">
        <v>283</v>
      </c>
      <c r="F1334" s="5" t="s">
        <v>2145</v>
      </c>
      <c r="G1334" s="5" t="s">
        <v>203</v>
      </c>
      <c r="H1334" s="5" t="s">
        <v>18</v>
      </c>
      <c r="I1334" s="17" t="s">
        <v>10731</v>
      </c>
    </row>
    <row r="1335">
      <c r="A1335" s="5" t="s">
        <v>2152</v>
      </c>
      <c r="B1335" s="5" t="s">
        <v>2153</v>
      </c>
      <c r="C1335" s="5" t="s">
        <v>13</v>
      </c>
      <c r="D1335" s="5" t="s">
        <v>2117</v>
      </c>
      <c r="E1335" s="5" t="s">
        <v>446</v>
      </c>
      <c r="F1335" s="5" t="s">
        <v>2145</v>
      </c>
      <c r="G1335" s="5" t="s">
        <v>203</v>
      </c>
      <c r="H1335" s="5" t="s">
        <v>18</v>
      </c>
      <c r="I1335" s="7" t="s">
        <v>10732</v>
      </c>
    </row>
    <row r="1336">
      <c r="A1336" s="5" t="s">
        <v>2152</v>
      </c>
      <c r="B1336" s="5" t="s">
        <v>2155</v>
      </c>
      <c r="C1336" s="5" t="s">
        <v>13</v>
      </c>
      <c r="D1336" s="5" t="s">
        <v>2117</v>
      </c>
      <c r="E1336" s="5" t="s">
        <v>958</v>
      </c>
      <c r="F1336" s="5" t="s">
        <v>2145</v>
      </c>
      <c r="G1336" s="5" t="s">
        <v>203</v>
      </c>
      <c r="H1336" s="5" t="s">
        <v>18</v>
      </c>
      <c r="I1336" s="17" t="s">
        <v>10733</v>
      </c>
    </row>
    <row r="1337">
      <c r="A1337" s="5" t="s">
        <v>2157</v>
      </c>
      <c r="B1337" s="5" t="s">
        <v>952</v>
      </c>
      <c r="C1337" s="5" t="s">
        <v>13</v>
      </c>
      <c r="D1337" s="5" t="s">
        <v>2117</v>
      </c>
      <c r="E1337" s="5" t="s">
        <v>26</v>
      </c>
      <c r="F1337" s="5" t="s">
        <v>658</v>
      </c>
      <c r="G1337" s="5" t="s">
        <v>91</v>
      </c>
      <c r="H1337" s="5" t="s">
        <v>18</v>
      </c>
      <c r="I1337" s="7" t="s">
        <v>2158</v>
      </c>
    </row>
    <row r="1338">
      <c r="A1338" s="5" t="s">
        <v>2159</v>
      </c>
      <c r="B1338" s="5" t="s">
        <v>2160</v>
      </c>
      <c r="C1338" s="5" t="s">
        <v>13</v>
      </c>
      <c r="D1338" s="5" t="s">
        <v>2117</v>
      </c>
      <c r="E1338" s="5" t="s">
        <v>74</v>
      </c>
      <c r="F1338" s="5" t="s">
        <v>2161</v>
      </c>
      <c r="G1338" s="5" t="s">
        <v>76</v>
      </c>
      <c r="H1338" s="5" t="s">
        <v>18</v>
      </c>
      <c r="I1338" s="17" t="s">
        <v>10734</v>
      </c>
    </row>
    <row r="1339">
      <c r="A1339" s="5" t="s">
        <v>2163</v>
      </c>
      <c r="B1339" s="5" t="s">
        <v>110</v>
      </c>
      <c r="C1339" s="5" t="s">
        <v>13</v>
      </c>
      <c r="D1339" s="5" t="s">
        <v>2117</v>
      </c>
      <c r="E1339" s="5" t="s">
        <v>192</v>
      </c>
      <c r="F1339" s="5" t="s">
        <v>2164</v>
      </c>
      <c r="G1339" s="5" t="s">
        <v>203</v>
      </c>
      <c r="H1339" s="5" t="s">
        <v>18</v>
      </c>
      <c r="I1339" s="7" t="s">
        <v>2165</v>
      </c>
    </row>
    <row r="1340">
      <c r="A1340" s="5" t="s">
        <v>2166</v>
      </c>
      <c r="B1340" s="5" t="s">
        <v>766</v>
      </c>
      <c r="C1340" s="5" t="s">
        <v>13</v>
      </c>
      <c r="D1340" s="5" t="s">
        <v>2117</v>
      </c>
      <c r="E1340" s="5" t="s">
        <v>106</v>
      </c>
      <c r="F1340" s="5" t="s">
        <v>1437</v>
      </c>
      <c r="G1340" s="5" t="s">
        <v>203</v>
      </c>
      <c r="H1340" s="5" t="s">
        <v>18</v>
      </c>
      <c r="I1340" s="7" t="s">
        <v>2167</v>
      </c>
    </row>
    <row r="1341">
      <c r="A1341" s="5" t="s">
        <v>2168</v>
      </c>
      <c r="B1341" s="5" t="s">
        <v>2169</v>
      </c>
      <c r="C1341" s="5" t="s">
        <v>13</v>
      </c>
      <c r="D1341" s="5" t="s">
        <v>2117</v>
      </c>
      <c r="E1341" s="5" t="s">
        <v>79</v>
      </c>
      <c r="F1341" s="5" t="s">
        <v>153</v>
      </c>
      <c r="G1341" s="5" t="s">
        <v>154</v>
      </c>
      <c r="H1341" s="5" t="s">
        <v>18</v>
      </c>
      <c r="I1341" s="7" t="s">
        <v>2170</v>
      </c>
    </row>
    <row r="1342">
      <c r="A1342" s="5" t="s">
        <v>2171</v>
      </c>
      <c r="B1342" s="5" t="s">
        <v>110</v>
      </c>
      <c r="C1342" s="5" t="s">
        <v>13</v>
      </c>
      <c r="D1342" s="5" t="s">
        <v>2117</v>
      </c>
      <c r="E1342" s="5" t="s">
        <v>48</v>
      </c>
      <c r="F1342" s="5" t="s">
        <v>153</v>
      </c>
      <c r="G1342" s="5" t="s">
        <v>154</v>
      </c>
      <c r="H1342" s="5" t="s">
        <v>18</v>
      </c>
      <c r="I1342" s="7" t="s">
        <v>2172</v>
      </c>
    </row>
    <row r="1343">
      <c r="A1343" s="5" t="s">
        <v>2173</v>
      </c>
      <c r="B1343" s="5" t="s">
        <v>2174</v>
      </c>
      <c r="C1343" s="5" t="s">
        <v>4</v>
      </c>
      <c r="D1343" s="5" t="s">
        <v>2117</v>
      </c>
      <c r="E1343" s="5" t="s">
        <v>822</v>
      </c>
      <c r="F1343" s="5" t="s">
        <v>153</v>
      </c>
      <c r="G1343" s="5" t="s">
        <v>154</v>
      </c>
      <c r="H1343" s="5" t="s">
        <v>18</v>
      </c>
      <c r="I1343" s="7" t="s">
        <v>2175</v>
      </c>
    </row>
    <row r="1344">
      <c r="A1344" s="5" t="s">
        <v>2176</v>
      </c>
      <c r="B1344" s="5" t="s">
        <v>2177</v>
      </c>
      <c r="C1344" s="5" t="s">
        <v>13</v>
      </c>
      <c r="D1344" s="5" t="s">
        <v>2117</v>
      </c>
      <c r="E1344" s="5" t="s">
        <v>651</v>
      </c>
      <c r="F1344" s="5" t="s">
        <v>2178</v>
      </c>
      <c r="G1344" s="5" t="s">
        <v>1305</v>
      </c>
      <c r="H1344" s="5" t="s">
        <v>18</v>
      </c>
      <c r="I1344" s="17" t="s">
        <v>10735</v>
      </c>
    </row>
    <row r="1345">
      <c r="A1345" s="5" t="s">
        <v>2180</v>
      </c>
      <c r="B1345" s="5" t="s">
        <v>2181</v>
      </c>
      <c r="C1345" s="5" t="s">
        <v>13</v>
      </c>
      <c r="D1345" s="5" t="s">
        <v>2117</v>
      </c>
      <c r="E1345" s="5" t="s">
        <v>106</v>
      </c>
      <c r="F1345" s="5" t="s">
        <v>102</v>
      </c>
      <c r="G1345" s="5" t="s">
        <v>172</v>
      </c>
      <c r="H1345" s="5" t="s">
        <v>18</v>
      </c>
      <c r="I1345" s="7" t="s">
        <v>2182</v>
      </c>
    </row>
    <row r="1346">
      <c r="A1346" s="5" t="s">
        <v>4938</v>
      </c>
      <c r="B1346" s="5" t="s">
        <v>4939</v>
      </c>
      <c r="D1346" s="5" t="s">
        <v>2185</v>
      </c>
      <c r="E1346" s="5" t="s">
        <v>734</v>
      </c>
      <c r="F1346" s="5" t="s">
        <v>4940</v>
      </c>
      <c r="G1346" s="5" t="s">
        <v>4757</v>
      </c>
      <c r="H1346" s="5" t="s">
        <v>4607</v>
      </c>
      <c r="I1346" s="7" t="s">
        <v>4937</v>
      </c>
    </row>
    <row r="1347">
      <c r="A1347" s="5" t="s">
        <v>2183</v>
      </c>
      <c r="B1347" s="5" t="s">
        <v>2184</v>
      </c>
      <c r="C1347" s="5" t="s">
        <v>13</v>
      </c>
      <c r="D1347" s="5" t="s">
        <v>2185</v>
      </c>
      <c r="E1347" s="5" t="s">
        <v>523</v>
      </c>
      <c r="F1347" s="5" t="s">
        <v>64</v>
      </c>
      <c r="G1347" s="5" t="s">
        <v>65</v>
      </c>
      <c r="H1347" s="5" t="s">
        <v>18</v>
      </c>
      <c r="I1347" s="7" t="s">
        <v>2186</v>
      </c>
    </row>
    <row r="1348">
      <c r="A1348" s="5" t="s">
        <v>2187</v>
      </c>
      <c r="B1348" s="5" t="s">
        <v>2188</v>
      </c>
      <c r="C1348" s="5" t="s">
        <v>13</v>
      </c>
      <c r="D1348" s="5" t="s">
        <v>2185</v>
      </c>
      <c r="E1348" s="5" t="s">
        <v>1460</v>
      </c>
      <c r="F1348" s="5" t="s">
        <v>658</v>
      </c>
      <c r="G1348" s="5" t="s">
        <v>91</v>
      </c>
      <c r="H1348" s="5" t="s">
        <v>18</v>
      </c>
      <c r="I1348" s="18" t="s">
        <v>10736</v>
      </c>
    </row>
    <row r="1349">
      <c r="A1349" s="5" t="s">
        <v>2190</v>
      </c>
      <c r="B1349" s="5" t="s">
        <v>2191</v>
      </c>
      <c r="C1349" s="5" t="s">
        <v>13</v>
      </c>
      <c r="D1349" s="5" t="s">
        <v>2185</v>
      </c>
      <c r="E1349" s="5" t="s">
        <v>890</v>
      </c>
      <c r="F1349" s="5" t="s">
        <v>377</v>
      </c>
      <c r="G1349" s="5" t="s">
        <v>378</v>
      </c>
      <c r="H1349" s="5" t="s">
        <v>18</v>
      </c>
      <c r="I1349" s="17" t="s">
        <v>10737</v>
      </c>
    </row>
    <row r="1350">
      <c r="A1350" s="5" t="s">
        <v>2193</v>
      </c>
      <c r="B1350" s="5" t="s">
        <v>2194</v>
      </c>
      <c r="C1350" s="5" t="s">
        <v>13</v>
      </c>
      <c r="D1350" s="5" t="s">
        <v>2185</v>
      </c>
      <c r="E1350" s="5" t="s">
        <v>1289</v>
      </c>
      <c r="F1350" s="5" t="s">
        <v>2195</v>
      </c>
      <c r="G1350" s="5" t="s">
        <v>219</v>
      </c>
      <c r="H1350" s="5" t="s">
        <v>18</v>
      </c>
      <c r="I1350" s="7" t="s">
        <v>2196</v>
      </c>
    </row>
    <row r="1351">
      <c r="A1351" s="5" t="s">
        <v>2197</v>
      </c>
      <c r="B1351" s="5" t="s">
        <v>115</v>
      </c>
      <c r="C1351" s="5" t="s">
        <v>13</v>
      </c>
      <c r="D1351" s="5" t="s">
        <v>2185</v>
      </c>
      <c r="E1351" s="5" t="s">
        <v>1289</v>
      </c>
      <c r="F1351" s="5" t="s">
        <v>183</v>
      </c>
      <c r="G1351" s="5" t="s">
        <v>184</v>
      </c>
      <c r="H1351" s="5" t="s">
        <v>18</v>
      </c>
      <c r="I1351" s="7" t="s">
        <v>2198</v>
      </c>
    </row>
    <row r="1352">
      <c r="A1352" s="5" t="s">
        <v>2199</v>
      </c>
      <c r="B1352" s="5" t="s">
        <v>2200</v>
      </c>
      <c r="C1352" s="5" t="s">
        <v>13</v>
      </c>
      <c r="D1352" s="5" t="s">
        <v>2185</v>
      </c>
      <c r="E1352" s="5" t="s">
        <v>1098</v>
      </c>
      <c r="F1352" s="5" t="s">
        <v>2201</v>
      </c>
      <c r="G1352" s="5" t="s">
        <v>137</v>
      </c>
      <c r="H1352" s="5" t="s">
        <v>18</v>
      </c>
      <c r="I1352" s="17" t="s">
        <v>10738</v>
      </c>
    </row>
    <row r="1353">
      <c r="A1353" s="5" t="s">
        <v>2203</v>
      </c>
      <c r="B1353" s="5" t="s">
        <v>2204</v>
      </c>
      <c r="C1353" s="5" t="s">
        <v>13</v>
      </c>
      <c r="D1353" s="5" t="s">
        <v>2185</v>
      </c>
      <c r="E1353" s="5" t="s">
        <v>217</v>
      </c>
      <c r="F1353" s="5" t="s">
        <v>2205</v>
      </c>
      <c r="G1353" s="5" t="s">
        <v>154</v>
      </c>
      <c r="H1353" s="5" t="s">
        <v>18</v>
      </c>
      <c r="I1353" s="7" t="s">
        <v>10739</v>
      </c>
    </row>
    <row r="1354">
      <c r="A1354" s="5" t="s">
        <v>2220</v>
      </c>
      <c r="B1354" s="5" t="s">
        <v>2221</v>
      </c>
      <c r="D1354" s="5" t="s">
        <v>2208</v>
      </c>
      <c r="E1354" s="5" t="s">
        <v>345</v>
      </c>
      <c r="F1354" s="5" t="s">
        <v>2222</v>
      </c>
      <c r="G1354" s="5" t="s">
        <v>949</v>
      </c>
      <c r="H1354" s="5" t="s">
        <v>18</v>
      </c>
      <c r="I1354" s="17" t="s">
        <v>10740</v>
      </c>
    </row>
    <row r="1355">
      <c r="A1355" s="5" t="s">
        <v>2207</v>
      </c>
      <c r="B1355" s="5" t="s">
        <v>480</v>
      </c>
      <c r="C1355" s="5" t="s">
        <v>13</v>
      </c>
      <c r="D1355" s="5" t="s">
        <v>2208</v>
      </c>
      <c r="E1355" s="5" t="s">
        <v>1123</v>
      </c>
      <c r="F1355" s="5" t="s">
        <v>2209</v>
      </c>
      <c r="G1355" s="5" t="s">
        <v>137</v>
      </c>
      <c r="H1355" s="5" t="s">
        <v>18</v>
      </c>
      <c r="I1355" s="7" t="s">
        <v>2210</v>
      </c>
    </row>
    <row r="1356">
      <c r="A1356" s="5" t="s">
        <v>2211</v>
      </c>
      <c r="B1356" s="5" t="s">
        <v>2212</v>
      </c>
      <c r="C1356" s="5" t="s">
        <v>13</v>
      </c>
      <c r="D1356" s="5" t="s">
        <v>2208</v>
      </c>
      <c r="E1356" s="5" t="s">
        <v>2213</v>
      </c>
      <c r="F1356" s="5" t="s">
        <v>2209</v>
      </c>
      <c r="G1356" s="5" t="s">
        <v>137</v>
      </c>
      <c r="H1356" s="5" t="s">
        <v>18</v>
      </c>
      <c r="I1356" s="17" t="s">
        <v>10741</v>
      </c>
    </row>
    <row r="1357">
      <c r="A1357" s="5" t="s">
        <v>2215</v>
      </c>
      <c r="B1357" s="5" t="s">
        <v>2216</v>
      </c>
      <c r="C1357" s="5" t="s">
        <v>13</v>
      </c>
      <c r="D1357" s="5" t="s">
        <v>2208</v>
      </c>
      <c r="E1357" s="5" t="s">
        <v>1364</v>
      </c>
      <c r="F1357" s="5" t="s">
        <v>2209</v>
      </c>
      <c r="G1357" s="5" t="s">
        <v>137</v>
      </c>
      <c r="H1357" s="5" t="s">
        <v>18</v>
      </c>
      <c r="I1357" s="7" t="s">
        <v>2217</v>
      </c>
    </row>
    <row r="1358">
      <c r="A1358" s="5" t="s">
        <v>2218</v>
      </c>
      <c r="B1358" s="5" t="s">
        <v>25</v>
      </c>
      <c r="C1358" s="5" t="s">
        <v>13</v>
      </c>
      <c r="D1358" s="5" t="s">
        <v>2208</v>
      </c>
      <c r="E1358" s="5" t="s">
        <v>175</v>
      </c>
      <c r="F1358" s="5" t="s">
        <v>1532</v>
      </c>
      <c r="G1358" s="5" t="s">
        <v>945</v>
      </c>
      <c r="H1358" s="5" t="s">
        <v>18</v>
      </c>
      <c r="I1358" s="7" t="s">
        <v>2219</v>
      </c>
    </row>
    <row r="1359">
      <c r="A1359" s="5" t="s">
        <v>2220</v>
      </c>
      <c r="B1359" s="5" t="s">
        <v>2221</v>
      </c>
      <c r="C1359" s="5" t="s">
        <v>13</v>
      </c>
      <c r="D1359" s="5" t="s">
        <v>2208</v>
      </c>
      <c r="E1359" s="5" t="s">
        <v>345</v>
      </c>
      <c r="F1359" s="5" t="s">
        <v>2222</v>
      </c>
      <c r="G1359" s="5" t="s">
        <v>949</v>
      </c>
      <c r="H1359" s="5" t="s">
        <v>18</v>
      </c>
      <c r="I1359" s="17" t="s">
        <v>10742</v>
      </c>
    </row>
    <row r="1360">
      <c r="A1360" s="5" t="s">
        <v>2224</v>
      </c>
      <c r="B1360" s="5" t="s">
        <v>2225</v>
      </c>
      <c r="C1360" s="5" t="s">
        <v>13</v>
      </c>
      <c r="D1360" s="5" t="s">
        <v>2208</v>
      </c>
      <c r="E1360" s="5" t="s">
        <v>100</v>
      </c>
      <c r="F1360" s="5" t="s">
        <v>80</v>
      </c>
      <c r="G1360" s="5" t="s">
        <v>38</v>
      </c>
      <c r="H1360" s="5" t="s">
        <v>18</v>
      </c>
      <c r="I1360" s="7" t="s">
        <v>2226</v>
      </c>
    </row>
    <row r="1361">
      <c r="A1361" s="5" t="s">
        <v>2227</v>
      </c>
      <c r="B1361" s="5" t="s">
        <v>480</v>
      </c>
      <c r="C1361" s="5" t="s">
        <v>13</v>
      </c>
      <c r="D1361" s="5" t="s">
        <v>2208</v>
      </c>
      <c r="E1361" s="5" t="s">
        <v>26</v>
      </c>
      <c r="F1361" s="5" t="s">
        <v>80</v>
      </c>
      <c r="G1361" s="5" t="s">
        <v>38</v>
      </c>
      <c r="H1361" s="5" t="s">
        <v>18</v>
      </c>
      <c r="I1361" s="7" t="s">
        <v>2228</v>
      </c>
    </row>
    <row r="1362">
      <c r="A1362" s="5" t="s">
        <v>2229</v>
      </c>
      <c r="B1362" s="5" t="s">
        <v>2225</v>
      </c>
      <c r="C1362" s="5" t="s">
        <v>13</v>
      </c>
      <c r="D1362" s="5" t="s">
        <v>2208</v>
      </c>
      <c r="E1362" s="5" t="s">
        <v>1846</v>
      </c>
      <c r="F1362" s="5" t="s">
        <v>80</v>
      </c>
      <c r="G1362" s="5" t="s">
        <v>38</v>
      </c>
      <c r="H1362" s="5" t="s">
        <v>18</v>
      </c>
      <c r="I1362" s="7" t="s">
        <v>2230</v>
      </c>
    </row>
    <row r="1363">
      <c r="A1363" s="5" t="s">
        <v>2231</v>
      </c>
      <c r="B1363" s="5" t="s">
        <v>480</v>
      </c>
      <c r="C1363" s="5" t="s">
        <v>13</v>
      </c>
      <c r="D1363" s="5" t="s">
        <v>2208</v>
      </c>
      <c r="E1363" s="5" t="s">
        <v>1407</v>
      </c>
      <c r="F1363" s="5" t="s">
        <v>80</v>
      </c>
      <c r="G1363" s="5" t="s">
        <v>38</v>
      </c>
      <c r="H1363" s="5" t="s">
        <v>18</v>
      </c>
      <c r="I1363" s="7" t="s">
        <v>2232</v>
      </c>
    </row>
    <row r="1364">
      <c r="A1364" s="5" t="s">
        <v>2233</v>
      </c>
      <c r="B1364" s="5" t="s">
        <v>2225</v>
      </c>
      <c r="C1364" s="5" t="s">
        <v>13</v>
      </c>
      <c r="D1364" s="5" t="s">
        <v>2208</v>
      </c>
      <c r="E1364" s="5" t="s">
        <v>26</v>
      </c>
      <c r="F1364" s="5" t="s">
        <v>2234</v>
      </c>
      <c r="G1364" s="5" t="s">
        <v>184</v>
      </c>
      <c r="H1364" s="5" t="s">
        <v>18</v>
      </c>
      <c r="I1364" s="7" t="s">
        <v>2235</v>
      </c>
    </row>
    <row r="1365">
      <c r="A1365" s="5" t="s">
        <v>2236</v>
      </c>
      <c r="B1365" s="5" t="s">
        <v>2225</v>
      </c>
      <c r="C1365" s="5" t="s">
        <v>13</v>
      </c>
      <c r="D1365" s="5" t="s">
        <v>2208</v>
      </c>
      <c r="E1365" s="5" t="s">
        <v>1364</v>
      </c>
      <c r="F1365" s="5" t="s">
        <v>2234</v>
      </c>
      <c r="G1365" s="5" t="s">
        <v>184</v>
      </c>
      <c r="H1365" s="5" t="s">
        <v>18</v>
      </c>
      <c r="I1365" s="7" t="s">
        <v>2237</v>
      </c>
    </row>
    <row r="1366">
      <c r="A1366" s="5" t="s">
        <v>2238</v>
      </c>
      <c r="B1366" s="5" t="s">
        <v>480</v>
      </c>
      <c r="C1366" s="5" t="s">
        <v>13</v>
      </c>
      <c r="D1366" s="5" t="s">
        <v>2208</v>
      </c>
      <c r="E1366" s="5" t="s">
        <v>1634</v>
      </c>
      <c r="F1366" s="5" t="s">
        <v>2234</v>
      </c>
      <c r="G1366" s="5" t="s">
        <v>184</v>
      </c>
      <c r="H1366" s="5" t="s">
        <v>18</v>
      </c>
      <c r="I1366" s="7" t="s">
        <v>2239</v>
      </c>
    </row>
    <row r="1367">
      <c r="A1367" s="5" t="s">
        <v>2240</v>
      </c>
      <c r="B1367" s="5" t="s">
        <v>2225</v>
      </c>
      <c r="C1367" s="5" t="s">
        <v>13</v>
      </c>
      <c r="D1367" s="5" t="s">
        <v>2208</v>
      </c>
      <c r="E1367" s="5" t="s">
        <v>2241</v>
      </c>
      <c r="F1367" s="5" t="s">
        <v>112</v>
      </c>
      <c r="G1367" s="5" t="s">
        <v>38</v>
      </c>
      <c r="H1367" s="5" t="s">
        <v>18</v>
      </c>
      <c r="I1367" s="7" t="s">
        <v>2242</v>
      </c>
    </row>
    <row r="1368">
      <c r="A1368" s="5" t="s">
        <v>2243</v>
      </c>
      <c r="B1368" s="5" t="s">
        <v>2225</v>
      </c>
      <c r="C1368" s="5" t="s">
        <v>13</v>
      </c>
      <c r="D1368" s="5" t="s">
        <v>2208</v>
      </c>
      <c r="E1368" s="5" t="s">
        <v>94</v>
      </c>
      <c r="F1368" s="5" t="s">
        <v>1527</v>
      </c>
      <c r="G1368" s="5" t="s">
        <v>945</v>
      </c>
      <c r="H1368" s="5" t="s">
        <v>18</v>
      </c>
      <c r="I1368" s="7" t="s">
        <v>2244</v>
      </c>
    </row>
    <row r="1369">
      <c r="A1369" s="5" t="s">
        <v>2245</v>
      </c>
      <c r="B1369" s="5" t="s">
        <v>480</v>
      </c>
      <c r="C1369" s="5" t="s">
        <v>13</v>
      </c>
      <c r="D1369" s="5" t="s">
        <v>2208</v>
      </c>
      <c r="E1369" s="5" t="s">
        <v>182</v>
      </c>
      <c r="F1369" s="5" t="s">
        <v>2100</v>
      </c>
      <c r="G1369" s="5" t="s">
        <v>264</v>
      </c>
      <c r="H1369" s="5" t="s">
        <v>18</v>
      </c>
      <c r="I1369" s="7" t="s">
        <v>2246</v>
      </c>
    </row>
    <row r="1370">
      <c r="A1370" s="5" t="s">
        <v>2247</v>
      </c>
      <c r="B1370" s="5" t="s">
        <v>2225</v>
      </c>
      <c r="C1370" s="5" t="s">
        <v>13</v>
      </c>
      <c r="D1370" s="5" t="s">
        <v>2208</v>
      </c>
      <c r="E1370" s="5" t="s">
        <v>53</v>
      </c>
      <c r="F1370" s="5" t="s">
        <v>2248</v>
      </c>
      <c r="G1370" s="5" t="s">
        <v>38</v>
      </c>
      <c r="H1370" s="5" t="s">
        <v>18</v>
      </c>
      <c r="I1370" s="7" t="s">
        <v>2249</v>
      </c>
    </row>
    <row r="1371">
      <c r="A1371" s="5" t="s">
        <v>2250</v>
      </c>
      <c r="B1371" s="5" t="s">
        <v>2251</v>
      </c>
      <c r="C1371" s="5" t="s">
        <v>13</v>
      </c>
      <c r="D1371" s="5" t="s">
        <v>2208</v>
      </c>
      <c r="E1371" s="5" t="s">
        <v>2252</v>
      </c>
      <c r="F1371" s="5" t="s">
        <v>2253</v>
      </c>
      <c r="G1371" s="5" t="s">
        <v>203</v>
      </c>
      <c r="H1371" s="5" t="s">
        <v>18</v>
      </c>
      <c r="I1371" s="17" t="s">
        <v>10743</v>
      </c>
    </row>
    <row r="1372">
      <c r="A1372" s="5" t="s">
        <v>2255</v>
      </c>
      <c r="B1372" s="5" t="s">
        <v>2256</v>
      </c>
      <c r="C1372" s="5" t="s">
        <v>13</v>
      </c>
      <c r="D1372" s="5" t="s">
        <v>2208</v>
      </c>
      <c r="E1372" s="5" t="s">
        <v>26</v>
      </c>
      <c r="F1372" s="5" t="s">
        <v>2257</v>
      </c>
      <c r="G1372" s="5" t="s">
        <v>17</v>
      </c>
      <c r="H1372" s="5" t="s">
        <v>18</v>
      </c>
      <c r="I1372" s="7" t="s">
        <v>2258</v>
      </c>
    </row>
    <row r="1373">
      <c r="A1373" s="5" t="s">
        <v>2259</v>
      </c>
      <c r="B1373" s="5" t="s">
        <v>2225</v>
      </c>
      <c r="C1373" s="5" t="s">
        <v>13</v>
      </c>
      <c r="D1373" s="5" t="s">
        <v>2208</v>
      </c>
      <c r="E1373" s="5" t="s">
        <v>1371</v>
      </c>
      <c r="F1373" s="5" t="s">
        <v>137</v>
      </c>
      <c r="G1373" s="5" t="s">
        <v>137</v>
      </c>
      <c r="H1373" s="5" t="s">
        <v>18</v>
      </c>
      <c r="I1373" s="7" t="s">
        <v>2260</v>
      </c>
    </row>
    <row r="1374">
      <c r="A1374" s="5" t="s">
        <v>2261</v>
      </c>
      <c r="B1374" s="5" t="s">
        <v>2225</v>
      </c>
      <c r="C1374" s="5" t="s">
        <v>13</v>
      </c>
      <c r="D1374" s="5" t="s">
        <v>2208</v>
      </c>
      <c r="E1374" s="5" t="s">
        <v>100</v>
      </c>
      <c r="F1374" s="5" t="s">
        <v>2262</v>
      </c>
      <c r="G1374" s="5" t="s">
        <v>184</v>
      </c>
      <c r="H1374" s="5" t="s">
        <v>18</v>
      </c>
      <c r="I1374" s="7" t="s">
        <v>2263</v>
      </c>
    </row>
    <row r="1375">
      <c r="A1375" s="5" t="s">
        <v>2264</v>
      </c>
      <c r="B1375" s="5" t="s">
        <v>480</v>
      </c>
      <c r="C1375" s="5" t="s">
        <v>13</v>
      </c>
      <c r="D1375" s="5" t="s">
        <v>2208</v>
      </c>
      <c r="E1375" s="5" t="s">
        <v>2265</v>
      </c>
      <c r="F1375" s="5" t="s">
        <v>2266</v>
      </c>
      <c r="G1375" s="5" t="s">
        <v>949</v>
      </c>
      <c r="H1375" s="5" t="s">
        <v>18</v>
      </c>
      <c r="I1375" s="17" t="s">
        <v>10744</v>
      </c>
    </row>
    <row r="1376">
      <c r="A1376" s="5" t="s">
        <v>2268</v>
      </c>
      <c r="B1376" s="5" t="s">
        <v>2225</v>
      </c>
      <c r="C1376" s="5" t="s">
        <v>13</v>
      </c>
      <c r="D1376" s="5" t="s">
        <v>2208</v>
      </c>
      <c r="E1376" s="5" t="s">
        <v>2269</v>
      </c>
      <c r="F1376" s="5" t="s">
        <v>2270</v>
      </c>
      <c r="G1376" s="5" t="s">
        <v>44</v>
      </c>
      <c r="H1376" s="5" t="s">
        <v>18</v>
      </c>
      <c r="I1376" s="7" t="s">
        <v>2271</v>
      </c>
    </row>
    <row r="1377">
      <c r="A1377" s="5" t="s">
        <v>2272</v>
      </c>
      <c r="B1377" s="5" t="s">
        <v>480</v>
      </c>
      <c r="C1377" s="5" t="s">
        <v>13</v>
      </c>
      <c r="D1377" s="5" t="s">
        <v>2208</v>
      </c>
      <c r="E1377" s="5" t="s">
        <v>1098</v>
      </c>
      <c r="F1377" s="5" t="s">
        <v>299</v>
      </c>
      <c r="G1377" s="5" t="s">
        <v>44</v>
      </c>
      <c r="H1377" s="5" t="s">
        <v>18</v>
      </c>
      <c r="I1377" s="7" t="s">
        <v>2273</v>
      </c>
    </row>
    <row r="1378">
      <c r="A1378" s="5" t="s">
        <v>2274</v>
      </c>
      <c r="B1378" s="5" t="s">
        <v>2275</v>
      </c>
      <c r="C1378" s="5" t="s">
        <v>13</v>
      </c>
      <c r="D1378" s="5" t="s">
        <v>2208</v>
      </c>
      <c r="E1378" s="5" t="s">
        <v>2276</v>
      </c>
      <c r="F1378" s="5" t="s">
        <v>311</v>
      </c>
      <c r="G1378" s="5" t="s">
        <v>102</v>
      </c>
      <c r="H1378" s="5" t="s">
        <v>18</v>
      </c>
      <c r="I1378" s="7" t="s">
        <v>2277</v>
      </c>
    </row>
    <row r="1379">
      <c r="A1379" s="5" t="s">
        <v>2278</v>
      </c>
      <c r="B1379" s="5" t="s">
        <v>2279</v>
      </c>
      <c r="C1379" s="5" t="s">
        <v>13</v>
      </c>
      <c r="D1379" s="5" t="s">
        <v>2208</v>
      </c>
      <c r="E1379" s="5" t="s">
        <v>2035</v>
      </c>
      <c r="F1379" s="5" t="s">
        <v>1131</v>
      </c>
      <c r="G1379" s="5" t="s">
        <v>203</v>
      </c>
      <c r="H1379" s="5" t="s">
        <v>18</v>
      </c>
      <c r="I1379" s="7" t="s">
        <v>2280</v>
      </c>
    </row>
    <row r="1380">
      <c r="A1380" s="5" t="s">
        <v>2281</v>
      </c>
      <c r="B1380" s="5" t="s">
        <v>2216</v>
      </c>
      <c r="C1380" s="5" t="s">
        <v>13</v>
      </c>
      <c r="D1380" s="5" t="s">
        <v>2208</v>
      </c>
      <c r="E1380" s="5" t="s">
        <v>74</v>
      </c>
      <c r="F1380" s="5" t="s">
        <v>2282</v>
      </c>
      <c r="G1380" s="5" t="s">
        <v>224</v>
      </c>
      <c r="H1380" s="5" t="s">
        <v>18</v>
      </c>
      <c r="I1380" s="7" t="s">
        <v>2283</v>
      </c>
    </row>
    <row r="1381">
      <c r="A1381" s="5" t="s">
        <v>2284</v>
      </c>
      <c r="B1381" s="5" t="s">
        <v>2285</v>
      </c>
      <c r="C1381" s="5" t="s">
        <v>13</v>
      </c>
      <c r="D1381" s="5" t="s">
        <v>2208</v>
      </c>
      <c r="E1381" s="5" t="s">
        <v>228</v>
      </c>
      <c r="F1381" s="5" t="s">
        <v>102</v>
      </c>
      <c r="G1381" s="5" t="s">
        <v>172</v>
      </c>
      <c r="H1381" s="5" t="s">
        <v>18</v>
      </c>
      <c r="I1381" s="7" t="s">
        <v>2286</v>
      </c>
    </row>
    <row r="1382">
      <c r="A1382" s="5" t="s">
        <v>2287</v>
      </c>
      <c r="B1382" s="5" t="s">
        <v>2225</v>
      </c>
      <c r="C1382" s="5" t="s">
        <v>13</v>
      </c>
      <c r="D1382" s="5" t="s">
        <v>2208</v>
      </c>
      <c r="E1382" s="5" t="s">
        <v>2288</v>
      </c>
      <c r="F1382" s="5" t="s">
        <v>102</v>
      </c>
      <c r="G1382" s="5" t="s">
        <v>172</v>
      </c>
      <c r="H1382" s="5" t="s">
        <v>18</v>
      </c>
      <c r="I1382" s="7" t="s">
        <v>2289</v>
      </c>
    </row>
    <row r="1383">
      <c r="A1383" s="5" t="s">
        <v>2290</v>
      </c>
      <c r="B1383" s="5" t="s">
        <v>480</v>
      </c>
      <c r="C1383" s="5" t="s">
        <v>13</v>
      </c>
      <c r="D1383" s="5" t="s">
        <v>2208</v>
      </c>
      <c r="F1383" s="5" t="s">
        <v>102</v>
      </c>
      <c r="G1383" s="5" t="s">
        <v>172</v>
      </c>
      <c r="H1383" s="5" t="s">
        <v>18</v>
      </c>
      <c r="I1383" s="7" t="s">
        <v>2291</v>
      </c>
    </row>
    <row r="1384">
      <c r="A1384" s="5" t="s">
        <v>2292</v>
      </c>
      <c r="B1384" s="5" t="s">
        <v>2225</v>
      </c>
      <c r="C1384" s="5" t="s">
        <v>13</v>
      </c>
      <c r="D1384" s="5" t="s">
        <v>2208</v>
      </c>
      <c r="E1384" s="5" t="s">
        <v>1421</v>
      </c>
      <c r="F1384" s="5" t="s">
        <v>2293</v>
      </c>
      <c r="G1384" s="5" t="s">
        <v>137</v>
      </c>
      <c r="H1384" s="5" t="s">
        <v>18</v>
      </c>
      <c r="I1384" s="7" t="s">
        <v>2294</v>
      </c>
    </row>
    <row r="1385">
      <c r="A1385" s="5" t="s">
        <v>9212</v>
      </c>
      <c r="B1385" s="5" t="s">
        <v>9213</v>
      </c>
      <c r="D1385" s="5" t="s">
        <v>9214</v>
      </c>
      <c r="E1385" s="5" t="s">
        <v>222</v>
      </c>
      <c r="F1385" s="5" t="s">
        <v>5280</v>
      </c>
      <c r="G1385" s="5" t="s">
        <v>4638</v>
      </c>
      <c r="H1385" s="5" t="s">
        <v>4600</v>
      </c>
      <c r="I1385" s="18" t="s">
        <v>10745</v>
      </c>
    </row>
    <row r="1386">
      <c r="A1386" s="5" t="s">
        <v>4832</v>
      </c>
      <c r="B1386" s="5" t="s">
        <v>1896</v>
      </c>
      <c r="D1386" s="5" t="s">
        <v>2297</v>
      </c>
      <c r="E1386" s="5" t="s">
        <v>4141</v>
      </c>
      <c r="F1386" s="5" t="s">
        <v>4833</v>
      </c>
      <c r="G1386" s="5" t="s">
        <v>76</v>
      </c>
      <c r="H1386" s="5" t="s">
        <v>18</v>
      </c>
      <c r="I1386" s="7" t="s">
        <v>4831</v>
      </c>
    </row>
    <row r="1387">
      <c r="A1387" s="5" t="s">
        <v>5101</v>
      </c>
      <c r="B1387" s="5" t="s">
        <v>5102</v>
      </c>
      <c r="D1387" s="5" t="s">
        <v>2297</v>
      </c>
      <c r="E1387" s="5" t="s">
        <v>574</v>
      </c>
      <c r="F1387" s="5" t="s">
        <v>4537</v>
      </c>
      <c r="G1387" s="5" t="s">
        <v>137</v>
      </c>
      <c r="H1387" s="5" t="s">
        <v>18</v>
      </c>
      <c r="I1387" s="7" t="s">
        <v>5100</v>
      </c>
    </row>
    <row r="1388">
      <c r="A1388" s="5" t="s">
        <v>5250</v>
      </c>
      <c r="B1388" s="5" t="s">
        <v>5251</v>
      </c>
      <c r="D1388" s="5" t="s">
        <v>2297</v>
      </c>
      <c r="E1388" s="5" t="s">
        <v>351</v>
      </c>
      <c r="F1388" s="5" t="s">
        <v>1914</v>
      </c>
      <c r="G1388" s="5" t="s">
        <v>378</v>
      </c>
      <c r="H1388" s="5" t="s">
        <v>18</v>
      </c>
      <c r="I1388" s="17" t="s">
        <v>10746</v>
      </c>
    </row>
    <row r="1389">
      <c r="A1389" s="5" t="s">
        <v>5855</v>
      </c>
      <c r="B1389" s="5" t="s">
        <v>4749</v>
      </c>
      <c r="D1389" s="5" t="s">
        <v>2297</v>
      </c>
      <c r="E1389" s="5" t="s">
        <v>144</v>
      </c>
      <c r="F1389" s="5" t="s">
        <v>80</v>
      </c>
      <c r="G1389" s="5" t="s">
        <v>38</v>
      </c>
      <c r="H1389" s="5" t="s">
        <v>18</v>
      </c>
      <c r="I1389" s="7" t="s">
        <v>5854</v>
      </c>
    </row>
    <row r="1390">
      <c r="A1390" s="5" t="s">
        <v>5911</v>
      </c>
      <c r="B1390" s="5" t="s">
        <v>5912</v>
      </c>
      <c r="D1390" s="5" t="s">
        <v>2297</v>
      </c>
      <c r="E1390" s="5" t="s">
        <v>15</v>
      </c>
      <c r="F1390" s="5" t="s">
        <v>80</v>
      </c>
      <c r="G1390" s="5" t="s">
        <v>38</v>
      </c>
      <c r="H1390" s="5" t="s">
        <v>18</v>
      </c>
      <c r="I1390" s="17" t="s">
        <v>10747</v>
      </c>
    </row>
    <row r="1391">
      <c r="A1391" s="5" t="s">
        <v>5993</v>
      </c>
      <c r="B1391" s="5" t="s">
        <v>4749</v>
      </c>
      <c r="D1391" s="5" t="s">
        <v>2297</v>
      </c>
      <c r="E1391" s="5" t="s">
        <v>188</v>
      </c>
      <c r="F1391" s="5" t="s">
        <v>5994</v>
      </c>
      <c r="G1391" s="5" t="s">
        <v>781</v>
      </c>
      <c r="H1391" s="5" t="s">
        <v>18</v>
      </c>
      <c r="I1391" s="7" t="s">
        <v>5992</v>
      </c>
    </row>
    <row r="1392">
      <c r="A1392" s="5" t="s">
        <v>6170</v>
      </c>
      <c r="B1392" s="5" t="s">
        <v>6171</v>
      </c>
      <c r="D1392" s="5" t="s">
        <v>2297</v>
      </c>
      <c r="E1392" s="5" t="s">
        <v>694</v>
      </c>
      <c r="F1392" s="5" t="s">
        <v>6165</v>
      </c>
      <c r="G1392" s="5" t="s">
        <v>4606</v>
      </c>
      <c r="H1392" s="5" t="s">
        <v>4607</v>
      </c>
      <c r="I1392" s="7" t="s">
        <v>6169</v>
      </c>
    </row>
    <row r="1393">
      <c r="A1393" s="5" t="s">
        <v>6778</v>
      </c>
      <c r="B1393" s="5" t="s">
        <v>6779</v>
      </c>
      <c r="D1393" s="5" t="s">
        <v>2297</v>
      </c>
      <c r="E1393" s="5" t="s">
        <v>387</v>
      </c>
      <c r="F1393" s="5" t="s">
        <v>6577</v>
      </c>
      <c r="G1393" s="5" t="s">
        <v>4757</v>
      </c>
      <c r="H1393" s="5" t="s">
        <v>4607</v>
      </c>
      <c r="I1393" s="17" t="s">
        <v>10748</v>
      </c>
    </row>
    <row r="1394">
      <c r="A1394" s="5" t="s">
        <v>6968</v>
      </c>
      <c r="B1394" s="5" t="s">
        <v>6969</v>
      </c>
      <c r="D1394" s="5" t="s">
        <v>2297</v>
      </c>
      <c r="E1394" s="5" t="s">
        <v>446</v>
      </c>
      <c r="F1394" s="5" t="s">
        <v>6577</v>
      </c>
      <c r="G1394" s="5" t="s">
        <v>4757</v>
      </c>
      <c r="H1394" s="5" t="s">
        <v>4607</v>
      </c>
      <c r="I1394" s="7" t="s">
        <v>10749</v>
      </c>
    </row>
    <row r="1395">
      <c r="A1395" s="5" t="s">
        <v>7067</v>
      </c>
      <c r="B1395" s="5" t="s">
        <v>6732</v>
      </c>
      <c r="D1395" s="5" t="s">
        <v>2297</v>
      </c>
      <c r="E1395" s="5" t="s">
        <v>1830</v>
      </c>
      <c r="F1395" s="5" t="s">
        <v>6577</v>
      </c>
      <c r="G1395" s="5" t="s">
        <v>4757</v>
      </c>
      <c r="H1395" s="5" t="s">
        <v>4607</v>
      </c>
      <c r="I1395" s="7" t="s">
        <v>7066</v>
      </c>
    </row>
    <row r="1396">
      <c r="A1396" s="5" t="s">
        <v>7085</v>
      </c>
      <c r="B1396" s="5" t="s">
        <v>25</v>
      </c>
      <c r="D1396" s="5" t="s">
        <v>2297</v>
      </c>
      <c r="F1396" s="5" t="s">
        <v>6577</v>
      </c>
      <c r="G1396" s="5" t="s">
        <v>4757</v>
      </c>
      <c r="H1396" s="5" t="s">
        <v>4607</v>
      </c>
      <c r="I1396" s="7" t="s">
        <v>7084</v>
      </c>
    </row>
    <row r="1397">
      <c r="A1397" s="5" t="s">
        <v>7746</v>
      </c>
      <c r="B1397" s="5" t="s">
        <v>4749</v>
      </c>
      <c r="D1397" s="5" t="s">
        <v>2297</v>
      </c>
      <c r="E1397" s="5" t="s">
        <v>63</v>
      </c>
      <c r="F1397" s="5" t="s">
        <v>137</v>
      </c>
      <c r="G1397" s="5" t="s">
        <v>137</v>
      </c>
      <c r="H1397" s="5" t="s">
        <v>18</v>
      </c>
      <c r="I1397" s="7" t="s">
        <v>7745</v>
      </c>
    </row>
    <row r="1398">
      <c r="A1398" s="5" t="s">
        <v>7760</v>
      </c>
      <c r="B1398" s="5" t="s">
        <v>5621</v>
      </c>
      <c r="D1398" s="5" t="s">
        <v>2297</v>
      </c>
      <c r="E1398" s="5" t="s">
        <v>774</v>
      </c>
      <c r="F1398" s="5" t="s">
        <v>137</v>
      </c>
      <c r="G1398" s="5" t="s">
        <v>137</v>
      </c>
      <c r="H1398" s="5" t="s">
        <v>18</v>
      </c>
      <c r="I1398" s="7" t="s">
        <v>7759</v>
      </c>
    </row>
    <row r="1399">
      <c r="A1399" s="5" t="s">
        <v>7762</v>
      </c>
      <c r="B1399" s="5" t="s">
        <v>7763</v>
      </c>
      <c r="D1399" s="5" t="s">
        <v>2297</v>
      </c>
      <c r="E1399" s="5" t="s">
        <v>579</v>
      </c>
      <c r="F1399" s="5" t="s">
        <v>137</v>
      </c>
      <c r="G1399" s="5" t="s">
        <v>137</v>
      </c>
      <c r="H1399" s="5" t="s">
        <v>18</v>
      </c>
      <c r="I1399" s="7" t="s">
        <v>10750</v>
      </c>
    </row>
    <row r="1400">
      <c r="A1400" s="5" t="s">
        <v>7805</v>
      </c>
      <c r="B1400" s="5" t="s">
        <v>7806</v>
      </c>
      <c r="D1400" s="5" t="s">
        <v>2297</v>
      </c>
      <c r="E1400" s="5" t="s">
        <v>909</v>
      </c>
      <c r="F1400" s="5" t="s">
        <v>137</v>
      </c>
      <c r="G1400" s="5" t="s">
        <v>137</v>
      </c>
      <c r="H1400" s="5" t="s">
        <v>18</v>
      </c>
      <c r="I1400" s="7" t="s">
        <v>7804</v>
      </c>
    </row>
    <row r="1401">
      <c r="A1401" s="5" t="s">
        <v>7825</v>
      </c>
      <c r="B1401" s="5" t="s">
        <v>4749</v>
      </c>
      <c r="D1401" s="5" t="s">
        <v>2297</v>
      </c>
      <c r="E1401" s="5" t="s">
        <v>339</v>
      </c>
      <c r="F1401" s="5" t="s">
        <v>137</v>
      </c>
      <c r="G1401" s="5" t="s">
        <v>137</v>
      </c>
      <c r="H1401" s="5" t="s">
        <v>18</v>
      </c>
      <c r="I1401" s="7" t="s">
        <v>7824</v>
      </c>
    </row>
    <row r="1402">
      <c r="A1402" s="5" t="s">
        <v>7827</v>
      </c>
      <c r="B1402" s="5" t="s">
        <v>7828</v>
      </c>
      <c r="D1402" s="5" t="s">
        <v>2297</v>
      </c>
      <c r="E1402" s="5" t="s">
        <v>500</v>
      </c>
      <c r="F1402" s="5" t="s">
        <v>137</v>
      </c>
      <c r="G1402" s="5" t="s">
        <v>137</v>
      </c>
      <c r="H1402" s="5" t="s">
        <v>18</v>
      </c>
      <c r="I1402" s="7" t="s">
        <v>7826</v>
      </c>
    </row>
    <row r="1403">
      <c r="A1403" s="5" t="s">
        <v>7878</v>
      </c>
      <c r="B1403" s="5" t="s">
        <v>7879</v>
      </c>
      <c r="D1403" s="5" t="s">
        <v>2297</v>
      </c>
      <c r="E1403" s="5" t="s">
        <v>268</v>
      </c>
      <c r="F1403" s="5" t="s">
        <v>137</v>
      </c>
      <c r="G1403" s="5" t="s">
        <v>137</v>
      </c>
      <c r="H1403" s="5" t="s">
        <v>18</v>
      </c>
      <c r="I1403" s="17" t="s">
        <v>10751</v>
      </c>
    </row>
    <row r="1404">
      <c r="A1404" s="5" t="s">
        <v>7881</v>
      </c>
      <c r="B1404" s="5" t="s">
        <v>7882</v>
      </c>
      <c r="D1404" s="5" t="s">
        <v>2297</v>
      </c>
      <c r="E1404" s="5" t="s">
        <v>512</v>
      </c>
      <c r="F1404" s="5" t="s">
        <v>137</v>
      </c>
      <c r="G1404" s="5" t="s">
        <v>137</v>
      </c>
      <c r="H1404" s="5" t="s">
        <v>18</v>
      </c>
      <c r="I1404" s="17" t="s">
        <v>10752</v>
      </c>
    </row>
    <row r="1405">
      <c r="A1405" s="5" t="s">
        <v>7892</v>
      </c>
      <c r="B1405" s="5" t="s">
        <v>7893</v>
      </c>
      <c r="D1405" s="5" t="s">
        <v>2297</v>
      </c>
      <c r="E1405" s="5" t="s">
        <v>339</v>
      </c>
      <c r="F1405" s="5" t="s">
        <v>137</v>
      </c>
      <c r="G1405" s="5" t="s">
        <v>137</v>
      </c>
      <c r="H1405" s="5" t="s">
        <v>18</v>
      </c>
      <c r="I1405" s="17" t="s">
        <v>10753</v>
      </c>
    </row>
    <row r="1406">
      <c r="A1406" s="5" t="s">
        <v>7904</v>
      </c>
      <c r="B1406" s="5" t="s">
        <v>7905</v>
      </c>
      <c r="D1406" s="5" t="s">
        <v>2297</v>
      </c>
      <c r="E1406" s="5" t="s">
        <v>63</v>
      </c>
      <c r="F1406" s="5" t="s">
        <v>137</v>
      </c>
      <c r="G1406" s="5" t="s">
        <v>137</v>
      </c>
      <c r="H1406" s="5" t="s">
        <v>18</v>
      </c>
      <c r="I1406" s="7" t="s">
        <v>7903</v>
      </c>
    </row>
    <row r="1407">
      <c r="A1407" s="5" t="s">
        <v>7910</v>
      </c>
      <c r="B1407" s="5" t="s">
        <v>7911</v>
      </c>
      <c r="D1407" s="5" t="s">
        <v>2297</v>
      </c>
      <c r="E1407" s="5" t="s">
        <v>909</v>
      </c>
      <c r="F1407" s="5" t="s">
        <v>137</v>
      </c>
      <c r="G1407" s="5" t="s">
        <v>137</v>
      </c>
      <c r="H1407" s="5" t="s">
        <v>18</v>
      </c>
      <c r="I1407" s="7" t="s">
        <v>10754</v>
      </c>
    </row>
    <row r="1408">
      <c r="A1408" s="5" t="s">
        <v>7923</v>
      </c>
      <c r="B1408" s="5" t="s">
        <v>5102</v>
      </c>
      <c r="D1408" s="5" t="s">
        <v>2297</v>
      </c>
      <c r="E1408" s="5" t="s">
        <v>144</v>
      </c>
      <c r="F1408" s="5" t="s">
        <v>137</v>
      </c>
      <c r="G1408" s="5" t="s">
        <v>137</v>
      </c>
      <c r="H1408" s="5" t="s">
        <v>18</v>
      </c>
      <c r="I1408" s="7" t="s">
        <v>7922</v>
      </c>
    </row>
    <row r="1409">
      <c r="A1409" s="5" t="s">
        <v>2334</v>
      </c>
      <c r="B1409" s="5" t="s">
        <v>2335</v>
      </c>
      <c r="D1409" s="5" t="s">
        <v>2297</v>
      </c>
      <c r="E1409" s="5" t="s">
        <v>74</v>
      </c>
      <c r="F1409" s="5" t="s">
        <v>137</v>
      </c>
      <c r="G1409" s="5" t="s">
        <v>137</v>
      </c>
      <c r="H1409" s="5" t="s">
        <v>18</v>
      </c>
      <c r="I1409" s="7" t="s">
        <v>7940</v>
      </c>
    </row>
    <row r="1410">
      <c r="A1410" s="5" t="s">
        <v>7963</v>
      </c>
      <c r="B1410" s="5" t="s">
        <v>4749</v>
      </c>
      <c r="D1410" s="5" t="s">
        <v>2297</v>
      </c>
      <c r="E1410" s="5" t="s">
        <v>500</v>
      </c>
      <c r="F1410" s="5" t="s">
        <v>137</v>
      </c>
      <c r="G1410" s="5" t="s">
        <v>137</v>
      </c>
      <c r="H1410" s="5" t="s">
        <v>18</v>
      </c>
      <c r="I1410" s="7" t="s">
        <v>7962</v>
      </c>
    </row>
    <row r="1411">
      <c r="A1411" s="5" t="s">
        <v>7976</v>
      </c>
      <c r="B1411" s="5" t="s">
        <v>7977</v>
      </c>
      <c r="D1411" s="5" t="s">
        <v>2297</v>
      </c>
      <c r="E1411" s="5" t="s">
        <v>7978</v>
      </c>
      <c r="F1411" s="5" t="s">
        <v>137</v>
      </c>
      <c r="G1411" s="5" t="s">
        <v>137</v>
      </c>
      <c r="H1411" s="5" t="s">
        <v>18</v>
      </c>
      <c r="I1411" s="7" t="s">
        <v>7975</v>
      </c>
    </row>
    <row r="1412">
      <c r="A1412" s="5" t="s">
        <v>8143</v>
      </c>
      <c r="B1412" s="5" t="s">
        <v>8144</v>
      </c>
      <c r="D1412" s="5" t="s">
        <v>2297</v>
      </c>
      <c r="E1412" s="5" t="s">
        <v>60</v>
      </c>
      <c r="F1412" s="5" t="s">
        <v>1437</v>
      </c>
      <c r="G1412" s="5" t="s">
        <v>203</v>
      </c>
      <c r="H1412" s="5" t="s">
        <v>18</v>
      </c>
      <c r="I1412" s="7" t="s">
        <v>8142</v>
      </c>
    </row>
    <row r="1413">
      <c r="A1413" s="5" t="s">
        <v>8146</v>
      </c>
      <c r="B1413" s="5" t="s">
        <v>4749</v>
      </c>
      <c r="D1413" s="5" t="s">
        <v>2297</v>
      </c>
      <c r="E1413" s="5" t="s">
        <v>686</v>
      </c>
      <c r="F1413" s="5" t="s">
        <v>1437</v>
      </c>
      <c r="G1413" s="5" t="s">
        <v>203</v>
      </c>
      <c r="H1413" s="5" t="s">
        <v>18</v>
      </c>
      <c r="I1413" s="7" t="s">
        <v>8145</v>
      </c>
    </row>
    <row r="1414">
      <c r="A1414" s="5" t="s">
        <v>8424</v>
      </c>
      <c r="B1414" s="5" t="s">
        <v>1896</v>
      </c>
      <c r="D1414" s="5" t="s">
        <v>2297</v>
      </c>
      <c r="E1414" s="5" t="s">
        <v>441</v>
      </c>
      <c r="F1414" s="5" t="s">
        <v>8425</v>
      </c>
      <c r="G1414" s="5" t="s">
        <v>96</v>
      </c>
      <c r="H1414" s="5" t="s">
        <v>18</v>
      </c>
      <c r="I1414" s="17" t="s">
        <v>10755</v>
      </c>
    </row>
    <row r="1415">
      <c r="A1415" s="5" t="s">
        <v>8438</v>
      </c>
      <c r="B1415" s="5" t="s">
        <v>8439</v>
      </c>
      <c r="D1415" s="5" t="s">
        <v>2297</v>
      </c>
      <c r="E1415" s="5" t="s">
        <v>1089</v>
      </c>
      <c r="F1415" s="5" t="s">
        <v>8440</v>
      </c>
      <c r="G1415" s="5" t="s">
        <v>137</v>
      </c>
      <c r="H1415" s="5" t="s">
        <v>18</v>
      </c>
      <c r="I1415" s="7" t="s">
        <v>8437</v>
      </c>
    </row>
    <row r="1416">
      <c r="A1416" s="5" t="s">
        <v>8576</v>
      </c>
      <c r="B1416" s="5" t="s">
        <v>4749</v>
      </c>
      <c r="D1416" s="5" t="s">
        <v>2297</v>
      </c>
      <c r="E1416" s="5" t="s">
        <v>188</v>
      </c>
      <c r="F1416" s="5" t="s">
        <v>780</v>
      </c>
      <c r="G1416" s="5" t="s">
        <v>781</v>
      </c>
      <c r="H1416" s="5" t="s">
        <v>18</v>
      </c>
      <c r="I1416" s="7" t="s">
        <v>8575</v>
      </c>
    </row>
    <row r="1417">
      <c r="A1417" s="5" t="s">
        <v>8578</v>
      </c>
      <c r="B1417" s="5" t="s">
        <v>4749</v>
      </c>
      <c r="D1417" s="5" t="s">
        <v>2297</v>
      </c>
      <c r="E1417" s="5" t="s">
        <v>3110</v>
      </c>
      <c r="F1417" s="5" t="s">
        <v>780</v>
      </c>
      <c r="G1417" s="5" t="s">
        <v>781</v>
      </c>
      <c r="H1417" s="5" t="s">
        <v>18</v>
      </c>
      <c r="I1417" s="7" t="s">
        <v>8577</v>
      </c>
    </row>
    <row r="1418">
      <c r="A1418" s="5" t="s">
        <v>8580</v>
      </c>
      <c r="B1418" s="5" t="s">
        <v>4742</v>
      </c>
      <c r="D1418" s="5" t="s">
        <v>2297</v>
      </c>
      <c r="E1418" s="5" t="s">
        <v>441</v>
      </c>
      <c r="F1418" s="5" t="s">
        <v>780</v>
      </c>
      <c r="G1418" s="5" t="s">
        <v>781</v>
      </c>
      <c r="H1418" s="5" t="s">
        <v>18</v>
      </c>
      <c r="I1418" s="17" t="s">
        <v>10756</v>
      </c>
    </row>
    <row r="1419">
      <c r="A1419" s="5" t="s">
        <v>8588</v>
      </c>
      <c r="B1419" s="5" t="s">
        <v>8589</v>
      </c>
      <c r="D1419" s="5" t="s">
        <v>2297</v>
      </c>
      <c r="E1419" s="5" t="s">
        <v>1089</v>
      </c>
      <c r="F1419" s="5" t="s">
        <v>780</v>
      </c>
      <c r="G1419" s="5" t="s">
        <v>781</v>
      </c>
      <c r="H1419" s="5" t="s">
        <v>18</v>
      </c>
      <c r="I1419" s="17" t="s">
        <v>10757</v>
      </c>
    </row>
    <row r="1420">
      <c r="A1420" s="5" t="s">
        <v>9670</v>
      </c>
      <c r="B1420" s="5" t="s">
        <v>5054</v>
      </c>
      <c r="D1420" s="5" t="s">
        <v>2297</v>
      </c>
      <c r="E1420" s="5" t="s">
        <v>409</v>
      </c>
      <c r="F1420" s="5" t="s">
        <v>6577</v>
      </c>
      <c r="G1420" s="5" t="s">
        <v>4757</v>
      </c>
      <c r="H1420" s="5" t="s">
        <v>4607</v>
      </c>
      <c r="I1420" s="7" t="s">
        <v>9669</v>
      </c>
    </row>
    <row r="1421">
      <c r="A1421" s="5" t="s">
        <v>9672</v>
      </c>
      <c r="B1421" s="5" t="s">
        <v>5054</v>
      </c>
      <c r="D1421" s="5" t="s">
        <v>2297</v>
      </c>
      <c r="E1421" s="5" t="s">
        <v>1809</v>
      </c>
      <c r="F1421" s="5" t="s">
        <v>6577</v>
      </c>
      <c r="G1421" s="5" t="s">
        <v>4757</v>
      </c>
      <c r="H1421" s="5" t="s">
        <v>4607</v>
      </c>
      <c r="I1421" s="7" t="s">
        <v>9671</v>
      </c>
    </row>
    <row r="1422">
      <c r="A1422" s="5" t="s">
        <v>2295</v>
      </c>
      <c r="B1422" s="5" t="s">
        <v>2296</v>
      </c>
      <c r="C1422" s="5" t="s">
        <v>13</v>
      </c>
      <c r="D1422" s="5" t="s">
        <v>2297</v>
      </c>
      <c r="E1422" s="5" t="s">
        <v>832</v>
      </c>
      <c r="F1422" s="5" t="s">
        <v>37</v>
      </c>
      <c r="G1422" s="5" t="s">
        <v>38</v>
      </c>
      <c r="H1422" s="5" t="s">
        <v>18</v>
      </c>
      <c r="I1422" s="17" t="s">
        <v>10758</v>
      </c>
    </row>
    <row r="1423">
      <c r="A1423" s="5" t="s">
        <v>2299</v>
      </c>
      <c r="B1423" s="5" t="s">
        <v>2300</v>
      </c>
      <c r="C1423" s="5" t="s">
        <v>13</v>
      </c>
      <c r="D1423" s="5" t="s">
        <v>2297</v>
      </c>
      <c r="E1423" s="5" t="s">
        <v>351</v>
      </c>
      <c r="F1423" s="5" t="s">
        <v>1643</v>
      </c>
      <c r="G1423" s="5" t="s">
        <v>763</v>
      </c>
      <c r="H1423" s="5" t="s">
        <v>18</v>
      </c>
      <c r="I1423" s="7" t="s">
        <v>2301</v>
      </c>
    </row>
    <row r="1424">
      <c r="A1424" s="5" t="s">
        <v>2302</v>
      </c>
      <c r="B1424" s="5" t="s">
        <v>2303</v>
      </c>
      <c r="C1424" s="5" t="s">
        <v>13</v>
      </c>
      <c r="D1424" s="5" t="s">
        <v>2297</v>
      </c>
      <c r="E1424" s="5" t="s">
        <v>165</v>
      </c>
      <c r="F1424" s="5" t="s">
        <v>80</v>
      </c>
      <c r="G1424" s="5" t="s">
        <v>38</v>
      </c>
      <c r="H1424" s="5" t="s">
        <v>18</v>
      </c>
      <c r="I1424" s="7" t="s">
        <v>2304</v>
      </c>
    </row>
    <row r="1425">
      <c r="A1425" s="5" t="s">
        <v>2305</v>
      </c>
      <c r="B1425" s="5" t="s">
        <v>715</v>
      </c>
      <c r="C1425" s="5" t="s">
        <v>13</v>
      </c>
      <c r="D1425" s="5" t="s">
        <v>2297</v>
      </c>
      <c r="E1425" s="5" t="s">
        <v>351</v>
      </c>
      <c r="F1425" s="5" t="s">
        <v>80</v>
      </c>
      <c r="G1425" s="5" t="s">
        <v>38</v>
      </c>
      <c r="H1425" s="5" t="s">
        <v>18</v>
      </c>
      <c r="I1425" s="7" t="s">
        <v>2306</v>
      </c>
    </row>
    <row r="1426">
      <c r="A1426" s="5" t="s">
        <v>2307</v>
      </c>
      <c r="B1426" s="5" t="s">
        <v>2308</v>
      </c>
      <c r="C1426" s="5" t="s">
        <v>13</v>
      </c>
      <c r="D1426" s="5" t="s">
        <v>2297</v>
      </c>
      <c r="E1426" s="5" t="s">
        <v>165</v>
      </c>
      <c r="F1426" s="5" t="s">
        <v>80</v>
      </c>
      <c r="G1426" s="5" t="s">
        <v>38</v>
      </c>
      <c r="H1426" s="5" t="s">
        <v>18</v>
      </c>
      <c r="I1426" s="17" t="s">
        <v>10759</v>
      </c>
    </row>
    <row r="1427">
      <c r="A1427" s="5" t="s">
        <v>2310</v>
      </c>
      <c r="B1427" s="5" t="s">
        <v>715</v>
      </c>
      <c r="C1427" s="5" t="s">
        <v>13</v>
      </c>
      <c r="D1427" s="5" t="s">
        <v>2297</v>
      </c>
      <c r="E1427" s="5" t="s">
        <v>523</v>
      </c>
      <c r="F1427" s="5" t="s">
        <v>80</v>
      </c>
      <c r="G1427" s="5" t="s">
        <v>38</v>
      </c>
      <c r="H1427" s="5" t="s">
        <v>18</v>
      </c>
      <c r="I1427" s="7" t="s">
        <v>2311</v>
      </c>
    </row>
    <row r="1428">
      <c r="A1428" s="5" t="s">
        <v>2312</v>
      </c>
      <c r="B1428" s="5" t="s">
        <v>404</v>
      </c>
      <c r="C1428" s="5" t="s">
        <v>13</v>
      </c>
      <c r="D1428" s="5" t="s">
        <v>2297</v>
      </c>
      <c r="E1428" s="5" t="s">
        <v>339</v>
      </c>
      <c r="F1428" s="5" t="s">
        <v>80</v>
      </c>
      <c r="G1428" s="5" t="s">
        <v>38</v>
      </c>
      <c r="H1428" s="5" t="s">
        <v>18</v>
      </c>
      <c r="I1428" s="7" t="s">
        <v>2313</v>
      </c>
    </row>
    <row r="1429">
      <c r="A1429" s="5" t="s">
        <v>2314</v>
      </c>
      <c r="B1429" s="5" t="s">
        <v>2315</v>
      </c>
      <c r="C1429" s="5" t="s">
        <v>13</v>
      </c>
      <c r="D1429" s="5" t="s">
        <v>2297</v>
      </c>
      <c r="E1429" s="5" t="s">
        <v>222</v>
      </c>
      <c r="F1429" s="5" t="s">
        <v>80</v>
      </c>
      <c r="G1429" s="5" t="s">
        <v>38</v>
      </c>
      <c r="H1429" s="5" t="s">
        <v>18</v>
      </c>
      <c r="I1429" s="18" t="s">
        <v>10760</v>
      </c>
    </row>
    <row r="1430">
      <c r="A1430" s="5" t="s">
        <v>2317</v>
      </c>
      <c r="B1430" s="5" t="s">
        <v>2318</v>
      </c>
      <c r="C1430" s="5" t="s">
        <v>13</v>
      </c>
      <c r="D1430" s="5" t="s">
        <v>2297</v>
      </c>
      <c r="E1430" s="5" t="s">
        <v>222</v>
      </c>
      <c r="F1430" s="5" t="s">
        <v>80</v>
      </c>
      <c r="G1430" s="5" t="s">
        <v>38</v>
      </c>
      <c r="H1430" s="5" t="s">
        <v>18</v>
      </c>
      <c r="I1430" s="17" t="s">
        <v>10761</v>
      </c>
    </row>
    <row r="1431">
      <c r="A1431" s="5" t="s">
        <v>2320</v>
      </c>
      <c r="B1431" s="5" t="s">
        <v>2321</v>
      </c>
      <c r="C1431" s="5" t="s">
        <v>13</v>
      </c>
      <c r="D1431" s="5" t="s">
        <v>2297</v>
      </c>
      <c r="E1431" s="5" t="s">
        <v>2322</v>
      </c>
      <c r="F1431" s="5" t="s">
        <v>1187</v>
      </c>
      <c r="G1431" s="5" t="s">
        <v>96</v>
      </c>
      <c r="H1431" s="5" t="s">
        <v>18</v>
      </c>
      <c r="I1431" s="7" t="s">
        <v>10762</v>
      </c>
    </row>
    <row r="1432">
      <c r="A1432" s="5" t="s">
        <v>2324</v>
      </c>
      <c r="B1432" s="5" t="s">
        <v>2325</v>
      </c>
      <c r="C1432" s="5" t="s">
        <v>13</v>
      </c>
      <c r="D1432" s="5" t="s">
        <v>2297</v>
      </c>
      <c r="E1432" s="5" t="s">
        <v>121</v>
      </c>
      <c r="F1432" s="5" t="s">
        <v>137</v>
      </c>
      <c r="G1432" s="5" t="s">
        <v>137</v>
      </c>
      <c r="H1432" s="5" t="s">
        <v>18</v>
      </c>
      <c r="I1432" s="17" t="s">
        <v>10763</v>
      </c>
    </row>
    <row r="1433">
      <c r="A1433" s="5" t="s">
        <v>2327</v>
      </c>
      <c r="B1433" s="5" t="s">
        <v>25</v>
      </c>
      <c r="C1433" s="5" t="s">
        <v>13</v>
      </c>
      <c r="D1433" s="5" t="s">
        <v>2297</v>
      </c>
      <c r="E1433" s="5" t="s">
        <v>554</v>
      </c>
      <c r="F1433" s="5" t="s">
        <v>137</v>
      </c>
      <c r="G1433" s="5" t="s">
        <v>137</v>
      </c>
      <c r="H1433" s="5" t="s">
        <v>18</v>
      </c>
      <c r="I1433" s="7" t="s">
        <v>2328</v>
      </c>
    </row>
    <row r="1434">
      <c r="A1434" s="5" t="s">
        <v>2329</v>
      </c>
      <c r="B1434" s="5" t="s">
        <v>2325</v>
      </c>
      <c r="C1434" s="5" t="s">
        <v>13</v>
      </c>
      <c r="D1434" s="5" t="s">
        <v>2297</v>
      </c>
      <c r="E1434" s="5" t="s">
        <v>1950</v>
      </c>
      <c r="F1434" s="5" t="s">
        <v>137</v>
      </c>
      <c r="G1434" s="5" t="s">
        <v>137</v>
      </c>
      <c r="H1434" s="5" t="s">
        <v>18</v>
      </c>
      <c r="I1434" s="17" t="s">
        <v>10764</v>
      </c>
    </row>
    <row r="1435">
      <c r="A1435" s="5" t="s">
        <v>2331</v>
      </c>
      <c r="B1435" s="5" t="s">
        <v>2332</v>
      </c>
      <c r="C1435" s="5" t="s">
        <v>13</v>
      </c>
      <c r="D1435" s="5" t="s">
        <v>2297</v>
      </c>
      <c r="E1435" s="5" t="s">
        <v>63</v>
      </c>
      <c r="F1435" s="5" t="s">
        <v>137</v>
      </c>
      <c r="G1435" s="5" t="s">
        <v>137</v>
      </c>
      <c r="H1435" s="5" t="s">
        <v>18</v>
      </c>
      <c r="I1435" s="17" t="s">
        <v>10765</v>
      </c>
    </row>
    <row r="1436">
      <c r="A1436" s="5" t="s">
        <v>2334</v>
      </c>
      <c r="B1436" s="5" t="s">
        <v>2335</v>
      </c>
      <c r="C1436" s="5" t="s">
        <v>13</v>
      </c>
      <c r="D1436" s="5" t="s">
        <v>2297</v>
      </c>
      <c r="E1436" s="5" t="s">
        <v>74</v>
      </c>
      <c r="F1436" s="5" t="s">
        <v>137</v>
      </c>
      <c r="G1436" s="5" t="s">
        <v>137</v>
      </c>
      <c r="H1436" s="5" t="s">
        <v>18</v>
      </c>
      <c r="I1436" s="7" t="s">
        <v>2336</v>
      </c>
    </row>
    <row r="1437">
      <c r="A1437" s="5" t="s">
        <v>2337</v>
      </c>
      <c r="B1437" s="5" t="s">
        <v>2338</v>
      </c>
      <c r="C1437" s="5" t="s">
        <v>13</v>
      </c>
      <c r="D1437" s="5" t="s">
        <v>2297</v>
      </c>
      <c r="E1437" s="5" t="s">
        <v>496</v>
      </c>
      <c r="F1437" s="5" t="s">
        <v>2339</v>
      </c>
      <c r="G1437" s="5" t="s">
        <v>781</v>
      </c>
      <c r="H1437" s="5" t="s">
        <v>18</v>
      </c>
      <c r="I1437" s="17" t="s">
        <v>10766</v>
      </c>
    </row>
    <row r="1438">
      <c r="A1438" s="5" t="s">
        <v>2341</v>
      </c>
      <c r="B1438" s="5" t="s">
        <v>2342</v>
      </c>
      <c r="C1438" s="5" t="s">
        <v>13</v>
      </c>
      <c r="D1438" s="5" t="s">
        <v>2297</v>
      </c>
      <c r="E1438" s="5" t="s">
        <v>579</v>
      </c>
      <c r="F1438" s="5" t="s">
        <v>2343</v>
      </c>
      <c r="G1438" s="5" t="s">
        <v>38</v>
      </c>
      <c r="H1438" s="5" t="s">
        <v>18</v>
      </c>
      <c r="I1438" s="7" t="s">
        <v>2344</v>
      </c>
    </row>
    <row r="1439">
      <c r="A1439" s="5" t="s">
        <v>2345</v>
      </c>
      <c r="B1439" s="5" t="s">
        <v>25</v>
      </c>
      <c r="C1439" s="5" t="s">
        <v>13</v>
      </c>
      <c r="D1439" s="5" t="s">
        <v>2297</v>
      </c>
      <c r="E1439" s="5" t="s">
        <v>2265</v>
      </c>
      <c r="F1439" s="5" t="s">
        <v>780</v>
      </c>
      <c r="G1439" s="5" t="s">
        <v>781</v>
      </c>
      <c r="H1439" s="5" t="s">
        <v>18</v>
      </c>
      <c r="I1439" s="7" t="s">
        <v>2346</v>
      </c>
    </row>
    <row r="1440">
      <c r="A1440" s="5" t="s">
        <v>9390</v>
      </c>
      <c r="B1440" s="5" t="s">
        <v>9391</v>
      </c>
      <c r="D1440" s="5" t="s">
        <v>9392</v>
      </c>
      <c r="E1440" s="5" t="s">
        <v>48</v>
      </c>
      <c r="F1440" s="5" t="s">
        <v>5280</v>
      </c>
      <c r="G1440" s="5" t="s">
        <v>4638</v>
      </c>
      <c r="H1440" s="5" t="s">
        <v>4600</v>
      </c>
      <c r="I1440" s="7" t="s">
        <v>10767</v>
      </c>
    </row>
    <row r="1441">
      <c r="A1441" s="5" t="s">
        <v>9484</v>
      </c>
      <c r="B1441" s="5" t="s">
        <v>9485</v>
      </c>
      <c r="D1441" s="5" t="s">
        <v>9392</v>
      </c>
      <c r="E1441" s="5" t="s">
        <v>9486</v>
      </c>
      <c r="F1441" s="5" t="s">
        <v>5280</v>
      </c>
      <c r="G1441" s="5" t="s">
        <v>4638</v>
      </c>
      <c r="H1441" s="5" t="s">
        <v>4600</v>
      </c>
      <c r="I1441" s="7" t="s">
        <v>10768</v>
      </c>
    </row>
    <row r="1442">
      <c r="A1442" s="5" t="s">
        <v>9556</v>
      </c>
      <c r="B1442" s="5" t="s">
        <v>9391</v>
      </c>
      <c r="D1442" s="5" t="s">
        <v>9392</v>
      </c>
      <c r="E1442" s="5" t="s">
        <v>694</v>
      </c>
      <c r="F1442" s="5" t="s">
        <v>5280</v>
      </c>
      <c r="G1442" s="5" t="s">
        <v>4638</v>
      </c>
      <c r="H1442" s="5" t="s">
        <v>4600</v>
      </c>
      <c r="I1442" s="7" t="s">
        <v>10769</v>
      </c>
    </row>
    <row r="1443">
      <c r="A1443" s="5" t="s">
        <v>4765</v>
      </c>
      <c r="B1443" s="5" t="s">
        <v>4766</v>
      </c>
      <c r="D1443" s="5" t="s">
        <v>2349</v>
      </c>
      <c r="E1443" s="5" t="s">
        <v>217</v>
      </c>
      <c r="F1443" s="5" t="s">
        <v>37</v>
      </c>
      <c r="G1443" s="5" t="s">
        <v>38</v>
      </c>
      <c r="H1443" s="5" t="s">
        <v>18</v>
      </c>
      <c r="I1443" s="7" t="s">
        <v>4764</v>
      </c>
    </row>
    <row r="1444">
      <c r="A1444" s="5" t="s">
        <v>5114</v>
      </c>
      <c r="B1444" s="5" t="s">
        <v>5115</v>
      </c>
      <c r="D1444" s="5" t="s">
        <v>2349</v>
      </c>
      <c r="E1444" s="5" t="s">
        <v>237</v>
      </c>
      <c r="F1444" s="5" t="s">
        <v>703</v>
      </c>
      <c r="G1444" s="5" t="s">
        <v>137</v>
      </c>
      <c r="H1444" s="5" t="s">
        <v>18</v>
      </c>
      <c r="I1444" s="7" t="s">
        <v>5113</v>
      </c>
    </row>
    <row r="1445">
      <c r="A1445" s="5" t="s">
        <v>6455</v>
      </c>
      <c r="B1445" s="5" t="s">
        <v>480</v>
      </c>
      <c r="D1445" s="5" t="s">
        <v>2349</v>
      </c>
      <c r="E1445" s="5" t="s">
        <v>2276</v>
      </c>
      <c r="F1445" s="5" t="s">
        <v>6450</v>
      </c>
      <c r="G1445" s="5" t="s">
        <v>4638</v>
      </c>
      <c r="H1445" s="5" t="s">
        <v>4600</v>
      </c>
      <c r="I1445" s="7" t="s">
        <v>6454</v>
      </c>
    </row>
    <row r="1446">
      <c r="A1446" s="5" t="s">
        <v>6591</v>
      </c>
      <c r="B1446" s="5" t="s">
        <v>6592</v>
      </c>
      <c r="D1446" s="5" t="s">
        <v>2349</v>
      </c>
      <c r="E1446" s="5" t="s">
        <v>165</v>
      </c>
      <c r="F1446" s="5" t="s">
        <v>6577</v>
      </c>
      <c r="G1446" s="5" t="s">
        <v>4757</v>
      </c>
      <c r="H1446" s="5" t="s">
        <v>4607</v>
      </c>
      <c r="I1446" s="7" t="s">
        <v>6590</v>
      </c>
    </row>
    <row r="1447">
      <c r="A1447" s="5" t="s">
        <v>6916</v>
      </c>
      <c r="B1447" s="5" t="s">
        <v>6917</v>
      </c>
      <c r="D1447" s="5" t="s">
        <v>2349</v>
      </c>
      <c r="E1447" s="5" t="s">
        <v>712</v>
      </c>
      <c r="F1447" s="5" t="s">
        <v>6577</v>
      </c>
      <c r="G1447" s="5" t="s">
        <v>4757</v>
      </c>
      <c r="H1447" s="5" t="s">
        <v>4607</v>
      </c>
      <c r="I1447" s="7" t="s">
        <v>10770</v>
      </c>
    </row>
    <row r="1448">
      <c r="A1448" s="5" t="s">
        <v>6956</v>
      </c>
      <c r="B1448" s="5" t="s">
        <v>6957</v>
      </c>
      <c r="D1448" s="5" t="s">
        <v>2349</v>
      </c>
      <c r="E1448" s="5" t="s">
        <v>661</v>
      </c>
      <c r="F1448" s="5" t="s">
        <v>6577</v>
      </c>
      <c r="G1448" s="5" t="s">
        <v>4757</v>
      </c>
      <c r="H1448" s="5" t="s">
        <v>4607</v>
      </c>
      <c r="I1448" s="17" t="s">
        <v>10771</v>
      </c>
    </row>
    <row r="1449">
      <c r="A1449" s="5" t="s">
        <v>7040</v>
      </c>
      <c r="B1449" s="5" t="s">
        <v>7041</v>
      </c>
      <c r="D1449" s="5" t="s">
        <v>2349</v>
      </c>
      <c r="E1449" s="5" t="s">
        <v>121</v>
      </c>
      <c r="F1449" s="5" t="s">
        <v>6577</v>
      </c>
      <c r="G1449" s="5" t="s">
        <v>4757</v>
      </c>
      <c r="H1449" s="5" t="s">
        <v>4607</v>
      </c>
      <c r="I1449" s="7" t="s">
        <v>10772</v>
      </c>
    </row>
    <row r="1450">
      <c r="A1450" s="5" t="s">
        <v>2426</v>
      </c>
      <c r="B1450" s="5" t="s">
        <v>2427</v>
      </c>
      <c r="D1450" s="5" t="s">
        <v>2349</v>
      </c>
      <c r="E1450" s="5" t="s">
        <v>2428</v>
      </c>
      <c r="F1450" s="5" t="s">
        <v>166</v>
      </c>
      <c r="G1450" s="5" t="s">
        <v>44</v>
      </c>
      <c r="H1450" s="5" t="s">
        <v>18</v>
      </c>
      <c r="I1450" s="7" t="s">
        <v>8638</v>
      </c>
    </row>
    <row r="1451">
      <c r="A1451" s="5" t="s">
        <v>9634</v>
      </c>
      <c r="B1451" s="5" t="s">
        <v>2368</v>
      </c>
      <c r="D1451" s="5" t="s">
        <v>2349</v>
      </c>
      <c r="E1451" s="5" t="s">
        <v>666</v>
      </c>
      <c r="F1451" s="5" t="s">
        <v>6577</v>
      </c>
      <c r="G1451" s="5" t="s">
        <v>4757</v>
      </c>
      <c r="H1451" s="5" t="s">
        <v>4607</v>
      </c>
      <c r="I1451" s="7" t="s">
        <v>9633</v>
      </c>
    </row>
    <row r="1452">
      <c r="A1452" s="5" t="s">
        <v>2347</v>
      </c>
      <c r="B1452" s="5" t="s">
        <v>2348</v>
      </c>
      <c r="C1452" s="5" t="s">
        <v>13</v>
      </c>
      <c r="D1452" s="5" t="s">
        <v>2349</v>
      </c>
      <c r="E1452" s="5" t="s">
        <v>832</v>
      </c>
      <c r="F1452" s="5" t="s">
        <v>37</v>
      </c>
      <c r="G1452" s="5" t="s">
        <v>38</v>
      </c>
      <c r="H1452" s="5" t="s">
        <v>18</v>
      </c>
      <c r="I1452" s="7" t="s">
        <v>10773</v>
      </c>
    </row>
    <row r="1453">
      <c r="A1453" s="5" t="s">
        <v>2351</v>
      </c>
      <c r="B1453" s="5" t="s">
        <v>328</v>
      </c>
      <c r="C1453" s="5" t="s">
        <v>13</v>
      </c>
      <c r="D1453" s="5" t="s">
        <v>2349</v>
      </c>
      <c r="E1453" s="5" t="s">
        <v>268</v>
      </c>
      <c r="F1453" s="5" t="s">
        <v>37</v>
      </c>
      <c r="G1453" s="5" t="s">
        <v>38</v>
      </c>
      <c r="H1453" s="5" t="s">
        <v>18</v>
      </c>
      <c r="I1453" s="7" t="s">
        <v>2352</v>
      </c>
    </row>
    <row r="1454">
      <c r="A1454" s="5" t="s">
        <v>2353</v>
      </c>
      <c r="B1454" s="5" t="s">
        <v>2354</v>
      </c>
      <c r="C1454" s="5" t="s">
        <v>13</v>
      </c>
      <c r="D1454" s="5" t="s">
        <v>2349</v>
      </c>
      <c r="E1454" s="5" t="s">
        <v>832</v>
      </c>
      <c r="F1454" s="5" t="s">
        <v>37</v>
      </c>
      <c r="G1454" s="5" t="s">
        <v>38</v>
      </c>
      <c r="H1454" s="5" t="s">
        <v>18</v>
      </c>
      <c r="I1454" s="7" t="s">
        <v>2355</v>
      </c>
    </row>
    <row r="1455">
      <c r="A1455" s="5" t="s">
        <v>2356</v>
      </c>
      <c r="B1455" s="5" t="s">
        <v>2357</v>
      </c>
      <c r="C1455" s="5" t="s">
        <v>13</v>
      </c>
      <c r="D1455" s="5" t="s">
        <v>2349</v>
      </c>
      <c r="E1455" s="5" t="s">
        <v>217</v>
      </c>
      <c r="F1455" s="5" t="s">
        <v>37</v>
      </c>
      <c r="G1455" s="5" t="s">
        <v>38</v>
      </c>
      <c r="H1455" s="5" t="s">
        <v>18</v>
      </c>
      <c r="I1455" s="7" t="s">
        <v>2358</v>
      </c>
    </row>
    <row r="1456">
      <c r="A1456" s="5" t="s">
        <v>2359</v>
      </c>
      <c r="B1456" s="5" t="s">
        <v>110</v>
      </c>
      <c r="C1456" s="5" t="s">
        <v>13</v>
      </c>
      <c r="D1456" s="5" t="s">
        <v>2349</v>
      </c>
      <c r="E1456" s="5" t="s">
        <v>283</v>
      </c>
      <c r="F1456" s="5" t="s">
        <v>37</v>
      </c>
      <c r="G1456" s="5" t="s">
        <v>38</v>
      </c>
      <c r="H1456" s="5" t="s">
        <v>18</v>
      </c>
      <c r="I1456" s="7" t="s">
        <v>2360</v>
      </c>
    </row>
    <row r="1457">
      <c r="A1457" s="5" t="s">
        <v>2361</v>
      </c>
      <c r="B1457" s="5" t="s">
        <v>110</v>
      </c>
      <c r="C1457" s="5" t="s">
        <v>13</v>
      </c>
      <c r="D1457" s="5" t="s">
        <v>2349</v>
      </c>
      <c r="E1457" s="5" t="s">
        <v>2362</v>
      </c>
      <c r="F1457" s="5" t="s">
        <v>37</v>
      </c>
      <c r="G1457" s="5" t="s">
        <v>38</v>
      </c>
      <c r="H1457" s="5" t="s">
        <v>18</v>
      </c>
      <c r="I1457" s="7" t="s">
        <v>2363</v>
      </c>
    </row>
    <row r="1458">
      <c r="A1458" s="5" t="s">
        <v>2364</v>
      </c>
      <c r="B1458" s="5" t="s">
        <v>2365</v>
      </c>
      <c r="C1458" s="5" t="s">
        <v>13</v>
      </c>
      <c r="D1458" s="5" t="s">
        <v>2349</v>
      </c>
      <c r="E1458" s="5" t="s">
        <v>94</v>
      </c>
      <c r="F1458" s="5" t="s">
        <v>37</v>
      </c>
      <c r="G1458" s="5" t="s">
        <v>38</v>
      </c>
      <c r="H1458" s="5" t="s">
        <v>18</v>
      </c>
      <c r="I1458" s="7" t="s">
        <v>2366</v>
      </c>
    </row>
    <row r="1459">
      <c r="A1459" s="5" t="s">
        <v>2367</v>
      </c>
      <c r="B1459" s="5" t="s">
        <v>2368</v>
      </c>
      <c r="C1459" s="5" t="s">
        <v>13</v>
      </c>
      <c r="D1459" s="5" t="s">
        <v>2349</v>
      </c>
      <c r="E1459" s="5" t="s">
        <v>179</v>
      </c>
      <c r="F1459" s="5" t="s">
        <v>37</v>
      </c>
      <c r="G1459" s="5" t="s">
        <v>38</v>
      </c>
      <c r="H1459" s="5" t="s">
        <v>18</v>
      </c>
      <c r="I1459" s="7" t="s">
        <v>2369</v>
      </c>
    </row>
    <row r="1460">
      <c r="A1460" s="5" t="s">
        <v>2370</v>
      </c>
      <c r="B1460" s="5" t="s">
        <v>2371</v>
      </c>
      <c r="C1460" s="5" t="s">
        <v>13</v>
      </c>
      <c r="D1460" s="5" t="s">
        <v>2349</v>
      </c>
      <c r="E1460" s="5" t="s">
        <v>2265</v>
      </c>
      <c r="F1460" s="5" t="s">
        <v>37</v>
      </c>
      <c r="G1460" s="5" t="s">
        <v>38</v>
      </c>
      <c r="H1460" s="5" t="s">
        <v>18</v>
      </c>
      <c r="I1460" s="7" t="s">
        <v>2372</v>
      </c>
    </row>
    <row r="1461">
      <c r="A1461" s="5" t="s">
        <v>2373</v>
      </c>
      <c r="B1461" s="5" t="s">
        <v>25</v>
      </c>
      <c r="C1461" s="5" t="s">
        <v>13</v>
      </c>
      <c r="D1461" s="5" t="s">
        <v>2349</v>
      </c>
      <c r="E1461" s="5" t="s">
        <v>345</v>
      </c>
      <c r="F1461" s="5" t="s">
        <v>37</v>
      </c>
      <c r="G1461" s="5" t="s">
        <v>38</v>
      </c>
      <c r="H1461" s="5" t="s">
        <v>18</v>
      </c>
      <c r="I1461" s="7" t="s">
        <v>2374</v>
      </c>
    </row>
    <row r="1462">
      <c r="A1462" s="5" t="s">
        <v>2375</v>
      </c>
      <c r="B1462" s="5" t="s">
        <v>2376</v>
      </c>
      <c r="C1462" s="5" t="s">
        <v>13</v>
      </c>
      <c r="D1462" s="5" t="s">
        <v>2349</v>
      </c>
      <c r="E1462" s="5" t="s">
        <v>1364</v>
      </c>
      <c r="F1462" s="5" t="s">
        <v>37</v>
      </c>
      <c r="G1462" s="5" t="s">
        <v>38</v>
      </c>
      <c r="H1462" s="5" t="s">
        <v>18</v>
      </c>
      <c r="I1462" s="7" t="s">
        <v>2377</v>
      </c>
    </row>
    <row r="1463">
      <c r="A1463" s="5" t="s">
        <v>2378</v>
      </c>
      <c r="B1463" s="5" t="s">
        <v>25</v>
      </c>
      <c r="C1463" s="5" t="s">
        <v>13</v>
      </c>
      <c r="D1463" s="5" t="s">
        <v>2349</v>
      </c>
      <c r="E1463" s="5" t="s">
        <v>36</v>
      </c>
      <c r="F1463" s="5" t="s">
        <v>377</v>
      </c>
      <c r="G1463" s="5" t="s">
        <v>378</v>
      </c>
      <c r="H1463" s="5" t="s">
        <v>18</v>
      </c>
      <c r="I1463" s="7" t="s">
        <v>2379</v>
      </c>
    </row>
    <row r="1464">
      <c r="A1464" s="5" t="s">
        <v>2380</v>
      </c>
      <c r="B1464" s="5" t="s">
        <v>2381</v>
      </c>
      <c r="C1464" s="5" t="s">
        <v>13</v>
      </c>
      <c r="D1464" s="5" t="s">
        <v>2349</v>
      </c>
      <c r="E1464" s="5" t="s">
        <v>886</v>
      </c>
      <c r="F1464" s="5" t="s">
        <v>2382</v>
      </c>
      <c r="G1464" s="5" t="s">
        <v>86</v>
      </c>
      <c r="H1464" s="5" t="s">
        <v>18</v>
      </c>
      <c r="I1464" s="7" t="s">
        <v>2383</v>
      </c>
    </row>
    <row r="1465">
      <c r="A1465" s="5" t="s">
        <v>2384</v>
      </c>
      <c r="B1465" s="5" t="s">
        <v>110</v>
      </c>
      <c r="C1465" s="5" t="s">
        <v>13</v>
      </c>
      <c r="D1465" s="5" t="s">
        <v>2349</v>
      </c>
      <c r="E1465" s="5" t="s">
        <v>1448</v>
      </c>
      <c r="F1465" s="5" t="s">
        <v>414</v>
      </c>
      <c r="G1465" s="5" t="s">
        <v>44</v>
      </c>
      <c r="H1465" s="5" t="s">
        <v>18</v>
      </c>
      <c r="I1465" s="7" t="s">
        <v>2385</v>
      </c>
    </row>
    <row r="1466">
      <c r="A1466" s="5" t="s">
        <v>2386</v>
      </c>
      <c r="B1466" s="5" t="s">
        <v>2381</v>
      </c>
      <c r="C1466" s="5" t="s">
        <v>13</v>
      </c>
      <c r="D1466" s="5" t="s">
        <v>2349</v>
      </c>
      <c r="E1466" s="5" t="s">
        <v>1830</v>
      </c>
      <c r="F1466" s="5" t="s">
        <v>2387</v>
      </c>
      <c r="G1466" s="5" t="s">
        <v>96</v>
      </c>
      <c r="H1466" s="5" t="s">
        <v>18</v>
      </c>
      <c r="I1466" s="7" t="s">
        <v>2388</v>
      </c>
    </row>
    <row r="1467">
      <c r="A1467" s="5" t="s">
        <v>2389</v>
      </c>
      <c r="B1467" s="5" t="s">
        <v>381</v>
      </c>
      <c r="C1467" s="5" t="s">
        <v>13</v>
      </c>
      <c r="D1467" s="5" t="s">
        <v>2349</v>
      </c>
      <c r="E1467" s="5" t="s">
        <v>106</v>
      </c>
      <c r="F1467" s="5" t="s">
        <v>2390</v>
      </c>
      <c r="G1467" s="5" t="s">
        <v>102</v>
      </c>
      <c r="H1467" s="5" t="s">
        <v>18</v>
      </c>
      <c r="I1467" s="7" t="s">
        <v>2391</v>
      </c>
    </row>
    <row r="1468">
      <c r="A1468" s="5" t="s">
        <v>2392</v>
      </c>
      <c r="B1468" s="5" t="s">
        <v>2393</v>
      </c>
      <c r="C1468" s="5" t="s">
        <v>13</v>
      </c>
      <c r="D1468" s="5" t="s">
        <v>2349</v>
      </c>
      <c r="E1468" s="5" t="s">
        <v>149</v>
      </c>
      <c r="F1468" s="5" t="s">
        <v>433</v>
      </c>
      <c r="G1468" s="5" t="s">
        <v>44</v>
      </c>
      <c r="H1468" s="5" t="s">
        <v>18</v>
      </c>
      <c r="I1468" s="7" t="s">
        <v>2394</v>
      </c>
    </row>
    <row r="1469">
      <c r="A1469" s="5" t="s">
        <v>2395</v>
      </c>
      <c r="B1469" s="5" t="s">
        <v>1028</v>
      </c>
      <c r="C1469" s="5" t="s">
        <v>13</v>
      </c>
      <c r="D1469" s="5" t="s">
        <v>2349</v>
      </c>
      <c r="E1469" s="5" t="s">
        <v>909</v>
      </c>
      <c r="F1469" s="5" t="s">
        <v>433</v>
      </c>
      <c r="G1469" s="5" t="s">
        <v>44</v>
      </c>
      <c r="H1469" s="5" t="s">
        <v>18</v>
      </c>
      <c r="I1469" s="7" t="s">
        <v>2396</v>
      </c>
    </row>
    <row r="1470">
      <c r="A1470" s="5" t="s">
        <v>2397</v>
      </c>
      <c r="B1470" s="5" t="s">
        <v>480</v>
      </c>
      <c r="C1470" s="5" t="s">
        <v>13</v>
      </c>
      <c r="D1470" s="5" t="s">
        <v>2349</v>
      </c>
      <c r="E1470" s="5" t="s">
        <v>1570</v>
      </c>
      <c r="F1470" s="5" t="s">
        <v>433</v>
      </c>
      <c r="G1470" s="5" t="s">
        <v>44</v>
      </c>
      <c r="H1470" s="5" t="s">
        <v>18</v>
      </c>
      <c r="I1470" s="7" t="s">
        <v>2398</v>
      </c>
    </row>
    <row r="1471">
      <c r="A1471" s="5" t="s">
        <v>2399</v>
      </c>
      <c r="B1471" s="5" t="s">
        <v>2400</v>
      </c>
      <c r="C1471" s="5" t="s">
        <v>13</v>
      </c>
      <c r="D1471" s="5" t="s">
        <v>2349</v>
      </c>
      <c r="E1471" s="5" t="s">
        <v>437</v>
      </c>
      <c r="F1471" s="5" t="s">
        <v>433</v>
      </c>
      <c r="G1471" s="5" t="s">
        <v>44</v>
      </c>
      <c r="H1471" s="5" t="s">
        <v>18</v>
      </c>
      <c r="I1471" s="7" t="s">
        <v>2401</v>
      </c>
    </row>
    <row r="1472">
      <c r="A1472" s="5" t="s">
        <v>2402</v>
      </c>
      <c r="B1472" s="5" t="s">
        <v>381</v>
      </c>
      <c r="C1472" s="5" t="s">
        <v>13</v>
      </c>
      <c r="D1472" s="5" t="s">
        <v>2349</v>
      </c>
      <c r="E1472" s="5" t="s">
        <v>94</v>
      </c>
      <c r="F1472" s="5" t="s">
        <v>433</v>
      </c>
      <c r="G1472" s="5" t="s">
        <v>44</v>
      </c>
      <c r="H1472" s="5" t="s">
        <v>18</v>
      </c>
      <c r="I1472" s="7" t="s">
        <v>2403</v>
      </c>
    </row>
    <row r="1473">
      <c r="A1473" s="5" t="s">
        <v>2404</v>
      </c>
      <c r="B1473" s="5" t="s">
        <v>2405</v>
      </c>
      <c r="C1473" s="5" t="s">
        <v>13</v>
      </c>
      <c r="D1473" s="5" t="s">
        <v>2349</v>
      </c>
      <c r="E1473" s="5" t="s">
        <v>376</v>
      </c>
      <c r="F1473" s="5" t="s">
        <v>2406</v>
      </c>
      <c r="G1473" s="5" t="s">
        <v>378</v>
      </c>
      <c r="H1473" s="5" t="s">
        <v>18</v>
      </c>
      <c r="I1473" s="7" t="s">
        <v>2407</v>
      </c>
    </row>
    <row r="1474">
      <c r="A1474" s="5" t="s">
        <v>2408</v>
      </c>
      <c r="B1474" s="5" t="s">
        <v>480</v>
      </c>
      <c r="C1474" s="5" t="s">
        <v>13</v>
      </c>
      <c r="D1474" s="5" t="s">
        <v>2349</v>
      </c>
      <c r="E1474" s="5" t="s">
        <v>1289</v>
      </c>
      <c r="F1474" s="5" t="s">
        <v>137</v>
      </c>
      <c r="G1474" s="5" t="s">
        <v>137</v>
      </c>
      <c r="H1474" s="5" t="s">
        <v>18</v>
      </c>
      <c r="I1474" s="7" t="s">
        <v>2409</v>
      </c>
    </row>
    <row r="1475">
      <c r="A1475" s="5" t="s">
        <v>2410</v>
      </c>
      <c r="B1475" s="5" t="s">
        <v>110</v>
      </c>
      <c r="C1475" s="5" t="s">
        <v>13</v>
      </c>
      <c r="D1475" s="5" t="s">
        <v>2349</v>
      </c>
      <c r="E1475" s="5" t="s">
        <v>500</v>
      </c>
      <c r="F1475" s="5" t="s">
        <v>137</v>
      </c>
      <c r="G1475" s="5" t="s">
        <v>137</v>
      </c>
      <c r="H1475" s="5" t="s">
        <v>18</v>
      </c>
      <c r="I1475" s="7" t="s">
        <v>2411</v>
      </c>
    </row>
    <row r="1476">
      <c r="A1476" s="5" t="s">
        <v>2412</v>
      </c>
      <c r="B1476" s="5" t="s">
        <v>2413</v>
      </c>
      <c r="C1476" s="5" t="s">
        <v>13</v>
      </c>
      <c r="D1476" s="5" t="s">
        <v>2349</v>
      </c>
      <c r="F1476" s="5" t="s">
        <v>137</v>
      </c>
      <c r="G1476" s="5" t="s">
        <v>137</v>
      </c>
      <c r="H1476" s="5" t="s">
        <v>18</v>
      </c>
      <c r="I1476" s="7" t="s">
        <v>2414</v>
      </c>
    </row>
    <row r="1477">
      <c r="A1477" s="5" t="s">
        <v>2415</v>
      </c>
      <c r="B1477" s="5" t="s">
        <v>480</v>
      </c>
      <c r="C1477" s="5" t="s">
        <v>13</v>
      </c>
      <c r="D1477" s="5" t="s">
        <v>2349</v>
      </c>
      <c r="E1477" s="5" t="s">
        <v>1105</v>
      </c>
      <c r="F1477" s="5" t="s">
        <v>295</v>
      </c>
      <c r="G1477" s="5" t="s">
        <v>154</v>
      </c>
      <c r="H1477" s="5" t="s">
        <v>18</v>
      </c>
      <c r="I1477" s="7" t="s">
        <v>2416</v>
      </c>
    </row>
    <row r="1478">
      <c r="A1478" s="5" t="s">
        <v>2417</v>
      </c>
      <c r="B1478" s="5" t="s">
        <v>2418</v>
      </c>
      <c r="C1478" s="5" t="s">
        <v>13</v>
      </c>
      <c r="D1478" s="5" t="s">
        <v>2349</v>
      </c>
      <c r="E1478" s="5" t="s">
        <v>268</v>
      </c>
      <c r="F1478" s="5" t="s">
        <v>2419</v>
      </c>
      <c r="G1478" s="5" t="s">
        <v>102</v>
      </c>
      <c r="H1478" s="5" t="s">
        <v>18</v>
      </c>
      <c r="I1478" s="7" t="s">
        <v>2420</v>
      </c>
    </row>
    <row r="1479">
      <c r="A1479" s="5" t="s">
        <v>2421</v>
      </c>
      <c r="B1479" s="5" t="s">
        <v>2348</v>
      </c>
      <c r="C1479" s="5" t="s">
        <v>13</v>
      </c>
      <c r="D1479" s="5" t="s">
        <v>2349</v>
      </c>
      <c r="E1479" s="5" t="s">
        <v>48</v>
      </c>
      <c r="F1479" s="5" t="s">
        <v>166</v>
      </c>
      <c r="G1479" s="5" t="s">
        <v>44</v>
      </c>
      <c r="H1479" s="5" t="s">
        <v>18</v>
      </c>
      <c r="I1479" s="7" t="s">
        <v>10774</v>
      </c>
    </row>
    <row r="1480">
      <c r="A1480" s="5" t="s">
        <v>2423</v>
      </c>
      <c r="B1480" s="5" t="s">
        <v>2424</v>
      </c>
      <c r="C1480" s="5" t="s">
        <v>13</v>
      </c>
      <c r="D1480" s="5" t="s">
        <v>2349</v>
      </c>
      <c r="E1480" s="5" t="s">
        <v>48</v>
      </c>
      <c r="F1480" s="5" t="s">
        <v>166</v>
      </c>
      <c r="G1480" s="5" t="s">
        <v>44</v>
      </c>
      <c r="H1480" s="5" t="s">
        <v>18</v>
      </c>
      <c r="I1480" s="7" t="s">
        <v>10775</v>
      </c>
    </row>
    <row r="1481">
      <c r="A1481" s="5" t="s">
        <v>2426</v>
      </c>
      <c r="B1481" s="5" t="s">
        <v>2427</v>
      </c>
      <c r="C1481" s="5" t="s">
        <v>13</v>
      </c>
      <c r="D1481" s="5" t="s">
        <v>2349</v>
      </c>
      <c r="E1481" s="5" t="s">
        <v>2428</v>
      </c>
      <c r="F1481" s="5" t="s">
        <v>166</v>
      </c>
      <c r="G1481" s="5" t="s">
        <v>44</v>
      </c>
      <c r="H1481" s="5" t="s">
        <v>18</v>
      </c>
      <c r="I1481" s="7" t="s">
        <v>2429</v>
      </c>
    </row>
    <row r="1482">
      <c r="A1482" s="5" t="s">
        <v>2430</v>
      </c>
      <c r="B1482" s="5" t="s">
        <v>2431</v>
      </c>
      <c r="C1482" s="5" t="s">
        <v>13</v>
      </c>
      <c r="D1482" s="5" t="s">
        <v>2349</v>
      </c>
      <c r="E1482" s="5" t="s">
        <v>1718</v>
      </c>
      <c r="F1482" s="5" t="s">
        <v>166</v>
      </c>
      <c r="G1482" s="5" t="s">
        <v>44</v>
      </c>
      <c r="H1482" s="5" t="s">
        <v>18</v>
      </c>
      <c r="I1482" s="7" t="s">
        <v>2432</v>
      </c>
    </row>
    <row r="1483">
      <c r="A1483" s="5" t="s">
        <v>2433</v>
      </c>
      <c r="B1483" s="5" t="s">
        <v>25</v>
      </c>
      <c r="C1483" s="5" t="s">
        <v>13</v>
      </c>
      <c r="D1483" s="5" t="s">
        <v>2349</v>
      </c>
      <c r="F1483" s="5" t="s">
        <v>166</v>
      </c>
      <c r="G1483" s="5" t="s">
        <v>44</v>
      </c>
      <c r="H1483" s="5" t="s">
        <v>18</v>
      </c>
      <c r="I1483" s="7" t="s">
        <v>2434</v>
      </c>
    </row>
    <row r="1484">
      <c r="A1484" s="5" t="s">
        <v>2435</v>
      </c>
      <c r="B1484" s="5" t="s">
        <v>328</v>
      </c>
      <c r="C1484" s="5" t="s">
        <v>13</v>
      </c>
      <c r="D1484" s="5" t="s">
        <v>2349</v>
      </c>
      <c r="E1484" s="5" t="s">
        <v>651</v>
      </c>
      <c r="F1484" s="5" t="s">
        <v>166</v>
      </c>
      <c r="G1484" s="5" t="s">
        <v>44</v>
      </c>
      <c r="H1484" s="5" t="s">
        <v>18</v>
      </c>
      <c r="I1484" s="7" t="s">
        <v>2436</v>
      </c>
    </row>
    <row r="1485">
      <c r="A1485" s="5" t="s">
        <v>2437</v>
      </c>
      <c r="B1485" s="5" t="s">
        <v>110</v>
      </c>
      <c r="C1485" s="5" t="s">
        <v>13</v>
      </c>
      <c r="D1485" s="5" t="s">
        <v>2349</v>
      </c>
      <c r="E1485" s="5" t="s">
        <v>213</v>
      </c>
      <c r="F1485" s="5" t="s">
        <v>166</v>
      </c>
      <c r="G1485" s="5" t="s">
        <v>44</v>
      </c>
      <c r="H1485" s="5" t="s">
        <v>18</v>
      </c>
      <c r="I1485" s="7" t="s">
        <v>2438</v>
      </c>
    </row>
    <row r="1486">
      <c r="A1486" s="5" t="s">
        <v>2439</v>
      </c>
      <c r="B1486" s="5" t="s">
        <v>2440</v>
      </c>
      <c r="C1486" s="5" t="s">
        <v>13</v>
      </c>
      <c r="D1486" s="5" t="s">
        <v>2349</v>
      </c>
      <c r="E1486" s="5" t="s">
        <v>1371</v>
      </c>
      <c r="F1486" s="5" t="s">
        <v>169</v>
      </c>
      <c r="G1486" s="5" t="s">
        <v>44</v>
      </c>
      <c r="H1486" s="5" t="s">
        <v>18</v>
      </c>
      <c r="I1486" s="7" t="s">
        <v>10776</v>
      </c>
    </row>
    <row r="1487">
      <c r="A1487" s="5" t="s">
        <v>2442</v>
      </c>
      <c r="B1487" s="5" t="s">
        <v>2443</v>
      </c>
      <c r="C1487" s="5" t="s">
        <v>13</v>
      </c>
      <c r="D1487" s="5" t="s">
        <v>2349</v>
      </c>
      <c r="E1487" s="5" t="s">
        <v>2428</v>
      </c>
      <c r="F1487" s="5" t="s">
        <v>169</v>
      </c>
      <c r="G1487" s="5" t="s">
        <v>44</v>
      </c>
      <c r="H1487" s="5" t="s">
        <v>18</v>
      </c>
      <c r="I1487" s="7" t="s">
        <v>10777</v>
      </c>
    </row>
    <row r="1488">
      <c r="A1488" s="5" t="s">
        <v>2445</v>
      </c>
      <c r="B1488" s="5" t="s">
        <v>2446</v>
      </c>
      <c r="C1488" s="5" t="s">
        <v>13</v>
      </c>
      <c r="D1488" s="5" t="s">
        <v>2349</v>
      </c>
      <c r="E1488" s="5" t="s">
        <v>1460</v>
      </c>
      <c r="F1488" s="5" t="s">
        <v>311</v>
      </c>
      <c r="G1488" s="5" t="s">
        <v>102</v>
      </c>
      <c r="H1488" s="5" t="s">
        <v>18</v>
      </c>
      <c r="I1488" s="7" t="s">
        <v>10778</v>
      </c>
    </row>
    <row r="1489">
      <c r="A1489" s="5" t="s">
        <v>2448</v>
      </c>
      <c r="B1489" s="5" t="s">
        <v>110</v>
      </c>
      <c r="C1489" s="5" t="s">
        <v>13</v>
      </c>
      <c r="D1489" s="5" t="s">
        <v>2349</v>
      </c>
      <c r="E1489" s="5" t="s">
        <v>1751</v>
      </c>
      <c r="F1489" s="5" t="s">
        <v>311</v>
      </c>
      <c r="G1489" s="5" t="s">
        <v>102</v>
      </c>
      <c r="H1489" s="5" t="s">
        <v>18</v>
      </c>
      <c r="I1489" s="7" t="s">
        <v>2449</v>
      </c>
    </row>
    <row r="1490">
      <c r="A1490" s="5" t="s">
        <v>2450</v>
      </c>
      <c r="B1490" s="5" t="s">
        <v>110</v>
      </c>
      <c r="C1490" s="5" t="s">
        <v>13</v>
      </c>
      <c r="D1490" s="5" t="s">
        <v>2349</v>
      </c>
      <c r="E1490" s="5" t="s">
        <v>446</v>
      </c>
      <c r="F1490" s="5" t="s">
        <v>468</v>
      </c>
      <c r="G1490" s="5" t="s">
        <v>44</v>
      </c>
      <c r="H1490" s="5" t="s">
        <v>18</v>
      </c>
      <c r="I1490" s="7" t="s">
        <v>2451</v>
      </c>
    </row>
    <row r="1491">
      <c r="A1491" s="5" t="s">
        <v>2452</v>
      </c>
      <c r="B1491" s="5" t="s">
        <v>2453</v>
      </c>
      <c r="C1491" s="5" t="s">
        <v>13</v>
      </c>
      <c r="D1491" s="5" t="s">
        <v>2349</v>
      </c>
      <c r="E1491" s="5" t="s">
        <v>144</v>
      </c>
      <c r="F1491" s="5" t="s">
        <v>468</v>
      </c>
      <c r="G1491" s="5" t="s">
        <v>44</v>
      </c>
      <c r="H1491" s="5" t="s">
        <v>18</v>
      </c>
      <c r="I1491" s="7" t="s">
        <v>10779</v>
      </c>
    </row>
    <row r="1492">
      <c r="A1492" s="5" t="s">
        <v>2455</v>
      </c>
      <c r="B1492" s="5" t="s">
        <v>110</v>
      </c>
      <c r="C1492" s="5" t="s">
        <v>13</v>
      </c>
      <c r="D1492" s="5" t="s">
        <v>2349</v>
      </c>
      <c r="E1492" s="5" t="s">
        <v>144</v>
      </c>
      <c r="F1492" s="5" t="s">
        <v>37</v>
      </c>
      <c r="G1492" s="5" t="s">
        <v>38</v>
      </c>
      <c r="H1492" s="5" t="s">
        <v>18</v>
      </c>
      <c r="I1492" s="7" t="s">
        <v>2456</v>
      </c>
    </row>
    <row r="1493">
      <c r="A1493" s="5" t="s">
        <v>6207</v>
      </c>
      <c r="B1493" s="5" t="s">
        <v>110</v>
      </c>
      <c r="D1493" s="5" t="s">
        <v>6208</v>
      </c>
      <c r="F1493" s="5" t="s">
        <v>6209</v>
      </c>
      <c r="G1493" s="5" t="s">
        <v>4638</v>
      </c>
      <c r="H1493" s="5" t="s">
        <v>4600</v>
      </c>
      <c r="I1493" s="7" t="s">
        <v>6206</v>
      </c>
    </row>
    <row r="1494">
      <c r="A1494" s="5" t="s">
        <v>8252</v>
      </c>
      <c r="B1494" s="5" t="s">
        <v>5160</v>
      </c>
      <c r="D1494" s="5" t="s">
        <v>6208</v>
      </c>
      <c r="E1494" s="5" t="s">
        <v>848</v>
      </c>
      <c r="F1494" s="5" t="s">
        <v>8158</v>
      </c>
      <c r="G1494" s="5" t="s">
        <v>4638</v>
      </c>
      <c r="H1494" s="5" t="s">
        <v>4600</v>
      </c>
      <c r="I1494" s="7" t="s">
        <v>8251</v>
      </c>
    </row>
    <row r="1495">
      <c r="A1495" s="5" t="s">
        <v>9451</v>
      </c>
      <c r="B1495" s="5" t="s">
        <v>9452</v>
      </c>
      <c r="D1495" s="5" t="s">
        <v>9453</v>
      </c>
      <c r="E1495" s="5" t="s">
        <v>351</v>
      </c>
      <c r="F1495" s="5" t="s">
        <v>5280</v>
      </c>
      <c r="G1495" s="5" t="s">
        <v>4638</v>
      </c>
      <c r="H1495" s="5" t="s">
        <v>4600</v>
      </c>
      <c r="I1495" s="7" t="s">
        <v>10780</v>
      </c>
    </row>
    <row r="1496">
      <c r="A1496" s="5" t="s">
        <v>5540</v>
      </c>
      <c r="B1496" s="5" t="s">
        <v>5541</v>
      </c>
      <c r="D1496" s="5" t="s">
        <v>5542</v>
      </c>
      <c r="E1496" s="5" t="s">
        <v>68</v>
      </c>
      <c r="F1496" s="5" t="s">
        <v>5280</v>
      </c>
      <c r="G1496" s="5" t="s">
        <v>4638</v>
      </c>
      <c r="H1496" s="5" t="s">
        <v>4600</v>
      </c>
      <c r="I1496" s="7" t="s">
        <v>5539</v>
      </c>
    </row>
    <row r="1497">
      <c r="A1497" s="5" t="s">
        <v>5215</v>
      </c>
      <c r="B1497" s="5" t="s">
        <v>5216</v>
      </c>
      <c r="D1497" s="5" t="s">
        <v>5217</v>
      </c>
      <c r="E1497" s="5" t="s">
        <v>651</v>
      </c>
      <c r="F1497" s="5" t="s">
        <v>4643</v>
      </c>
      <c r="G1497" s="5" t="s">
        <v>4644</v>
      </c>
      <c r="H1497" s="5" t="s">
        <v>4600</v>
      </c>
      <c r="I1497" s="7" t="s">
        <v>10781</v>
      </c>
    </row>
    <row r="1498">
      <c r="A1498" s="5" t="s">
        <v>5481</v>
      </c>
      <c r="B1498" s="5" t="s">
        <v>5482</v>
      </c>
      <c r="D1498" s="5" t="s">
        <v>5217</v>
      </c>
      <c r="E1498" s="5" t="s">
        <v>165</v>
      </c>
      <c r="F1498" s="5" t="s">
        <v>5280</v>
      </c>
      <c r="G1498" s="5" t="s">
        <v>4638</v>
      </c>
      <c r="H1498" s="5" t="s">
        <v>4600</v>
      </c>
      <c r="I1498" s="7" t="s">
        <v>5480</v>
      </c>
    </row>
    <row r="1499">
      <c r="A1499" s="5" t="s">
        <v>9381</v>
      </c>
      <c r="B1499" s="5" t="s">
        <v>9382</v>
      </c>
      <c r="D1499" s="5" t="s">
        <v>5217</v>
      </c>
      <c r="E1499" s="5" t="s">
        <v>182</v>
      </c>
      <c r="F1499" s="5" t="s">
        <v>5280</v>
      </c>
      <c r="G1499" s="5" t="s">
        <v>4638</v>
      </c>
      <c r="H1499" s="5" t="s">
        <v>4600</v>
      </c>
      <c r="I1499" s="7" t="s">
        <v>10782</v>
      </c>
    </row>
    <row r="1500">
      <c r="A1500" s="5" t="s">
        <v>9403</v>
      </c>
      <c r="B1500" s="5" t="s">
        <v>5146</v>
      </c>
      <c r="D1500" s="5" t="s">
        <v>5217</v>
      </c>
      <c r="E1500" s="5" t="s">
        <v>79</v>
      </c>
      <c r="F1500" s="5" t="s">
        <v>5280</v>
      </c>
      <c r="G1500" s="5" t="s">
        <v>4638</v>
      </c>
      <c r="H1500" s="5" t="s">
        <v>4600</v>
      </c>
      <c r="I1500" s="7" t="s">
        <v>9402</v>
      </c>
    </row>
    <row r="1501">
      <c r="A1501" s="5" t="s">
        <v>5544</v>
      </c>
      <c r="B1501" s="5" t="s">
        <v>5227</v>
      </c>
      <c r="D1501" s="5" t="s">
        <v>5217</v>
      </c>
      <c r="E1501" s="5" t="s">
        <v>5546</v>
      </c>
      <c r="F1501" s="5" t="s">
        <v>5280</v>
      </c>
      <c r="G1501" s="5" t="s">
        <v>4638</v>
      </c>
      <c r="H1501" s="5" t="s">
        <v>4600</v>
      </c>
      <c r="I1501" s="7" t="s">
        <v>5543</v>
      </c>
    </row>
    <row r="1502">
      <c r="A1502" s="5" t="s">
        <v>5226</v>
      </c>
      <c r="B1502" s="5" t="s">
        <v>5227</v>
      </c>
      <c r="D1502" s="5" t="s">
        <v>5217</v>
      </c>
      <c r="E1502" s="5" t="s">
        <v>909</v>
      </c>
      <c r="F1502" s="5" t="s">
        <v>4643</v>
      </c>
      <c r="G1502" s="5" t="s">
        <v>4644</v>
      </c>
      <c r="H1502" s="5" t="s">
        <v>4600</v>
      </c>
      <c r="I1502" s="7" t="s">
        <v>5225</v>
      </c>
    </row>
    <row r="1503">
      <c r="A1503" s="5" t="s">
        <v>2457</v>
      </c>
      <c r="B1503" s="5" t="s">
        <v>25</v>
      </c>
      <c r="C1503" s="5" t="s">
        <v>13</v>
      </c>
      <c r="D1503" s="5" t="s">
        <v>2458</v>
      </c>
      <c r="F1503" s="5" t="s">
        <v>2100</v>
      </c>
      <c r="G1503" s="5" t="s">
        <v>264</v>
      </c>
      <c r="H1503" s="5" t="s">
        <v>18</v>
      </c>
      <c r="I1503" s="7" t="s">
        <v>2459</v>
      </c>
    </row>
    <row r="1504">
      <c r="A1504" s="5" t="s">
        <v>2460</v>
      </c>
      <c r="B1504" s="5" t="s">
        <v>110</v>
      </c>
      <c r="C1504" s="5" t="s">
        <v>13</v>
      </c>
      <c r="D1504" s="5" t="s">
        <v>2458</v>
      </c>
      <c r="E1504" s="5" t="s">
        <v>48</v>
      </c>
      <c r="F1504" s="5" t="s">
        <v>16</v>
      </c>
      <c r="G1504" s="5" t="s">
        <v>17</v>
      </c>
      <c r="H1504" s="5" t="s">
        <v>18</v>
      </c>
      <c r="I1504" s="7" t="s">
        <v>2461</v>
      </c>
    </row>
    <row r="1505">
      <c r="A1505" s="5" t="s">
        <v>2462</v>
      </c>
      <c r="B1505" s="5" t="s">
        <v>766</v>
      </c>
      <c r="C1505" s="5" t="s">
        <v>13</v>
      </c>
      <c r="D1505" s="5" t="s">
        <v>2458</v>
      </c>
      <c r="E1505" s="5" t="s">
        <v>192</v>
      </c>
      <c r="F1505" s="5" t="s">
        <v>49</v>
      </c>
      <c r="G1505" s="5" t="s">
        <v>50</v>
      </c>
      <c r="H1505" s="5" t="s">
        <v>18</v>
      </c>
      <c r="I1505" s="7" t="s">
        <v>2463</v>
      </c>
    </row>
    <row r="1506">
      <c r="A1506" s="5" t="s">
        <v>2464</v>
      </c>
      <c r="B1506" s="5" t="s">
        <v>110</v>
      </c>
      <c r="C1506" s="5" t="s">
        <v>13</v>
      </c>
      <c r="D1506" s="5" t="s">
        <v>2458</v>
      </c>
      <c r="E1506" s="5" t="s">
        <v>909</v>
      </c>
      <c r="F1506" s="5" t="s">
        <v>64</v>
      </c>
      <c r="G1506" s="5" t="s">
        <v>65</v>
      </c>
      <c r="H1506" s="5" t="s">
        <v>18</v>
      </c>
      <c r="I1506" s="7" t="s">
        <v>2465</v>
      </c>
    </row>
    <row r="1507">
      <c r="A1507" s="5" t="s">
        <v>2466</v>
      </c>
      <c r="B1507" s="5" t="s">
        <v>110</v>
      </c>
      <c r="C1507" s="5" t="s">
        <v>13</v>
      </c>
      <c r="D1507" s="5" t="s">
        <v>2458</v>
      </c>
      <c r="E1507" s="5" t="s">
        <v>144</v>
      </c>
      <c r="F1507" s="5" t="s">
        <v>64</v>
      </c>
      <c r="G1507" s="5" t="s">
        <v>65</v>
      </c>
      <c r="H1507" s="5" t="s">
        <v>18</v>
      </c>
      <c r="I1507" s="7" t="s">
        <v>2467</v>
      </c>
    </row>
    <row r="1508">
      <c r="A1508" s="5" t="s">
        <v>2468</v>
      </c>
      <c r="B1508" s="5" t="s">
        <v>110</v>
      </c>
      <c r="C1508" s="5" t="s">
        <v>13</v>
      </c>
      <c r="D1508" s="5" t="s">
        <v>2458</v>
      </c>
      <c r="E1508" s="5" t="s">
        <v>686</v>
      </c>
      <c r="F1508" s="5" t="s">
        <v>1274</v>
      </c>
      <c r="G1508" s="5" t="s">
        <v>76</v>
      </c>
      <c r="H1508" s="5" t="s">
        <v>18</v>
      </c>
      <c r="I1508" s="7" t="s">
        <v>2469</v>
      </c>
    </row>
    <row r="1509">
      <c r="A1509" s="5" t="s">
        <v>2470</v>
      </c>
      <c r="B1509" s="5" t="s">
        <v>110</v>
      </c>
      <c r="C1509" s="5" t="s">
        <v>13</v>
      </c>
      <c r="D1509" s="5" t="s">
        <v>2458</v>
      </c>
      <c r="E1509" s="5" t="s">
        <v>182</v>
      </c>
      <c r="F1509" s="5" t="s">
        <v>635</v>
      </c>
      <c r="G1509" s="5" t="s">
        <v>76</v>
      </c>
      <c r="H1509" s="5" t="s">
        <v>18</v>
      </c>
      <c r="I1509" s="7" t="s">
        <v>2471</v>
      </c>
    </row>
    <row r="1510">
      <c r="A1510" s="5" t="s">
        <v>2472</v>
      </c>
      <c r="B1510" s="5" t="s">
        <v>2473</v>
      </c>
      <c r="C1510" s="5" t="s">
        <v>13</v>
      </c>
      <c r="D1510" s="5" t="s">
        <v>2458</v>
      </c>
      <c r="E1510" s="5" t="s">
        <v>1025</v>
      </c>
      <c r="F1510" s="5" t="s">
        <v>80</v>
      </c>
      <c r="G1510" s="5" t="s">
        <v>38</v>
      </c>
      <c r="H1510" s="5" t="s">
        <v>18</v>
      </c>
      <c r="I1510" s="7" t="s">
        <v>10783</v>
      </c>
    </row>
    <row r="1511">
      <c r="A1511" s="5" t="s">
        <v>2475</v>
      </c>
      <c r="B1511" s="5" t="s">
        <v>2476</v>
      </c>
      <c r="C1511" s="5" t="s">
        <v>13</v>
      </c>
      <c r="D1511" s="5" t="s">
        <v>2458</v>
      </c>
      <c r="E1511" s="5" t="s">
        <v>188</v>
      </c>
      <c r="F1511" s="5" t="s">
        <v>80</v>
      </c>
      <c r="G1511" s="5" t="s">
        <v>38</v>
      </c>
      <c r="H1511" s="5" t="s">
        <v>18</v>
      </c>
      <c r="I1511" s="7" t="s">
        <v>10784</v>
      </c>
    </row>
    <row r="1512">
      <c r="A1512" s="5" t="s">
        <v>2478</v>
      </c>
      <c r="B1512" s="5" t="s">
        <v>766</v>
      </c>
      <c r="C1512" s="5" t="s">
        <v>13</v>
      </c>
      <c r="D1512" s="5" t="s">
        <v>2458</v>
      </c>
      <c r="E1512" s="5" t="s">
        <v>144</v>
      </c>
      <c r="F1512" s="5" t="s">
        <v>112</v>
      </c>
      <c r="G1512" s="5" t="s">
        <v>38</v>
      </c>
      <c r="H1512" s="5" t="s">
        <v>18</v>
      </c>
      <c r="I1512" s="7" t="s">
        <v>2479</v>
      </c>
    </row>
    <row r="1513">
      <c r="A1513" s="5" t="s">
        <v>2480</v>
      </c>
      <c r="B1513" s="5" t="s">
        <v>110</v>
      </c>
      <c r="C1513" s="5" t="s">
        <v>13</v>
      </c>
      <c r="D1513" s="5" t="s">
        <v>2458</v>
      </c>
      <c r="E1513" s="5" t="s">
        <v>651</v>
      </c>
      <c r="F1513" s="5" t="s">
        <v>166</v>
      </c>
      <c r="G1513" s="5" t="s">
        <v>44</v>
      </c>
      <c r="H1513" s="5" t="s">
        <v>18</v>
      </c>
      <c r="I1513" s="17" t="s">
        <v>10785</v>
      </c>
    </row>
    <row r="1514">
      <c r="A1514" s="5" t="s">
        <v>2482</v>
      </c>
      <c r="B1514" s="5" t="s">
        <v>766</v>
      </c>
      <c r="C1514" s="5" t="s">
        <v>13</v>
      </c>
      <c r="D1514" s="5" t="s">
        <v>2458</v>
      </c>
      <c r="E1514" s="5" t="s">
        <v>192</v>
      </c>
      <c r="F1514" s="5" t="s">
        <v>1131</v>
      </c>
      <c r="G1514" s="5" t="s">
        <v>203</v>
      </c>
      <c r="H1514" s="5" t="s">
        <v>18</v>
      </c>
      <c r="I1514" s="7" t="s">
        <v>2483</v>
      </c>
    </row>
    <row r="1515">
      <c r="A1515" s="5" t="s">
        <v>2484</v>
      </c>
      <c r="B1515" s="5" t="s">
        <v>110</v>
      </c>
      <c r="C1515" s="5" t="s">
        <v>13</v>
      </c>
      <c r="D1515" s="5" t="s">
        <v>2458</v>
      </c>
      <c r="E1515" s="5" t="s">
        <v>421</v>
      </c>
      <c r="F1515" s="5" t="s">
        <v>102</v>
      </c>
      <c r="G1515" s="5" t="s">
        <v>172</v>
      </c>
      <c r="H1515" s="5" t="s">
        <v>18</v>
      </c>
      <c r="I1515" s="7" t="s">
        <v>2485</v>
      </c>
    </row>
    <row r="1516">
      <c r="A1516" s="5" t="s">
        <v>4989</v>
      </c>
      <c r="B1516" s="5" t="s">
        <v>4990</v>
      </c>
      <c r="D1516" s="5" t="s">
        <v>2458</v>
      </c>
      <c r="E1516" s="5" t="s">
        <v>4992</v>
      </c>
      <c r="F1516" s="5" t="s">
        <v>4970</v>
      </c>
      <c r="G1516" s="5" t="s">
        <v>4971</v>
      </c>
      <c r="H1516" s="5" t="s">
        <v>4619</v>
      </c>
      <c r="I1516" s="7" t="s">
        <v>4988</v>
      </c>
    </row>
    <row r="1517">
      <c r="A1517" s="5" t="s">
        <v>5498</v>
      </c>
      <c r="B1517" s="5" t="s">
        <v>5499</v>
      </c>
      <c r="D1517" s="5" t="s">
        <v>2458</v>
      </c>
      <c r="E1517" s="5" t="s">
        <v>512</v>
      </c>
      <c r="F1517" s="5" t="s">
        <v>5280</v>
      </c>
      <c r="G1517" s="5" t="s">
        <v>4638</v>
      </c>
      <c r="H1517" s="5" t="s">
        <v>4600</v>
      </c>
      <c r="I1517" s="7" t="s">
        <v>10786</v>
      </c>
    </row>
    <row r="1518">
      <c r="A1518" s="5" t="s">
        <v>5745</v>
      </c>
      <c r="B1518" s="5" t="s">
        <v>5746</v>
      </c>
      <c r="D1518" s="5" t="s">
        <v>2458</v>
      </c>
      <c r="E1518" s="5" t="s">
        <v>5747</v>
      </c>
      <c r="F1518" s="5" t="s">
        <v>1274</v>
      </c>
      <c r="G1518" s="5" t="s">
        <v>76</v>
      </c>
      <c r="H1518" s="5" t="s">
        <v>18</v>
      </c>
      <c r="I1518" s="7" t="s">
        <v>5744</v>
      </c>
    </row>
    <row r="1519">
      <c r="A1519" s="5" t="s">
        <v>2475</v>
      </c>
      <c r="B1519" s="5" t="s">
        <v>2476</v>
      </c>
      <c r="D1519" s="5" t="s">
        <v>2458</v>
      </c>
      <c r="E1519" s="5" t="s">
        <v>188</v>
      </c>
      <c r="F1519" s="5" t="s">
        <v>80</v>
      </c>
      <c r="G1519" s="5" t="s">
        <v>38</v>
      </c>
      <c r="H1519" s="5" t="s">
        <v>18</v>
      </c>
      <c r="I1519" s="7" t="s">
        <v>10787</v>
      </c>
    </row>
    <row r="1520">
      <c r="A1520" s="5" t="s">
        <v>7036</v>
      </c>
      <c r="B1520" s="5" t="s">
        <v>7037</v>
      </c>
      <c r="D1520" s="5" t="s">
        <v>7038</v>
      </c>
      <c r="E1520" s="5" t="s">
        <v>526</v>
      </c>
      <c r="F1520" s="5" t="s">
        <v>6577</v>
      </c>
      <c r="G1520" s="5" t="s">
        <v>4757</v>
      </c>
      <c r="H1520" s="5" t="s">
        <v>4607</v>
      </c>
      <c r="I1520" s="7" t="s">
        <v>7035</v>
      </c>
    </row>
    <row r="1521">
      <c r="A1521" s="5" t="s">
        <v>7582</v>
      </c>
      <c r="B1521" s="5" t="s">
        <v>7583</v>
      </c>
      <c r="D1521" s="5" t="s">
        <v>7584</v>
      </c>
      <c r="E1521" s="5" t="s">
        <v>53</v>
      </c>
      <c r="F1521" s="5" t="s">
        <v>7548</v>
      </c>
      <c r="G1521" s="5" t="s">
        <v>6159</v>
      </c>
      <c r="H1521" s="5" t="s">
        <v>4600</v>
      </c>
      <c r="I1521" s="7" t="s">
        <v>7581</v>
      </c>
    </row>
    <row r="1522">
      <c r="A1522" s="5" t="s">
        <v>7635</v>
      </c>
      <c r="B1522" s="5" t="s">
        <v>7636</v>
      </c>
      <c r="D1522" s="5" t="s">
        <v>7584</v>
      </c>
      <c r="E1522" s="5" t="s">
        <v>42</v>
      </c>
      <c r="F1522" s="5" t="s">
        <v>7548</v>
      </c>
      <c r="G1522" s="5" t="s">
        <v>6159</v>
      </c>
      <c r="H1522" s="5" t="s">
        <v>4600</v>
      </c>
      <c r="I1522" s="17" t="s">
        <v>10788</v>
      </c>
    </row>
    <row r="1523">
      <c r="A1523" s="5" t="s">
        <v>7646</v>
      </c>
      <c r="B1523" s="5" t="s">
        <v>7647</v>
      </c>
      <c r="D1523" s="5" t="s">
        <v>7584</v>
      </c>
      <c r="E1523" s="5" t="s">
        <v>207</v>
      </c>
      <c r="F1523" s="5" t="s">
        <v>7548</v>
      </c>
      <c r="G1523" s="5" t="s">
        <v>6159</v>
      </c>
      <c r="H1523" s="5" t="s">
        <v>4600</v>
      </c>
      <c r="I1523" s="7" t="s">
        <v>10789</v>
      </c>
    </row>
    <row r="1524">
      <c r="A1524" s="5" t="s">
        <v>2486</v>
      </c>
      <c r="B1524" s="5" t="s">
        <v>2487</v>
      </c>
      <c r="C1524" s="5" t="s">
        <v>13</v>
      </c>
      <c r="D1524" s="5" t="s">
        <v>2488</v>
      </c>
      <c r="E1524" s="5" t="s">
        <v>421</v>
      </c>
      <c r="F1524" s="5" t="s">
        <v>1274</v>
      </c>
      <c r="G1524" s="5" t="s">
        <v>76</v>
      </c>
      <c r="H1524" s="5" t="s">
        <v>18</v>
      </c>
      <c r="I1524" s="7" t="s">
        <v>2489</v>
      </c>
    </row>
    <row r="1525">
      <c r="A1525" s="5" t="s">
        <v>2490</v>
      </c>
      <c r="B1525" s="5" t="s">
        <v>110</v>
      </c>
      <c r="C1525" s="5" t="s">
        <v>13</v>
      </c>
      <c r="D1525" s="5" t="s">
        <v>2488</v>
      </c>
      <c r="E1525" s="5" t="s">
        <v>237</v>
      </c>
      <c r="F1525" s="5" t="s">
        <v>2491</v>
      </c>
      <c r="G1525" s="5" t="s">
        <v>44</v>
      </c>
      <c r="H1525" s="5" t="s">
        <v>18</v>
      </c>
      <c r="I1525" s="7" t="s">
        <v>2492</v>
      </c>
    </row>
    <row r="1526">
      <c r="A1526" s="5" t="s">
        <v>2493</v>
      </c>
      <c r="B1526" s="5" t="s">
        <v>2494</v>
      </c>
      <c r="C1526" s="5" t="s">
        <v>13</v>
      </c>
      <c r="D1526" s="5" t="s">
        <v>2488</v>
      </c>
      <c r="E1526" s="5" t="s">
        <v>2495</v>
      </c>
      <c r="F1526" s="5" t="s">
        <v>223</v>
      </c>
      <c r="G1526" s="5" t="s">
        <v>224</v>
      </c>
      <c r="H1526" s="5" t="s">
        <v>18</v>
      </c>
      <c r="I1526" s="7" t="s">
        <v>2496</v>
      </c>
    </row>
    <row r="1527">
      <c r="A1527" s="5" t="s">
        <v>2497</v>
      </c>
      <c r="B1527" s="5" t="s">
        <v>404</v>
      </c>
      <c r="C1527" s="5" t="s">
        <v>13</v>
      </c>
      <c r="D1527" s="5" t="s">
        <v>2488</v>
      </c>
      <c r="E1527" s="5" t="s">
        <v>268</v>
      </c>
      <c r="F1527" s="5" t="s">
        <v>801</v>
      </c>
      <c r="G1527" s="5" t="s">
        <v>50</v>
      </c>
      <c r="H1527" s="5" t="s">
        <v>18</v>
      </c>
      <c r="I1527" s="7" t="s">
        <v>2498</v>
      </c>
    </row>
    <row r="1528">
      <c r="A1528" s="5" t="s">
        <v>4951</v>
      </c>
      <c r="B1528" s="5" t="s">
        <v>4952</v>
      </c>
      <c r="D1528" s="5" t="s">
        <v>4953</v>
      </c>
      <c r="E1528" s="5" t="s">
        <v>136</v>
      </c>
      <c r="F1528" s="5" t="s">
        <v>4954</v>
      </c>
      <c r="G1528" s="5" t="s">
        <v>4757</v>
      </c>
      <c r="H1528" s="5" t="s">
        <v>4607</v>
      </c>
      <c r="I1528" s="7" t="s">
        <v>10790</v>
      </c>
    </row>
    <row r="1529">
      <c r="A1529" s="5" t="s">
        <v>6711</v>
      </c>
      <c r="B1529" s="5" t="s">
        <v>6712</v>
      </c>
      <c r="D1529" s="5" t="s">
        <v>4953</v>
      </c>
      <c r="E1529" s="5" t="s">
        <v>233</v>
      </c>
      <c r="F1529" s="5" t="s">
        <v>6577</v>
      </c>
      <c r="G1529" s="5" t="s">
        <v>4757</v>
      </c>
      <c r="H1529" s="5" t="s">
        <v>4607</v>
      </c>
      <c r="I1529" s="18" t="s">
        <v>10791</v>
      </c>
    </row>
    <row r="1530">
      <c r="A1530" s="5" t="s">
        <v>6795</v>
      </c>
      <c r="B1530" s="5" t="s">
        <v>6796</v>
      </c>
      <c r="D1530" s="5" t="s">
        <v>4953</v>
      </c>
      <c r="E1530" s="5" t="s">
        <v>574</v>
      </c>
      <c r="F1530" s="5" t="s">
        <v>6577</v>
      </c>
      <c r="G1530" s="5" t="s">
        <v>4757</v>
      </c>
      <c r="H1530" s="5" t="s">
        <v>4607</v>
      </c>
      <c r="I1530" s="7" t="s">
        <v>10792</v>
      </c>
    </row>
    <row r="1531">
      <c r="A1531" s="5" t="s">
        <v>7061</v>
      </c>
      <c r="B1531" s="5" t="s">
        <v>5054</v>
      </c>
      <c r="D1531" s="5" t="s">
        <v>4953</v>
      </c>
      <c r="F1531" s="5" t="s">
        <v>6577</v>
      </c>
      <c r="G1531" s="5" t="s">
        <v>4757</v>
      </c>
      <c r="H1531" s="5" t="s">
        <v>4607</v>
      </c>
      <c r="I1531" s="7" t="s">
        <v>7060</v>
      </c>
    </row>
    <row r="1532">
      <c r="A1532" s="5" t="s">
        <v>9621</v>
      </c>
      <c r="B1532" s="5" t="s">
        <v>5054</v>
      </c>
      <c r="D1532" s="5" t="s">
        <v>4953</v>
      </c>
      <c r="E1532" s="5" t="s">
        <v>909</v>
      </c>
      <c r="F1532" s="5" t="s">
        <v>6577</v>
      </c>
      <c r="G1532" s="5" t="s">
        <v>4757</v>
      </c>
      <c r="H1532" s="5" t="s">
        <v>4607</v>
      </c>
      <c r="I1532" s="7" t="s">
        <v>9620</v>
      </c>
    </row>
    <row r="1533">
      <c r="A1533" s="5" t="s">
        <v>2499</v>
      </c>
      <c r="B1533" s="5" t="s">
        <v>625</v>
      </c>
      <c r="C1533" s="5" t="s">
        <v>13</v>
      </c>
      <c r="D1533" s="5" t="s">
        <v>2500</v>
      </c>
      <c r="E1533" s="5" t="s">
        <v>727</v>
      </c>
      <c r="F1533" s="5" t="s">
        <v>377</v>
      </c>
      <c r="G1533" s="5" t="s">
        <v>378</v>
      </c>
      <c r="H1533" s="5" t="s">
        <v>18</v>
      </c>
      <c r="I1533" s="7" t="s">
        <v>2501</v>
      </c>
    </row>
    <row r="1534">
      <c r="A1534" s="5" t="s">
        <v>2502</v>
      </c>
      <c r="B1534" s="5" t="s">
        <v>2503</v>
      </c>
      <c r="C1534" s="5" t="s">
        <v>13</v>
      </c>
      <c r="D1534" s="5" t="s">
        <v>2500</v>
      </c>
      <c r="E1534" s="5" t="s">
        <v>48</v>
      </c>
      <c r="F1534" s="5" t="s">
        <v>377</v>
      </c>
      <c r="G1534" s="5" t="s">
        <v>378</v>
      </c>
      <c r="H1534" s="5" t="s">
        <v>18</v>
      </c>
      <c r="I1534" s="7" t="s">
        <v>2504</v>
      </c>
    </row>
    <row r="1535">
      <c r="A1535" s="5" t="s">
        <v>2505</v>
      </c>
      <c r="B1535" s="5" t="s">
        <v>2506</v>
      </c>
      <c r="C1535" s="5" t="s">
        <v>13</v>
      </c>
      <c r="D1535" s="5" t="s">
        <v>2500</v>
      </c>
      <c r="E1535" s="5" t="s">
        <v>980</v>
      </c>
      <c r="F1535" s="5" t="s">
        <v>377</v>
      </c>
      <c r="G1535" s="5" t="s">
        <v>378</v>
      </c>
      <c r="H1535" s="5" t="s">
        <v>18</v>
      </c>
      <c r="I1535" s="7" t="s">
        <v>10793</v>
      </c>
    </row>
    <row r="1536">
      <c r="A1536" s="5" t="s">
        <v>2508</v>
      </c>
      <c r="B1536" s="5" t="s">
        <v>25</v>
      </c>
      <c r="C1536" s="5" t="s">
        <v>13</v>
      </c>
      <c r="D1536" s="5" t="s">
        <v>2500</v>
      </c>
      <c r="E1536" s="5" t="s">
        <v>26</v>
      </c>
      <c r="F1536" s="5" t="s">
        <v>377</v>
      </c>
      <c r="G1536" s="5" t="s">
        <v>378</v>
      </c>
      <c r="H1536" s="5" t="s">
        <v>18</v>
      </c>
      <c r="I1536" s="7" t="s">
        <v>2509</v>
      </c>
    </row>
    <row r="1537">
      <c r="A1537" s="5" t="s">
        <v>2510</v>
      </c>
      <c r="B1537" s="5" t="s">
        <v>2511</v>
      </c>
      <c r="C1537" s="5" t="s">
        <v>13</v>
      </c>
      <c r="D1537" s="5" t="s">
        <v>2500</v>
      </c>
      <c r="E1537" s="5" t="s">
        <v>192</v>
      </c>
      <c r="F1537" s="5" t="s">
        <v>377</v>
      </c>
      <c r="G1537" s="5" t="s">
        <v>378</v>
      </c>
      <c r="H1537" s="5" t="s">
        <v>18</v>
      </c>
      <c r="I1537" s="7" t="s">
        <v>10794</v>
      </c>
    </row>
    <row r="1538">
      <c r="A1538" s="5" t="s">
        <v>2513</v>
      </c>
      <c r="B1538" s="5" t="s">
        <v>110</v>
      </c>
      <c r="C1538" s="5" t="s">
        <v>13</v>
      </c>
      <c r="D1538" s="5" t="s">
        <v>2514</v>
      </c>
      <c r="E1538" s="5" t="s">
        <v>237</v>
      </c>
      <c r="F1538" s="5" t="s">
        <v>122</v>
      </c>
      <c r="G1538" s="5" t="s">
        <v>44</v>
      </c>
      <c r="H1538" s="5" t="s">
        <v>18</v>
      </c>
      <c r="I1538" s="7" t="s">
        <v>2515</v>
      </c>
    </row>
    <row r="1539">
      <c r="A1539" s="5" t="s">
        <v>2516</v>
      </c>
      <c r="B1539" s="5" t="s">
        <v>110</v>
      </c>
      <c r="C1539" s="5" t="s">
        <v>13</v>
      </c>
      <c r="D1539" s="5" t="s">
        <v>2514</v>
      </c>
      <c r="E1539" s="5" t="s">
        <v>237</v>
      </c>
      <c r="F1539" s="5" t="s">
        <v>122</v>
      </c>
      <c r="G1539" s="5" t="s">
        <v>44</v>
      </c>
      <c r="H1539" s="5" t="s">
        <v>18</v>
      </c>
      <c r="I1539" s="7" t="s">
        <v>2517</v>
      </c>
    </row>
    <row r="1540">
      <c r="A1540" s="5" t="s">
        <v>6843</v>
      </c>
      <c r="B1540" s="5" t="s">
        <v>6844</v>
      </c>
      <c r="D1540" s="5" t="s">
        <v>2520</v>
      </c>
      <c r="E1540" s="5" t="s">
        <v>26</v>
      </c>
      <c r="F1540" s="5" t="s">
        <v>6577</v>
      </c>
      <c r="G1540" s="5" t="s">
        <v>4757</v>
      </c>
      <c r="H1540" s="5" t="s">
        <v>4607</v>
      </c>
      <c r="I1540" s="7" t="s">
        <v>6842</v>
      </c>
    </row>
    <row r="1541">
      <c r="A1541" s="5" t="s">
        <v>2518</v>
      </c>
      <c r="B1541" s="5" t="s">
        <v>2519</v>
      </c>
      <c r="C1541" s="5" t="s">
        <v>13</v>
      </c>
      <c r="D1541" s="5" t="s">
        <v>2520</v>
      </c>
      <c r="E1541" s="5" t="s">
        <v>100</v>
      </c>
      <c r="F1541" s="5" t="s">
        <v>2521</v>
      </c>
      <c r="G1541" s="5" t="s">
        <v>137</v>
      </c>
      <c r="H1541" s="5" t="s">
        <v>18</v>
      </c>
      <c r="I1541" s="7" t="s">
        <v>10795</v>
      </c>
    </row>
    <row r="1542">
      <c r="A1542" s="5" t="s">
        <v>2523</v>
      </c>
      <c r="B1542" s="5" t="s">
        <v>2524</v>
      </c>
      <c r="C1542" s="5" t="s">
        <v>4</v>
      </c>
      <c r="D1542" s="5" t="s">
        <v>2520</v>
      </c>
      <c r="E1542" s="5" t="s">
        <v>2525</v>
      </c>
      <c r="F1542" s="5" t="s">
        <v>2526</v>
      </c>
      <c r="G1542" s="5" t="s">
        <v>50</v>
      </c>
      <c r="H1542" s="5" t="s">
        <v>18</v>
      </c>
      <c r="I1542" s="7" t="s">
        <v>10796</v>
      </c>
    </row>
    <row r="1543">
      <c r="A1543" s="5" t="s">
        <v>2528</v>
      </c>
      <c r="B1543" s="5" t="s">
        <v>2529</v>
      </c>
      <c r="C1543" s="5" t="s">
        <v>13</v>
      </c>
      <c r="D1543" s="5" t="s">
        <v>2530</v>
      </c>
      <c r="E1543" s="5" t="s">
        <v>421</v>
      </c>
      <c r="F1543" s="5" t="s">
        <v>37</v>
      </c>
      <c r="G1543" s="5" t="s">
        <v>38</v>
      </c>
      <c r="H1543" s="5" t="s">
        <v>18</v>
      </c>
      <c r="I1543" s="7" t="s">
        <v>2531</v>
      </c>
    </row>
    <row r="1544">
      <c r="A1544" s="5" t="s">
        <v>2532</v>
      </c>
      <c r="B1544" s="5" t="s">
        <v>2533</v>
      </c>
      <c r="C1544" s="5" t="s">
        <v>13</v>
      </c>
      <c r="D1544" s="5" t="s">
        <v>2530</v>
      </c>
      <c r="E1544" s="5" t="s">
        <v>29</v>
      </c>
      <c r="F1544" s="5" t="s">
        <v>64</v>
      </c>
      <c r="G1544" s="5" t="s">
        <v>65</v>
      </c>
      <c r="H1544" s="5" t="s">
        <v>18</v>
      </c>
      <c r="I1544" s="7" t="s">
        <v>10797</v>
      </c>
    </row>
    <row r="1545">
      <c r="A1545" s="5" t="s">
        <v>2535</v>
      </c>
      <c r="B1545" s="5" t="s">
        <v>110</v>
      </c>
      <c r="C1545" s="5" t="s">
        <v>13</v>
      </c>
      <c r="D1545" s="5" t="s">
        <v>2530</v>
      </c>
      <c r="E1545" s="5" t="s">
        <v>712</v>
      </c>
      <c r="F1545" s="5" t="s">
        <v>2536</v>
      </c>
      <c r="G1545" s="5" t="s">
        <v>86</v>
      </c>
      <c r="H1545" s="5" t="s">
        <v>18</v>
      </c>
      <c r="I1545" s="7" t="s">
        <v>2537</v>
      </c>
    </row>
    <row r="1546">
      <c r="A1546" s="5" t="s">
        <v>2538</v>
      </c>
      <c r="B1546" s="5" t="s">
        <v>2539</v>
      </c>
      <c r="C1546" s="5" t="s">
        <v>13</v>
      </c>
      <c r="D1546" s="5" t="s">
        <v>2530</v>
      </c>
      <c r="E1546" s="5" t="s">
        <v>890</v>
      </c>
      <c r="F1546" s="5" t="s">
        <v>2540</v>
      </c>
      <c r="G1546" s="5" t="s">
        <v>1305</v>
      </c>
      <c r="H1546" s="5" t="s">
        <v>18</v>
      </c>
      <c r="I1546" s="7" t="s">
        <v>2541</v>
      </c>
    </row>
    <row r="1547">
      <c r="A1547" s="5" t="s">
        <v>2542</v>
      </c>
      <c r="B1547" s="5" t="s">
        <v>2543</v>
      </c>
      <c r="C1547" s="5" t="s">
        <v>13</v>
      </c>
      <c r="D1547" s="5" t="s">
        <v>2530</v>
      </c>
      <c r="E1547" s="5" t="s">
        <v>2544</v>
      </c>
      <c r="F1547" s="5" t="s">
        <v>2545</v>
      </c>
      <c r="G1547" s="5" t="s">
        <v>38</v>
      </c>
      <c r="H1547" s="5" t="s">
        <v>18</v>
      </c>
      <c r="I1547" s="7" t="s">
        <v>10798</v>
      </c>
    </row>
    <row r="1548">
      <c r="A1548" s="5" t="s">
        <v>2547</v>
      </c>
      <c r="B1548" s="5" t="s">
        <v>110</v>
      </c>
      <c r="C1548" s="5" t="s">
        <v>13</v>
      </c>
      <c r="D1548" s="5" t="s">
        <v>2530</v>
      </c>
      <c r="E1548" s="5" t="s">
        <v>686</v>
      </c>
      <c r="F1548" s="5" t="s">
        <v>311</v>
      </c>
      <c r="G1548" s="5" t="s">
        <v>102</v>
      </c>
      <c r="H1548" s="5" t="s">
        <v>18</v>
      </c>
      <c r="I1548" s="7" t="s">
        <v>2548</v>
      </c>
    </row>
    <row r="1549">
      <c r="A1549" s="5" t="s">
        <v>6601</v>
      </c>
      <c r="B1549" s="5" t="s">
        <v>5054</v>
      </c>
      <c r="D1549" s="5" t="s">
        <v>2551</v>
      </c>
      <c r="E1549" s="5" t="s">
        <v>15</v>
      </c>
      <c r="F1549" s="5" t="s">
        <v>6577</v>
      </c>
      <c r="G1549" s="5" t="s">
        <v>4757</v>
      </c>
      <c r="H1549" s="5" t="s">
        <v>4607</v>
      </c>
      <c r="I1549" s="7" t="s">
        <v>6600</v>
      </c>
    </row>
    <row r="1550">
      <c r="A1550" s="5" t="s">
        <v>2549</v>
      </c>
      <c r="B1550" s="5" t="s">
        <v>2550</v>
      </c>
      <c r="C1550" s="5" t="s">
        <v>13</v>
      </c>
      <c r="D1550" s="5" t="s">
        <v>2551</v>
      </c>
      <c r="E1550" s="5" t="s">
        <v>131</v>
      </c>
      <c r="F1550" s="5" t="s">
        <v>2552</v>
      </c>
      <c r="G1550" s="5" t="s">
        <v>96</v>
      </c>
      <c r="H1550" s="5" t="s">
        <v>18</v>
      </c>
      <c r="I1550" s="7" t="s">
        <v>10799</v>
      </c>
    </row>
    <row r="1551">
      <c r="A1551" s="5" t="s">
        <v>2554</v>
      </c>
      <c r="B1551" s="5" t="s">
        <v>25</v>
      </c>
      <c r="C1551" s="5" t="s">
        <v>13</v>
      </c>
      <c r="D1551" s="5" t="s">
        <v>2551</v>
      </c>
      <c r="E1551" s="5" t="s">
        <v>648</v>
      </c>
      <c r="F1551" s="5" t="s">
        <v>2555</v>
      </c>
      <c r="G1551" s="5" t="s">
        <v>96</v>
      </c>
      <c r="H1551" s="5" t="s">
        <v>18</v>
      </c>
      <c r="I1551" s="7" t="s">
        <v>2556</v>
      </c>
    </row>
    <row r="1552">
      <c r="A1552" s="5" t="s">
        <v>2557</v>
      </c>
      <c r="B1552" s="5" t="s">
        <v>2558</v>
      </c>
      <c r="C1552" s="5" t="s">
        <v>13</v>
      </c>
      <c r="D1552" s="5" t="s">
        <v>2551</v>
      </c>
      <c r="E1552" s="5" t="s">
        <v>188</v>
      </c>
      <c r="F1552" s="5" t="s">
        <v>1527</v>
      </c>
      <c r="G1552" s="5" t="s">
        <v>945</v>
      </c>
      <c r="H1552" s="5" t="s">
        <v>18</v>
      </c>
      <c r="I1552" s="7" t="s">
        <v>2559</v>
      </c>
    </row>
    <row r="1553">
      <c r="A1553" s="5" t="s">
        <v>2560</v>
      </c>
      <c r="B1553" s="5" t="s">
        <v>25</v>
      </c>
      <c r="C1553" s="5" t="s">
        <v>13</v>
      </c>
      <c r="D1553" s="5" t="s">
        <v>2551</v>
      </c>
      <c r="E1553" s="5" t="s">
        <v>188</v>
      </c>
      <c r="F1553" s="5" t="s">
        <v>1527</v>
      </c>
      <c r="G1553" s="5" t="s">
        <v>945</v>
      </c>
      <c r="H1553" s="5" t="s">
        <v>18</v>
      </c>
      <c r="I1553" s="7" t="s">
        <v>2561</v>
      </c>
    </row>
    <row r="1554">
      <c r="A1554" s="5" t="s">
        <v>2562</v>
      </c>
      <c r="B1554" s="5" t="s">
        <v>2563</v>
      </c>
      <c r="C1554" s="5" t="s">
        <v>13</v>
      </c>
      <c r="D1554" s="5" t="s">
        <v>2551</v>
      </c>
      <c r="E1554" s="5" t="s">
        <v>1880</v>
      </c>
      <c r="F1554" s="5" t="s">
        <v>137</v>
      </c>
      <c r="G1554" s="5" t="s">
        <v>137</v>
      </c>
      <c r="H1554" s="5" t="s">
        <v>18</v>
      </c>
      <c r="I1554" s="7" t="s">
        <v>10800</v>
      </c>
    </row>
    <row r="1555">
      <c r="A1555" s="5" t="s">
        <v>2565</v>
      </c>
      <c r="B1555" s="5" t="s">
        <v>25</v>
      </c>
      <c r="C1555" s="5" t="s">
        <v>13</v>
      </c>
      <c r="D1555" s="5" t="s">
        <v>2551</v>
      </c>
      <c r="E1555" s="5" t="s">
        <v>106</v>
      </c>
      <c r="F1555" s="5" t="s">
        <v>137</v>
      </c>
      <c r="G1555" s="5" t="s">
        <v>137</v>
      </c>
      <c r="H1555" s="5" t="s">
        <v>18</v>
      </c>
      <c r="I1555" s="7" t="s">
        <v>2566</v>
      </c>
    </row>
    <row r="1556">
      <c r="A1556" s="5" t="s">
        <v>2567</v>
      </c>
      <c r="B1556" s="5" t="s">
        <v>2568</v>
      </c>
      <c r="C1556" s="5" t="s">
        <v>13</v>
      </c>
      <c r="D1556" s="5" t="s">
        <v>2551</v>
      </c>
      <c r="E1556" s="5" t="s">
        <v>418</v>
      </c>
      <c r="F1556" s="5" t="s">
        <v>137</v>
      </c>
      <c r="G1556" s="5" t="s">
        <v>137</v>
      </c>
      <c r="H1556" s="5" t="s">
        <v>18</v>
      </c>
      <c r="I1556" s="7" t="s">
        <v>2569</v>
      </c>
    </row>
    <row r="1557">
      <c r="A1557" s="5" t="s">
        <v>2570</v>
      </c>
      <c r="B1557" s="5" t="s">
        <v>2571</v>
      </c>
      <c r="C1557" s="5" t="s">
        <v>13</v>
      </c>
      <c r="D1557" s="5" t="s">
        <v>2572</v>
      </c>
      <c r="E1557" s="5" t="s">
        <v>2573</v>
      </c>
      <c r="F1557" s="5" t="s">
        <v>2574</v>
      </c>
      <c r="G1557" s="5" t="s">
        <v>2575</v>
      </c>
      <c r="H1557" s="5" t="s">
        <v>18</v>
      </c>
      <c r="I1557" s="7" t="s">
        <v>2576</v>
      </c>
    </row>
    <row r="1558">
      <c r="A1558" s="5" t="s">
        <v>2577</v>
      </c>
      <c r="B1558" s="5" t="s">
        <v>2578</v>
      </c>
      <c r="C1558" s="5" t="s">
        <v>13</v>
      </c>
      <c r="D1558" s="5" t="s">
        <v>2572</v>
      </c>
      <c r="E1558" s="5" t="s">
        <v>26</v>
      </c>
      <c r="F1558" s="5" t="s">
        <v>2579</v>
      </c>
      <c r="G1558" s="5" t="s">
        <v>44</v>
      </c>
      <c r="H1558" s="5" t="s">
        <v>18</v>
      </c>
      <c r="I1558" s="7" t="s">
        <v>2580</v>
      </c>
    </row>
    <row r="1559">
      <c r="A1559" s="5" t="s">
        <v>2581</v>
      </c>
      <c r="B1559" s="5" t="s">
        <v>2582</v>
      </c>
      <c r="C1559" s="5" t="s">
        <v>13</v>
      </c>
      <c r="D1559" s="5" t="s">
        <v>2572</v>
      </c>
      <c r="E1559" s="5" t="s">
        <v>2544</v>
      </c>
      <c r="F1559" s="5" t="s">
        <v>2583</v>
      </c>
      <c r="G1559" s="5" t="s">
        <v>1354</v>
      </c>
      <c r="H1559" s="5" t="s">
        <v>18</v>
      </c>
      <c r="I1559" s="7" t="s">
        <v>2584</v>
      </c>
    </row>
    <row r="1560">
      <c r="A1560" s="5" t="s">
        <v>2585</v>
      </c>
      <c r="B1560" s="5" t="s">
        <v>371</v>
      </c>
      <c r="C1560" s="5" t="s">
        <v>13</v>
      </c>
      <c r="D1560" s="5" t="s">
        <v>2572</v>
      </c>
      <c r="E1560" s="5" t="s">
        <v>1357</v>
      </c>
      <c r="F1560" s="5" t="s">
        <v>2586</v>
      </c>
      <c r="G1560" s="5" t="s">
        <v>224</v>
      </c>
      <c r="H1560" s="5" t="s">
        <v>18</v>
      </c>
      <c r="I1560" s="7" t="s">
        <v>2587</v>
      </c>
    </row>
    <row r="1561">
      <c r="A1561" s="5" t="s">
        <v>8516</v>
      </c>
      <c r="B1561" s="5" t="s">
        <v>32</v>
      </c>
      <c r="D1561" s="5" t="s">
        <v>2589</v>
      </c>
      <c r="E1561" s="5" t="s">
        <v>144</v>
      </c>
      <c r="F1561" s="5" t="s">
        <v>8517</v>
      </c>
      <c r="G1561" s="5" t="s">
        <v>4638</v>
      </c>
      <c r="H1561" s="5" t="s">
        <v>4600</v>
      </c>
      <c r="I1561" s="7" t="s">
        <v>8515</v>
      </c>
    </row>
    <row r="1562">
      <c r="A1562" s="5" t="s">
        <v>2588</v>
      </c>
      <c r="B1562" s="5" t="s">
        <v>110</v>
      </c>
      <c r="C1562" s="5" t="s">
        <v>13</v>
      </c>
      <c r="D1562" s="5" t="s">
        <v>2589</v>
      </c>
      <c r="E1562" s="5" t="s">
        <v>654</v>
      </c>
      <c r="F1562" s="5" t="s">
        <v>218</v>
      </c>
      <c r="G1562" s="5" t="s">
        <v>219</v>
      </c>
      <c r="H1562" s="5" t="s">
        <v>18</v>
      </c>
      <c r="I1562" s="7" t="s">
        <v>2590</v>
      </c>
    </row>
    <row r="1563">
      <c r="A1563" s="5" t="s">
        <v>2591</v>
      </c>
      <c r="B1563" s="5" t="s">
        <v>110</v>
      </c>
      <c r="C1563" s="5" t="s">
        <v>13</v>
      </c>
      <c r="D1563" s="5" t="s">
        <v>2589</v>
      </c>
      <c r="E1563" s="5" t="s">
        <v>84</v>
      </c>
      <c r="F1563" s="5" t="s">
        <v>218</v>
      </c>
      <c r="G1563" s="5" t="s">
        <v>219</v>
      </c>
      <c r="H1563" s="5" t="s">
        <v>18</v>
      </c>
      <c r="I1563" s="7" t="s">
        <v>2592</v>
      </c>
    </row>
    <row r="1564">
      <c r="A1564" s="5" t="s">
        <v>2593</v>
      </c>
      <c r="B1564" s="5" t="s">
        <v>110</v>
      </c>
      <c r="C1564" s="5" t="s">
        <v>13</v>
      </c>
      <c r="D1564" s="5" t="s">
        <v>2589</v>
      </c>
      <c r="E1564" s="5" t="s">
        <v>1300</v>
      </c>
      <c r="F1564" s="5" t="s">
        <v>218</v>
      </c>
      <c r="G1564" s="5" t="s">
        <v>219</v>
      </c>
      <c r="H1564" s="5" t="s">
        <v>18</v>
      </c>
      <c r="I1564" s="7" t="s">
        <v>2594</v>
      </c>
    </row>
    <row r="1565">
      <c r="A1565" s="5" t="s">
        <v>2595</v>
      </c>
      <c r="B1565" s="5" t="s">
        <v>110</v>
      </c>
      <c r="C1565" s="5" t="s">
        <v>13</v>
      </c>
      <c r="D1565" s="5" t="s">
        <v>2589</v>
      </c>
      <c r="E1565" s="5" t="s">
        <v>409</v>
      </c>
      <c r="F1565" s="5" t="s">
        <v>1867</v>
      </c>
      <c r="G1565" s="5" t="s">
        <v>44</v>
      </c>
      <c r="H1565" s="5" t="s">
        <v>18</v>
      </c>
      <c r="I1565" s="7" t="s">
        <v>2596</v>
      </c>
    </row>
    <row r="1566">
      <c r="A1566" s="5" t="s">
        <v>2597</v>
      </c>
      <c r="B1566" s="5" t="s">
        <v>766</v>
      </c>
      <c r="C1566" s="5" t="s">
        <v>13</v>
      </c>
      <c r="D1566" s="5" t="s">
        <v>2589</v>
      </c>
      <c r="E1566" s="5" t="s">
        <v>345</v>
      </c>
      <c r="F1566" s="5" t="s">
        <v>1867</v>
      </c>
      <c r="G1566" s="5" t="s">
        <v>44</v>
      </c>
      <c r="H1566" s="5" t="s">
        <v>18</v>
      </c>
      <c r="I1566" s="7" t="s">
        <v>2598</v>
      </c>
    </row>
    <row r="1567">
      <c r="A1567" s="5" t="s">
        <v>2599</v>
      </c>
      <c r="B1567" s="5" t="s">
        <v>110</v>
      </c>
      <c r="C1567" s="5" t="s">
        <v>13</v>
      </c>
      <c r="D1567" s="5" t="s">
        <v>2589</v>
      </c>
      <c r="F1567" s="5" t="s">
        <v>1867</v>
      </c>
      <c r="G1567" s="5" t="s">
        <v>44</v>
      </c>
      <c r="H1567" s="5" t="s">
        <v>18</v>
      </c>
      <c r="I1567" s="7" t="s">
        <v>2600</v>
      </c>
    </row>
    <row r="1568">
      <c r="A1568" s="5" t="s">
        <v>2601</v>
      </c>
      <c r="B1568" s="5" t="s">
        <v>2602</v>
      </c>
      <c r="C1568" s="5" t="s">
        <v>4</v>
      </c>
      <c r="D1568" s="5" t="s">
        <v>2589</v>
      </c>
      <c r="E1568" s="5" t="s">
        <v>909</v>
      </c>
      <c r="F1568" s="5" t="s">
        <v>166</v>
      </c>
      <c r="G1568" s="5" t="s">
        <v>44</v>
      </c>
      <c r="H1568" s="5" t="s">
        <v>18</v>
      </c>
      <c r="I1568" s="7" t="s">
        <v>10801</v>
      </c>
    </row>
    <row r="1569">
      <c r="A1569" s="5" t="s">
        <v>2604</v>
      </c>
      <c r="B1569" s="5" t="s">
        <v>2605</v>
      </c>
      <c r="C1569" s="5" t="s">
        <v>13</v>
      </c>
      <c r="D1569" s="5" t="s">
        <v>2589</v>
      </c>
      <c r="E1569" s="5" t="s">
        <v>345</v>
      </c>
      <c r="F1569" s="5" t="s">
        <v>166</v>
      </c>
      <c r="G1569" s="5" t="s">
        <v>44</v>
      </c>
      <c r="H1569" s="5" t="s">
        <v>18</v>
      </c>
      <c r="I1569" s="7" t="s">
        <v>2606</v>
      </c>
    </row>
    <row r="1570">
      <c r="A1570" s="5" t="s">
        <v>2607</v>
      </c>
      <c r="B1570" s="5" t="s">
        <v>2608</v>
      </c>
      <c r="C1570" s="5" t="s">
        <v>13</v>
      </c>
      <c r="D1570" s="5" t="s">
        <v>2589</v>
      </c>
      <c r="E1570" s="5" t="s">
        <v>192</v>
      </c>
      <c r="F1570" s="5" t="s">
        <v>2282</v>
      </c>
      <c r="G1570" s="5" t="s">
        <v>224</v>
      </c>
      <c r="H1570" s="5" t="s">
        <v>18</v>
      </c>
      <c r="I1570" s="7" t="s">
        <v>10802</v>
      </c>
    </row>
    <row r="1571">
      <c r="A1571" s="5" t="s">
        <v>4894</v>
      </c>
      <c r="B1571" s="5" t="s">
        <v>1896</v>
      </c>
      <c r="D1571" s="5" t="s">
        <v>4895</v>
      </c>
      <c r="E1571" s="5" t="s">
        <v>125</v>
      </c>
      <c r="F1571" s="5" t="s">
        <v>4888</v>
      </c>
      <c r="G1571" s="5" t="s">
        <v>4757</v>
      </c>
      <c r="H1571" s="5" t="s">
        <v>4607</v>
      </c>
      <c r="I1571" s="7" t="s">
        <v>4893</v>
      </c>
    </row>
    <row r="1572">
      <c r="A1572" s="5" t="s">
        <v>6167</v>
      </c>
      <c r="B1572" s="5" t="s">
        <v>6168</v>
      </c>
      <c r="D1572" s="5" t="s">
        <v>4895</v>
      </c>
      <c r="E1572" s="5" t="s">
        <v>79</v>
      </c>
      <c r="F1572" s="5" t="s">
        <v>6165</v>
      </c>
      <c r="G1572" s="5" t="s">
        <v>4606</v>
      </c>
      <c r="H1572" s="5" t="s">
        <v>4607</v>
      </c>
      <c r="I1572" s="7" t="s">
        <v>10803</v>
      </c>
    </row>
    <row r="1573">
      <c r="A1573" s="5" t="s">
        <v>6758</v>
      </c>
      <c r="B1573" s="5" t="s">
        <v>6759</v>
      </c>
      <c r="C1573" s="5" t="s">
        <v>4</v>
      </c>
      <c r="D1573" s="5" t="s">
        <v>4895</v>
      </c>
      <c r="E1573" s="5" t="s">
        <v>1531</v>
      </c>
      <c r="F1573" s="5" t="s">
        <v>6577</v>
      </c>
      <c r="G1573" s="5" t="s">
        <v>4757</v>
      </c>
      <c r="H1573" s="5" t="s">
        <v>4607</v>
      </c>
      <c r="I1573" s="7" t="s">
        <v>6757</v>
      </c>
    </row>
    <row r="1574">
      <c r="A1574" s="5" t="s">
        <v>6761</v>
      </c>
      <c r="B1574" s="5" t="s">
        <v>6762</v>
      </c>
      <c r="D1574" s="5" t="s">
        <v>4895</v>
      </c>
      <c r="E1574" s="5" t="s">
        <v>387</v>
      </c>
      <c r="F1574" s="5" t="s">
        <v>6577</v>
      </c>
      <c r="G1574" s="5" t="s">
        <v>4757</v>
      </c>
      <c r="H1574" s="5" t="s">
        <v>4607</v>
      </c>
      <c r="I1574" s="7" t="s">
        <v>10804</v>
      </c>
    </row>
    <row r="1575">
      <c r="A1575" s="5" t="s">
        <v>6935</v>
      </c>
      <c r="B1575" s="5" t="s">
        <v>25</v>
      </c>
      <c r="D1575" s="5" t="s">
        <v>4895</v>
      </c>
      <c r="E1575" s="5" t="s">
        <v>213</v>
      </c>
      <c r="F1575" s="5" t="s">
        <v>6577</v>
      </c>
      <c r="G1575" s="5" t="s">
        <v>4757</v>
      </c>
      <c r="H1575" s="5" t="s">
        <v>4607</v>
      </c>
      <c r="I1575" s="7" t="s">
        <v>6934</v>
      </c>
    </row>
    <row r="1576">
      <c r="A1576" s="5" t="s">
        <v>6983</v>
      </c>
      <c r="B1576" s="5" t="s">
        <v>25</v>
      </c>
      <c r="D1576" s="5" t="s">
        <v>4895</v>
      </c>
      <c r="E1576" s="5" t="s">
        <v>125</v>
      </c>
      <c r="F1576" s="5" t="s">
        <v>6577</v>
      </c>
      <c r="G1576" s="5" t="s">
        <v>4757</v>
      </c>
      <c r="H1576" s="5" t="s">
        <v>4607</v>
      </c>
      <c r="I1576" s="7" t="s">
        <v>6982</v>
      </c>
    </row>
    <row r="1577">
      <c r="A1577" s="5" t="s">
        <v>7043</v>
      </c>
      <c r="B1577" s="5" t="s">
        <v>7044</v>
      </c>
      <c r="D1577" s="5" t="s">
        <v>4895</v>
      </c>
      <c r="E1577" s="5" t="s">
        <v>125</v>
      </c>
      <c r="F1577" s="5" t="s">
        <v>6577</v>
      </c>
      <c r="G1577" s="5" t="s">
        <v>4757</v>
      </c>
      <c r="H1577" s="5" t="s">
        <v>4607</v>
      </c>
      <c r="I1577" s="7" t="s">
        <v>7042</v>
      </c>
    </row>
    <row r="1578">
      <c r="A1578" s="5" t="s">
        <v>7043</v>
      </c>
      <c r="B1578" s="5" t="s">
        <v>25</v>
      </c>
      <c r="D1578" s="5" t="s">
        <v>4895</v>
      </c>
      <c r="E1578" s="5" t="s">
        <v>125</v>
      </c>
      <c r="F1578" s="5" t="s">
        <v>6577</v>
      </c>
      <c r="G1578" s="5" t="s">
        <v>4757</v>
      </c>
      <c r="H1578" s="5" t="s">
        <v>4607</v>
      </c>
      <c r="I1578" s="7" t="s">
        <v>7115</v>
      </c>
    </row>
    <row r="1579">
      <c r="A1579" s="5" t="s">
        <v>9032</v>
      </c>
      <c r="B1579" s="5" t="s">
        <v>2705</v>
      </c>
      <c r="D1579" s="5" t="s">
        <v>4895</v>
      </c>
      <c r="E1579" s="5" t="s">
        <v>1460</v>
      </c>
      <c r="F1579" s="5" t="s">
        <v>7722</v>
      </c>
      <c r="G1579" s="5" t="s">
        <v>5566</v>
      </c>
      <c r="H1579" s="5" t="s">
        <v>4619</v>
      </c>
      <c r="I1579" s="7" t="s">
        <v>10805</v>
      </c>
    </row>
    <row r="1580">
      <c r="A1580" s="5" t="s">
        <v>9660</v>
      </c>
      <c r="B1580" s="5" t="s">
        <v>9661</v>
      </c>
      <c r="D1580" s="5" t="s">
        <v>4895</v>
      </c>
      <c r="E1580" s="5" t="s">
        <v>832</v>
      </c>
      <c r="F1580" s="5" t="s">
        <v>6577</v>
      </c>
      <c r="G1580" s="5" t="s">
        <v>4757</v>
      </c>
      <c r="H1580" s="5" t="s">
        <v>4607</v>
      </c>
      <c r="I1580" s="7" t="s">
        <v>9659</v>
      </c>
    </row>
    <row r="1581">
      <c r="A1581" s="5" t="s">
        <v>2610</v>
      </c>
      <c r="B1581" s="5" t="s">
        <v>480</v>
      </c>
      <c r="C1581" s="5" t="s">
        <v>13</v>
      </c>
      <c r="D1581" s="5" t="s">
        <v>2611</v>
      </c>
      <c r="E1581" s="5" t="s">
        <v>2612</v>
      </c>
      <c r="F1581" s="5" t="s">
        <v>2613</v>
      </c>
      <c r="G1581" s="5" t="s">
        <v>949</v>
      </c>
      <c r="H1581" s="5" t="s">
        <v>18</v>
      </c>
      <c r="I1581" s="7" t="s">
        <v>10806</v>
      </c>
    </row>
    <row r="1582">
      <c r="A1582" s="5" t="s">
        <v>2615</v>
      </c>
      <c r="B1582" s="5" t="s">
        <v>404</v>
      </c>
      <c r="C1582" s="5" t="s">
        <v>13</v>
      </c>
      <c r="D1582" s="5" t="s">
        <v>2611</v>
      </c>
      <c r="E1582" s="5" t="s">
        <v>523</v>
      </c>
      <c r="F1582" s="5" t="s">
        <v>2616</v>
      </c>
      <c r="G1582" s="5" t="s">
        <v>65</v>
      </c>
      <c r="H1582" s="5" t="s">
        <v>18</v>
      </c>
      <c r="I1582" s="7" t="s">
        <v>2617</v>
      </c>
    </row>
    <row r="1583">
      <c r="A1583" s="5" t="s">
        <v>2618</v>
      </c>
      <c r="B1583" s="5" t="s">
        <v>2619</v>
      </c>
      <c r="C1583" s="5" t="s">
        <v>13</v>
      </c>
      <c r="D1583" s="5" t="s">
        <v>2611</v>
      </c>
      <c r="E1583" s="5" t="s">
        <v>277</v>
      </c>
      <c r="F1583" s="5" t="s">
        <v>2616</v>
      </c>
      <c r="G1583" s="5" t="s">
        <v>65</v>
      </c>
      <c r="H1583" s="5" t="s">
        <v>18</v>
      </c>
      <c r="I1583" s="7" t="s">
        <v>2620</v>
      </c>
    </row>
    <row r="1584">
      <c r="A1584" s="5" t="s">
        <v>2621</v>
      </c>
      <c r="B1584" s="5" t="s">
        <v>404</v>
      </c>
      <c r="C1584" s="5" t="s">
        <v>13</v>
      </c>
      <c r="D1584" s="5" t="s">
        <v>2611</v>
      </c>
      <c r="E1584" s="5" t="s">
        <v>1364</v>
      </c>
      <c r="F1584" s="5" t="s">
        <v>2616</v>
      </c>
      <c r="G1584" s="5" t="s">
        <v>65</v>
      </c>
      <c r="H1584" s="5" t="s">
        <v>18</v>
      </c>
      <c r="I1584" s="7" t="s">
        <v>2622</v>
      </c>
    </row>
    <row r="1585">
      <c r="A1585" s="5" t="s">
        <v>9347</v>
      </c>
      <c r="B1585" s="5" t="s">
        <v>9348</v>
      </c>
      <c r="D1585" s="5" t="s">
        <v>2625</v>
      </c>
      <c r="F1585" s="5" t="s">
        <v>5280</v>
      </c>
      <c r="G1585" s="5" t="s">
        <v>4638</v>
      </c>
      <c r="H1585" s="5" t="s">
        <v>4600</v>
      </c>
      <c r="I1585" s="7" t="s">
        <v>9346</v>
      </c>
    </row>
    <row r="1586">
      <c r="A1586" s="5" t="s">
        <v>2623</v>
      </c>
      <c r="B1586" s="5" t="s">
        <v>2624</v>
      </c>
      <c r="C1586" s="5" t="s">
        <v>13</v>
      </c>
      <c r="D1586" s="5" t="s">
        <v>2625</v>
      </c>
      <c r="E1586" s="5" t="s">
        <v>217</v>
      </c>
      <c r="F1586" s="5" t="s">
        <v>2626</v>
      </c>
      <c r="G1586" s="5" t="s">
        <v>203</v>
      </c>
      <c r="H1586" s="5" t="s">
        <v>18</v>
      </c>
      <c r="I1586" s="7" t="s">
        <v>10807</v>
      </c>
    </row>
    <row r="1587">
      <c r="A1587" s="5" t="s">
        <v>2628</v>
      </c>
      <c r="B1587" s="5" t="s">
        <v>110</v>
      </c>
      <c r="C1587" s="5" t="s">
        <v>13</v>
      </c>
      <c r="D1587" s="5" t="s">
        <v>2625</v>
      </c>
      <c r="F1587" s="5" t="s">
        <v>2629</v>
      </c>
      <c r="G1587" s="5" t="s">
        <v>96</v>
      </c>
      <c r="H1587" s="5" t="s">
        <v>18</v>
      </c>
      <c r="I1587" s="7" t="s">
        <v>2630</v>
      </c>
    </row>
    <row r="1588">
      <c r="A1588" s="5" t="s">
        <v>2631</v>
      </c>
      <c r="B1588" s="5" t="s">
        <v>2632</v>
      </c>
      <c r="C1588" s="5" t="s">
        <v>13</v>
      </c>
      <c r="D1588" s="5" t="s">
        <v>2625</v>
      </c>
      <c r="E1588" s="5" t="s">
        <v>832</v>
      </c>
      <c r="F1588" s="5" t="s">
        <v>2633</v>
      </c>
      <c r="G1588" s="5" t="s">
        <v>203</v>
      </c>
      <c r="H1588" s="5" t="s">
        <v>18</v>
      </c>
      <c r="I1588" s="7" t="s">
        <v>10808</v>
      </c>
    </row>
    <row r="1589">
      <c r="A1589" s="5" t="s">
        <v>2635</v>
      </c>
      <c r="B1589" s="5" t="s">
        <v>2636</v>
      </c>
      <c r="C1589" s="5" t="s">
        <v>13</v>
      </c>
      <c r="D1589" s="5" t="s">
        <v>2625</v>
      </c>
      <c r="E1589" s="5" t="s">
        <v>188</v>
      </c>
      <c r="F1589" s="5" t="s">
        <v>1131</v>
      </c>
      <c r="G1589" s="5" t="s">
        <v>203</v>
      </c>
      <c r="H1589" s="5" t="s">
        <v>18</v>
      </c>
      <c r="I1589" s="7" t="s">
        <v>2637</v>
      </c>
    </row>
    <row r="1590">
      <c r="A1590" s="5" t="s">
        <v>2638</v>
      </c>
      <c r="B1590" s="5" t="s">
        <v>2639</v>
      </c>
      <c r="C1590" s="5" t="s">
        <v>13</v>
      </c>
      <c r="D1590" s="5" t="s">
        <v>2625</v>
      </c>
      <c r="E1590" s="5" t="s">
        <v>217</v>
      </c>
      <c r="F1590" s="5" t="s">
        <v>1131</v>
      </c>
      <c r="G1590" s="5" t="s">
        <v>203</v>
      </c>
      <c r="H1590" s="5" t="s">
        <v>18</v>
      </c>
      <c r="I1590" s="7" t="s">
        <v>10809</v>
      </c>
    </row>
    <row r="1591">
      <c r="A1591" s="5" t="s">
        <v>2641</v>
      </c>
      <c r="B1591" s="5" t="s">
        <v>110</v>
      </c>
      <c r="C1591" s="5" t="s">
        <v>13</v>
      </c>
      <c r="D1591" s="5" t="s">
        <v>2642</v>
      </c>
      <c r="E1591" s="5" t="s">
        <v>111</v>
      </c>
      <c r="F1591" s="5" t="s">
        <v>2643</v>
      </c>
      <c r="G1591" s="5" t="s">
        <v>44</v>
      </c>
      <c r="H1591" s="5" t="s">
        <v>18</v>
      </c>
      <c r="I1591" s="7" t="s">
        <v>10810</v>
      </c>
    </row>
    <row r="1592">
      <c r="A1592" s="5" t="s">
        <v>2664</v>
      </c>
      <c r="B1592" s="5" t="s">
        <v>2665</v>
      </c>
      <c r="D1592" s="5" t="s">
        <v>2646</v>
      </c>
      <c r="E1592" s="5" t="s">
        <v>2288</v>
      </c>
      <c r="F1592" s="5" t="s">
        <v>2666</v>
      </c>
      <c r="G1592" s="5" t="s">
        <v>609</v>
      </c>
      <c r="H1592" s="5" t="s">
        <v>18</v>
      </c>
      <c r="I1592" s="7" t="s">
        <v>10811</v>
      </c>
    </row>
    <row r="1593">
      <c r="A1593" s="5" t="s">
        <v>7991</v>
      </c>
      <c r="B1593" s="5" t="s">
        <v>7992</v>
      </c>
      <c r="D1593" s="5" t="s">
        <v>2646</v>
      </c>
      <c r="E1593" s="5" t="s">
        <v>1570</v>
      </c>
      <c r="F1593" s="5" t="s">
        <v>137</v>
      </c>
      <c r="G1593" s="5" t="s">
        <v>137</v>
      </c>
      <c r="H1593" s="5" t="s">
        <v>18</v>
      </c>
      <c r="I1593" s="7" t="s">
        <v>10812</v>
      </c>
    </row>
    <row r="1594">
      <c r="A1594" s="5" t="s">
        <v>2645</v>
      </c>
      <c r="B1594" s="5" t="s">
        <v>25</v>
      </c>
      <c r="C1594" s="5" t="s">
        <v>13</v>
      </c>
      <c r="D1594" s="5" t="s">
        <v>2646</v>
      </c>
      <c r="E1594" s="5" t="s">
        <v>1637</v>
      </c>
      <c r="F1594" s="5" t="s">
        <v>1187</v>
      </c>
      <c r="G1594" s="5" t="s">
        <v>96</v>
      </c>
      <c r="H1594" s="5" t="s">
        <v>18</v>
      </c>
      <c r="I1594" s="7" t="s">
        <v>2647</v>
      </c>
    </row>
    <row r="1595">
      <c r="A1595" s="5" t="s">
        <v>2648</v>
      </c>
      <c r="B1595" s="5" t="s">
        <v>2649</v>
      </c>
      <c r="C1595" s="5" t="s">
        <v>13</v>
      </c>
      <c r="D1595" s="5" t="s">
        <v>2646</v>
      </c>
      <c r="E1595" s="5" t="s">
        <v>2650</v>
      </c>
      <c r="F1595" s="5" t="s">
        <v>137</v>
      </c>
      <c r="G1595" s="5" t="s">
        <v>137</v>
      </c>
      <c r="H1595" s="5" t="s">
        <v>18</v>
      </c>
      <c r="I1595" s="7" t="s">
        <v>2651</v>
      </c>
    </row>
    <row r="1596">
      <c r="A1596" s="5" t="s">
        <v>2652</v>
      </c>
      <c r="B1596" s="5" t="s">
        <v>25</v>
      </c>
      <c r="C1596" s="5" t="s">
        <v>13</v>
      </c>
      <c r="D1596" s="5" t="s">
        <v>2646</v>
      </c>
      <c r="F1596" s="5" t="s">
        <v>137</v>
      </c>
      <c r="G1596" s="5" t="s">
        <v>137</v>
      </c>
      <c r="H1596" s="5" t="s">
        <v>18</v>
      </c>
      <c r="I1596" s="7" t="s">
        <v>2653</v>
      </c>
    </row>
    <row r="1597">
      <c r="A1597" s="5" t="s">
        <v>2654</v>
      </c>
      <c r="B1597" s="5" t="s">
        <v>2655</v>
      </c>
      <c r="C1597" s="5" t="s">
        <v>13</v>
      </c>
      <c r="D1597" s="5" t="s">
        <v>2646</v>
      </c>
      <c r="E1597" s="5" t="s">
        <v>283</v>
      </c>
      <c r="F1597" s="5" t="s">
        <v>137</v>
      </c>
      <c r="G1597" s="5" t="s">
        <v>137</v>
      </c>
      <c r="H1597" s="5" t="s">
        <v>18</v>
      </c>
      <c r="I1597" s="7" t="s">
        <v>10813</v>
      </c>
    </row>
    <row r="1598">
      <c r="A1598" s="5" t="s">
        <v>2657</v>
      </c>
      <c r="B1598" s="5" t="s">
        <v>2658</v>
      </c>
      <c r="C1598" s="5" t="s">
        <v>13</v>
      </c>
      <c r="D1598" s="5" t="s">
        <v>2646</v>
      </c>
      <c r="E1598" s="5" t="s">
        <v>822</v>
      </c>
      <c r="F1598" s="5" t="s">
        <v>137</v>
      </c>
      <c r="G1598" s="5" t="s">
        <v>137</v>
      </c>
      <c r="H1598" s="5" t="s">
        <v>18</v>
      </c>
      <c r="I1598" s="7" t="s">
        <v>2659</v>
      </c>
    </row>
    <row r="1599">
      <c r="A1599" s="5" t="s">
        <v>2660</v>
      </c>
      <c r="B1599" s="5" t="s">
        <v>2661</v>
      </c>
      <c r="C1599" s="5" t="s">
        <v>13</v>
      </c>
      <c r="D1599" s="5" t="s">
        <v>2646</v>
      </c>
      <c r="E1599" s="5" t="s">
        <v>26</v>
      </c>
      <c r="F1599" s="5" t="s">
        <v>2662</v>
      </c>
      <c r="G1599" s="5" t="s">
        <v>203</v>
      </c>
      <c r="H1599" s="5" t="s">
        <v>18</v>
      </c>
      <c r="I1599" s="7" t="s">
        <v>2663</v>
      </c>
    </row>
    <row r="1600">
      <c r="A1600" s="5" t="s">
        <v>2664</v>
      </c>
      <c r="B1600" s="5" t="s">
        <v>2665</v>
      </c>
      <c r="C1600" s="5" t="s">
        <v>13</v>
      </c>
      <c r="D1600" s="5" t="s">
        <v>2646</v>
      </c>
      <c r="E1600" s="5" t="s">
        <v>2288</v>
      </c>
      <c r="F1600" s="5" t="s">
        <v>2666</v>
      </c>
      <c r="G1600" s="5" t="s">
        <v>609</v>
      </c>
      <c r="H1600" s="5" t="s">
        <v>18</v>
      </c>
      <c r="I1600" s="7" t="s">
        <v>10814</v>
      </c>
    </row>
    <row r="1601">
      <c r="A1601" s="5" t="s">
        <v>2668</v>
      </c>
      <c r="B1601" s="5" t="s">
        <v>2669</v>
      </c>
      <c r="C1601" s="5" t="s">
        <v>13</v>
      </c>
      <c r="D1601" s="5" t="s">
        <v>2646</v>
      </c>
      <c r="E1601" s="5" t="s">
        <v>2670</v>
      </c>
      <c r="F1601" s="5" t="s">
        <v>75</v>
      </c>
      <c r="G1601" s="5" t="s">
        <v>76</v>
      </c>
      <c r="H1601" s="5" t="s">
        <v>18</v>
      </c>
      <c r="I1601" s="7" t="s">
        <v>10815</v>
      </c>
    </row>
    <row r="1602">
      <c r="A1602" s="5" t="s">
        <v>2672</v>
      </c>
      <c r="B1602" s="5" t="s">
        <v>625</v>
      </c>
      <c r="C1602" s="5" t="s">
        <v>13</v>
      </c>
      <c r="D1602" s="5" t="s">
        <v>2646</v>
      </c>
      <c r="E1602" s="5" t="s">
        <v>512</v>
      </c>
      <c r="F1602" s="5" t="s">
        <v>703</v>
      </c>
      <c r="G1602" s="5" t="s">
        <v>137</v>
      </c>
      <c r="H1602" s="5" t="s">
        <v>18</v>
      </c>
      <c r="I1602" s="7" t="s">
        <v>2673</v>
      </c>
    </row>
    <row r="1603">
      <c r="A1603" s="5" t="s">
        <v>2674</v>
      </c>
      <c r="B1603" s="5" t="s">
        <v>2675</v>
      </c>
      <c r="C1603" s="5" t="s">
        <v>13</v>
      </c>
      <c r="D1603" s="5" t="s">
        <v>2646</v>
      </c>
      <c r="E1603" s="5" t="s">
        <v>822</v>
      </c>
      <c r="F1603" s="5" t="s">
        <v>64</v>
      </c>
      <c r="G1603" s="5" t="s">
        <v>65</v>
      </c>
      <c r="H1603" s="5" t="s">
        <v>18</v>
      </c>
      <c r="I1603" s="7" t="s">
        <v>2676</v>
      </c>
    </row>
    <row r="1604">
      <c r="A1604" s="5" t="s">
        <v>2677</v>
      </c>
      <c r="B1604" s="5" t="s">
        <v>625</v>
      </c>
      <c r="C1604" s="5" t="s">
        <v>13</v>
      </c>
      <c r="D1604" s="5" t="s">
        <v>2646</v>
      </c>
      <c r="E1604" s="5" t="s">
        <v>496</v>
      </c>
      <c r="F1604" s="5" t="s">
        <v>64</v>
      </c>
      <c r="G1604" s="5" t="s">
        <v>65</v>
      </c>
      <c r="H1604" s="5" t="s">
        <v>18</v>
      </c>
      <c r="I1604" s="7" t="s">
        <v>2678</v>
      </c>
    </row>
    <row r="1605">
      <c r="A1605" s="5" t="s">
        <v>2679</v>
      </c>
      <c r="B1605" s="5" t="s">
        <v>2680</v>
      </c>
      <c r="C1605" s="5" t="s">
        <v>13</v>
      </c>
      <c r="D1605" s="5" t="s">
        <v>2646</v>
      </c>
      <c r="E1605" s="5" t="s">
        <v>268</v>
      </c>
      <c r="F1605" s="5" t="s">
        <v>64</v>
      </c>
      <c r="G1605" s="5" t="s">
        <v>65</v>
      </c>
      <c r="H1605" s="5" t="s">
        <v>18</v>
      </c>
      <c r="I1605" s="7" t="s">
        <v>10816</v>
      </c>
    </row>
    <row r="1606">
      <c r="A1606" s="5" t="s">
        <v>2682</v>
      </c>
      <c r="B1606" s="5" t="s">
        <v>2683</v>
      </c>
      <c r="C1606" s="5" t="s">
        <v>13</v>
      </c>
      <c r="D1606" s="5" t="s">
        <v>2646</v>
      </c>
      <c r="E1606" s="5" t="s">
        <v>2252</v>
      </c>
      <c r="F1606" s="5" t="s">
        <v>75</v>
      </c>
      <c r="G1606" s="5" t="s">
        <v>76</v>
      </c>
      <c r="H1606" s="5" t="s">
        <v>18</v>
      </c>
      <c r="I1606" s="7" t="s">
        <v>2684</v>
      </c>
    </row>
    <row r="1607">
      <c r="A1607" s="5" t="s">
        <v>2685</v>
      </c>
      <c r="B1607" s="5" t="s">
        <v>2686</v>
      </c>
      <c r="C1607" s="5" t="s">
        <v>13</v>
      </c>
      <c r="D1607" s="5" t="s">
        <v>2646</v>
      </c>
      <c r="E1607" s="5" t="s">
        <v>60</v>
      </c>
      <c r="F1607" s="5" t="s">
        <v>75</v>
      </c>
      <c r="G1607" s="5" t="s">
        <v>76</v>
      </c>
      <c r="H1607" s="5" t="s">
        <v>18</v>
      </c>
      <c r="I1607" s="7" t="s">
        <v>10817</v>
      </c>
    </row>
    <row r="1608">
      <c r="A1608" s="5" t="s">
        <v>2688</v>
      </c>
      <c r="B1608" s="5" t="s">
        <v>25</v>
      </c>
      <c r="C1608" s="5" t="s">
        <v>13</v>
      </c>
      <c r="D1608" s="5" t="s">
        <v>2646</v>
      </c>
      <c r="E1608" s="5" t="s">
        <v>1123</v>
      </c>
      <c r="F1608" s="5" t="s">
        <v>75</v>
      </c>
      <c r="G1608" s="5" t="s">
        <v>76</v>
      </c>
      <c r="H1608" s="5" t="s">
        <v>18</v>
      </c>
      <c r="I1608" s="7" t="s">
        <v>2689</v>
      </c>
    </row>
    <row r="1609">
      <c r="A1609" s="5" t="s">
        <v>2690</v>
      </c>
      <c r="B1609" s="5" t="s">
        <v>625</v>
      </c>
      <c r="C1609" s="5" t="s">
        <v>13</v>
      </c>
      <c r="D1609" s="5" t="s">
        <v>2646</v>
      </c>
      <c r="E1609" s="5" t="s">
        <v>136</v>
      </c>
      <c r="F1609" s="5" t="s">
        <v>80</v>
      </c>
      <c r="G1609" s="5" t="s">
        <v>38</v>
      </c>
      <c r="H1609" s="5" t="s">
        <v>18</v>
      </c>
      <c r="I1609" s="7" t="s">
        <v>2691</v>
      </c>
    </row>
    <row r="1610">
      <c r="A1610" s="5" t="s">
        <v>1045</v>
      </c>
      <c r="B1610" s="5" t="s">
        <v>2692</v>
      </c>
      <c r="C1610" s="5" t="s">
        <v>13</v>
      </c>
      <c r="D1610" s="5" t="s">
        <v>2646</v>
      </c>
      <c r="E1610" s="5" t="s">
        <v>399</v>
      </c>
      <c r="F1610" s="5" t="s">
        <v>80</v>
      </c>
      <c r="G1610" s="5" t="s">
        <v>38</v>
      </c>
      <c r="H1610" s="5" t="s">
        <v>18</v>
      </c>
      <c r="I1610" s="7" t="s">
        <v>2693</v>
      </c>
    </row>
    <row r="1611">
      <c r="A1611" s="5" t="s">
        <v>2694</v>
      </c>
      <c r="B1611" s="5" t="s">
        <v>25</v>
      </c>
      <c r="C1611" s="5" t="s">
        <v>13</v>
      </c>
      <c r="D1611" s="5" t="s">
        <v>2646</v>
      </c>
      <c r="E1611" s="5" t="s">
        <v>136</v>
      </c>
      <c r="F1611" s="5" t="s">
        <v>80</v>
      </c>
      <c r="G1611" s="5" t="s">
        <v>38</v>
      </c>
      <c r="H1611" s="5" t="s">
        <v>18</v>
      </c>
      <c r="I1611" s="7" t="s">
        <v>2695</v>
      </c>
    </row>
    <row r="1612">
      <c r="A1612" s="5" t="s">
        <v>2696</v>
      </c>
      <c r="B1612" s="5" t="s">
        <v>2697</v>
      </c>
      <c r="C1612" s="5" t="s">
        <v>13</v>
      </c>
      <c r="D1612" s="5" t="s">
        <v>2646</v>
      </c>
      <c r="E1612" s="5" t="s">
        <v>314</v>
      </c>
      <c r="F1612" s="5" t="s">
        <v>2698</v>
      </c>
      <c r="G1612" s="5" t="s">
        <v>38</v>
      </c>
      <c r="H1612" s="5" t="s">
        <v>18</v>
      </c>
      <c r="I1612" s="7" t="s">
        <v>10818</v>
      </c>
    </row>
    <row r="1613">
      <c r="A1613" s="5" t="s">
        <v>2700</v>
      </c>
      <c r="B1613" s="5" t="s">
        <v>2701</v>
      </c>
      <c r="C1613" s="5" t="s">
        <v>13</v>
      </c>
      <c r="D1613" s="5" t="s">
        <v>2646</v>
      </c>
      <c r="E1613" s="5" t="s">
        <v>651</v>
      </c>
      <c r="F1613" s="5" t="s">
        <v>2702</v>
      </c>
      <c r="G1613" s="5" t="s">
        <v>38</v>
      </c>
      <c r="H1613" s="5" t="s">
        <v>18</v>
      </c>
      <c r="I1613" s="7" t="s">
        <v>2703</v>
      </c>
    </row>
    <row r="1614">
      <c r="A1614" s="5" t="s">
        <v>2704</v>
      </c>
      <c r="B1614" s="5" t="s">
        <v>2705</v>
      </c>
      <c r="C1614" s="5" t="s">
        <v>13</v>
      </c>
      <c r="D1614" s="5" t="s">
        <v>2646</v>
      </c>
      <c r="E1614" s="5" t="s">
        <v>832</v>
      </c>
      <c r="F1614" s="5" t="s">
        <v>2706</v>
      </c>
      <c r="G1614" s="5" t="s">
        <v>96</v>
      </c>
      <c r="H1614" s="5" t="s">
        <v>18</v>
      </c>
      <c r="I1614" s="7" t="s">
        <v>10819</v>
      </c>
    </row>
    <row r="1615">
      <c r="A1615" s="5" t="s">
        <v>2708</v>
      </c>
      <c r="B1615" s="5" t="s">
        <v>25</v>
      </c>
      <c r="C1615" s="5" t="s">
        <v>13</v>
      </c>
      <c r="D1615" s="5" t="s">
        <v>2646</v>
      </c>
      <c r="E1615" s="5" t="s">
        <v>446</v>
      </c>
      <c r="F1615" s="5" t="s">
        <v>112</v>
      </c>
      <c r="G1615" s="5" t="s">
        <v>38</v>
      </c>
      <c r="H1615" s="5" t="s">
        <v>18</v>
      </c>
      <c r="I1615" s="7" t="s">
        <v>2709</v>
      </c>
    </row>
    <row r="1616">
      <c r="A1616" s="5" t="s">
        <v>2710</v>
      </c>
      <c r="B1616" s="5" t="s">
        <v>371</v>
      </c>
      <c r="C1616" s="5" t="s">
        <v>13</v>
      </c>
      <c r="D1616" s="5" t="s">
        <v>2646</v>
      </c>
      <c r="E1616" s="5" t="s">
        <v>455</v>
      </c>
      <c r="F1616" s="5" t="s">
        <v>137</v>
      </c>
      <c r="G1616" s="5" t="s">
        <v>137</v>
      </c>
      <c r="H1616" s="5" t="s">
        <v>18</v>
      </c>
      <c r="I1616" s="7" t="s">
        <v>2711</v>
      </c>
    </row>
    <row r="1617">
      <c r="A1617" s="5" t="s">
        <v>2712</v>
      </c>
      <c r="B1617" s="5" t="s">
        <v>371</v>
      </c>
      <c r="C1617" s="5" t="s">
        <v>13</v>
      </c>
      <c r="D1617" s="5" t="s">
        <v>2646</v>
      </c>
      <c r="E1617" s="5" t="s">
        <v>774</v>
      </c>
      <c r="F1617" s="5" t="s">
        <v>137</v>
      </c>
      <c r="G1617" s="5" t="s">
        <v>137</v>
      </c>
      <c r="H1617" s="5" t="s">
        <v>18</v>
      </c>
      <c r="I1617" s="7" t="s">
        <v>2713</v>
      </c>
    </row>
    <row r="1618">
      <c r="A1618" s="5" t="s">
        <v>2714</v>
      </c>
      <c r="B1618" s="5" t="s">
        <v>2715</v>
      </c>
      <c r="C1618" s="5" t="s">
        <v>13</v>
      </c>
      <c r="D1618" s="5" t="s">
        <v>2646</v>
      </c>
      <c r="E1618" s="5" t="s">
        <v>125</v>
      </c>
      <c r="F1618" s="5" t="s">
        <v>137</v>
      </c>
      <c r="G1618" s="5" t="s">
        <v>137</v>
      </c>
      <c r="H1618" s="5" t="s">
        <v>18</v>
      </c>
      <c r="I1618" s="7" t="s">
        <v>10820</v>
      </c>
    </row>
    <row r="1619">
      <c r="A1619" s="5" t="s">
        <v>2717</v>
      </c>
      <c r="B1619" s="5" t="s">
        <v>2718</v>
      </c>
      <c r="C1619" s="5" t="s">
        <v>13</v>
      </c>
      <c r="D1619" s="5" t="s">
        <v>2646</v>
      </c>
      <c r="E1619" s="5" t="s">
        <v>125</v>
      </c>
      <c r="F1619" s="5" t="s">
        <v>137</v>
      </c>
      <c r="G1619" s="5" t="s">
        <v>137</v>
      </c>
      <c r="H1619" s="5" t="s">
        <v>18</v>
      </c>
      <c r="I1619" s="7" t="s">
        <v>10821</v>
      </c>
    </row>
    <row r="1620">
      <c r="A1620" s="5" t="s">
        <v>2720</v>
      </c>
      <c r="B1620" s="5" t="s">
        <v>2721</v>
      </c>
      <c r="C1620" s="5" t="s">
        <v>13</v>
      </c>
      <c r="D1620" s="5" t="s">
        <v>2646</v>
      </c>
      <c r="E1620" s="5" t="s">
        <v>496</v>
      </c>
      <c r="F1620" s="5" t="s">
        <v>137</v>
      </c>
      <c r="G1620" s="5" t="s">
        <v>137</v>
      </c>
      <c r="H1620" s="5" t="s">
        <v>18</v>
      </c>
      <c r="I1620" s="7" t="s">
        <v>10822</v>
      </c>
    </row>
    <row r="1621">
      <c r="A1621" s="5" t="s">
        <v>2723</v>
      </c>
      <c r="B1621" s="5" t="s">
        <v>2724</v>
      </c>
      <c r="C1621" s="5" t="s">
        <v>13</v>
      </c>
      <c r="D1621" s="5" t="s">
        <v>2646</v>
      </c>
      <c r="E1621" s="5" t="s">
        <v>188</v>
      </c>
      <c r="F1621" s="5" t="s">
        <v>2725</v>
      </c>
      <c r="G1621" s="5" t="s">
        <v>609</v>
      </c>
      <c r="H1621" s="5" t="s">
        <v>18</v>
      </c>
      <c r="I1621" s="7" t="s">
        <v>2726</v>
      </c>
    </row>
    <row r="1622">
      <c r="A1622" s="5" t="s">
        <v>2727</v>
      </c>
      <c r="B1622" s="5" t="s">
        <v>25</v>
      </c>
      <c r="C1622" s="5" t="s">
        <v>13</v>
      </c>
      <c r="D1622" s="5" t="s">
        <v>2646</v>
      </c>
      <c r="F1622" s="5" t="s">
        <v>2725</v>
      </c>
      <c r="G1622" s="5" t="s">
        <v>609</v>
      </c>
      <c r="H1622" s="5" t="s">
        <v>18</v>
      </c>
      <c r="I1622" s="7" t="s">
        <v>2728</v>
      </c>
    </row>
    <row r="1623">
      <c r="A1623" s="5" t="s">
        <v>2729</v>
      </c>
      <c r="B1623" s="5" t="s">
        <v>25</v>
      </c>
      <c r="C1623" s="5" t="s">
        <v>13</v>
      </c>
      <c r="D1623" s="5" t="s">
        <v>2646</v>
      </c>
      <c r="E1623" s="5" t="s">
        <v>430</v>
      </c>
      <c r="F1623" s="5" t="s">
        <v>2730</v>
      </c>
      <c r="G1623" s="5" t="s">
        <v>2731</v>
      </c>
      <c r="H1623" s="5" t="s">
        <v>18</v>
      </c>
      <c r="I1623" s="7" t="s">
        <v>2732</v>
      </c>
    </row>
    <row r="1624">
      <c r="A1624" s="5" t="s">
        <v>2733</v>
      </c>
      <c r="B1624" s="5" t="s">
        <v>2734</v>
      </c>
      <c r="C1624" s="5" t="s">
        <v>13</v>
      </c>
      <c r="D1624" s="5" t="s">
        <v>2646</v>
      </c>
      <c r="E1624" s="5" t="s">
        <v>387</v>
      </c>
      <c r="F1624" s="5" t="s">
        <v>153</v>
      </c>
      <c r="G1624" s="5" t="s">
        <v>154</v>
      </c>
      <c r="H1624" s="5" t="s">
        <v>18</v>
      </c>
      <c r="I1624" s="7" t="s">
        <v>10823</v>
      </c>
    </row>
    <row r="1625">
      <c r="A1625" s="5" t="s">
        <v>2736</v>
      </c>
      <c r="B1625" s="5" t="s">
        <v>2737</v>
      </c>
      <c r="C1625" s="5" t="s">
        <v>4</v>
      </c>
      <c r="D1625" s="5" t="s">
        <v>2646</v>
      </c>
      <c r="E1625" s="5" t="s">
        <v>257</v>
      </c>
      <c r="F1625" s="5" t="s">
        <v>153</v>
      </c>
      <c r="G1625" s="5" t="s">
        <v>154</v>
      </c>
      <c r="H1625" s="5" t="s">
        <v>18</v>
      </c>
      <c r="I1625" s="7" t="s">
        <v>10824</v>
      </c>
    </row>
    <row r="1626">
      <c r="A1626" s="5" t="s">
        <v>2739</v>
      </c>
      <c r="B1626" s="5" t="s">
        <v>2740</v>
      </c>
      <c r="C1626" s="5" t="s">
        <v>13</v>
      </c>
      <c r="D1626" s="5" t="s">
        <v>2646</v>
      </c>
      <c r="E1626" s="5" t="s">
        <v>136</v>
      </c>
      <c r="F1626" s="5" t="s">
        <v>153</v>
      </c>
      <c r="G1626" s="5" t="s">
        <v>154</v>
      </c>
      <c r="H1626" s="5" t="s">
        <v>18</v>
      </c>
      <c r="I1626" s="7" t="s">
        <v>10825</v>
      </c>
    </row>
    <row r="1627">
      <c r="A1627" s="5" t="s">
        <v>2742</v>
      </c>
      <c r="B1627" s="5" t="s">
        <v>2743</v>
      </c>
      <c r="C1627" s="5" t="s">
        <v>13</v>
      </c>
      <c r="D1627" s="5" t="s">
        <v>2646</v>
      </c>
      <c r="E1627" s="5" t="s">
        <v>79</v>
      </c>
      <c r="F1627" s="5" t="s">
        <v>153</v>
      </c>
      <c r="G1627" s="5" t="s">
        <v>154</v>
      </c>
      <c r="H1627" s="5" t="s">
        <v>18</v>
      </c>
      <c r="I1627" s="7" t="s">
        <v>10826</v>
      </c>
    </row>
    <row r="1628">
      <c r="A1628" s="5" t="s">
        <v>2745</v>
      </c>
      <c r="B1628" s="5" t="s">
        <v>2746</v>
      </c>
      <c r="C1628" s="5" t="s">
        <v>13</v>
      </c>
      <c r="D1628" s="5" t="s">
        <v>2646</v>
      </c>
      <c r="E1628" s="5" t="s">
        <v>15</v>
      </c>
      <c r="F1628" s="5" t="s">
        <v>153</v>
      </c>
      <c r="G1628" s="5" t="s">
        <v>154</v>
      </c>
      <c r="H1628" s="5" t="s">
        <v>18</v>
      </c>
      <c r="I1628" s="7" t="s">
        <v>10827</v>
      </c>
    </row>
    <row r="1629">
      <c r="A1629" s="5" t="s">
        <v>2748</v>
      </c>
      <c r="B1629" s="5" t="s">
        <v>2749</v>
      </c>
      <c r="C1629" s="5" t="s">
        <v>13</v>
      </c>
      <c r="D1629" s="5" t="s">
        <v>2646</v>
      </c>
      <c r="E1629" s="5" t="s">
        <v>441</v>
      </c>
      <c r="F1629" s="5" t="s">
        <v>153</v>
      </c>
      <c r="G1629" s="5" t="s">
        <v>154</v>
      </c>
      <c r="H1629" s="5" t="s">
        <v>18</v>
      </c>
      <c r="I1629" s="7" t="s">
        <v>10828</v>
      </c>
    </row>
    <row r="1630">
      <c r="A1630" s="5" t="s">
        <v>2751</v>
      </c>
      <c r="B1630" s="5" t="s">
        <v>2752</v>
      </c>
      <c r="C1630" s="5" t="s">
        <v>13</v>
      </c>
      <c r="D1630" s="5" t="s">
        <v>2646</v>
      </c>
      <c r="E1630" s="5" t="s">
        <v>79</v>
      </c>
      <c r="F1630" s="5" t="s">
        <v>1852</v>
      </c>
      <c r="G1630" s="5" t="s">
        <v>38</v>
      </c>
      <c r="H1630" s="5" t="s">
        <v>18</v>
      </c>
      <c r="I1630" s="7" t="s">
        <v>10829</v>
      </c>
    </row>
    <row r="1631">
      <c r="A1631" s="5" t="s">
        <v>4609</v>
      </c>
      <c r="B1631" s="5" t="s">
        <v>4610</v>
      </c>
      <c r="D1631" s="5" t="s">
        <v>2646</v>
      </c>
      <c r="E1631" s="5" t="s">
        <v>651</v>
      </c>
      <c r="F1631" s="5" t="s">
        <v>4612</v>
      </c>
      <c r="G1631" s="5" t="s">
        <v>1639</v>
      </c>
      <c r="H1631" s="5" t="s">
        <v>18</v>
      </c>
      <c r="I1631" s="7" t="s">
        <v>4608</v>
      </c>
    </row>
    <row r="1632">
      <c r="A1632" s="5" t="s">
        <v>4886</v>
      </c>
      <c r="B1632" s="5" t="s">
        <v>4887</v>
      </c>
      <c r="D1632" s="5" t="s">
        <v>2646</v>
      </c>
      <c r="E1632" s="5" t="s">
        <v>106</v>
      </c>
      <c r="F1632" s="5" t="s">
        <v>4888</v>
      </c>
      <c r="G1632" s="5" t="s">
        <v>4757</v>
      </c>
      <c r="H1632" s="5" t="s">
        <v>4607</v>
      </c>
      <c r="I1632" s="7" t="s">
        <v>10830</v>
      </c>
    </row>
    <row r="1633">
      <c r="A1633" s="5" t="s">
        <v>5578</v>
      </c>
      <c r="B1633" s="5" t="s">
        <v>4749</v>
      </c>
      <c r="D1633" s="5" t="s">
        <v>2646</v>
      </c>
      <c r="E1633" s="5" t="s">
        <v>29</v>
      </c>
      <c r="F1633" s="5" t="s">
        <v>5579</v>
      </c>
      <c r="G1633" s="5" t="s">
        <v>154</v>
      </c>
      <c r="H1633" s="5" t="s">
        <v>18</v>
      </c>
      <c r="I1633" s="7" t="s">
        <v>5577</v>
      </c>
    </row>
    <row r="1634">
      <c r="A1634" s="5" t="s">
        <v>5613</v>
      </c>
      <c r="B1634" s="5" t="s">
        <v>5614</v>
      </c>
      <c r="D1634" s="5" t="s">
        <v>2646</v>
      </c>
      <c r="E1634" s="5" t="s">
        <v>822</v>
      </c>
      <c r="F1634" s="5" t="s">
        <v>49</v>
      </c>
      <c r="G1634" s="5" t="s">
        <v>50</v>
      </c>
      <c r="H1634" s="5" t="s">
        <v>18</v>
      </c>
      <c r="I1634" s="7" t="s">
        <v>5612</v>
      </c>
    </row>
    <row r="1635">
      <c r="A1635" s="5" t="s">
        <v>5643</v>
      </c>
      <c r="B1635" s="5" t="s">
        <v>5644</v>
      </c>
      <c r="D1635" s="5" t="s">
        <v>2646</v>
      </c>
      <c r="E1635" s="5" t="s">
        <v>822</v>
      </c>
      <c r="F1635" s="5" t="s">
        <v>64</v>
      </c>
      <c r="G1635" s="5" t="s">
        <v>65</v>
      </c>
      <c r="H1635" s="5" t="s">
        <v>18</v>
      </c>
      <c r="I1635" s="7" t="s">
        <v>10831</v>
      </c>
    </row>
    <row r="1636">
      <c r="A1636" s="5" t="s">
        <v>2674</v>
      </c>
      <c r="B1636" s="5" t="s">
        <v>2675</v>
      </c>
      <c r="D1636" s="5" t="s">
        <v>2646</v>
      </c>
      <c r="E1636" s="5" t="s">
        <v>822</v>
      </c>
      <c r="F1636" s="5" t="s">
        <v>64</v>
      </c>
      <c r="G1636" s="5" t="s">
        <v>65</v>
      </c>
      <c r="H1636" s="5" t="s">
        <v>18</v>
      </c>
      <c r="I1636" s="7" t="s">
        <v>5647</v>
      </c>
    </row>
    <row r="1637">
      <c r="A1637" s="5" t="s">
        <v>5690</v>
      </c>
      <c r="B1637" s="5" t="s">
        <v>5691</v>
      </c>
      <c r="D1637" s="5" t="s">
        <v>2646</v>
      </c>
      <c r="E1637" s="5" t="s">
        <v>421</v>
      </c>
      <c r="F1637" s="5" t="s">
        <v>64</v>
      </c>
      <c r="G1637" s="5" t="s">
        <v>65</v>
      </c>
      <c r="H1637" s="5" t="s">
        <v>18</v>
      </c>
      <c r="I1637" s="7" t="s">
        <v>10832</v>
      </c>
    </row>
    <row r="1638">
      <c r="A1638" s="5" t="s">
        <v>5693</v>
      </c>
      <c r="B1638" s="5" t="s">
        <v>4749</v>
      </c>
      <c r="D1638" s="5" t="s">
        <v>2646</v>
      </c>
      <c r="E1638" s="5" t="s">
        <v>15</v>
      </c>
      <c r="F1638" s="5" t="s">
        <v>64</v>
      </c>
      <c r="G1638" s="5" t="s">
        <v>65</v>
      </c>
      <c r="H1638" s="5" t="s">
        <v>18</v>
      </c>
      <c r="I1638" s="7" t="s">
        <v>5692</v>
      </c>
    </row>
    <row r="1639">
      <c r="A1639" s="5" t="s">
        <v>5699</v>
      </c>
      <c r="B1639" s="5" t="s">
        <v>4749</v>
      </c>
      <c r="D1639" s="5" t="s">
        <v>2646</v>
      </c>
      <c r="E1639" s="5" t="s">
        <v>63</v>
      </c>
      <c r="F1639" s="5" t="s">
        <v>64</v>
      </c>
      <c r="G1639" s="5" t="s">
        <v>65</v>
      </c>
      <c r="H1639" s="5" t="s">
        <v>18</v>
      </c>
      <c r="I1639" s="7" t="s">
        <v>5698</v>
      </c>
    </row>
    <row r="1640">
      <c r="A1640" s="5" t="s">
        <v>5791</v>
      </c>
      <c r="B1640" s="5" t="s">
        <v>1896</v>
      </c>
      <c r="D1640" s="5" t="s">
        <v>2646</v>
      </c>
      <c r="E1640" s="5" t="s">
        <v>651</v>
      </c>
      <c r="F1640" s="5" t="s">
        <v>75</v>
      </c>
      <c r="G1640" s="5" t="s">
        <v>76</v>
      </c>
      <c r="H1640" s="5" t="s">
        <v>18</v>
      </c>
      <c r="I1640" s="7" t="s">
        <v>5790</v>
      </c>
    </row>
    <row r="1641">
      <c r="A1641" s="5" t="s">
        <v>5802</v>
      </c>
      <c r="B1641" s="5" t="s">
        <v>5770</v>
      </c>
      <c r="D1641" s="5" t="s">
        <v>2646</v>
      </c>
      <c r="E1641" s="5" t="s">
        <v>441</v>
      </c>
      <c r="F1641" s="5" t="s">
        <v>75</v>
      </c>
      <c r="G1641" s="5" t="s">
        <v>76</v>
      </c>
      <c r="H1641" s="5" t="s">
        <v>18</v>
      </c>
      <c r="I1641" s="7" t="s">
        <v>10833</v>
      </c>
    </row>
    <row r="1642">
      <c r="A1642" s="5" t="s">
        <v>2682</v>
      </c>
      <c r="B1642" s="5" t="s">
        <v>2683</v>
      </c>
      <c r="D1642" s="5" t="s">
        <v>2646</v>
      </c>
      <c r="E1642" s="5" t="s">
        <v>2252</v>
      </c>
      <c r="F1642" s="5" t="s">
        <v>75</v>
      </c>
      <c r="G1642" s="5" t="s">
        <v>76</v>
      </c>
      <c r="H1642" s="5" t="s">
        <v>18</v>
      </c>
      <c r="I1642" s="7" t="s">
        <v>5804</v>
      </c>
    </row>
    <row r="1643">
      <c r="A1643" s="5" t="s">
        <v>5878</v>
      </c>
      <c r="B1643" s="5" t="s">
        <v>5879</v>
      </c>
      <c r="D1643" s="5" t="s">
        <v>2646</v>
      </c>
      <c r="E1643" s="5" t="s">
        <v>339</v>
      </c>
      <c r="F1643" s="5" t="s">
        <v>80</v>
      </c>
      <c r="G1643" s="5" t="s">
        <v>38</v>
      </c>
      <c r="H1643" s="5" t="s">
        <v>18</v>
      </c>
      <c r="I1643" s="7" t="s">
        <v>5877</v>
      </c>
    </row>
    <row r="1644">
      <c r="A1644" s="5" t="s">
        <v>5900</v>
      </c>
      <c r="B1644" s="5" t="s">
        <v>5879</v>
      </c>
      <c r="D1644" s="5" t="s">
        <v>2646</v>
      </c>
      <c r="E1644" s="5" t="s">
        <v>574</v>
      </c>
      <c r="F1644" s="5" t="s">
        <v>80</v>
      </c>
      <c r="G1644" s="5" t="s">
        <v>38</v>
      </c>
      <c r="H1644" s="5" t="s">
        <v>18</v>
      </c>
      <c r="I1644" s="7" t="s">
        <v>5899</v>
      </c>
    </row>
    <row r="1645">
      <c r="A1645" s="5" t="s">
        <v>5902</v>
      </c>
      <c r="B1645" s="5" t="s">
        <v>5903</v>
      </c>
      <c r="D1645" s="5" t="s">
        <v>2646</v>
      </c>
      <c r="E1645" s="5" t="s">
        <v>822</v>
      </c>
      <c r="F1645" s="5" t="s">
        <v>80</v>
      </c>
      <c r="G1645" s="5" t="s">
        <v>38</v>
      </c>
      <c r="H1645" s="5" t="s">
        <v>18</v>
      </c>
      <c r="I1645" s="7" t="s">
        <v>10834</v>
      </c>
    </row>
    <row r="1646">
      <c r="A1646" s="5" t="s">
        <v>5914</v>
      </c>
      <c r="B1646" s="5" t="s">
        <v>5915</v>
      </c>
      <c r="D1646" s="5" t="s">
        <v>2646</v>
      </c>
      <c r="E1646" s="5" t="s">
        <v>822</v>
      </c>
      <c r="F1646" s="5" t="s">
        <v>80</v>
      </c>
      <c r="G1646" s="5" t="s">
        <v>38</v>
      </c>
      <c r="H1646" s="5" t="s">
        <v>18</v>
      </c>
      <c r="I1646" s="7" t="s">
        <v>5913</v>
      </c>
    </row>
    <row r="1647">
      <c r="A1647" s="5" t="s">
        <v>5918</v>
      </c>
      <c r="B1647" s="5" t="s">
        <v>5919</v>
      </c>
      <c r="D1647" s="5" t="s">
        <v>2646</v>
      </c>
      <c r="E1647" s="5" t="s">
        <v>136</v>
      </c>
      <c r="F1647" s="5" t="s">
        <v>80</v>
      </c>
      <c r="G1647" s="5" t="s">
        <v>38</v>
      </c>
      <c r="H1647" s="5" t="s">
        <v>18</v>
      </c>
      <c r="I1647" s="7" t="s">
        <v>10835</v>
      </c>
    </row>
    <row r="1648">
      <c r="A1648" s="5" t="s">
        <v>5925</v>
      </c>
      <c r="B1648" s="5" t="s">
        <v>5926</v>
      </c>
      <c r="D1648" s="5" t="s">
        <v>2646</v>
      </c>
      <c r="E1648" s="5" t="s">
        <v>136</v>
      </c>
      <c r="F1648" s="5" t="s">
        <v>80</v>
      </c>
      <c r="G1648" s="5" t="s">
        <v>38</v>
      </c>
      <c r="H1648" s="5" t="s">
        <v>18</v>
      </c>
      <c r="I1648" s="7" t="s">
        <v>10836</v>
      </c>
    </row>
    <row r="1649">
      <c r="A1649" s="5" t="s">
        <v>2704</v>
      </c>
      <c r="B1649" s="5" t="s">
        <v>2705</v>
      </c>
      <c r="D1649" s="5" t="s">
        <v>2646</v>
      </c>
      <c r="E1649" s="5" t="s">
        <v>832</v>
      </c>
      <c r="F1649" s="5" t="s">
        <v>2706</v>
      </c>
      <c r="G1649" s="5" t="s">
        <v>96</v>
      </c>
      <c r="H1649" s="5" t="s">
        <v>18</v>
      </c>
      <c r="I1649" s="7" t="s">
        <v>10837</v>
      </c>
    </row>
    <row r="1650">
      <c r="A1650" s="5" t="s">
        <v>6319</v>
      </c>
      <c r="B1650" s="5" t="s">
        <v>1896</v>
      </c>
      <c r="D1650" s="5" t="s">
        <v>2646</v>
      </c>
      <c r="E1650" s="5" t="s">
        <v>909</v>
      </c>
      <c r="F1650" s="5" t="s">
        <v>1187</v>
      </c>
      <c r="G1650" s="5" t="s">
        <v>96</v>
      </c>
      <c r="H1650" s="5" t="s">
        <v>18</v>
      </c>
      <c r="I1650" s="7" t="s">
        <v>10838</v>
      </c>
    </row>
    <row r="1651">
      <c r="A1651" s="5" t="s">
        <v>6341</v>
      </c>
      <c r="B1651" s="5" t="s">
        <v>6342</v>
      </c>
      <c r="D1651" s="5" t="s">
        <v>2646</v>
      </c>
      <c r="E1651" s="5" t="s">
        <v>686</v>
      </c>
      <c r="F1651" s="5" t="s">
        <v>112</v>
      </c>
      <c r="G1651" s="5" t="s">
        <v>38</v>
      </c>
      <c r="H1651" s="5" t="s">
        <v>18</v>
      </c>
      <c r="I1651" s="7" t="s">
        <v>10839</v>
      </c>
    </row>
    <row r="1652">
      <c r="A1652" s="5" t="s">
        <v>6383</v>
      </c>
      <c r="B1652" s="5" t="s">
        <v>6384</v>
      </c>
      <c r="D1652" s="5" t="s">
        <v>2646</v>
      </c>
      <c r="E1652" s="5" t="s">
        <v>74</v>
      </c>
      <c r="F1652" s="5" t="s">
        <v>2387</v>
      </c>
      <c r="G1652" s="5" t="s">
        <v>96</v>
      </c>
      <c r="H1652" s="5" t="s">
        <v>18</v>
      </c>
      <c r="I1652" s="7" t="s">
        <v>6382</v>
      </c>
    </row>
    <row r="1653">
      <c r="A1653" s="5" t="s">
        <v>6809</v>
      </c>
      <c r="B1653" s="5" t="s">
        <v>6810</v>
      </c>
      <c r="D1653" s="5" t="s">
        <v>2646</v>
      </c>
      <c r="E1653" s="5" t="s">
        <v>387</v>
      </c>
      <c r="F1653" s="5" t="s">
        <v>6577</v>
      </c>
      <c r="G1653" s="5" t="s">
        <v>4757</v>
      </c>
      <c r="H1653" s="5" t="s">
        <v>4607</v>
      </c>
      <c r="I1653" s="7" t="s">
        <v>10840</v>
      </c>
    </row>
    <row r="1654">
      <c r="A1654" s="5" t="s">
        <v>7720</v>
      </c>
      <c r="B1654" s="5" t="s">
        <v>7721</v>
      </c>
      <c r="D1654" s="5" t="s">
        <v>2646</v>
      </c>
      <c r="E1654" s="5" t="s">
        <v>399</v>
      </c>
      <c r="F1654" s="5" t="s">
        <v>7722</v>
      </c>
      <c r="G1654" s="5" t="s">
        <v>5566</v>
      </c>
      <c r="H1654" s="5" t="s">
        <v>4619</v>
      </c>
      <c r="I1654" s="7" t="s">
        <v>7719</v>
      </c>
    </row>
    <row r="1655">
      <c r="A1655" s="5" t="s">
        <v>2710</v>
      </c>
      <c r="B1655" s="5" t="s">
        <v>371</v>
      </c>
      <c r="D1655" s="5" t="s">
        <v>2646</v>
      </c>
      <c r="E1655" s="5" t="s">
        <v>455</v>
      </c>
      <c r="F1655" s="5" t="s">
        <v>137</v>
      </c>
      <c r="G1655" s="5" t="s">
        <v>137</v>
      </c>
      <c r="H1655" s="5" t="s">
        <v>18</v>
      </c>
      <c r="I1655" s="7" t="s">
        <v>7837</v>
      </c>
    </row>
    <row r="1656">
      <c r="A1656" s="5" t="s">
        <v>7859</v>
      </c>
      <c r="B1656" s="5" t="s">
        <v>7860</v>
      </c>
      <c r="D1656" s="5" t="s">
        <v>2646</v>
      </c>
      <c r="E1656" s="5" t="s">
        <v>63</v>
      </c>
      <c r="F1656" s="5" t="s">
        <v>137</v>
      </c>
      <c r="G1656" s="5" t="s">
        <v>137</v>
      </c>
      <c r="H1656" s="5" t="s">
        <v>18</v>
      </c>
      <c r="I1656" s="7" t="s">
        <v>10841</v>
      </c>
    </row>
    <row r="1657">
      <c r="A1657" s="5" t="s">
        <v>7874</v>
      </c>
      <c r="B1657" s="5" t="s">
        <v>7875</v>
      </c>
      <c r="D1657" s="5" t="s">
        <v>2646</v>
      </c>
      <c r="E1657" s="5" t="s">
        <v>774</v>
      </c>
      <c r="F1657" s="5" t="s">
        <v>137</v>
      </c>
      <c r="G1657" s="5" t="s">
        <v>137</v>
      </c>
      <c r="H1657" s="5" t="s">
        <v>18</v>
      </c>
      <c r="I1657" s="7" t="s">
        <v>10842</v>
      </c>
    </row>
    <row r="1658">
      <c r="A1658" s="5" t="s">
        <v>2720</v>
      </c>
      <c r="B1658" s="5" t="s">
        <v>2721</v>
      </c>
      <c r="D1658" s="5" t="s">
        <v>2646</v>
      </c>
      <c r="E1658" s="5" t="s">
        <v>496</v>
      </c>
      <c r="F1658" s="5" t="s">
        <v>137</v>
      </c>
      <c r="G1658" s="5" t="s">
        <v>137</v>
      </c>
      <c r="H1658" s="5" t="s">
        <v>18</v>
      </c>
      <c r="I1658" s="7" t="s">
        <v>10843</v>
      </c>
    </row>
    <row r="1659">
      <c r="A1659" s="5" t="s">
        <v>7973</v>
      </c>
      <c r="B1659" s="5" t="s">
        <v>7974</v>
      </c>
      <c r="D1659" s="5" t="s">
        <v>2646</v>
      </c>
      <c r="E1659" s="5" t="s">
        <v>446</v>
      </c>
      <c r="F1659" s="5" t="s">
        <v>137</v>
      </c>
      <c r="G1659" s="5" t="s">
        <v>137</v>
      </c>
      <c r="H1659" s="5" t="s">
        <v>18</v>
      </c>
      <c r="I1659" s="7" t="s">
        <v>10844</v>
      </c>
    </row>
    <row r="1660">
      <c r="A1660" s="5" t="s">
        <v>2712</v>
      </c>
      <c r="B1660" s="5" t="s">
        <v>371</v>
      </c>
      <c r="D1660" s="5" t="s">
        <v>2646</v>
      </c>
      <c r="E1660" s="5" t="s">
        <v>774</v>
      </c>
      <c r="F1660" s="5" t="s">
        <v>137</v>
      </c>
      <c r="G1660" s="5" t="s">
        <v>137</v>
      </c>
      <c r="H1660" s="5" t="s">
        <v>18</v>
      </c>
      <c r="I1660" s="7" t="s">
        <v>7981</v>
      </c>
    </row>
    <row r="1661">
      <c r="A1661" s="5" t="s">
        <v>7999</v>
      </c>
      <c r="B1661" s="5" t="s">
        <v>1896</v>
      </c>
      <c r="D1661" s="5" t="s">
        <v>2646</v>
      </c>
      <c r="E1661" s="5" t="s">
        <v>585</v>
      </c>
      <c r="F1661" s="5" t="s">
        <v>137</v>
      </c>
      <c r="G1661" s="5" t="s">
        <v>137</v>
      </c>
      <c r="H1661" s="5" t="s">
        <v>18</v>
      </c>
      <c r="I1661" s="7" t="s">
        <v>7998</v>
      </c>
    </row>
    <row r="1662">
      <c r="A1662" s="5" t="s">
        <v>8001</v>
      </c>
      <c r="B1662" s="5" t="s">
        <v>4749</v>
      </c>
      <c r="D1662" s="5" t="s">
        <v>2646</v>
      </c>
      <c r="E1662" s="5" t="s">
        <v>651</v>
      </c>
      <c r="F1662" s="5" t="s">
        <v>2725</v>
      </c>
      <c r="G1662" s="5" t="s">
        <v>609</v>
      </c>
      <c r="H1662" s="5" t="s">
        <v>18</v>
      </c>
      <c r="I1662" s="7" t="s">
        <v>8000</v>
      </c>
    </row>
    <row r="1663">
      <c r="A1663" s="5" t="s">
        <v>8003</v>
      </c>
      <c r="B1663" s="5" t="s">
        <v>4749</v>
      </c>
      <c r="D1663" s="5" t="s">
        <v>2646</v>
      </c>
      <c r="E1663" s="5" t="s">
        <v>217</v>
      </c>
      <c r="F1663" s="5" t="s">
        <v>2725</v>
      </c>
      <c r="G1663" s="5" t="s">
        <v>609</v>
      </c>
      <c r="H1663" s="5" t="s">
        <v>18</v>
      </c>
      <c r="I1663" s="7" t="s">
        <v>8002</v>
      </c>
    </row>
    <row r="1664">
      <c r="A1664" s="5" t="s">
        <v>8005</v>
      </c>
      <c r="B1664" s="5" t="s">
        <v>8006</v>
      </c>
      <c r="D1664" s="5" t="s">
        <v>2646</v>
      </c>
      <c r="E1664" s="5" t="s">
        <v>26</v>
      </c>
      <c r="F1664" s="5" t="s">
        <v>2725</v>
      </c>
      <c r="G1664" s="5" t="s">
        <v>609</v>
      </c>
      <c r="H1664" s="5" t="s">
        <v>18</v>
      </c>
      <c r="I1664" s="7" t="s">
        <v>10845</v>
      </c>
    </row>
    <row r="1665">
      <c r="A1665" s="5" t="s">
        <v>8010</v>
      </c>
      <c r="B1665" s="5" t="s">
        <v>8011</v>
      </c>
      <c r="D1665" s="5" t="s">
        <v>2646</v>
      </c>
      <c r="E1665" s="5" t="s">
        <v>3110</v>
      </c>
      <c r="F1665" s="5" t="s">
        <v>2725</v>
      </c>
      <c r="G1665" s="5" t="s">
        <v>609</v>
      </c>
      <c r="H1665" s="5" t="s">
        <v>18</v>
      </c>
      <c r="I1665" s="7" t="s">
        <v>8009</v>
      </c>
    </row>
    <row r="1666">
      <c r="A1666" s="5" t="s">
        <v>8013</v>
      </c>
      <c r="B1666" s="5" t="s">
        <v>4749</v>
      </c>
      <c r="D1666" s="5" t="s">
        <v>2646</v>
      </c>
      <c r="E1666" s="5" t="s">
        <v>79</v>
      </c>
      <c r="F1666" s="5" t="s">
        <v>2725</v>
      </c>
      <c r="G1666" s="5" t="s">
        <v>609</v>
      </c>
      <c r="H1666" s="5" t="s">
        <v>18</v>
      </c>
      <c r="I1666" s="7" t="s">
        <v>8012</v>
      </c>
    </row>
    <row r="1667">
      <c r="A1667" s="5" t="s">
        <v>8015</v>
      </c>
      <c r="B1667" s="5" t="s">
        <v>8016</v>
      </c>
      <c r="D1667" s="5" t="s">
        <v>2646</v>
      </c>
      <c r="E1667" s="5" t="s">
        <v>365</v>
      </c>
      <c r="F1667" s="5" t="s">
        <v>2725</v>
      </c>
      <c r="G1667" s="5" t="s">
        <v>609</v>
      </c>
      <c r="H1667" s="5" t="s">
        <v>18</v>
      </c>
      <c r="I1667" s="7" t="s">
        <v>8014</v>
      </c>
    </row>
    <row r="1668">
      <c r="A1668" s="5" t="s">
        <v>2733</v>
      </c>
      <c r="B1668" s="5" t="s">
        <v>2734</v>
      </c>
      <c r="D1668" s="5" t="s">
        <v>2646</v>
      </c>
      <c r="E1668" s="5" t="s">
        <v>387</v>
      </c>
      <c r="F1668" s="5" t="s">
        <v>153</v>
      </c>
      <c r="G1668" s="5" t="s">
        <v>154</v>
      </c>
      <c r="H1668" s="5" t="s">
        <v>18</v>
      </c>
      <c r="I1668" s="7" t="s">
        <v>10846</v>
      </c>
    </row>
    <row r="1669">
      <c r="A1669" s="5" t="s">
        <v>8342</v>
      </c>
      <c r="B1669" s="5" t="s">
        <v>2675</v>
      </c>
      <c r="D1669" s="5" t="s">
        <v>2646</v>
      </c>
      <c r="E1669" s="5" t="s">
        <v>399</v>
      </c>
      <c r="F1669" s="5" t="s">
        <v>153</v>
      </c>
      <c r="G1669" s="5" t="s">
        <v>154</v>
      </c>
      <c r="H1669" s="5" t="s">
        <v>18</v>
      </c>
      <c r="I1669" s="7" t="s">
        <v>8341</v>
      </c>
    </row>
    <row r="1670">
      <c r="A1670" s="5" t="s">
        <v>8349</v>
      </c>
      <c r="B1670" s="5" t="s">
        <v>4749</v>
      </c>
      <c r="D1670" s="5" t="s">
        <v>2646</v>
      </c>
      <c r="E1670" s="5" t="s">
        <v>144</v>
      </c>
      <c r="F1670" s="5" t="s">
        <v>153</v>
      </c>
      <c r="G1670" s="5" t="s">
        <v>154</v>
      </c>
      <c r="H1670" s="5" t="s">
        <v>18</v>
      </c>
      <c r="I1670" s="7" t="s">
        <v>8348</v>
      </c>
    </row>
    <row r="1671">
      <c r="A1671" s="5" t="s">
        <v>8536</v>
      </c>
      <c r="B1671" s="5" t="s">
        <v>8537</v>
      </c>
      <c r="D1671" s="5" t="s">
        <v>2646</v>
      </c>
      <c r="E1671" s="5" t="s">
        <v>822</v>
      </c>
      <c r="F1671" s="5" t="s">
        <v>3274</v>
      </c>
      <c r="G1671" s="5" t="s">
        <v>137</v>
      </c>
      <c r="H1671" s="5" t="s">
        <v>18</v>
      </c>
      <c r="I1671" s="7" t="s">
        <v>8535</v>
      </c>
    </row>
    <row r="1672">
      <c r="A1672" s="5" t="s">
        <v>8600</v>
      </c>
      <c r="B1672" s="5" t="s">
        <v>8601</v>
      </c>
      <c r="D1672" s="5" t="s">
        <v>2646</v>
      </c>
      <c r="E1672" s="5" t="s">
        <v>182</v>
      </c>
      <c r="F1672" s="5" t="s">
        <v>1035</v>
      </c>
      <c r="G1672" s="5" t="s">
        <v>38</v>
      </c>
      <c r="H1672" s="5" t="s">
        <v>18</v>
      </c>
      <c r="I1672" s="7" t="s">
        <v>8599</v>
      </c>
    </row>
    <row r="1673">
      <c r="A1673" s="5" t="s">
        <v>8862</v>
      </c>
      <c r="B1673" s="5" t="s">
        <v>8863</v>
      </c>
      <c r="D1673" s="5" t="s">
        <v>2646</v>
      </c>
      <c r="E1673" s="5" t="s">
        <v>694</v>
      </c>
      <c r="F1673" s="5" t="s">
        <v>2178</v>
      </c>
      <c r="G1673" s="5" t="s">
        <v>1305</v>
      </c>
      <c r="H1673" s="5" t="s">
        <v>18</v>
      </c>
      <c r="I1673" s="7" t="s">
        <v>10847</v>
      </c>
    </row>
    <row r="1674">
      <c r="A1674" s="5" t="s">
        <v>10100</v>
      </c>
      <c r="B1674" s="5" t="s">
        <v>10101</v>
      </c>
      <c r="D1674" s="5" t="s">
        <v>2646</v>
      </c>
      <c r="E1674" s="5" t="s">
        <v>579</v>
      </c>
      <c r="F1674" s="5" t="s">
        <v>3165</v>
      </c>
      <c r="G1674" s="5" t="s">
        <v>154</v>
      </c>
      <c r="H1674" s="5" t="s">
        <v>18</v>
      </c>
      <c r="I1674" s="7" t="s">
        <v>10848</v>
      </c>
    </row>
    <row r="1675">
      <c r="A1675" s="5" t="s">
        <v>2754</v>
      </c>
      <c r="B1675" s="5" t="s">
        <v>2755</v>
      </c>
      <c r="C1675" s="5" t="s">
        <v>13</v>
      </c>
      <c r="D1675" s="5" t="s">
        <v>2756</v>
      </c>
      <c r="E1675" s="5" t="s">
        <v>2757</v>
      </c>
      <c r="F1675" s="5" t="s">
        <v>635</v>
      </c>
      <c r="G1675" s="5" t="s">
        <v>76</v>
      </c>
      <c r="H1675" s="5" t="s">
        <v>18</v>
      </c>
      <c r="I1675" s="7" t="s">
        <v>2758</v>
      </c>
    </row>
    <row r="1676">
      <c r="A1676" s="5" t="s">
        <v>2759</v>
      </c>
      <c r="B1676" s="5" t="s">
        <v>25</v>
      </c>
      <c r="C1676" s="5" t="s">
        <v>13</v>
      </c>
      <c r="D1676" s="5" t="s">
        <v>2756</v>
      </c>
      <c r="E1676" s="5" t="s">
        <v>257</v>
      </c>
      <c r="F1676" s="5" t="s">
        <v>635</v>
      </c>
      <c r="G1676" s="5" t="s">
        <v>76</v>
      </c>
      <c r="H1676" s="5" t="s">
        <v>18</v>
      </c>
      <c r="I1676" s="7" t="s">
        <v>10849</v>
      </c>
    </row>
    <row r="1677">
      <c r="A1677" s="5" t="s">
        <v>2761</v>
      </c>
      <c r="B1677" s="5" t="s">
        <v>25</v>
      </c>
      <c r="C1677" s="5" t="s">
        <v>13</v>
      </c>
      <c r="D1677" s="5" t="s">
        <v>2756</v>
      </c>
      <c r="E1677" s="5" t="s">
        <v>832</v>
      </c>
      <c r="F1677" s="5" t="s">
        <v>635</v>
      </c>
      <c r="G1677" s="5" t="s">
        <v>76</v>
      </c>
      <c r="H1677" s="5" t="s">
        <v>18</v>
      </c>
      <c r="I1677" s="7" t="s">
        <v>2762</v>
      </c>
    </row>
    <row r="1678">
      <c r="A1678" s="5" t="s">
        <v>2763</v>
      </c>
      <c r="B1678" s="5" t="s">
        <v>25</v>
      </c>
      <c r="C1678" s="5" t="s">
        <v>13</v>
      </c>
      <c r="D1678" s="5" t="s">
        <v>2756</v>
      </c>
      <c r="E1678" s="5" t="s">
        <v>60</v>
      </c>
      <c r="F1678" s="5" t="s">
        <v>635</v>
      </c>
      <c r="G1678" s="5" t="s">
        <v>76</v>
      </c>
      <c r="H1678" s="5" t="s">
        <v>18</v>
      </c>
      <c r="I1678" s="7" t="s">
        <v>10850</v>
      </c>
    </row>
    <row r="1679">
      <c r="A1679" s="5" t="s">
        <v>2765</v>
      </c>
      <c r="B1679" s="5" t="s">
        <v>25</v>
      </c>
      <c r="C1679" s="5" t="s">
        <v>13</v>
      </c>
      <c r="D1679" s="5" t="s">
        <v>2756</v>
      </c>
      <c r="E1679" s="5" t="s">
        <v>1244</v>
      </c>
      <c r="F1679" s="5" t="s">
        <v>635</v>
      </c>
      <c r="G1679" s="5" t="s">
        <v>76</v>
      </c>
      <c r="H1679" s="5" t="s">
        <v>18</v>
      </c>
      <c r="I1679" s="7" t="s">
        <v>2766</v>
      </c>
    </row>
    <row r="1680">
      <c r="A1680" s="5" t="s">
        <v>2767</v>
      </c>
      <c r="B1680" s="5" t="s">
        <v>25</v>
      </c>
      <c r="C1680" s="5" t="s">
        <v>13</v>
      </c>
      <c r="D1680" s="5" t="s">
        <v>2756</v>
      </c>
      <c r="E1680" s="5" t="s">
        <v>257</v>
      </c>
      <c r="F1680" s="5" t="s">
        <v>635</v>
      </c>
      <c r="G1680" s="5" t="s">
        <v>76</v>
      </c>
      <c r="H1680" s="5" t="s">
        <v>18</v>
      </c>
      <c r="I1680" s="7" t="s">
        <v>2768</v>
      </c>
    </row>
    <row r="1681">
      <c r="A1681" s="5" t="s">
        <v>2769</v>
      </c>
      <c r="B1681" s="5" t="s">
        <v>2770</v>
      </c>
      <c r="C1681" s="5" t="s">
        <v>13</v>
      </c>
      <c r="D1681" s="5" t="s">
        <v>2771</v>
      </c>
      <c r="E1681" s="5" t="s">
        <v>512</v>
      </c>
      <c r="F1681" s="5" t="s">
        <v>2772</v>
      </c>
      <c r="G1681" s="5" t="s">
        <v>219</v>
      </c>
      <c r="H1681" s="5" t="s">
        <v>18</v>
      </c>
      <c r="I1681" s="7" t="s">
        <v>10851</v>
      </c>
    </row>
    <row r="1682">
      <c r="A1682" s="5" t="s">
        <v>2774</v>
      </c>
      <c r="B1682" s="5" t="s">
        <v>480</v>
      </c>
      <c r="C1682" s="5" t="s">
        <v>13</v>
      </c>
      <c r="D1682" s="5" t="s">
        <v>2771</v>
      </c>
      <c r="E1682" s="5" t="s">
        <v>886</v>
      </c>
      <c r="F1682" s="5" t="s">
        <v>2772</v>
      </c>
      <c r="G1682" s="5" t="s">
        <v>219</v>
      </c>
      <c r="H1682" s="5" t="s">
        <v>18</v>
      </c>
      <c r="I1682" s="7" t="s">
        <v>2775</v>
      </c>
    </row>
    <row r="1683">
      <c r="A1683" s="5" t="s">
        <v>2776</v>
      </c>
      <c r="B1683" s="5" t="s">
        <v>2777</v>
      </c>
      <c r="C1683" s="5" t="s">
        <v>13</v>
      </c>
      <c r="D1683" s="5" t="s">
        <v>2771</v>
      </c>
      <c r="E1683" s="5" t="s">
        <v>222</v>
      </c>
      <c r="F1683" s="5" t="s">
        <v>2778</v>
      </c>
      <c r="G1683" s="5" t="s">
        <v>219</v>
      </c>
      <c r="H1683" s="5" t="s">
        <v>18</v>
      </c>
      <c r="I1683" s="7" t="s">
        <v>10852</v>
      </c>
    </row>
    <row r="1684">
      <c r="A1684" s="5" t="s">
        <v>2780</v>
      </c>
      <c r="B1684" s="5" t="s">
        <v>2781</v>
      </c>
      <c r="C1684" s="5" t="s">
        <v>13</v>
      </c>
      <c r="D1684" s="5" t="s">
        <v>2771</v>
      </c>
      <c r="F1684" s="5" t="s">
        <v>2782</v>
      </c>
      <c r="G1684" s="5" t="s">
        <v>219</v>
      </c>
      <c r="H1684" s="5" t="s">
        <v>18</v>
      </c>
      <c r="I1684" s="7" t="s">
        <v>10853</v>
      </c>
    </row>
    <row r="1685">
      <c r="A1685" s="5" t="s">
        <v>2784</v>
      </c>
      <c r="B1685" s="5" t="s">
        <v>480</v>
      </c>
      <c r="C1685" s="5" t="s">
        <v>13</v>
      </c>
      <c r="D1685" s="5" t="s">
        <v>2771</v>
      </c>
      <c r="E1685" s="5" t="s">
        <v>1806</v>
      </c>
      <c r="F1685" s="5" t="s">
        <v>2785</v>
      </c>
      <c r="G1685" s="5" t="s">
        <v>219</v>
      </c>
      <c r="H1685" s="5" t="s">
        <v>18</v>
      </c>
      <c r="I1685" s="7" t="s">
        <v>2786</v>
      </c>
    </row>
    <row r="1686">
      <c r="A1686" s="5" t="s">
        <v>5285</v>
      </c>
      <c r="B1686" s="5" t="s">
        <v>5286</v>
      </c>
      <c r="D1686" s="5" t="s">
        <v>5287</v>
      </c>
      <c r="E1686" s="5" t="s">
        <v>651</v>
      </c>
      <c r="F1686" s="5" t="s">
        <v>5280</v>
      </c>
      <c r="G1686" s="5" t="s">
        <v>4638</v>
      </c>
      <c r="H1686" s="5" t="s">
        <v>4600</v>
      </c>
      <c r="I1686" s="7" t="s">
        <v>10854</v>
      </c>
    </row>
    <row r="1687">
      <c r="A1687" s="5" t="s">
        <v>8160</v>
      </c>
      <c r="B1687" s="5" t="s">
        <v>8161</v>
      </c>
      <c r="D1687" s="5" t="s">
        <v>5287</v>
      </c>
      <c r="E1687" s="5" t="s">
        <v>233</v>
      </c>
      <c r="F1687" s="5" t="s">
        <v>8158</v>
      </c>
      <c r="G1687" s="5" t="s">
        <v>4638</v>
      </c>
      <c r="H1687" s="5" t="s">
        <v>4600</v>
      </c>
      <c r="I1687" s="7" t="s">
        <v>10855</v>
      </c>
    </row>
    <row r="1688">
      <c r="A1688" s="5" t="s">
        <v>2787</v>
      </c>
      <c r="B1688" s="5" t="s">
        <v>25</v>
      </c>
      <c r="C1688" s="5" t="s">
        <v>13</v>
      </c>
      <c r="D1688" s="5" t="s">
        <v>2788</v>
      </c>
      <c r="E1688" s="5" t="s">
        <v>1289</v>
      </c>
      <c r="F1688" s="5" t="s">
        <v>1643</v>
      </c>
      <c r="G1688" s="5" t="s">
        <v>763</v>
      </c>
      <c r="H1688" s="5" t="s">
        <v>18</v>
      </c>
      <c r="I1688" s="7" t="s">
        <v>10856</v>
      </c>
    </row>
    <row r="1689">
      <c r="A1689" s="5" t="s">
        <v>2790</v>
      </c>
      <c r="B1689" s="5" t="s">
        <v>2791</v>
      </c>
      <c r="C1689" s="5" t="s">
        <v>13</v>
      </c>
      <c r="D1689" s="5" t="s">
        <v>2788</v>
      </c>
      <c r="E1689" s="5" t="s">
        <v>886</v>
      </c>
      <c r="F1689" s="5" t="s">
        <v>2792</v>
      </c>
      <c r="G1689" s="5" t="s">
        <v>38</v>
      </c>
      <c r="H1689" s="5" t="s">
        <v>18</v>
      </c>
      <c r="I1689" s="7" t="s">
        <v>10857</v>
      </c>
    </row>
    <row r="1690">
      <c r="A1690" s="5" t="s">
        <v>2794</v>
      </c>
      <c r="B1690" s="5" t="s">
        <v>25</v>
      </c>
      <c r="C1690" s="5" t="s">
        <v>13</v>
      </c>
      <c r="D1690" s="5" t="s">
        <v>2788</v>
      </c>
      <c r="E1690" s="5" t="s">
        <v>832</v>
      </c>
      <c r="F1690" s="5" t="s">
        <v>112</v>
      </c>
      <c r="G1690" s="5" t="s">
        <v>38</v>
      </c>
      <c r="H1690" s="5" t="s">
        <v>18</v>
      </c>
      <c r="I1690" s="7" t="s">
        <v>10858</v>
      </c>
    </row>
    <row r="1691">
      <c r="A1691" s="5" t="s">
        <v>2796</v>
      </c>
      <c r="B1691" s="5" t="s">
        <v>2797</v>
      </c>
      <c r="C1691" s="5" t="s">
        <v>13</v>
      </c>
      <c r="D1691" s="5" t="s">
        <v>2788</v>
      </c>
      <c r="E1691" s="5" t="s">
        <v>233</v>
      </c>
      <c r="F1691" s="5" t="s">
        <v>2798</v>
      </c>
      <c r="G1691" s="5" t="s">
        <v>154</v>
      </c>
      <c r="H1691" s="5" t="s">
        <v>18</v>
      </c>
      <c r="I1691" s="7" t="s">
        <v>10859</v>
      </c>
    </row>
    <row r="1692">
      <c r="A1692" s="5" t="s">
        <v>2800</v>
      </c>
      <c r="B1692" s="5" t="s">
        <v>2801</v>
      </c>
      <c r="C1692" s="5" t="s">
        <v>13</v>
      </c>
      <c r="D1692" s="5" t="s">
        <v>2788</v>
      </c>
      <c r="E1692" s="5" t="s">
        <v>472</v>
      </c>
      <c r="F1692" s="5" t="s">
        <v>2802</v>
      </c>
      <c r="G1692" s="5" t="s">
        <v>91</v>
      </c>
      <c r="H1692" s="5" t="s">
        <v>18</v>
      </c>
      <c r="I1692" s="7" t="s">
        <v>10860</v>
      </c>
    </row>
    <row r="1693">
      <c r="A1693" s="5" t="s">
        <v>2804</v>
      </c>
      <c r="B1693" s="5" t="s">
        <v>25</v>
      </c>
      <c r="C1693" s="5" t="s">
        <v>13</v>
      </c>
      <c r="D1693" s="5" t="s">
        <v>2788</v>
      </c>
      <c r="E1693" s="5" t="s">
        <v>228</v>
      </c>
      <c r="F1693" s="5" t="s">
        <v>2805</v>
      </c>
      <c r="G1693" s="5" t="s">
        <v>44</v>
      </c>
      <c r="H1693" s="5" t="s">
        <v>18</v>
      </c>
      <c r="I1693" s="7" t="s">
        <v>10861</v>
      </c>
    </row>
    <row r="1694">
      <c r="A1694" s="5" t="s">
        <v>2807</v>
      </c>
      <c r="B1694" s="5" t="s">
        <v>371</v>
      </c>
      <c r="C1694" s="5" t="s">
        <v>13</v>
      </c>
      <c r="D1694" s="5" t="s">
        <v>2788</v>
      </c>
      <c r="E1694" s="5" t="s">
        <v>241</v>
      </c>
      <c r="F1694" s="5" t="s">
        <v>64</v>
      </c>
      <c r="G1694" s="5" t="s">
        <v>65</v>
      </c>
      <c r="H1694" s="5" t="s">
        <v>18</v>
      </c>
      <c r="I1694" s="7" t="s">
        <v>10862</v>
      </c>
    </row>
    <row r="1695">
      <c r="A1695" s="5" t="s">
        <v>2809</v>
      </c>
      <c r="B1695" s="5" t="s">
        <v>2810</v>
      </c>
      <c r="C1695" s="5" t="s">
        <v>13</v>
      </c>
      <c r="D1695" s="5" t="s">
        <v>2788</v>
      </c>
      <c r="E1695" s="5" t="s">
        <v>909</v>
      </c>
      <c r="F1695" s="5" t="s">
        <v>64</v>
      </c>
      <c r="G1695" s="5" t="s">
        <v>65</v>
      </c>
      <c r="H1695" s="5" t="s">
        <v>18</v>
      </c>
      <c r="I1695" s="7" t="s">
        <v>10863</v>
      </c>
    </row>
    <row r="1696">
      <c r="A1696" s="5" t="s">
        <v>2812</v>
      </c>
      <c r="B1696" s="5" t="s">
        <v>2813</v>
      </c>
      <c r="C1696" s="5" t="s">
        <v>13</v>
      </c>
      <c r="D1696" s="5" t="s">
        <v>2788</v>
      </c>
      <c r="E1696" s="5" t="s">
        <v>111</v>
      </c>
      <c r="F1696" s="5" t="s">
        <v>2814</v>
      </c>
      <c r="G1696" s="5" t="s">
        <v>154</v>
      </c>
      <c r="H1696" s="5" t="s">
        <v>18</v>
      </c>
      <c r="I1696" s="7" t="s">
        <v>10864</v>
      </c>
    </row>
    <row r="1697">
      <c r="A1697" s="5" t="s">
        <v>2816</v>
      </c>
      <c r="B1697" s="5" t="s">
        <v>2817</v>
      </c>
      <c r="C1697" s="5" t="s">
        <v>13</v>
      </c>
      <c r="D1697" s="5" t="s">
        <v>2788</v>
      </c>
      <c r="E1697" s="5" t="s">
        <v>2818</v>
      </c>
      <c r="F1697" s="5" t="s">
        <v>2819</v>
      </c>
      <c r="G1697" s="5" t="s">
        <v>2820</v>
      </c>
      <c r="H1697" s="5" t="s">
        <v>18</v>
      </c>
      <c r="I1697" s="7" t="s">
        <v>10865</v>
      </c>
    </row>
    <row r="1698">
      <c r="A1698" s="5" t="s">
        <v>2822</v>
      </c>
      <c r="B1698" s="5" t="s">
        <v>2823</v>
      </c>
      <c r="C1698" s="5" t="s">
        <v>13</v>
      </c>
      <c r="D1698" s="5" t="s">
        <v>2788</v>
      </c>
      <c r="E1698" s="5" t="s">
        <v>661</v>
      </c>
      <c r="F1698" s="5" t="s">
        <v>137</v>
      </c>
      <c r="G1698" s="5" t="s">
        <v>137</v>
      </c>
      <c r="H1698" s="5" t="s">
        <v>18</v>
      </c>
      <c r="I1698" s="7" t="s">
        <v>10866</v>
      </c>
    </row>
    <row r="1699">
      <c r="A1699" s="5" t="s">
        <v>2825</v>
      </c>
      <c r="B1699" s="5" t="s">
        <v>25</v>
      </c>
      <c r="C1699" s="5" t="s">
        <v>13</v>
      </c>
      <c r="D1699" s="5" t="s">
        <v>2788</v>
      </c>
      <c r="E1699" s="5" t="s">
        <v>2826</v>
      </c>
      <c r="F1699" s="5" t="s">
        <v>137</v>
      </c>
      <c r="G1699" s="5" t="s">
        <v>137</v>
      </c>
      <c r="H1699" s="5" t="s">
        <v>18</v>
      </c>
      <c r="I1699" s="7" t="s">
        <v>10867</v>
      </c>
    </row>
    <row r="1700">
      <c r="A1700" s="5" t="s">
        <v>2828</v>
      </c>
      <c r="B1700" s="5" t="s">
        <v>2829</v>
      </c>
      <c r="C1700" s="5" t="s">
        <v>13</v>
      </c>
      <c r="D1700" s="5" t="s">
        <v>2788</v>
      </c>
      <c r="E1700" s="5" t="s">
        <v>1538</v>
      </c>
      <c r="F1700" s="5" t="s">
        <v>2830</v>
      </c>
      <c r="G1700" s="5" t="s">
        <v>219</v>
      </c>
      <c r="H1700" s="5" t="s">
        <v>18</v>
      </c>
      <c r="I1700" s="7" t="s">
        <v>10868</v>
      </c>
    </row>
    <row r="1701">
      <c r="A1701" s="5" t="s">
        <v>2832</v>
      </c>
      <c r="B1701" s="5" t="s">
        <v>2833</v>
      </c>
      <c r="C1701" s="5" t="s">
        <v>13</v>
      </c>
      <c r="D1701" s="5" t="s">
        <v>2788</v>
      </c>
      <c r="E1701" s="5" t="s">
        <v>409</v>
      </c>
      <c r="F1701" s="5" t="s">
        <v>608</v>
      </c>
      <c r="G1701" s="5" t="s">
        <v>609</v>
      </c>
      <c r="H1701" s="5" t="s">
        <v>18</v>
      </c>
      <c r="I1701" s="7" t="s">
        <v>10869</v>
      </c>
    </row>
    <row r="1702">
      <c r="A1702" s="5" t="s">
        <v>2835</v>
      </c>
      <c r="B1702" s="5" t="s">
        <v>766</v>
      </c>
      <c r="C1702" s="5" t="s">
        <v>13</v>
      </c>
      <c r="D1702" s="5" t="s">
        <v>2788</v>
      </c>
      <c r="E1702" s="5" t="s">
        <v>144</v>
      </c>
      <c r="F1702" s="5" t="s">
        <v>2836</v>
      </c>
      <c r="G1702" s="5" t="s">
        <v>203</v>
      </c>
      <c r="H1702" s="5" t="s">
        <v>18</v>
      </c>
      <c r="I1702" s="7" t="s">
        <v>10870</v>
      </c>
    </row>
    <row r="1703">
      <c r="A1703" s="5" t="s">
        <v>4652</v>
      </c>
      <c r="B1703" s="5" t="s">
        <v>4653</v>
      </c>
      <c r="D1703" s="5" t="s">
        <v>2839</v>
      </c>
      <c r="F1703" s="5" t="s">
        <v>4654</v>
      </c>
      <c r="G1703" s="5" t="s">
        <v>4655</v>
      </c>
      <c r="H1703" s="5" t="s">
        <v>18</v>
      </c>
      <c r="I1703" s="7" t="s">
        <v>4651</v>
      </c>
    </row>
    <row r="1704">
      <c r="A1704" s="5" t="s">
        <v>4733</v>
      </c>
      <c r="B1704" s="5" t="s">
        <v>4734</v>
      </c>
      <c r="D1704" s="5" t="s">
        <v>2839</v>
      </c>
      <c r="E1704" s="5" t="s">
        <v>4735</v>
      </c>
      <c r="F1704" s="5" t="s">
        <v>16</v>
      </c>
      <c r="G1704" s="5" t="s">
        <v>17</v>
      </c>
      <c r="H1704" s="5" t="s">
        <v>18</v>
      </c>
      <c r="I1704" s="7" t="s">
        <v>10871</v>
      </c>
    </row>
    <row r="1705">
      <c r="A1705" s="5" t="s">
        <v>4738</v>
      </c>
      <c r="B1705" s="5" t="s">
        <v>4739</v>
      </c>
      <c r="D1705" s="5" t="s">
        <v>2839</v>
      </c>
      <c r="E1705" s="5" t="s">
        <v>3022</v>
      </c>
      <c r="F1705" s="5" t="s">
        <v>16</v>
      </c>
      <c r="G1705" s="5" t="s">
        <v>17</v>
      </c>
      <c r="H1705" s="5" t="s">
        <v>18</v>
      </c>
      <c r="I1705" s="7" t="s">
        <v>10872</v>
      </c>
    </row>
    <row r="1706">
      <c r="A1706" s="5" t="s">
        <v>4741</v>
      </c>
      <c r="B1706" s="5" t="s">
        <v>4742</v>
      </c>
      <c r="D1706" s="5" t="s">
        <v>2839</v>
      </c>
      <c r="E1706" s="5" t="s">
        <v>651</v>
      </c>
      <c r="F1706" s="5" t="s">
        <v>16</v>
      </c>
      <c r="G1706" s="5" t="s">
        <v>17</v>
      </c>
      <c r="H1706" s="5" t="s">
        <v>18</v>
      </c>
      <c r="I1706" s="7" t="s">
        <v>10873</v>
      </c>
    </row>
    <row r="1707">
      <c r="A1707" s="5" t="s">
        <v>2838</v>
      </c>
      <c r="B1707" s="5" t="s">
        <v>2155</v>
      </c>
      <c r="D1707" s="5" t="s">
        <v>2839</v>
      </c>
      <c r="E1707" s="5" t="s">
        <v>2840</v>
      </c>
      <c r="F1707" s="5" t="s">
        <v>1638</v>
      </c>
      <c r="G1707" s="5" t="s">
        <v>1639</v>
      </c>
      <c r="H1707" s="5" t="s">
        <v>18</v>
      </c>
      <c r="I1707" s="7" t="s">
        <v>10874</v>
      </c>
    </row>
    <row r="1708">
      <c r="A1708" s="5" t="s">
        <v>4847</v>
      </c>
      <c r="B1708" s="5" t="s">
        <v>4742</v>
      </c>
      <c r="D1708" s="5" t="s">
        <v>2839</v>
      </c>
      <c r="E1708" s="5" t="s">
        <v>79</v>
      </c>
      <c r="F1708" s="5" t="s">
        <v>377</v>
      </c>
      <c r="G1708" s="5" t="s">
        <v>378</v>
      </c>
      <c r="H1708" s="5" t="s">
        <v>18</v>
      </c>
      <c r="I1708" s="7" t="s">
        <v>10875</v>
      </c>
    </row>
    <row r="1709">
      <c r="A1709" s="5" t="s">
        <v>2842</v>
      </c>
      <c r="B1709" s="5" t="s">
        <v>371</v>
      </c>
      <c r="D1709" s="5" t="s">
        <v>2839</v>
      </c>
      <c r="E1709" s="5" t="s">
        <v>651</v>
      </c>
      <c r="F1709" s="5" t="s">
        <v>377</v>
      </c>
      <c r="G1709" s="5" t="s">
        <v>378</v>
      </c>
      <c r="H1709" s="5" t="s">
        <v>18</v>
      </c>
      <c r="I1709" s="7" t="s">
        <v>4853</v>
      </c>
    </row>
    <row r="1710">
      <c r="A1710" s="5" t="s">
        <v>5186</v>
      </c>
      <c r="B1710" s="5" t="s">
        <v>5187</v>
      </c>
      <c r="D1710" s="5" t="s">
        <v>2839</v>
      </c>
      <c r="E1710" s="5" t="s">
        <v>1950</v>
      </c>
      <c r="F1710" s="5" t="s">
        <v>4643</v>
      </c>
      <c r="G1710" s="5" t="s">
        <v>4644</v>
      </c>
      <c r="H1710" s="5" t="s">
        <v>4600</v>
      </c>
      <c r="I1710" s="7" t="s">
        <v>5185</v>
      </c>
    </row>
    <row r="1711">
      <c r="A1711" s="5" t="s">
        <v>5671</v>
      </c>
      <c r="B1711" s="5" t="s">
        <v>5672</v>
      </c>
      <c r="D1711" s="5" t="s">
        <v>2839</v>
      </c>
      <c r="E1711" s="5" t="s">
        <v>848</v>
      </c>
      <c r="F1711" s="5" t="s">
        <v>64</v>
      </c>
      <c r="G1711" s="5" t="s">
        <v>65</v>
      </c>
      <c r="H1711" s="5" t="s">
        <v>18</v>
      </c>
      <c r="I1711" s="7" t="s">
        <v>5670</v>
      </c>
    </row>
    <row r="1712">
      <c r="A1712" s="5" t="s">
        <v>2847</v>
      </c>
      <c r="B1712" s="5" t="s">
        <v>2848</v>
      </c>
      <c r="D1712" s="5" t="s">
        <v>2839</v>
      </c>
      <c r="E1712" s="5" t="s">
        <v>697</v>
      </c>
      <c r="F1712" s="5" t="s">
        <v>64</v>
      </c>
      <c r="G1712" s="5" t="s">
        <v>65</v>
      </c>
      <c r="H1712" s="5" t="s">
        <v>18</v>
      </c>
      <c r="I1712" s="7" t="s">
        <v>10876</v>
      </c>
    </row>
    <row r="1713">
      <c r="A1713" s="5" t="s">
        <v>5765</v>
      </c>
      <c r="B1713" s="5" t="s">
        <v>4742</v>
      </c>
      <c r="D1713" s="5" t="s">
        <v>2839</v>
      </c>
      <c r="E1713" s="5" t="s">
        <v>63</v>
      </c>
      <c r="F1713" s="5" t="s">
        <v>635</v>
      </c>
      <c r="G1713" s="5" t="s">
        <v>76</v>
      </c>
      <c r="H1713" s="5" t="s">
        <v>18</v>
      </c>
      <c r="I1713" s="7" t="s">
        <v>10877</v>
      </c>
    </row>
    <row r="1714">
      <c r="A1714" s="5" t="s">
        <v>5809</v>
      </c>
      <c r="B1714" s="5" t="s">
        <v>4934</v>
      </c>
      <c r="D1714" s="5" t="s">
        <v>2839</v>
      </c>
      <c r="E1714" s="5" t="s">
        <v>574</v>
      </c>
      <c r="F1714" s="5" t="s">
        <v>5807</v>
      </c>
      <c r="G1714" s="5" t="s">
        <v>137</v>
      </c>
      <c r="H1714" s="5" t="s">
        <v>18</v>
      </c>
      <c r="I1714" s="7" t="s">
        <v>5808</v>
      </c>
    </row>
    <row r="1715">
      <c r="A1715" s="5" t="s">
        <v>2850</v>
      </c>
      <c r="B1715" s="5" t="s">
        <v>5811</v>
      </c>
      <c r="D1715" s="5" t="s">
        <v>2839</v>
      </c>
      <c r="E1715" s="5" t="s">
        <v>100</v>
      </c>
      <c r="F1715" s="5" t="s">
        <v>2852</v>
      </c>
      <c r="G1715" s="5" t="s">
        <v>17</v>
      </c>
      <c r="H1715" s="5" t="s">
        <v>18</v>
      </c>
      <c r="I1715" s="7" t="s">
        <v>10878</v>
      </c>
    </row>
    <row r="1716">
      <c r="A1716" s="5" t="s">
        <v>2859</v>
      </c>
      <c r="B1716" s="5" t="s">
        <v>371</v>
      </c>
      <c r="D1716" s="5" t="s">
        <v>2839</v>
      </c>
      <c r="E1716" s="5" t="s">
        <v>1623</v>
      </c>
      <c r="F1716" s="5" t="s">
        <v>90</v>
      </c>
      <c r="G1716" s="5" t="s">
        <v>91</v>
      </c>
      <c r="H1716" s="5" t="s">
        <v>18</v>
      </c>
      <c r="I1716" s="7" t="s">
        <v>5982</v>
      </c>
    </row>
    <row r="1717">
      <c r="A1717" s="5" t="s">
        <v>6260</v>
      </c>
      <c r="B1717" s="5" t="s">
        <v>4749</v>
      </c>
      <c r="D1717" s="5" t="s">
        <v>2839</v>
      </c>
      <c r="E1717" s="5" t="s">
        <v>1692</v>
      </c>
      <c r="F1717" s="5" t="s">
        <v>6261</v>
      </c>
      <c r="G1717" s="5" t="s">
        <v>954</v>
      </c>
      <c r="H1717" s="5" t="s">
        <v>18</v>
      </c>
      <c r="I1717" s="7" t="s">
        <v>6259</v>
      </c>
    </row>
    <row r="1718">
      <c r="A1718" s="5" t="s">
        <v>6326</v>
      </c>
      <c r="B1718" s="5" t="s">
        <v>6327</v>
      </c>
      <c r="D1718" s="5" t="s">
        <v>2839</v>
      </c>
      <c r="E1718" s="5" t="s">
        <v>2035</v>
      </c>
      <c r="F1718" s="5" t="s">
        <v>112</v>
      </c>
      <c r="G1718" s="5" t="s">
        <v>38</v>
      </c>
      <c r="H1718" s="5" t="s">
        <v>18</v>
      </c>
      <c r="I1718" s="7" t="s">
        <v>6325</v>
      </c>
    </row>
    <row r="1719">
      <c r="A1719" s="5" t="s">
        <v>2861</v>
      </c>
      <c r="B1719" s="5" t="s">
        <v>2862</v>
      </c>
      <c r="D1719" s="5" t="s">
        <v>2839</v>
      </c>
      <c r="E1719" s="5" t="s">
        <v>488</v>
      </c>
      <c r="F1719" s="5" t="s">
        <v>112</v>
      </c>
      <c r="G1719" s="5" t="s">
        <v>38</v>
      </c>
      <c r="H1719" s="5" t="s">
        <v>18</v>
      </c>
      <c r="I1719" s="7" t="s">
        <v>10879</v>
      </c>
    </row>
    <row r="1720">
      <c r="A1720" s="5" t="s">
        <v>2864</v>
      </c>
      <c r="B1720" s="5" t="s">
        <v>2865</v>
      </c>
      <c r="D1720" s="5" t="s">
        <v>2839</v>
      </c>
      <c r="E1720" s="5" t="s">
        <v>2035</v>
      </c>
      <c r="F1720" s="5" t="s">
        <v>112</v>
      </c>
      <c r="G1720" s="5" t="s">
        <v>38</v>
      </c>
      <c r="H1720" s="5" t="s">
        <v>18</v>
      </c>
      <c r="I1720" s="7" t="s">
        <v>10880</v>
      </c>
    </row>
    <row r="1721">
      <c r="A1721" s="5" t="s">
        <v>6400</v>
      </c>
      <c r="B1721" s="5" t="s">
        <v>6401</v>
      </c>
      <c r="D1721" s="5" t="s">
        <v>2839</v>
      </c>
      <c r="E1721" s="5" t="s">
        <v>574</v>
      </c>
      <c r="F1721" s="5" t="s">
        <v>2248</v>
      </c>
      <c r="G1721" s="5" t="s">
        <v>38</v>
      </c>
      <c r="H1721" s="5" t="s">
        <v>18</v>
      </c>
      <c r="I1721" s="7" t="s">
        <v>6399</v>
      </c>
    </row>
    <row r="1722">
      <c r="A1722" s="5" t="s">
        <v>7209</v>
      </c>
      <c r="B1722" s="5" t="s">
        <v>7210</v>
      </c>
      <c r="D1722" s="5" t="s">
        <v>2839</v>
      </c>
      <c r="E1722" s="5" t="s">
        <v>5524</v>
      </c>
      <c r="F1722" s="5" t="s">
        <v>122</v>
      </c>
      <c r="G1722" s="5" t="s">
        <v>44</v>
      </c>
      <c r="H1722" s="5" t="s">
        <v>18</v>
      </c>
      <c r="I1722" s="7" t="s">
        <v>7208</v>
      </c>
    </row>
    <row r="1723">
      <c r="A1723" s="5" t="s">
        <v>2867</v>
      </c>
      <c r="B1723" s="5" t="s">
        <v>371</v>
      </c>
      <c r="D1723" s="5" t="s">
        <v>2839</v>
      </c>
      <c r="E1723" s="5" t="s">
        <v>2868</v>
      </c>
      <c r="F1723" s="5" t="s">
        <v>122</v>
      </c>
      <c r="G1723" s="5" t="s">
        <v>44</v>
      </c>
      <c r="H1723" s="5" t="s">
        <v>18</v>
      </c>
      <c r="I1723" s="7" t="s">
        <v>7211</v>
      </c>
    </row>
    <row r="1724">
      <c r="A1724" s="5" t="s">
        <v>2870</v>
      </c>
      <c r="B1724" s="5" t="s">
        <v>2871</v>
      </c>
      <c r="D1724" s="5" t="s">
        <v>2839</v>
      </c>
      <c r="E1724" s="5" t="s">
        <v>554</v>
      </c>
      <c r="F1724" s="5" t="s">
        <v>2872</v>
      </c>
      <c r="G1724" s="5" t="s">
        <v>133</v>
      </c>
      <c r="H1724" s="5" t="s">
        <v>18</v>
      </c>
      <c r="I1724" s="7" t="s">
        <v>10881</v>
      </c>
    </row>
    <row r="1725">
      <c r="A1725" s="5" t="s">
        <v>7486</v>
      </c>
      <c r="B1725" s="5" t="s">
        <v>7487</v>
      </c>
      <c r="D1725" s="5" t="s">
        <v>2839</v>
      </c>
      <c r="E1725" s="5" t="s">
        <v>697</v>
      </c>
      <c r="F1725" s="5" t="s">
        <v>218</v>
      </c>
      <c r="G1725" s="5" t="s">
        <v>65</v>
      </c>
      <c r="H1725" s="5" t="s">
        <v>18</v>
      </c>
      <c r="I1725" s="7" t="s">
        <v>7485</v>
      </c>
    </row>
    <row r="1726">
      <c r="A1726" s="5" t="s">
        <v>7512</v>
      </c>
      <c r="B1726" s="5" t="s">
        <v>2871</v>
      </c>
      <c r="D1726" s="5" t="s">
        <v>2839</v>
      </c>
      <c r="E1726" s="5" t="s">
        <v>579</v>
      </c>
      <c r="F1726" s="5" t="s">
        <v>953</v>
      </c>
      <c r="G1726" s="5" t="s">
        <v>954</v>
      </c>
      <c r="H1726" s="5" t="s">
        <v>18</v>
      </c>
      <c r="I1726" s="7" t="s">
        <v>10882</v>
      </c>
    </row>
    <row r="1727">
      <c r="A1727" s="5" t="s">
        <v>7752</v>
      </c>
      <c r="B1727" s="5" t="s">
        <v>4742</v>
      </c>
      <c r="D1727" s="5" t="s">
        <v>2839</v>
      </c>
      <c r="E1727" s="5" t="s">
        <v>399</v>
      </c>
      <c r="F1727" s="5" t="s">
        <v>137</v>
      </c>
      <c r="G1727" s="5" t="s">
        <v>137</v>
      </c>
      <c r="H1727" s="5" t="s">
        <v>18</v>
      </c>
      <c r="I1727" s="7" t="s">
        <v>10883</v>
      </c>
    </row>
    <row r="1728">
      <c r="A1728" s="5" t="s">
        <v>7901</v>
      </c>
      <c r="B1728" s="5" t="s">
        <v>7902</v>
      </c>
      <c r="D1728" s="5" t="s">
        <v>2839</v>
      </c>
      <c r="E1728" s="5" t="s">
        <v>376</v>
      </c>
      <c r="F1728" s="5" t="s">
        <v>137</v>
      </c>
      <c r="G1728" s="5" t="s">
        <v>137</v>
      </c>
      <c r="H1728" s="5" t="s">
        <v>18</v>
      </c>
      <c r="I1728" s="7" t="s">
        <v>7900</v>
      </c>
    </row>
    <row r="1729">
      <c r="A1729" s="5" t="s">
        <v>2878</v>
      </c>
      <c r="B1729" s="5" t="s">
        <v>2879</v>
      </c>
      <c r="D1729" s="5" t="s">
        <v>2839</v>
      </c>
      <c r="E1729" s="5" t="s">
        <v>2288</v>
      </c>
      <c r="F1729" s="5" t="s">
        <v>137</v>
      </c>
      <c r="G1729" s="5" t="s">
        <v>137</v>
      </c>
      <c r="H1729" s="5" t="s">
        <v>18</v>
      </c>
      <c r="I1729" s="7" t="s">
        <v>10884</v>
      </c>
    </row>
    <row r="1730">
      <c r="A1730" s="5" t="s">
        <v>7983</v>
      </c>
      <c r="B1730" s="5" t="s">
        <v>2911</v>
      </c>
      <c r="D1730" s="5" t="s">
        <v>2839</v>
      </c>
      <c r="F1730" s="5" t="s">
        <v>137</v>
      </c>
      <c r="G1730" s="5" t="s">
        <v>137</v>
      </c>
      <c r="H1730" s="5" t="s">
        <v>18</v>
      </c>
      <c r="I1730" s="7" t="s">
        <v>10885</v>
      </c>
    </row>
    <row r="1731">
      <c r="A1731" s="5" t="s">
        <v>7985</v>
      </c>
      <c r="B1731" s="5" t="s">
        <v>7986</v>
      </c>
      <c r="D1731" s="5" t="s">
        <v>2839</v>
      </c>
      <c r="E1731" s="5" t="s">
        <v>2322</v>
      </c>
      <c r="F1731" s="5" t="s">
        <v>137</v>
      </c>
      <c r="G1731" s="5" t="s">
        <v>137</v>
      </c>
      <c r="H1731" s="5" t="s">
        <v>18</v>
      </c>
      <c r="I1731" s="7" t="s">
        <v>7984</v>
      </c>
    </row>
    <row r="1732">
      <c r="A1732" s="5" t="s">
        <v>2881</v>
      </c>
      <c r="B1732" s="5" t="s">
        <v>2882</v>
      </c>
      <c r="D1732" s="5" t="s">
        <v>2839</v>
      </c>
      <c r="E1732" s="5" t="s">
        <v>22</v>
      </c>
      <c r="F1732" s="5" t="s">
        <v>2491</v>
      </c>
      <c r="G1732" s="5" t="s">
        <v>44</v>
      </c>
      <c r="H1732" s="5" t="s">
        <v>18</v>
      </c>
      <c r="I1732" s="7" t="s">
        <v>10886</v>
      </c>
    </row>
    <row r="1733">
      <c r="A1733" s="5" t="s">
        <v>8325</v>
      </c>
      <c r="B1733" s="5" t="s">
        <v>4934</v>
      </c>
      <c r="D1733" s="5" t="s">
        <v>2839</v>
      </c>
      <c r="E1733" s="5" t="s">
        <v>512</v>
      </c>
      <c r="F1733" s="5" t="s">
        <v>153</v>
      </c>
      <c r="G1733" s="5" t="s">
        <v>154</v>
      </c>
      <c r="H1733" s="5" t="s">
        <v>18</v>
      </c>
      <c r="I1733" s="7" t="s">
        <v>8324</v>
      </c>
    </row>
    <row r="1734">
      <c r="A1734" s="5" t="s">
        <v>8340</v>
      </c>
      <c r="B1734" s="5" t="s">
        <v>4749</v>
      </c>
      <c r="D1734" s="5" t="s">
        <v>2839</v>
      </c>
      <c r="E1734" s="5" t="s">
        <v>125</v>
      </c>
      <c r="F1734" s="5" t="s">
        <v>153</v>
      </c>
      <c r="G1734" s="5" t="s">
        <v>154</v>
      </c>
      <c r="H1734" s="5" t="s">
        <v>18</v>
      </c>
      <c r="I1734" s="7" t="s">
        <v>8339</v>
      </c>
    </row>
    <row r="1735">
      <c r="A1735" s="5" t="s">
        <v>2886</v>
      </c>
      <c r="B1735" s="5" t="s">
        <v>1428</v>
      </c>
      <c r="D1735" s="5" t="s">
        <v>2839</v>
      </c>
      <c r="E1735" s="5" t="s">
        <v>2322</v>
      </c>
      <c r="F1735" s="5" t="s">
        <v>801</v>
      </c>
      <c r="G1735" s="5" t="s">
        <v>50</v>
      </c>
      <c r="H1735" s="5" t="s">
        <v>18</v>
      </c>
      <c r="I1735" s="7" t="s">
        <v>8449</v>
      </c>
    </row>
    <row r="1736">
      <c r="A1736" s="5" t="s">
        <v>8558</v>
      </c>
      <c r="B1736" s="5" t="s">
        <v>4934</v>
      </c>
      <c r="D1736" s="5" t="s">
        <v>2839</v>
      </c>
      <c r="E1736" s="5" t="s">
        <v>8559</v>
      </c>
      <c r="F1736" s="5" t="s">
        <v>8560</v>
      </c>
      <c r="G1736" s="5" t="s">
        <v>8430</v>
      </c>
      <c r="H1736" s="5" t="s">
        <v>18</v>
      </c>
      <c r="I1736" s="7" t="s">
        <v>10887</v>
      </c>
    </row>
    <row r="1737">
      <c r="A1737" s="5" t="s">
        <v>8596</v>
      </c>
      <c r="B1737" s="5" t="s">
        <v>8597</v>
      </c>
      <c r="D1737" s="5" t="s">
        <v>2839</v>
      </c>
      <c r="E1737" s="5" t="s">
        <v>8598</v>
      </c>
      <c r="F1737" s="5" t="s">
        <v>1035</v>
      </c>
      <c r="G1737" s="5" t="s">
        <v>38</v>
      </c>
      <c r="H1737" s="5" t="s">
        <v>18</v>
      </c>
      <c r="I1737" s="7" t="s">
        <v>8595</v>
      </c>
    </row>
    <row r="1738">
      <c r="A1738" s="5" t="s">
        <v>8614</v>
      </c>
      <c r="B1738" s="5" t="s">
        <v>8615</v>
      </c>
      <c r="D1738" s="5" t="s">
        <v>2839</v>
      </c>
      <c r="E1738" s="5" t="s">
        <v>165</v>
      </c>
      <c r="F1738" s="5" t="s">
        <v>166</v>
      </c>
      <c r="G1738" s="5" t="s">
        <v>44</v>
      </c>
      <c r="H1738" s="5" t="s">
        <v>18</v>
      </c>
      <c r="I1738" s="7" t="s">
        <v>8613</v>
      </c>
    </row>
    <row r="1739">
      <c r="A1739" s="5" t="s">
        <v>8642</v>
      </c>
      <c r="B1739" s="5" t="s">
        <v>1896</v>
      </c>
      <c r="D1739" s="5" t="s">
        <v>2839</v>
      </c>
      <c r="E1739" s="5" t="s">
        <v>8643</v>
      </c>
      <c r="F1739" s="5" t="s">
        <v>166</v>
      </c>
      <c r="G1739" s="5" t="s">
        <v>44</v>
      </c>
      <c r="H1739" s="5" t="s">
        <v>18</v>
      </c>
      <c r="I1739" s="7" t="s">
        <v>10888</v>
      </c>
    </row>
    <row r="1740">
      <c r="A1740" s="5" t="s">
        <v>2889</v>
      </c>
      <c r="B1740" s="5" t="s">
        <v>371</v>
      </c>
      <c r="D1740" s="5" t="s">
        <v>2839</v>
      </c>
      <c r="E1740" s="5" t="s">
        <v>2890</v>
      </c>
      <c r="F1740" s="5" t="s">
        <v>166</v>
      </c>
      <c r="G1740" s="5" t="s">
        <v>44</v>
      </c>
      <c r="H1740" s="5" t="s">
        <v>18</v>
      </c>
      <c r="I1740" s="7" t="s">
        <v>8662</v>
      </c>
    </row>
    <row r="1741">
      <c r="A1741" s="5" t="s">
        <v>8671</v>
      </c>
      <c r="B1741" s="5" t="s">
        <v>8672</v>
      </c>
      <c r="D1741" s="5" t="s">
        <v>2839</v>
      </c>
      <c r="E1741" s="5" t="s">
        <v>228</v>
      </c>
      <c r="F1741" s="5" t="s">
        <v>166</v>
      </c>
      <c r="G1741" s="5" t="s">
        <v>44</v>
      </c>
      <c r="H1741" s="5" t="s">
        <v>18</v>
      </c>
      <c r="I1741" s="7" t="s">
        <v>8670</v>
      </c>
    </row>
    <row r="1742">
      <c r="A1742" s="5" t="s">
        <v>8687</v>
      </c>
      <c r="B1742" s="5" t="s">
        <v>4749</v>
      </c>
      <c r="D1742" s="5" t="s">
        <v>2839</v>
      </c>
      <c r="F1742" s="5" t="s">
        <v>8688</v>
      </c>
      <c r="G1742" s="5" t="s">
        <v>781</v>
      </c>
      <c r="H1742" s="5" t="s">
        <v>18</v>
      </c>
      <c r="I1742" s="7" t="s">
        <v>8686</v>
      </c>
    </row>
    <row r="1743">
      <c r="A1743" s="5" t="s">
        <v>8802</v>
      </c>
      <c r="B1743" s="5" t="s">
        <v>2911</v>
      </c>
      <c r="D1743" s="5" t="s">
        <v>2839</v>
      </c>
      <c r="E1743" s="5" t="s">
        <v>8803</v>
      </c>
      <c r="F1743" s="5" t="s">
        <v>669</v>
      </c>
      <c r="G1743" s="5" t="s">
        <v>17</v>
      </c>
      <c r="H1743" s="5" t="s">
        <v>18</v>
      </c>
      <c r="I1743" s="7" t="s">
        <v>10889</v>
      </c>
    </row>
    <row r="1744">
      <c r="A1744" s="5" t="s">
        <v>8815</v>
      </c>
      <c r="B1744" s="5" t="s">
        <v>8675</v>
      </c>
      <c r="D1744" s="5" t="s">
        <v>2839</v>
      </c>
      <c r="E1744" s="5" t="s">
        <v>237</v>
      </c>
      <c r="F1744" s="5" t="s">
        <v>8816</v>
      </c>
      <c r="G1744" s="5" t="s">
        <v>378</v>
      </c>
      <c r="H1744" s="5" t="s">
        <v>18</v>
      </c>
      <c r="I1744" s="7" t="s">
        <v>8814</v>
      </c>
    </row>
    <row r="1745">
      <c r="A1745" s="5" t="s">
        <v>8867</v>
      </c>
      <c r="B1745" s="5" t="s">
        <v>2911</v>
      </c>
      <c r="D1745" s="5" t="s">
        <v>2839</v>
      </c>
      <c r="E1745" s="5" t="s">
        <v>2035</v>
      </c>
      <c r="F1745" s="5" t="s">
        <v>2178</v>
      </c>
      <c r="G1745" s="5" t="s">
        <v>1305</v>
      </c>
      <c r="H1745" s="5" t="s">
        <v>18</v>
      </c>
      <c r="I1745" s="7" t="s">
        <v>10890</v>
      </c>
    </row>
    <row r="1746">
      <c r="A1746" s="5" t="s">
        <v>9110</v>
      </c>
      <c r="B1746" s="5" t="s">
        <v>9111</v>
      </c>
      <c r="D1746" s="5" t="s">
        <v>2839</v>
      </c>
      <c r="E1746" s="5" t="s">
        <v>712</v>
      </c>
      <c r="F1746" s="5" t="s">
        <v>1131</v>
      </c>
      <c r="G1746" s="5" t="s">
        <v>203</v>
      </c>
      <c r="H1746" s="5" t="s">
        <v>18</v>
      </c>
      <c r="I1746" s="7" t="s">
        <v>10891</v>
      </c>
    </row>
    <row r="1747">
      <c r="A1747" s="5" t="s">
        <v>2892</v>
      </c>
      <c r="B1747" s="5" t="s">
        <v>2155</v>
      </c>
      <c r="D1747" s="5" t="s">
        <v>2839</v>
      </c>
      <c r="E1747" s="5" t="s">
        <v>848</v>
      </c>
      <c r="F1747" s="5" t="s">
        <v>102</v>
      </c>
      <c r="G1747" s="5" t="s">
        <v>172</v>
      </c>
      <c r="H1747" s="5" t="s">
        <v>18</v>
      </c>
      <c r="I1747" s="7" t="s">
        <v>10892</v>
      </c>
    </row>
    <row r="1748">
      <c r="A1748" s="5" t="s">
        <v>2894</v>
      </c>
      <c r="B1748" s="5" t="s">
        <v>2895</v>
      </c>
      <c r="D1748" s="5" t="s">
        <v>2839</v>
      </c>
      <c r="E1748" s="5" t="s">
        <v>188</v>
      </c>
      <c r="F1748" s="5" t="s">
        <v>102</v>
      </c>
      <c r="G1748" s="5" t="s">
        <v>172</v>
      </c>
      <c r="H1748" s="5" t="s">
        <v>18</v>
      </c>
      <c r="I1748" s="7" t="s">
        <v>10046</v>
      </c>
    </row>
    <row r="1749">
      <c r="A1749" s="5" t="s">
        <v>2838</v>
      </c>
      <c r="B1749" s="5" t="s">
        <v>2155</v>
      </c>
      <c r="C1749" s="5" t="s">
        <v>13</v>
      </c>
      <c r="D1749" s="5" t="s">
        <v>2839</v>
      </c>
      <c r="E1749" s="5" t="s">
        <v>2840</v>
      </c>
      <c r="F1749" s="5" t="s">
        <v>1638</v>
      </c>
      <c r="G1749" s="5" t="s">
        <v>1639</v>
      </c>
      <c r="H1749" s="5" t="s">
        <v>18</v>
      </c>
      <c r="I1749" s="7" t="s">
        <v>10893</v>
      </c>
    </row>
    <row r="1750">
      <c r="A1750" s="5" t="s">
        <v>2842</v>
      </c>
      <c r="B1750" s="5" t="s">
        <v>371</v>
      </c>
      <c r="C1750" s="5" t="s">
        <v>13</v>
      </c>
      <c r="D1750" s="5" t="s">
        <v>2839</v>
      </c>
      <c r="E1750" s="5" t="s">
        <v>651</v>
      </c>
      <c r="F1750" s="5" t="s">
        <v>377</v>
      </c>
      <c r="G1750" s="5" t="s">
        <v>378</v>
      </c>
      <c r="H1750" s="5" t="s">
        <v>18</v>
      </c>
      <c r="I1750" s="7" t="s">
        <v>2843</v>
      </c>
    </row>
    <row r="1751">
      <c r="A1751" s="5" t="s">
        <v>2844</v>
      </c>
      <c r="B1751" s="5" t="s">
        <v>25</v>
      </c>
      <c r="C1751" s="5" t="s">
        <v>13</v>
      </c>
      <c r="D1751" s="5" t="s">
        <v>2839</v>
      </c>
      <c r="E1751" s="5" t="s">
        <v>2845</v>
      </c>
      <c r="F1751" s="5" t="s">
        <v>49</v>
      </c>
      <c r="G1751" s="5" t="s">
        <v>50</v>
      </c>
      <c r="H1751" s="5" t="s">
        <v>18</v>
      </c>
      <c r="I1751" s="7" t="s">
        <v>2846</v>
      </c>
    </row>
    <row r="1752">
      <c r="A1752" s="5" t="s">
        <v>2847</v>
      </c>
      <c r="B1752" s="5" t="s">
        <v>2848</v>
      </c>
      <c r="C1752" s="5" t="s">
        <v>13</v>
      </c>
      <c r="D1752" s="5" t="s">
        <v>2839</v>
      </c>
      <c r="E1752" s="5" t="s">
        <v>697</v>
      </c>
      <c r="F1752" s="5" t="s">
        <v>64</v>
      </c>
      <c r="G1752" s="5" t="s">
        <v>65</v>
      </c>
      <c r="H1752" s="5" t="s">
        <v>18</v>
      </c>
      <c r="I1752" s="7" t="s">
        <v>10894</v>
      </c>
    </row>
    <row r="1753">
      <c r="A1753" s="5" t="s">
        <v>2850</v>
      </c>
      <c r="B1753" s="5" t="s">
        <v>2155</v>
      </c>
      <c r="C1753" s="5" t="s">
        <v>13</v>
      </c>
      <c r="D1753" s="5" t="s">
        <v>2839</v>
      </c>
      <c r="E1753" s="5" t="s">
        <v>2851</v>
      </c>
      <c r="F1753" s="5" t="s">
        <v>2852</v>
      </c>
      <c r="G1753" s="5" t="s">
        <v>17</v>
      </c>
      <c r="H1753" s="5" t="s">
        <v>18</v>
      </c>
      <c r="I1753" s="7" t="s">
        <v>10895</v>
      </c>
    </row>
    <row r="1754">
      <c r="A1754" s="5" t="s">
        <v>2854</v>
      </c>
      <c r="B1754" s="5" t="s">
        <v>25</v>
      </c>
      <c r="C1754" s="5" t="s">
        <v>13</v>
      </c>
      <c r="D1754" s="5" t="s">
        <v>2839</v>
      </c>
      <c r="E1754" s="5" t="s">
        <v>421</v>
      </c>
      <c r="F1754" s="5" t="s">
        <v>80</v>
      </c>
      <c r="G1754" s="5" t="s">
        <v>38</v>
      </c>
      <c r="H1754" s="5" t="s">
        <v>18</v>
      </c>
      <c r="I1754" s="7" t="s">
        <v>2855</v>
      </c>
    </row>
    <row r="1755">
      <c r="A1755" s="5" t="s">
        <v>2856</v>
      </c>
      <c r="B1755" s="5" t="s">
        <v>2857</v>
      </c>
      <c r="C1755" s="5" t="s">
        <v>13</v>
      </c>
      <c r="D1755" s="5" t="s">
        <v>2839</v>
      </c>
      <c r="E1755" s="5" t="s">
        <v>144</v>
      </c>
      <c r="F1755" s="5" t="s">
        <v>85</v>
      </c>
      <c r="G1755" s="5" t="s">
        <v>86</v>
      </c>
      <c r="H1755" s="5" t="s">
        <v>18</v>
      </c>
      <c r="I1755" s="7" t="s">
        <v>10896</v>
      </c>
    </row>
    <row r="1756">
      <c r="A1756" s="5" t="s">
        <v>2859</v>
      </c>
      <c r="B1756" s="5" t="s">
        <v>371</v>
      </c>
      <c r="C1756" s="5" t="s">
        <v>13</v>
      </c>
      <c r="D1756" s="5" t="s">
        <v>2839</v>
      </c>
      <c r="E1756" s="5" t="s">
        <v>1623</v>
      </c>
      <c r="F1756" s="5" t="s">
        <v>90</v>
      </c>
      <c r="G1756" s="5" t="s">
        <v>91</v>
      </c>
      <c r="H1756" s="5" t="s">
        <v>18</v>
      </c>
      <c r="I1756" s="7" t="s">
        <v>2860</v>
      </c>
    </row>
    <row r="1757">
      <c r="A1757" s="5" t="s">
        <v>2861</v>
      </c>
      <c r="B1757" s="5" t="s">
        <v>2862</v>
      </c>
      <c r="C1757" s="5" t="s">
        <v>13</v>
      </c>
      <c r="D1757" s="5" t="s">
        <v>2839</v>
      </c>
      <c r="E1757" s="5" t="s">
        <v>488</v>
      </c>
      <c r="F1757" s="5" t="s">
        <v>112</v>
      </c>
      <c r="G1757" s="5" t="s">
        <v>38</v>
      </c>
      <c r="H1757" s="5" t="s">
        <v>18</v>
      </c>
      <c r="I1757" s="7" t="s">
        <v>10897</v>
      </c>
    </row>
    <row r="1758">
      <c r="A1758" s="5" t="s">
        <v>2864</v>
      </c>
      <c r="B1758" s="5" t="s">
        <v>2865</v>
      </c>
      <c r="C1758" s="5" t="s">
        <v>13</v>
      </c>
      <c r="D1758" s="5" t="s">
        <v>2839</v>
      </c>
      <c r="E1758" s="5" t="s">
        <v>2035</v>
      </c>
      <c r="F1758" s="5" t="s">
        <v>112</v>
      </c>
      <c r="G1758" s="5" t="s">
        <v>38</v>
      </c>
      <c r="H1758" s="5" t="s">
        <v>18</v>
      </c>
      <c r="I1758" s="7" t="s">
        <v>10898</v>
      </c>
    </row>
    <row r="1759">
      <c r="A1759" s="5" t="s">
        <v>2867</v>
      </c>
      <c r="B1759" s="5" t="s">
        <v>371</v>
      </c>
      <c r="C1759" s="5" t="s">
        <v>13</v>
      </c>
      <c r="D1759" s="5" t="s">
        <v>2839</v>
      </c>
      <c r="E1759" s="5" t="s">
        <v>2868</v>
      </c>
      <c r="F1759" s="5" t="s">
        <v>122</v>
      </c>
      <c r="G1759" s="5" t="s">
        <v>44</v>
      </c>
      <c r="H1759" s="5" t="s">
        <v>18</v>
      </c>
      <c r="I1759" s="7" t="s">
        <v>2869</v>
      </c>
    </row>
    <row r="1760">
      <c r="A1760" s="5" t="s">
        <v>2870</v>
      </c>
      <c r="B1760" s="5" t="s">
        <v>2871</v>
      </c>
      <c r="C1760" s="5" t="s">
        <v>13</v>
      </c>
      <c r="D1760" s="5" t="s">
        <v>2839</v>
      </c>
      <c r="E1760" s="5" t="s">
        <v>554</v>
      </c>
      <c r="F1760" s="5" t="s">
        <v>2872</v>
      </c>
      <c r="G1760" s="5" t="s">
        <v>133</v>
      </c>
      <c r="H1760" s="5" t="s">
        <v>18</v>
      </c>
      <c r="I1760" s="7" t="s">
        <v>10899</v>
      </c>
    </row>
    <row r="1761">
      <c r="A1761" s="5" t="s">
        <v>2874</v>
      </c>
      <c r="B1761" s="5" t="s">
        <v>25</v>
      </c>
      <c r="C1761" s="5" t="s">
        <v>13</v>
      </c>
      <c r="D1761" s="5" t="s">
        <v>2839</v>
      </c>
      <c r="E1761" s="5" t="s">
        <v>125</v>
      </c>
      <c r="F1761" s="5" t="s">
        <v>953</v>
      </c>
      <c r="G1761" s="5" t="s">
        <v>954</v>
      </c>
      <c r="H1761" s="5" t="s">
        <v>18</v>
      </c>
      <c r="I1761" s="7" t="s">
        <v>2875</v>
      </c>
    </row>
    <row r="1762">
      <c r="A1762" s="5" t="s">
        <v>2876</v>
      </c>
      <c r="B1762" s="5" t="s">
        <v>25</v>
      </c>
      <c r="C1762" s="5" t="s">
        <v>13</v>
      </c>
      <c r="D1762" s="5" t="s">
        <v>2839</v>
      </c>
      <c r="E1762" s="5" t="s">
        <v>425</v>
      </c>
      <c r="F1762" s="5" t="s">
        <v>132</v>
      </c>
      <c r="G1762" s="5" t="s">
        <v>133</v>
      </c>
      <c r="H1762" s="5" t="s">
        <v>18</v>
      </c>
      <c r="I1762" s="7" t="s">
        <v>2877</v>
      </c>
    </row>
    <row r="1763">
      <c r="A1763" s="5" t="s">
        <v>2878</v>
      </c>
      <c r="B1763" s="5" t="s">
        <v>2879</v>
      </c>
      <c r="C1763" s="5" t="s">
        <v>13</v>
      </c>
      <c r="D1763" s="5" t="s">
        <v>2839</v>
      </c>
      <c r="E1763" s="5" t="s">
        <v>2288</v>
      </c>
      <c r="F1763" s="5" t="s">
        <v>137</v>
      </c>
      <c r="G1763" s="5" t="s">
        <v>137</v>
      </c>
      <c r="H1763" s="5" t="s">
        <v>18</v>
      </c>
      <c r="I1763" s="7" t="s">
        <v>10900</v>
      </c>
    </row>
    <row r="1764">
      <c r="A1764" s="5" t="s">
        <v>2881</v>
      </c>
      <c r="B1764" s="5" t="s">
        <v>2882</v>
      </c>
      <c r="C1764" s="5" t="s">
        <v>13</v>
      </c>
      <c r="D1764" s="5" t="s">
        <v>2839</v>
      </c>
      <c r="E1764" s="5" t="s">
        <v>22</v>
      </c>
      <c r="F1764" s="5" t="s">
        <v>2491</v>
      </c>
      <c r="G1764" s="5" t="s">
        <v>44</v>
      </c>
      <c r="H1764" s="5" t="s">
        <v>18</v>
      </c>
      <c r="I1764" s="7" t="s">
        <v>10901</v>
      </c>
    </row>
    <row r="1765">
      <c r="A1765" s="5" t="s">
        <v>2884</v>
      </c>
      <c r="B1765" s="5" t="s">
        <v>625</v>
      </c>
      <c r="C1765" s="5" t="s">
        <v>13</v>
      </c>
      <c r="D1765" s="5" t="s">
        <v>2839</v>
      </c>
      <c r="E1765" s="5" t="s">
        <v>651</v>
      </c>
      <c r="F1765" s="5" t="s">
        <v>2339</v>
      </c>
      <c r="G1765" s="5" t="s">
        <v>781</v>
      </c>
      <c r="H1765" s="5" t="s">
        <v>18</v>
      </c>
      <c r="I1765" s="7" t="s">
        <v>2885</v>
      </c>
    </row>
    <row r="1766">
      <c r="A1766" s="5" t="s">
        <v>2886</v>
      </c>
      <c r="B1766" s="5" t="s">
        <v>2887</v>
      </c>
      <c r="C1766" s="5" t="s">
        <v>13</v>
      </c>
      <c r="D1766" s="5" t="s">
        <v>2839</v>
      </c>
      <c r="E1766" s="5" t="s">
        <v>2322</v>
      </c>
      <c r="F1766" s="5" t="s">
        <v>801</v>
      </c>
      <c r="G1766" s="5" t="s">
        <v>50</v>
      </c>
      <c r="H1766" s="5" t="s">
        <v>18</v>
      </c>
      <c r="I1766" s="7" t="s">
        <v>2888</v>
      </c>
    </row>
    <row r="1767">
      <c r="A1767" s="5" t="s">
        <v>2889</v>
      </c>
      <c r="B1767" s="5" t="s">
        <v>371</v>
      </c>
      <c r="C1767" s="5" t="s">
        <v>13</v>
      </c>
      <c r="D1767" s="5" t="s">
        <v>2839</v>
      </c>
      <c r="E1767" s="5" t="s">
        <v>2890</v>
      </c>
      <c r="F1767" s="5" t="s">
        <v>166</v>
      </c>
      <c r="G1767" s="5" t="s">
        <v>44</v>
      </c>
      <c r="H1767" s="5" t="s">
        <v>18</v>
      </c>
      <c r="I1767" s="7" t="s">
        <v>2891</v>
      </c>
    </row>
    <row r="1768">
      <c r="A1768" s="5" t="s">
        <v>2892</v>
      </c>
      <c r="B1768" s="5" t="s">
        <v>2155</v>
      </c>
      <c r="C1768" s="5" t="s">
        <v>13</v>
      </c>
      <c r="D1768" s="5" t="s">
        <v>2839</v>
      </c>
      <c r="E1768" s="5" t="s">
        <v>848</v>
      </c>
      <c r="F1768" s="5" t="s">
        <v>102</v>
      </c>
      <c r="G1768" s="5" t="s">
        <v>172</v>
      </c>
      <c r="H1768" s="5" t="s">
        <v>18</v>
      </c>
      <c r="I1768" s="7" t="s">
        <v>10902</v>
      </c>
    </row>
    <row r="1769">
      <c r="A1769" s="5" t="s">
        <v>2894</v>
      </c>
      <c r="B1769" s="5" t="s">
        <v>2895</v>
      </c>
      <c r="C1769" s="5" t="s">
        <v>13</v>
      </c>
      <c r="D1769" s="5" t="s">
        <v>2839</v>
      </c>
      <c r="E1769" s="5" t="s">
        <v>188</v>
      </c>
      <c r="F1769" s="5" t="s">
        <v>102</v>
      </c>
      <c r="G1769" s="5" t="s">
        <v>172</v>
      </c>
      <c r="H1769" s="5" t="s">
        <v>18</v>
      </c>
      <c r="I1769" s="7" t="s">
        <v>2896</v>
      </c>
    </row>
    <row r="1770">
      <c r="A1770" s="5" t="s">
        <v>2897</v>
      </c>
      <c r="B1770" s="5" t="s">
        <v>371</v>
      </c>
      <c r="C1770" s="5" t="s">
        <v>13</v>
      </c>
      <c r="D1770" s="5" t="s">
        <v>2839</v>
      </c>
      <c r="E1770" s="5" t="s">
        <v>784</v>
      </c>
      <c r="F1770" s="5" t="s">
        <v>2898</v>
      </c>
      <c r="G1770" s="5" t="s">
        <v>91</v>
      </c>
      <c r="H1770" s="5" t="s">
        <v>18</v>
      </c>
      <c r="I1770" s="7" t="s">
        <v>2899</v>
      </c>
    </row>
    <row r="1771">
      <c r="A1771" s="5" t="s">
        <v>2900</v>
      </c>
      <c r="B1771" s="5" t="s">
        <v>2155</v>
      </c>
      <c r="C1771" s="5" t="s">
        <v>13</v>
      </c>
      <c r="D1771" s="5" t="s">
        <v>2839</v>
      </c>
      <c r="E1771" s="5" t="s">
        <v>2901</v>
      </c>
      <c r="F1771" s="5" t="s">
        <v>2100</v>
      </c>
      <c r="G1771" s="5" t="s">
        <v>264</v>
      </c>
      <c r="H1771" s="5" t="s">
        <v>18</v>
      </c>
      <c r="I1771" s="7" t="s">
        <v>10903</v>
      </c>
    </row>
    <row r="1772">
      <c r="A1772" s="5" t="s">
        <v>2903</v>
      </c>
      <c r="B1772" s="5" t="s">
        <v>371</v>
      </c>
      <c r="C1772" s="5" t="s">
        <v>13</v>
      </c>
      <c r="D1772" s="5" t="s">
        <v>2839</v>
      </c>
      <c r="E1772" s="5" t="s">
        <v>2901</v>
      </c>
      <c r="F1772" s="5" t="s">
        <v>876</v>
      </c>
      <c r="G1772" s="5" t="s">
        <v>184</v>
      </c>
      <c r="H1772" s="5" t="s">
        <v>18</v>
      </c>
      <c r="I1772" s="7" t="s">
        <v>2904</v>
      </c>
    </row>
    <row r="1773">
      <c r="A1773" s="5" t="s">
        <v>2905</v>
      </c>
      <c r="B1773" s="5" t="s">
        <v>2857</v>
      </c>
      <c r="C1773" s="5" t="s">
        <v>13</v>
      </c>
      <c r="D1773" s="5" t="s">
        <v>2839</v>
      </c>
      <c r="E1773" s="5" t="s">
        <v>217</v>
      </c>
      <c r="F1773" s="5" t="s">
        <v>2906</v>
      </c>
      <c r="G1773" s="5" t="s">
        <v>17</v>
      </c>
      <c r="H1773" s="5" t="s">
        <v>18</v>
      </c>
      <c r="I1773" s="7" t="s">
        <v>10904</v>
      </c>
    </row>
    <row r="1774">
      <c r="A1774" s="5" t="s">
        <v>2908</v>
      </c>
      <c r="B1774" s="5" t="s">
        <v>2155</v>
      </c>
      <c r="C1774" s="5" t="s">
        <v>13</v>
      </c>
      <c r="D1774" s="5" t="s">
        <v>2839</v>
      </c>
      <c r="E1774" s="5" t="s">
        <v>512</v>
      </c>
      <c r="F1774" s="5" t="s">
        <v>16</v>
      </c>
      <c r="G1774" s="5" t="s">
        <v>17</v>
      </c>
      <c r="H1774" s="5" t="s">
        <v>18</v>
      </c>
      <c r="I1774" s="7" t="s">
        <v>10905</v>
      </c>
    </row>
    <row r="1775">
      <c r="A1775" s="5" t="s">
        <v>2910</v>
      </c>
      <c r="B1775" s="5" t="s">
        <v>2911</v>
      </c>
      <c r="C1775" s="5" t="s">
        <v>13</v>
      </c>
      <c r="D1775" s="5" t="s">
        <v>2839</v>
      </c>
      <c r="E1775" s="5" t="s">
        <v>277</v>
      </c>
      <c r="F1775" s="5" t="s">
        <v>16</v>
      </c>
      <c r="G1775" s="5" t="s">
        <v>17</v>
      </c>
      <c r="H1775" s="5" t="s">
        <v>18</v>
      </c>
      <c r="I1775" s="7" t="s">
        <v>10906</v>
      </c>
    </row>
    <row r="1776">
      <c r="A1776" s="5" t="s">
        <v>2913</v>
      </c>
      <c r="B1776" s="5" t="s">
        <v>25</v>
      </c>
      <c r="C1776" s="5" t="s">
        <v>13</v>
      </c>
      <c r="D1776" s="5" t="s">
        <v>2839</v>
      </c>
      <c r="E1776" s="5" t="s">
        <v>661</v>
      </c>
      <c r="F1776" s="5" t="s">
        <v>49</v>
      </c>
      <c r="G1776" s="5" t="s">
        <v>50</v>
      </c>
      <c r="H1776" s="5" t="s">
        <v>18</v>
      </c>
      <c r="I1776" s="7" t="s">
        <v>2914</v>
      </c>
    </row>
    <row r="1777">
      <c r="A1777" s="5" t="s">
        <v>2915</v>
      </c>
      <c r="B1777" s="5" t="s">
        <v>371</v>
      </c>
      <c r="C1777" s="5" t="s">
        <v>13</v>
      </c>
      <c r="D1777" s="5" t="s">
        <v>2839</v>
      </c>
      <c r="E1777" s="5" t="s">
        <v>832</v>
      </c>
      <c r="F1777" s="5" t="s">
        <v>64</v>
      </c>
      <c r="G1777" s="5" t="s">
        <v>65</v>
      </c>
      <c r="H1777" s="5" t="s">
        <v>18</v>
      </c>
      <c r="I1777" s="7" t="s">
        <v>2916</v>
      </c>
    </row>
    <row r="1778">
      <c r="A1778" s="5" t="s">
        <v>2917</v>
      </c>
      <c r="B1778" s="5" t="s">
        <v>2918</v>
      </c>
      <c r="C1778" s="5" t="s">
        <v>13</v>
      </c>
      <c r="D1778" s="5" t="s">
        <v>2839</v>
      </c>
      <c r="E1778" s="5" t="s">
        <v>84</v>
      </c>
      <c r="F1778" s="5" t="s">
        <v>75</v>
      </c>
      <c r="G1778" s="5" t="s">
        <v>76</v>
      </c>
      <c r="H1778" s="5" t="s">
        <v>18</v>
      </c>
      <c r="I1778" s="7" t="s">
        <v>10907</v>
      </c>
    </row>
    <row r="1779">
      <c r="A1779" s="5" t="s">
        <v>2920</v>
      </c>
      <c r="B1779" s="5" t="s">
        <v>371</v>
      </c>
      <c r="C1779" s="5" t="s">
        <v>13</v>
      </c>
      <c r="D1779" s="5" t="s">
        <v>2839</v>
      </c>
      <c r="E1779" s="5" t="s">
        <v>1321</v>
      </c>
      <c r="F1779" s="5" t="s">
        <v>80</v>
      </c>
      <c r="G1779" s="5" t="s">
        <v>38</v>
      </c>
      <c r="H1779" s="5" t="s">
        <v>18</v>
      </c>
      <c r="I1779" s="7" t="s">
        <v>2921</v>
      </c>
    </row>
    <row r="1780">
      <c r="A1780" s="5" t="s">
        <v>2922</v>
      </c>
      <c r="B1780" s="5" t="s">
        <v>2923</v>
      </c>
      <c r="C1780" s="5" t="s">
        <v>13</v>
      </c>
      <c r="D1780" s="5" t="s">
        <v>2839</v>
      </c>
      <c r="E1780" s="5" t="s">
        <v>277</v>
      </c>
      <c r="F1780" s="5" t="s">
        <v>80</v>
      </c>
      <c r="G1780" s="5" t="s">
        <v>38</v>
      </c>
      <c r="H1780" s="5" t="s">
        <v>18</v>
      </c>
      <c r="I1780" s="7" t="s">
        <v>10908</v>
      </c>
    </row>
    <row r="1781">
      <c r="A1781" s="5" t="s">
        <v>2925</v>
      </c>
      <c r="B1781" s="5" t="s">
        <v>25</v>
      </c>
      <c r="C1781" s="5" t="s">
        <v>13</v>
      </c>
      <c r="D1781" s="5" t="s">
        <v>2839</v>
      </c>
      <c r="E1781" s="5" t="s">
        <v>1637</v>
      </c>
      <c r="F1781" s="5" t="s">
        <v>80</v>
      </c>
      <c r="G1781" s="5" t="s">
        <v>38</v>
      </c>
      <c r="H1781" s="5" t="s">
        <v>18</v>
      </c>
      <c r="I1781" s="7" t="s">
        <v>2926</v>
      </c>
    </row>
    <row r="1782">
      <c r="A1782" s="5" t="s">
        <v>2927</v>
      </c>
      <c r="B1782" s="5" t="s">
        <v>2911</v>
      </c>
      <c r="C1782" s="5" t="s">
        <v>13</v>
      </c>
      <c r="D1782" s="5" t="s">
        <v>2839</v>
      </c>
      <c r="E1782" s="5" t="s">
        <v>277</v>
      </c>
      <c r="F1782" s="5" t="s">
        <v>85</v>
      </c>
      <c r="G1782" s="5" t="s">
        <v>86</v>
      </c>
      <c r="H1782" s="5" t="s">
        <v>18</v>
      </c>
      <c r="I1782" s="7" t="s">
        <v>10909</v>
      </c>
    </row>
    <row r="1783">
      <c r="A1783" s="5" t="s">
        <v>2929</v>
      </c>
      <c r="B1783" s="5" t="s">
        <v>2930</v>
      </c>
      <c r="C1783" s="5" t="s">
        <v>13</v>
      </c>
      <c r="D1783" s="5" t="s">
        <v>2839</v>
      </c>
      <c r="E1783" s="5" t="s">
        <v>1098</v>
      </c>
      <c r="F1783" s="5" t="s">
        <v>90</v>
      </c>
      <c r="G1783" s="5" t="s">
        <v>91</v>
      </c>
      <c r="H1783" s="5" t="s">
        <v>18</v>
      </c>
      <c r="I1783" s="7" t="s">
        <v>10910</v>
      </c>
    </row>
    <row r="1784">
      <c r="A1784" s="5" t="s">
        <v>2932</v>
      </c>
      <c r="B1784" s="5" t="s">
        <v>625</v>
      </c>
      <c r="C1784" s="5" t="s">
        <v>13</v>
      </c>
      <c r="D1784" s="5" t="s">
        <v>2839</v>
      </c>
      <c r="E1784" s="5" t="s">
        <v>387</v>
      </c>
      <c r="F1784" s="5" t="s">
        <v>112</v>
      </c>
      <c r="G1784" s="5" t="s">
        <v>38</v>
      </c>
      <c r="H1784" s="5" t="s">
        <v>18</v>
      </c>
      <c r="I1784" s="7" t="s">
        <v>2933</v>
      </c>
    </row>
    <row r="1785">
      <c r="A1785" s="5" t="s">
        <v>2934</v>
      </c>
      <c r="B1785" s="5" t="s">
        <v>2935</v>
      </c>
      <c r="C1785" s="5" t="s">
        <v>13</v>
      </c>
      <c r="D1785" s="5" t="s">
        <v>2839</v>
      </c>
      <c r="E1785" s="5" t="s">
        <v>79</v>
      </c>
      <c r="F1785" s="5" t="s">
        <v>122</v>
      </c>
      <c r="G1785" s="5" t="s">
        <v>44</v>
      </c>
      <c r="H1785" s="5" t="s">
        <v>18</v>
      </c>
      <c r="I1785" s="7" t="s">
        <v>10911</v>
      </c>
    </row>
    <row r="1786">
      <c r="A1786" s="5" t="s">
        <v>2937</v>
      </c>
      <c r="B1786" s="5" t="s">
        <v>2938</v>
      </c>
      <c r="C1786" s="5" t="s">
        <v>13</v>
      </c>
      <c r="D1786" s="5" t="s">
        <v>2839</v>
      </c>
      <c r="E1786" s="5" t="s">
        <v>217</v>
      </c>
      <c r="F1786" s="5" t="s">
        <v>122</v>
      </c>
      <c r="G1786" s="5" t="s">
        <v>44</v>
      </c>
      <c r="H1786" s="5" t="s">
        <v>18</v>
      </c>
      <c r="I1786" s="7" t="s">
        <v>2939</v>
      </c>
    </row>
    <row r="1787">
      <c r="A1787" s="5" t="s">
        <v>2940</v>
      </c>
      <c r="B1787" s="5" t="s">
        <v>2941</v>
      </c>
      <c r="C1787" s="5" t="s">
        <v>13</v>
      </c>
      <c r="D1787" s="5" t="s">
        <v>2839</v>
      </c>
      <c r="E1787" s="5" t="s">
        <v>111</v>
      </c>
      <c r="F1787" s="5" t="s">
        <v>2942</v>
      </c>
      <c r="G1787" s="5" t="s">
        <v>154</v>
      </c>
      <c r="H1787" s="5" t="s">
        <v>18</v>
      </c>
      <c r="I1787" s="7" t="s">
        <v>10912</v>
      </c>
    </row>
    <row r="1788">
      <c r="A1788" s="5" t="s">
        <v>2944</v>
      </c>
      <c r="B1788" s="5" t="s">
        <v>2155</v>
      </c>
      <c r="C1788" s="5" t="s">
        <v>13</v>
      </c>
      <c r="D1788" s="5" t="s">
        <v>2839</v>
      </c>
      <c r="E1788" s="5" t="s">
        <v>579</v>
      </c>
      <c r="F1788" s="5" t="s">
        <v>137</v>
      </c>
      <c r="G1788" s="5" t="s">
        <v>137</v>
      </c>
      <c r="H1788" s="5" t="s">
        <v>18</v>
      </c>
      <c r="I1788" s="7" t="s">
        <v>10913</v>
      </c>
    </row>
    <row r="1789">
      <c r="A1789" s="5" t="s">
        <v>2946</v>
      </c>
      <c r="B1789" s="5" t="s">
        <v>371</v>
      </c>
      <c r="C1789" s="5" t="s">
        <v>13</v>
      </c>
      <c r="D1789" s="5" t="s">
        <v>2839</v>
      </c>
      <c r="E1789" s="5" t="s">
        <v>1321</v>
      </c>
      <c r="F1789" s="5" t="s">
        <v>137</v>
      </c>
      <c r="G1789" s="5" t="s">
        <v>137</v>
      </c>
      <c r="H1789" s="5" t="s">
        <v>18</v>
      </c>
      <c r="I1789" s="7" t="s">
        <v>2947</v>
      </c>
    </row>
    <row r="1790">
      <c r="A1790" s="5" t="s">
        <v>2948</v>
      </c>
      <c r="B1790" s="5" t="s">
        <v>2949</v>
      </c>
      <c r="C1790" s="5" t="s">
        <v>13</v>
      </c>
      <c r="D1790" s="5" t="s">
        <v>2839</v>
      </c>
      <c r="E1790" s="5" t="s">
        <v>233</v>
      </c>
      <c r="F1790" s="5" t="s">
        <v>2950</v>
      </c>
      <c r="G1790" s="5" t="s">
        <v>17</v>
      </c>
      <c r="H1790" s="5" t="s">
        <v>18</v>
      </c>
      <c r="I1790" s="7" t="s">
        <v>10914</v>
      </c>
    </row>
    <row r="1791">
      <c r="A1791" s="5" t="s">
        <v>2952</v>
      </c>
      <c r="B1791" s="5" t="s">
        <v>371</v>
      </c>
      <c r="C1791" s="5" t="s">
        <v>13</v>
      </c>
      <c r="D1791" s="5" t="s">
        <v>2839</v>
      </c>
      <c r="E1791" s="5" t="s">
        <v>2544</v>
      </c>
      <c r="F1791" s="5" t="s">
        <v>1960</v>
      </c>
      <c r="G1791" s="5" t="s">
        <v>1961</v>
      </c>
      <c r="H1791" s="5" t="s">
        <v>18</v>
      </c>
      <c r="I1791" s="7" t="s">
        <v>10915</v>
      </c>
    </row>
    <row r="1792">
      <c r="A1792" s="5" t="s">
        <v>2954</v>
      </c>
      <c r="B1792" s="5" t="s">
        <v>2155</v>
      </c>
      <c r="C1792" s="5" t="s">
        <v>13</v>
      </c>
      <c r="D1792" s="5" t="s">
        <v>2839</v>
      </c>
      <c r="E1792" s="5" t="s">
        <v>268</v>
      </c>
      <c r="F1792" s="5" t="s">
        <v>153</v>
      </c>
      <c r="G1792" s="5" t="s">
        <v>154</v>
      </c>
      <c r="H1792" s="5" t="s">
        <v>18</v>
      </c>
      <c r="I1792" s="7" t="s">
        <v>10916</v>
      </c>
    </row>
    <row r="1793">
      <c r="A1793" s="5" t="s">
        <v>2956</v>
      </c>
      <c r="B1793" s="5" t="s">
        <v>371</v>
      </c>
      <c r="C1793" s="5" t="s">
        <v>13</v>
      </c>
      <c r="D1793" s="5" t="s">
        <v>2839</v>
      </c>
      <c r="E1793" s="5" t="s">
        <v>165</v>
      </c>
      <c r="F1793" s="5" t="s">
        <v>223</v>
      </c>
      <c r="G1793" s="5" t="s">
        <v>224</v>
      </c>
      <c r="H1793" s="5" t="s">
        <v>18</v>
      </c>
      <c r="I1793" s="7" t="s">
        <v>2957</v>
      </c>
    </row>
    <row r="1794">
      <c r="A1794" s="5" t="s">
        <v>2958</v>
      </c>
      <c r="B1794" s="5" t="s">
        <v>2882</v>
      </c>
      <c r="C1794" s="5" t="s">
        <v>13</v>
      </c>
      <c r="D1794" s="5" t="s">
        <v>2839</v>
      </c>
      <c r="E1794" s="5" t="s">
        <v>484</v>
      </c>
      <c r="F1794" s="5" t="s">
        <v>1867</v>
      </c>
      <c r="G1794" s="5" t="s">
        <v>44</v>
      </c>
      <c r="H1794" s="5" t="s">
        <v>18</v>
      </c>
      <c r="I1794" s="7" t="s">
        <v>10917</v>
      </c>
    </row>
    <row r="1795">
      <c r="A1795" s="5" t="s">
        <v>2960</v>
      </c>
      <c r="B1795" s="5" t="s">
        <v>25</v>
      </c>
      <c r="C1795" s="5" t="s">
        <v>13</v>
      </c>
      <c r="D1795" s="5" t="s">
        <v>2839</v>
      </c>
      <c r="E1795" s="5" t="s">
        <v>1892</v>
      </c>
      <c r="F1795" s="5" t="s">
        <v>166</v>
      </c>
      <c r="G1795" s="5" t="s">
        <v>44</v>
      </c>
      <c r="H1795" s="5" t="s">
        <v>18</v>
      </c>
      <c r="I1795" s="7" t="s">
        <v>2961</v>
      </c>
    </row>
    <row r="1796">
      <c r="A1796" s="5" t="s">
        <v>2962</v>
      </c>
      <c r="B1796" s="5" t="s">
        <v>625</v>
      </c>
      <c r="C1796" s="5" t="s">
        <v>13</v>
      </c>
      <c r="D1796" s="5" t="s">
        <v>2839</v>
      </c>
      <c r="E1796" s="5" t="s">
        <v>15</v>
      </c>
      <c r="F1796" s="5" t="s">
        <v>166</v>
      </c>
      <c r="G1796" s="5" t="s">
        <v>44</v>
      </c>
      <c r="H1796" s="5" t="s">
        <v>18</v>
      </c>
      <c r="I1796" s="7" t="s">
        <v>2963</v>
      </c>
    </row>
    <row r="1797">
      <c r="A1797" s="5" t="s">
        <v>2964</v>
      </c>
      <c r="B1797" s="5" t="s">
        <v>2965</v>
      </c>
      <c r="C1797" s="5" t="s">
        <v>13</v>
      </c>
      <c r="D1797" s="5" t="s">
        <v>2839</v>
      </c>
      <c r="E1797" s="5" t="s">
        <v>345</v>
      </c>
      <c r="F1797" s="5" t="s">
        <v>2047</v>
      </c>
      <c r="G1797" s="5" t="s">
        <v>44</v>
      </c>
      <c r="H1797" s="5" t="s">
        <v>18</v>
      </c>
      <c r="I1797" s="7" t="s">
        <v>10918</v>
      </c>
    </row>
    <row r="1798">
      <c r="A1798" s="5" t="s">
        <v>2967</v>
      </c>
      <c r="B1798" s="5" t="s">
        <v>371</v>
      </c>
      <c r="C1798" s="5" t="s">
        <v>13</v>
      </c>
      <c r="D1798" s="5" t="s">
        <v>2839</v>
      </c>
      <c r="E1798" s="5" t="s">
        <v>121</v>
      </c>
      <c r="F1798" s="5" t="s">
        <v>311</v>
      </c>
      <c r="G1798" s="5" t="s">
        <v>102</v>
      </c>
      <c r="H1798" s="5" t="s">
        <v>18</v>
      </c>
      <c r="I1798" s="7" t="s">
        <v>2968</v>
      </c>
    </row>
    <row r="1799">
      <c r="A1799" s="5" t="s">
        <v>2969</v>
      </c>
      <c r="B1799" s="5" t="s">
        <v>25</v>
      </c>
      <c r="C1799" s="5" t="s">
        <v>13</v>
      </c>
      <c r="D1799" s="5" t="s">
        <v>2839</v>
      </c>
      <c r="E1799" s="5" t="s">
        <v>29</v>
      </c>
      <c r="F1799" s="5" t="s">
        <v>311</v>
      </c>
      <c r="G1799" s="5" t="s">
        <v>102</v>
      </c>
      <c r="H1799" s="5" t="s">
        <v>18</v>
      </c>
      <c r="I1799" s="7" t="s">
        <v>2970</v>
      </c>
    </row>
    <row r="1800">
      <c r="A1800" s="5" t="s">
        <v>2971</v>
      </c>
      <c r="B1800" s="5" t="s">
        <v>2155</v>
      </c>
      <c r="C1800" s="5" t="s">
        <v>13</v>
      </c>
      <c r="D1800" s="5" t="s">
        <v>2839</v>
      </c>
      <c r="E1800" s="5" t="s">
        <v>496</v>
      </c>
      <c r="F1800" s="5" t="s">
        <v>2972</v>
      </c>
      <c r="G1800" s="5" t="s">
        <v>96</v>
      </c>
      <c r="H1800" s="5" t="s">
        <v>18</v>
      </c>
      <c r="I1800" s="7" t="s">
        <v>10919</v>
      </c>
    </row>
    <row r="1801">
      <c r="A1801" s="5" t="s">
        <v>2974</v>
      </c>
      <c r="B1801" s="5" t="s">
        <v>25</v>
      </c>
      <c r="C1801" s="5" t="s">
        <v>13</v>
      </c>
      <c r="D1801" s="5" t="s">
        <v>2839</v>
      </c>
      <c r="E1801" s="5" t="s">
        <v>2975</v>
      </c>
      <c r="F1801" s="5" t="s">
        <v>2976</v>
      </c>
      <c r="G1801" s="5" t="s">
        <v>427</v>
      </c>
      <c r="H1801" s="5" t="s">
        <v>18</v>
      </c>
      <c r="I1801" s="7" t="s">
        <v>2977</v>
      </c>
    </row>
    <row r="1802">
      <c r="A1802" s="5" t="s">
        <v>2978</v>
      </c>
      <c r="B1802" s="5" t="s">
        <v>2155</v>
      </c>
      <c r="C1802" s="5" t="s">
        <v>13</v>
      </c>
      <c r="D1802" s="5" t="s">
        <v>2839</v>
      </c>
      <c r="E1802" s="5" t="s">
        <v>409</v>
      </c>
      <c r="F1802" s="5" t="s">
        <v>2979</v>
      </c>
      <c r="G1802" s="5" t="s">
        <v>137</v>
      </c>
      <c r="H1802" s="5" t="s">
        <v>18</v>
      </c>
      <c r="I1802" s="7" t="s">
        <v>10920</v>
      </c>
    </row>
    <row r="1803">
      <c r="A1803" s="5" t="s">
        <v>2981</v>
      </c>
      <c r="B1803" s="5" t="s">
        <v>625</v>
      </c>
      <c r="C1803" s="5" t="s">
        <v>13</v>
      </c>
      <c r="D1803" s="5" t="s">
        <v>2839</v>
      </c>
      <c r="E1803" s="5" t="s">
        <v>165</v>
      </c>
      <c r="F1803" s="5" t="s">
        <v>1131</v>
      </c>
      <c r="G1803" s="5" t="s">
        <v>203</v>
      </c>
      <c r="H1803" s="5" t="s">
        <v>18</v>
      </c>
      <c r="I1803" s="7" t="s">
        <v>2982</v>
      </c>
    </row>
    <row r="1804">
      <c r="A1804" s="5" t="s">
        <v>2983</v>
      </c>
      <c r="B1804" s="5" t="s">
        <v>2984</v>
      </c>
      <c r="C1804" s="5" t="s">
        <v>13</v>
      </c>
      <c r="D1804" s="5" t="s">
        <v>2839</v>
      </c>
      <c r="E1804" s="5" t="s">
        <v>2252</v>
      </c>
      <c r="F1804" s="5" t="s">
        <v>102</v>
      </c>
      <c r="G1804" s="5" t="s">
        <v>172</v>
      </c>
      <c r="H1804" s="5" t="s">
        <v>18</v>
      </c>
      <c r="I1804" s="7" t="s">
        <v>10921</v>
      </c>
    </row>
    <row r="1805">
      <c r="A1805" s="5" t="s">
        <v>2986</v>
      </c>
      <c r="B1805" s="5" t="s">
        <v>371</v>
      </c>
      <c r="C1805" s="5" t="s">
        <v>13</v>
      </c>
      <c r="D1805" s="5" t="s">
        <v>2839</v>
      </c>
      <c r="E1805" s="5" t="s">
        <v>2987</v>
      </c>
      <c r="F1805" s="5" t="s">
        <v>166</v>
      </c>
      <c r="G1805" s="5" t="s">
        <v>44</v>
      </c>
      <c r="H1805" s="5" t="s">
        <v>18</v>
      </c>
      <c r="I1805" s="7" t="s">
        <v>10922</v>
      </c>
    </row>
    <row r="1806">
      <c r="A1806" s="5" t="s">
        <v>4912</v>
      </c>
      <c r="B1806" s="5" t="s">
        <v>4913</v>
      </c>
      <c r="D1806" s="5" t="s">
        <v>4914</v>
      </c>
      <c r="E1806" s="5" t="s">
        <v>121</v>
      </c>
      <c r="F1806" s="5" t="s">
        <v>4910</v>
      </c>
      <c r="G1806" s="5" t="s">
        <v>4638</v>
      </c>
      <c r="H1806" s="5" t="s">
        <v>4600</v>
      </c>
      <c r="I1806" s="7" t="s">
        <v>10923</v>
      </c>
    </row>
    <row r="1807">
      <c r="A1807" s="5" t="s">
        <v>5183</v>
      </c>
      <c r="B1807" s="5" t="s">
        <v>5184</v>
      </c>
      <c r="D1807" s="5" t="s">
        <v>4914</v>
      </c>
      <c r="E1807" s="5" t="s">
        <v>4799</v>
      </c>
      <c r="F1807" s="5" t="s">
        <v>4643</v>
      </c>
      <c r="G1807" s="5" t="s">
        <v>4644</v>
      </c>
      <c r="H1807" s="5" t="s">
        <v>4600</v>
      </c>
      <c r="I1807" s="7" t="s">
        <v>10924</v>
      </c>
    </row>
    <row r="1808">
      <c r="A1808" s="5" t="s">
        <v>5333</v>
      </c>
      <c r="B1808" s="5" t="s">
        <v>5334</v>
      </c>
      <c r="D1808" s="5" t="s">
        <v>4914</v>
      </c>
      <c r="E1808" s="5" t="s">
        <v>1249</v>
      </c>
      <c r="F1808" s="5" t="s">
        <v>5280</v>
      </c>
      <c r="G1808" s="5" t="s">
        <v>4638</v>
      </c>
      <c r="H1808" s="5" t="s">
        <v>4600</v>
      </c>
      <c r="I1808" s="7" t="s">
        <v>10925</v>
      </c>
    </row>
    <row r="1809">
      <c r="A1809" s="5" t="s">
        <v>7565</v>
      </c>
      <c r="B1809" s="5" t="s">
        <v>7566</v>
      </c>
      <c r="D1809" s="5" t="s">
        <v>4914</v>
      </c>
      <c r="E1809" s="5" t="s">
        <v>441</v>
      </c>
      <c r="F1809" s="5" t="s">
        <v>7548</v>
      </c>
      <c r="G1809" s="5" t="s">
        <v>6159</v>
      </c>
      <c r="H1809" s="5" t="s">
        <v>4600</v>
      </c>
      <c r="I1809" s="7" t="s">
        <v>10926</v>
      </c>
    </row>
    <row r="1810">
      <c r="A1810" s="5" t="s">
        <v>8167</v>
      </c>
      <c r="B1810" s="5" t="s">
        <v>8168</v>
      </c>
      <c r="D1810" s="5" t="s">
        <v>4914</v>
      </c>
      <c r="E1810" s="5" t="s">
        <v>1282</v>
      </c>
      <c r="F1810" s="5" t="s">
        <v>8158</v>
      </c>
      <c r="G1810" s="5" t="s">
        <v>4638</v>
      </c>
      <c r="H1810" s="5" t="s">
        <v>4600</v>
      </c>
      <c r="I1810" s="7" t="s">
        <v>8166</v>
      </c>
    </row>
    <row r="1811">
      <c r="A1811" s="5" t="s">
        <v>8177</v>
      </c>
      <c r="B1811" s="5" t="s">
        <v>8178</v>
      </c>
      <c r="D1811" s="5" t="s">
        <v>4914</v>
      </c>
      <c r="E1811" s="5" t="s">
        <v>8179</v>
      </c>
      <c r="F1811" s="5" t="s">
        <v>8158</v>
      </c>
      <c r="G1811" s="5" t="s">
        <v>4638</v>
      </c>
      <c r="H1811" s="5" t="s">
        <v>4600</v>
      </c>
      <c r="I1811" s="7" t="s">
        <v>10927</v>
      </c>
    </row>
    <row r="1812">
      <c r="A1812" s="5" t="s">
        <v>9198</v>
      </c>
      <c r="B1812" s="5" t="s">
        <v>9199</v>
      </c>
      <c r="D1812" s="5" t="s">
        <v>4914</v>
      </c>
      <c r="E1812" s="5" t="s">
        <v>63</v>
      </c>
      <c r="F1812" s="5" t="s">
        <v>5280</v>
      </c>
      <c r="G1812" s="5" t="s">
        <v>4638</v>
      </c>
      <c r="H1812" s="5" t="s">
        <v>4600</v>
      </c>
      <c r="I1812" s="7" t="s">
        <v>10928</v>
      </c>
    </row>
    <row r="1813">
      <c r="A1813" s="5" t="s">
        <v>2897</v>
      </c>
      <c r="B1813" s="5" t="s">
        <v>371</v>
      </c>
      <c r="D1813" s="5" t="s">
        <v>2839</v>
      </c>
      <c r="E1813" s="5" t="s">
        <v>784</v>
      </c>
      <c r="F1813" s="5" t="s">
        <v>2898</v>
      </c>
      <c r="G1813" s="5" t="s">
        <v>91</v>
      </c>
      <c r="H1813" s="5" t="s">
        <v>18</v>
      </c>
      <c r="I1813" s="7" t="s">
        <v>8554</v>
      </c>
    </row>
    <row r="1814">
      <c r="A1814" s="5" t="s">
        <v>5887</v>
      </c>
      <c r="B1814" s="5" t="s">
        <v>5888</v>
      </c>
      <c r="D1814" s="5" t="s">
        <v>2839</v>
      </c>
      <c r="E1814" s="5" t="s">
        <v>1289</v>
      </c>
      <c r="F1814" s="5" t="s">
        <v>80</v>
      </c>
      <c r="G1814" s="5" t="s">
        <v>38</v>
      </c>
      <c r="H1814" s="5" t="s">
        <v>18</v>
      </c>
      <c r="I1814" s="7" t="s">
        <v>10929</v>
      </c>
    </row>
    <row r="1815">
      <c r="A1815" s="5" t="s">
        <v>6356</v>
      </c>
      <c r="B1815" s="5" t="s">
        <v>6357</v>
      </c>
      <c r="D1815" s="5" t="s">
        <v>2839</v>
      </c>
      <c r="E1815" s="5" t="s">
        <v>4165</v>
      </c>
      <c r="F1815" s="5" t="s">
        <v>112</v>
      </c>
      <c r="G1815" s="5" t="s">
        <v>38</v>
      </c>
      <c r="H1815" s="5" t="s">
        <v>18</v>
      </c>
      <c r="I1815" s="7" t="s">
        <v>6355</v>
      </c>
    </row>
    <row r="1816">
      <c r="A1816" s="5" t="s">
        <v>2900</v>
      </c>
      <c r="B1816" s="5" t="s">
        <v>2155</v>
      </c>
      <c r="D1816" s="5" t="s">
        <v>2839</v>
      </c>
      <c r="E1816" s="5" t="s">
        <v>2901</v>
      </c>
      <c r="F1816" s="5" t="s">
        <v>2100</v>
      </c>
      <c r="G1816" s="5" t="s">
        <v>264</v>
      </c>
      <c r="H1816" s="5" t="s">
        <v>18</v>
      </c>
      <c r="I1816" s="7" t="s">
        <v>10930</v>
      </c>
    </row>
    <row r="1817">
      <c r="A1817" s="5" t="s">
        <v>7216</v>
      </c>
      <c r="B1817" s="5" t="s">
        <v>7217</v>
      </c>
      <c r="D1817" s="5" t="s">
        <v>2839</v>
      </c>
      <c r="F1817" s="5" t="s">
        <v>7218</v>
      </c>
      <c r="G1817" s="5" t="s">
        <v>44</v>
      </c>
      <c r="H1817" s="5" t="s">
        <v>18</v>
      </c>
      <c r="I1817" s="7" t="s">
        <v>7215</v>
      </c>
    </row>
    <row r="1818">
      <c r="A1818" s="5" t="s">
        <v>8344</v>
      </c>
      <c r="B1818" s="5" t="s">
        <v>8345</v>
      </c>
      <c r="D1818" s="5" t="s">
        <v>2839</v>
      </c>
      <c r="F1818" s="5" t="s">
        <v>153</v>
      </c>
      <c r="G1818" s="5" t="s">
        <v>154</v>
      </c>
      <c r="H1818" s="5" t="s">
        <v>18</v>
      </c>
      <c r="I1818" s="7" t="s">
        <v>8343</v>
      </c>
    </row>
    <row r="1819">
      <c r="A1819" s="5" t="s">
        <v>2903</v>
      </c>
      <c r="B1819" s="5" t="s">
        <v>371</v>
      </c>
      <c r="D1819" s="5" t="s">
        <v>2839</v>
      </c>
      <c r="E1819" s="5" t="s">
        <v>2901</v>
      </c>
      <c r="F1819" s="5" t="s">
        <v>876</v>
      </c>
      <c r="G1819" s="5" t="s">
        <v>184</v>
      </c>
      <c r="H1819" s="5" t="s">
        <v>18</v>
      </c>
      <c r="I1819" s="7" t="s">
        <v>8493</v>
      </c>
    </row>
    <row r="1820">
      <c r="A1820" s="5" t="s">
        <v>4657</v>
      </c>
      <c r="B1820" s="5" t="s">
        <v>4658</v>
      </c>
      <c r="D1820" s="5" t="s">
        <v>2839</v>
      </c>
      <c r="E1820" s="5" t="s">
        <v>277</v>
      </c>
      <c r="F1820" s="5" t="s">
        <v>3975</v>
      </c>
      <c r="G1820" s="5" t="s">
        <v>91</v>
      </c>
      <c r="H1820" s="5" t="s">
        <v>18</v>
      </c>
      <c r="I1820" s="7" t="s">
        <v>10931</v>
      </c>
    </row>
    <row r="1821">
      <c r="A1821" s="5" t="s">
        <v>2908</v>
      </c>
      <c r="B1821" s="5" t="s">
        <v>2155</v>
      </c>
      <c r="D1821" s="5" t="s">
        <v>2839</v>
      </c>
      <c r="E1821" s="5" t="s">
        <v>512</v>
      </c>
      <c r="F1821" s="5" t="s">
        <v>16</v>
      </c>
      <c r="G1821" s="5" t="s">
        <v>17</v>
      </c>
      <c r="H1821" s="5" t="s">
        <v>18</v>
      </c>
      <c r="I1821" s="7" t="s">
        <v>10932</v>
      </c>
    </row>
    <row r="1822">
      <c r="A1822" s="5" t="s">
        <v>2910</v>
      </c>
      <c r="B1822" s="5" t="s">
        <v>2911</v>
      </c>
      <c r="D1822" s="5" t="s">
        <v>2839</v>
      </c>
      <c r="E1822" s="5" t="s">
        <v>277</v>
      </c>
      <c r="F1822" s="5" t="s">
        <v>16</v>
      </c>
      <c r="G1822" s="5" t="s">
        <v>17</v>
      </c>
      <c r="H1822" s="5" t="s">
        <v>18</v>
      </c>
      <c r="I1822" s="7" t="s">
        <v>10933</v>
      </c>
    </row>
    <row r="1823">
      <c r="A1823" s="5" t="s">
        <v>4730</v>
      </c>
      <c r="B1823" s="5" t="s">
        <v>4731</v>
      </c>
      <c r="D1823" s="5" t="s">
        <v>2839</v>
      </c>
      <c r="E1823" s="5" t="s">
        <v>496</v>
      </c>
      <c r="F1823" s="5" t="s">
        <v>16</v>
      </c>
      <c r="G1823" s="5" t="s">
        <v>17</v>
      </c>
      <c r="H1823" s="5" t="s">
        <v>18</v>
      </c>
      <c r="I1823" s="7" t="s">
        <v>10934</v>
      </c>
    </row>
    <row r="1824">
      <c r="A1824" s="5" t="s">
        <v>4774</v>
      </c>
      <c r="B1824" s="5" t="s">
        <v>4742</v>
      </c>
      <c r="D1824" s="5" t="s">
        <v>2839</v>
      </c>
      <c r="E1824" s="5" t="s">
        <v>441</v>
      </c>
      <c r="F1824" s="5" t="s">
        <v>1638</v>
      </c>
      <c r="G1824" s="5" t="s">
        <v>1639</v>
      </c>
      <c r="H1824" s="5" t="s">
        <v>18</v>
      </c>
      <c r="I1824" s="7" t="s">
        <v>10935</v>
      </c>
    </row>
    <row r="1825">
      <c r="A1825" s="5" t="s">
        <v>4839</v>
      </c>
      <c r="B1825" s="5" t="s">
        <v>2871</v>
      </c>
      <c r="D1825" s="5" t="s">
        <v>2839</v>
      </c>
      <c r="E1825" s="5" t="s">
        <v>399</v>
      </c>
      <c r="F1825" s="5" t="s">
        <v>377</v>
      </c>
      <c r="G1825" s="5" t="s">
        <v>378</v>
      </c>
      <c r="H1825" s="5" t="s">
        <v>18</v>
      </c>
      <c r="I1825" s="7" t="s">
        <v>10936</v>
      </c>
    </row>
    <row r="1826">
      <c r="A1826" s="5" t="s">
        <v>4850</v>
      </c>
      <c r="B1826" s="5" t="s">
        <v>2871</v>
      </c>
      <c r="D1826" s="5" t="s">
        <v>2839</v>
      </c>
      <c r="E1826" s="5" t="s">
        <v>144</v>
      </c>
      <c r="F1826" s="5" t="s">
        <v>377</v>
      </c>
      <c r="G1826" s="5" t="s">
        <v>378</v>
      </c>
      <c r="H1826" s="5" t="s">
        <v>18</v>
      </c>
      <c r="I1826" s="7" t="s">
        <v>10937</v>
      </c>
    </row>
    <row r="1827">
      <c r="A1827" s="5" t="s">
        <v>4857</v>
      </c>
      <c r="B1827" s="5" t="s">
        <v>2871</v>
      </c>
      <c r="D1827" s="5" t="s">
        <v>2839</v>
      </c>
      <c r="E1827" s="5" t="s">
        <v>441</v>
      </c>
      <c r="F1827" s="5" t="s">
        <v>377</v>
      </c>
      <c r="G1827" s="5" t="s">
        <v>378</v>
      </c>
      <c r="H1827" s="5" t="s">
        <v>18</v>
      </c>
      <c r="I1827" s="7" t="s">
        <v>10938</v>
      </c>
    </row>
    <row r="1828">
      <c r="A1828" s="5" t="s">
        <v>2915</v>
      </c>
      <c r="B1828" s="5" t="s">
        <v>371</v>
      </c>
      <c r="D1828" s="5" t="s">
        <v>2839</v>
      </c>
      <c r="E1828" s="5" t="s">
        <v>832</v>
      </c>
      <c r="F1828" s="5" t="s">
        <v>64</v>
      </c>
      <c r="G1828" s="5" t="s">
        <v>65</v>
      </c>
      <c r="H1828" s="5" t="s">
        <v>18</v>
      </c>
      <c r="I1828" s="7" t="s">
        <v>5683</v>
      </c>
    </row>
    <row r="1829">
      <c r="A1829" s="5" t="s">
        <v>2917</v>
      </c>
      <c r="B1829" s="5" t="s">
        <v>2918</v>
      </c>
      <c r="D1829" s="5" t="s">
        <v>2839</v>
      </c>
      <c r="E1829" s="5" t="s">
        <v>84</v>
      </c>
      <c r="F1829" s="5" t="s">
        <v>75</v>
      </c>
      <c r="G1829" s="5" t="s">
        <v>76</v>
      </c>
      <c r="H1829" s="5" t="s">
        <v>18</v>
      </c>
      <c r="I1829" s="7" t="s">
        <v>10939</v>
      </c>
    </row>
    <row r="1830">
      <c r="A1830" s="5" t="s">
        <v>5857</v>
      </c>
      <c r="B1830" s="5" t="s">
        <v>1896</v>
      </c>
      <c r="D1830" s="5" t="s">
        <v>2839</v>
      </c>
      <c r="E1830" s="5" t="s">
        <v>217</v>
      </c>
      <c r="F1830" s="5" t="s">
        <v>80</v>
      </c>
      <c r="G1830" s="5" t="s">
        <v>38</v>
      </c>
      <c r="H1830" s="5" t="s">
        <v>18</v>
      </c>
      <c r="I1830" s="7" t="s">
        <v>5856</v>
      </c>
    </row>
    <row r="1831">
      <c r="A1831" s="5" t="s">
        <v>2920</v>
      </c>
      <c r="B1831" s="5" t="s">
        <v>371</v>
      </c>
      <c r="D1831" s="5" t="s">
        <v>2839</v>
      </c>
      <c r="E1831" s="5" t="s">
        <v>1321</v>
      </c>
      <c r="F1831" s="5" t="s">
        <v>80</v>
      </c>
      <c r="G1831" s="5" t="s">
        <v>38</v>
      </c>
      <c r="H1831" s="5" t="s">
        <v>18</v>
      </c>
      <c r="I1831" s="7" t="s">
        <v>5885</v>
      </c>
    </row>
    <row r="1832">
      <c r="A1832" s="5" t="s">
        <v>5944</v>
      </c>
      <c r="B1832" s="5" t="s">
        <v>2911</v>
      </c>
      <c r="D1832" s="5" t="s">
        <v>2839</v>
      </c>
      <c r="E1832" s="5" t="s">
        <v>2265</v>
      </c>
      <c r="F1832" s="5" t="s">
        <v>609</v>
      </c>
      <c r="G1832" s="5" t="s">
        <v>76</v>
      </c>
      <c r="H1832" s="5" t="s">
        <v>18</v>
      </c>
      <c r="I1832" s="7" t="s">
        <v>10940</v>
      </c>
    </row>
    <row r="1833">
      <c r="A1833" s="5" t="s">
        <v>5957</v>
      </c>
      <c r="B1833" s="5" t="s">
        <v>4879</v>
      </c>
      <c r="D1833" s="5" t="s">
        <v>2839</v>
      </c>
      <c r="E1833" s="5" t="s">
        <v>2544</v>
      </c>
      <c r="F1833" s="5" t="s">
        <v>85</v>
      </c>
      <c r="G1833" s="5" t="s">
        <v>86</v>
      </c>
      <c r="H1833" s="5" t="s">
        <v>18</v>
      </c>
      <c r="I1833" s="7" t="s">
        <v>5956</v>
      </c>
    </row>
    <row r="1834">
      <c r="A1834" s="5" t="s">
        <v>2927</v>
      </c>
      <c r="B1834" s="5" t="s">
        <v>2911</v>
      </c>
      <c r="D1834" s="5" t="s">
        <v>2839</v>
      </c>
      <c r="E1834" s="5" t="s">
        <v>277</v>
      </c>
      <c r="F1834" s="5" t="s">
        <v>85</v>
      </c>
      <c r="G1834" s="5" t="s">
        <v>86</v>
      </c>
      <c r="H1834" s="5" t="s">
        <v>18</v>
      </c>
      <c r="I1834" s="7" t="s">
        <v>10941</v>
      </c>
    </row>
    <row r="1835">
      <c r="A1835" s="5" t="s">
        <v>2929</v>
      </c>
      <c r="B1835" s="5" t="s">
        <v>2930</v>
      </c>
      <c r="D1835" s="5" t="s">
        <v>2839</v>
      </c>
      <c r="E1835" s="5" t="s">
        <v>1098</v>
      </c>
      <c r="F1835" s="5" t="s">
        <v>90</v>
      </c>
      <c r="G1835" s="5" t="s">
        <v>91</v>
      </c>
      <c r="H1835" s="5" t="s">
        <v>18</v>
      </c>
      <c r="I1835" s="7" t="s">
        <v>10942</v>
      </c>
    </row>
    <row r="1836">
      <c r="A1836" s="5" t="s">
        <v>6311</v>
      </c>
      <c r="B1836" s="5" t="s">
        <v>4749</v>
      </c>
      <c r="D1836" s="5" t="s">
        <v>2839</v>
      </c>
      <c r="E1836" s="5" t="s">
        <v>1623</v>
      </c>
      <c r="F1836" s="5" t="s">
        <v>6312</v>
      </c>
      <c r="G1836" s="5" t="s">
        <v>65</v>
      </c>
      <c r="H1836" s="5" t="s">
        <v>18</v>
      </c>
      <c r="I1836" s="7" t="s">
        <v>6310</v>
      </c>
    </row>
    <row r="1837">
      <c r="A1837" s="5" t="s">
        <v>6338</v>
      </c>
      <c r="B1837" s="5" t="s">
        <v>6339</v>
      </c>
      <c r="D1837" s="5" t="s">
        <v>2839</v>
      </c>
      <c r="E1837" s="5" t="s">
        <v>53</v>
      </c>
      <c r="F1837" s="5" t="s">
        <v>112</v>
      </c>
      <c r="G1837" s="5" t="s">
        <v>38</v>
      </c>
      <c r="H1837" s="5" t="s">
        <v>18</v>
      </c>
      <c r="I1837" s="7" t="s">
        <v>10943</v>
      </c>
    </row>
    <row r="1838">
      <c r="A1838" s="5" t="s">
        <v>2934</v>
      </c>
      <c r="B1838" s="5" t="s">
        <v>2935</v>
      </c>
      <c r="D1838" s="5" t="s">
        <v>2839</v>
      </c>
      <c r="E1838" s="5" t="s">
        <v>79</v>
      </c>
      <c r="F1838" s="5" t="s">
        <v>122</v>
      </c>
      <c r="G1838" s="5" t="s">
        <v>44</v>
      </c>
      <c r="H1838" s="5" t="s">
        <v>18</v>
      </c>
      <c r="I1838" s="7" t="s">
        <v>10944</v>
      </c>
    </row>
    <row r="1839">
      <c r="A1839" s="5" t="s">
        <v>2937</v>
      </c>
      <c r="B1839" s="5" t="s">
        <v>2938</v>
      </c>
      <c r="D1839" s="5" t="s">
        <v>2839</v>
      </c>
      <c r="E1839" s="5" t="s">
        <v>217</v>
      </c>
      <c r="F1839" s="5" t="s">
        <v>122</v>
      </c>
      <c r="G1839" s="5" t="s">
        <v>44</v>
      </c>
      <c r="H1839" s="5" t="s">
        <v>18</v>
      </c>
      <c r="I1839" s="7" t="s">
        <v>7202</v>
      </c>
    </row>
    <row r="1840">
      <c r="A1840" s="5" t="s">
        <v>7204</v>
      </c>
      <c r="B1840" s="5" t="s">
        <v>7205</v>
      </c>
      <c r="D1840" s="5" t="s">
        <v>2839</v>
      </c>
      <c r="E1840" s="5" t="s">
        <v>512</v>
      </c>
      <c r="F1840" s="5" t="s">
        <v>122</v>
      </c>
      <c r="G1840" s="5" t="s">
        <v>44</v>
      </c>
      <c r="H1840" s="5" t="s">
        <v>18</v>
      </c>
      <c r="I1840" s="7" t="s">
        <v>10945</v>
      </c>
    </row>
    <row r="1841">
      <c r="A1841" s="5" t="s">
        <v>2940</v>
      </c>
      <c r="B1841" s="5" t="s">
        <v>2941</v>
      </c>
      <c r="D1841" s="5" t="s">
        <v>2839</v>
      </c>
      <c r="E1841" s="5" t="s">
        <v>111</v>
      </c>
      <c r="F1841" s="5" t="s">
        <v>2942</v>
      </c>
      <c r="G1841" s="5" t="s">
        <v>154</v>
      </c>
      <c r="H1841" s="5" t="s">
        <v>18</v>
      </c>
      <c r="I1841" s="7" t="s">
        <v>10946</v>
      </c>
    </row>
    <row r="1842">
      <c r="A1842" s="5" t="s">
        <v>7740</v>
      </c>
      <c r="B1842" s="5" t="s">
        <v>7741</v>
      </c>
      <c r="D1842" s="5" t="s">
        <v>2839</v>
      </c>
      <c r="E1842" s="5" t="s">
        <v>165</v>
      </c>
      <c r="F1842" s="5" t="s">
        <v>137</v>
      </c>
      <c r="G1842" s="5" t="s">
        <v>137</v>
      </c>
      <c r="H1842" s="5" t="s">
        <v>18</v>
      </c>
      <c r="I1842" s="7" t="s">
        <v>7739</v>
      </c>
    </row>
    <row r="1843">
      <c r="A1843" s="5" t="s">
        <v>7756</v>
      </c>
      <c r="B1843" s="5" t="s">
        <v>4934</v>
      </c>
      <c r="D1843" s="5" t="s">
        <v>2839</v>
      </c>
      <c r="E1843" s="5" t="s">
        <v>441</v>
      </c>
      <c r="F1843" s="5" t="s">
        <v>137</v>
      </c>
      <c r="G1843" s="5" t="s">
        <v>137</v>
      </c>
      <c r="H1843" s="5" t="s">
        <v>18</v>
      </c>
      <c r="I1843" s="7" t="s">
        <v>7755</v>
      </c>
    </row>
    <row r="1844">
      <c r="A1844" s="5" t="s">
        <v>7799</v>
      </c>
      <c r="B1844" s="5" t="s">
        <v>7800</v>
      </c>
      <c r="D1844" s="5" t="s">
        <v>2839</v>
      </c>
      <c r="E1844" s="5" t="s">
        <v>84</v>
      </c>
      <c r="F1844" s="5" t="s">
        <v>137</v>
      </c>
      <c r="G1844" s="5" t="s">
        <v>137</v>
      </c>
      <c r="H1844" s="5" t="s">
        <v>18</v>
      </c>
      <c r="I1844" s="7" t="s">
        <v>10947</v>
      </c>
    </row>
    <row r="1845">
      <c r="A1845" s="5" t="s">
        <v>7814</v>
      </c>
      <c r="B1845" s="5" t="s">
        <v>2871</v>
      </c>
      <c r="D1845" s="5" t="s">
        <v>2839</v>
      </c>
      <c r="E1845" s="5" t="s">
        <v>48</v>
      </c>
      <c r="F1845" s="5" t="s">
        <v>137</v>
      </c>
      <c r="G1845" s="5" t="s">
        <v>137</v>
      </c>
      <c r="H1845" s="5" t="s">
        <v>18</v>
      </c>
      <c r="I1845" s="7" t="s">
        <v>10948</v>
      </c>
    </row>
    <row r="1846">
      <c r="A1846" s="5" t="s">
        <v>7835</v>
      </c>
      <c r="B1846" s="5" t="s">
        <v>7836</v>
      </c>
      <c r="D1846" s="5" t="s">
        <v>2839</v>
      </c>
      <c r="E1846" s="5" t="s">
        <v>2265</v>
      </c>
      <c r="F1846" s="5" t="s">
        <v>137</v>
      </c>
      <c r="G1846" s="5" t="s">
        <v>137</v>
      </c>
      <c r="H1846" s="5" t="s">
        <v>18</v>
      </c>
      <c r="I1846" s="7" t="s">
        <v>10949</v>
      </c>
    </row>
    <row r="1847">
      <c r="A1847" s="5" t="s">
        <v>2944</v>
      </c>
      <c r="B1847" s="5" t="s">
        <v>2155</v>
      </c>
      <c r="D1847" s="5" t="s">
        <v>2839</v>
      </c>
      <c r="E1847" s="5" t="s">
        <v>579</v>
      </c>
      <c r="F1847" s="5" t="s">
        <v>137</v>
      </c>
      <c r="G1847" s="5" t="s">
        <v>137</v>
      </c>
      <c r="H1847" s="5" t="s">
        <v>18</v>
      </c>
      <c r="I1847" s="7" t="s">
        <v>10950</v>
      </c>
    </row>
    <row r="1848">
      <c r="A1848" s="5" t="s">
        <v>2946</v>
      </c>
      <c r="B1848" s="5" t="s">
        <v>371</v>
      </c>
      <c r="D1848" s="5" t="s">
        <v>2839</v>
      </c>
      <c r="E1848" s="5" t="s">
        <v>1321</v>
      </c>
      <c r="F1848" s="5" t="s">
        <v>137</v>
      </c>
      <c r="G1848" s="5" t="s">
        <v>137</v>
      </c>
      <c r="H1848" s="5" t="s">
        <v>18</v>
      </c>
      <c r="I1848" s="7" t="s">
        <v>7964</v>
      </c>
    </row>
    <row r="1849">
      <c r="A1849" s="5" t="s">
        <v>2948</v>
      </c>
      <c r="B1849" s="5" t="s">
        <v>2949</v>
      </c>
      <c r="D1849" s="5" t="s">
        <v>2839</v>
      </c>
      <c r="E1849" s="5" t="s">
        <v>233</v>
      </c>
      <c r="F1849" s="5" t="s">
        <v>2950</v>
      </c>
      <c r="G1849" s="5" t="s">
        <v>17</v>
      </c>
      <c r="H1849" s="5" t="s">
        <v>18</v>
      </c>
      <c r="I1849" s="7" t="s">
        <v>10951</v>
      </c>
    </row>
    <row r="1850">
      <c r="A1850" s="5" t="s">
        <v>2952</v>
      </c>
      <c r="B1850" s="5" t="s">
        <v>371</v>
      </c>
      <c r="D1850" s="5" t="s">
        <v>2839</v>
      </c>
      <c r="E1850" s="5" t="s">
        <v>2544</v>
      </c>
      <c r="F1850" s="5" t="s">
        <v>1960</v>
      </c>
      <c r="G1850" s="5" t="s">
        <v>1961</v>
      </c>
      <c r="H1850" s="5" t="s">
        <v>18</v>
      </c>
      <c r="I1850" s="7" t="s">
        <v>10952</v>
      </c>
    </row>
    <row r="1851">
      <c r="A1851" s="5" t="s">
        <v>8327</v>
      </c>
      <c r="B1851" s="5" t="s">
        <v>4879</v>
      </c>
      <c r="D1851" s="5" t="s">
        <v>2839</v>
      </c>
      <c r="E1851" s="5" t="s">
        <v>283</v>
      </c>
      <c r="F1851" s="5" t="s">
        <v>153</v>
      </c>
      <c r="G1851" s="5" t="s">
        <v>154</v>
      </c>
      <c r="H1851" s="5" t="s">
        <v>18</v>
      </c>
      <c r="I1851" s="7" t="s">
        <v>8326</v>
      </c>
    </row>
    <row r="1852">
      <c r="A1852" s="5" t="s">
        <v>8347</v>
      </c>
      <c r="B1852" s="5" t="s">
        <v>1896</v>
      </c>
      <c r="D1852" s="5" t="s">
        <v>2839</v>
      </c>
      <c r="E1852" s="5" t="s">
        <v>144</v>
      </c>
      <c r="F1852" s="5" t="s">
        <v>153</v>
      </c>
      <c r="G1852" s="5" t="s">
        <v>154</v>
      </c>
      <c r="H1852" s="5" t="s">
        <v>18</v>
      </c>
      <c r="I1852" s="7" t="s">
        <v>8346</v>
      </c>
    </row>
    <row r="1853">
      <c r="A1853" s="5" t="s">
        <v>2954</v>
      </c>
      <c r="B1853" s="5" t="s">
        <v>2155</v>
      </c>
      <c r="D1853" s="5" t="s">
        <v>2839</v>
      </c>
      <c r="E1853" s="5" t="s">
        <v>268</v>
      </c>
      <c r="F1853" s="5" t="s">
        <v>153</v>
      </c>
      <c r="G1853" s="5" t="s">
        <v>154</v>
      </c>
      <c r="H1853" s="5" t="s">
        <v>18</v>
      </c>
      <c r="I1853" s="7" t="s">
        <v>10953</v>
      </c>
    </row>
    <row r="1854">
      <c r="A1854" s="5" t="s">
        <v>2956</v>
      </c>
      <c r="B1854" s="5" t="s">
        <v>371</v>
      </c>
      <c r="D1854" s="5" t="s">
        <v>2839</v>
      </c>
      <c r="E1854" s="5" t="s">
        <v>165</v>
      </c>
      <c r="F1854" s="5" t="s">
        <v>223</v>
      </c>
      <c r="G1854" s="5" t="s">
        <v>224</v>
      </c>
      <c r="H1854" s="5" t="s">
        <v>18</v>
      </c>
      <c r="I1854" s="7" t="s">
        <v>8375</v>
      </c>
    </row>
    <row r="1855">
      <c r="A1855" s="5" t="s">
        <v>8407</v>
      </c>
      <c r="B1855" s="5" t="s">
        <v>8408</v>
      </c>
      <c r="D1855" s="5" t="s">
        <v>2839</v>
      </c>
      <c r="E1855" s="5" t="s">
        <v>42</v>
      </c>
      <c r="F1855" s="5" t="s">
        <v>1353</v>
      </c>
      <c r="G1855" s="5" t="s">
        <v>1354</v>
      </c>
      <c r="H1855" s="5" t="s">
        <v>18</v>
      </c>
      <c r="I1855" s="7" t="s">
        <v>8406</v>
      </c>
    </row>
    <row r="1856">
      <c r="A1856" s="5" t="s">
        <v>2958</v>
      </c>
      <c r="B1856" s="5" t="s">
        <v>2882</v>
      </c>
      <c r="D1856" s="5" t="s">
        <v>2839</v>
      </c>
      <c r="E1856" s="5" t="s">
        <v>484</v>
      </c>
      <c r="F1856" s="5" t="s">
        <v>1867</v>
      </c>
      <c r="G1856" s="5" t="s">
        <v>44</v>
      </c>
      <c r="H1856" s="5" t="s">
        <v>18</v>
      </c>
      <c r="I1856" s="7" t="s">
        <v>10954</v>
      </c>
    </row>
    <row r="1857">
      <c r="A1857" s="5" t="s">
        <v>8667</v>
      </c>
      <c r="B1857" s="5" t="s">
        <v>1896</v>
      </c>
      <c r="D1857" s="5" t="s">
        <v>2839</v>
      </c>
      <c r="E1857" s="5" t="s">
        <v>4033</v>
      </c>
      <c r="F1857" s="5" t="s">
        <v>166</v>
      </c>
      <c r="G1857" s="5" t="s">
        <v>44</v>
      </c>
      <c r="H1857" s="5" t="s">
        <v>18</v>
      </c>
      <c r="I1857" s="7" t="s">
        <v>8666</v>
      </c>
    </row>
    <row r="1858">
      <c r="A1858" s="5" t="s">
        <v>2964</v>
      </c>
      <c r="B1858" s="5" t="s">
        <v>2965</v>
      </c>
      <c r="D1858" s="5" t="s">
        <v>2839</v>
      </c>
      <c r="E1858" s="5" t="s">
        <v>345</v>
      </c>
      <c r="F1858" s="5" t="s">
        <v>2047</v>
      </c>
      <c r="G1858" s="5" t="s">
        <v>44</v>
      </c>
      <c r="H1858" s="5" t="s">
        <v>18</v>
      </c>
      <c r="I1858" s="7" t="s">
        <v>10955</v>
      </c>
    </row>
    <row r="1859">
      <c r="A1859" s="5" t="s">
        <v>2967</v>
      </c>
      <c r="B1859" s="5" t="s">
        <v>371</v>
      </c>
      <c r="D1859" s="5" t="s">
        <v>2839</v>
      </c>
      <c r="E1859" s="5" t="s">
        <v>121</v>
      </c>
      <c r="F1859" s="5" t="s">
        <v>311</v>
      </c>
      <c r="G1859" s="5" t="s">
        <v>102</v>
      </c>
      <c r="H1859" s="5" t="s">
        <v>18</v>
      </c>
      <c r="I1859" s="7" t="s">
        <v>8712</v>
      </c>
    </row>
    <row r="1860">
      <c r="A1860" s="5" t="s">
        <v>8766</v>
      </c>
      <c r="B1860" s="5" t="s">
        <v>8767</v>
      </c>
      <c r="D1860" s="5" t="s">
        <v>2839</v>
      </c>
      <c r="E1860" s="5" t="s">
        <v>277</v>
      </c>
      <c r="F1860" s="5" t="s">
        <v>311</v>
      </c>
      <c r="G1860" s="5" t="s">
        <v>102</v>
      </c>
      <c r="H1860" s="5" t="s">
        <v>18</v>
      </c>
      <c r="I1860" s="7" t="s">
        <v>10956</v>
      </c>
    </row>
    <row r="1861">
      <c r="A1861" s="5" t="s">
        <v>2971</v>
      </c>
      <c r="B1861" s="5" t="s">
        <v>2155</v>
      </c>
      <c r="D1861" s="5" t="s">
        <v>2839</v>
      </c>
      <c r="E1861" s="5" t="s">
        <v>496</v>
      </c>
      <c r="F1861" s="5" t="s">
        <v>2972</v>
      </c>
      <c r="G1861" s="5" t="s">
        <v>96</v>
      </c>
      <c r="H1861" s="5" t="s">
        <v>18</v>
      </c>
      <c r="I1861" s="7" t="s">
        <v>10957</v>
      </c>
    </row>
    <row r="1862">
      <c r="A1862" s="5" t="s">
        <v>2978</v>
      </c>
      <c r="B1862" s="5" t="s">
        <v>2155</v>
      </c>
      <c r="D1862" s="5" t="s">
        <v>2839</v>
      </c>
      <c r="E1862" s="5" t="s">
        <v>409</v>
      </c>
      <c r="F1862" s="5" t="s">
        <v>2979</v>
      </c>
      <c r="G1862" s="5" t="s">
        <v>137</v>
      </c>
      <c r="H1862" s="5" t="s">
        <v>18</v>
      </c>
      <c r="I1862" s="7" t="s">
        <v>10958</v>
      </c>
    </row>
    <row r="1863">
      <c r="A1863" s="5" t="s">
        <v>9971</v>
      </c>
      <c r="B1863" s="5" t="s">
        <v>9972</v>
      </c>
      <c r="D1863" s="5" t="s">
        <v>2839</v>
      </c>
      <c r="E1863" s="5" t="s">
        <v>228</v>
      </c>
      <c r="F1863" s="5" t="s">
        <v>9973</v>
      </c>
      <c r="G1863" s="5" t="s">
        <v>44</v>
      </c>
      <c r="H1863" s="5" t="s">
        <v>18</v>
      </c>
      <c r="I1863" s="7" t="s">
        <v>9970</v>
      </c>
    </row>
    <row r="1864">
      <c r="A1864" s="5" t="s">
        <v>9983</v>
      </c>
      <c r="B1864" s="5" t="s">
        <v>4742</v>
      </c>
      <c r="D1864" s="5" t="s">
        <v>2839</v>
      </c>
      <c r="E1864" s="5" t="s">
        <v>48</v>
      </c>
      <c r="F1864" s="5" t="s">
        <v>9984</v>
      </c>
      <c r="G1864" s="5" t="s">
        <v>96</v>
      </c>
      <c r="H1864" s="5" t="s">
        <v>18</v>
      </c>
      <c r="I1864" s="7" t="s">
        <v>10959</v>
      </c>
    </row>
    <row r="1865">
      <c r="A1865" s="5" t="s">
        <v>10018</v>
      </c>
      <c r="B1865" s="5" t="s">
        <v>4749</v>
      </c>
      <c r="D1865" s="5" t="s">
        <v>2839</v>
      </c>
      <c r="E1865" s="5" t="s">
        <v>207</v>
      </c>
      <c r="F1865" s="5" t="s">
        <v>102</v>
      </c>
      <c r="G1865" s="5" t="s">
        <v>172</v>
      </c>
      <c r="H1865" s="5" t="s">
        <v>18</v>
      </c>
      <c r="I1865" s="7" t="s">
        <v>10017</v>
      </c>
    </row>
    <row r="1866">
      <c r="A1866" s="5" t="s">
        <v>2983</v>
      </c>
      <c r="B1866" s="5" t="s">
        <v>2984</v>
      </c>
      <c r="D1866" s="5" t="s">
        <v>2839</v>
      </c>
      <c r="E1866" s="5" t="s">
        <v>2252</v>
      </c>
      <c r="F1866" s="5" t="s">
        <v>102</v>
      </c>
      <c r="G1866" s="5" t="s">
        <v>172</v>
      </c>
      <c r="H1866" s="5" t="s">
        <v>18</v>
      </c>
      <c r="I1866" s="7" t="s">
        <v>10960</v>
      </c>
    </row>
    <row r="1867">
      <c r="A1867" s="5" t="s">
        <v>2986</v>
      </c>
      <c r="B1867" s="5" t="s">
        <v>371</v>
      </c>
      <c r="D1867" s="5" t="s">
        <v>2839</v>
      </c>
      <c r="E1867" s="5" t="s">
        <v>2987</v>
      </c>
      <c r="F1867" s="5" t="s">
        <v>166</v>
      </c>
      <c r="G1867" s="5" t="s">
        <v>44</v>
      </c>
      <c r="H1867" s="5" t="s">
        <v>18</v>
      </c>
      <c r="I1867" s="7" t="s">
        <v>8639</v>
      </c>
    </row>
    <row r="1868">
      <c r="A1868" s="5" t="s">
        <v>2989</v>
      </c>
      <c r="B1868" s="5" t="s">
        <v>2990</v>
      </c>
      <c r="C1868" s="5" t="s">
        <v>13</v>
      </c>
      <c r="D1868" s="5" t="s">
        <v>2991</v>
      </c>
      <c r="E1868" s="5" t="s">
        <v>268</v>
      </c>
      <c r="F1868" s="5" t="s">
        <v>377</v>
      </c>
      <c r="G1868" s="5" t="s">
        <v>378</v>
      </c>
      <c r="H1868" s="5" t="s">
        <v>18</v>
      </c>
      <c r="I1868" s="7" t="s">
        <v>10961</v>
      </c>
    </row>
    <row r="1869">
      <c r="A1869" s="5" t="s">
        <v>2993</v>
      </c>
      <c r="B1869" s="5" t="s">
        <v>2994</v>
      </c>
      <c r="C1869" s="5" t="s">
        <v>13</v>
      </c>
      <c r="D1869" s="5" t="s">
        <v>2991</v>
      </c>
      <c r="E1869" s="5" t="s">
        <v>268</v>
      </c>
      <c r="F1869" s="5" t="s">
        <v>377</v>
      </c>
      <c r="G1869" s="5" t="s">
        <v>378</v>
      </c>
      <c r="H1869" s="5" t="s">
        <v>18</v>
      </c>
      <c r="I1869" s="7" t="s">
        <v>10962</v>
      </c>
    </row>
    <row r="1870">
      <c r="A1870" s="5" t="s">
        <v>2996</v>
      </c>
      <c r="B1870" s="5" t="s">
        <v>25</v>
      </c>
      <c r="C1870" s="5" t="s">
        <v>13</v>
      </c>
      <c r="D1870" s="5" t="s">
        <v>2991</v>
      </c>
      <c r="E1870" s="5" t="s">
        <v>165</v>
      </c>
      <c r="F1870" s="5" t="s">
        <v>377</v>
      </c>
      <c r="G1870" s="5" t="s">
        <v>378</v>
      </c>
      <c r="H1870" s="5" t="s">
        <v>18</v>
      </c>
      <c r="I1870" s="7" t="s">
        <v>2997</v>
      </c>
    </row>
    <row r="1871">
      <c r="A1871" s="5" t="s">
        <v>2998</v>
      </c>
      <c r="B1871" s="5" t="s">
        <v>2999</v>
      </c>
      <c r="C1871" s="5" t="s">
        <v>13</v>
      </c>
      <c r="D1871" s="5" t="s">
        <v>2991</v>
      </c>
      <c r="E1871" s="5" t="s">
        <v>666</v>
      </c>
      <c r="F1871" s="5" t="s">
        <v>377</v>
      </c>
      <c r="G1871" s="5" t="s">
        <v>378</v>
      </c>
      <c r="H1871" s="5" t="s">
        <v>18</v>
      </c>
      <c r="I1871" s="7" t="s">
        <v>10963</v>
      </c>
    </row>
    <row r="1872">
      <c r="A1872" s="5" t="s">
        <v>3001</v>
      </c>
      <c r="B1872" s="5" t="s">
        <v>32</v>
      </c>
      <c r="C1872" s="5" t="s">
        <v>13</v>
      </c>
      <c r="D1872" s="5" t="s">
        <v>2991</v>
      </c>
      <c r="E1872" s="5" t="s">
        <v>3002</v>
      </c>
      <c r="F1872" s="5" t="s">
        <v>377</v>
      </c>
      <c r="G1872" s="5" t="s">
        <v>378</v>
      </c>
      <c r="H1872" s="5" t="s">
        <v>18</v>
      </c>
      <c r="I1872" s="7" t="s">
        <v>3003</v>
      </c>
    </row>
    <row r="1873">
      <c r="A1873" s="5" t="s">
        <v>3004</v>
      </c>
      <c r="B1873" s="5" t="s">
        <v>32</v>
      </c>
      <c r="C1873" s="5" t="s">
        <v>13</v>
      </c>
      <c r="D1873" s="5" t="s">
        <v>2991</v>
      </c>
      <c r="E1873" s="5" t="s">
        <v>94</v>
      </c>
      <c r="F1873" s="5" t="s">
        <v>377</v>
      </c>
      <c r="G1873" s="5" t="s">
        <v>378</v>
      </c>
      <c r="H1873" s="5" t="s">
        <v>18</v>
      </c>
      <c r="I1873" s="7" t="s">
        <v>3005</v>
      </c>
    </row>
    <row r="1874">
      <c r="A1874" s="5" t="s">
        <v>3006</v>
      </c>
      <c r="B1874" s="5" t="s">
        <v>25</v>
      </c>
      <c r="C1874" s="5" t="s">
        <v>13</v>
      </c>
      <c r="D1874" s="5" t="s">
        <v>2991</v>
      </c>
      <c r="E1874" s="5" t="s">
        <v>29</v>
      </c>
      <c r="F1874" s="5" t="s">
        <v>377</v>
      </c>
      <c r="G1874" s="5" t="s">
        <v>378</v>
      </c>
      <c r="H1874" s="5" t="s">
        <v>18</v>
      </c>
      <c r="I1874" s="7" t="s">
        <v>3007</v>
      </c>
    </row>
    <row r="1875">
      <c r="A1875" s="5" t="s">
        <v>3008</v>
      </c>
      <c r="B1875" s="5" t="s">
        <v>32</v>
      </c>
      <c r="C1875" s="5" t="s">
        <v>13</v>
      </c>
      <c r="D1875" s="5" t="s">
        <v>2991</v>
      </c>
      <c r="E1875" s="5" t="s">
        <v>192</v>
      </c>
      <c r="F1875" s="5" t="s">
        <v>377</v>
      </c>
      <c r="G1875" s="5" t="s">
        <v>378</v>
      </c>
      <c r="H1875" s="5" t="s">
        <v>18</v>
      </c>
      <c r="I1875" s="7" t="s">
        <v>10964</v>
      </c>
    </row>
    <row r="1876">
      <c r="A1876" s="5" t="s">
        <v>3010</v>
      </c>
      <c r="B1876" s="5" t="s">
        <v>3011</v>
      </c>
      <c r="C1876" s="5" t="s">
        <v>13</v>
      </c>
      <c r="D1876" s="5" t="s">
        <v>2991</v>
      </c>
      <c r="E1876" s="5" t="s">
        <v>351</v>
      </c>
      <c r="F1876" s="5" t="s">
        <v>377</v>
      </c>
      <c r="G1876" s="5" t="s">
        <v>378</v>
      </c>
      <c r="H1876" s="5" t="s">
        <v>18</v>
      </c>
      <c r="I1876" s="7" t="s">
        <v>3012</v>
      </c>
    </row>
    <row r="1877">
      <c r="A1877" s="5" t="s">
        <v>3013</v>
      </c>
      <c r="B1877" s="5" t="s">
        <v>3014</v>
      </c>
      <c r="C1877" s="5" t="s">
        <v>13</v>
      </c>
      <c r="D1877" s="5" t="s">
        <v>2991</v>
      </c>
      <c r="E1877" s="5" t="s">
        <v>257</v>
      </c>
      <c r="F1877" s="5" t="s">
        <v>64</v>
      </c>
      <c r="G1877" s="5" t="s">
        <v>65</v>
      </c>
      <c r="H1877" s="5" t="s">
        <v>18</v>
      </c>
      <c r="I1877" s="7" t="s">
        <v>10965</v>
      </c>
    </row>
    <row r="1878">
      <c r="A1878" s="5" t="s">
        <v>3016</v>
      </c>
      <c r="B1878" s="5" t="s">
        <v>3017</v>
      </c>
      <c r="C1878" s="5" t="s">
        <v>13</v>
      </c>
      <c r="D1878" s="5" t="s">
        <v>2991</v>
      </c>
      <c r="E1878" s="5" t="s">
        <v>958</v>
      </c>
      <c r="F1878" s="5" t="s">
        <v>1274</v>
      </c>
      <c r="G1878" s="5" t="s">
        <v>76</v>
      </c>
      <c r="H1878" s="5" t="s">
        <v>18</v>
      </c>
      <c r="I1878" s="7" t="s">
        <v>10966</v>
      </c>
    </row>
    <row r="1879">
      <c r="A1879" s="5" t="s">
        <v>3019</v>
      </c>
      <c r="B1879" s="5" t="s">
        <v>3020</v>
      </c>
      <c r="C1879" s="5" t="s">
        <v>13</v>
      </c>
      <c r="D1879" s="5" t="s">
        <v>2991</v>
      </c>
      <c r="E1879" s="5" t="s">
        <v>257</v>
      </c>
      <c r="F1879" s="5" t="s">
        <v>80</v>
      </c>
      <c r="G1879" s="5" t="s">
        <v>38</v>
      </c>
      <c r="H1879" s="5" t="s">
        <v>18</v>
      </c>
      <c r="I1879" s="7" t="s">
        <v>3021</v>
      </c>
    </row>
    <row r="1880">
      <c r="A1880" s="5" t="s">
        <v>1223</v>
      </c>
      <c r="B1880" s="5" t="s">
        <v>25</v>
      </c>
      <c r="C1880" s="5" t="s">
        <v>13</v>
      </c>
      <c r="D1880" s="5" t="s">
        <v>2991</v>
      </c>
      <c r="E1880" s="5" t="s">
        <v>3022</v>
      </c>
      <c r="F1880" s="5" t="s">
        <v>112</v>
      </c>
      <c r="G1880" s="5" t="s">
        <v>38</v>
      </c>
      <c r="H1880" s="5" t="s">
        <v>18</v>
      </c>
      <c r="I1880" s="7" t="s">
        <v>3023</v>
      </c>
    </row>
    <row r="1881">
      <c r="A1881" s="5" t="s">
        <v>3024</v>
      </c>
      <c r="B1881" s="5" t="s">
        <v>25</v>
      </c>
      <c r="C1881" s="5" t="s">
        <v>13</v>
      </c>
      <c r="D1881" s="5" t="s">
        <v>2991</v>
      </c>
      <c r="E1881" s="5" t="s">
        <v>15</v>
      </c>
      <c r="F1881" s="5" t="s">
        <v>112</v>
      </c>
      <c r="G1881" s="5" t="s">
        <v>38</v>
      </c>
      <c r="H1881" s="5" t="s">
        <v>18</v>
      </c>
      <c r="I1881" s="7" t="s">
        <v>10967</v>
      </c>
    </row>
    <row r="1882">
      <c r="A1882" s="5" t="s">
        <v>3026</v>
      </c>
      <c r="B1882" s="5" t="s">
        <v>2155</v>
      </c>
      <c r="C1882" s="5" t="s">
        <v>13</v>
      </c>
      <c r="D1882" s="5" t="s">
        <v>2991</v>
      </c>
      <c r="E1882" s="5" t="s">
        <v>1629</v>
      </c>
      <c r="F1882" s="5" t="s">
        <v>122</v>
      </c>
      <c r="G1882" s="5" t="s">
        <v>44</v>
      </c>
      <c r="H1882" s="5" t="s">
        <v>18</v>
      </c>
      <c r="I1882" s="7" t="s">
        <v>10968</v>
      </c>
    </row>
    <row r="1883">
      <c r="A1883" s="5" t="s">
        <v>3028</v>
      </c>
      <c r="B1883" s="5" t="s">
        <v>32</v>
      </c>
      <c r="C1883" s="5" t="s">
        <v>13</v>
      </c>
      <c r="D1883" s="5" t="s">
        <v>2991</v>
      </c>
      <c r="E1883" s="5" t="s">
        <v>53</v>
      </c>
      <c r="F1883" s="5" t="s">
        <v>122</v>
      </c>
      <c r="G1883" s="5" t="s">
        <v>44</v>
      </c>
      <c r="H1883" s="5" t="s">
        <v>18</v>
      </c>
      <c r="I1883" s="7" t="s">
        <v>3029</v>
      </c>
    </row>
    <row r="1884">
      <c r="A1884" s="5" t="s">
        <v>3030</v>
      </c>
      <c r="B1884" s="5" t="s">
        <v>3031</v>
      </c>
      <c r="C1884" s="5" t="s">
        <v>13</v>
      </c>
      <c r="D1884" s="5" t="s">
        <v>2991</v>
      </c>
      <c r="E1884" s="5" t="s">
        <v>213</v>
      </c>
      <c r="F1884" s="5" t="s">
        <v>3032</v>
      </c>
      <c r="G1884" s="5" t="s">
        <v>378</v>
      </c>
      <c r="H1884" s="5" t="s">
        <v>18</v>
      </c>
      <c r="I1884" s="7" t="s">
        <v>10969</v>
      </c>
    </row>
    <row r="1885">
      <c r="A1885" s="5" t="s">
        <v>3034</v>
      </c>
      <c r="B1885" s="5" t="s">
        <v>25</v>
      </c>
      <c r="C1885" s="5" t="s">
        <v>13</v>
      </c>
      <c r="D1885" s="5" t="s">
        <v>2991</v>
      </c>
      <c r="E1885" s="5" t="s">
        <v>217</v>
      </c>
      <c r="F1885" s="5" t="s">
        <v>1852</v>
      </c>
      <c r="G1885" s="5" t="s">
        <v>38</v>
      </c>
      <c r="H1885" s="5" t="s">
        <v>18</v>
      </c>
      <c r="I1885" s="7" t="s">
        <v>3035</v>
      </c>
    </row>
    <row r="1886">
      <c r="A1886" s="5" t="s">
        <v>3036</v>
      </c>
      <c r="B1886" s="5" t="s">
        <v>371</v>
      </c>
      <c r="C1886" s="5" t="s">
        <v>13</v>
      </c>
      <c r="D1886" s="5" t="s">
        <v>2991</v>
      </c>
      <c r="E1886" s="5" t="s">
        <v>523</v>
      </c>
      <c r="F1886" s="5" t="s">
        <v>3037</v>
      </c>
      <c r="G1886" s="5" t="s">
        <v>3038</v>
      </c>
      <c r="H1886" s="5" t="s">
        <v>18</v>
      </c>
      <c r="I1886" s="7" t="s">
        <v>3039</v>
      </c>
    </row>
    <row r="1887">
      <c r="A1887" s="5" t="s">
        <v>3040</v>
      </c>
      <c r="B1887" s="5" t="s">
        <v>361</v>
      </c>
      <c r="C1887" s="5" t="s">
        <v>13</v>
      </c>
      <c r="D1887" s="5" t="s">
        <v>2991</v>
      </c>
      <c r="E1887" s="5" t="s">
        <v>1300</v>
      </c>
      <c r="F1887" s="5" t="s">
        <v>3037</v>
      </c>
      <c r="G1887" s="5" t="s">
        <v>3038</v>
      </c>
      <c r="H1887" s="5" t="s">
        <v>18</v>
      </c>
      <c r="I1887" s="7" t="s">
        <v>3041</v>
      </c>
    </row>
    <row r="1888">
      <c r="A1888" s="5" t="s">
        <v>3042</v>
      </c>
      <c r="B1888" s="5" t="s">
        <v>32</v>
      </c>
      <c r="C1888" s="5" t="s">
        <v>13</v>
      </c>
      <c r="D1888" s="5" t="s">
        <v>2991</v>
      </c>
      <c r="E1888" s="5" t="s">
        <v>523</v>
      </c>
      <c r="F1888" s="5" t="s">
        <v>3037</v>
      </c>
      <c r="G1888" s="5" t="s">
        <v>3038</v>
      </c>
      <c r="H1888" s="5" t="s">
        <v>18</v>
      </c>
      <c r="I1888" s="7" t="s">
        <v>3043</v>
      </c>
    </row>
    <row r="1889">
      <c r="A1889" s="5" t="s">
        <v>3044</v>
      </c>
      <c r="B1889" s="5" t="s">
        <v>25</v>
      </c>
      <c r="C1889" s="5" t="s">
        <v>13</v>
      </c>
      <c r="D1889" s="5" t="s">
        <v>2991</v>
      </c>
      <c r="E1889" s="5" t="s">
        <v>36</v>
      </c>
      <c r="F1889" s="5" t="s">
        <v>3045</v>
      </c>
      <c r="G1889" s="5" t="s">
        <v>378</v>
      </c>
      <c r="H1889" s="5" t="s">
        <v>18</v>
      </c>
      <c r="I1889" s="7" t="s">
        <v>3046</v>
      </c>
    </row>
    <row r="1890">
      <c r="A1890" s="5" t="s">
        <v>3047</v>
      </c>
      <c r="B1890" s="5" t="s">
        <v>25</v>
      </c>
      <c r="C1890" s="5" t="s">
        <v>13</v>
      </c>
      <c r="D1890" s="5" t="s">
        <v>2991</v>
      </c>
      <c r="E1890" s="5" t="s">
        <v>121</v>
      </c>
      <c r="F1890" s="5" t="s">
        <v>3048</v>
      </c>
      <c r="G1890" s="5" t="s">
        <v>378</v>
      </c>
      <c r="H1890" s="5" t="s">
        <v>18</v>
      </c>
      <c r="I1890" s="7" t="s">
        <v>3049</v>
      </c>
    </row>
    <row r="1891">
      <c r="A1891" s="5" t="s">
        <v>3050</v>
      </c>
      <c r="B1891" s="5" t="s">
        <v>3051</v>
      </c>
      <c r="C1891" s="5" t="s">
        <v>13</v>
      </c>
      <c r="D1891" s="5" t="s">
        <v>2991</v>
      </c>
      <c r="E1891" s="5" t="s">
        <v>365</v>
      </c>
      <c r="F1891" s="5" t="s">
        <v>3048</v>
      </c>
      <c r="G1891" s="5" t="s">
        <v>378</v>
      </c>
      <c r="H1891" s="5" t="s">
        <v>18</v>
      </c>
      <c r="I1891" s="7" t="s">
        <v>10970</v>
      </c>
    </row>
    <row r="1892">
      <c r="A1892" s="5" t="s">
        <v>7697</v>
      </c>
      <c r="B1892" s="5" t="s">
        <v>7698</v>
      </c>
      <c r="D1892" s="5" t="s">
        <v>3055</v>
      </c>
      <c r="E1892" s="5" t="s">
        <v>409</v>
      </c>
      <c r="F1892" s="5" t="s">
        <v>132</v>
      </c>
      <c r="G1892" s="5" t="s">
        <v>133</v>
      </c>
      <c r="H1892" s="5" t="s">
        <v>18</v>
      </c>
      <c r="I1892" s="7" t="s">
        <v>10971</v>
      </c>
    </row>
    <row r="1893">
      <c r="A1893" s="5" t="s">
        <v>8085</v>
      </c>
      <c r="B1893" s="5" t="s">
        <v>4749</v>
      </c>
      <c r="D1893" s="5" t="s">
        <v>3055</v>
      </c>
      <c r="E1893" s="5" t="s">
        <v>651</v>
      </c>
      <c r="F1893" s="5" t="s">
        <v>150</v>
      </c>
      <c r="G1893" s="5" t="s">
        <v>44</v>
      </c>
      <c r="H1893" s="5" t="s">
        <v>18</v>
      </c>
      <c r="I1893" s="7" t="s">
        <v>8084</v>
      </c>
    </row>
    <row r="1894">
      <c r="A1894" s="5" t="s">
        <v>8622</v>
      </c>
      <c r="B1894" s="5" t="s">
        <v>8623</v>
      </c>
      <c r="D1894" s="5" t="s">
        <v>3055</v>
      </c>
      <c r="E1894" s="5" t="s">
        <v>822</v>
      </c>
      <c r="F1894" s="5" t="s">
        <v>166</v>
      </c>
      <c r="G1894" s="5" t="s">
        <v>44</v>
      </c>
      <c r="H1894" s="5" t="s">
        <v>18</v>
      </c>
      <c r="I1894" s="7" t="s">
        <v>10972</v>
      </c>
    </row>
    <row r="1895">
      <c r="A1895" s="5" t="s">
        <v>3057</v>
      </c>
      <c r="B1895" s="5" t="s">
        <v>3058</v>
      </c>
      <c r="D1895" s="5" t="s">
        <v>3055</v>
      </c>
      <c r="E1895" s="5" t="s">
        <v>694</v>
      </c>
      <c r="F1895" s="5" t="s">
        <v>166</v>
      </c>
      <c r="G1895" s="5" t="s">
        <v>44</v>
      </c>
      <c r="H1895" s="5" t="s">
        <v>18</v>
      </c>
      <c r="I1895" s="7" t="s">
        <v>10973</v>
      </c>
    </row>
    <row r="1896">
      <c r="A1896" s="5" t="s">
        <v>8634</v>
      </c>
      <c r="B1896" s="5" t="s">
        <v>4749</v>
      </c>
      <c r="D1896" s="5" t="s">
        <v>3055</v>
      </c>
      <c r="E1896" s="5" t="s">
        <v>651</v>
      </c>
      <c r="F1896" s="5" t="s">
        <v>166</v>
      </c>
      <c r="G1896" s="5" t="s">
        <v>44</v>
      </c>
      <c r="H1896" s="5" t="s">
        <v>18</v>
      </c>
      <c r="I1896" s="7" t="s">
        <v>8633</v>
      </c>
    </row>
    <row r="1897">
      <c r="A1897" s="5" t="s">
        <v>3062</v>
      </c>
      <c r="B1897" s="5" t="s">
        <v>3063</v>
      </c>
      <c r="D1897" s="5" t="s">
        <v>3055</v>
      </c>
      <c r="E1897" s="5" t="s">
        <v>36</v>
      </c>
      <c r="F1897" s="5" t="s">
        <v>166</v>
      </c>
      <c r="G1897" s="5" t="s">
        <v>44</v>
      </c>
      <c r="H1897" s="5" t="s">
        <v>18</v>
      </c>
      <c r="I1897" s="7" t="s">
        <v>8650</v>
      </c>
    </row>
    <row r="1898">
      <c r="A1898" s="5" t="s">
        <v>3068</v>
      </c>
      <c r="B1898" s="5" t="s">
        <v>3069</v>
      </c>
      <c r="D1898" s="5" t="s">
        <v>3055</v>
      </c>
      <c r="E1898" s="5" t="s">
        <v>188</v>
      </c>
      <c r="F1898" s="5" t="s">
        <v>166</v>
      </c>
      <c r="G1898" s="5" t="s">
        <v>44</v>
      </c>
      <c r="H1898" s="5" t="s">
        <v>18</v>
      </c>
      <c r="I1898" s="7" t="s">
        <v>10974</v>
      </c>
    </row>
    <row r="1899">
      <c r="A1899" s="5" t="s">
        <v>3083</v>
      </c>
      <c r="B1899" s="5" t="s">
        <v>3084</v>
      </c>
      <c r="D1899" s="5" t="s">
        <v>3055</v>
      </c>
      <c r="E1899" s="5" t="s">
        <v>890</v>
      </c>
      <c r="F1899" s="5" t="s">
        <v>169</v>
      </c>
      <c r="G1899" s="5" t="s">
        <v>44</v>
      </c>
      <c r="H1899" s="5" t="s">
        <v>18</v>
      </c>
      <c r="I1899" s="7" t="s">
        <v>10975</v>
      </c>
    </row>
    <row r="1900">
      <c r="A1900" s="5" t="s">
        <v>3086</v>
      </c>
      <c r="B1900" s="5" t="s">
        <v>3087</v>
      </c>
      <c r="D1900" s="5" t="s">
        <v>3055</v>
      </c>
      <c r="E1900" s="5" t="s">
        <v>1065</v>
      </c>
      <c r="F1900" s="5" t="s">
        <v>468</v>
      </c>
      <c r="G1900" s="5" t="s">
        <v>44</v>
      </c>
      <c r="H1900" s="5" t="s">
        <v>18</v>
      </c>
      <c r="I1900" s="7" t="s">
        <v>10976</v>
      </c>
    </row>
    <row r="1901">
      <c r="A1901" s="5" t="s">
        <v>8901</v>
      </c>
      <c r="B1901" s="5" t="s">
        <v>8902</v>
      </c>
      <c r="D1901" s="5" t="s">
        <v>3055</v>
      </c>
      <c r="E1901" s="5" t="s">
        <v>314</v>
      </c>
      <c r="F1901" s="5" t="s">
        <v>468</v>
      </c>
      <c r="G1901" s="5" t="s">
        <v>44</v>
      </c>
      <c r="H1901" s="5" t="s">
        <v>18</v>
      </c>
      <c r="I1901" s="7" t="s">
        <v>10977</v>
      </c>
    </row>
    <row r="1902">
      <c r="A1902" s="5" t="s">
        <v>3054</v>
      </c>
      <c r="B1902" s="5" t="s">
        <v>32</v>
      </c>
      <c r="C1902" s="5" t="s">
        <v>13</v>
      </c>
      <c r="D1902" s="5" t="s">
        <v>3055</v>
      </c>
      <c r="E1902" s="5" t="s">
        <v>1637</v>
      </c>
      <c r="F1902" s="5" t="s">
        <v>1353</v>
      </c>
      <c r="G1902" s="5" t="s">
        <v>1354</v>
      </c>
      <c r="H1902" s="5" t="s">
        <v>18</v>
      </c>
      <c r="I1902" s="7" t="s">
        <v>3056</v>
      </c>
    </row>
    <row r="1903">
      <c r="A1903" s="5" t="s">
        <v>3057</v>
      </c>
      <c r="B1903" s="5" t="s">
        <v>3058</v>
      </c>
      <c r="C1903" s="5" t="s">
        <v>13</v>
      </c>
      <c r="D1903" s="5" t="s">
        <v>3055</v>
      </c>
      <c r="E1903" s="5" t="s">
        <v>694</v>
      </c>
      <c r="F1903" s="5" t="s">
        <v>166</v>
      </c>
      <c r="G1903" s="5" t="s">
        <v>44</v>
      </c>
      <c r="H1903" s="5" t="s">
        <v>18</v>
      </c>
      <c r="I1903" s="7" t="s">
        <v>10978</v>
      </c>
    </row>
    <row r="1904">
      <c r="A1904" s="5" t="s">
        <v>3060</v>
      </c>
      <c r="B1904" s="5" t="s">
        <v>25</v>
      </c>
      <c r="C1904" s="5" t="s">
        <v>13</v>
      </c>
      <c r="D1904" s="5" t="s">
        <v>3055</v>
      </c>
      <c r="E1904" s="5" t="s">
        <v>144</v>
      </c>
      <c r="F1904" s="5" t="s">
        <v>166</v>
      </c>
      <c r="G1904" s="5" t="s">
        <v>44</v>
      </c>
      <c r="H1904" s="5" t="s">
        <v>18</v>
      </c>
      <c r="I1904" s="7" t="s">
        <v>3061</v>
      </c>
    </row>
    <row r="1905">
      <c r="A1905" s="5" t="s">
        <v>3062</v>
      </c>
      <c r="B1905" s="5" t="s">
        <v>3063</v>
      </c>
      <c r="C1905" s="5" t="s">
        <v>13</v>
      </c>
      <c r="D1905" s="5" t="s">
        <v>3055</v>
      </c>
      <c r="E1905" s="5" t="s">
        <v>36</v>
      </c>
      <c r="F1905" s="5" t="s">
        <v>166</v>
      </c>
      <c r="G1905" s="5" t="s">
        <v>44</v>
      </c>
      <c r="H1905" s="5" t="s">
        <v>18</v>
      </c>
      <c r="I1905" s="7" t="s">
        <v>3064</v>
      </c>
    </row>
    <row r="1906">
      <c r="A1906" s="5" t="s">
        <v>3065</v>
      </c>
      <c r="B1906" s="5" t="s">
        <v>3066</v>
      </c>
      <c r="C1906" s="5" t="s">
        <v>13</v>
      </c>
      <c r="D1906" s="5" t="s">
        <v>3055</v>
      </c>
      <c r="E1906" s="5" t="s">
        <v>283</v>
      </c>
      <c r="F1906" s="5" t="s">
        <v>166</v>
      </c>
      <c r="G1906" s="5" t="s">
        <v>44</v>
      </c>
      <c r="H1906" s="5" t="s">
        <v>18</v>
      </c>
      <c r="I1906" s="7" t="s">
        <v>10979</v>
      </c>
    </row>
    <row r="1907">
      <c r="A1907" s="5" t="s">
        <v>3068</v>
      </c>
      <c r="B1907" s="5" t="s">
        <v>3069</v>
      </c>
      <c r="C1907" s="5" t="s">
        <v>13</v>
      </c>
      <c r="D1907" s="5" t="s">
        <v>3055</v>
      </c>
      <c r="E1907" s="5" t="s">
        <v>188</v>
      </c>
      <c r="F1907" s="5" t="s">
        <v>166</v>
      </c>
      <c r="G1907" s="5" t="s">
        <v>44</v>
      </c>
      <c r="H1907" s="5" t="s">
        <v>18</v>
      </c>
      <c r="I1907" s="7" t="s">
        <v>10980</v>
      </c>
    </row>
    <row r="1908">
      <c r="A1908" s="5" t="s">
        <v>3071</v>
      </c>
      <c r="B1908" s="5" t="s">
        <v>3072</v>
      </c>
      <c r="C1908" s="5" t="s">
        <v>13</v>
      </c>
      <c r="D1908" s="5" t="s">
        <v>3055</v>
      </c>
      <c r="E1908" s="5" t="s">
        <v>822</v>
      </c>
      <c r="F1908" s="5" t="s">
        <v>166</v>
      </c>
      <c r="G1908" s="5" t="s">
        <v>44</v>
      </c>
      <c r="H1908" s="5" t="s">
        <v>18</v>
      </c>
      <c r="I1908" s="7" t="s">
        <v>10981</v>
      </c>
    </row>
    <row r="1909">
      <c r="A1909" s="5" t="s">
        <v>3074</v>
      </c>
      <c r="B1909" s="5" t="s">
        <v>25</v>
      </c>
      <c r="C1909" s="5" t="s">
        <v>13</v>
      </c>
      <c r="D1909" s="5" t="s">
        <v>3055</v>
      </c>
      <c r="E1909" s="5" t="s">
        <v>121</v>
      </c>
      <c r="F1909" s="5" t="s">
        <v>166</v>
      </c>
      <c r="G1909" s="5" t="s">
        <v>44</v>
      </c>
      <c r="H1909" s="5" t="s">
        <v>18</v>
      </c>
      <c r="I1909" s="7" t="s">
        <v>3075</v>
      </c>
    </row>
    <row r="1910">
      <c r="A1910" s="5" t="s">
        <v>3071</v>
      </c>
      <c r="B1910" s="5" t="s">
        <v>3076</v>
      </c>
      <c r="C1910" s="5" t="s">
        <v>13</v>
      </c>
      <c r="D1910" s="5" t="s">
        <v>3055</v>
      </c>
      <c r="E1910" s="5" t="s">
        <v>36</v>
      </c>
      <c r="F1910" s="5" t="s">
        <v>166</v>
      </c>
      <c r="G1910" s="5" t="s">
        <v>44</v>
      </c>
      <c r="H1910" s="5" t="s">
        <v>18</v>
      </c>
      <c r="I1910" s="7" t="s">
        <v>3077</v>
      </c>
    </row>
    <row r="1911">
      <c r="A1911" s="5" t="s">
        <v>3078</v>
      </c>
      <c r="B1911" s="5" t="s">
        <v>25</v>
      </c>
      <c r="C1911" s="5" t="s">
        <v>13</v>
      </c>
      <c r="D1911" s="5" t="s">
        <v>3055</v>
      </c>
      <c r="E1911" s="5" t="s">
        <v>182</v>
      </c>
      <c r="F1911" s="5" t="s">
        <v>166</v>
      </c>
      <c r="G1911" s="5" t="s">
        <v>44</v>
      </c>
      <c r="H1911" s="5" t="s">
        <v>18</v>
      </c>
      <c r="I1911" s="7" t="s">
        <v>3079</v>
      </c>
    </row>
    <row r="1912">
      <c r="A1912" s="5" t="s">
        <v>3080</v>
      </c>
      <c r="B1912" s="5" t="s">
        <v>3081</v>
      </c>
      <c r="C1912" s="5" t="s">
        <v>13</v>
      </c>
      <c r="D1912" s="5" t="s">
        <v>3055</v>
      </c>
      <c r="E1912" s="5" t="s">
        <v>890</v>
      </c>
      <c r="F1912" s="5" t="s">
        <v>166</v>
      </c>
      <c r="G1912" s="5" t="s">
        <v>44</v>
      </c>
      <c r="H1912" s="5" t="s">
        <v>18</v>
      </c>
      <c r="I1912" s="7" t="s">
        <v>3082</v>
      </c>
    </row>
    <row r="1913">
      <c r="A1913" s="5" t="s">
        <v>3083</v>
      </c>
      <c r="B1913" s="5" t="s">
        <v>3084</v>
      </c>
      <c r="C1913" s="5" t="s">
        <v>13</v>
      </c>
      <c r="D1913" s="5" t="s">
        <v>3055</v>
      </c>
      <c r="E1913" s="5" t="s">
        <v>890</v>
      </c>
      <c r="F1913" s="5" t="s">
        <v>169</v>
      </c>
      <c r="G1913" s="5" t="s">
        <v>44</v>
      </c>
      <c r="H1913" s="5" t="s">
        <v>18</v>
      </c>
      <c r="I1913" s="7" t="s">
        <v>10982</v>
      </c>
    </row>
    <row r="1914">
      <c r="A1914" s="5" t="s">
        <v>3086</v>
      </c>
      <c r="B1914" s="5" t="s">
        <v>3087</v>
      </c>
      <c r="C1914" s="5" t="s">
        <v>13</v>
      </c>
      <c r="D1914" s="5" t="s">
        <v>3055</v>
      </c>
      <c r="E1914" s="5" t="s">
        <v>1065</v>
      </c>
      <c r="F1914" s="5" t="s">
        <v>468</v>
      </c>
      <c r="G1914" s="5" t="s">
        <v>44</v>
      </c>
      <c r="H1914" s="5" t="s">
        <v>18</v>
      </c>
      <c r="I1914" s="7" t="s">
        <v>10983</v>
      </c>
    </row>
    <row r="1915">
      <c r="A1915" s="5" t="s">
        <v>7276</v>
      </c>
      <c r="B1915" s="5" t="s">
        <v>7277</v>
      </c>
      <c r="D1915" s="5" t="s">
        <v>3090</v>
      </c>
      <c r="F1915" s="5" t="s">
        <v>273</v>
      </c>
      <c r="G1915" s="5" t="s">
        <v>17</v>
      </c>
      <c r="H1915" s="5" t="s">
        <v>18</v>
      </c>
      <c r="I1915" s="7" t="s">
        <v>7275</v>
      </c>
    </row>
    <row r="1916">
      <c r="A1916" s="5" t="s">
        <v>8092</v>
      </c>
      <c r="B1916" s="5" t="s">
        <v>8093</v>
      </c>
      <c r="D1916" s="5" t="s">
        <v>3090</v>
      </c>
      <c r="F1916" s="5" t="s">
        <v>8094</v>
      </c>
      <c r="G1916" s="5" t="s">
        <v>44</v>
      </c>
      <c r="H1916" s="5" t="s">
        <v>18</v>
      </c>
      <c r="I1916" s="7" t="s">
        <v>8091</v>
      </c>
    </row>
    <row r="1917">
      <c r="A1917" s="5" t="s">
        <v>8092</v>
      </c>
      <c r="B1917" s="5" t="s">
        <v>7277</v>
      </c>
      <c r="D1917" s="5" t="s">
        <v>3090</v>
      </c>
      <c r="F1917" s="5" t="s">
        <v>8094</v>
      </c>
      <c r="G1917" s="5" t="s">
        <v>44</v>
      </c>
      <c r="H1917" s="5" t="s">
        <v>18</v>
      </c>
      <c r="I1917" s="7" t="s">
        <v>8095</v>
      </c>
    </row>
    <row r="1918">
      <c r="A1918" s="5" t="s">
        <v>3128</v>
      </c>
      <c r="B1918" s="5" t="s">
        <v>3129</v>
      </c>
      <c r="D1918" s="5" t="s">
        <v>3090</v>
      </c>
      <c r="E1918" s="5" t="s">
        <v>579</v>
      </c>
      <c r="F1918" s="5" t="s">
        <v>153</v>
      </c>
      <c r="G1918" s="5" t="s">
        <v>154</v>
      </c>
      <c r="H1918" s="5" t="s">
        <v>18</v>
      </c>
      <c r="I1918" s="7" t="s">
        <v>8321</v>
      </c>
    </row>
    <row r="1919">
      <c r="A1919" s="5" t="s">
        <v>8331</v>
      </c>
      <c r="B1919" s="5" t="s">
        <v>8332</v>
      </c>
      <c r="D1919" s="5" t="s">
        <v>3090</v>
      </c>
      <c r="E1919" s="5" t="s">
        <v>63</v>
      </c>
      <c r="F1919" s="5" t="s">
        <v>153</v>
      </c>
      <c r="G1919" s="5" t="s">
        <v>154</v>
      </c>
      <c r="H1919" s="5" t="s">
        <v>18</v>
      </c>
      <c r="I1919" s="7" t="s">
        <v>10984</v>
      </c>
    </row>
    <row r="1920">
      <c r="A1920" s="5" t="s">
        <v>8568</v>
      </c>
      <c r="B1920" s="5" t="s">
        <v>7277</v>
      </c>
      <c r="D1920" s="5" t="s">
        <v>3090</v>
      </c>
      <c r="E1920" s="5" t="s">
        <v>8569</v>
      </c>
      <c r="F1920" s="5" t="s">
        <v>8570</v>
      </c>
      <c r="G1920" s="5" t="s">
        <v>96</v>
      </c>
      <c r="H1920" s="5" t="s">
        <v>18</v>
      </c>
      <c r="I1920" s="7" t="s">
        <v>8567</v>
      </c>
    </row>
    <row r="1921">
      <c r="A1921" s="5" t="s">
        <v>3150</v>
      </c>
      <c r="B1921" s="5" t="s">
        <v>3151</v>
      </c>
      <c r="D1921" s="5" t="s">
        <v>3090</v>
      </c>
      <c r="E1921" s="5" t="s">
        <v>421</v>
      </c>
      <c r="F1921" s="5" t="s">
        <v>3152</v>
      </c>
      <c r="G1921" s="5" t="s">
        <v>264</v>
      </c>
      <c r="H1921" s="5" t="s">
        <v>18</v>
      </c>
      <c r="I1921" s="7" t="s">
        <v>10985</v>
      </c>
    </row>
    <row r="1922">
      <c r="A1922" s="5" t="s">
        <v>3089</v>
      </c>
      <c r="B1922" s="5" t="s">
        <v>480</v>
      </c>
      <c r="C1922" s="5" t="s">
        <v>13</v>
      </c>
      <c r="D1922" s="5" t="s">
        <v>3090</v>
      </c>
      <c r="F1922" s="5" t="s">
        <v>229</v>
      </c>
      <c r="G1922" s="5" t="s">
        <v>86</v>
      </c>
      <c r="H1922" s="5" t="s">
        <v>18</v>
      </c>
      <c r="I1922" s="7" t="s">
        <v>3091</v>
      </c>
    </row>
    <row r="1923">
      <c r="A1923" s="5" t="s">
        <v>3092</v>
      </c>
      <c r="B1923" s="5" t="s">
        <v>480</v>
      </c>
      <c r="C1923" s="5" t="s">
        <v>13</v>
      </c>
      <c r="D1923" s="5" t="s">
        <v>3090</v>
      </c>
      <c r="E1923" s="5" t="s">
        <v>192</v>
      </c>
      <c r="F1923" s="5" t="s">
        <v>1638</v>
      </c>
      <c r="G1923" s="5" t="s">
        <v>1639</v>
      </c>
      <c r="H1923" s="5" t="s">
        <v>18</v>
      </c>
      <c r="I1923" s="7" t="s">
        <v>3093</v>
      </c>
    </row>
    <row r="1924">
      <c r="A1924" s="5" t="s">
        <v>3094</v>
      </c>
      <c r="B1924" s="5" t="s">
        <v>25</v>
      </c>
      <c r="C1924" s="5" t="s">
        <v>13</v>
      </c>
      <c r="D1924" s="5" t="s">
        <v>3090</v>
      </c>
      <c r="E1924" s="5" t="s">
        <v>1240</v>
      </c>
      <c r="F1924" s="5" t="s">
        <v>3095</v>
      </c>
      <c r="G1924" s="5" t="s">
        <v>102</v>
      </c>
      <c r="H1924" s="5" t="s">
        <v>18</v>
      </c>
      <c r="I1924" s="7" t="s">
        <v>3096</v>
      </c>
    </row>
    <row r="1925">
      <c r="A1925" s="5" t="s">
        <v>3097</v>
      </c>
      <c r="B1925" s="5" t="s">
        <v>3098</v>
      </c>
      <c r="C1925" s="5" t="s">
        <v>13</v>
      </c>
      <c r="D1925" s="5" t="s">
        <v>3090</v>
      </c>
      <c r="E1925" s="5" t="s">
        <v>512</v>
      </c>
      <c r="F1925" s="5" t="s">
        <v>3099</v>
      </c>
      <c r="G1925" s="5" t="s">
        <v>154</v>
      </c>
      <c r="H1925" s="5" t="s">
        <v>18</v>
      </c>
      <c r="I1925" s="7" t="s">
        <v>10986</v>
      </c>
    </row>
    <row r="1926">
      <c r="A1926" s="5" t="s">
        <v>3101</v>
      </c>
      <c r="B1926" s="5" t="s">
        <v>3102</v>
      </c>
      <c r="C1926" s="5" t="s">
        <v>13</v>
      </c>
      <c r="D1926" s="5" t="s">
        <v>3090</v>
      </c>
      <c r="E1926" s="5" t="s">
        <v>339</v>
      </c>
      <c r="F1926" s="5" t="s">
        <v>85</v>
      </c>
      <c r="G1926" s="5" t="s">
        <v>86</v>
      </c>
      <c r="H1926" s="5" t="s">
        <v>18</v>
      </c>
      <c r="I1926" s="7" t="s">
        <v>10987</v>
      </c>
    </row>
    <row r="1927">
      <c r="A1927" s="5" t="s">
        <v>3104</v>
      </c>
      <c r="B1927" s="5" t="s">
        <v>110</v>
      </c>
      <c r="C1927" s="5" t="s">
        <v>13</v>
      </c>
      <c r="D1927" s="5" t="s">
        <v>3090</v>
      </c>
      <c r="E1927" s="5" t="s">
        <v>222</v>
      </c>
      <c r="F1927" s="5" t="s">
        <v>85</v>
      </c>
      <c r="G1927" s="5" t="s">
        <v>86</v>
      </c>
      <c r="H1927" s="5" t="s">
        <v>18</v>
      </c>
      <c r="I1927" s="7" t="s">
        <v>3105</v>
      </c>
    </row>
    <row r="1928">
      <c r="A1928" s="5" t="s">
        <v>3106</v>
      </c>
      <c r="B1928" s="5" t="s">
        <v>3107</v>
      </c>
      <c r="C1928" s="5" t="s">
        <v>13</v>
      </c>
      <c r="D1928" s="5" t="s">
        <v>3090</v>
      </c>
      <c r="E1928" s="5" t="s">
        <v>365</v>
      </c>
      <c r="F1928" s="5" t="s">
        <v>2814</v>
      </c>
      <c r="G1928" s="5" t="s">
        <v>154</v>
      </c>
      <c r="H1928" s="5" t="s">
        <v>18</v>
      </c>
      <c r="I1928" s="7" t="s">
        <v>3108</v>
      </c>
    </row>
    <row r="1929">
      <c r="A1929" s="5" t="s">
        <v>3109</v>
      </c>
      <c r="B1929" s="5" t="s">
        <v>480</v>
      </c>
      <c r="C1929" s="5" t="s">
        <v>13</v>
      </c>
      <c r="D1929" s="5" t="s">
        <v>3090</v>
      </c>
      <c r="E1929" s="5" t="s">
        <v>3110</v>
      </c>
      <c r="F1929" s="5" t="s">
        <v>3111</v>
      </c>
      <c r="G1929" s="5" t="s">
        <v>184</v>
      </c>
      <c r="H1929" s="5" t="s">
        <v>18</v>
      </c>
      <c r="I1929" s="7" t="s">
        <v>3112</v>
      </c>
    </row>
    <row r="1930">
      <c r="A1930" s="5" t="s">
        <v>3113</v>
      </c>
      <c r="B1930" s="5" t="s">
        <v>25</v>
      </c>
      <c r="C1930" s="5" t="s">
        <v>13</v>
      </c>
      <c r="D1930" s="5" t="s">
        <v>3090</v>
      </c>
      <c r="E1930" s="5" t="s">
        <v>22</v>
      </c>
      <c r="F1930" s="5" t="s">
        <v>2698</v>
      </c>
      <c r="G1930" s="5" t="s">
        <v>38</v>
      </c>
      <c r="H1930" s="5" t="s">
        <v>18</v>
      </c>
      <c r="I1930" s="7" t="s">
        <v>3114</v>
      </c>
    </row>
    <row r="1931">
      <c r="A1931" s="5" t="s">
        <v>3115</v>
      </c>
      <c r="B1931" s="5" t="s">
        <v>480</v>
      </c>
      <c r="C1931" s="5" t="s">
        <v>13</v>
      </c>
      <c r="D1931" s="5" t="s">
        <v>3090</v>
      </c>
      <c r="E1931" s="5" t="s">
        <v>15</v>
      </c>
      <c r="F1931" s="5" t="s">
        <v>3116</v>
      </c>
      <c r="G1931" s="5" t="s">
        <v>1305</v>
      </c>
      <c r="H1931" s="5" t="s">
        <v>18</v>
      </c>
      <c r="I1931" s="7" t="s">
        <v>10988</v>
      </c>
    </row>
    <row r="1932">
      <c r="A1932" s="5" t="s">
        <v>3118</v>
      </c>
      <c r="B1932" s="5" t="s">
        <v>25</v>
      </c>
      <c r="C1932" s="5" t="s">
        <v>13</v>
      </c>
      <c r="D1932" s="5" t="s">
        <v>3090</v>
      </c>
      <c r="E1932" s="5" t="s">
        <v>144</v>
      </c>
      <c r="F1932" s="5" t="s">
        <v>3119</v>
      </c>
      <c r="G1932" s="5" t="s">
        <v>154</v>
      </c>
      <c r="H1932" s="5" t="s">
        <v>18</v>
      </c>
      <c r="I1932" s="7" t="s">
        <v>3120</v>
      </c>
    </row>
    <row r="1933">
      <c r="A1933" s="5" t="s">
        <v>3121</v>
      </c>
      <c r="B1933" s="5" t="s">
        <v>480</v>
      </c>
      <c r="C1933" s="5" t="s">
        <v>13</v>
      </c>
      <c r="D1933" s="5" t="s">
        <v>3090</v>
      </c>
      <c r="E1933" s="5" t="s">
        <v>15</v>
      </c>
      <c r="F1933" s="5" t="s">
        <v>3122</v>
      </c>
      <c r="G1933" s="5" t="s">
        <v>137</v>
      </c>
      <c r="H1933" s="5" t="s">
        <v>18</v>
      </c>
      <c r="I1933" s="7" t="s">
        <v>3123</v>
      </c>
    </row>
    <row r="1934">
      <c r="A1934" s="5" t="s">
        <v>3124</v>
      </c>
      <c r="B1934" s="5" t="s">
        <v>25</v>
      </c>
      <c r="C1934" s="5" t="s">
        <v>13</v>
      </c>
      <c r="D1934" s="5" t="s">
        <v>3090</v>
      </c>
      <c r="E1934" s="5" t="s">
        <v>2288</v>
      </c>
      <c r="F1934" s="5" t="s">
        <v>122</v>
      </c>
      <c r="G1934" s="5" t="s">
        <v>44</v>
      </c>
      <c r="H1934" s="5" t="s">
        <v>18</v>
      </c>
      <c r="I1934" s="7" t="s">
        <v>3125</v>
      </c>
    </row>
    <row r="1935">
      <c r="A1935" s="5" t="s">
        <v>3126</v>
      </c>
      <c r="B1935" s="5" t="s">
        <v>480</v>
      </c>
      <c r="C1935" s="5" t="s">
        <v>13</v>
      </c>
      <c r="D1935" s="5" t="s">
        <v>3090</v>
      </c>
      <c r="E1935" s="5" t="s">
        <v>512</v>
      </c>
      <c r="F1935" s="5" t="s">
        <v>1437</v>
      </c>
      <c r="G1935" s="5" t="s">
        <v>203</v>
      </c>
      <c r="H1935" s="5" t="s">
        <v>18</v>
      </c>
      <c r="I1935" s="7" t="s">
        <v>3127</v>
      </c>
    </row>
    <row r="1936">
      <c r="A1936" s="5" t="s">
        <v>3128</v>
      </c>
      <c r="B1936" s="5" t="s">
        <v>3129</v>
      </c>
      <c r="C1936" s="5" t="s">
        <v>13</v>
      </c>
      <c r="D1936" s="5" t="s">
        <v>3090</v>
      </c>
      <c r="E1936" s="5" t="s">
        <v>579</v>
      </c>
      <c r="F1936" s="5" t="s">
        <v>153</v>
      </c>
      <c r="G1936" s="5" t="s">
        <v>154</v>
      </c>
      <c r="H1936" s="5" t="s">
        <v>18</v>
      </c>
      <c r="I1936" s="7" t="s">
        <v>3130</v>
      </c>
    </row>
    <row r="1937">
      <c r="A1937" s="5" t="s">
        <v>3131</v>
      </c>
      <c r="B1937" s="5" t="s">
        <v>3132</v>
      </c>
      <c r="C1937" s="5" t="s">
        <v>13</v>
      </c>
      <c r="D1937" s="5" t="s">
        <v>3090</v>
      </c>
      <c r="E1937" s="5" t="s">
        <v>36</v>
      </c>
      <c r="F1937" s="5" t="s">
        <v>153</v>
      </c>
      <c r="G1937" s="5" t="s">
        <v>154</v>
      </c>
      <c r="H1937" s="5" t="s">
        <v>18</v>
      </c>
      <c r="I1937" s="7" t="s">
        <v>3133</v>
      </c>
    </row>
    <row r="1938">
      <c r="A1938" s="5" t="s">
        <v>3134</v>
      </c>
      <c r="B1938" s="5" t="s">
        <v>480</v>
      </c>
      <c r="C1938" s="5" t="s">
        <v>13</v>
      </c>
      <c r="D1938" s="5" t="s">
        <v>3090</v>
      </c>
      <c r="E1938" s="5" t="s">
        <v>165</v>
      </c>
      <c r="F1938" s="5" t="s">
        <v>3135</v>
      </c>
      <c r="G1938" s="5" t="s">
        <v>154</v>
      </c>
      <c r="H1938" s="5" t="s">
        <v>18</v>
      </c>
      <c r="I1938" s="7" t="s">
        <v>3136</v>
      </c>
    </row>
    <row r="1939">
      <c r="A1939" s="5" t="s">
        <v>3137</v>
      </c>
      <c r="B1939" s="5" t="s">
        <v>25</v>
      </c>
      <c r="C1939" s="5" t="s">
        <v>13</v>
      </c>
      <c r="D1939" s="5" t="s">
        <v>3090</v>
      </c>
      <c r="E1939" s="5" t="s">
        <v>188</v>
      </c>
      <c r="F1939" s="5" t="s">
        <v>295</v>
      </c>
      <c r="G1939" s="5" t="s">
        <v>154</v>
      </c>
      <c r="H1939" s="5" t="s">
        <v>18</v>
      </c>
      <c r="I1939" s="7" t="s">
        <v>3138</v>
      </c>
    </row>
    <row r="1940">
      <c r="A1940" s="5" t="s">
        <v>3139</v>
      </c>
      <c r="B1940" s="5" t="s">
        <v>3140</v>
      </c>
      <c r="C1940" s="5" t="s">
        <v>13</v>
      </c>
      <c r="D1940" s="5" t="s">
        <v>3090</v>
      </c>
      <c r="E1940" s="5" t="s">
        <v>60</v>
      </c>
      <c r="F1940" s="5" t="s">
        <v>2339</v>
      </c>
      <c r="G1940" s="5" t="s">
        <v>781</v>
      </c>
      <c r="H1940" s="5" t="s">
        <v>18</v>
      </c>
      <c r="I1940" s="7" t="s">
        <v>3141</v>
      </c>
    </row>
    <row r="1941">
      <c r="A1941" s="5" t="s">
        <v>3142</v>
      </c>
      <c r="B1941" s="5" t="s">
        <v>3143</v>
      </c>
      <c r="C1941" s="5" t="s">
        <v>13</v>
      </c>
      <c r="D1941" s="5" t="s">
        <v>3090</v>
      </c>
      <c r="E1941" s="5" t="s">
        <v>94</v>
      </c>
      <c r="F1941" s="5" t="s">
        <v>3144</v>
      </c>
      <c r="G1941" s="5" t="s">
        <v>184</v>
      </c>
      <c r="H1941" s="5" t="s">
        <v>18</v>
      </c>
      <c r="I1941" s="7" t="s">
        <v>3145</v>
      </c>
    </row>
    <row r="1942">
      <c r="A1942" s="5" t="s">
        <v>3146</v>
      </c>
      <c r="B1942" s="5" t="s">
        <v>3147</v>
      </c>
      <c r="C1942" s="5" t="s">
        <v>13</v>
      </c>
      <c r="D1942" s="5" t="s">
        <v>3090</v>
      </c>
      <c r="E1942" s="5" t="s">
        <v>277</v>
      </c>
      <c r="F1942" s="5" t="s">
        <v>3148</v>
      </c>
      <c r="G1942" s="5" t="s">
        <v>1639</v>
      </c>
      <c r="H1942" s="5" t="s">
        <v>18</v>
      </c>
      <c r="I1942" s="7" t="s">
        <v>3149</v>
      </c>
    </row>
    <row r="1943">
      <c r="A1943" s="5" t="s">
        <v>3150</v>
      </c>
      <c r="B1943" s="5" t="s">
        <v>3151</v>
      </c>
      <c r="C1943" s="5" t="s">
        <v>13</v>
      </c>
      <c r="D1943" s="5" t="s">
        <v>3090</v>
      </c>
      <c r="E1943" s="5" t="s">
        <v>421</v>
      </c>
      <c r="F1943" s="5" t="s">
        <v>3152</v>
      </c>
      <c r="G1943" s="5" t="s">
        <v>264</v>
      </c>
      <c r="H1943" s="5" t="s">
        <v>18</v>
      </c>
      <c r="I1943" s="7" t="s">
        <v>10989</v>
      </c>
    </row>
    <row r="1944">
      <c r="A1944" s="5" t="s">
        <v>3154</v>
      </c>
      <c r="B1944" s="5" t="s">
        <v>25</v>
      </c>
      <c r="C1944" s="5" t="s">
        <v>13</v>
      </c>
      <c r="D1944" s="5" t="s">
        <v>3090</v>
      </c>
      <c r="E1944" s="5" t="s">
        <v>136</v>
      </c>
      <c r="F1944" s="5" t="s">
        <v>3155</v>
      </c>
      <c r="G1944" s="5" t="s">
        <v>763</v>
      </c>
      <c r="H1944" s="5" t="s">
        <v>18</v>
      </c>
      <c r="I1944" s="7" t="s">
        <v>3156</v>
      </c>
    </row>
    <row r="1945">
      <c r="A1945" s="5" t="s">
        <v>3157</v>
      </c>
      <c r="B1945" s="5" t="s">
        <v>25</v>
      </c>
      <c r="C1945" s="5" t="s">
        <v>13</v>
      </c>
      <c r="D1945" s="5" t="s">
        <v>3090</v>
      </c>
      <c r="E1945" s="5" t="s">
        <v>63</v>
      </c>
      <c r="F1945" s="5" t="s">
        <v>102</v>
      </c>
      <c r="G1945" s="5" t="s">
        <v>172</v>
      </c>
      <c r="H1945" s="5" t="s">
        <v>18</v>
      </c>
      <c r="I1945" s="7" t="s">
        <v>3158</v>
      </c>
    </row>
    <row r="1946">
      <c r="A1946" s="5" t="s">
        <v>3159</v>
      </c>
      <c r="B1946" s="5" t="s">
        <v>3160</v>
      </c>
      <c r="C1946" s="5" t="s">
        <v>13</v>
      </c>
      <c r="D1946" s="5" t="s">
        <v>3090</v>
      </c>
      <c r="E1946" s="5" t="s">
        <v>165</v>
      </c>
      <c r="F1946" s="5" t="s">
        <v>102</v>
      </c>
      <c r="G1946" s="5" t="s">
        <v>172</v>
      </c>
      <c r="H1946" s="5" t="s">
        <v>18</v>
      </c>
      <c r="I1946" s="7" t="s">
        <v>10990</v>
      </c>
    </row>
    <row r="1947">
      <c r="A1947" s="5" t="s">
        <v>3162</v>
      </c>
      <c r="B1947" s="5" t="s">
        <v>25</v>
      </c>
      <c r="C1947" s="5" t="s">
        <v>13</v>
      </c>
      <c r="D1947" s="5" t="s">
        <v>3090</v>
      </c>
      <c r="E1947" s="5" t="s">
        <v>192</v>
      </c>
      <c r="F1947" s="5" t="s">
        <v>102</v>
      </c>
      <c r="G1947" s="5" t="s">
        <v>172</v>
      </c>
      <c r="H1947" s="5" t="s">
        <v>18</v>
      </c>
      <c r="I1947" s="7" t="s">
        <v>3163</v>
      </c>
    </row>
    <row r="1948">
      <c r="A1948" s="5" t="s">
        <v>3164</v>
      </c>
      <c r="B1948" s="5" t="s">
        <v>480</v>
      </c>
      <c r="C1948" s="5" t="s">
        <v>13</v>
      </c>
      <c r="D1948" s="5" t="s">
        <v>3090</v>
      </c>
      <c r="E1948" s="5" t="s">
        <v>144</v>
      </c>
      <c r="F1948" s="5" t="s">
        <v>3165</v>
      </c>
      <c r="G1948" s="5" t="s">
        <v>154</v>
      </c>
      <c r="H1948" s="5" t="s">
        <v>18</v>
      </c>
      <c r="I1948" s="7" t="s">
        <v>3166</v>
      </c>
    </row>
    <row r="1949">
      <c r="A1949" s="5" t="s">
        <v>3167</v>
      </c>
      <c r="B1949" s="5" t="s">
        <v>1028</v>
      </c>
      <c r="C1949" s="5" t="s">
        <v>13</v>
      </c>
      <c r="D1949" s="5" t="s">
        <v>3168</v>
      </c>
      <c r="E1949" s="5" t="s">
        <v>455</v>
      </c>
      <c r="F1949" s="5" t="s">
        <v>166</v>
      </c>
      <c r="G1949" s="5" t="s">
        <v>44</v>
      </c>
      <c r="H1949" s="5" t="s">
        <v>18</v>
      </c>
      <c r="I1949" s="7" t="s">
        <v>3169</v>
      </c>
    </row>
    <row r="1950">
      <c r="A1950" s="5" t="s">
        <v>3170</v>
      </c>
      <c r="B1950" s="5" t="s">
        <v>110</v>
      </c>
      <c r="C1950" s="5" t="s">
        <v>13</v>
      </c>
      <c r="D1950" s="5" t="s">
        <v>3168</v>
      </c>
      <c r="F1950" s="5" t="s">
        <v>166</v>
      </c>
      <c r="G1950" s="5" t="s">
        <v>44</v>
      </c>
      <c r="H1950" s="5" t="s">
        <v>18</v>
      </c>
      <c r="I1950" s="7" t="s">
        <v>3171</v>
      </c>
    </row>
    <row r="1951">
      <c r="A1951" s="5" t="s">
        <v>3172</v>
      </c>
      <c r="B1951" s="5" t="s">
        <v>3173</v>
      </c>
      <c r="C1951" s="5" t="s">
        <v>13</v>
      </c>
      <c r="D1951" s="5" t="s">
        <v>3168</v>
      </c>
      <c r="F1951" s="5" t="s">
        <v>166</v>
      </c>
      <c r="G1951" s="5" t="s">
        <v>44</v>
      </c>
      <c r="H1951" s="5" t="s">
        <v>18</v>
      </c>
      <c r="I1951" s="7" t="s">
        <v>3174</v>
      </c>
    </row>
    <row r="1952">
      <c r="A1952" s="5" t="s">
        <v>5262</v>
      </c>
      <c r="B1952" s="5" t="s">
        <v>5263</v>
      </c>
      <c r="D1952" s="5" t="s">
        <v>5264</v>
      </c>
      <c r="E1952" s="5" t="s">
        <v>79</v>
      </c>
      <c r="F1952" s="5" t="s">
        <v>1914</v>
      </c>
      <c r="G1952" s="5" t="s">
        <v>4757</v>
      </c>
      <c r="H1952" s="5" t="s">
        <v>4607</v>
      </c>
      <c r="I1952" s="7" t="s">
        <v>10991</v>
      </c>
    </row>
    <row r="1953">
      <c r="A1953" s="5" t="s">
        <v>5145</v>
      </c>
      <c r="B1953" s="5" t="s">
        <v>5146</v>
      </c>
      <c r="D1953" s="5" t="s">
        <v>5147</v>
      </c>
      <c r="F1953" s="5" t="s">
        <v>5128</v>
      </c>
      <c r="G1953" s="5" t="s">
        <v>4599</v>
      </c>
      <c r="H1953" s="5" t="s">
        <v>4600</v>
      </c>
      <c r="I1953" s="7" t="s">
        <v>5144</v>
      </c>
    </row>
    <row r="1954">
      <c r="A1954" s="5" t="s">
        <v>5247</v>
      </c>
      <c r="B1954" s="5" t="s">
        <v>5146</v>
      </c>
      <c r="D1954" s="5" t="s">
        <v>5147</v>
      </c>
      <c r="F1954" s="5" t="s">
        <v>4643</v>
      </c>
      <c r="G1954" s="5" t="s">
        <v>4644</v>
      </c>
      <c r="H1954" s="5" t="s">
        <v>4600</v>
      </c>
      <c r="I1954" s="7" t="s">
        <v>5246</v>
      </c>
    </row>
    <row r="1955">
      <c r="A1955" s="5" t="s">
        <v>5430</v>
      </c>
      <c r="B1955" s="5" t="s">
        <v>4929</v>
      </c>
      <c r="D1955" s="5" t="s">
        <v>5147</v>
      </c>
      <c r="E1955" s="5" t="s">
        <v>331</v>
      </c>
      <c r="F1955" s="5" t="s">
        <v>5280</v>
      </c>
      <c r="G1955" s="5" t="s">
        <v>4638</v>
      </c>
      <c r="H1955" s="5" t="s">
        <v>4600</v>
      </c>
      <c r="I1955" s="7" t="s">
        <v>5429</v>
      </c>
    </row>
    <row r="1956">
      <c r="A1956" s="5" t="s">
        <v>6699</v>
      </c>
      <c r="B1956" s="5" t="s">
        <v>6700</v>
      </c>
      <c r="D1956" s="5" t="s">
        <v>3177</v>
      </c>
      <c r="E1956" s="5" t="s">
        <v>182</v>
      </c>
      <c r="F1956" s="5" t="s">
        <v>6577</v>
      </c>
      <c r="G1956" s="5" t="s">
        <v>4757</v>
      </c>
      <c r="H1956" s="5" t="s">
        <v>4607</v>
      </c>
      <c r="I1956" s="7" t="s">
        <v>10992</v>
      </c>
    </row>
    <row r="1957">
      <c r="A1957" s="5" t="s">
        <v>6720</v>
      </c>
      <c r="B1957" s="5" t="s">
        <v>6721</v>
      </c>
      <c r="D1957" s="5" t="s">
        <v>3177</v>
      </c>
      <c r="E1957" s="5" t="s">
        <v>579</v>
      </c>
      <c r="F1957" s="5" t="s">
        <v>6577</v>
      </c>
      <c r="G1957" s="5" t="s">
        <v>4757</v>
      </c>
      <c r="H1957" s="5" t="s">
        <v>4607</v>
      </c>
      <c r="I1957" s="7" t="s">
        <v>10993</v>
      </c>
    </row>
    <row r="1958">
      <c r="A1958" s="5" t="s">
        <v>6871</v>
      </c>
      <c r="B1958" s="5" t="s">
        <v>6872</v>
      </c>
      <c r="D1958" s="5" t="s">
        <v>3177</v>
      </c>
      <c r="E1958" s="5" t="s">
        <v>268</v>
      </c>
      <c r="F1958" s="5" t="s">
        <v>6577</v>
      </c>
      <c r="G1958" s="5" t="s">
        <v>4757</v>
      </c>
      <c r="H1958" s="5" t="s">
        <v>4607</v>
      </c>
      <c r="I1958" s="7" t="s">
        <v>10994</v>
      </c>
    </row>
    <row r="1959">
      <c r="A1959" s="5" t="s">
        <v>9684</v>
      </c>
      <c r="B1959" s="5" t="s">
        <v>9685</v>
      </c>
      <c r="D1959" s="5" t="s">
        <v>3177</v>
      </c>
      <c r="E1959" s="5" t="s">
        <v>63</v>
      </c>
      <c r="F1959" s="5" t="s">
        <v>6577</v>
      </c>
      <c r="G1959" s="5" t="s">
        <v>4757</v>
      </c>
      <c r="H1959" s="5" t="s">
        <v>4607</v>
      </c>
      <c r="I1959" s="7" t="s">
        <v>10995</v>
      </c>
    </row>
    <row r="1960">
      <c r="A1960" s="5" t="s">
        <v>3175</v>
      </c>
      <c r="B1960" s="5" t="s">
        <v>3176</v>
      </c>
      <c r="C1960" s="5" t="s">
        <v>13</v>
      </c>
      <c r="D1960" s="5" t="s">
        <v>3177</v>
      </c>
      <c r="E1960" s="5" t="s">
        <v>512</v>
      </c>
      <c r="F1960" s="5" t="s">
        <v>137</v>
      </c>
      <c r="G1960" s="5" t="s">
        <v>137</v>
      </c>
      <c r="H1960" s="5" t="s">
        <v>18</v>
      </c>
      <c r="I1960" s="7" t="s">
        <v>10996</v>
      </c>
    </row>
    <row r="1961">
      <c r="A1961" s="5" t="s">
        <v>3179</v>
      </c>
      <c r="B1961" s="5" t="s">
        <v>3180</v>
      </c>
      <c r="C1961" s="5" t="s">
        <v>13</v>
      </c>
      <c r="D1961" s="5" t="s">
        <v>3177</v>
      </c>
      <c r="E1961" s="5" t="s">
        <v>100</v>
      </c>
      <c r="F1961" s="5" t="s">
        <v>1131</v>
      </c>
      <c r="G1961" s="5" t="s">
        <v>203</v>
      </c>
      <c r="H1961" s="5" t="s">
        <v>18</v>
      </c>
      <c r="I1961" s="7" t="s">
        <v>3181</v>
      </c>
    </row>
    <row r="1962">
      <c r="A1962" s="5" t="s">
        <v>3182</v>
      </c>
      <c r="B1962" s="5" t="s">
        <v>3183</v>
      </c>
      <c r="C1962" s="5" t="s">
        <v>13</v>
      </c>
      <c r="D1962" s="5" t="s">
        <v>3184</v>
      </c>
      <c r="E1962" s="5" t="s">
        <v>48</v>
      </c>
      <c r="F1962" s="5" t="s">
        <v>85</v>
      </c>
      <c r="G1962" s="5" t="s">
        <v>86</v>
      </c>
      <c r="H1962" s="5" t="s">
        <v>18</v>
      </c>
      <c r="I1962" s="7" t="s">
        <v>10997</v>
      </c>
    </row>
    <row r="1963">
      <c r="A1963" s="5" t="s">
        <v>3186</v>
      </c>
      <c r="B1963" s="5" t="s">
        <v>3187</v>
      </c>
      <c r="C1963" s="5" t="s">
        <v>13</v>
      </c>
      <c r="D1963" s="5" t="s">
        <v>3184</v>
      </c>
      <c r="E1963" s="5" t="s">
        <v>399</v>
      </c>
      <c r="F1963" s="5" t="s">
        <v>122</v>
      </c>
      <c r="G1963" s="5" t="s">
        <v>44</v>
      </c>
      <c r="H1963" s="5" t="s">
        <v>18</v>
      </c>
      <c r="I1963" s="7" t="s">
        <v>10998</v>
      </c>
    </row>
    <row r="1964">
      <c r="A1964" s="5" t="s">
        <v>3189</v>
      </c>
      <c r="B1964" s="5" t="s">
        <v>3190</v>
      </c>
      <c r="C1964" s="5" t="s">
        <v>13</v>
      </c>
      <c r="D1964" s="5" t="s">
        <v>3184</v>
      </c>
      <c r="E1964" s="5" t="s">
        <v>2544</v>
      </c>
      <c r="F1964" s="5" t="s">
        <v>953</v>
      </c>
      <c r="G1964" s="5" t="s">
        <v>954</v>
      </c>
      <c r="H1964" s="5" t="s">
        <v>18</v>
      </c>
      <c r="I1964" s="7" t="s">
        <v>3191</v>
      </c>
    </row>
    <row r="1965">
      <c r="A1965" s="5" t="s">
        <v>3192</v>
      </c>
      <c r="B1965" s="5" t="s">
        <v>3193</v>
      </c>
      <c r="C1965" s="5" t="s">
        <v>13</v>
      </c>
      <c r="D1965" s="5" t="s">
        <v>3184</v>
      </c>
      <c r="E1965" s="5" t="s">
        <v>36</v>
      </c>
      <c r="F1965" s="5" t="s">
        <v>953</v>
      </c>
      <c r="G1965" s="5" t="s">
        <v>954</v>
      </c>
      <c r="H1965" s="5" t="s">
        <v>18</v>
      </c>
      <c r="I1965" s="7" t="s">
        <v>10999</v>
      </c>
    </row>
    <row r="1966">
      <c r="A1966" s="5" t="s">
        <v>3195</v>
      </c>
      <c r="B1966" s="5" t="s">
        <v>3196</v>
      </c>
      <c r="C1966" s="5" t="s">
        <v>13</v>
      </c>
      <c r="D1966" s="5" t="s">
        <v>3184</v>
      </c>
      <c r="E1966" s="5" t="s">
        <v>574</v>
      </c>
      <c r="F1966" s="5" t="s">
        <v>3197</v>
      </c>
      <c r="G1966" s="5" t="s">
        <v>954</v>
      </c>
      <c r="H1966" s="5" t="s">
        <v>18</v>
      </c>
      <c r="I1966" s="7" t="s">
        <v>11000</v>
      </c>
    </row>
    <row r="1967">
      <c r="A1967" s="5" t="s">
        <v>3199</v>
      </c>
      <c r="B1967" s="5" t="s">
        <v>371</v>
      </c>
      <c r="C1967" s="5" t="s">
        <v>13</v>
      </c>
      <c r="D1967" s="5" t="s">
        <v>3200</v>
      </c>
      <c r="E1967" s="5" t="s">
        <v>351</v>
      </c>
      <c r="F1967" s="5" t="s">
        <v>85</v>
      </c>
      <c r="G1967" s="5" t="s">
        <v>86</v>
      </c>
      <c r="H1967" s="5" t="s">
        <v>18</v>
      </c>
      <c r="I1967" s="7" t="s">
        <v>3201</v>
      </c>
    </row>
    <row r="1968">
      <c r="A1968" s="5" t="s">
        <v>3202</v>
      </c>
      <c r="B1968" s="5" t="s">
        <v>371</v>
      </c>
      <c r="C1968" s="5" t="s">
        <v>13</v>
      </c>
      <c r="D1968" s="5" t="s">
        <v>3200</v>
      </c>
      <c r="E1968" s="5" t="s">
        <v>233</v>
      </c>
      <c r="F1968" s="5" t="s">
        <v>102</v>
      </c>
      <c r="G1968" s="5" t="s">
        <v>172</v>
      </c>
      <c r="H1968" s="5" t="s">
        <v>18</v>
      </c>
      <c r="I1968" s="7" t="s">
        <v>3203</v>
      </c>
    </row>
    <row r="1969">
      <c r="A1969" s="5" t="s">
        <v>3204</v>
      </c>
      <c r="B1969" s="5" t="s">
        <v>371</v>
      </c>
      <c r="C1969" s="5" t="s">
        <v>13</v>
      </c>
      <c r="D1969" s="5" t="s">
        <v>3200</v>
      </c>
      <c r="E1969" s="5" t="s">
        <v>277</v>
      </c>
      <c r="F1969" s="5" t="s">
        <v>102</v>
      </c>
      <c r="G1969" s="5" t="s">
        <v>172</v>
      </c>
      <c r="H1969" s="5" t="s">
        <v>18</v>
      </c>
      <c r="I1969" s="7" t="s">
        <v>3205</v>
      </c>
    </row>
    <row r="1970">
      <c r="A1970" s="5" t="s">
        <v>7138</v>
      </c>
      <c r="B1970" s="5" t="s">
        <v>5054</v>
      </c>
      <c r="D1970" s="5" t="s">
        <v>7139</v>
      </c>
      <c r="F1970" s="5" t="s">
        <v>6577</v>
      </c>
      <c r="G1970" s="5" t="s">
        <v>4757</v>
      </c>
      <c r="H1970" s="5" t="s">
        <v>4607</v>
      </c>
      <c r="I1970" s="7" t="s">
        <v>7137</v>
      </c>
    </row>
    <row r="1971">
      <c r="A1971" s="5" t="s">
        <v>5266</v>
      </c>
      <c r="B1971" s="5" t="s">
        <v>5267</v>
      </c>
      <c r="C1971" s="5" t="s">
        <v>4</v>
      </c>
      <c r="D1971" s="5" t="s">
        <v>3208</v>
      </c>
      <c r="E1971" s="5" t="s">
        <v>734</v>
      </c>
      <c r="F1971" s="5" t="s">
        <v>1914</v>
      </c>
      <c r="G1971" s="5" t="s">
        <v>4757</v>
      </c>
      <c r="H1971" s="5" t="s">
        <v>4607</v>
      </c>
      <c r="I1971" s="7" t="s">
        <v>5265</v>
      </c>
    </row>
    <row r="1972">
      <c r="A1972" s="5" t="s">
        <v>6380</v>
      </c>
      <c r="B1972" s="5" t="s">
        <v>4581</v>
      </c>
      <c r="C1972" s="5" t="s">
        <v>4</v>
      </c>
      <c r="D1972" s="5" t="s">
        <v>3208</v>
      </c>
      <c r="E1972" s="5" t="s">
        <v>106</v>
      </c>
      <c r="F1972" s="5" t="s">
        <v>6381</v>
      </c>
      <c r="G1972" s="5" t="s">
        <v>137</v>
      </c>
      <c r="H1972" s="5" t="s">
        <v>18</v>
      </c>
      <c r="I1972" s="7" t="s">
        <v>6379</v>
      </c>
    </row>
    <row r="1973">
      <c r="A1973" s="5" t="s">
        <v>6806</v>
      </c>
      <c r="B1973" s="5" t="s">
        <v>6807</v>
      </c>
      <c r="D1973" s="5" t="s">
        <v>3208</v>
      </c>
      <c r="E1973" s="5" t="s">
        <v>822</v>
      </c>
      <c r="F1973" s="5" t="s">
        <v>6577</v>
      </c>
      <c r="G1973" s="5" t="s">
        <v>4757</v>
      </c>
      <c r="H1973" s="5" t="s">
        <v>4607</v>
      </c>
      <c r="I1973" s="7" t="s">
        <v>6805</v>
      </c>
    </row>
    <row r="1974">
      <c r="A1974" s="5" t="s">
        <v>3251</v>
      </c>
      <c r="B1974" s="5" t="s">
        <v>3252</v>
      </c>
      <c r="D1974" s="5" t="s">
        <v>3208</v>
      </c>
      <c r="E1974" s="5" t="s">
        <v>149</v>
      </c>
      <c r="F1974" s="5" t="s">
        <v>3253</v>
      </c>
      <c r="G1974" s="5" t="s">
        <v>86</v>
      </c>
      <c r="H1974" s="5" t="s">
        <v>18</v>
      </c>
      <c r="I1974" s="7" t="s">
        <v>11001</v>
      </c>
    </row>
    <row r="1975">
      <c r="A1975" s="5" t="s">
        <v>3305</v>
      </c>
      <c r="B1975" s="5" t="s">
        <v>3306</v>
      </c>
      <c r="D1975" s="5" t="s">
        <v>3208</v>
      </c>
      <c r="E1975" s="5" t="s">
        <v>233</v>
      </c>
      <c r="F1975" s="5" t="s">
        <v>311</v>
      </c>
      <c r="G1975" s="5" t="s">
        <v>102</v>
      </c>
      <c r="H1975" s="5" t="s">
        <v>18</v>
      </c>
      <c r="I1975" s="7" t="s">
        <v>8717</v>
      </c>
    </row>
    <row r="1976">
      <c r="A1976" s="5" t="s">
        <v>3342</v>
      </c>
      <c r="B1976" s="5" t="s">
        <v>1028</v>
      </c>
      <c r="D1976" s="5" t="s">
        <v>3208</v>
      </c>
      <c r="E1976" s="5" t="s">
        <v>848</v>
      </c>
      <c r="F1976" s="5" t="s">
        <v>311</v>
      </c>
      <c r="G1976" s="5" t="s">
        <v>102</v>
      </c>
      <c r="H1976" s="5" t="s">
        <v>18</v>
      </c>
      <c r="I1976" s="7" t="s">
        <v>8730</v>
      </c>
    </row>
    <row r="1977">
      <c r="A1977" s="5" t="s">
        <v>3349</v>
      </c>
      <c r="B1977" s="5" t="s">
        <v>3350</v>
      </c>
      <c r="D1977" s="5" t="s">
        <v>3208</v>
      </c>
      <c r="E1977" s="5" t="s">
        <v>1880</v>
      </c>
      <c r="F1977" s="5" t="s">
        <v>311</v>
      </c>
      <c r="G1977" s="5" t="s">
        <v>102</v>
      </c>
      <c r="H1977" s="5" t="s">
        <v>18</v>
      </c>
      <c r="I1977" s="7" t="s">
        <v>11002</v>
      </c>
    </row>
    <row r="1978">
      <c r="A1978" s="5" t="s">
        <v>3206</v>
      </c>
      <c r="B1978" s="5" t="s">
        <v>3207</v>
      </c>
      <c r="C1978" s="5" t="s">
        <v>13</v>
      </c>
      <c r="D1978" s="5" t="s">
        <v>3208</v>
      </c>
      <c r="E1978" s="5" t="s">
        <v>651</v>
      </c>
      <c r="F1978" s="5" t="s">
        <v>3209</v>
      </c>
      <c r="G1978" s="5" t="s">
        <v>102</v>
      </c>
      <c r="H1978" s="5" t="s">
        <v>18</v>
      </c>
      <c r="I1978" s="7" t="s">
        <v>3210</v>
      </c>
    </row>
    <row r="1979">
      <c r="A1979" s="5" t="s">
        <v>3211</v>
      </c>
      <c r="B1979" s="5" t="s">
        <v>110</v>
      </c>
      <c r="C1979" s="5" t="s">
        <v>13</v>
      </c>
      <c r="D1979" s="5" t="s">
        <v>3208</v>
      </c>
      <c r="E1979" s="5" t="s">
        <v>228</v>
      </c>
      <c r="F1979" s="5" t="s">
        <v>3209</v>
      </c>
      <c r="G1979" s="5" t="s">
        <v>102</v>
      </c>
      <c r="H1979" s="5" t="s">
        <v>18</v>
      </c>
      <c r="I1979" s="7" t="s">
        <v>3212</v>
      </c>
    </row>
    <row r="1980">
      <c r="A1980" s="5" t="s">
        <v>3213</v>
      </c>
      <c r="B1980" s="5" t="s">
        <v>110</v>
      </c>
      <c r="C1980" s="5" t="s">
        <v>13</v>
      </c>
      <c r="D1980" s="5" t="s">
        <v>3208</v>
      </c>
      <c r="E1980" s="5" t="s">
        <v>3214</v>
      </c>
      <c r="F1980" s="5" t="s">
        <v>3209</v>
      </c>
      <c r="G1980" s="5" t="s">
        <v>102</v>
      </c>
      <c r="H1980" s="5" t="s">
        <v>18</v>
      </c>
      <c r="I1980" s="7" t="s">
        <v>3215</v>
      </c>
    </row>
    <row r="1981">
      <c r="A1981" s="5" t="s">
        <v>3216</v>
      </c>
      <c r="B1981" s="5" t="s">
        <v>110</v>
      </c>
      <c r="C1981" s="5" t="s">
        <v>13</v>
      </c>
      <c r="D1981" s="5" t="s">
        <v>3208</v>
      </c>
      <c r="E1981" s="5" t="s">
        <v>63</v>
      </c>
      <c r="F1981" s="5" t="s">
        <v>3209</v>
      </c>
      <c r="G1981" s="5" t="s">
        <v>102</v>
      </c>
      <c r="H1981" s="5" t="s">
        <v>18</v>
      </c>
      <c r="I1981" s="7" t="s">
        <v>3217</v>
      </c>
    </row>
    <row r="1982">
      <c r="A1982" s="5" t="s">
        <v>3218</v>
      </c>
      <c r="B1982" s="5" t="s">
        <v>3219</v>
      </c>
      <c r="C1982" s="5" t="s">
        <v>13</v>
      </c>
      <c r="D1982" s="5" t="s">
        <v>3208</v>
      </c>
      <c r="E1982" s="5" t="s">
        <v>523</v>
      </c>
      <c r="F1982" s="5" t="s">
        <v>3209</v>
      </c>
      <c r="G1982" s="5" t="s">
        <v>102</v>
      </c>
      <c r="H1982" s="5" t="s">
        <v>18</v>
      </c>
      <c r="I1982" s="7" t="s">
        <v>3220</v>
      </c>
    </row>
    <row r="1983">
      <c r="A1983" s="5" t="s">
        <v>3221</v>
      </c>
      <c r="B1983" s="5" t="s">
        <v>110</v>
      </c>
      <c r="C1983" s="5" t="s">
        <v>13</v>
      </c>
      <c r="D1983" s="5" t="s">
        <v>3208</v>
      </c>
      <c r="E1983" s="5" t="s">
        <v>691</v>
      </c>
      <c r="F1983" s="5" t="s">
        <v>3209</v>
      </c>
      <c r="G1983" s="5" t="s">
        <v>102</v>
      </c>
      <c r="H1983" s="5" t="s">
        <v>18</v>
      </c>
      <c r="I1983" s="7" t="s">
        <v>3222</v>
      </c>
    </row>
    <row r="1984">
      <c r="A1984" s="5" t="s">
        <v>3223</v>
      </c>
      <c r="B1984" s="5" t="s">
        <v>110</v>
      </c>
      <c r="C1984" s="5" t="s">
        <v>13</v>
      </c>
      <c r="D1984" s="5" t="s">
        <v>3208</v>
      </c>
      <c r="E1984" s="5" t="s">
        <v>15</v>
      </c>
      <c r="F1984" s="5" t="s">
        <v>3224</v>
      </c>
      <c r="G1984" s="5" t="s">
        <v>102</v>
      </c>
      <c r="H1984" s="5" t="s">
        <v>18</v>
      </c>
      <c r="I1984" s="7" t="s">
        <v>3225</v>
      </c>
    </row>
    <row r="1985">
      <c r="A1985" s="5" t="s">
        <v>3226</v>
      </c>
      <c r="B1985" s="5" t="s">
        <v>110</v>
      </c>
      <c r="C1985" s="5" t="s">
        <v>13</v>
      </c>
      <c r="D1985" s="5" t="s">
        <v>3208</v>
      </c>
      <c r="E1985" s="5" t="s">
        <v>94</v>
      </c>
      <c r="F1985" s="5" t="s">
        <v>112</v>
      </c>
      <c r="G1985" s="5" t="s">
        <v>38</v>
      </c>
      <c r="H1985" s="5" t="s">
        <v>18</v>
      </c>
      <c r="I1985" s="7" t="s">
        <v>3227</v>
      </c>
    </row>
    <row r="1986">
      <c r="A1986" s="5" t="s">
        <v>3228</v>
      </c>
      <c r="B1986" s="5" t="s">
        <v>3229</v>
      </c>
      <c r="C1986" s="5" t="s">
        <v>13</v>
      </c>
      <c r="D1986" s="5" t="s">
        <v>3208</v>
      </c>
      <c r="E1986" s="5" t="s">
        <v>574</v>
      </c>
      <c r="F1986" s="5" t="s">
        <v>3230</v>
      </c>
      <c r="G1986" s="5" t="s">
        <v>102</v>
      </c>
      <c r="H1986" s="5" t="s">
        <v>18</v>
      </c>
      <c r="I1986" s="7" t="s">
        <v>11003</v>
      </c>
    </row>
    <row r="1987">
      <c r="A1987" s="5" t="s">
        <v>3232</v>
      </c>
      <c r="B1987" s="5" t="s">
        <v>110</v>
      </c>
      <c r="C1987" s="5" t="s">
        <v>13</v>
      </c>
      <c r="D1987" s="5" t="s">
        <v>3208</v>
      </c>
      <c r="E1987" s="5" t="s">
        <v>1809</v>
      </c>
      <c r="F1987" s="5" t="s">
        <v>3230</v>
      </c>
      <c r="G1987" s="5" t="s">
        <v>102</v>
      </c>
      <c r="H1987" s="5" t="s">
        <v>18</v>
      </c>
      <c r="I1987" s="7" t="s">
        <v>3233</v>
      </c>
    </row>
    <row r="1988">
      <c r="A1988" s="5" t="s">
        <v>3234</v>
      </c>
      <c r="B1988" s="5" t="s">
        <v>110</v>
      </c>
      <c r="C1988" s="5" t="s">
        <v>13</v>
      </c>
      <c r="D1988" s="5" t="s">
        <v>3208</v>
      </c>
      <c r="E1988" s="5" t="s">
        <v>574</v>
      </c>
      <c r="F1988" s="5" t="s">
        <v>2390</v>
      </c>
      <c r="G1988" s="5" t="s">
        <v>102</v>
      </c>
      <c r="H1988" s="5" t="s">
        <v>18</v>
      </c>
      <c r="I1988" s="7" t="s">
        <v>3235</v>
      </c>
    </row>
    <row r="1989">
      <c r="A1989" s="5" t="s">
        <v>3236</v>
      </c>
      <c r="B1989" s="5" t="s">
        <v>110</v>
      </c>
      <c r="C1989" s="5" t="s">
        <v>13</v>
      </c>
      <c r="D1989" s="5" t="s">
        <v>3208</v>
      </c>
      <c r="E1989" s="5" t="s">
        <v>1809</v>
      </c>
      <c r="F1989" s="5" t="s">
        <v>2390</v>
      </c>
      <c r="G1989" s="5" t="s">
        <v>102</v>
      </c>
      <c r="H1989" s="5" t="s">
        <v>18</v>
      </c>
      <c r="I1989" s="7" t="s">
        <v>3237</v>
      </c>
    </row>
    <row r="1990">
      <c r="A1990" s="5" t="s">
        <v>3238</v>
      </c>
      <c r="B1990" s="5" t="s">
        <v>110</v>
      </c>
      <c r="C1990" s="5" t="s">
        <v>13</v>
      </c>
      <c r="D1990" s="5" t="s">
        <v>3208</v>
      </c>
      <c r="E1990" s="5" t="s">
        <v>1759</v>
      </c>
      <c r="F1990" s="5" t="s">
        <v>2390</v>
      </c>
      <c r="G1990" s="5" t="s">
        <v>102</v>
      </c>
      <c r="H1990" s="5" t="s">
        <v>18</v>
      </c>
      <c r="I1990" s="7" t="s">
        <v>3239</v>
      </c>
    </row>
    <row r="1991">
      <c r="A1991" s="5" t="s">
        <v>3240</v>
      </c>
      <c r="B1991" s="5" t="s">
        <v>3241</v>
      </c>
      <c r="C1991" s="5" t="s">
        <v>13</v>
      </c>
      <c r="D1991" s="5" t="s">
        <v>3208</v>
      </c>
      <c r="E1991" s="5" t="s">
        <v>149</v>
      </c>
      <c r="F1991" s="5" t="s">
        <v>122</v>
      </c>
      <c r="G1991" s="5" t="s">
        <v>44</v>
      </c>
      <c r="H1991" s="5" t="s">
        <v>18</v>
      </c>
      <c r="I1991" s="7" t="s">
        <v>11004</v>
      </c>
    </row>
    <row r="1992">
      <c r="A1992" s="5" t="s">
        <v>3243</v>
      </c>
      <c r="B1992" s="5" t="s">
        <v>110</v>
      </c>
      <c r="C1992" s="5" t="s">
        <v>13</v>
      </c>
      <c r="D1992" s="5" t="s">
        <v>3208</v>
      </c>
      <c r="E1992" s="5" t="s">
        <v>15</v>
      </c>
      <c r="F1992" s="5" t="s">
        <v>3244</v>
      </c>
      <c r="G1992" s="5" t="s">
        <v>102</v>
      </c>
      <c r="H1992" s="5" t="s">
        <v>18</v>
      </c>
      <c r="I1992" s="7" t="s">
        <v>3245</v>
      </c>
    </row>
    <row r="1993">
      <c r="A1993" s="5" t="s">
        <v>3246</v>
      </c>
      <c r="B1993" s="5" t="s">
        <v>25</v>
      </c>
      <c r="C1993" s="5" t="s">
        <v>13</v>
      </c>
      <c r="D1993" s="5" t="s">
        <v>3208</v>
      </c>
      <c r="E1993" s="5" t="s">
        <v>1105</v>
      </c>
      <c r="F1993" s="5" t="s">
        <v>953</v>
      </c>
      <c r="G1993" s="5" t="s">
        <v>954</v>
      </c>
      <c r="H1993" s="5" t="s">
        <v>18</v>
      </c>
      <c r="I1993" s="7" t="s">
        <v>3247</v>
      </c>
    </row>
    <row r="1994">
      <c r="A1994" s="5" t="s">
        <v>3248</v>
      </c>
      <c r="B1994" s="5" t="s">
        <v>110</v>
      </c>
      <c r="C1994" s="5" t="s">
        <v>13</v>
      </c>
      <c r="D1994" s="5" t="s">
        <v>3208</v>
      </c>
      <c r="E1994" s="5" t="s">
        <v>774</v>
      </c>
      <c r="F1994" s="5" t="s">
        <v>3249</v>
      </c>
      <c r="G1994" s="5" t="s">
        <v>102</v>
      </c>
      <c r="H1994" s="5" t="s">
        <v>18</v>
      </c>
      <c r="I1994" s="7" t="s">
        <v>3250</v>
      </c>
    </row>
    <row r="1995">
      <c r="A1995" s="5" t="s">
        <v>3251</v>
      </c>
      <c r="B1995" s="5" t="s">
        <v>3252</v>
      </c>
      <c r="C1995" s="5" t="s">
        <v>13</v>
      </c>
      <c r="D1995" s="5" t="s">
        <v>3208</v>
      </c>
      <c r="E1995" s="5" t="s">
        <v>149</v>
      </c>
      <c r="F1995" s="5" t="s">
        <v>3253</v>
      </c>
      <c r="G1995" s="5" t="s">
        <v>86</v>
      </c>
      <c r="H1995" s="5" t="s">
        <v>18</v>
      </c>
      <c r="I1995" s="7" t="s">
        <v>11005</v>
      </c>
    </row>
    <row r="1996">
      <c r="A1996" s="5" t="s">
        <v>3255</v>
      </c>
      <c r="B1996" s="5" t="s">
        <v>110</v>
      </c>
      <c r="C1996" s="5" t="s">
        <v>13</v>
      </c>
      <c r="D1996" s="5" t="s">
        <v>3208</v>
      </c>
      <c r="E1996" s="5" t="s">
        <v>106</v>
      </c>
      <c r="F1996" s="5" t="s">
        <v>2419</v>
      </c>
      <c r="G1996" s="5" t="s">
        <v>102</v>
      </c>
      <c r="H1996" s="5" t="s">
        <v>18</v>
      </c>
      <c r="I1996" s="7" t="s">
        <v>3256</v>
      </c>
    </row>
    <row r="1997">
      <c r="A1997" s="5" t="s">
        <v>3257</v>
      </c>
      <c r="B1997" s="5" t="s">
        <v>110</v>
      </c>
      <c r="C1997" s="5" t="s">
        <v>13</v>
      </c>
      <c r="D1997" s="5" t="s">
        <v>3208</v>
      </c>
      <c r="E1997" s="5" t="s">
        <v>585</v>
      </c>
      <c r="F1997" s="5" t="s">
        <v>2419</v>
      </c>
      <c r="G1997" s="5" t="s">
        <v>102</v>
      </c>
      <c r="H1997" s="5" t="s">
        <v>18</v>
      </c>
      <c r="I1997" s="7" t="s">
        <v>3258</v>
      </c>
    </row>
    <row r="1998">
      <c r="A1998" s="5" t="s">
        <v>3259</v>
      </c>
      <c r="B1998" s="5" t="s">
        <v>3260</v>
      </c>
      <c r="C1998" s="5" t="s">
        <v>13</v>
      </c>
      <c r="D1998" s="5" t="s">
        <v>3208</v>
      </c>
      <c r="E1998" s="5" t="s">
        <v>2265</v>
      </c>
      <c r="F1998" s="5" t="s">
        <v>2419</v>
      </c>
      <c r="G1998" s="5" t="s">
        <v>102</v>
      </c>
      <c r="H1998" s="5" t="s">
        <v>18</v>
      </c>
      <c r="I1998" s="7" t="s">
        <v>11006</v>
      </c>
    </row>
    <row r="1999">
      <c r="A1999" s="5" t="s">
        <v>3262</v>
      </c>
      <c r="B1999" s="5" t="s">
        <v>110</v>
      </c>
      <c r="C1999" s="5" t="s">
        <v>13</v>
      </c>
      <c r="D1999" s="5" t="s">
        <v>3208</v>
      </c>
      <c r="E1999" s="5" t="s">
        <v>182</v>
      </c>
      <c r="F1999" s="5" t="s">
        <v>2419</v>
      </c>
      <c r="G1999" s="5" t="s">
        <v>102</v>
      </c>
      <c r="H1999" s="5" t="s">
        <v>18</v>
      </c>
      <c r="I1999" s="7" t="s">
        <v>3263</v>
      </c>
    </row>
    <row r="2000">
      <c r="A2000" s="5" t="s">
        <v>3264</v>
      </c>
      <c r="B2000" s="5" t="s">
        <v>2418</v>
      </c>
      <c r="C2000" s="5" t="s">
        <v>13</v>
      </c>
      <c r="D2000" s="5" t="s">
        <v>3208</v>
      </c>
      <c r="E2000" s="5" t="s">
        <v>1300</v>
      </c>
      <c r="F2000" s="5" t="s">
        <v>2419</v>
      </c>
      <c r="G2000" s="5" t="s">
        <v>102</v>
      </c>
      <c r="H2000" s="5" t="s">
        <v>18</v>
      </c>
      <c r="I2000" s="7" t="s">
        <v>3265</v>
      </c>
    </row>
    <row r="2001">
      <c r="A2001" s="5" t="s">
        <v>3266</v>
      </c>
      <c r="B2001" s="5" t="s">
        <v>3207</v>
      </c>
      <c r="C2001" s="5" t="s">
        <v>13</v>
      </c>
      <c r="D2001" s="5" t="s">
        <v>3208</v>
      </c>
      <c r="E2001" s="5" t="s">
        <v>182</v>
      </c>
      <c r="F2001" s="5" t="s">
        <v>2419</v>
      </c>
      <c r="G2001" s="5" t="s">
        <v>102</v>
      </c>
      <c r="H2001" s="5" t="s">
        <v>18</v>
      </c>
      <c r="I2001" s="7" t="s">
        <v>3267</v>
      </c>
    </row>
    <row r="2002">
      <c r="A2002" s="5" t="s">
        <v>3268</v>
      </c>
      <c r="B2002" s="5" t="s">
        <v>110</v>
      </c>
      <c r="C2002" s="5" t="s">
        <v>13</v>
      </c>
      <c r="D2002" s="5" t="s">
        <v>3208</v>
      </c>
      <c r="F2002" s="5" t="s">
        <v>2419</v>
      </c>
      <c r="G2002" s="5" t="s">
        <v>102</v>
      </c>
      <c r="H2002" s="5" t="s">
        <v>18</v>
      </c>
      <c r="I2002" s="7" t="s">
        <v>3269</v>
      </c>
    </row>
    <row r="2003">
      <c r="A2003" s="5" t="s">
        <v>3270</v>
      </c>
      <c r="B2003" s="5" t="s">
        <v>3271</v>
      </c>
      <c r="C2003" s="5" t="s">
        <v>13</v>
      </c>
      <c r="D2003" s="5" t="s">
        <v>3208</v>
      </c>
      <c r="E2003" s="5" t="s">
        <v>622</v>
      </c>
      <c r="F2003" s="5" t="s">
        <v>2419</v>
      </c>
      <c r="G2003" s="5" t="s">
        <v>102</v>
      </c>
      <c r="H2003" s="5" t="s">
        <v>18</v>
      </c>
      <c r="I2003" s="7" t="s">
        <v>3272</v>
      </c>
    </row>
    <row r="2004">
      <c r="A2004" s="5" t="s">
        <v>3273</v>
      </c>
      <c r="B2004" s="5" t="s">
        <v>1028</v>
      </c>
      <c r="C2004" s="5" t="s">
        <v>13</v>
      </c>
      <c r="D2004" s="5" t="s">
        <v>3208</v>
      </c>
      <c r="E2004" s="5" t="s">
        <v>233</v>
      </c>
      <c r="F2004" s="5" t="s">
        <v>3274</v>
      </c>
      <c r="G2004" s="5" t="s">
        <v>137</v>
      </c>
      <c r="H2004" s="5" t="s">
        <v>18</v>
      </c>
      <c r="I2004" s="7" t="s">
        <v>3275</v>
      </c>
    </row>
    <row r="2005">
      <c r="A2005" s="5" t="s">
        <v>1006</v>
      </c>
      <c r="B2005" s="5" t="s">
        <v>3276</v>
      </c>
      <c r="C2005" s="5" t="s">
        <v>13</v>
      </c>
      <c r="D2005" s="5" t="s">
        <v>3208</v>
      </c>
      <c r="E2005" s="5" t="s">
        <v>79</v>
      </c>
      <c r="F2005" s="5" t="s">
        <v>3277</v>
      </c>
      <c r="G2005" s="5" t="s">
        <v>44</v>
      </c>
      <c r="H2005" s="5" t="s">
        <v>18</v>
      </c>
      <c r="I2005" s="7" t="s">
        <v>3278</v>
      </c>
    </row>
    <row r="2006">
      <c r="A2006" s="5" t="s">
        <v>3279</v>
      </c>
      <c r="B2006" s="5" t="s">
        <v>110</v>
      </c>
      <c r="C2006" s="5" t="s">
        <v>13</v>
      </c>
      <c r="D2006" s="5" t="s">
        <v>3208</v>
      </c>
      <c r="E2006" s="5" t="s">
        <v>233</v>
      </c>
      <c r="F2006" s="5" t="s">
        <v>311</v>
      </c>
      <c r="G2006" s="5" t="s">
        <v>102</v>
      </c>
      <c r="H2006" s="5" t="s">
        <v>18</v>
      </c>
      <c r="I2006" s="7" t="s">
        <v>3280</v>
      </c>
    </row>
    <row r="2007">
      <c r="A2007" s="5" t="s">
        <v>3281</v>
      </c>
      <c r="B2007" s="5" t="s">
        <v>110</v>
      </c>
      <c r="C2007" s="5" t="s">
        <v>13</v>
      </c>
      <c r="D2007" s="5" t="s">
        <v>3208</v>
      </c>
      <c r="E2007" s="5" t="s">
        <v>79</v>
      </c>
      <c r="F2007" s="5" t="s">
        <v>311</v>
      </c>
      <c r="G2007" s="5" t="s">
        <v>102</v>
      </c>
      <c r="H2007" s="5" t="s">
        <v>18</v>
      </c>
      <c r="I2007" s="7" t="s">
        <v>3282</v>
      </c>
    </row>
    <row r="2008">
      <c r="A2008" s="5" t="s">
        <v>3283</v>
      </c>
      <c r="B2008" s="5" t="s">
        <v>110</v>
      </c>
      <c r="C2008" s="5" t="s">
        <v>13</v>
      </c>
      <c r="D2008" s="5" t="s">
        <v>3208</v>
      </c>
      <c r="E2008" s="5" t="s">
        <v>233</v>
      </c>
      <c r="F2008" s="5" t="s">
        <v>311</v>
      </c>
      <c r="G2008" s="5" t="s">
        <v>102</v>
      </c>
      <c r="H2008" s="5" t="s">
        <v>18</v>
      </c>
      <c r="I2008" s="7" t="s">
        <v>3284</v>
      </c>
    </row>
    <row r="2009">
      <c r="A2009" s="5" t="s">
        <v>3285</v>
      </c>
      <c r="B2009" s="5" t="s">
        <v>1028</v>
      </c>
      <c r="C2009" s="5" t="s">
        <v>13</v>
      </c>
      <c r="D2009" s="5" t="s">
        <v>3208</v>
      </c>
      <c r="E2009" s="5" t="s">
        <v>237</v>
      </c>
      <c r="F2009" s="5" t="s">
        <v>311</v>
      </c>
      <c r="G2009" s="5" t="s">
        <v>102</v>
      </c>
      <c r="H2009" s="5" t="s">
        <v>18</v>
      </c>
      <c r="I2009" s="7" t="s">
        <v>3286</v>
      </c>
    </row>
    <row r="2010">
      <c r="A2010" s="5" t="s">
        <v>3287</v>
      </c>
      <c r="B2010" s="5" t="s">
        <v>3288</v>
      </c>
      <c r="C2010" s="5" t="s">
        <v>13</v>
      </c>
      <c r="D2010" s="5" t="s">
        <v>3208</v>
      </c>
      <c r="E2010" s="5" t="s">
        <v>1123</v>
      </c>
      <c r="F2010" s="5" t="s">
        <v>311</v>
      </c>
      <c r="G2010" s="5" t="s">
        <v>102</v>
      </c>
      <c r="H2010" s="5" t="s">
        <v>18</v>
      </c>
      <c r="I2010" s="7" t="s">
        <v>3289</v>
      </c>
    </row>
    <row r="2011">
      <c r="A2011" s="5" t="s">
        <v>3290</v>
      </c>
      <c r="B2011" s="5" t="s">
        <v>3291</v>
      </c>
      <c r="C2011" s="5" t="s">
        <v>13</v>
      </c>
      <c r="D2011" s="5" t="s">
        <v>3208</v>
      </c>
      <c r="E2011" s="5" t="s">
        <v>1282</v>
      </c>
      <c r="F2011" s="5" t="s">
        <v>311</v>
      </c>
      <c r="G2011" s="5" t="s">
        <v>102</v>
      </c>
      <c r="H2011" s="5" t="s">
        <v>18</v>
      </c>
      <c r="I2011" s="7" t="s">
        <v>3292</v>
      </c>
    </row>
    <row r="2012">
      <c r="A2012" s="5" t="s">
        <v>3293</v>
      </c>
      <c r="B2012" s="5" t="s">
        <v>110</v>
      </c>
      <c r="C2012" s="5" t="s">
        <v>13</v>
      </c>
      <c r="D2012" s="5" t="s">
        <v>3208</v>
      </c>
      <c r="E2012" s="5" t="s">
        <v>822</v>
      </c>
      <c r="F2012" s="5" t="s">
        <v>311</v>
      </c>
      <c r="G2012" s="5" t="s">
        <v>102</v>
      </c>
      <c r="H2012" s="5" t="s">
        <v>18</v>
      </c>
      <c r="I2012" s="7" t="s">
        <v>3294</v>
      </c>
    </row>
    <row r="2013">
      <c r="A2013" s="5" t="s">
        <v>3295</v>
      </c>
      <c r="B2013" s="5" t="s">
        <v>110</v>
      </c>
      <c r="C2013" s="5" t="s">
        <v>13</v>
      </c>
      <c r="D2013" s="5" t="s">
        <v>3208</v>
      </c>
      <c r="E2013" s="5" t="s">
        <v>574</v>
      </c>
      <c r="F2013" s="5" t="s">
        <v>311</v>
      </c>
      <c r="G2013" s="5" t="s">
        <v>102</v>
      </c>
      <c r="H2013" s="5" t="s">
        <v>18</v>
      </c>
      <c r="I2013" s="7" t="s">
        <v>3296</v>
      </c>
    </row>
    <row r="2014">
      <c r="A2014" s="5" t="s">
        <v>3297</v>
      </c>
      <c r="B2014" s="5" t="s">
        <v>110</v>
      </c>
      <c r="C2014" s="5" t="s">
        <v>13</v>
      </c>
      <c r="D2014" s="5" t="s">
        <v>3208</v>
      </c>
      <c r="E2014" s="5" t="s">
        <v>237</v>
      </c>
      <c r="F2014" s="5" t="s">
        <v>311</v>
      </c>
      <c r="G2014" s="5" t="s">
        <v>102</v>
      </c>
      <c r="H2014" s="5" t="s">
        <v>18</v>
      </c>
      <c r="I2014" s="7" t="s">
        <v>3298</v>
      </c>
    </row>
    <row r="2015">
      <c r="A2015" s="5" t="s">
        <v>3299</v>
      </c>
      <c r="B2015" s="5" t="s">
        <v>110</v>
      </c>
      <c r="C2015" s="5" t="s">
        <v>13</v>
      </c>
      <c r="D2015" s="5" t="s">
        <v>3208</v>
      </c>
      <c r="E2015" s="5" t="s">
        <v>233</v>
      </c>
      <c r="F2015" s="5" t="s">
        <v>311</v>
      </c>
      <c r="G2015" s="5" t="s">
        <v>102</v>
      </c>
      <c r="H2015" s="5" t="s">
        <v>18</v>
      </c>
      <c r="I2015" s="7" t="s">
        <v>3300</v>
      </c>
    </row>
    <row r="2016">
      <c r="A2016" s="5" t="s">
        <v>3301</v>
      </c>
      <c r="B2016" s="5" t="s">
        <v>110</v>
      </c>
      <c r="C2016" s="5" t="s">
        <v>13</v>
      </c>
      <c r="D2016" s="5" t="s">
        <v>3208</v>
      </c>
      <c r="E2016" s="5" t="s">
        <v>100</v>
      </c>
      <c r="F2016" s="5" t="s">
        <v>311</v>
      </c>
      <c r="G2016" s="5" t="s">
        <v>102</v>
      </c>
      <c r="H2016" s="5" t="s">
        <v>18</v>
      </c>
      <c r="I2016" s="7" t="s">
        <v>3302</v>
      </c>
    </row>
    <row r="2017">
      <c r="A2017" s="5" t="s">
        <v>3303</v>
      </c>
      <c r="B2017" s="5" t="s">
        <v>110</v>
      </c>
      <c r="C2017" s="5" t="s">
        <v>13</v>
      </c>
      <c r="D2017" s="5" t="s">
        <v>3208</v>
      </c>
      <c r="E2017" s="5" t="s">
        <v>277</v>
      </c>
      <c r="F2017" s="5" t="s">
        <v>311</v>
      </c>
      <c r="G2017" s="5" t="s">
        <v>102</v>
      </c>
      <c r="H2017" s="5" t="s">
        <v>18</v>
      </c>
      <c r="I2017" s="7" t="s">
        <v>3304</v>
      </c>
    </row>
    <row r="2018">
      <c r="A2018" s="5" t="s">
        <v>3305</v>
      </c>
      <c r="B2018" s="5" t="s">
        <v>3306</v>
      </c>
      <c r="C2018" s="5" t="s">
        <v>13</v>
      </c>
      <c r="D2018" s="5" t="s">
        <v>3208</v>
      </c>
      <c r="E2018" s="5" t="s">
        <v>233</v>
      </c>
      <c r="F2018" s="5" t="s">
        <v>311</v>
      </c>
      <c r="G2018" s="5" t="s">
        <v>102</v>
      </c>
      <c r="H2018" s="5" t="s">
        <v>18</v>
      </c>
      <c r="I2018" s="7" t="s">
        <v>3307</v>
      </c>
    </row>
    <row r="2019">
      <c r="A2019" s="5" t="s">
        <v>3308</v>
      </c>
      <c r="B2019" s="5" t="s">
        <v>3309</v>
      </c>
      <c r="C2019" s="5" t="s">
        <v>4</v>
      </c>
      <c r="D2019" s="5" t="s">
        <v>3208</v>
      </c>
      <c r="E2019" s="5" t="s">
        <v>651</v>
      </c>
      <c r="F2019" s="5" t="s">
        <v>311</v>
      </c>
      <c r="G2019" s="5" t="s">
        <v>102</v>
      </c>
      <c r="H2019" s="5" t="s">
        <v>18</v>
      </c>
      <c r="I2019" s="7" t="s">
        <v>3310</v>
      </c>
    </row>
    <row r="2020">
      <c r="A2020" s="5" t="s">
        <v>3311</v>
      </c>
      <c r="B2020" s="5" t="s">
        <v>3312</v>
      </c>
      <c r="C2020" s="5" t="s">
        <v>13</v>
      </c>
      <c r="D2020" s="5" t="s">
        <v>3208</v>
      </c>
      <c r="E2020" s="5" t="s">
        <v>523</v>
      </c>
      <c r="F2020" s="5" t="s">
        <v>311</v>
      </c>
      <c r="G2020" s="5" t="s">
        <v>102</v>
      </c>
      <c r="H2020" s="5" t="s">
        <v>18</v>
      </c>
      <c r="I2020" s="7" t="s">
        <v>11007</v>
      </c>
    </row>
    <row r="2021">
      <c r="A2021" s="5" t="s">
        <v>3314</v>
      </c>
      <c r="B2021" s="5" t="s">
        <v>110</v>
      </c>
      <c r="C2021" s="5" t="s">
        <v>13</v>
      </c>
      <c r="D2021" s="5" t="s">
        <v>3208</v>
      </c>
      <c r="E2021" s="5" t="s">
        <v>188</v>
      </c>
      <c r="F2021" s="5" t="s">
        <v>311</v>
      </c>
      <c r="G2021" s="5" t="s">
        <v>102</v>
      </c>
      <c r="H2021" s="5" t="s">
        <v>18</v>
      </c>
      <c r="I2021" s="7" t="s">
        <v>3315</v>
      </c>
    </row>
    <row r="2022">
      <c r="A2022" s="5" t="s">
        <v>3316</v>
      </c>
      <c r="B2022" s="5" t="s">
        <v>110</v>
      </c>
      <c r="C2022" s="5" t="s">
        <v>13</v>
      </c>
      <c r="D2022" s="5" t="s">
        <v>3208</v>
      </c>
      <c r="E2022" s="5" t="s">
        <v>192</v>
      </c>
      <c r="F2022" s="5" t="s">
        <v>311</v>
      </c>
      <c r="G2022" s="5" t="s">
        <v>102</v>
      </c>
      <c r="H2022" s="5" t="s">
        <v>18</v>
      </c>
      <c r="I2022" s="7" t="s">
        <v>3317</v>
      </c>
    </row>
    <row r="2023">
      <c r="A2023" s="5" t="s">
        <v>3318</v>
      </c>
      <c r="B2023" s="5" t="s">
        <v>3319</v>
      </c>
      <c r="C2023" s="5" t="s">
        <v>13</v>
      </c>
      <c r="D2023" s="5" t="s">
        <v>3208</v>
      </c>
      <c r="E2023" s="5" t="s">
        <v>283</v>
      </c>
      <c r="F2023" s="5" t="s">
        <v>311</v>
      </c>
      <c r="G2023" s="5" t="s">
        <v>102</v>
      </c>
      <c r="H2023" s="5" t="s">
        <v>18</v>
      </c>
      <c r="I2023" s="7" t="s">
        <v>3320</v>
      </c>
    </row>
    <row r="2024">
      <c r="A2024" s="5" t="s">
        <v>3321</v>
      </c>
      <c r="B2024" s="5" t="s">
        <v>2418</v>
      </c>
      <c r="C2024" s="5" t="s">
        <v>13</v>
      </c>
      <c r="D2024" s="5" t="s">
        <v>3208</v>
      </c>
      <c r="E2024" s="5" t="s">
        <v>585</v>
      </c>
      <c r="F2024" s="5" t="s">
        <v>311</v>
      </c>
      <c r="G2024" s="5" t="s">
        <v>102</v>
      </c>
      <c r="H2024" s="5" t="s">
        <v>18</v>
      </c>
      <c r="I2024" s="7" t="s">
        <v>3322</v>
      </c>
    </row>
    <row r="2025">
      <c r="A2025" s="5" t="s">
        <v>3323</v>
      </c>
      <c r="B2025" s="5" t="s">
        <v>110</v>
      </c>
      <c r="C2025" s="5" t="s">
        <v>13</v>
      </c>
      <c r="D2025" s="5" t="s">
        <v>3208</v>
      </c>
      <c r="E2025" s="5" t="s">
        <v>387</v>
      </c>
      <c r="F2025" s="5" t="s">
        <v>311</v>
      </c>
      <c r="G2025" s="5" t="s">
        <v>102</v>
      </c>
      <c r="H2025" s="5" t="s">
        <v>18</v>
      </c>
      <c r="I2025" s="7" t="s">
        <v>3324</v>
      </c>
    </row>
    <row r="2026">
      <c r="A2026" s="5" t="s">
        <v>3325</v>
      </c>
      <c r="B2026" s="5" t="s">
        <v>110</v>
      </c>
      <c r="C2026" s="5" t="s">
        <v>13</v>
      </c>
      <c r="D2026" s="5" t="s">
        <v>3208</v>
      </c>
      <c r="E2026" s="5" t="s">
        <v>100</v>
      </c>
      <c r="F2026" s="5" t="s">
        <v>311</v>
      </c>
      <c r="G2026" s="5" t="s">
        <v>102</v>
      </c>
      <c r="H2026" s="5" t="s">
        <v>18</v>
      </c>
      <c r="I2026" s="7" t="s">
        <v>3326</v>
      </c>
    </row>
    <row r="2027">
      <c r="A2027" s="5" t="s">
        <v>3327</v>
      </c>
      <c r="B2027" s="5" t="s">
        <v>1028</v>
      </c>
      <c r="C2027" s="5" t="s">
        <v>13</v>
      </c>
      <c r="D2027" s="5" t="s">
        <v>3208</v>
      </c>
      <c r="E2027" s="5" t="s">
        <v>691</v>
      </c>
      <c r="F2027" s="5" t="s">
        <v>311</v>
      </c>
      <c r="G2027" s="5" t="s">
        <v>102</v>
      </c>
      <c r="H2027" s="5" t="s">
        <v>18</v>
      </c>
      <c r="I2027" s="7" t="s">
        <v>3328</v>
      </c>
    </row>
    <row r="2028">
      <c r="A2028" s="5" t="s">
        <v>3329</v>
      </c>
      <c r="B2028" s="5" t="s">
        <v>110</v>
      </c>
      <c r="C2028" s="5" t="s">
        <v>13</v>
      </c>
      <c r="D2028" s="5" t="s">
        <v>3208</v>
      </c>
      <c r="E2028" s="5" t="s">
        <v>686</v>
      </c>
      <c r="F2028" s="5" t="s">
        <v>311</v>
      </c>
      <c r="G2028" s="5" t="s">
        <v>102</v>
      </c>
      <c r="H2028" s="5" t="s">
        <v>18</v>
      </c>
      <c r="I2028" s="7" t="s">
        <v>3330</v>
      </c>
    </row>
    <row r="2029">
      <c r="A2029" s="5" t="s">
        <v>3331</v>
      </c>
      <c r="B2029" s="5" t="s">
        <v>110</v>
      </c>
      <c r="C2029" s="5" t="s">
        <v>13</v>
      </c>
      <c r="D2029" s="5" t="s">
        <v>3208</v>
      </c>
      <c r="E2029" s="5" t="s">
        <v>188</v>
      </c>
      <c r="F2029" s="5" t="s">
        <v>311</v>
      </c>
      <c r="G2029" s="5" t="s">
        <v>102</v>
      </c>
      <c r="H2029" s="5" t="s">
        <v>18</v>
      </c>
      <c r="I2029" s="7" t="s">
        <v>3332</v>
      </c>
    </row>
    <row r="2030">
      <c r="A2030" s="5" t="s">
        <v>3333</v>
      </c>
      <c r="B2030" s="5" t="s">
        <v>3334</v>
      </c>
      <c r="C2030" s="5" t="s">
        <v>13</v>
      </c>
      <c r="D2030" s="5" t="s">
        <v>3208</v>
      </c>
      <c r="E2030" s="5" t="s">
        <v>822</v>
      </c>
      <c r="F2030" s="5" t="s">
        <v>311</v>
      </c>
      <c r="G2030" s="5" t="s">
        <v>102</v>
      </c>
      <c r="H2030" s="5" t="s">
        <v>18</v>
      </c>
      <c r="I2030" s="7" t="s">
        <v>11008</v>
      </c>
    </row>
    <row r="2031">
      <c r="A2031" s="5" t="s">
        <v>3336</v>
      </c>
      <c r="B2031" s="5" t="s">
        <v>110</v>
      </c>
      <c r="C2031" s="5" t="s">
        <v>13</v>
      </c>
      <c r="D2031" s="5" t="s">
        <v>3208</v>
      </c>
      <c r="E2031" s="5" t="s">
        <v>79</v>
      </c>
      <c r="F2031" s="5" t="s">
        <v>311</v>
      </c>
      <c r="G2031" s="5" t="s">
        <v>102</v>
      </c>
      <c r="H2031" s="5" t="s">
        <v>18</v>
      </c>
      <c r="I2031" s="7" t="s">
        <v>3337</v>
      </c>
    </row>
    <row r="2032">
      <c r="A2032" s="5" t="s">
        <v>3338</v>
      </c>
      <c r="B2032" s="5" t="s">
        <v>110</v>
      </c>
      <c r="C2032" s="5" t="s">
        <v>13</v>
      </c>
      <c r="D2032" s="5" t="s">
        <v>3208</v>
      </c>
      <c r="E2032" s="5" t="s">
        <v>144</v>
      </c>
      <c r="F2032" s="5" t="s">
        <v>311</v>
      </c>
      <c r="G2032" s="5" t="s">
        <v>102</v>
      </c>
      <c r="H2032" s="5" t="s">
        <v>18</v>
      </c>
      <c r="I2032" s="7" t="s">
        <v>3339</v>
      </c>
    </row>
    <row r="2033">
      <c r="A2033" s="5" t="s">
        <v>3340</v>
      </c>
      <c r="B2033" s="5" t="s">
        <v>110</v>
      </c>
      <c r="C2033" s="5" t="s">
        <v>13</v>
      </c>
      <c r="D2033" s="5" t="s">
        <v>3208</v>
      </c>
      <c r="E2033" s="5" t="s">
        <v>651</v>
      </c>
      <c r="F2033" s="5" t="s">
        <v>311</v>
      </c>
      <c r="G2033" s="5" t="s">
        <v>102</v>
      </c>
      <c r="H2033" s="5" t="s">
        <v>18</v>
      </c>
      <c r="I2033" s="7" t="s">
        <v>3341</v>
      </c>
    </row>
    <row r="2034">
      <c r="A2034" s="5" t="s">
        <v>3342</v>
      </c>
      <c r="B2034" s="5" t="s">
        <v>1028</v>
      </c>
      <c r="C2034" s="5" t="s">
        <v>13</v>
      </c>
      <c r="D2034" s="5" t="s">
        <v>3208</v>
      </c>
      <c r="E2034" s="5" t="s">
        <v>848</v>
      </c>
      <c r="F2034" s="5" t="s">
        <v>311</v>
      </c>
      <c r="G2034" s="5" t="s">
        <v>102</v>
      </c>
      <c r="H2034" s="5" t="s">
        <v>18</v>
      </c>
      <c r="I2034" s="7" t="s">
        <v>3343</v>
      </c>
    </row>
    <row r="2035">
      <c r="A2035" s="5" t="s">
        <v>3344</v>
      </c>
      <c r="B2035" s="5" t="s">
        <v>110</v>
      </c>
      <c r="C2035" s="5" t="s">
        <v>13</v>
      </c>
      <c r="D2035" s="5" t="s">
        <v>3208</v>
      </c>
      <c r="E2035" s="5" t="s">
        <v>822</v>
      </c>
      <c r="F2035" s="5" t="s">
        <v>311</v>
      </c>
      <c r="G2035" s="5" t="s">
        <v>102</v>
      </c>
      <c r="H2035" s="5" t="s">
        <v>18</v>
      </c>
      <c r="I2035" s="7" t="s">
        <v>3345</v>
      </c>
    </row>
    <row r="2036">
      <c r="A2036" s="5" t="s">
        <v>3346</v>
      </c>
      <c r="B2036" s="5" t="s">
        <v>3347</v>
      </c>
      <c r="C2036" s="5" t="s">
        <v>13</v>
      </c>
      <c r="D2036" s="5" t="s">
        <v>3208</v>
      </c>
      <c r="E2036" s="5" t="s">
        <v>651</v>
      </c>
      <c r="F2036" s="5" t="s">
        <v>311</v>
      </c>
      <c r="G2036" s="5" t="s">
        <v>102</v>
      </c>
      <c r="H2036" s="5" t="s">
        <v>18</v>
      </c>
      <c r="I2036" s="7" t="s">
        <v>3348</v>
      </c>
    </row>
    <row r="2037">
      <c r="A2037" s="5" t="s">
        <v>3349</v>
      </c>
      <c r="B2037" s="5" t="s">
        <v>3350</v>
      </c>
      <c r="C2037" s="5" t="s">
        <v>13</v>
      </c>
      <c r="D2037" s="5" t="s">
        <v>3208</v>
      </c>
      <c r="E2037" s="5" t="s">
        <v>1880</v>
      </c>
      <c r="F2037" s="5" t="s">
        <v>311</v>
      </c>
      <c r="G2037" s="5" t="s">
        <v>102</v>
      </c>
      <c r="H2037" s="5" t="s">
        <v>18</v>
      </c>
      <c r="I2037" s="7" t="s">
        <v>11009</v>
      </c>
    </row>
    <row r="2038">
      <c r="A2038" s="5" t="s">
        <v>3352</v>
      </c>
      <c r="B2038" s="5" t="s">
        <v>3353</v>
      </c>
      <c r="C2038" s="5" t="s">
        <v>13</v>
      </c>
      <c r="D2038" s="5" t="s">
        <v>3208</v>
      </c>
      <c r="E2038" s="5" t="s">
        <v>79</v>
      </c>
      <c r="F2038" s="5" t="s">
        <v>311</v>
      </c>
      <c r="G2038" s="5" t="s">
        <v>102</v>
      </c>
      <c r="H2038" s="5" t="s">
        <v>18</v>
      </c>
      <c r="I2038" s="7" t="s">
        <v>11010</v>
      </c>
    </row>
    <row r="2039">
      <c r="A2039" s="5" t="s">
        <v>3355</v>
      </c>
      <c r="B2039" s="5" t="s">
        <v>110</v>
      </c>
      <c r="C2039" s="5" t="s">
        <v>13</v>
      </c>
      <c r="D2039" s="5" t="s">
        <v>3208</v>
      </c>
      <c r="E2039" s="5" t="s">
        <v>387</v>
      </c>
      <c r="F2039" s="5" t="s">
        <v>311</v>
      </c>
      <c r="G2039" s="5" t="s">
        <v>102</v>
      </c>
      <c r="H2039" s="5" t="s">
        <v>18</v>
      </c>
      <c r="I2039" s="7" t="s">
        <v>3356</v>
      </c>
    </row>
    <row r="2040">
      <c r="A2040" s="5" t="s">
        <v>3357</v>
      </c>
      <c r="B2040" s="5" t="s">
        <v>3358</v>
      </c>
      <c r="C2040" s="5" t="s">
        <v>13</v>
      </c>
      <c r="D2040" s="5" t="s">
        <v>3208</v>
      </c>
      <c r="E2040" s="5" t="s">
        <v>2288</v>
      </c>
      <c r="F2040" s="5" t="s">
        <v>311</v>
      </c>
      <c r="G2040" s="5" t="s">
        <v>102</v>
      </c>
      <c r="H2040" s="5" t="s">
        <v>18</v>
      </c>
      <c r="I2040" s="7" t="s">
        <v>11011</v>
      </c>
    </row>
    <row r="2041">
      <c r="A2041" s="5" t="s">
        <v>3360</v>
      </c>
      <c r="B2041" s="5" t="s">
        <v>110</v>
      </c>
      <c r="C2041" s="5" t="s">
        <v>13</v>
      </c>
      <c r="D2041" s="5" t="s">
        <v>3208</v>
      </c>
      <c r="E2041" s="5" t="s">
        <v>418</v>
      </c>
      <c r="F2041" s="5" t="s">
        <v>311</v>
      </c>
      <c r="G2041" s="5" t="s">
        <v>102</v>
      </c>
      <c r="H2041" s="5" t="s">
        <v>18</v>
      </c>
      <c r="I2041" s="7" t="s">
        <v>3361</v>
      </c>
    </row>
    <row r="2042">
      <c r="A2042" s="5" t="s">
        <v>3362</v>
      </c>
      <c r="B2042" s="5" t="s">
        <v>3363</v>
      </c>
      <c r="C2042" s="5" t="s">
        <v>13</v>
      </c>
      <c r="D2042" s="5" t="s">
        <v>3208</v>
      </c>
      <c r="E2042" s="5" t="s">
        <v>192</v>
      </c>
      <c r="F2042" s="5" t="s">
        <v>311</v>
      </c>
      <c r="G2042" s="5" t="s">
        <v>102</v>
      </c>
      <c r="H2042" s="5" t="s">
        <v>18</v>
      </c>
      <c r="I2042" s="7" t="s">
        <v>11012</v>
      </c>
    </row>
    <row r="2043">
      <c r="A2043" s="5" t="s">
        <v>3365</v>
      </c>
      <c r="B2043" s="5" t="s">
        <v>3366</v>
      </c>
      <c r="C2043" s="5" t="s">
        <v>13</v>
      </c>
      <c r="D2043" s="5" t="s">
        <v>3208</v>
      </c>
      <c r="E2043" s="5" t="s">
        <v>100</v>
      </c>
      <c r="F2043" s="5" t="s">
        <v>311</v>
      </c>
      <c r="G2043" s="5" t="s">
        <v>102</v>
      </c>
      <c r="H2043" s="5" t="s">
        <v>18</v>
      </c>
      <c r="I2043" s="7" t="s">
        <v>3367</v>
      </c>
    </row>
    <row r="2044">
      <c r="A2044" s="5" t="s">
        <v>3368</v>
      </c>
      <c r="B2044" s="5" t="s">
        <v>110</v>
      </c>
      <c r="C2044" s="5" t="s">
        <v>13</v>
      </c>
      <c r="D2044" s="5" t="s">
        <v>3208</v>
      </c>
      <c r="E2044" s="5" t="s">
        <v>79</v>
      </c>
      <c r="F2044" s="5" t="s">
        <v>311</v>
      </c>
      <c r="G2044" s="5" t="s">
        <v>102</v>
      </c>
      <c r="H2044" s="5" t="s">
        <v>18</v>
      </c>
      <c r="I2044" s="7" t="s">
        <v>3369</v>
      </c>
    </row>
    <row r="2045">
      <c r="A2045" s="5" t="s">
        <v>3370</v>
      </c>
      <c r="B2045" s="5" t="s">
        <v>3371</v>
      </c>
      <c r="C2045" s="5" t="s">
        <v>13</v>
      </c>
      <c r="D2045" s="5" t="s">
        <v>3208</v>
      </c>
      <c r="E2045" s="5" t="s">
        <v>446</v>
      </c>
      <c r="F2045" s="5" t="s">
        <v>311</v>
      </c>
      <c r="G2045" s="5" t="s">
        <v>102</v>
      </c>
      <c r="H2045" s="5" t="s">
        <v>18</v>
      </c>
      <c r="I2045" s="7" t="s">
        <v>3372</v>
      </c>
    </row>
    <row r="2046">
      <c r="A2046" s="5" t="s">
        <v>3373</v>
      </c>
      <c r="B2046" s="5" t="s">
        <v>3374</v>
      </c>
      <c r="C2046" s="5" t="s">
        <v>13</v>
      </c>
      <c r="D2046" s="5" t="s">
        <v>3208</v>
      </c>
      <c r="E2046" s="5" t="s">
        <v>345</v>
      </c>
      <c r="F2046" s="5" t="s">
        <v>3375</v>
      </c>
      <c r="G2046" s="5" t="s">
        <v>184</v>
      </c>
      <c r="H2046" s="5" t="s">
        <v>18</v>
      </c>
      <c r="I2046" s="7" t="s">
        <v>3376</v>
      </c>
    </row>
    <row r="2047">
      <c r="A2047" s="5" t="s">
        <v>3377</v>
      </c>
      <c r="B2047" s="5" t="s">
        <v>2155</v>
      </c>
      <c r="C2047" s="5" t="s">
        <v>13</v>
      </c>
      <c r="D2047" s="5" t="s">
        <v>3378</v>
      </c>
      <c r="E2047" s="5" t="s">
        <v>192</v>
      </c>
      <c r="F2047" s="5" t="s">
        <v>137</v>
      </c>
      <c r="G2047" s="5" t="s">
        <v>137</v>
      </c>
      <c r="H2047" s="5" t="s">
        <v>18</v>
      </c>
      <c r="I2047" s="7" t="s">
        <v>11013</v>
      </c>
    </row>
    <row r="2048">
      <c r="A2048" s="5" t="s">
        <v>3380</v>
      </c>
      <c r="B2048" s="5" t="s">
        <v>25</v>
      </c>
      <c r="C2048" s="5" t="s">
        <v>13</v>
      </c>
      <c r="D2048" s="5" t="s">
        <v>3378</v>
      </c>
      <c r="E2048" s="5" t="s">
        <v>574</v>
      </c>
      <c r="F2048" s="5" t="s">
        <v>137</v>
      </c>
      <c r="G2048" s="5" t="s">
        <v>137</v>
      </c>
      <c r="H2048" s="5" t="s">
        <v>18</v>
      </c>
      <c r="I2048" s="7" t="s">
        <v>3381</v>
      </c>
    </row>
    <row r="2049">
      <c r="A2049" s="5" t="s">
        <v>3382</v>
      </c>
      <c r="B2049" s="5" t="s">
        <v>32</v>
      </c>
      <c r="C2049" s="5" t="s">
        <v>13</v>
      </c>
      <c r="D2049" s="5" t="s">
        <v>3378</v>
      </c>
      <c r="E2049" s="5" t="s">
        <v>192</v>
      </c>
      <c r="F2049" s="5" t="s">
        <v>137</v>
      </c>
      <c r="G2049" s="5" t="s">
        <v>137</v>
      </c>
      <c r="H2049" s="5" t="s">
        <v>18</v>
      </c>
      <c r="I2049" s="7" t="s">
        <v>3383</v>
      </c>
    </row>
    <row r="2050">
      <c r="A2050" s="5" t="s">
        <v>3384</v>
      </c>
      <c r="B2050" s="5" t="s">
        <v>25</v>
      </c>
      <c r="C2050" s="5" t="s">
        <v>13</v>
      </c>
      <c r="D2050" s="5" t="s">
        <v>3378</v>
      </c>
      <c r="E2050" s="5" t="s">
        <v>228</v>
      </c>
      <c r="F2050" s="5" t="s">
        <v>137</v>
      </c>
      <c r="G2050" s="5" t="s">
        <v>137</v>
      </c>
      <c r="H2050" s="5" t="s">
        <v>18</v>
      </c>
      <c r="I2050" s="7" t="s">
        <v>3385</v>
      </c>
    </row>
    <row r="2051">
      <c r="A2051" s="5" t="s">
        <v>3386</v>
      </c>
      <c r="B2051" s="5" t="s">
        <v>25</v>
      </c>
      <c r="C2051" s="5" t="s">
        <v>13</v>
      </c>
      <c r="D2051" s="5" t="s">
        <v>3378</v>
      </c>
      <c r="E2051" s="5" t="s">
        <v>144</v>
      </c>
      <c r="F2051" s="5" t="s">
        <v>1135</v>
      </c>
      <c r="G2051" s="5" t="s">
        <v>96</v>
      </c>
      <c r="H2051" s="5" t="s">
        <v>18</v>
      </c>
      <c r="I2051" s="7" t="s">
        <v>3387</v>
      </c>
    </row>
    <row r="2052">
      <c r="A2052" s="5" t="s">
        <v>6587</v>
      </c>
      <c r="B2052" s="5" t="s">
        <v>6588</v>
      </c>
      <c r="D2052" s="5" t="s">
        <v>6589</v>
      </c>
      <c r="E2052" s="5" t="s">
        <v>136</v>
      </c>
      <c r="F2052" s="5" t="s">
        <v>6577</v>
      </c>
      <c r="G2052" s="5" t="s">
        <v>4757</v>
      </c>
      <c r="H2052" s="5" t="s">
        <v>4607</v>
      </c>
      <c r="I2052" s="7" t="s">
        <v>6586</v>
      </c>
    </row>
    <row r="2053">
      <c r="A2053" s="5" t="s">
        <v>6864</v>
      </c>
      <c r="B2053" s="5" t="s">
        <v>6865</v>
      </c>
      <c r="D2053" s="5" t="s">
        <v>6589</v>
      </c>
      <c r="E2053" s="5" t="s">
        <v>42</v>
      </c>
      <c r="F2053" s="5" t="s">
        <v>6577</v>
      </c>
      <c r="G2053" s="5" t="s">
        <v>4757</v>
      </c>
      <c r="H2053" s="5" t="s">
        <v>4607</v>
      </c>
      <c r="I2053" s="7" t="s">
        <v>11014</v>
      </c>
    </row>
    <row r="2054">
      <c r="A2054" s="5" t="s">
        <v>4821</v>
      </c>
      <c r="B2054" s="5" t="s">
        <v>4749</v>
      </c>
      <c r="D2054" s="5" t="s">
        <v>3389</v>
      </c>
      <c r="E2054" s="5" t="s">
        <v>79</v>
      </c>
      <c r="F2054" s="5" t="s">
        <v>4822</v>
      </c>
      <c r="G2054" s="5" t="s">
        <v>44</v>
      </c>
      <c r="H2054" s="5" t="s">
        <v>18</v>
      </c>
      <c r="I2054" s="7" t="s">
        <v>4820</v>
      </c>
    </row>
    <row r="2055">
      <c r="A2055" s="5" t="s">
        <v>5107</v>
      </c>
      <c r="B2055" s="5" t="s">
        <v>5108</v>
      </c>
      <c r="D2055" s="5" t="s">
        <v>3389</v>
      </c>
      <c r="E2055" s="5" t="s">
        <v>121</v>
      </c>
      <c r="F2055" s="5" t="s">
        <v>703</v>
      </c>
      <c r="G2055" s="5" t="s">
        <v>137</v>
      </c>
      <c r="H2055" s="5" t="s">
        <v>18</v>
      </c>
      <c r="I2055" s="7" t="s">
        <v>11015</v>
      </c>
    </row>
    <row r="2056">
      <c r="A2056" s="5" t="s">
        <v>6173</v>
      </c>
      <c r="B2056" s="5" t="s">
        <v>6174</v>
      </c>
      <c r="D2056" s="5" t="s">
        <v>3389</v>
      </c>
      <c r="E2056" s="5" t="s">
        <v>207</v>
      </c>
      <c r="F2056" s="5" t="s">
        <v>6165</v>
      </c>
      <c r="G2056" s="5" t="s">
        <v>4606</v>
      </c>
      <c r="H2056" s="5" t="s">
        <v>4607</v>
      </c>
      <c r="I2056" s="7" t="s">
        <v>11016</v>
      </c>
    </row>
    <row r="2057">
      <c r="A2057" s="5" t="s">
        <v>6188</v>
      </c>
      <c r="B2057" s="5" t="s">
        <v>6189</v>
      </c>
      <c r="D2057" s="5" t="s">
        <v>3389</v>
      </c>
      <c r="E2057" s="5" t="s">
        <v>774</v>
      </c>
      <c r="F2057" s="5" t="s">
        <v>6165</v>
      </c>
      <c r="G2057" s="5" t="s">
        <v>4606</v>
      </c>
      <c r="H2057" s="5" t="s">
        <v>4607</v>
      </c>
      <c r="I2057" s="7" t="s">
        <v>11017</v>
      </c>
    </row>
    <row r="2058">
      <c r="A2058" s="5" t="s">
        <v>6484</v>
      </c>
      <c r="B2058" s="5" t="s">
        <v>6485</v>
      </c>
      <c r="D2058" s="5" t="s">
        <v>3389</v>
      </c>
      <c r="E2058" s="5" t="s">
        <v>121</v>
      </c>
      <c r="F2058" s="5" t="s">
        <v>6486</v>
      </c>
      <c r="G2058" s="5" t="s">
        <v>6159</v>
      </c>
      <c r="H2058" s="5" t="s">
        <v>4600</v>
      </c>
      <c r="I2058" s="7" t="s">
        <v>11018</v>
      </c>
    </row>
    <row r="2059">
      <c r="A2059" s="5" t="s">
        <v>6689</v>
      </c>
      <c r="B2059" s="5" t="s">
        <v>32</v>
      </c>
      <c r="D2059" s="5" t="s">
        <v>3389</v>
      </c>
      <c r="E2059" s="5" t="s">
        <v>512</v>
      </c>
      <c r="F2059" s="5" t="s">
        <v>6577</v>
      </c>
      <c r="G2059" s="5" t="s">
        <v>4757</v>
      </c>
      <c r="H2059" s="5" t="s">
        <v>4607</v>
      </c>
      <c r="I2059" s="7" t="s">
        <v>6688</v>
      </c>
    </row>
    <row r="2060">
      <c r="A2060" s="5" t="s">
        <v>4018</v>
      </c>
      <c r="B2060" s="5" t="s">
        <v>5054</v>
      </c>
      <c r="D2060" s="5" t="s">
        <v>3389</v>
      </c>
      <c r="E2060" s="5" t="s">
        <v>106</v>
      </c>
      <c r="F2060" s="5" t="s">
        <v>6577</v>
      </c>
      <c r="G2060" s="5" t="s">
        <v>4757</v>
      </c>
      <c r="H2060" s="5" t="s">
        <v>4607</v>
      </c>
      <c r="I2060" s="7" t="s">
        <v>6787</v>
      </c>
    </row>
    <row r="2061">
      <c r="A2061" s="5" t="s">
        <v>6896</v>
      </c>
      <c r="B2061" s="5" t="s">
        <v>25</v>
      </c>
      <c r="D2061" s="5" t="s">
        <v>3389</v>
      </c>
      <c r="E2061" s="5" t="s">
        <v>512</v>
      </c>
      <c r="F2061" s="5" t="s">
        <v>6577</v>
      </c>
      <c r="G2061" s="5" t="s">
        <v>4757</v>
      </c>
      <c r="H2061" s="5" t="s">
        <v>4607</v>
      </c>
      <c r="I2061" s="7" t="s">
        <v>6895</v>
      </c>
    </row>
    <row r="2062">
      <c r="A2062" s="5" t="s">
        <v>6901</v>
      </c>
      <c r="B2062" s="5" t="s">
        <v>25</v>
      </c>
      <c r="D2062" s="5" t="s">
        <v>3389</v>
      </c>
      <c r="E2062" s="5" t="s">
        <v>339</v>
      </c>
      <c r="F2062" s="5" t="s">
        <v>6577</v>
      </c>
      <c r="G2062" s="5" t="s">
        <v>4757</v>
      </c>
      <c r="H2062" s="5" t="s">
        <v>4607</v>
      </c>
      <c r="I2062" s="7" t="s">
        <v>6900</v>
      </c>
    </row>
    <row r="2063">
      <c r="A2063" s="5" t="s">
        <v>6906</v>
      </c>
      <c r="B2063" s="5" t="s">
        <v>6907</v>
      </c>
      <c r="D2063" s="5" t="s">
        <v>3389</v>
      </c>
      <c r="E2063" s="5" t="s">
        <v>222</v>
      </c>
      <c r="F2063" s="5" t="s">
        <v>6577</v>
      </c>
      <c r="G2063" s="5" t="s">
        <v>4757</v>
      </c>
      <c r="H2063" s="5" t="s">
        <v>4607</v>
      </c>
      <c r="I2063" s="7" t="s">
        <v>6905</v>
      </c>
    </row>
    <row r="2064">
      <c r="A2064" s="5" t="s">
        <v>7092</v>
      </c>
      <c r="B2064" s="5" t="s">
        <v>7093</v>
      </c>
      <c r="D2064" s="5" t="s">
        <v>3389</v>
      </c>
      <c r="E2064" s="5" t="s">
        <v>2851</v>
      </c>
      <c r="F2064" s="5" t="s">
        <v>6577</v>
      </c>
      <c r="G2064" s="5" t="s">
        <v>4757</v>
      </c>
      <c r="H2064" s="5" t="s">
        <v>4607</v>
      </c>
      <c r="I2064" s="7" t="s">
        <v>7091</v>
      </c>
    </row>
    <row r="2065">
      <c r="A2065" s="5" t="s">
        <v>7590</v>
      </c>
      <c r="B2065" s="5" t="s">
        <v>7591</v>
      </c>
      <c r="D2065" s="5" t="s">
        <v>3389</v>
      </c>
      <c r="E2065" s="5" t="s">
        <v>399</v>
      </c>
      <c r="F2065" s="5" t="s">
        <v>7548</v>
      </c>
      <c r="G2065" s="5" t="s">
        <v>6159</v>
      </c>
      <c r="H2065" s="5" t="s">
        <v>4600</v>
      </c>
      <c r="I2065" s="7" t="s">
        <v>7589</v>
      </c>
    </row>
    <row r="2066">
      <c r="A2066" s="5" t="s">
        <v>7596</v>
      </c>
      <c r="B2066" s="5" t="s">
        <v>7597</v>
      </c>
      <c r="D2066" s="5" t="s">
        <v>3389</v>
      </c>
      <c r="E2066" s="5" t="s">
        <v>268</v>
      </c>
      <c r="F2066" s="5" t="s">
        <v>7548</v>
      </c>
      <c r="G2066" s="5" t="s">
        <v>6159</v>
      </c>
      <c r="H2066" s="5" t="s">
        <v>4600</v>
      </c>
      <c r="I2066" s="7" t="s">
        <v>11019</v>
      </c>
    </row>
    <row r="2067">
      <c r="A2067" s="5" t="s">
        <v>7768</v>
      </c>
      <c r="B2067" s="5" t="s">
        <v>7769</v>
      </c>
      <c r="D2067" s="5" t="s">
        <v>3389</v>
      </c>
      <c r="E2067" s="5" t="s">
        <v>192</v>
      </c>
      <c r="F2067" s="5" t="s">
        <v>137</v>
      </c>
      <c r="G2067" s="5" t="s">
        <v>137</v>
      </c>
      <c r="H2067" s="5" t="s">
        <v>18</v>
      </c>
      <c r="I2067" s="7" t="s">
        <v>11020</v>
      </c>
    </row>
    <row r="2068">
      <c r="A2068" s="5" t="s">
        <v>3397</v>
      </c>
      <c r="B2068" s="5" t="s">
        <v>3398</v>
      </c>
      <c r="D2068" s="5" t="s">
        <v>3389</v>
      </c>
      <c r="E2068" s="5" t="s">
        <v>48</v>
      </c>
      <c r="F2068" s="5" t="s">
        <v>137</v>
      </c>
      <c r="G2068" s="5" t="s">
        <v>137</v>
      </c>
      <c r="H2068" s="5" t="s">
        <v>18</v>
      </c>
      <c r="I2068" s="7" t="s">
        <v>11021</v>
      </c>
    </row>
    <row r="2069">
      <c r="A2069" s="5" t="s">
        <v>7785</v>
      </c>
      <c r="B2069" s="5" t="s">
        <v>7786</v>
      </c>
      <c r="D2069" s="5" t="s">
        <v>3389</v>
      </c>
      <c r="E2069" s="5" t="s">
        <v>136</v>
      </c>
      <c r="F2069" s="5" t="s">
        <v>137</v>
      </c>
      <c r="G2069" s="5" t="s">
        <v>137</v>
      </c>
      <c r="H2069" s="5" t="s">
        <v>18</v>
      </c>
      <c r="I2069" s="7" t="s">
        <v>11022</v>
      </c>
    </row>
    <row r="2070">
      <c r="A2070" s="5" t="s">
        <v>7794</v>
      </c>
      <c r="B2070" s="5" t="s">
        <v>7795</v>
      </c>
      <c r="D2070" s="5" t="s">
        <v>3389</v>
      </c>
      <c r="E2070" s="5" t="s">
        <v>1089</v>
      </c>
      <c r="F2070" s="5" t="s">
        <v>137</v>
      </c>
      <c r="G2070" s="5" t="s">
        <v>137</v>
      </c>
      <c r="H2070" s="5" t="s">
        <v>18</v>
      </c>
      <c r="I2070" s="7" t="s">
        <v>11023</v>
      </c>
    </row>
    <row r="2071">
      <c r="A2071" s="5" t="s">
        <v>7797</v>
      </c>
      <c r="B2071" s="5" t="s">
        <v>4934</v>
      </c>
      <c r="D2071" s="5" t="s">
        <v>3389</v>
      </c>
      <c r="E2071" s="5" t="s">
        <v>63</v>
      </c>
      <c r="F2071" s="5" t="s">
        <v>137</v>
      </c>
      <c r="G2071" s="5" t="s">
        <v>137</v>
      </c>
      <c r="H2071" s="5" t="s">
        <v>18</v>
      </c>
      <c r="I2071" s="7" t="s">
        <v>7796</v>
      </c>
    </row>
    <row r="2072">
      <c r="A2072" s="5" t="s">
        <v>3400</v>
      </c>
      <c r="B2072" s="5" t="s">
        <v>3401</v>
      </c>
      <c r="D2072" s="5" t="s">
        <v>3389</v>
      </c>
      <c r="E2072" s="5" t="s">
        <v>339</v>
      </c>
      <c r="F2072" s="5" t="s">
        <v>137</v>
      </c>
      <c r="G2072" s="5" t="s">
        <v>137</v>
      </c>
      <c r="H2072" s="5" t="s">
        <v>18</v>
      </c>
      <c r="I2072" s="7" t="s">
        <v>11024</v>
      </c>
    </row>
    <row r="2073">
      <c r="A2073" s="5" t="s">
        <v>7822</v>
      </c>
      <c r="B2073" s="5" t="s">
        <v>7823</v>
      </c>
      <c r="D2073" s="5" t="s">
        <v>3389</v>
      </c>
      <c r="E2073" s="5" t="s">
        <v>512</v>
      </c>
      <c r="F2073" s="5" t="s">
        <v>137</v>
      </c>
      <c r="G2073" s="5" t="s">
        <v>137</v>
      </c>
      <c r="H2073" s="5" t="s">
        <v>18</v>
      </c>
      <c r="I2073" s="7" t="s">
        <v>11025</v>
      </c>
    </row>
    <row r="2074">
      <c r="A2074" s="5" t="s">
        <v>3403</v>
      </c>
      <c r="B2074" s="5" t="s">
        <v>3404</v>
      </c>
      <c r="C2074" s="5" t="s">
        <v>4</v>
      </c>
      <c r="D2074" s="5" t="s">
        <v>3389</v>
      </c>
      <c r="E2074" s="5" t="s">
        <v>182</v>
      </c>
      <c r="F2074" s="5" t="s">
        <v>137</v>
      </c>
      <c r="G2074" s="5" t="s">
        <v>137</v>
      </c>
      <c r="H2074" s="5" t="s">
        <v>18</v>
      </c>
      <c r="I2074" s="7" t="s">
        <v>11026</v>
      </c>
    </row>
    <row r="2075">
      <c r="A2075" s="5" t="s">
        <v>7847</v>
      </c>
      <c r="B2075" s="5" t="s">
        <v>7848</v>
      </c>
      <c r="D2075" s="5" t="s">
        <v>3389</v>
      </c>
      <c r="E2075" s="5" t="s">
        <v>188</v>
      </c>
      <c r="F2075" s="5" t="s">
        <v>137</v>
      </c>
      <c r="G2075" s="5" t="s">
        <v>137</v>
      </c>
      <c r="H2075" s="5" t="s">
        <v>18</v>
      </c>
      <c r="I2075" s="7" t="s">
        <v>7846</v>
      </c>
    </row>
    <row r="2076">
      <c r="A2076" s="5" t="s">
        <v>3431</v>
      </c>
      <c r="B2076" s="5" t="s">
        <v>3432</v>
      </c>
      <c r="D2076" s="5" t="s">
        <v>3389</v>
      </c>
      <c r="E2076" s="5" t="s">
        <v>121</v>
      </c>
      <c r="F2076" s="5" t="s">
        <v>137</v>
      </c>
      <c r="G2076" s="5" t="s">
        <v>137</v>
      </c>
      <c r="H2076" s="5" t="s">
        <v>18</v>
      </c>
      <c r="I2076" s="7" t="s">
        <v>11027</v>
      </c>
    </row>
    <row r="2077">
      <c r="A2077" s="5" t="s">
        <v>7865</v>
      </c>
      <c r="B2077" s="5" t="s">
        <v>7866</v>
      </c>
      <c r="D2077" s="5" t="s">
        <v>3389</v>
      </c>
      <c r="E2077" s="5" t="s">
        <v>84</v>
      </c>
      <c r="F2077" s="5" t="s">
        <v>137</v>
      </c>
      <c r="G2077" s="5" t="s">
        <v>137</v>
      </c>
      <c r="H2077" s="5" t="s">
        <v>18</v>
      </c>
      <c r="I2077" s="7" t="s">
        <v>11028</v>
      </c>
    </row>
    <row r="2078">
      <c r="A2078" s="5" t="s">
        <v>7884</v>
      </c>
      <c r="B2078" s="5" t="s">
        <v>7885</v>
      </c>
      <c r="D2078" s="5" t="s">
        <v>3389</v>
      </c>
      <c r="E2078" s="5" t="s">
        <v>512</v>
      </c>
      <c r="F2078" s="5" t="s">
        <v>137</v>
      </c>
      <c r="G2078" s="5" t="s">
        <v>137</v>
      </c>
      <c r="H2078" s="5" t="s">
        <v>18</v>
      </c>
      <c r="I2078" s="7" t="s">
        <v>11029</v>
      </c>
    </row>
    <row r="2079">
      <c r="A2079" s="5" t="s">
        <v>7890</v>
      </c>
      <c r="B2079" s="5" t="s">
        <v>4749</v>
      </c>
      <c r="D2079" s="5" t="s">
        <v>3389</v>
      </c>
      <c r="E2079" s="5" t="s">
        <v>694</v>
      </c>
      <c r="F2079" s="5" t="s">
        <v>137</v>
      </c>
      <c r="G2079" s="5" t="s">
        <v>137</v>
      </c>
      <c r="H2079" s="5" t="s">
        <v>18</v>
      </c>
      <c r="I2079" s="7" t="s">
        <v>7889</v>
      </c>
    </row>
    <row r="2080">
      <c r="A2080" s="5" t="s">
        <v>7898</v>
      </c>
      <c r="B2080" s="5" t="s">
        <v>7899</v>
      </c>
      <c r="D2080" s="5" t="s">
        <v>3389</v>
      </c>
      <c r="E2080" s="5" t="s">
        <v>512</v>
      </c>
      <c r="F2080" s="5" t="s">
        <v>137</v>
      </c>
      <c r="G2080" s="5" t="s">
        <v>137</v>
      </c>
      <c r="H2080" s="5" t="s">
        <v>18</v>
      </c>
      <c r="I2080" s="7" t="s">
        <v>11030</v>
      </c>
    </row>
    <row r="2081">
      <c r="A2081" s="5" t="s">
        <v>3406</v>
      </c>
      <c r="B2081" s="5" t="s">
        <v>3407</v>
      </c>
      <c r="D2081" s="5" t="s">
        <v>3389</v>
      </c>
      <c r="E2081" s="5" t="s">
        <v>523</v>
      </c>
      <c r="F2081" s="5" t="s">
        <v>137</v>
      </c>
      <c r="G2081" s="5" t="s">
        <v>137</v>
      </c>
      <c r="H2081" s="5" t="s">
        <v>18</v>
      </c>
      <c r="I2081" s="7" t="s">
        <v>11031</v>
      </c>
    </row>
    <row r="2082">
      <c r="A2082" s="5" t="s">
        <v>3409</v>
      </c>
      <c r="B2082" s="5" t="s">
        <v>2155</v>
      </c>
      <c r="D2082" s="5" t="s">
        <v>3389</v>
      </c>
      <c r="E2082" s="5" t="s">
        <v>512</v>
      </c>
      <c r="F2082" s="5" t="s">
        <v>137</v>
      </c>
      <c r="G2082" s="5" t="s">
        <v>137</v>
      </c>
      <c r="H2082" s="5" t="s">
        <v>18</v>
      </c>
      <c r="I2082" s="7" t="s">
        <v>11032</v>
      </c>
    </row>
    <row r="2083">
      <c r="A2083" s="5" t="s">
        <v>3411</v>
      </c>
      <c r="B2083" s="5" t="s">
        <v>2155</v>
      </c>
      <c r="D2083" s="5" t="s">
        <v>3389</v>
      </c>
      <c r="E2083" s="5" t="s">
        <v>3110</v>
      </c>
      <c r="F2083" s="5" t="s">
        <v>137</v>
      </c>
      <c r="G2083" s="5" t="s">
        <v>137</v>
      </c>
      <c r="H2083" s="5" t="s">
        <v>18</v>
      </c>
      <c r="I2083" s="7" t="s">
        <v>11033</v>
      </c>
    </row>
    <row r="2084">
      <c r="A2084" s="5" t="s">
        <v>3413</v>
      </c>
      <c r="B2084" s="5" t="s">
        <v>3414</v>
      </c>
      <c r="D2084" s="5" t="s">
        <v>3389</v>
      </c>
      <c r="E2084" s="5" t="s">
        <v>106</v>
      </c>
      <c r="F2084" s="5" t="s">
        <v>137</v>
      </c>
      <c r="G2084" s="5" t="s">
        <v>137</v>
      </c>
      <c r="H2084" s="5" t="s">
        <v>18</v>
      </c>
      <c r="I2084" s="7" t="s">
        <v>11034</v>
      </c>
    </row>
    <row r="2085">
      <c r="A2085" s="5" t="s">
        <v>3416</v>
      </c>
      <c r="B2085" s="5" t="s">
        <v>2155</v>
      </c>
      <c r="D2085" s="5" t="s">
        <v>3389</v>
      </c>
      <c r="E2085" s="5" t="s">
        <v>26</v>
      </c>
      <c r="F2085" s="5" t="s">
        <v>137</v>
      </c>
      <c r="G2085" s="5" t="s">
        <v>137</v>
      </c>
      <c r="H2085" s="5" t="s">
        <v>18</v>
      </c>
      <c r="I2085" s="7" t="s">
        <v>11035</v>
      </c>
    </row>
    <row r="2086">
      <c r="A2086" s="5" t="s">
        <v>3418</v>
      </c>
      <c r="B2086" s="5" t="s">
        <v>3419</v>
      </c>
      <c r="D2086" s="5" t="s">
        <v>3389</v>
      </c>
      <c r="E2086" s="5" t="s">
        <v>121</v>
      </c>
      <c r="F2086" s="5" t="s">
        <v>137</v>
      </c>
      <c r="G2086" s="5" t="s">
        <v>137</v>
      </c>
      <c r="H2086" s="5" t="s">
        <v>18</v>
      </c>
      <c r="I2086" s="7" t="s">
        <v>7942</v>
      </c>
    </row>
    <row r="2087">
      <c r="A2087" s="5" t="s">
        <v>7944</v>
      </c>
      <c r="B2087" s="5" t="s">
        <v>7945</v>
      </c>
      <c r="D2087" s="5" t="s">
        <v>3389</v>
      </c>
      <c r="E2087" s="5" t="s">
        <v>63</v>
      </c>
      <c r="F2087" s="5" t="s">
        <v>137</v>
      </c>
      <c r="G2087" s="5" t="s">
        <v>137</v>
      </c>
      <c r="H2087" s="5" t="s">
        <v>18</v>
      </c>
      <c r="I2087" s="7" t="s">
        <v>11036</v>
      </c>
    </row>
    <row r="2088">
      <c r="A2088" s="5" t="s">
        <v>7957</v>
      </c>
      <c r="B2088" s="5" t="s">
        <v>7958</v>
      </c>
      <c r="D2088" s="5" t="s">
        <v>3389</v>
      </c>
      <c r="E2088" s="5" t="s">
        <v>651</v>
      </c>
      <c r="F2088" s="5" t="s">
        <v>137</v>
      </c>
      <c r="G2088" s="5" t="s">
        <v>137</v>
      </c>
      <c r="H2088" s="5" t="s">
        <v>18</v>
      </c>
      <c r="I2088" s="7" t="s">
        <v>7956</v>
      </c>
    </row>
    <row r="2089">
      <c r="A2089" s="5" t="s">
        <v>7970</v>
      </c>
      <c r="B2089" s="5" t="s">
        <v>7971</v>
      </c>
      <c r="D2089" s="5" t="s">
        <v>3389</v>
      </c>
      <c r="E2089" s="5" t="s">
        <v>512</v>
      </c>
      <c r="F2089" s="5" t="s">
        <v>137</v>
      </c>
      <c r="G2089" s="5" t="s">
        <v>137</v>
      </c>
      <c r="H2089" s="5" t="s">
        <v>18</v>
      </c>
      <c r="I2089" s="7" t="s">
        <v>7969</v>
      </c>
    </row>
    <row r="2090">
      <c r="A2090" s="5" t="s">
        <v>10156</v>
      </c>
      <c r="B2090" s="5" t="s">
        <v>4749</v>
      </c>
      <c r="D2090" s="5" t="s">
        <v>3389</v>
      </c>
      <c r="E2090" s="5" t="s">
        <v>15</v>
      </c>
      <c r="F2090" s="5" t="s">
        <v>10157</v>
      </c>
      <c r="G2090" s="5" t="s">
        <v>137</v>
      </c>
      <c r="H2090" s="5" t="s">
        <v>18</v>
      </c>
      <c r="I2090" s="7" t="s">
        <v>10155</v>
      </c>
    </row>
    <row r="2091">
      <c r="A2091" s="5" t="s">
        <v>3388</v>
      </c>
      <c r="B2091" s="5" t="s">
        <v>25</v>
      </c>
      <c r="C2091" s="5" t="s">
        <v>13</v>
      </c>
      <c r="D2091" s="5" t="s">
        <v>3389</v>
      </c>
      <c r="E2091" s="5" t="s">
        <v>1950</v>
      </c>
      <c r="F2091" s="5" t="s">
        <v>1638</v>
      </c>
      <c r="G2091" s="5" t="s">
        <v>1639</v>
      </c>
      <c r="H2091" s="5" t="s">
        <v>18</v>
      </c>
      <c r="I2091" s="7" t="s">
        <v>3390</v>
      </c>
    </row>
    <row r="2092">
      <c r="A2092" s="5" t="s">
        <v>3391</v>
      </c>
      <c r="B2092" s="5" t="s">
        <v>25</v>
      </c>
      <c r="C2092" s="5" t="s">
        <v>13</v>
      </c>
      <c r="D2092" s="5" t="s">
        <v>3389</v>
      </c>
      <c r="E2092" s="5" t="s">
        <v>207</v>
      </c>
      <c r="F2092" s="5" t="s">
        <v>1638</v>
      </c>
      <c r="G2092" s="5" t="s">
        <v>1639</v>
      </c>
      <c r="H2092" s="5" t="s">
        <v>18</v>
      </c>
      <c r="I2092" s="7" t="s">
        <v>3392</v>
      </c>
    </row>
    <row r="2093">
      <c r="A2093" s="5" t="s">
        <v>3393</v>
      </c>
      <c r="B2093" s="5" t="s">
        <v>3394</v>
      </c>
      <c r="C2093" s="5" t="s">
        <v>13</v>
      </c>
      <c r="D2093" s="5" t="s">
        <v>3389</v>
      </c>
      <c r="E2093" s="5" t="s">
        <v>1460</v>
      </c>
      <c r="F2093" s="5" t="s">
        <v>3395</v>
      </c>
      <c r="G2093" s="5" t="s">
        <v>137</v>
      </c>
      <c r="H2093" s="5" t="s">
        <v>18</v>
      </c>
      <c r="I2093" s="7" t="s">
        <v>3396</v>
      </c>
    </row>
    <row r="2094">
      <c r="A2094" s="5" t="s">
        <v>3397</v>
      </c>
      <c r="B2094" s="5" t="s">
        <v>3398</v>
      </c>
      <c r="C2094" s="5" t="s">
        <v>13</v>
      </c>
      <c r="D2094" s="5" t="s">
        <v>3389</v>
      </c>
      <c r="E2094" s="5" t="s">
        <v>48</v>
      </c>
      <c r="F2094" s="5" t="s">
        <v>137</v>
      </c>
      <c r="G2094" s="5" t="s">
        <v>137</v>
      </c>
      <c r="H2094" s="5" t="s">
        <v>18</v>
      </c>
      <c r="I2094" s="7" t="s">
        <v>11037</v>
      </c>
    </row>
    <row r="2095">
      <c r="A2095" s="5" t="s">
        <v>3400</v>
      </c>
      <c r="B2095" s="5" t="s">
        <v>3401</v>
      </c>
      <c r="C2095" s="5" t="s">
        <v>13</v>
      </c>
      <c r="D2095" s="5" t="s">
        <v>3389</v>
      </c>
      <c r="E2095" s="5" t="s">
        <v>339</v>
      </c>
      <c r="F2095" s="5" t="s">
        <v>137</v>
      </c>
      <c r="G2095" s="5" t="s">
        <v>137</v>
      </c>
      <c r="H2095" s="5" t="s">
        <v>18</v>
      </c>
      <c r="I2095" s="7" t="s">
        <v>11038</v>
      </c>
    </row>
    <row r="2096">
      <c r="A2096" s="5" t="s">
        <v>3403</v>
      </c>
      <c r="B2096" s="5" t="s">
        <v>3404</v>
      </c>
      <c r="C2096" s="5" t="s">
        <v>4</v>
      </c>
      <c r="D2096" s="5" t="s">
        <v>3389</v>
      </c>
      <c r="E2096" s="5" t="s">
        <v>182</v>
      </c>
      <c r="F2096" s="5" t="s">
        <v>137</v>
      </c>
      <c r="G2096" s="5" t="s">
        <v>137</v>
      </c>
      <c r="H2096" s="5" t="s">
        <v>18</v>
      </c>
      <c r="I2096" s="7" t="s">
        <v>11039</v>
      </c>
    </row>
    <row r="2097">
      <c r="A2097" s="5" t="s">
        <v>3406</v>
      </c>
      <c r="B2097" s="5" t="s">
        <v>3407</v>
      </c>
      <c r="C2097" s="5" t="s">
        <v>13</v>
      </c>
      <c r="D2097" s="5" t="s">
        <v>3389</v>
      </c>
      <c r="E2097" s="5" t="s">
        <v>523</v>
      </c>
      <c r="F2097" s="5" t="s">
        <v>137</v>
      </c>
      <c r="G2097" s="5" t="s">
        <v>137</v>
      </c>
      <c r="H2097" s="5" t="s">
        <v>18</v>
      </c>
      <c r="I2097" s="7" t="s">
        <v>11040</v>
      </c>
    </row>
    <row r="2098">
      <c r="A2098" s="5" t="s">
        <v>3409</v>
      </c>
      <c r="B2098" s="5" t="s">
        <v>2155</v>
      </c>
      <c r="C2098" s="5" t="s">
        <v>13</v>
      </c>
      <c r="D2098" s="5" t="s">
        <v>3389</v>
      </c>
      <c r="E2098" s="5" t="s">
        <v>512</v>
      </c>
      <c r="F2098" s="5" t="s">
        <v>137</v>
      </c>
      <c r="G2098" s="5" t="s">
        <v>137</v>
      </c>
      <c r="H2098" s="5" t="s">
        <v>18</v>
      </c>
      <c r="I2098" s="7" t="s">
        <v>11041</v>
      </c>
    </row>
    <row r="2099">
      <c r="A2099" s="5" t="s">
        <v>3411</v>
      </c>
      <c r="B2099" s="5" t="s">
        <v>2155</v>
      </c>
      <c r="C2099" s="5" t="s">
        <v>13</v>
      </c>
      <c r="D2099" s="5" t="s">
        <v>3389</v>
      </c>
      <c r="E2099" s="5" t="s">
        <v>3110</v>
      </c>
      <c r="F2099" s="5" t="s">
        <v>137</v>
      </c>
      <c r="G2099" s="5" t="s">
        <v>137</v>
      </c>
      <c r="H2099" s="5" t="s">
        <v>18</v>
      </c>
      <c r="I2099" s="7" t="s">
        <v>11042</v>
      </c>
    </row>
    <row r="2100">
      <c r="A2100" s="5" t="s">
        <v>3413</v>
      </c>
      <c r="B2100" s="5" t="s">
        <v>3414</v>
      </c>
      <c r="C2100" s="5" t="s">
        <v>13</v>
      </c>
      <c r="D2100" s="5" t="s">
        <v>3389</v>
      </c>
      <c r="E2100" s="5" t="s">
        <v>106</v>
      </c>
      <c r="F2100" s="5" t="s">
        <v>137</v>
      </c>
      <c r="G2100" s="5" t="s">
        <v>137</v>
      </c>
      <c r="H2100" s="5" t="s">
        <v>18</v>
      </c>
      <c r="I2100" s="7" t="s">
        <v>11043</v>
      </c>
    </row>
    <row r="2101">
      <c r="A2101" s="5" t="s">
        <v>3416</v>
      </c>
      <c r="B2101" s="5" t="s">
        <v>2155</v>
      </c>
      <c r="C2101" s="5" t="s">
        <v>13</v>
      </c>
      <c r="D2101" s="5" t="s">
        <v>3389</v>
      </c>
      <c r="E2101" s="5" t="s">
        <v>26</v>
      </c>
      <c r="F2101" s="5" t="s">
        <v>137</v>
      </c>
      <c r="G2101" s="5" t="s">
        <v>137</v>
      </c>
      <c r="H2101" s="5" t="s">
        <v>18</v>
      </c>
      <c r="I2101" s="7" t="s">
        <v>11044</v>
      </c>
    </row>
    <row r="2102">
      <c r="A2102" s="5" t="s">
        <v>3418</v>
      </c>
      <c r="B2102" s="5" t="s">
        <v>3419</v>
      </c>
      <c r="C2102" s="5" t="s">
        <v>13</v>
      </c>
      <c r="D2102" s="5" t="s">
        <v>3389</v>
      </c>
      <c r="E2102" s="5" t="s">
        <v>121</v>
      </c>
      <c r="F2102" s="5" t="s">
        <v>137</v>
      </c>
      <c r="G2102" s="5" t="s">
        <v>137</v>
      </c>
      <c r="H2102" s="5" t="s">
        <v>18</v>
      </c>
      <c r="I2102" s="7" t="s">
        <v>3420</v>
      </c>
    </row>
    <row r="2103">
      <c r="A2103" s="5" t="s">
        <v>3421</v>
      </c>
      <c r="B2103" s="5" t="s">
        <v>25</v>
      </c>
      <c r="C2103" s="5" t="s">
        <v>13</v>
      </c>
      <c r="D2103" s="5" t="s">
        <v>3389</v>
      </c>
      <c r="E2103" s="5" t="s">
        <v>1460</v>
      </c>
      <c r="F2103" s="5" t="s">
        <v>137</v>
      </c>
      <c r="G2103" s="5" t="s">
        <v>137</v>
      </c>
      <c r="H2103" s="5" t="s">
        <v>18</v>
      </c>
      <c r="I2103" s="7" t="s">
        <v>3422</v>
      </c>
    </row>
    <row r="2104">
      <c r="A2104" s="5" t="s">
        <v>3423</v>
      </c>
      <c r="B2104" s="5" t="s">
        <v>3424</v>
      </c>
      <c r="C2104" s="5" t="s">
        <v>13</v>
      </c>
      <c r="D2104" s="5" t="s">
        <v>3389</v>
      </c>
      <c r="E2104" s="5" t="s">
        <v>585</v>
      </c>
      <c r="F2104" s="5" t="s">
        <v>137</v>
      </c>
      <c r="G2104" s="5" t="s">
        <v>137</v>
      </c>
      <c r="H2104" s="5" t="s">
        <v>18</v>
      </c>
      <c r="I2104" s="7" t="s">
        <v>3425</v>
      </c>
    </row>
    <row r="2105">
      <c r="A2105" s="5" t="s">
        <v>3426</v>
      </c>
      <c r="B2105" s="5" t="s">
        <v>25</v>
      </c>
      <c r="C2105" s="5" t="s">
        <v>13</v>
      </c>
      <c r="D2105" s="5" t="s">
        <v>3389</v>
      </c>
      <c r="E2105" s="5" t="s">
        <v>455</v>
      </c>
      <c r="F2105" s="5" t="s">
        <v>137</v>
      </c>
      <c r="G2105" s="5" t="s">
        <v>137</v>
      </c>
      <c r="H2105" s="5" t="s">
        <v>18</v>
      </c>
      <c r="I2105" s="7" t="s">
        <v>3427</v>
      </c>
    </row>
    <row r="2106">
      <c r="A2106" s="5" t="s">
        <v>3428</v>
      </c>
      <c r="B2106" s="5" t="s">
        <v>206</v>
      </c>
      <c r="C2106" s="5" t="s">
        <v>13</v>
      </c>
      <c r="D2106" s="5" t="s">
        <v>3389</v>
      </c>
      <c r="E2106" s="5" t="s">
        <v>3429</v>
      </c>
      <c r="F2106" s="5" t="s">
        <v>137</v>
      </c>
      <c r="G2106" s="5" t="s">
        <v>137</v>
      </c>
      <c r="H2106" s="5" t="s">
        <v>18</v>
      </c>
      <c r="I2106" s="7" t="s">
        <v>3430</v>
      </c>
    </row>
    <row r="2107">
      <c r="A2107" s="5" t="s">
        <v>3431</v>
      </c>
      <c r="B2107" s="5" t="s">
        <v>3432</v>
      </c>
      <c r="C2107" s="5" t="s">
        <v>13</v>
      </c>
      <c r="D2107" s="5" t="s">
        <v>3389</v>
      </c>
      <c r="E2107" s="5" t="s">
        <v>121</v>
      </c>
      <c r="F2107" s="5" t="s">
        <v>137</v>
      </c>
      <c r="G2107" s="5" t="s">
        <v>137</v>
      </c>
      <c r="H2107" s="5" t="s">
        <v>18</v>
      </c>
      <c r="I2107" s="7" t="s">
        <v>11045</v>
      </c>
    </row>
    <row r="2108">
      <c r="A2108" s="5" t="s">
        <v>3434</v>
      </c>
      <c r="B2108" s="5" t="s">
        <v>25</v>
      </c>
      <c r="C2108" s="5" t="s">
        <v>13</v>
      </c>
      <c r="D2108" s="5" t="s">
        <v>3389</v>
      </c>
      <c r="E2108" s="5" t="s">
        <v>182</v>
      </c>
      <c r="F2108" s="5" t="s">
        <v>137</v>
      </c>
      <c r="G2108" s="5" t="s">
        <v>137</v>
      </c>
      <c r="H2108" s="5" t="s">
        <v>18</v>
      </c>
      <c r="I2108" s="7" t="s">
        <v>3435</v>
      </c>
    </row>
    <row r="2109">
      <c r="A2109" s="5" t="s">
        <v>3436</v>
      </c>
      <c r="B2109" s="5" t="s">
        <v>25</v>
      </c>
      <c r="C2109" s="5" t="s">
        <v>13</v>
      </c>
      <c r="D2109" s="5" t="s">
        <v>3389</v>
      </c>
      <c r="E2109" s="5" t="s">
        <v>430</v>
      </c>
      <c r="F2109" s="5" t="s">
        <v>153</v>
      </c>
      <c r="G2109" s="5" t="s">
        <v>154</v>
      </c>
      <c r="H2109" s="5" t="s">
        <v>18</v>
      </c>
      <c r="I2109" s="7" t="s">
        <v>3437</v>
      </c>
    </row>
    <row r="2110">
      <c r="A2110" s="5" t="s">
        <v>3438</v>
      </c>
      <c r="B2110" s="5" t="s">
        <v>25</v>
      </c>
      <c r="C2110" s="5" t="s">
        <v>13</v>
      </c>
      <c r="D2110" s="5" t="s">
        <v>3439</v>
      </c>
      <c r="E2110" s="5" t="s">
        <v>106</v>
      </c>
      <c r="F2110" s="5" t="s">
        <v>85</v>
      </c>
      <c r="G2110" s="5" t="s">
        <v>86</v>
      </c>
      <c r="H2110" s="5" t="s">
        <v>18</v>
      </c>
      <c r="I2110" s="7" t="s">
        <v>3440</v>
      </c>
    </row>
    <row r="2111">
      <c r="A2111" s="5" t="s">
        <v>3441</v>
      </c>
      <c r="B2111" s="5" t="s">
        <v>25</v>
      </c>
      <c r="C2111" s="5" t="s">
        <v>13</v>
      </c>
      <c r="D2111" s="5" t="s">
        <v>3439</v>
      </c>
      <c r="E2111" s="5" t="s">
        <v>188</v>
      </c>
      <c r="F2111" s="5" t="s">
        <v>122</v>
      </c>
      <c r="G2111" s="5" t="s">
        <v>44</v>
      </c>
      <c r="H2111" s="5" t="s">
        <v>18</v>
      </c>
      <c r="I2111" s="7" t="s">
        <v>3442</v>
      </c>
    </row>
    <row r="2112">
      <c r="A2112" s="5" t="s">
        <v>3443</v>
      </c>
      <c r="B2112" s="5" t="s">
        <v>1281</v>
      </c>
      <c r="C2112" s="5" t="s">
        <v>13</v>
      </c>
      <c r="D2112" s="5" t="s">
        <v>3439</v>
      </c>
      <c r="E2112" s="5" t="s">
        <v>1950</v>
      </c>
      <c r="F2112" s="5" t="s">
        <v>223</v>
      </c>
      <c r="G2112" s="5" t="s">
        <v>224</v>
      </c>
      <c r="H2112" s="5" t="s">
        <v>18</v>
      </c>
      <c r="I2112" s="7" t="s">
        <v>3444</v>
      </c>
    </row>
    <row r="2113">
      <c r="A2113" s="5" t="s">
        <v>3445</v>
      </c>
      <c r="B2113" s="5" t="s">
        <v>25</v>
      </c>
      <c r="C2113" s="5" t="s">
        <v>13</v>
      </c>
      <c r="D2113" s="5" t="s">
        <v>3439</v>
      </c>
      <c r="E2113" s="5" t="s">
        <v>100</v>
      </c>
      <c r="F2113" s="5" t="s">
        <v>1353</v>
      </c>
      <c r="G2113" s="5" t="s">
        <v>1354</v>
      </c>
      <c r="H2113" s="5" t="s">
        <v>18</v>
      </c>
      <c r="I2113" s="7" t="s">
        <v>3446</v>
      </c>
    </row>
    <row r="2114">
      <c r="A2114" s="5" t="s">
        <v>3447</v>
      </c>
      <c r="B2114" s="5" t="s">
        <v>371</v>
      </c>
      <c r="C2114" s="5" t="s">
        <v>13</v>
      </c>
      <c r="D2114" s="5" t="s">
        <v>3439</v>
      </c>
      <c r="E2114" s="5" t="s">
        <v>980</v>
      </c>
      <c r="F2114" s="5" t="s">
        <v>3448</v>
      </c>
      <c r="G2114" s="5" t="s">
        <v>44</v>
      </c>
      <c r="H2114" s="5" t="s">
        <v>18</v>
      </c>
      <c r="I2114" s="7" t="s">
        <v>3449</v>
      </c>
    </row>
    <row r="2115">
      <c r="A2115" s="5" t="s">
        <v>3450</v>
      </c>
      <c r="B2115" s="5" t="s">
        <v>3451</v>
      </c>
      <c r="C2115" s="5" t="s">
        <v>13</v>
      </c>
      <c r="D2115" s="5" t="s">
        <v>3439</v>
      </c>
      <c r="E2115" s="5" t="s">
        <v>106</v>
      </c>
      <c r="F2115" s="5" t="s">
        <v>166</v>
      </c>
      <c r="G2115" s="5" t="s">
        <v>44</v>
      </c>
      <c r="H2115" s="5" t="s">
        <v>18</v>
      </c>
      <c r="I2115" s="7" t="s">
        <v>3452</v>
      </c>
    </row>
    <row r="2116">
      <c r="A2116" s="5" t="s">
        <v>3453</v>
      </c>
      <c r="B2116" s="5" t="s">
        <v>32</v>
      </c>
      <c r="C2116" s="5" t="s">
        <v>13</v>
      </c>
      <c r="D2116" s="5" t="s">
        <v>3439</v>
      </c>
      <c r="E2116" s="5" t="s">
        <v>399</v>
      </c>
      <c r="F2116" s="5" t="s">
        <v>166</v>
      </c>
      <c r="G2116" s="5" t="s">
        <v>44</v>
      </c>
      <c r="H2116" s="5" t="s">
        <v>18</v>
      </c>
      <c r="I2116" s="7" t="s">
        <v>3454</v>
      </c>
    </row>
    <row r="2117">
      <c r="A2117" s="5" t="s">
        <v>3455</v>
      </c>
      <c r="B2117" s="5" t="s">
        <v>32</v>
      </c>
      <c r="C2117" s="5" t="s">
        <v>13</v>
      </c>
      <c r="D2117" s="5" t="s">
        <v>3439</v>
      </c>
      <c r="E2117" s="5" t="s">
        <v>554</v>
      </c>
      <c r="F2117" s="5" t="s">
        <v>166</v>
      </c>
      <c r="G2117" s="5" t="s">
        <v>44</v>
      </c>
      <c r="H2117" s="5" t="s">
        <v>18</v>
      </c>
      <c r="I2117" s="7" t="s">
        <v>3456</v>
      </c>
    </row>
    <row r="2118">
      <c r="A2118" s="5" t="s">
        <v>3457</v>
      </c>
      <c r="B2118" s="5" t="s">
        <v>371</v>
      </c>
      <c r="C2118" s="5" t="s">
        <v>13</v>
      </c>
      <c r="D2118" s="5" t="s">
        <v>3439</v>
      </c>
      <c r="E2118" s="5" t="s">
        <v>94</v>
      </c>
      <c r="F2118" s="5" t="s">
        <v>311</v>
      </c>
      <c r="G2118" s="5" t="s">
        <v>102</v>
      </c>
      <c r="H2118" s="5" t="s">
        <v>18</v>
      </c>
      <c r="I2118" s="7" t="s">
        <v>3458</v>
      </c>
    </row>
    <row r="2119">
      <c r="A2119" s="5" t="s">
        <v>3459</v>
      </c>
      <c r="B2119" s="5" t="s">
        <v>25</v>
      </c>
      <c r="C2119" s="5" t="s">
        <v>13</v>
      </c>
      <c r="D2119" s="5" t="s">
        <v>3439</v>
      </c>
      <c r="E2119" s="5" t="s">
        <v>63</v>
      </c>
      <c r="F2119" s="5" t="s">
        <v>311</v>
      </c>
      <c r="G2119" s="5" t="s">
        <v>102</v>
      </c>
      <c r="H2119" s="5" t="s">
        <v>18</v>
      </c>
      <c r="I2119" s="7" t="s">
        <v>3460</v>
      </c>
    </row>
    <row r="2120">
      <c r="A2120" s="5" t="s">
        <v>3461</v>
      </c>
      <c r="B2120" s="5" t="s">
        <v>32</v>
      </c>
      <c r="C2120" s="5" t="s">
        <v>13</v>
      </c>
      <c r="D2120" s="5" t="s">
        <v>3439</v>
      </c>
      <c r="E2120" s="5" t="s">
        <v>60</v>
      </c>
      <c r="F2120" s="5" t="s">
        <v>311</v>
      </c>
      <c r="G2120" s="5" t="s">
        <v>102</v>
      </c>
      <c r="H2120" s="5" t="s">
        <v>18</v>
      </c>
      <c r="I2120" s="7" t="s">
        <v>3462</v>
      </c>
    </row>
    <row r="2121">
      <c r="A2121" s="5" t="s">
        <v>3463</v>
      </c>
      <c r="B2121" s="5" t="s">
        <v>371</v>
      </c>
      <c r="C2121" s="5" t="s">
        <v>13</v>
      </c>
      <c r="D2121" s="5" t="s">
        <v>3439</v>
      </c>
      <c r="E2121" s="5" t="s">
        <v>106</v>
      </c>
      <c r="F2121" s="5" t="s">
        <v>122</v>
      </c>
      <c r="G2121" s="5" t="s">
        <v>44</v>
      </c>
      <c r="H2121" s="5" t="s">
        <v>18</v>
      </c>
      <c r="I2121" s="7" t="s">
        <v>3464</v>
      </c>
    </row>
    <row r="2122">
      <c r="A2122" s="5" t="s">
        <v>3465</v>
      </c>
      <c r="B2122" s="5" t="s">
        <v>3466</v>
      </c>
      <c r="C2122" s="5" t="s">
        <v>13</v>
      </c>
      <c r="D2122" s="5" t="s">
        <v>3439</v>
      </c>
      <c r="E2122" s="5" t="s">
        <v>2818</v>
      </c>
      <c r="F2122" s="5" t="s">
        <v>122</v>
      </c>
      <c r="G2122" s="5" t="s">
        <v>44</v>
      </c>
      <c r="H2122" s="5" t="s">
        <v>18</v>
      </c>
      <c r="I2122" s="7" t="s">
        <v>3467</v>
      </c>
    </row>
    <row r="2123">
      <c r="A2123" s="5" t="s">
        <v>3468</v>
      </c>
      <c r="B2123" s="5" t="s">
        <v>371</v>
      </c>
      <c r="C2123" s="5" t="s">
        <v>13</v>
      </c>
      <c r="D2123" s="5" t="s">
        <v>3439</v>
      </c>
      <c r="E2123" s="5" t="s">
        <v>716</v>
      </c>
      <c r="F2123" s="5" t="s">
        <v>311</v>
      </c>
      <c r="G2123" s="5" t="s">
        <v>102</v>
      </c>
      <c r="H2123" s="5" t="s">
        <v>18</v>
      </c>
      <c r="I2123" s="7" t="s">
        <v>3469</v>
      </c>
    </row>
    <row r="2124">
      <c r="A2124" s="5" t="s">
        <v>3470</v>
      </c>
      <c r="B2124" s="5" t="s">
        <v>25</v>
      </c>
      <c r="C2124" s="5" t="s">
        <v>13</v>
      </c>
      <c r="D2124" s="5" t="s">
        <v>3439</v>
      </c>
      <c r="E2124" s="5" t="s">
        <v>1993</v>
      </c>
      <c r="F2124" s="5" t="s">
        <v>3471</v>
      </c>
      <c r="G2124" s="5" t="s">
        <v>102</v>
      </c>
      <c r="H2124" s="5" t="s">
        <v>18</v>
      </c>
      <c r="I2124" s="7" t="s">
        <v>3472</v>
      </c>
    </row>
    <row r="2125">
      <c r="A2125" s="5" t="s">
        <v>3473</v>
      </c>
      <c r="B2125" s="5" t="s">
        <v>32</v>
      </c>
      <c r="C2125" s="5" t="s">
        <v>13</v>
      </c>
      <c r="D2125" s="5" t="s">
        <v>3439</v>
      </c>
      <c r="E2125" s="5" t="s">
        <v>1360</v>
      </c>
      <c r="F2125" s="5" t="s">
        <v>1867</v>
      </c>
      <c r="G2125" s="5" t="s">
        <v>44</v>
      </c>
      <c r="H2125" s="5" t="s">
        <v>18</v>
      </c>
      <c r="I2125" s="7" t="s">
        <v>11046</v>
      </c>
    </row>
    <row r="2126">
      <c r="A2126" s="5" t="s">
        <v>4956</v>
      </c>
      <c r="B2126" s="5" t="s">
        <v>4957</v>
      </c>
      <c r="D2126" s="5" t="s">
        <v>4958</v>
      </c>
      <c r="E2126" s="5" t="s">
        <v>268</v>
      </c>
      <c r="F2126" s="5" t="s">
        <v>4954</v>
      </c>
      <c r="G2126" s="5" t="s">
        <v>4757</v>
      </c>
      <c r="H2126" s="5" t="s">
        <v>4607</v>
      </c>
      <c r="I2126" s="7" t="s">
        <v>4955</v>
      </c>
    </row>
    <row r="2127">
      <c r="A2127" s="5" t="s">
        <v>8392</v>
      </c>
      <c r="B2127" s="5" t="s">
        <v>8393</v>
      </c>
      <c r="D2127" s="5" t="s">
        <v>4958</v>
      </c>
      <c r="E2127" s="5" t="s">
        <v>686</v>
      </c>
      <c r="F2127" s="5" t="s">
        <v>8394</v>
      </c>
      <c r="G2127" s="5" t="s">
        <v>4757</v>
      </c>
      <c r="H2127" s="5" t="s">
        <v>4607</v>
      </c>
      <c r="I2127" s="7" t="s">
        <v>8391</v>
      </c>
    </row>
    <row r="2128">
      <c r="A2128" s="5" t="s">
        <v>9967</v>
      </c>
      <c r="B2128" s="5" t="s">
        <v>9968</v>
      </c>
      <c r="D2128" s="5" t="s">
        <v>4958</v>
      </c>
      <c r="E2128" s="5" t="s">
        <v>36</v>
      </c>
      <c r="F2128" s="5" t="s">
        <v>9969</v>
      </c>
      <c r="G2128" s="5" t="s">
        <v>4757</v>
      </c>
      <c r="H2128" s="5" t="s">
        <v>4607</v>
      </c>
      <c r="I2128" s="7" t="s">
        <v>11047</v>
      </c>
    </row>
    <row r="2129">
      <c r="A2129" s="5" t="s">
        <v>3475</v>
      </c>
      <c r="B2129" s="5" t="s">
        <v>3476</v>
      </c>
      <c r="C2129" s="5" t="s">
        <v>13</v>
      </c>
      <c r="D2129" s="5" t="s">
        <v>3477</v>
      </c>
      <c r="E2129" s="5" t="s">
        <v>1846</v>
      </c>
      <c r="F2129" s="5" t="s">
        <v>122</v>
      </c>
      <c r="G2129" s="5" t="s">
        <v>44</v>
      </c>
      <c r="H2129" s="5" t="s">
        <v>18</v>
      </c>
      <c r="I2129" s="7" t="s">
        <v>11048</v>
      </c>
    </row>
    <row r="2130">
      <c r="A2130" s="5" t="s">
        <v>3479</v>
      </c>
      <c r="B2130" s="5" t="s">
        <v>3476</v>
      </c>
      <c r="C2130" s="5" t="s">
        <v>13</v>
      </c>
      <c r="D2130" s="5" t="s">
        <v>3477</v>
      </c>
      <c r="E2130" s="5" t="s">
        <v>125</v>
      </c>
      <c r="F2130" s="5" t="s">
        <v>137</v>
      </c>
      <c r="G2130" s="5" t="s">
        <v>137</v>
      </c>
      <c r="H2130" s="5" t="s">
        <v>18</v>
      </c>
      <c r="I2130" s="7" t="s">
        <v>11049</v>
      </c>
    </row>
    <row r="2131">
      <c r="A2131" s="5" t="s">
        <v>3481</v>
      </c>
      <c r="B2131" s="5" t="s">
        <v>3482</v>
      </c>
      <c r="C2131" s="5" t="s">
        <v>13</v>
      </c>
      <c r="D2131" s="5" t="s">
        <v>3477</v>
      </c>
      <c r="E2131" s="5" t="s">
        <v>441</v>
      </c>
      <c r="F2131" s="5" t="s">
        <v>137</v>
      </c>
      <c r="G2131" s="5" t="s">
        <v>137</v>
      </c>
      <c r="H2131" s="5" t="s">
        <v>18</v>
      </c>
      <c r="I2131" s="7" t="s">
        <v>11050</v>
      </c>
    </row>
    <row r="2132">
      <c r="A2132" s="5" t="s">
        <v>3484</v>
      </c>
      <c r="B2132" s="5" t="s">
        <v>25</v>
      </c>
      <c r="C2132" s="5" t="s">
        <v>13</v>
      </c>
      <c r="D2132" s="5" t="s">
        <v>3477</v>
      </c>
      <c r="E2132" s="5" t="s">
        <v>125</v>
      </c>
      <c r="F2132" s="5" t="s">
        <v>3485</v>
      </c>
      <c r="G2132" s="5" t="s">
        <v>137</v>
      </c>
      <c r="H2132" s="5" t="s">
        <v>18</v>
      </c>
      <c r="I2132" s="7" t="s">
        <v>11051</v>
      </c>
    </row>
    <row r="2133">
      <c r="A2133" s="5" t="s">
        <v>3487</v>
      </c>
      <c r="B2133" s="5" t="s">
        <v>25</v>
      </c>
      <c r="C2133" s="5" t="s">
        <v>13</v>
      </c>
      <c r="D2133" s="5" t="s">
        <v>3488</v>
      </c>
      <c r="E2133" s="5" t="s">
        <v>283</v>
      </c>
      <c r="F2133" s="5" t="s">
        <v>635</v>
      </c>
      <c r="G2133" s="5" t="s">
        <v>76</v>
      </c>
      <c r="H2133" s="5" t="s">
        <v>18</v>
      </c>
      <c r="I2133" s="7" t="s">
        <v>3489</v>
      </c>
    </row>
    <row r="2134">
      <c r="A2134" s="5" t="s">
        <v>3490</v>
      </c>
      <c r="B2134" s="5" t="s">
        <v>25</v>
      </c>
      <c r="C2134" s="5" t="s">
        <v>13</v>
      </c>
      <c r="D2134" s="5" t="s">
        <v>3488</v>
      </c>
      <c r="E2134" s="5" t="s">
        <v>727</v>
      </c>
      <c r="F2134" s="5" t="s">
        <v>102</v>
      </c>
      <c r="G2134" s="5" t="s">
        <v>172</v>
      </c>
      <c r="H2134" s="5" t="s">
        <v>18</v>
      </c>
      <c r="I2134" s="7" t="s">
        <v>3491</v>
      </c>
    </row>
    <row r="2135">
      <c r="A2135" s="5" t="s">
        <v>3492</v>
      </c>
      <c r="B2135" s="5" t="s">
        <v>25</v>
      </c>
      <c r="C2135" s="5" t="s">
        <v>13</v>
      </c>
      <c r="D2135" s="5" t="s">
        <v>3488</v>
      </c>
      <c r="E2135" s="5" t="s">
        <v>188</v>
      </c>
      <c r="F2135" s="5" t="s">
        <v>3493</v>
      </c>
      <c r="G2135" s="5" t="s">
        <v>154</v>
      </c>
      <c r="H2135" s="5" t="s">
        <v>18</v>
      </c>
      <c r="I2135" s="7" t="s">
        <v>3494</v>
      </c>
    </row>
    <row r="2136">
      <c r="A2136" s="5" t="s">
        <v>6639</v>
      </c>
      <c r="B2136" s="5" t="s">
        <v>5054</v>
      </c>
      <c r="D2136" s="5" t="s">
        <v>6640</v>
      </c>
      <c r="E2136" s="5" t="s">
        <v>727</v>
      </c>
      <c r="F2136" s="5" t="s">
        <v>6577</v>
      </c>
      <c r="G2136" s="5" t="s">
        <v>4757</v>
      </c>
      <c r="H2136" s="5" t="s">
        <v>4607</v>
      </c>
      <c r="I2136" s="7" t="s">
        <v>6638</v>
      </c>
    </row>
    <row r="2137">
      <c r="A2137" s="5" t="s">
        <v>6883</v>
      </c>
      <c r="B2137" s="5" t="s">
        <v>6884</v>
      </c>
      <c r="D2137" s="5" t="s">
        <v>6640</v>
      </c>
      <c r="E2137" s="5" t="s">
        <v>144</v>
      </c>
      <c r="F2137" s="5" t="s">
        <v>6577</v>
      </c>
      <c r="G2137" s="5" t="s">
        <v>4757</v>
      </c>
      <c r="H2137" s="5" t="s">
        <v>4607</v>
      </c>
      <c r="I2137" s="7" t="s">
        <v>6882</v>
      </c>
    </row>
    <row r="2138">
      <c r="A2138" s="5" t="s">
        <v>7003</v>
      </c>
      <c r="B2138" s="5" t="s">
        <v>7004</v>
      </c>
      <c r="D2138" s="5" t="s">
        <v>6640</v>
      </c>
      <c r="E2138" s="5" t="s">
        <v>165</v>
      </c>
      <c r="F2138" s="5" t="s">
        <v>6577</v>
      </c>
      <c r="G2138" s="5" t="s">
        <v>4757</v>
      </c>
      <c r="H2138" s="5" t="s">
        <v>4607</v>
      </c>
      <c r="I2138" s="7" t="s">
        <v>7002</v>
      </c>
    </row>
    <row r="2139">
      <c r="A2139" s="5" t="s">
        <v>3495</v>
      </c>
      <c r="B2139" s="5" t="s">
        <v>3496</v>
      </c>
      <c r="C2139" s="5" t="s">
        <v>13</v>
      </c>
      <c r="D2139" s="5" t="s">
        <v>3497</v>
      </c>
      <c r="E2139" s="5" t="s">
        <v>980</v>
      </c>
      <c r="F2139" s="5" t="s">
        <v>3498</v>
      </c>
      <c r="G2139" s="5" t="s">
        <v>203</v>
      </c>
      <c r="H2139" s="5" t="s">
        <v>18</v>
      </c>
      <c r="I2139" s="7" t="s">
        <v>3499</v>
      </c>
    </row>
    <row r="2140">
      <c r="A2140" s="5" t="s">
        <v>3500</v>
      </c>
      <c r="B2140" s="5" t="s">
        <v>25</v>
      </c>
      <c r="C2140" s="5" t="s">
        <v>13</v>
      </c>
      <c r="D2140" s="5" t="s">
        <v>3497</v>
      </c>
      <c r="E2140" s="5" t="s">
        <v>63</v>
      </c>
      <c r="F2140" s="5" t="s">
        <v>102</v>
      </c>
      <c r="G2140" s="5" t="s">
        <v>172</v>
      </c>
      <c r="H2140" s="5" t="s">
        <v>18</v>
      </c>
      <c r="I2140" s="7" t="s">
        <v>11052</v>
      </c>
    </row>
    <row r="2141">
      <c r="A2141" s="5" t="s">
        <v>3502</v>
      </c>
      <c r="B2141" s="5" t="s">
        <v>404</v>
      </c>
      <c r="C2141" s="5" t="s">
        <v>13</v>
      </c>
      <c r="D2141" s="5" t="s">
        <v>3497</v>
      </c>
      <c r="E2141" s="5" t="s">
        <v>56</v>
      </c>
      <c r="F2141" s="5" t="s">
        <v>3503</v>
      </c>
      <c r="G2141" s="5" t="s">
        <v>203</v>
      </c>
      <c r="H2141" s="5" t="s">
        <v>18</v>
      </c>
      <c r="I2141" s="7" t="s">
        <v>3504</v>
      </c>
    </row>
    <row r="2142">
      <c r="A2142" s="5" t="s">
        <v>3505</v>
      </c>
      <c r="B2142" s="5" t="s">
        <v>404</v>
      </c>
      <c r="C2142" s="5" t="s">
        <v>13</v>
      </c>
      <c r="D2142" s="5" t="s">
        <v>3497</v>
      </c>
      <c r="E2142" s="5" t="s">
        <v>716</v>
      </c>
      <c r="F2142" s="5" t="s">
        <v>1437</v>
      </c>
      <c r="G2142" s="5" t="s">
        <v>203</v>
      </c>
      <c r="H2142" s="5" t="s">
        <v>18</v>
      </c>
      <c r="I2142" s="7" t="s">
        <v>3506</v>
      </c>
    </row>
    <row r="2143">
      <c r="A2143" s="5" t="s">
        <v>3507</v>
      </c>
      <c r="B2143" s="5" t="s">
        <v>480</v>
      </c>
      <c r="C2143" s="5" t="s">
        <v>13</v>
      </c>
      <c r="D2143" s="5" t="s">
        <v>3497</v>
      </c>
      <c r="E2143" s="5" t="s">
        <v>1244</v>
      </c>
      <c r="F2143" s="5" t="s">
        <v>1867</v>
      </c>
      <c r="G2143" s="5" t="s">
        <v>44</v>
      </c>
      <c r="H2143" s="5" t="s">
        <v>18</v>
      </c>
      <c r="I2143" s="7" t="s">
        <v>3508</v>
      </c>
    </row>
    <row r="2144">
      <c r="A2144" s="5" t="s">
        <v>3509</v>
      </c>
      <c r="B2144" s="5" t="s">
        <v>800</v>
      </c>
      <c r="D2144" s="5" t="s">
        <v>3510</v>
      </c>
      <c r="E2144" s="5" t="s">
        <v>237</v>
      </c>
      <c r="F2144" s="5" t="s">
        <v>37</v>
      </c>
      <c r="G2144" s="5" t="s">
        <v>38</v>
      </c>
      <c r="H2144" s="5" t="s">
        <v>18</v>
      </c>
      <c r="I2144" s="7" t="s">
        <v>4761</v>
      </c>
    </row>
    <row r="2145">
      <c r="A2145" s="5" t="s">
        <v>3514</v>
      </c>
      <c r="B2145" s="5" t="s">
        <v>371</v>
      </c>
      <c r="D2145" s="5" t="s">
        <v>3510</v>
      </c>
      <c r="E2145" s="5" t="s">
        <v>233</v>
      </c>
      <c r="F2145" s="5" t="s">
        <v>166</v>
      </c>
      <c r="G2145" s="5" t="s">
        <v>44</v>
      </c>
      <c r="H2145" s="5" t="s">
        <v>18</v>
      </c>
      <c r="I2145" s="7" t="s">
        <v>8651</v>
      </c>
    </row>
    <row r="2146">
      <c r="A2146" s="5" t="s">
        <v>3520</v>
      </c>
      <c r="B2146" s="5" t="s">
        <v>800</v>
      </c>
      <c r="D2146" s="5" t="s">
        <v>3510</v>
      </c>
      <c r="E2146" s="5" t="s">
        <v>472</v>
      </c>
      <c r="F2146" s="5" t="s">
        <v>166</v>
      </c>
      <c r="G2146" s="5" t="s">
        <v>44</v>
      </c>
      <c r="H2146" s="5" t="s">
        <v>18</v>
      </c>
      <c r="I2146" s="7" t="s">
        <v>8663</v>
      </c>
    </row>
    <row r="2147">
      <c r="A2147" s="5" t="s">
        <v>3524</v>
      </c>
      <c r="B2147" s="5" t="s">
        <v>3525</v>
      </c>
      <c r="D2147" s="5" t="s">
        <v>3510</v>
      </c>
      <c r="E2147" s="5" t="s">
        <v>585</v>
      </c>
      <c r="F2147" s="5" t="s">
        <v>169</v>
      </c>
      <c r="G2147" s="5" t="s">
        <v>44</v>
      </c>
      <c r="H2147" s="5" t="s">
        <v>18</v>
      </c>
      <c r="I2147" s="7" t="s">
        <v>11053</v>
      </c>
    </row>
    <row r="2148">
      <c r="A2148" s="5" t="s">
        <v>3509</v>
      </c>
      <c r="B2148" s="5" t="s">
        <v>800</v>
      </c>
      <c r="C2148" s="5" t="s">
        <v>13</v>
      </c>
      <c r="D2148" s="5" t="s">
        <v>3510</v>
      </c>
      <c r="E2148" s="5" t="s">
        <v>237</v>
      </c>
      <c r="F2148" s="5" t="s">
        <v>37</v>
      </c>
      <c r="G2148" s="5" t="s">
        <v>38</v>
      </c>
      <c r="H2148" s="5" t="s">
        <v>18</v>
      </c>
      <c r="I2148" s="7" t="s">
        <v>3511</v>
      </c>
    </row>
    <row r="2149">
      <c r="A2149" s="5" t="s">
        <v>3512</v>
      </c>
      <c r="B2149" s="5" t="s">
        <v>110</v>
      </c>
      <c r="C2149" s="5" t="s">
        <v>13</v>
      </c>
      <c r="D2149" s="5" t="s">
        <v>3510</v>
      </c>
      <c r="E2149" s="5" t="s">
        <v>2035</v>
      </c>
      <c r="F2149" s="5" t="s">
        <v>433</v>
      </c>
      <c r="G2149" s="5" t="s">
        <v>44</v>
      </c>
      <c r="H2149" s="5" t="s">
        <v>18</v>
      </c>
      <c r="I2149" s="7" t="s">
        <v>3513</v>
      </c>
    </row>
    <row r="2150">
      <c r="A2150" s="5" t="s">
        <v>3514</v>
      </c>
      <c r="B2150" s="5" t="s">
        <v>371</v>
      </c>
      <c r="C2150" s="5" t="s">
        <v>13</v>
      </c>
      <c r="D2150" s="5" t="s">
        <v>3510</v>
      </c>
      <c r="E2150" s="5" t="s">
        <v>233</v>
      </c>
      <c r="F2150" s="5" t="s">
        <v>166</v>
      </c>
      <c r="G2150" s="5" t="s">
        <v>44</v>
      </c>
      <c r="H2150" s="5" t="s">
        <v>18</v>
      </c>
      <c r="I2150" s="7" t="s">
        <v>3515</v>
      </c>
    </row>
    <row r="2151">
      <c r="A2151" s="5" t="s">
        <v>3516</v>
      </c>
      <c r="B2151" s="5" t="s">
        <v>110</v>
      </c>
      <c r="C2151" s="5" t="s">
        <v>13</v>
      </c>
      <c r="D2151" s="5" t="s">
        <v>3510</v>
      </c>
      <c r="E2151" s="5" t="s">
        <v>257</v>
      </c>
      <c r="F2151" s="5" t="s">
        <v>166</v>
      </c>
      <c r="G2151" s="5" t="s">
        <v>44</v>
      </c>
      <c r="H2151" s="5" t="s">
        <v>18</v>
      </c>
      <c r="I2151" s="7" t="s">
        <v>3517</v>
      </c>
    </row>
    <row r="2152">
      <c r="A2152" s="5" t="s">
        <v>3518</v>
      </c>
      <c r="B2152" s="5" t="s">
        <v>110</v>
      </c>
      <c r="C2152" s="5" t="s">
        <v>13</v>
      </c>
      <c r="D2152" s="5" t="s">
        <v>3510</v>
      </c>
      <c r="E2152" s="5" t="s">
        <v>165</v>
      </c>
      <c r="F2152" s="5" t="s">
        <v>166</v>
      </c>
      <c r="G2152" s="5" t="s">
        <v>44</v>
      </c>
      <c r="H2152" s="5" t="s">
        <v>18</v>
      </c>
      <c r="I2152" s="7" t="s">
        <v>3519</v>
      </c>
    </row>
    <row r="2153">
      <c r="A2153" s="5" t="s">
        <v>3520</v>
      </c>
      <c r="B2153" s="5" t="s">
        <v>800</v>
      </c>
      <c r="C2153" s="5" t="s">
        <v>13</v>
      </c>
      <c r="D2153" s="5" t="s">
        <v>3510</v>
      </c>
      <c r="E2153" s="5" t="s">
        <v>472</v>
      </c>
      <c r="F2153" s="5" t="s">
        <v>166</v>
      </c>
      <c r="G2153" s="5" t="s">
        <v>44</v>
      </c>
      <c r="H2153" s="5" t="s">
        <v>18</v>
      </c>
      <c r="I2153" s="7" t="s">
        <v>3521</v>
      </c>
    </row>
    <row r="2154">
      <c r="A2154" s="5" t="s">
        <v>3522</v>
      </c>
      <c r="B2154" s="5" t="s">
        <v>110</v>
      </c>
      <c r="C2154" s="5" t="s">
        <v>13</v>
      </c>
      <c r="D2154" s="5" t="s">
        <v>3510</v>
      </c>
      <c r="E2154" s="5" t="s">
        <v>339</v>
      </c>
      <c r="F2154" s="5" t="s">
        <v>169</v>
      </c>
      <c r="G2154" s="5" t="s">
        <v>44</v>
      </c>
      <c r="H2154" s="5" t="s">
        <v>18</v>
      </c>
      <c r="I2154" s="7" t="s">
        <v>3523</v>
      </c>
    </row>
    <row r="2155">
      <c r="A2155" s="5" t="s">
        <v>3524</v>
      </c>
      <c r="B2155" s="5" t="s">
        <v>3525</v>
      </c>
      <c r="C2155" s="5" t="s">
        <v>13</v>
      </c>
      <c r="D2155" s="5" t="s">
        <v>3510</v>
      </c>
      <c r="E2155" s="5" t="s">
        <v>585</v>
      </c>
      <c r="F2155" s="5" t="s">
        <v>169</v>
      </c>
      <c r="G2155" s="5" t="s">
        <v>44</v>
      </c>
      <c r="H2155" s="5" t="s">
        <v>18</v>
      </c>
      <c r="I2155" s="7" t="s">
        <v>11054</v>
      </c>
    </row>
    <row r="2156">
      <c r="A2156" s="5" t="s">
        <v>3527</v>
      </c>
      <c r="B2156" s="5" t="s">
        <v>3528</v>
      </c>
      <c r="C2156" s="5" t="s">
        <v>13</v>
      </c>
      <c r="D2156" s="5" t="s">
        <v>3510</v>
      </c>
      <c r="E2156" s="5" t="s">
        <v>144</v>
      </c>
      <c r="F2156" s="5" t="s">
        <v>169</v>
      </c>
      <c r="G2156" s="5" t="s">
        <v>44</v>
      </c>
      <c r="H2156" s="5" t="s">
        <v>18</v>
      </c>
      <c r="I2156" s="7" t="s">
        <v>11055</v>
      </c>
    </row>
    <row r="2157">
      <c r="A2157" s="5" t="s">
        <v>3530</v>
      </c>
      <c r="B2157" s="5" t="s">
        <v>110</v>
      </c>
      <c r="C2157" s="5" t="s">
        <v>13</v>
      </c>
      <c r="D2157" s="5" t="s">
        <v>3510</v>
      </c>
      <c r="E2157" s="5" t="s">
        <v>1123</v>
      </c>
      <c r="F2157" s="5" t="s">
        <v>2047</v>
      </c>
      <c r="G2157" s="5" t="s">
        <v>44</v>
      </c>
      <c r="H2157" s="5" t="s">
        <v>18</v>
      </c>
      <c r="I2157" s="7" t="s">
        <v>3531</v>
      </c>
    </row>
    <row r="2158">
      <c r="A2158" s="5" t="s">
        <v>3532</v>
      </c>
      <c r="B2158" s="5" t="s">
        <v>110</v>
      </c>
      <c r="C2158" s="5" t="s">
        <v>13</v>
      </c>
      <c r="D2158" s="5" t="s">
        <v>3510</v>
      </c>
      <c r="E2158" s="5" t="s">
        <v>131</v>
      </c>
      <c r="F2158" s="5" t="s">
        <v>2047</v>
      </c>
      <c r="G2158" s="5" t="s">
        <v>44</v>
      </c>
      <c r="H2158" s="5" t="s">
        <v>18</v>
      </c>
      <c r="I2158" s="7" t="s">
        <v>3533</v>
      </c>
    </row>
    <row r="2159">
      <c r="A2159" s="5" t="s">
        <v>3534</v>
      </c>
      <c r="B2159" s="5" t="s">
        <v>3535</v>
      </c>
      <c r="C2159" s="5" t="s">
        <v>13</v>
      </c>
      <c r="D2159" s="5" t="s">
        <v>3510</v>
      </c>
      <c r="E2159" s="5" t="s">
        <v>354</v>
      </c>
      <c r="F2159" s="5" t="s">
        <v>2047</v>
      </c>
      <c r="G2159" s="5" t="s">
        <v>44</v>
      </c>
      <c r="H2159" s="5" t="s">
        <v>18</v>
      </c>
      <c r="I2159" s="7" t="s">
        <v>11056</v>
      </c>
    </row>
    <row r="2160">
      <c r="A2160" s="5" t="s">
        <v>3537</v>
      </c>
      <c r="B2160" s="5" t="s">
        <v>110</v>
      </c>
      <c r="C2160" s="5" t="s">
        <v>13</v>
      </c>
      <c r="D2160" s="5" t="s">
        <v>3510</v>
      </c>
      <c r="F2160" s="5" t="s">
        <v>2047</v>
      </c>
      <c r="G2160" s="5" t="s">
        <v>44</v>
      </c>
      <c r="H2160" s="5" t="s">
        <v>18</v>
      </c>
      <c r="I2160" s="7" t="s">
        <v>3538</v>
      </c>
    </row>
    <row r="2161">
      <c r="A2161" s="5" t="s">
        <v>9322</v>
      </c>
      <c r="B2161" s="5" t="s">
        <v>9323</v>
      </c>
      <c r="D2161" s="5" t="s">
        <v>9324</v>
      </c>
      <c r="E2161" s="5" t="s">
        <v>716</v>
      </c>
      <c r="F2161" s="5" t="s">
        <v>5280</v>
      </c>
      <c r="G2161" s="5" t="s">
        <v>4638</v>
      </c>
      <c r="H2161" s="5" t="s">
        <v>4600</v>
      </c>
      <c r="I2161" s="7" t="s">
        <v>11057</v>
      </c>
    </row>
    <row r="2162">
      <c r="A2162" s="5" t="s">
        <v>6156</v>
      </c>
      <c r="B2162" s="5" t="s">
        <v>4929</v>
      </c>
      <c r="D2162" s="5" t="s">
        <v>6157</v>
      </c>
      <c r="E2162" s="5" t="s">
        <v>909</v>
      </c>
      <c r="F2162" s="5" t="s">
        <v>6158</v>
      </c>
      <c r="G2162" s="5" t="s">
        <v>6159</v>
      </c>
      <c r="H2162" s="5" t="s">
        <v>4600</v>
      </c>
      <c r="I2162" s="7" t="s">
        <v>11058</v>
      </c>
    </row>
    <row r="2163">
      <c r="A2163" s="5" t="s">
        <v>8108</v>
      </c>
      <c r="B2163" s="5" t="s">
        <v>8109</v>
      </c>
      <c r="D2163" s="5" t="s">
        <v>8110</v>
      </c>
      <c r="E2163" s="5" t="s">
        <v>574</v>
      </c>
      <c r="F2163" s="5" t="s">
        <v>5280</v>
      </c>
      <c r="G2163" s="5" t="s">
        <v>4638</v>
      </c>
      <c r="H2163" s="5" t="s">
        <v>4600</v>
      </c>
      <c r="I2163" s="7" t="s">
        <v>11059</v>
      </c>
    </row>
    <row r="2164">
      <c r="A2164" s="5" t="s">
        <v>8188</v>
      </c>
      <c r="B2164" s="5" t="s">
        <v>8189</v>
      </c>
      <c r="D2164" s="5" t="s">
        <v>8110</v>
      </c>
      <c r="E2164" s="5" t="s">
        <v>257</v>
      </c>
      <c r="F2164" s="5" t="s">
        <v>8158</v>
      </c>
      <c r="G2164" s="5" t="s">
        <v>4638</v>
      </c>
      <c r="H2164" s="5" t="s">
        <v>4600</v>
      </c>
      <c r="I2164" s="7" t="s">
        <v>11060</v>
      </c>
    </row>
    <row r="2165">
      <c r="A2165" s="5" t="s">
        <v>8194</v>
      </c>
      <c r="B2165" s="5" t="s">
        <v>8195</v>
      </c>
      <c r="D2165" s="5" t="s">
        <v>8110</v>
      </c>
      <c r="E2165" s="5" t="s">
        <v>727</v>
      </c>
      <c r="F2165" s="5" t="s">
        <v>8158</v>
      </c>
      <c r="G2165" s="5" t="s">
        <v>4638</v>
      </c>
      <c r="H2165" s="5" t="s">
        <v>4600</v>
      </c>
      <c r="I2165" s="7" t="s">
        <v>11061</v>
      </c>
    </row>
    <row r="2166">
      <c r="A2166" s="5" t="s">
        <v>8197</v>
      </c>
      <c r="B2166" s="5" t="s">
        <v>8198</v>
      </c>
      <c r="D2166" s="5" t="s">
        <v>8110</v>
      </c>
      <c r="E2166" s="5" t="s">
        <v>257</v>
      </c>
      <c r="F2166" s="5" t="s">
        <v>8158</v>
      </c>
      <c r="G2166" s="5" t="s">
        <v>4638</v>
      </c>
      <c r="H2166" s="5" t="s">
        <v>4600</v>
      </c>
      <c r="I2166" s="7" t="s">
        <v>8196</v>
      </c>
    </row>
    <row r="2167">
      <c r="A2167" s="5" t="s">
        <v>8244</v>
      </c>
      <c r="B2167" s="5" t="s">
        <v>4929</v>
      </c>
      <c r="D2167" s="5" t="s">
        <v>8110</v>
      </c>
      <c r="E2167" s="5" t="s">
        <v>832</v>
      </c>
      <c r="F2167" s="5" t="s">
        <v>8158</v>
      </c>
      <c r="G2167" s="5" t="s">
        <v>4638</v>
      </c>
      <c r="H2167" s="5" t="s">
        <v>4600</v>
      </c>
      <c r="I2167" s="7" t="s">
        <v>8243</v>
      </c>
    </row>
    <row r="2168">
      <c r="A2168" s="5" t="s">
        <v>8246</v>
      </c>
      <c r="B2168" s="5" t="s">
        <v>8247</v>
      </c>
      <c r="D2168" s="5" t="s">
        <v>8110</v>
      </c>
      <c r="E2168" s="5" t="s">
        <v>574</v>
      </c>
      <c r="F2168" s="5" t="s">
        <v>8158</v>
      </c>
      <c r="G2168" s="5" t="s">
        <v>4638</v>
      </c>
      <c r="H2168" s="5" t="s">
        <v>4600</v>
      </c>
      <c r="I2168" s="7" t="s">
        <v>11062</v>
      </c>
    </row>
    <row r="2169">
      <c r="A2169" s="5" t="s">
        <v>3539</v>
      </c>
      <c r="B2169" s="5" t="s">
        <v>32</v>
      </c>
      <c r="C2169" s="5" t="s">
        <v>13</v>
      </c>
      <c r="D2169" s="5" t="s">
        <v>3540</v>
      </c>
      <c r="E2169" s="5" t="s">
        <v>848</v>
      </c>
      <c r="F2169" s="5" t="s">
        <v>80</v>
      </c>
      <c r="G2169" s="5" t="s">
        <v>38</v>
      </c>
      <c r="H2169" s="5" t="s">
        <v>18</v>
      </c>
      <c r="I2169" s="7" t="s">
        <v>3541</v>
      </c>
    </row>
    <row r="2170">
      <c r="A2170" s="5" t="s">
        <v>3542</v>
      </c>
      <c r="B2170" s="5" t="s">
        <v>25</v>
      </c>
      <c r="C2170" s="5" t="s">
        <v>13</v>
      </c>
      <c r="D2170" s="5" t="s">
        <v>3540</v>
      </c>
      <c r="E2170" s="5" t="s">
        <v>651</v>
      </c>
      <c r="F2170" s="5" t="s">
        <v>137</v>
      </c>
      <c r="G2170" s="5" t="s">
        <v>137</v>
      </c>
      <c r="H2170" s="5" t="s">
        <v>18</v>
      </c>
      <c r="I2170" s="7" t="s">
        <v>3543</v>
      </c>
    </row>
    <row r="2171">
      <c r="A2171" s="5" t="s">
        <v>9289</v>
      </c>
      <c r="B2171" s="5" t="s">
        <v>25</v>
      </c>
      <c r="D2171" s="5" t="s">
        <v>3545</v>
      </c>
      <c r="E2171" s="5" t="s">
        <v>29</v>
      </c>
      <c r="F2171" s="5" t="s">
        <v>5280</v>
      </c>
      <c r="G2171" s="5" t="s">
        <v>4638</v>
      </c>
      <c r="H2171" s="5" t="s">
        <v>4600</v>
      </c>
      <c r="I2171" s="7" t="s">
        <v>9288</v>
      </c>
    </row>
    <row r="2172">
      <c r="A2172" s="5" t="s">
        <v>3544</v>
      </c>
      <c r="B2172" s="5" t="s">
        <v>480</v>
      </c>
      <c r="C2172" s="5" t="s">
        <v>13</v>
      </c>
      <c r="D2172" s="5" t="s">
        <v>3545</v>
      </c>
      <c r="E2172" s="5" t="s">
        <v>1809</v>
      </c>
      <c r="F2172" s="5" t="s">
        <v>3546</v>
      </c>
      <c r="G2172" s="5" t="s">
        <v>184</v>
      </c>
      <c r="H2172" s="5" t="s">
        <v>18</v>
      </c>
      <c r="I2172" s="7" t="s">
        <v>3547</v>
      </c>
    </row>
    <row r="2173">
      <c r="A2173" s="5" t="s">
        <v>3548</v>
      </c>
      <c r="B2173" s="5" t="s">
        <v>25</v>
      </c>
      <c r="C2173" s="5" t="s">
        <v>13</v>
      </c>
      <c r="D2173" s="5" t="s">
        <v>3545</v>
      </c>
      <c r="E2173" s="5" t="s">
        <v>1357</v>
      </c>
      <c r="F2173" s="5" t="s">
        <v>37</v>
      </c>
      <c r="G2173" s="5" t="s">
        <v>38</v>
      </c>
      <c r="H2173" s="5" t="s">
        <v>18</v>
      </c>
      <c r="I2173" s="7" t="s">
        <v>3549</v>
      </c>
    </row>
    <row r="2174">
      <c r="A2174" s="5" t="s">
        <v>3550</v>
      </c>
      <c r="B2174" s="5" t="s">
        <v>25</v>
      </c>
      <c r="C2174" s="5" t="s">
        <v>13</v>
      </c>
      <c r="D2174" s="5" t="s">
        <v>3545</v>
      </c>
      <c r="E2174" s="5" t="s">
        <v>421</v>
      </c>
      <c r="F2174" s="5" t="s">
        <v>37</v>
      </c>
      <c r="G2174" s="5" t="s">
        <v>38</v>
      </c>
      <c r="H2174" s="5" t="s">
        <v>18</v>
      </c>
      <c r="I2174" s="7" t="s">
        <v>3551</v>
      </c>
    </row>
    <row r="2175">
      <c r="A2175" s="5" t="s">
        <v>3552</v>
      </c>
      <c r="B2175" s="5" t="s">
        <v>991</v>
      </c>
      <c r="C2175" s="5" t="s">
        <v>13</v>
      </c>
      <c r="D2175" s="5" t="s">
        <v>3545</v>
      </c>
      <c r="E2175" s="5" t="s">
        <v>136</v>
      </c>
      <c r="F2175" s="5" t="s">
        <v>3209</v>
      </c>
      <c r="G2175" s="5" t="s">
        <v>102</v>
      </c>
      <c r="H2175" s="5" t="s">
        <v>18</v>
      </c>
      <c r="I2175" s="7" t="s">
        <v>3553</v>
      </c>
    </row>
    <row r="2176">
      <c r="A2176" s="5" t="s">
        <v>3554</v>
      </c>
      <c r="B2176" s="5" t="s">
        <v>480</v>
      </c>
      <c r="C2176" s="5" t="s">
        <v>13</v>
      </c>
      <c r="D2176" s="5" t="s">
        <v>3545</v>
      </c>
      <c r="E2176" s="5" t="s">
        <v>207</v>
      </c>
      <c r="F2176" s="5" t="s">
        <v>377</v>
      </c>
      <c r="G2176" s="5" t="s">
        <v>378</v>
      </c>
      <c r="H2176" s="5" t="s">
        <v>18</v>
      </c>
      <c r="I2176" s="7" t="s">
        <v>3555</v>
      </c>
    </row>
    <row r="2177">
      <c r="A2177" s="5" t="s">
        <v>3556</v>
      </c>
      <c r="B2177" s="5" t="s">
        <v>25</v>
      </c>
      <c r="C2177" s="5" t="s">
        <v>13</v>
      </c>
      <c r="D2177" s="5" t="s">
        <v>3545</v>
      </c>
      <c r="E2177" s="5" t="s">
        <v>523</v>
      </c>
      <c r="F2177" s="5" t="s">
        <v>377</v>
      </c>
      <c r="G2177" s="5" t="s">
        <v>378</v>
      </c>
      <c r="H2177" s="5" t="s">
        <v>18</v>
      </c>
      <c r="I2177" s="7" t="s">
        <v>3557</v>
      </c>
    </row>
    <row r="2178">
      <c r="A2178" s="5" t="s">
        <v>3558</v>
      </c>
      <c r="B2178" s="5" t="s">
        <v>480</v>
      </c>
      <c r="C2178" s="5" t="s">
        <v>13</v>
      </c>
      <c r="D2178" s="5" t="s">
        <v>3545</v>
      </c>
      <c r="E2178" s="5" t="s">
        <v>3559</v>
      </c>
      <c r="F2178" s="5" t="s">
        <v>64</v>
      </c>
      <c r="G2178" s="5" t="s">
        <v>65</v>
      </c>
      <c r="H2178" s="5" t="s">
        <v>18</v>
      </c>
      <c r="I2178" s="7" t="s">
        <v>3560</v>
      </c>
    </row>
    <row r="2179">
      <c r="A2179" s="5" t="s">
        <v>3561</v>
      </c>
      <c r="B2179" s="5" t="s">
        <v>480</v>
      </c>
      <c r="C2179" s="5" t="s">
        <v>13</v>
      </c>
      <c r="D2179" s="5" t="s">
        <v>3545</v>
      </c>
      <c r="E2179" s="5" t="s">
        <v>691</v>
      </c>
      <c r="F2179" s="5" t="s">
        <v>3562</v>
      </c>
      <c r="G2179" s="5" t="s">
        <v>44</v>
      </c>
      <c r="H2179" s="5" t="s">
        <v>18</v>
      </c>
      <c r="I2179" s="7" t="s">
        <v>3563</v>
      </c>
    </row>
    <row r="2180">
      <c r="A2180" s="5" t="s">
        <v>3564</v>
      </c>
      <c r="B2180" s="5" t="s">
        <v>110</v>
      </c>
      <c r="C2180" s="5" t="s">
        <v>13</v>
      </c>
      <c r="D2180" s="5" t="s">
        <v>3545</v>
      </c>
      <c r="E2180" s="5" t="s">
        <v>125</v>
      </c>
      <c r="F2180" s="5" t="s">
        <v>80</v>
      </c>
      <c r="G2180" s="5" t="s">
        <v>38</v>
      </c>
      <c r="H2180" s="5" t="s">
        <v>18</v>
      </c>
      <c r="I2180" s="7" t="s">
        <v>3565</v>
      </c>
    </row>
    <row r="2181">
      <c r="A2181" s="5" t="s">
        <v>3566</v>
      </c>
      <c r="B2181" s="5" t="s">
        <v>480</v>
      </c>
      <c r="C2181" s="5" t="s">
        <v>13</v>
      </c>
      <c r="D2181" s="5" t="s">
        <v>3545</v>
      </c>
      <c r="E2181" s="5" t="s">
        <v>585</v>
      </c>
      <c r="F2181" s="5" t="s">
        <v>80</v>
      </c>
      <c r="G2181" s="5" t="s">
        <v>38</v>
      </c>
      <c r="H2181" s="5" t="s">
        <v>18</v>
      </c>
      <c r="I2181" s="7" t="s">
        <v>3567</v>
      </c>
    </row>
    <row r="2182">
      <c r="A2182" s="5" t="s">
        <v>3568</v>
      </c>
      <c r="B2182" s="5" t="s">
        <v>480</v>
      </c>
      <c r="C2182" s="5" t="s">
        <v>13</v>
      </c>
      <c r="D2182" s="5" t="s">
        <v>3545</v>
      </c>
      <c r="E2182" s="5" t="s">
        <v>774</v>
      </c>
      <c r="F2182" s="5" t="s">
        <v>112</v>
      </c>
      <c r="G2182" s="5" t="s">
        <v>38</v>
      </c>
      <c r="H2182" s="5" t="s">
        <v>18</v>
      </c>
      <c r="I2182" s="7" t="s">
        <v>3569</v>
      </c>
    </row>
    <row r="2183">
      <c r="A2183" s="5" t="s">
        <v>3570</v>
      </c>
      <c r="B2183" s="5" t="s">
        <v>480</v>
      </c>
      <c r="C2183" s="5" t="s">
        <v>13</v>
      </c>
      <c r="D2183" s="5" t="s">
        <v>3545</v>
      </c>
      <c r="E2183" s="5" t="s">
        <v>63</v>
      </c>
      <c r="F2183" s="5" t="s">
        <v>3571</v>
      </c>
      <c r="G2183" s="5" t="s">
        <v>3572</v>
      </c>
      <c r="H2183" s="5" t="s">
        <v>18</v>
      </c>
      <c r="I2183" s="7" t="s">
        <v>3573</v>
      </c>
    </row>
    <row r="2184">
      <c r="A2184" s="5" t="s">
        <v>3574</v>
      </c>
      <c r="B2184" s="5" t="s">
        <v>480</v>
      </c>
      <c r="C2184" s="5" t="s">
        <v>13</v>
      </c>
      <c r="D2184" s="5" t="s">
        <v>3545</v>
      </c>
      <c r="E2184" s="5" t="s">
        <v>554</v>
      </c>
      <c r="F2184" s="5" t="s">
        <v>122</v>
      </c>
      <c r="G2184" s="5" t="s">
        <v>44</v>
      </c>
      <c r="H2184" s="5" t="s">
        <v>18</v>
      </c>
      <c r="I2184" s="7" t="s">
        <v>3575</v>
      </c>
    </row>
    <row r="2185">
      <c r="A2185" s="5" t="s">
        <v>3576</v>
      </c>
      <c r="B2185" s="5" t="s">
        <v>3577</v>
      </c>
      <c r="C2185" s="5" t="s">
        <v>13</v>
      </c>
      <c r="D2185" s="5" t="s">
        <v>3545</v>
      </c>
      <c r="E2185" s="5" t="s">
        <v>3578</v>
      </c>
      <c r="F2185" s="5" t="s">
        <v>3579</v>
      </c>
      <c r="G2185" s="5" t="s">
        <v>378</v>
      </c>
      <c r="H2185" s="5" t="s">
        <v>18</v>
      </c>
      <c r="I2185" s="7" t="s">
        <v>3580</v>
      </c>
    </row>
    <row r="2186">
      <c r="A2186" s="5" t="s">
        <v>3581</v>
      </c>
      <c r="B2186" s="5" t="s">
        <v>110</v>
      </c>
      <c r="C2186" s="5" t="s">
        <v>13</v>
      </c>
      <c r="D2186" s="5" t="s">
        <v>3545</v>
      </c>
      <c r="E2186" s="5" t="s">
        <v>365</v>
      </c>
      <c r="F2186" s="5" t="s">
        <v>1859</v>
      </c>
      <c r="G2186" s="5" t="s">
        <v>44</v>
      </c>
      <c r="H2186" s="5" t="s">
        <v>18</v>
      </c>
      <c r="I2186" s="7" t="s">
        <v>3582</v>
      </c>
    </row>
    <row r="2187">
      <c r="A2187" s="5" t="s">
        <v>3583</v>
      </c>
      <c r="B2187" s="5" t="s">
        <v>3584</v>
      </c>
      <c r="C2187" s="5" t="s">
        <v>13</v>
      </c>
      <c r="D2187" s="5" t="s">
        <v>3585</v>
      </c>
      <c r="E2187" s="5" t="s">
        <v>418</v>
      </c>
      <c r="F2187" s="5" t="s">
        <v>37</v>
      </c>
      <c r="G2187" s="5" t="s">
        <v>38</v>
      </c>
      <c r="H2187" s="5" t="s">
        <v>18</v>
      </c>
      <c r="I2187" s="7" t="s">
        <v>11063</v>
      </c>
    </row>
    <row r="2188">
      <c r="A2188" s="5" t="s">
        <v>3587</v>
      </c>
      <c r="B2188" s="5" t="s">
        <v>110</v>
      </c>
      <c r="C2188" s="5" t="s">
        <v>13</v>
      </c>
      <c r="D2188" s="5" t="s">
        <v>3585</v>
      </c>
      <c r="E2188" s="5" t="s">
        <v>441</v>
      </c>
      <c r="F2188" s="5" t="s">
        <v>166</v>
      </c>
      <c r="G2188" s="5" t="s">
        <v>44</v>
      </c>
      <c r="H2188" s="5" t="s">
        <v>18</v>
      </c>
      <c r="I2188" s="7" t="s">
        <v>3588</v>
      </c>
    </row>
    <row r="2189">
      <c r="A2189" s="5" t="s">
        <v>3589</v>
      </c>
      <c r="B2189" s="5" t="s">
        <v>110</v>
      </c>
      <c r="C2189" s="5" t="s">
        <v>13</v>
      </c>
      <c r="D2189" s="5" t="s">
        <v>3585</v>
      </c>
      <c r="E2189" s="5" t="s">
        <v>651</v>
      </c>
      <c r="F2189" s="5" t="s">
        <v>166</v>
      </c>
      <c r="G2189" s="5" t="s">
        <v>44</v>
      </c>
      <c r="H2189" s="5" t="s">
        <v>18</v>
      </c>
      <c r="I2189" s="7" t="s">
        <v>3590</v>
      </c>
    </row>
    <row r="2190">
      <c r="A2190" s="5" t="s">
        <v>3591</v>
      </c>
      <c r="B2190" s="5" t="s">
        <v>110</v>
      </c>
      <c r="C2190" s="5" t="s">
        <v>13</v>
      </c>
      <c r="D2190" s="5" t="s">
        <v>3585</v>
      </c>
      <c r="E2190" s="5" t="s">
        <v>441</v>
      </c>
      <c r="F2190" s="5" t="s">
        <v>169</v>
      </c>
      <c r="G2190" s="5" t="s">
        <v>44</v>
      </c>
      <c r="H2190" s="5" t="s">
        <v>18</v>
      </c>
      <c r="I2190" s="7" t="s">
        <v>3592</v>
      </c>
    </row>
    <row r="2191">
      <c r="A2191" s="5" t="s">
        <v>6771</v>
      </c>
      <c r="B2191" s="5" t="s">
        <v>6772</v>
      </c>
      <c r="D2191" s="5" t="s">
        <v>6773</v>
      </c>
      <c r="E2191" s="5" t="s">
        <v>48</v>
      </c>
      <c r="F2191" s="5" t="s">
        <v>6577</v>
      </c>
      <c r="G2191" s="5" t="s">
        <v>4757</v>
      </c>
      <c r="H2191" s="5" t="s">
        <v>4607</v>
      </c>
      <c r="I2191" s="7" t="s">
        <v>11064</v>
      </c>
    </row>
    <row r="2192">
      <c r="A2192" s="5" t="s">
        <v>6950</v>
      </c>
      <c r="B2192" s="5" t="s">
        <v>6951</v>
      </c>
      <c r="D2192" s="5" t="s">
        <v>6773</v>
      </c>
      <c r="E2192" s="5" t="s">
        <v>1300</v>
      </c>
      <c r="F2192" s="5" t="s">
        <v>6577</v>
      </c>
      <c r="G2192" s="5" t="s">
        <v>4757</v>
      </c>
      <c r="H2192" s="5" t="s">
        <v>4607</v>
      </c>
      <c r="I2192" s="7" t="s">
        <v>6949</v>
      </c>
    </row>
    <row r="2193">
      <c r="A2193" s="5" t="s">
        <v>6838</v>
      </c>
      <c r="B2193" s="5" t="s">
        <v>25</v>
      </c>
      <c r="D2193" s="5" t="s">
        <v>3595</v>
      </c>
      <c r="E2193" s="5" t="s">
        <v>131</v>
      </c>
      <c r="F2193" s="5" t="s">
        <v>6577</v>
      </c>
      <c r="G2193" s="5" t="s">
        <v>4757</v>
      </c>
      <c r="H2193" s="5" t="s">
        <v>4607</v>
      </c>
      <c r="I2193" s="7" t="s">
        <v>6837</v>
      </c>
    </row>
    <row r="2194">
      <c r="A2194" s="5" t="s">
        <v>3593</v>
      </c>
      <c r="B2194" s="5" t="s">
        <v>3594</v>
      </c>
      <c r="C2194" s="5" t="s">
        <v>13</v>
      </c>
      <c r="D2194" s="5" t="s">
        <v>3595</v>
      </c>
      <c r="E2194" s="5" t="s">
        <v>651</v>
      </c>
      <c r="F2194" s="5" t="s">
        <v>377</v>
      </c>
      <c r="G2194" s="5" t="s">
        <v>378</v>
      </c>
      <c r="H2194" s="5" t="s">
        <v>18</v>
      </c>
      <c r="I2194" s="7" t="s">
        <v>3596</v>
      </c>
    </row>
    <row r="2195">
      <c r="A2195" s="5" t="s">
        <v>3597</v>
      </c>
      <c r="B2195" s="5" t="s">
        <v>25</v>
      </c>
      <c r="C2195" s="5" t="s">
        <v>13</v>
      </c>
      <c r="D2195" s="5" t="s">
        <v>3595</v>
      </c>
      <c r="E2195" s="5" t="s">
        <v>1289</v>
      </c>
      <c r="F2195" s="5" t="s">
        <v>3598</v>
      </c>
      <c r="G2195" s="5" t="s">
        <v>378</v>
      </c>
      <c r="H2195" s="5" t="s">
        <v>18</v>
      </c>
      <c r="I2195" s="7" t="s">
        <v>3599</v>
      </c>
    </row>
    <row r="2196">
      <c r="A2196" s="5" t="s">
        <v>3600</v>
      </c>
      <c r="B2196" s="5" t="s">
        <v>25</v>
      </c>
      <c r="C2196" s="5" t="s">
        <v>13</v>
      </c>
      <c r="D2196" s="5" t="s">
        <v>3595</v>
      </c>
      <c r="E2196" s="5" t="s">
        <v>585</v>
      </c>
      <c r="F2196" s="5" t="s">
        <v>311</v>
      </c>
      <c r="G2196" s="5" t="s">
        <v>102</v>
      </c>
      <c r="H2196" s="5" t="s">
        <v>18</v>
      </c>
      <c r="I2196" s="7" t="s">
        <v>3601</v>
      </c>
    </row>
    <row r="2197">
      <c r="A2197" s="5" t="s">
        <v>3602</v>
      </c>
      <c r="B2197" s="5" t="s">
        <v>3603</v>
      </c>
      <c r="C2197" s="5" t="s">
        <v>13</v>
      </c>
      <c r="D2197" s="5" t="s">
        <v>3595</v>
      </c>
      <c r="E2197" s="5" t="s">
        <v>425</v>
      </c>
      <c r="F2197" s="5" t="s">
        <v>112</v>
      </c>
      <c r="G2197" s="5" t="s">
        <v>38</v>
      </c>
      <c r="H2197" s="5" t="s">
        <v>18</v>
      </c>
      <c r="I2197" s="7" t="s">
        <v>3604</v>
      </c>
    </row>
    <row r="2198">
      <c r="A2198" s="5" t="s">
        <v>3605</v>
      </c>
      <c r="B2198" s="5" t="s">
        <v>3606</v>
      </c>
      <c r="C2198" s="5" t="s">
        <v>13</v>
      </c>
      <c r="D2198" s="5" t="s">
        <v>3595</v>
      </c>
      <c r="E2198" s="5" t="s">
        <v>484</v>
      </c>
      <c r="F2198" s="5" t="s">
        <v>112</v>
      </c>
      <c r="G2198" s="5" t="s">
        <v>38</v>
      </c>
      <c r="H2198" s="5" t="s">
        <v>18</v>
      </c>
      <c r="I2198" s="7" t="s">
        <v>11065</v>
      </c>
    </row>
    <row r="2199">
      <c r="A2199" s="5" t="s">
        <v>3608</v>
      </c>
      <c r="B2199" s="5" t="s">
        <v>3609</v>
      </c>
      <c r="C2199" s="5" t="s">
        <v>13</v>
      </c>
      <c r="D2199" s="5" t="s">
        <v>3595</v>
      </c>
      <c r="E2199" s="5" t="s">
        <v>387</v>
      </c>
      <c r="F2199" s="5" t="s">
        <v>3610</v>
      </c>
      <c r="G2199" s="5" t="s">
        <v>954</v>
      </c>
      <c r="H2199" s="5" t="s">
        <v>18</v>
      </c>
      <c r="I2199" s="7" t="s">
        <v>11066</v>
      </c>
    </row>
    <row r="2200">
      <c r="A2200" s="5" t="s">
        <v>3612</v>
      </c>
      <c r="B2200" s="5" t="s">
        <v>110</v>
      </c>
      <c r="C2200" s="5" t="s">
        <v>13</v>
      </c>
      <c r="D2200" s="5" t="s">
        <v>3613</v>
      </c>
      <c r="E2200" s="5" t="s">
        <v>165</v>
      </c>
      <c r="F2200" s="5" t="s">
        <v>166</v>
      </c>
      <c r="G2200" s="5" t="s">
        <v>44</v>
      </c>
      <c r="H2200" s="5" t="s">
        <v>18</v>
      </c>
      <c r="I2200" s="7" t="s">
        <v>3614</v>
      </c>
    </row>
    <row r="2201">
      <c r="A2201" s="5" t="s">
        <v>3615</v>
      </c>
      <c r="B2201" s="5" t="s">
        <v>110</v>
      </c>
      <c r="C2201" s="5" t="s">
        <v>13</v>
      </c>
      <c r="D2201" s="5" t="s">
        <v>3613</v>
      </c>
      <c r="E2201" s="5" t="s">
        <v>165</v>
      </c>
      <c r="F2201" s="5" t="s">
        <v>166</v>
      </c>
      <c r="G2201" s="5" t="s">
        <v>44</v>
      </c>
      <c r="H2201" s="5" t="s">
        <v>18</v>
      </c>
      <c r="I2201" s="7" t="s">
        <v>3616</v>
      </c>
    </row>
    <row r="2202">
      <c r="A2202" s="5" t="s">
        <v>3617</v>
      </c>
      <c r="B2202" s="5" t="s">
        <v>110</v>
      </c>
      <c r="C2202" s="5" t="s">
        <v>13</v>
      </c>
      <c r="D2202" s="5" t="s">
        <v>3613</v>
      </c>
      <c r="E2202" s="5" t="s">
        <v>188</v>
      </c>
      <c r="F2202" s="5" t="s">
        <v>166</v>
      </c>
      <c r="G2202" s="5" t="s">
        <v>44</v>
      </c>
      <c r="H2202" s="5" t="s">
        <v>18</v>
      </c>
      <c r="I2202" s="7" t="s">
        <v>3618</v>
      </c>
    </row>
    <row r="2203">
      <c r="A2203" s="5" t="s">
        <v>3619</v>
      </c>
      <c r="B2203" s="5" t="s">
        <v>110</v>
      </c>
      <c r="C2203" s="5" t="s">
        <v>13</v>
      </c>
      <c r="D2203" s="5" t="s">
        <v>3613</v>
      </c>
      <c r="E2203" s="5" t="s">
        <v>421</v>
      </c>
      <c r="F2203" s="5" t="s">
        <v>166</v>
      </c>
      <c r="G2203" s="5" t="s">
        <v>44</v>
      </c>
      <c r="H2203" s="5" t="s">
        <v>18</v>
      </c>
      <c r="I2203" s="7" t="s">
        <v>3620</v>
      </c>
    </row>
    <row r="2204">
      <c r="A2204" s="5" t="s">
        <v>3621</v>
      </c>
      <c r="B2204" s="5" t="s">
        <v>3622</v>
      </c>
      <c r="C2204" s="5" t="s">
        <v>13</v>
      </c>
      <c r="D2204" s="5" t="s">
        <v>3613</v>
      </c>
      <c r="E2204" s="5" t="s">
        <v>144</v>
      </c>
      <c r="F2204" s="5" t="s">
        <v>1135</v>
      </c>
      <c r="G2204" s="5" t="s">
        <v>44</v>
      </c>
      <c r="H2204" s="5" t="s">
        <v>18</v>
      </c>
      <c r="I2204" s="7" t="s">
        <v>3623</v>
      </c>
    </row>
    <row r="2205">
      <c r="A2205" s="5" t="s">
        <v>7463</v>
      </c>
      <c r="B2205" s="5" t="s">
        <v>7464</v>
      </c>
      <c r="D2205" s="6" t="s">
        <v>3649</v>
      </c>
      <c r="E2205" s="5" t="s">
        <v>648</v>
      </c>
      <c r="F2205" s="5" t="s">
        <v>388</v>
      </c>
      <c r="G2205" s="5" t="s">
        <v>203</v>
      </c>
      <c r="H2205" s="5" t="s">
        <v>18</v>
      </c>
      <c r="I2205" s="7" t="s">
        <v>7462</v>
      </c>
    </row>
    <row r="2206">
      <c r="A2206" s="5" t="s">
        <v>4933</v>
      </c>
      <c r="B2206" s="5" t="s">
        <v>4934</v>
      </c>
      <c r="D2206" s="6" t="s">
        <v>3649</v>
      </c>
      <c r="E2206" s="5" t="s">
        <v>4250</v>
      </c>
      <c r="F2206" s="5" t="s">
        <v>4936</v>
      </c>
      <c r="G2206" s="5" t="s">
        <v>203</v>
      </c>
      <c r="H2206" s="5" t="s">
        <v>18</v>
      </c>
      <c r="I2206" s="7" t="s">
        <v>4932</v>
      </c>
    </row>
    <row r="2207">
      <c r="A2207" s="5" t="s">
        <v>3657</v>
      </c>
      <c r="B2207" s="5" t="s">
        <v>3658</v>
      </c>
      <c r="D2207" s="6" t="s">
        <v>3649</v>
      </c>
      <c r="F2207" s="5" t="s">
        <v>1079</v>
      </c>
      <c r="G2207" s="5" t="s">
        <v>259</v>
      </c>
      <c r="H2207" s="5" t="s">
        <v>18</v>
      </c>
      <c r="I2207" s="7" t="s">
        <v>6482</v>
      </c>
    </row>
    <row r="2208">
      <c r="A2208" s="5" t="s">
        <v>3660</v>
      </c>
      <c r="B2208" s="5" t="s">
        <v>371</v>
      </c>
      <c r="D2208" s="6" t="s">
        <v>3649</v>
      </c>
      <c r="E2208" s="5" t="s">
        <v>3661</v>
      </c>
      <c r="F2208" s="5" t="s">
        <v>3662</v>
      </c>
      <c r="G2208" s="5" t="s">
        <v>3572</v>
      </c>
      <c r="H2208" s="5" t="s">
        <v>18</v>
      </c>
      <c r="I2208" s="7" t="s">
        <v>11067</v>
      </c>
    </row>
    <row r="2209">
      <c r="A2209" s="5" t="s">
        <v>3664</v>
      </c>
      <c r="B2209" s="5" t="s">
        <v>371</v>
      </c>
      <c r="D2209" s="6" t="s">
        <v>3649</v>
      </c>
      <c r="F2209" s="5" t="s">
        <v>953</v>
      </c>
      <c r="G2209" s="5" t="s">
        <v>954</v>
      </c>
      <c r="H2209" s="5" t="s">
        <v>18</v>
      </c>
      <c r="I2209" s="7" t="s">
        <v>7499</v>
      </c>
    </row>
    <row r="2210">
      <c r="A2210" s="5" t="s">
        <v>3666</v>
      </c>
      <c r="B2210" s="5" t="s">
        <v>3667</v>
      </c>
      <c r="D2210" s="6" t="s">
        <v>3649</v>
      </c>
      <c r="F2210" s="5" t="s">
        <v>223</v>
      </c>
      <c r="G2210" s="5" t="s">
        <v>224</v>
      </c>
      <c r="H2210" s="5" t="s">
        <v>18</v>
      </c>
      <c r="I2210" s="7" t="s">
        <v>8376</v>
      </c>
    </row>
    <row r="2211">
      <c r="A2211" s="5" t="s">
        <v>8442</v>
      </c>
      <c r="B2211" s="5" t="s">
        <v>8443</v>
      </c>
      <c r="D2211" s="6" t="s">
        <v>3649</v>
      </c>
      <c r="E2211" s="5" t="s">
        <v>626</v>
      </c>
      <c r="F2211" s="5" t="s">
        <v>8440</v>
      </c>
      <c r="G2211" s="5" t="s">
        <v>137</v>
      </c>
      <c r="H2211" s="5" t="s">
        <v>18</v>
      </c>
      <c r="I2211" s="7" t="s">
        <v>8441</v>
      </c>
    </row>
    <row r="2212">
      <c r="A2212" s="5" t="s">
        <v>8646</v>
      </c>
      <c r="B2212" s="5" t="s">
        <v>8647</v>
      </c>
      <c r="D2212" s="6" t="s">
        <v>3649</v>
      </c>
      <c r="E2212" s="5" t="s">
        <v>1584</v>
      </c>
      <c r="F2212" s="5" t="s">
        <v>166</v>
      </c>
      <c r="G2212" s="5" t="s">
        <v>44</v>
      </c>
      <c r="H2212" s="5" t="s">
        <v>18</v>
      </c>
      <c r="I2212" s="7" t="s">
        <v>8645</v>
      </c>
    </row>
    <row r="2213">
      <c r="A2213" s="5" t="s">
        <v>4878</v>
      </c>
      <c r="B2213" s="5" t="s">
        <v>4879</v>
      </c>
      <c r="D2213" s="6" t="s">
        <v>3649</v>
      </c>
      <c r="E2213" s="5" t="s">
        <v>4881</v>
      </c>
      <c r="F2213" s="5" t="s">
        <v>377</v>
      </c>
      <c r="G2213" s="5" t="s">
        <v>378</v>
      </c>
      <c r="H2213" s="5" t="s">
        <v>18</v>
      </c>
      <c r="I2213" s="7" t="s">
        <v>4877</v>
      </c>
    </row>
    <row r="2214">
      <c r="A2214" s="5" t="s">
        <v>3624</v>
      </c>
      <c r="B2214" s="5" t="s">
        <v>3625</v>
      </c>
      <c r="C2214" s="5" t="s">
        <v>13</v>
      </c>
      <c r="D2214" s="5" t="s">
        <v>3626</v>
      </c>
      <c r="E2214" s="5" t="s">
        <v>2650</v>
      </c>
      <c r="F2214" s="5" t="s">
        <v>3627</v>
      </c>
      <c r="G2214" s="5" t="s">
        <v>76</v>
      </c>
      <c r="H2214" s="5" t="s">
        <v>18</v>
      </c>
      <c r="I2214" s="7" t="s">
        <v>3628</v>
      </c>
    </row>
    <row r="2215">
      <c r="A2215" s="5" t="s">
        <v>3629</v>
      </c>
      <c r="B2215" s="5" t="s">
        <v>3630</v>
      </c>
      <c r="C2215" s="5" t="s">
        <v>13</v>
      </c>
      <c r="D2215" s="5" t="s">
        <v>3626</v>
      </c>
      <c r="E2215" s="5" t="s">
        <v>144</v>
      </c>
      <c r="F2215" s="5" t="s">
        <v>635</v>
      </c>
      <c r="G2215" s="5" t="s">
        <v>76</v>
      </c>
      <c r="H2215" s="5" t="s">
        <v>18</v>
      </c>
      <c r="I2215" s="7" t="s">
        <v>3631</v>
      </c>
    </row>
    <row r="2216">
      <c r="A2216" s="5" t="s">
        <v>3632</v>
      </c>
      <c r="B2216" s="5" t="s">
        <v>480</v>
      </c>
      <c r="C2216" s="5" t="s">
        <v>13</v>
      </c>
      <c r="D2216" s="5" t="s">
        <v>3626</v>
      </c>
      <c r="E2216" s="5" t="s">
        <v>48</v>
      </c>
      <c r="F2216" s="5" t="s">
        <v>635</v>
      </c>
      <c r="G2216" s="5" t="s">
        <v>76</v>
      </c>
      <c r="H2216" s="5" t="s">
        <v>18</v>
      </c>
      <c r="I2216" s="7" t="s">
        <v>3633</v>
      </c>
    </row>
    <row r="2217">
      <c r="A2217" s="5" t="s">
        <v>3634</v>
      </c>
      <c r="B2217" s="5" t="s">
        <v>3630</v>
      </c>
      <c r="C2217" s="5" t="s">
        <v>13</v>
      </c>
      <c r="D2217" s="5" t="s">
        <v>3626</v>
      </c>
      <c r="E2217" s="5" t="s">
        <v>26</v>
      </c>
      <c r="F2217" s="5" t="s">
        <v>3635</v>
      </c>
      <c r="G2217" s="5" t="s">
        <v>76</v>
      </c>
      <c r="H2217" s="5" t="s">
        <v>18</v>
      </c>
      <c r="I2217" s="7" t="s">
        <v>3636</v>
      </c>
    </row>
    <row r="2218">
      <c r="A2218" s="5" t="s">
        <v>3637</v>
      </c>
      <c r="B2218" s="5" t="s">
        <v>371</v>
      </c>
      <c r="C2218" s="5" t="s">
        <v>13</v>
      </c>
      <c r="D2218" s="5" t="s">
        <v>3638</v>
      </c>
      <c r="E2218" s="5" t="s">
        <v>512</v>
      </c>
      <c r="F2218" s="5" t="s">
        <v>16</v>
      </c>
      <c r="G2218" s="5" t="s">
        <v>17</v>
      </c>
      <c r="H2218" s="5" t="s">
        <v>18</v>
      </c>
      <c r="I2218" s="7" t="s">
        <v>3639</v>
      </c>
    </row>
    <row r="2219">
      <c r="A2219" s="5" t="s">
        <v>3640</v>
      </c>
      <c r="B2219" s="5" t="s">
        <v>25</v>
      </c>
      <c r="C2219" s="5" t="s">
        <v>13</v>
      </c>
      <c r="D2219" s="5" t="s">
        <v>3638</v>
      </c>
      <c r="E2219" s="5" t="s">
        <v>136</v>
      </c>
      <c r="F2219" s="5" t="s">
        <v>112</v>
      </c>
      <c r="G2219" s="5" t="s">
        <v>38</v>
      </c>
      <c r="H2219" s="5" t="s">
        <v>18</v>
      </c>
      <c r="I2219" s="7" t="s">
        <v>3641</v>
      </c>
    </row>
    <row r="2220">
      <c r="A2220" s="5" t="s">
        <v>3642</v>
      </c>
      <c r="B2220" s="5" t="s">
        <v>371</v>
      </c>
      <c r="C2220" s="5" t="s">
        <v>13</v>
      </c>
      <c r="D2220" s="5" t="s">
        <v>3638</v>
      </c>
      <c r="E2220" s="5" t="s">
        <v>175</v>
      </c>
      <c r="F2220" s="5" t="s">
        <v>137</v>
      </c>
      <c r="G2220" s="5" t="s">
        <v>137</v>
      </c>
      <c r="H2220" s="5" t="s">
        <v>18</v>
      </c>
      <c r="I2220" s="7" t="s">
        <v>3643</v>
      </c>
    </row>
    <row r="2221">
      <c r="A2221" s="5" t="s">
        <v>2913</v>
      </c>
      <c r="B2221" s="5" t="s">
        <v>25</v>
      </c>
      <c r="C2221" s="5" t="s">
        <v>13</v>
      </c>
      <c r="D2221" s="5" t="s">
        <v>3638</v>
      </c>
      <c r="F2221" s="5" t="s">
        <v>153</v>
      </c>
      <c r="G2221" s="5" t="s">
        <v>154</v>
      </c>
      <c r="H2221" s="5" t="s">
        <v>18</v>
      </c>
      <c r="I2221" s="7" t="s">
        <v>3644</v>
      </c>
    </row>
    <row r="2222">
      <c r="A2222" s="5" t="s">
        <v>3645</v>
      </c>
      <c r="B2222" s="5" t="s">
        <v>371</v>
      </c>
      <c r="C2222" s="5" t="s">
        <v>13</v>
      </c>
      <c r="D2222" s="5" t="s">
        <v>3638</v>
      </c>
      <c r="F2222" s="5" t="s">
        <v>112</v>
      </c>
      <c r="G2222" s="5" t="s">
        <v>38</v>
      </c>
      <c r="H2222" s="5" t="s">
        <v>18</v>
      </c>
      <c r="I2222" s="7" t="s">
        <v>11068</v>
      </c>
    </row>
    <row r="2223">
      <c r="A2223" s="5" t="s">
        <v>3672</v>
      </c>
      <c r="B2223" s="5" t="s">
        <v>371</v>
      </c>
      <c r="D2223" s="5" t="s">
        <v>3649</v>
      </c>
      <c r="E2223" s="5" t="s">
        <v>106</v>
      </c>
      <c r="F2223" s="5" t="s">
        <v>183</v>
      </c>
      <c r="G2223" s="5" t="s">
        <v>184</v>
      </c>
      <c r="H2223" s="5" t="s">
        <v>18</v>
      </c>
      <c r="I2223" s="7" t="s">
        <v>4671</v>
      </c>
    </row>
    <row r="2224">
      <c r="A2224" s="5" t="s">
        <v>4714</v>
      </c>
      <c r="B2224" s="5" t="s">
        <v>4715</v>
      </c>
      <c r="D2224" s="5" t="s">
        <v>3649</v>
      </c>
      <c r="E2224" s="5" t="s">
        <v>441</v>
      </c>
      <c r="F2224" s="5" t="s">
        <v>16</v>
      </c>
      <c r="G2224" s="5" t="s">
        <v>17</v>
      </c>
      <c r="H2224" s="5" t="s">
        <v>18</v>
      </c>
      <c r="I2224" s="7" t="s">
        <v>4713</v>
      </c>
    </row>
    <row r="2225">
      <c r="A2225" s="5" t="s">
        <v>4744</v>
      </c>
      <c r="B2225" s="5" t="s">
        <v>4745</v>
      </c>
      <c r="D2225" s="5" t="s">
        <v>3649</v>
      </c>
      <c r="E2225" s="5" t="s">
        <v>958</v>
      </c>
      <c r="F2225" s="5" t="s">
        <v>16</v>
      </c>
      <c r="G2225" s="5" t="s">
        <v>17</v>
      </c>
      <c r="H2225" s="5" t="s">
        <v>18</v>
      </c>
      <c r="I2225" s="7" t="s">
        <v>4743</v>
      </c>
    </row>
    <row r="2226">
      <c r="A2226" s="5" t="s">
        <v>3674</v>
      </c>
      <c r="B2226" s="5" t="s">
        <v>371</v>
      </c>
      <c r="D2226" s="5" t="s">
        <v>3649</v>
      </c>
      <c r="F2226" s="5" t="s">
        <v>37</v>
      </c>
      <c r="G2226" s="5" t="s">
        <v>38</v>
      </c>
      <c r="H2226" s="5" t="s">
        <v>18</v>
      </c>
      <c r="I2226" s="7" t="s">
        <v>4772</v>
      </c>
    </row>
    <row r="2227">
      <c r="A2227" s="5" t="s">
        <v>3676</v>
      </c>
      <c r="B2227" s="5" t="s">
        <v>3677</v>
      </c>
      <c r="D2227" s="5" t="s">
        <v>3649</v>
      </c>
      <c r="E2227" s="5" t="s">
        <v>958</v>
      </c>
      <c r="F2227" s="5" t="s">
        <v>377</v>
      </c>
      <c r="G2227" s="5" t="s">
        <v>378</v>
      </c>
      <c r="H2227" s="5" t="s">
        <v>18</v>
      </c>
      <c r="I2227" s="7" t="s">
        <v>4875</v>
      </c>
    </row>
    <row r="2228">
      <c r="A2228" s="5" t="s">
        <v>3679</v>
      </c>
      <c r="B2228" s="5" t="s">
        <v>371</v>
      </c>
      <c r="D2228" s="5" t="s">
        <v>3649</v>
      </c>
      <c r="E2228" s="5" t="s">
        <v>1398</v>
      </c>
      <c r="F2228" s="5" t="s">
        <v>1532</v>
      </c>
      <c r="G2228" s="5" t="s">
        <v>945</v>
      </c>
      <c r="H2228" s="5" t="s">
        <v>18</v>
      </c>
      <c r="I2228" s="7" t="s">
        <v>5571</v>
      </c>
    </row>
    <row r="2229">
      <c r="A2229" s="5" t="s">
        <v>3683</v>
      </c>
      <c r="B2229" s="5" t="s">
        <v>2155</v>
      </c>
      <c r="D2229" s="5" t="s">
        <v>3649</v>
      </c>
      <c r="E2229" s="5" t="s">
        <v>574</v>
      </c>
      <c r="F2229" s="5" t="s">
        <v>64</v>
      </c>
      <c r="G2229" s="5" t="s">
        <v>65</v>
      </c>
      <c r="H2229" s="5" t="s">
        <v>18</v>
      </c>
      <c r="I2229" s="7" t="s">
        <v>11069</v>
      </c>
    </row>
    <row r="2230">
      <c r="A2230" s="5" t="s">
        <v>3685</v>
      </c>
      <c r="B2230" s="5" t="s">
        <v>5705</v>
      </c>
      <c r="D2230" s="5" t="s">
        <v>3649</v>
      </c>
      <c r="E2230" s="5" t="s">
        <v>409</v>
      </c>
      <c r="F2230" s="5" t="s">
        <v>64</v>
      </c>
      <c r="G2230" s="5" t="s">
        <v>65</v>
      </c>
      <c r="H2230" s="5" t="s">
        <v>18</v>
      </c>
      <c r="I2230" s="7" t="s">
        <v>5704</v>
      </c>
    </row>
    <row r="2231">
      <c r="A2231" s="5" t="s">
        <v>3688</v>
      </c>
      <c r="B2231" s="5" t="s">
        <v>5721</v>
      </c>
      <c r="D2231" s="5" t="s">
        <v>3649</v>
      </c>
      <c r="E2231" s="5" t="s">
        <v>84</v>
      </c>
      <c r="F2231" s="5" t="s">
        <v>64</v>
      </c>
      <c r="G2231" s="5" t="s">
        <v>65</v>
      </c>
      <c r="H2231" s="5" t="s">
        <v>18</v>
      </c>
      <c r="I2231" s="7" t="s">
        <v>5720</v>
      </c>
    </row>
    <row r="2232">
      <c r="A2232" s="5" t="s">
        <v>5794</v>
      </c>
      <c r="B2232" s="5" t="s">
        <v>5795</v>
      </c>
      <c r="D2232" s="5" t="s">
        <v>3649</v>
      </c>
      <c r="E2232" s="5" t="s">
        <v>958</v>
      </c>
      <c r="F2232" s="5" t="s">
        <v>75</v>
      </c>
      <c r="G2232" s="5" t="s">
        <v>76</v>
      </c>
      <c r="H2232" s="5" t="s">
        <v>18</v>
      </c>
      <c r="I2232" s="7" t="s">
        <v>5793</v>
      </c>
    </row>
    <row r="2233">
      <c r="A2233" s="5" t="s">
        <v>3699</v>
      </c>
      <c r="B2233" s="5" t="s">
        <v>3700</v>
      </c>
      <c r="D2233" s="5" t="s">
        <v>3649</v>
      </c>
      <c r="E2233" s="5" t="s">
        <v>832</v>
      </c>
      <c r="F2233" s="5" t="s">
        <v>85</v>
      </c>
      <c r="G2233" s="5" t="s">
        <v>86</v>
      </c>
      <c r="H2233" s="5" t="s">
        <v>18</v>
      </c>
      <c r="I2233" s="7" t="s">
        <v>5958</v>
      </c>
    </row>
    <row r="2234">
      <c r="A2234" s="5" t="s">
        <v>3702</v>
      </c>
      <c r="B2234" s="5" t="s">
        <v>3703</v>
      </c>
      <c r="D2234" s="5" t="s">
        <v>3649</v>
      </c>
      <c r="E2234" s="5" t="s">
        <v>94</v>
      </c>
      <c r="F2234" s="5" t="s">
        <v>85</v>
      </c>
      <c r="G2234" s="5" t="s">
        <v>86</v>
      </c>
      <c r="H2234" s="5" t="s">
        <v>18</v>
      </c>
      <c r="I2234" s="7" t="s">
        <v>11070</v>
      </c>
    </row>
    <row r="2235">
      <c r="A2235" s="5" t="s">
        <v>5963</v>
      </c>
      <c r="B2235" s="5" t="s">
        <v>5964</v>
      </c>
      <c r="D2235" s="5" t="s">
        <v>3649</v>
      </c>
      <c r="E2235" s="5" t="s">
        <v>182</v>
      </c>
      <c r="F2235" s="5" t="s">
        <v>85</v>
      </c>
      <c r="G2235" s="5" t="s">
        <v>86</v>
      </c>
      <c r="H2235" s="5" t="s">
        <v>18</v>
      </c>
      <c r="I2235" s="7" t="s">
        <v>11071</v>
      </c>
    </row>
    <row r="2236">
      <c r="A2236" s="5" t="s">
        <v>5969</v>
      </c>
      <c r="B2236" s="5" t="s">
        <v>5970</v>
      </c>
      <c r="D2236" s="5" t="s">
        <v>3649</v>
      </c>
      <c r="E2236" s="5" t="s">
        <v>574</v>
      </c>
      <c r="F2236" s="5" t="s">
        <v>85</v>
      </c>
      <c r="G2236" s="5" t="s">
        <v>86</v>
      </c>
      <c r="H2236" s="5" t="s">
        <v>18</v>
      </c>
      <c r="I2236" s="7" t="s">
        <v>11072</v>
      </c>
    </row>
    <row r="2237">
      <c r="A2237" s="5" t="s">
        <v>3705</v>
      </c>
      <c r="B2237" s="5" t="s">
        <v>371</v>
      </c>
      <c r="D2237" s="5" t="s">
        <v>3649</v>
      </c>
      <c r="E2237" s="5" t="s">
        <v>222</v>
      </c>
      <c r="F2237" s="5" t="s">
        <v>1187</v>
      </c>
      <c r="G2237" s="5" t="s">
        <v>96</v>
      </c>
      <c r="H2237" s="5" t="s">
        <v>18</v>
      </c>
      <c r="I2237" s="7" t="s">
        <v>6313</v>
      </c>
    </row>
    <row r="2238">
      <c r="A2238" s="5" t="s">
        <v>3707</v>
      </c>
      <c r="B2238" s="5" t="s">
        <v>371</v>
      </c>
      <c r="D2238" s="5" t="s">
        <v>3649</v>
      </c>
      <c r="E2238" s="5" t="s">
        <v>2120</v>
      </c>
      <c r="F2238" s="5" t="s">
        <v>3708</v>
      </c>
      <c r="G2238" s="5" t="s">
        <v>954</v>
      </c>
      <c r="H2238" s="5" t="s">
        <v>18</v>
      </c>
      <c r="I2238" s="7" t="s">
        <v>11073</v>
      </c>
    </row>
    <row r="2239">
      <c r="A2239" s="5" t="s">
        <v>6369</v>
      </c>
      <c r="B2239" s="5" t="s">
        <v>6370</v>
      </c>
      <c r="D2239" s="5" t="s">
        <v>3649</v>
      </c>
      <c r="E2239" s="5" t="s">
        <v>188</v>
      </c>
      <c r="F2239" s="5" t="s">
        <v>1527</v>
      </c>
      <c r="G2239" s="5" t="s">
        <v>945</v>
      </c>
      <c r="H2239" s="5" t="s">
        <v>18</v>
      </c>
      <c r="I2239" s="7" t="s">
        <v>11074</v>
      </c>
    </row>
    <row r="2240">
      <c r="A2240" s="5" t="s">
        <v>7164</v>
      </c>
      <c r="B2240" s="5" t="s">
        <v>4934</v>
      </c>
      <c r="D2240" s="5" t="s">
        <v>3649</v>
      </c>
      <c r="E2240" s="5" t="s">
        <v>182</v>
      </c>
      <c r="F2240" s="5" t="s">
        <v>122</v>
      </c>
      <c r="G2240" s="5" t="s">
        <v>44</v>
      </c>
      <c r="H2240" s="5" t="s">
        <v>18</v>
      </c>
      <c r="I2240" s="7" t="s">
        <v>7163</v>
      </c>
    </row>
    <row r="2241">
      <c r="A2241" s="5" t="s">
        <v>7186</v>
      </c>
      <c r="B2241" s="5" t="s">
        <v>7187</v>
      </c>
      <c r="D2241" s="5" t="s">
        <v>3649</v>
      </c>
      <c r="E2241" s="5" t="s">
        <v>832</v>
      </c>
      <c r="F2241" s="5" t="s">
        <v>122</v>
      </c>
      <c r="G2241" s="5" t="s">
        <v>44</v>
      </c>
      <c r="H2241" s="5" t="s">
        <v>18</v>
      </c>
      <c r="I2241" s="7" t="s">
        <v>7185</v>
      </c>
    </row>
    <row r="2242">
      <c r="A2242" s="5" t="s">
        <v>3712</v>
      </c>
      <c r="B2242" s="5" t="s">
        <v>3713</v>
      </c>
      <c r="D2242" s="5" t="s">
        <v>3649</v>
      </c>
      <c r="E2242" s="5" t="s">
        <v>648</v>
      </c>
      <c r="F2242" s="5" t="s">
        <v>122</v>
      </c>
      <c r="G2242" s="5" t="s">
        <v>44</v>
      </c>
      <c r="H2242" s="5" t="s">
        <v>18</v>
      </c>
      <c r="I2242" s="7" t="s">
        <v>7188</v>
      </c>
    </row>
    <row r="2243">
      <c r="A2243" s="5" t="s">
        <v>7311</v>
      </c>
      <c r="B2243" s="5" t="s">
        <v>7312</v>
      </c>
      <c r="D2243" s="5" t="s">
        <v>3649</v>
      </c>
      <c r="E2243" s="5" t="s">
        <v>686</v>
      </c>
      <c r="F2243" s="5" t="s">
        <v>7313</v>
      </c>
      <c r="G2243" s="5" t="s">
        <v>5736</v>
      </c>
      <c r="H2243" s="5" t="s">
        <v>4619</v>
      </c>
      <c r="I2243" s="7" t="s">
        <v>7310</v>
      </c>
    </row>
    <row r="2244">
      <c r="A2244" s="5" t="s">
        <v>3718</v>
      </c>
      <c r="B2244" s="5" t="s">
        <v>371</v>
      </c>
      <c r="D2244" s="5" t="s">
        <v>3649</v>
      </c>
      <c r="E2244" s="5" t="s">
        <v>648</v>
      </c>
      <c r="F2244" s="5" t="s">
        <v>388</v>
      </c>
      <c r="G2244" s="5" t="s">
        <v>203</v>
      </c>
      <c r="H2244" s="5" t="s">
        <v>18</v>
      </c>
      <c r="I2244" s="7" t="s">
        <v>7461</v>
      </c>
    </row>
    <row r="2245">
      <c r="A2245" s="5" t="s">
        <v>3720</v>
      </c>
      <c r="B2245" s="5" t="s">
        <v>3721</v>
      </c>
      <c r="D2245" s="5" t="s">
        <v>3649</v>
      </c>
      <c r="E2245" s="5" t="s">
        <v>1300</v>
      </c>
      <c r="F2245" s="5" t="s">
        <v>953</v>
      </c>
      <c r="G2245" s="5" t="s">
        <v>954</v>
      </c>
      <c r="H2245" s="5" t="s">
        <v>18</v>
      </c>
      <c r="I2245" s="7" t="s">
        <v>7498</v>
      </c>
    </row>
    <row r="2246">
      <c r="A2246" s="5" t="s">
        <v>3726</v>
      </c>
      <c r="B2246" s="5" t="s">
        <v>371</v>
      </c>
      <c r="D2246" s="5" t="s">
        <v>3649</v>
      </c>
      <c r="E2246" s="5" t="s">
        <v>339</v>
      </c>
      <c r="F2246" s="5" t="s">
        <v>137</v>
      </c>
      <c r="G2246" s="5" t="s">
        <v>137</v>
      </c>
      <c r="H2246" s="5" t="s">
        <v>18</v>
      </c>
      <c r="I2246" s="7" t="s">
        <v>7876</v>
      </c>
    </row>
    <row r="2247">
      <c r="A2247" s="5" t="s">
        <v>3723</v>
      </c>
      <c r="B2247" s="5" t="s">
        <v>3724</v>
      </c>
      <c r="D2247" s="5" t="s">
        <v>3649</v>
      </c>
      <c r="E2247" s="5" t="s">
        <v>365</v>
      </c>
      <c r="F2247" s="5" t="s">
        <v>137</v>
      </c>
      <c r="G2247" s="5" t="s">
        <v>137</v>
      </c>
      <c r="H2247" s="5" t="s">
        <v>18</v>
      </c>
      <c r="I2247" s="7" t="s">
        <v>7917</v>
      </c>
    </row>
    <row r="2248">
      <c r="A2248" s="5" t="s">
        <v>7930</v>
      </c>
      <c r="B2248" s="5" t="s">
        <v>7931</v>
      </c>
      <c r="D2248" s="5" t="s">
        <v>3649</v>
      </c>
      <c r="E2248" s="5" t="s">
        <v>958</v>
      </c>
      <c r="F2248" s="5" t="s">
        <v>137</v>
      </c>
      <c r="G2248" s="5" t="s">
        <v>137</v>
      </c>
      <c r="H2248" s="5" t="s">
        <v>18</v>
      </c>
      <c r="I2248" s="7" t="s">
        <v>7929</v>
      </c>
    </row>
    <row r="2249">
      <c r="A2249" s="5" t="s">
        <v>3728</v>
      </c>
      <c r="B2249" s="5" t="s">
        <v>3729</v>
      </c>
      <c r="D2249" s="5" t="s">
        <v>3649</v>
      </c>
      <c r="E2249" s="5" t="s">
        <v>365</v>
      </c>
      <c r="F2249" s="5" t="s">
        <v>153</v>
      </c>
      <c r="G2249" s="5" t="s">
        <v>154</v>
      </c>
      <c r="H2249" s="5" t="s">
        <v>18</v>
      </c>
      <c r="I2249" s="7" t="s">
        <v>11075</v>
      </c>
    </row>
    <row r="2250">
      <c r="A2250" s="5" t="s">
        <v>8352</v>
      </c>
      <c r="B2250" s="5" t="s">
        <v>8353</v>
      </c>
      <c r="D2250" s="5" t="s">
        <v>3649</v>
      </c>
      <c r="E2250" s="5" t="s">
        <v>345</v>
      </c>
      <c r="F2250" s="5" t="s">
        <v>153</v>
      </c>
      <c r="G2250" s="5" t="s">
        <v>154</v>
      </c>
      <c r="H2250" s="5" t="s">
        <v>18</v>
      </c>
      <c r="I2250" s="7" t="s">
        <v>8351</v>
      </c>
    </row>
    <row r="2251">
      <c r="A2251" s="5" t="s">
        <v>8362</v>
      </c>
      <c r="B2251" s="5" t="s">
        <v>8363</v>
      </c>
      <c r="D2251" s="5" t="s">
        <v>3649</v>
      </c>
      <c r="E2251" s="5" t="s">
        <v>409</v>
      </c>
      <c r="F2251" s="5" t="s">
        <v>153</v>
      </c>
      <c r="G2251" s="5" t="s">
        <v>154</v>
      </c>
      <c r="H2251" s="5" t="s">
        <v>18</v>
      </c>
      <c r="I2251" s="7" t="s">
        <v>11076</v>
      </c>
    </row>
    <row r="2252">
      <c r="A2252" s="5" t="s">
        <v>3731</v>
      </c>
      <c r="B2252" s="5" t="s">
        <v>3732</v>
      </c>
      <c r="D2252" s="5" t="s">
        <v>3649</v>
      </c>
      <c r="E2252" s="5" t="s">
        <v>1098</v>
      </c>
      <c r="F2252" s="5" t="s">
        <v>153</v>
      </c>
      <c r="G2252" s="5" t="s">
        <v>154</v>
      </c>
      <c r="H2252" s="5" t="s">
        <v>18</v>
      </c>
      <c r="I2252" s="7" t="s">
        <v>11077</v>
      </c>
    </row>
    <row r="2253">
      <c r="A2253" s="5" t="s">
        <v>3736</v>
      </c>
      <c r="B2253" s="5" t="s">
        <v>919</v>
      </c>
      <c r="D2253" s="5" t="s">
        <v>3649</v>
      </c>
      <c r="E2253" s="5" t="s">
        <v>832</v>
      </c>
      <c r="F2253" s="5" t="s">
        <v>3737</v>
      </c>
      <c r="G2253" s="5" t="s">
        <v>96</v>
      </c>
      <c r="H2253" s="5" t="s">
        <v>18</v>
      </c>
      <c r="I2253" s="7" t="s">
        <v>8380</v>
      </c>
    </row>
    <row r="2254">
      <c r="A2254" s="5" t="s">
        <v>3739</v>
      </c>
      <c r="B2254" s="5" t="s">
        <v>3740</v>
      </c>
      <c r="D2254" s="5" t="s">
        <v>3649</v>
      </c>
      <c r="E2254" s="5" t="s">
        <v>2890</v>
      </c>
      <c r="F2254" s="5" t="s">
        <v>3741</v>
      </c>
      <c r="G2254" s="5" t="s">
        <v>962</v>
      </c>
      <c r="H2254" s="5" t="s">
        <v>18</v>
      </c>
      <c r="I2254" s="7" t="s">
        <v>11078</v>
      </c>
    </row>
    <row r="2255">
      <c r="A2255" s="5" t="s">
        <v>3743</v>
      </c>
      <c r="B2255" s="5" t="s">
        <v>371</v>
      </c>
      <c r="D2255" s="5" t="s">
        <v>3649</v>
      </c>
      <c r="E2255" s="5" t="s">
        <v>1244</v>
      </c>
      <c r="F2255" s="5" t="s">
        <v>876</v>
      </c>
      <c r="G2255" s="5" t="s">
        <v>184</v>
      </c>
      <c r="H2255" s="5" t="s">
        <v>18</v>
      </c>
      <c r="I2255" s="7" t="s">
        <v>8480</v>
      </c>
    </row>
    <row r="2256">
      <c r="A2256" s="5" t="s">
        <v>8582</v>
      </c>
      <c r="B2256" s="5" t="s">
        <v>8583</v>
      </c>
      <c r="D2256" s="5" t="s">
        <v>3649</v>
      </c>
      <c r="E2256" s="5" t="s">
        <v>848</v>
      </c>
      <c r="F2256" s="5" t="s">
        <v>780</v>
      </c>
      <c r="G2256" s="5" t="s">
        <v>781</v>
      </c>
      <c r="H2256" s="5" t="s">
        <v>18</v>
      </c>
      <c r="I2256" s="7" t="s">
        <v>11079</v>
      </c>
    </row>
    <row r="2257">
      <c r="A2257" s="5" t="s">
        <v>8674</v>
      </c>
      <c r="B2257" s="5" t="s">
        <v>8675</v>
      </c>
      <c r="D2257" s="5" t="s">
        <v>3649</v>
      </c>
      <c r="E2257" s="5" t="s">
        <v>182</v>
      </c>
      <c r="F2257" s="5" t="s">
        <v>166</v>
      </c>
      <c r="G2257" s="5" t="s">
        <v>44</v>
      </c>
      <c r="H2257" s="5" t="s">
        <v>18</v>
      </c>
      <c r="I2257" s="7" t="s">
        <v>8673</v>
      </c>
    </row>
    <row r="2258">
      <c r="A2258" s="5" t="s">
        <v>3749</v>
      </c>
      <c r="B2258" s="5" t="s">
        <v>371</v>
      </c>
      <c r="D2258" s="5" t="s">
        <v>3649</v>
      </c>
      <c r="E2258" s="5" t="s">
        <v>121</v>
      </c>
      <c r="F2258" s="5" t="s">
        <v>102</v>
      </c>
      <c r="G2258" s="5" t="s">
        <v>172</v>
      </c>
      <c r="H2258" s="5" t="s">
        <v>18</v>
      </c>
      <c r="I2258" s="7" t="s">
        <v>9991</v>
      </c>
    </row>
    <row r="2259">
      <c r="A2259" s="5" t="s">
        <v>3647</v>
      </c>
      <c r="B2259" s="5" t="s">
        <v>3648</v>
      </c>
      <c r="C2259" s="5" t="s">
        <v>13</v>
      </c>
      <c r="D2259" s="5" t="s">
        <v>3649</v>
      </c>
      <c r="E2259" s="5" t="s">
        <v>79</v>
      </c>
      <c r="F2259" s="5" t="s">
        <v>80</v>
      </c>
      <c r="G2259" s="5" t="s">
        <v>38</v>
      </c>
      <c r="H2259" s="5" t="s">
        <v>18</v>
      </c>
      <c r="I2259" s="7" t="s">
        <v>11080</v>
      </c>
    </row>
    <row r="2260">
      <c r="A2260" s="5" t="s">
        <v>3651</v>
      </c>
      <c r="B2260" s="5" t="s">
        <v>25</v>
      </c>
      <c r="C2260" s="5" t="s">
        <v>13</v>
      </c>
      <c r="D2260" s="5" t="s">
        <v>3649</v>
      </c>
      <c r="E2260" s="5" t="s">
        <v>3652</v>
      </c>
      <c r="F2260" s="5" t="s">
        <v>1304</v>
      </c>
      <c r="G2260" s="5" t="s">
        <v>1305</v>
      </c>
      <c r="H2260" s="5" t="s">
        <v>18</v>
      </c>
      <c r="I2260" s="7" t="s">
        <v>3653</v>
      </c>
    </row>
    <row r="2261">
      <c r="A2261" s="5" t="s">
        <v>3654</v>
      </c>
      <c r="B2261" s="5" t="s">
        <v>371</v>
      </c>
      <c r="C2261" s="5" t="s">
        <v>13</v>
      </c>
      <c r="D2261" s="5" t="s">
        <v>3649</v>
      </c>
      <c r="E2261" s="5" t="s">
        <v>3655</v>
      </c>
      <c r="F2261" s="5" t="s">
        <v>112</v>
      </c>
      <c r="G2261" s="5" t="s">
        <v>38</v>
      </c>
      <c r="H2261" s="5" t="s">
        <v>18</v>
      </c>
      <c r="I2261" s="7" t="s">
        <v>3656</v>
      </c>
    </row>
    <row r="2262">
      <c r="A2262" s="5" t="s">
        <v>3657</v>
      </c>
      <c r="B2262" s="5" t="s">
        <v>3658</v>
      </c>
      <c r="C2262" s="5" t="s">
        <v>13</v>
      </c>
      <c r="D2262" s="5" t="s">
        <v>3649</v>
      </c>
      <c r="F2262" s="5" t="s">
        <v>1079</v>
      </c>
      <c r="G2262" s="5" t="s">
        <v>259</v>
      </c>
      <c r="H2262" s="5" t="s">
        <v>18</v>
      </c>
      <c r="I2262" s="7" t="s">
        <v>3659</v>
      </c>
    </row>
    <row r="2263">
      <c r="A2263" s="5" t="s">
        <v>3660</v>
      </c>
      <c r="B2263" s="5" t="s">
        <v>371</v>
      </c>
      <c r="C2263" s="5" t="s">
        <v>13</v>
      </c>
      <c r="D2263" s="5" t="s">
        <v>3649</v>
      </c>
      <c r="E2263" s="5" t="s">
        <v>3661</v>
      </c>
      <c r="F2263" s="5" t="s">
        <v>3662</v>
      </c>
      <c r="G2263" s="5" t="s">
        <v>3572</v>
      </c>
      <c r="H2263" s="5" t="s">
        <v>18</v>
      </c>
      <c r="I2263" s="7" t="s">
        <v>11081</v>
      </c>
    </row>
    <row r="2264">
      <c r="A2264" s="5" t="s">
        <v>3664</v>
      </c>
      <c r="B2264" s="5" t="s">
        <v>371</v>
      </c>
      <c r="C2264" s="5" t="s">
        <v>13</v>
      </c>
      <c r="D2264" s="5" t="s">
        <v>3649</v>
      </c>
      <c r="F2264" s="5" t="s">
        <v>953</v>
      </c>
      <c r="G2264" s="5" t="s">
        <v>954</v>
      </c>
      <c r="H2264" s="5" t="s">
        <v>18</v>
      </c>
      <c r="I2264" s="7" t="s">
        <v>3665</v>
      </c>
    </row>
    <row r="2265">
      <c r="A2265" s="5" t="s">
        <v>3666</v>
      </c>
      <c r="B2265" s="5" t="s">
        <v>3667</v>
      </c>
      <c r="C2265" s="5" t="s">
        <v>13</v>
      </c>
      <c r="D2265" s="5" t="s">
        <v>3649</v>
      </c>
      <c r="F2265" s="5" t="s">
        <v>223</v>
      </c>
      <c r="G2265" s="5" t="s">
        <v>224</v>
      </c>
      <c r="H2265" s="5" t="s">
        <v>18</v>
      </c>
      <c r="I2265" s="7" t="s">
        <v>3668</v>
      </c>
    </row>
    <row r="2266">
      <c r="A2266" s="5" t="s">
        <v>3669</v>
      </c>
      <c r="B2266" s="5" t="s">
        <v>25</v>
      </c>
      <c r="C2266" s="5" t="s">
        <v>13</v>
      </c>
      <c r="D2266" s="5" t="s">
        <v>3649</v>
      </c>
      <c r="E2266" s="5" t="s">
        <v>3670</v>
      </c>
      <c r="F2266" s="5" t="s">
        <v>1022</v>
      </c>
      <c r="G2266" s="5" t="s">
        <v>264</v>
      </c>
      <c r="H2266" s="5" t="s">
        <v>18</v>
      </c>
      <c r="I2266" s="7" t="s">
        <v>3671</v>
      </c>
    </row>
    <row r="2267">
      <c r="A2267" s="5" t="s">
        <v>3672</v>
      </c>
      <c r="B2267" s="5" t="s">
        <v>371</v>
      </c>
      <c r="C2267" s="5" t="s">
        <v>13</v>
      </c>
      <c r="D2267" s="5" t="s">
        <v>3649</v>
      </c>
      <c r="E2267" s="5" t="s">
        <v>106</v>
      </c>
      <c r="F2267" s="5" t="s">
        <v>183</v>
      </c>
      <c r="G2267" s="5" t="s">
        <v>184</v>
      </c>
      <c r="H2267" s="5" t="s">
        <v>18</v>
      </c>
      <c r="I2267" s="7" t="s">
        <v>3673</v>
      </c>
    </row>
    <row r="2268">
      <c r="A2268" s="5" t="s">
        <v>3674</v>
      </c>
      <c r="B2268" s="5" t="s">
        <v>371</v>
      </c>
      <c r="C2268" s="5" t="s">
        <v>13</v>
      </c>
      <c r="D2268" s="5" t="s">
        <v>3649</v>
      </c>
      <c r="F2268" s="5" t="s">
        <v>37</v>
      </c>
      <c r="G2268" s="5" t="s">
        <v>38</v>
      </c>
      <c r="H2268" s="5" t="s">
        <v>18</v>
      </c>
      <c r="I2268" s="7" t="s">
        <v>3675</v>
      </c>
    </row>
    <row r="2269">
      <c r="A2269" s="5" t="s">
        <v>3676</v>
      </c>
      <c r="B2269" s="5" t="s">
        <v>3677</v>
      </c>
      <c r="C2269" s="5" t="s">
        <v>13</v>
      </c>
      <c r="D2269" s="5" t="s">
        <v>3649</v>
      </c>
      <c r="E2269" s="5" t="s">
        <v>958</v>
      </c>
      <c r="F2269" s="5" t="s">
        <v>377</v>
      </c>
      <c r="G2269" s="5" t="s">
        <v>378</v>
      </c>
      <c r="H2269" s="5" t="s">
        <v>18</v>
      </c>
      <c r="I2269" s="7" t="s">
        <v>3678</v>
      </c>
    </row>
    <row r="2270">
      <c r="A2270" s="5" t="s">
        <v>3679</v>
      </c>
      <c r="B2270" s="5" t="s">
        <v>371</v>
      </c>
      <c r="C2270" s="5" t="s">
        <v>13</v>
      </c>
      <c r="D2270" s="5" t="s">
        <v>3649</v>
      </c>
      <c r="E2270" s="5" t="s">
        <v>1398</v>
      </c>
      <c r="F2270" s="5" t="s">
        <v>1532</v>
      </c>
      <c r="G2270" s="5" t="s">
        <v>945</v>
      </c>
      <c r="H2270" s="5" t="s">
        <v>18</v>
      </c>
      <c r="I2270" s="7" t="s">
        <v>3680</v>
      </c>
    </row>
    <row r="2271">
      <c r="A2271" s="5" t="s">
        <v>3681</v>
      </c>
      <c r="B2271" s="5" t="s">
        <v>25</v>
      </c>
      <c r="C2271" s="5" t="s">
        <v>13</v>
      </c>
      <c r="D2271" s="5" t="s">
        <v>3649</v>
      </c>
      <c r="E2271" s="5" t="s">
        <v>2650</v>
      </c>
      <c r="F2271" s="5" t="s">
        <v>1532</v>
      </c>
      <c r="G2271" s="5" t="s">
        <v>945</v>
      </c>
      <c r="H2271" s="5" t="s">
        <v>18</v>
      </c>
      <c r="I2271" s="7" t="s">
        <v>3682</v>
      </c>
    </row>
    <row r="2272">
      <c r="A2272" s="5" t="s">
        <v>3683</v>
      </c>
      <c r="B2272" s="5" t="s">
        <v>2155</v>
      </c>
      <c r="C2272" s="5" t="s">
        <v>13</v>
      </c>
      <c r="D2272" s="5" t="s">
        <v>3649</v>
      </c>
      <c r="E2272" s="5" t="s">
        <v>574</v>
      </c>
      <c r="F2272" s="5" t="s">
        <v>64</v>
      </c>
      <c r="G2272" s="5" t="s">
        <v>65</v>
      </c>
      <c r="H2272" s="5" t="s">
        <v>18</v>
      </c>
      <c r="I2272" s="7" t="s">
        <v>11082</v>
      </c>
    </row>
    <row r="2273">
      <c r="A2273" s="5" t="s">
        <v>3685</v>
      </c>
      <c r="B2273" s="5" t="s">
        <v>371</v>
      </c>
      <c r="C2273" s="5" t="s">
        <v>13</v>
      </c>
      <c r="D2273" s="5" t="s">
        <v>3649</v>
      </c>
      <c r="E2273" s="5" t="s">
        <v>3686</v>
      </c>
      <c r="F2273" s="5" t="s">
        <v>64</v>
      </c>
      <c r="G2273" s="5" t="s">
        <v>65</v>
      </c>
      <c r="H2273" s="5" t="s">
        <v>18</v>
      </c>
      <c r="I2273" s="7" t="s">
        <v>3687</v>
      </c>
    </row>
    <row r="2274">
      <c r="A2274" s="5" t="s">
        <v>3688</v>
      </c>
      <c r="B2274" s="5" t="s">
        <v>3689</v>
      </c>
      <c r="C2274" s="5" t="s">
        <v>13</v>
      </c>
      <c r="D2274" s="5" t="s">
        <v>3649</v>
      </c>
      <c r="E2274" s="5" t="s">
        <v>526</v>
      </c>
      <c r="F2274" s="5" t="s">
        <v>64</v>
      </c>
      <c r="G2274" s="5" t="s">
        <v>65</v>
      </c>
      <c r="H2274" s="5" t="s">
        <v>18</v>
      </c>
      <c r="I2274" s="7" t="s">
        <v>11083</v>
      </c>
    </row>
    <row r="2275">
      <c r="A2275" s="5" t="s">
        <v>3691</v>
      </c>
      <c r="B2275" s="5" t="s">
        <v>25</v>
      </c>
      <c r="C2275" s="5" t="s">
        <v>13</v>
      </c>
      <c r="D2275" s="5" t="s">
        <v>3649</v>
      </c>
      <c r="F2275" s="5" t="s">
        <v>64</v>
      </c>
      <c r="G2275" s="5" t="s">
        <v>65</v>
      </c>
      <c r="H2275" s="5" t="s">
        <v>18</v>
      </c>
      <c r="I2275" s="7" t="s">
        <v>3692</v>
      </c>
    </row>
    <row r="2276">
      <c r="A2276" s="5" t="s">
        <v>3693</v>
      </c>
      <c r="B2276" s="5" t="s">
        <v>25</v>
      </c>
      <c r="C2276" s="5" t="s">
        <v>13</v>
      </c>
      <c r="D2276" s="5" t="s">
        <v>3649</v>
      </c>
      <c r="E2276" s="5" t="s">
        <v>3694</v>
      </c>
      <c r="F2276" s="5" t="s">
        <v>80</v>
      </c>
      <c r="G2276" s="5" t="s">
        <v>38</v>
      </c>
      <c r="H2276" s="5" t="s">
        <v>18</v>
      </c>
      <c r="I2276" s="7" t="s">
        <v>3695</v>
      </c>
    </row>
    <row r="2277">
      <c r="A2277" s="5" t="s">
        <v>3696</v>
      </c>
      <c r="B2277" s="5" t="s">
        <v>3697</v>
      </c>
      <c r="C2277" s="5" t="s">
        <v>13</v>
      </c>
      <c r="D2277" s="5" t="s">
        <v>3649</v>
      </c>
      <c r="E2277" s="5" t="s">
        <v>579</v>
      </c>
      <c r="F2277" s="5" t="s">
        <v>80</v>
      </c>
      <c r="G2277" s="5" t="s">
        <v>38</v>
      </c>
      <c r="H2277" s="5" t="s">
        <v>18</v>
      </c>
      <c r="I2277" s="7" t="s">
        <v>3698</v>
      </c>
    </row>
    <row r="2278">
      <c r="A2278" s="5" t="s">
        <v>3699</v>
      </c>
      <c r="B2278" s="5" t="s">
        <v>3700</v>
      </c>
      <c r="C2278" s="5" t="s">
        <v>13</v>
      </c>
      <c r="D2278" s="5" t="s">
        <v>3649</v>
      </c>
      <c r="E2278" s="5" t="s">
        <v>832</v>
      </c>
      <c r="F2278" s="5" t="s">
        <v>85</v>
      </c>
      <c r="G2278" s="5" t="s">
        <v>86</v>
      </c>
      <c r="H2278" s="5" t="s">
        <v>18</v>
      </c>
      <c r="I2278" s="7" t="s">
        <v>3701</v>
      </c>
    </row>
    <row r="2279">
      <c r="A2279" s="5" t="s">
        <v>3702</v>
      </c>
      <c r="B2279" s="5" t="s">
        <v>3703</v>
      </c>
      <c r="C2279" s="5" t="s">
        <v>13</v>
      </c>
      <c r="D2279" s="5" t="s">
        <v>3649</v>
      </c>
      <c r="E2279" s="5" t="s">
        <v>94</v>
      </c>
      <c r="F2279" s="5" t="s">
        <v>85</v>
      </c>
      <c r="G2279" s="5" t="s">
        <v>86</v>
      </c>
      <c r="H2279" s="5" t="s">
        <v>18</v>
      </c>
      <c r="I2279" s="7" t="s">
        <v>11084</v>
      </c>
    </row>
    <row r="2280">
      <c r="A2280" s="5" t="s">
        <v>3705</v>
      </c>
      <c r="B2280" s="5" t="s">
        <v>371</v>
      </c>
      <c r="C2280" s="5" t="s">
        <v>13</v>
      </c>
      <c r="D2280" s="5" t="s">
        <v>3649</v>
      </c>
      <c r="E2280" s="5" t="s">
        <v>222</v>
      </c>
      <c r="F2280" s="5" t="s">
        <v>1187</v>
      </c>
      <c r="G2280" s="5" t="s">
        <v>96</v>
      </c>
      <c r="H2280" s="5" t="s">
        <v>18</v>
      </c>
      <c r="I2280" s="7" t="s">
        <v>3706</v>
      </c>
    </row>
    <row r="2281">
      <c r="A2281" s="5" t="s">
        <v>3707</v>
      </c>
      <c r="B2281" s="5" t="s">
        <v>371</v>
      </c>
      <c r="C2281" s="5" t="s">
        <v>13</v>
      </c>
      <c r="D2281" s="5" t="s">
        <v>3649</v>
      </c>
      <c r="E2281" s="5" t="s">
        <v>2120</v>
      </c>
      <c r="F2281" s="5" t="s">
        <v>3708</v>
      </c>
      <c r="G2281" s="5" t="s">
        <v>954</v>
      </c>
      <c r="H2281" s="5" t="s">
        <v>18</v>
      </c>
      <c r="I2281" s="7" t="s">
        <v>11085</v>
      </c>
    </row>
    <row r="2282">
      <c r="A2282" s="5" t="s">
        <v>3710</v>
      </c>
      <c r="B2282" s="5" t="s">
        <v>25</v>
      </c>
      <c r="C2282" s="5" t="s">
        <v>13</v>
      </c>
      <c r="D2282" s="5" t="s">
        <v>3649</v>
      </c>
      <c r="F2282" s="5" t="s">
        <v>2100</v>
      </c>
      <c r="G2282" s="5" t="s">
        <v>264</v>
      </c>
      <c r="H2282" s="5" t="s">
        <v>18</v>
      </c>
      <c r="I2282" s="7" t="s">
        <v>3711</v>
      </c>
    </row>
    <row r="2283">
      <c r="A2283" s="5" t="s">
        <v>3712</v>
      </c>
      <c r="B2283" s="5" t="s">
        <v>3713</v>
      </c>
      <c r="C2283" s="5" t="s">
        <v>13</v>
      </c>
      <c r="D2283" s="5" t="s">
        <v>3649</v>
      </c>
      <c r="E2283" s="5" t="s">
        <v>648</v>
      </c>
      <c r="F2283" s="5" t="s">
        <v>122</v>
      </c>
      <c r="G2283" s="5" t="s">
        <v>44</v>
      </c>
      <c r="H2283" s="5" t="s">
        <v>18</v>
      </c>
      <c r="I2283" s="7" t="s">
        <v>3714</v>
      </c>
    </row>
    <row r="2284">
      <c r="A2284" s="5" t="s">
        <v>3715</v>
      </c>
      <c r="B2284" s="5" t="s">
        <v>2801</v>
      </c>
      <c r="C2284" s="5" t="s">
        <v>13</v>
      </c>
      <c r="D2284" s="5" t="s">
        <v>3649</v>
      </c>
      <c r="E2284" s="5" t="s">
        <v>165</v>
      </c>
      <c r="F2284" s="5" t="s">
        <v>3716</v>
      </c>
      <c r="G2284" s="5" t="s">
        <v>378</v>
      </c>
      <c r="H2284" s="5" t="s">
        <v>18</v>
      </c>
      <c r="I2284" s="7" t="s">
        <v>3717</v>
      </c>
    </row>
    <row r="2285">
      <c r="A2285" s="5" t="s">
        <v>3718</v>
      </c>
      <c r="B2285" s="5" t="s">
        <v>371</v>
      </c>
      <c r="C2285" s="5" t="s">
        <v>13</v>
      </c>
      <c r="D2285" s="5" t="s">
        <v>3649</v>
      </c>
      <c r="E2285" s="5" t="s">
        <v>648</v>
      </c>
      <c r="F2285" s="5" t="s">
        <v>388</v>
      </c>
      <c r="G2285" s="5" t="s">
        <v>203</v>
      </c>
      <c r="H2285" s="5" t="s">
        <v>18</v>
      </c>
      <c r="I2285" s="7" t="s">
        <v>3719</v>
      </c>
    </row>
    <row r="2286">
      <c r="A2286" s="5" t="s">
        <v>3720</v>
      </c>
      <c r="B2286" s="5" t="s">
        <v>3721</v>
      </c>
      <c r="C2286" s="5" t="s">
        <v>13</v>
      </c>
      <c r="D2286" s="5" t="s">
        <v>3649</v>
      </c>
      <c r="E2286" s="5" t="s">
        <v>1300</v>
      </c>
      <c r="F2286" s="5" t="s">
        <v>953</v>
      </c>
      <c r="G2286" s="5" t="s">
        <v>954</v>
      </c>
      <c r="H2286" s="5" t="s">
        <v>18</v>
      </c>
      <c r="I2286" s="7" t="s">
        <v>3722</v>
      </c>
    </row>
    <row r="2287">
      <c r="A2287" s="5" t="s">
        <v>3723</v>
      </c>
      <c r="B2287" s="5" t="s">
        <v>3724</v>
      </c>
      <c r="C2287" s="5" t="s">
        <v>13</v>
      </c>
      <c r="D2287" s="5" t="s">
        <v>3649</v>
      </c>
      <c r="E2287" s="5" t="s">
        <v>365</v>
      </c>
      <c r="F2287" s="5" t="s">
        <v>137</v>
      </c>
      <c r="G2287" s="5" t="s">
        <v>137</v>
      </c>
      <c r="H2287" s="5" t="s">
        <v>18</v>
      </c>
      <c r="I2287" s="7" t="s">
        <v>3725</v>
      </c>
    </row>
    <row r="2288">
      <c r="A2288" s="5" t="s">
        <v>3726</v>
      </c>
      <c r="B2288" s="5" t="s">
        <v>371</v>
      </c>
      <c r="C2288" s="5" t="s">
        <v>13</v>
      </c>
      <c r="D2288" s="5" t="s">
        <v>3649</v>
      </c>
      <c r="E2288" s="5" t="s">
        <v>339</v>
      </c>
      <c r="F2288" s="5" t="s">
        <v>137</v>
      </c>
      <c r="G2288" s="5" t="s">
        <v>137</v>
      </c>
      <c r="H2288" s="5" t="s">
        <v>18</v>
      </c>
      <c r="I2288" s="7" t="s">
        <v>3727</v>
      </c>
    </row>
    <row r="2289">
      <c r="A2289" s="5" t="s">
        <v>3728</v>
      </c>
      <c r="B2289" s="5" t="s">
        <v>3729</v>
      </c>
      <c r="C2289" s="5" t="s">
        <v>13</v>
      </c>
      <c r="D2289" s="5" t="s">
        <v>3649</v>
      </c>
      <c r="E2289" s="5" t="s">
        <v>365</v>
      </c>
      <c r="F2289" s="5" t="s">
        <v>153</v>
      </c>
      <c r="G2289" s="5" t="s">
        <v>154</v>
      </c>
      <c r="H2289" s="5" t="s">
        <v>18</v>
      </c>
      <c r="I2289" s="7" t="s">
        <v>11086</v>
      </c>
    </row>
    <row r="2290">
      <c r="A2290" s="5" t="s">
        <v>3731</v>
      </c>
      <c r="B2290" s="5" t="s">
        <v>3732</v>
      </c>
      <c r="C2290" s="5" t="s">
        <v>13</v>
      </c>
      <c r="D2290" s="5" t="s">
        <v>3649</v>
      </c>
      <c r="E2290" s="5" t="s">
        <v>1098</v>
      </c>
      <c r="F2290" s="5" t="s">
        <v>153</v>
      </c>
      <c r="G2290" s="5" t="s">
        <v>154</v>
      </c>
      <c r="H2290" s="5" t="s">
        <v>18</v>
      </c>
      <c r="I2290" s="7" t="s">
        <v>11087</v>
      </c>
    </row>
    <row r="2291">
      <c r="A2291" s="5" t="s">
        <v>3734</v>
      </c>
      <c r="B2291" s="5" t="s">
        <v>25</v>
      </c>
      <c r="C2291" s="5" t="s">
        <v>13</v>
      </c>
      <c r="D2291" s="5" t="s">
        <v>3649</v>
      </c>
      <c r="E2291" s="5" t="s">
        <v>1194</v>
      </c>
      <c r="F2291" s="5" t="s">
        <v>153</v>
      </c>
      <c r="G2291" s="5" t="s">
        <v>154</v>
      </c>
      <c r="H2291" s="5" t="s">
        <v>18</v>
      </c>
      <c r="I2291" s="7" t="s">
        <v>3735</v>
      </c>
    </row>
    <row r="2292">
      <c r="A2292" s="5" t="s">
        <v>3736</v>
      </c>
      <c r="B2292" s="5" t="s">
        <v>919</v>
      </c>
      <c r="C2292" s="5" t="s">
        <v>13</v>
      </c>
      <c r="D2292" s="5" t="s">
        <v>3649</v>
      </c>
      <c r="E2292" s="5" t="s">
        <v>832</v>
      </c>
      <c r="F2292" s="5" t="s">
        <v>3737</v>
      </c>
      <c r="G2292" s="5" t="s">
        <v>96</v>
      </c>
      <c r="H2292" s="5" t="s">
        <v>18</v>
      </c>
      <c r="I2292" s="7" t="s">
        <v>3738</v>
      </c>
    </row>
    <row r="2293">
      <c r="A2293" s="5" t="s">
        <v>3739</v>
      </c>
      <c r="B2293" s="5" t="s">
        <v>3740</v>
      </c>
      <c r="C2293" s="5" t="s">
        <v>13</v>
      </c>
      <c r="D2293" s="5" t="s">
        <v>3649</v>
      </c>
      <c r="E2293" s="5" t="s">
        <v>2890</v>
      </c>
      <c r="F2293" s="5" t="s">
        <v>3741</v>
      </c>
      <c r="G2293" s="5" t="s">
        <v>962</v>
      </c>
      <c r="H2293" s="5" t="s">
        <v>18</v>
      </c>
      <c r="I2293" s="7" t="s">
        <v>11088</v>
      </c>
    </row>
    <row r="2294">
      <c r="A2294" s="5" t="s">
        <v>3743</v>
      </c>
      <c r="B2294" s="5" t="s">
        <v>371</v>
      </c>
      <c r="C2294" s="5" t="s">
        <v>13</v>
      </c>
      <c r="D2294" s="5" t="s">
        <v>3649</v>
      </c>
      <c r="E2294" s="5" t="s">
        <v>1244</v>
      </c>
      <c r="F2294" s="5" t="s">
        <v>876</v>
      </c>
      <c r="G2294" s="5" t="s">
        <v>184</v>
      </c>
      <c r="H2294" s="5" t="s">
        <v>18</v>
      </c>
      <c r="I2294" s="7" t="s">
        <v>3744</v>
      </c>
    </row>
    <row r="2295">
      <c r="A2295" s="5" t="s">
        <v>3669</v>
      </c>
      <c r="B2295" s="5" t="s">
        <v>25</v>
      </c>
      <c r="C2295" s="5" t="s">
        <v>13</v>
      </c>
      <c r="D2295" s="5" t="s">
        <v>3649</v>
      </c>
      <c r="F2295" s="5" t="s">
        <v>1022</v>
      </c>
      <c r="G2295" s="5" t="s">
        <v>264</v>
      </c>
      <c r="H2295" s="5" t="s">
        <v>18</v>
      </c>
      <c r="I2295" s="7" t="s">
        <v>3745</v>
      </c>
    </row>
    <row r="2296">
      <c r="A2296" s="5" t="s">
        <v>3746</v>
      </c>
      <c r="B2296" s="5" t="s">
        <v>25</v>
      </c>
      <c r="C2296" s="5" t="s">
        <v>13</v>
      </c>
      <c r="D2296" s="5" t="s">
        <v>3649</v>
      </c>
      <c r="F2296" s="5" t="s">
        <v>3747</v>
      </c>
      <c r="G2296" s="5" t="s">
        <v>44</v>
      </c>
      <c r="H2296" s="5" t="s">
        <v>18</v>
      </c>
      <c r="I2296" s="7" t="s">
        <v>3748</v>
      </c>
    </row>
    <row r="2297">
      <c r="A2297" s="5" t="s">
        <v>3749</v>
      </c>
      <c r="B2297" s="5" t="s">
        <v>371</v>
      </c>
      <c r="C2297" s="5" t="s">
        <v>13</v>
      </c>
      <c r="D2297" s="5" t="s">
        <v>3649</v>
      </c>
      <c r="E2297" s="5" t="s">
        <v>121</v>
      </c>
      <c r="F2297" s="5" t="s">
        <v>102</v>
      </c>
      <c r="G2297" s="5" t="s">
        <v>172</v>
      </c>
      <c r="H2297" s="5" t="s">
        <v>18</v>
      </c>
      <c r="I2297" s="7" t="s">
        <v>3750</v>
      </c>
    </row>
    <row r="2298">
      <c r="A2298" s="5" t="s">
        <v>4977</v>
      </c>
      <c r="B2298" s="5" t="s">
        <v>4978</v>
      </c>
      <c r="D2298" s="5" t="s">
        <v>3649</v>
      </c>
      <c r="E2298" s="5" t="s">
        <v>1460</v>
      </c>
      <c r="F2298" s="5" t="s">
        <v>4970</v>
      </c>
      <c r="G2298" s="5" t="s">
        <v>4971</v>
      </c>
      <c r="H2298" s="5" t="s">
        <v>4619</v>
      </c>
      <c r="I2298" s="7" t="s">
        <v>11089</v>
      </c>
    </row>
    <row r="2299">
      <c r="A2299" s="5" t="s">
        <v>9291</v>
      </c>
      <c r="B2299" s="5" t="s">
        <v>25</v>
      </c>
      <c r="D2299" s="5" t="s">
        <v>3649</v>
      </c>
      <c r="E2299" s="5" t="s">
        <v>237</v>
      </c>
      <c r="F2299" s="5" t="s">
        <v>5280</v>
      </c>
      <c r="G2299" s="5" t="s">
        <v>4638</v>
      </c>
      <c r="H2299" s="5" t="s">
        <v>4600</v>
      </c>
      <c r="I2299" s="7" t="s">
        <v>9290</v>
      </c>
    </row>
    <row r="2300">
      <c r="A2300" s="5" t="s">
        <v>3751</v>
      </c>
      <c r="B2300" s="5" t="s">
        <v>110</v>
      </c>
      <c r="C2300" s="5" t="s">
        <v>13</v>
      </c>
      <c r="D2300" s="5" t="s">
        <v>3752</v>
      </c>
      <c r="E2300" s="5" t="s">
        <v>15</v>
      </c>
      <c r="F2300" s="5" t="s">
        <v>2339</v>
      </c>
      <c r="G2300" s="5" t="s">
        <v>781</v>
      </c>
      <c r="H2300" s="5" t="s">
        <v>18</v>
      </c>
      <c r="I2300" s="7" t="s">
        <v>3753</v>
      </c>
    </row>
    <row r="2301">
      <c r="A2301" s="5" t="s">
        <v>3754</v>
      </c>
      <c r="B2301" s="5" t="s">
        <v>1028</v>
      </c>
      <c r="C2301" s="5" t="s">
        <v>13</v>
      </c>
      <c r="D2301" s="5" t="s">
        <v>3752</v>
      </c>
      <c r="E2301" s="5" t="s">
        <v>3110</v>
      </c>
      <c r="F2301" s="5" t="s">
        <v>2339</v>
      </c>
      <c r="G2301" s="5" t="s">
        <v>781</v>
      </c>
      <c r="H2301" s="5" t="s">
        <v>18</v>
      </c>
      <c r="I2301" s="7" t="s">
        <v>3755</v>
      </c>
    </row>
    <row r="2302">
      <c r="A2302" s="5" t="s">
        <v>3756</v>
      </c>
      <c r="B2302" s="5" t="s">
        <v>110</v>
      </c>
      <c r="C2302" s="5" t="s">
        <v>13</v>
      </c>
      <c r="D2302" s="5" t="s">
        <v>3752</v>
      </c>
      <c r="E2302" s="5" t="s">
        <v>36</v>
      </c>
      <c r="F2302" s="5" t="s">
        <v>2339</v>
      </c>
      <c r="G2302" s="5" t="s">
        <v>781</v>
      </c>
      <c r="H2302" s="5" t="s">
        <v>18</v>
      </c>
      <c r="I2302" s="7" t="s">
        <v>3757</v>
      </c>
    </row>
    <row r="2303">
      <c r="A2303" s="5" t="s">
        <v>3758</v>
      </c>
      <c r="B2303" s="5" t="s">
        <v>1028</v>
      </c>
      <c r="C2303" s="5" t="s">
        <v>13</v>
      </c>
      <c r="D2303" s="5" t="s">
        <v>3752</v>
      </c>
      <c r="E2303" s="5" t="s">
        <v>268</v>
      </c>
      <c r="F2303" s="5" t="s">
        <v>311</v>
      </c>
      <c r="G2303" s="5" t="s">
        <v>102</v>
      </c>
      <c r="H2303" s="5" t="s">
        <v>18</v>
      </c>
      <c r="I2303" s="7" t="s">
        <v>3759</v>
      </c>
    </row>
    <row r="2304">
      <c r="A2304" s="5" t="s">
        <v>4827</v>
      </c>
      <c r="B2304" s="5" t="s">
        <v>4828</v>
      </c>
      <c r="D2304" s="5" t="s">
        <v>4829</v>
      </c>
      <c r="E2304" s="5" t="s">
        <v>233</v>
      </c>
      <c r="F2304" s="5" t="s">
        <v>4830</v>
      </c>
      <c r="G2304" s="5" t="s">
        <v>4757</v>
      </c>
      <c r="H2304" s="5" t="s">
        <v>4607</v>
      </c>
      <c r="I2304" s="7" t="s">
        <v>4826</v>
      </c>
    </row>
    <row r="2305">
      <c r="A2305" s="5" t="s">
        <v>9753</v>
      </c>
      <c r="B2305" s="5" t="s">
        <v>5054</v>
      </c>
      <c r="D2305" s="5" t="s">
        <v>4829</v>
      </c>
      <c r="F2305" s="5" t="s">
        <v>6577</v>
      </c>
      <c r="G2305" s="5" t="s">
        <v>4757</v>
      </c>
      <c r="H2305" s="5" t="s">
        <v>4607</v>
      </c>
      <c r="I2305" s="7" t="s">
        <v>9752</v>
      </c>
    </row>
    <row r="2306">
      <c r="A2306" s="5" t="s">
        <v>3760</v>
      </c>
      <c r="B2306" s="5" t="s">
        <v>2354</v>
      </c>
      <c r="C2306" s="5" t="s">
        <v>13</v>
      </c>
      <c r="D2306" s="5" t="s">
        <v>3761</v>
      </c>
      <c r="E2306" s="5" t="s">
        <v>217</v>
      </c>
      <c r="F2306" s="5" t="s">
        <v>377</v>
      </c>
      <c r="G2306" s="5" t="s">
        <v>378</v>
      </c>
      <c r="H2306" s="5" t="s">
        <v>18</v>
      </c>
      <c r="I2306" s="7" t="s">
        <v>3762</v>
      </c>
    </row>
    <row r="2307">
      <c r="A2307" s="5" t="s">
        <v>3763</v>
      </c>
      <c r="B2307" s="5" t="s">
        <v>2354</v>
      </c>
      <c r="C2307" s="5" t="s">
        <v>13</v>
      </c>
      <c r="D2307" s="5" t="s">
        <v>3761</v>
      </c>
      <c r="E2307" s="5" t="s">
        <v>694</v>
      </c>
      <c r="F2307" s="5" t="s">
        <v>377</v>
      </c>
      <c r="G2307" s="5" t="s">
        <v>378</v>
      </c>
      <c r="H2307" s="5" t="s">
        <v>18</v>
      </c>
      <c r="I2307" s="7" t="s">
        <v>3764</v>
      </c>
    </row>
    <row r="2308">
      <c r="A2308" s="5" t="s">
        <v>3765</v>
      </c>
      <c r="B2308" s="5" t="s">
        <v>115</v>
      </c>
      <c r="C2308" s="5" t="s">
        <v>13</v>
      </c>
      <c r="D2308" s="5" t="s">
        <v>3761</v>
      </c>
      <c r="E2308" s="5" t="s">
        <v>3766</v>
      </c>
      <c r="F2308" s="5" t="s">
        <v>3767</v>
      </c>
      <c r="G2308" s="5" t="s">
        <v>378</v>
      </c>
      <c r="H2308" s="5" t="s">
        <v>18</v>
      </c>
      <c r="I2308" s="7" t="s">
        <v>3768</v>
      </c>
    </row>
    <row r="2309">
      <c r="A2309" s="5" t="s">
        <v>3769</v>
      </c>
      <c r="B2309" s="5" t="s">
        <v>2354</v>
      </c>
      <c r="C2309" s="5" t="s">
        <v>13</v>
      </c>
      <c r="D2309" s="5" t="s">
        <v>3761</v>
      </c>
      <c r="E2309" s="5" t="s">
        <v>1921</v>
      </c>
      <c r="F2309" s="5" t="s">
        <v>85</v>
      </c>
      <c r="G2309" s="5" t="s">
        <v>86</v>
      </c>
      <c r="H2309" s="5" t="s">
        <v>18</v>
      </c>
      <c r="I2309" s="7" t="s">
        <v>3770</v>
      </c>
    </row>
    <row r="2310">
      <c r="A2310" s="5" t="s">
        <v>3771</v>
      </c>
      <c r="B2310" s="5" t="s">
        <v>1930</v>
      </c>
      <c r="C2310" s="5" t="s">
        <v>13</v>
      </c>
      <c r="D2310" s="5" t="s">
        <v>3761</v>
      </c>
      <c r="E2310" s="5" t="s">
        <v>365</v>
      </c>
      <c r="F2310" s="5" t="s">
        <v>3772</v>
      </c>
      <c r="G2310" s="5" t="s">
        <v>378</v>
      </c>
      <c r="H2310" s="5" t="s">
        <v>18</v>
      </c>
      <c r="I2310" s="7" t="s">
        <v>3773</v>
      </c>
    </row>
    <row r="2311">
      <c r="A2311" s="5" t="s">
        <v>3774</v>
      </c>
      <c r="B2311" s="5" t="s">
        <v>2354</v>
      </c>
      <c r="C2311" s="5" t="s">
        <v>13</v>
      </c>
      <c r="D2311" s="5" t="s">
        <v>3761</v>
      </c>
      <c r="E2311" s="5" t="s">
        <v>125</v>
      </c>
      <c r="F2311" s="5" t="s">
        <v>3775</v>
      </c>
      <c r="G2311" s="5" t="s">
        <v>44</v>
      </c>
      <c r="H2311" s="5" t="s">
        <v>18</v>
      </c>
      <c r="I2311" s="7" t="s">
        <v>3776</v>
      </c>
    </row>
    <row r="2312">
      <c r="A2312" s="5" t="s">
        <v>3777</v>
      </c>
      <c r="B2312" s="5" t="s">
        <v>2354</v>
      </c>
      <c r="C2312" s="5" t="s">
        <v>13</v>
      </c>
      <c r="D2312" s="5" t="s">
        <v>3761</v>
      </c>
      <c r="E2312" s="5" t="s">
        <v>26</v>
      </c>
      <c r="F2312" s="5" t="s">
        <v>3778</v>
      </c>
      <c r="G2312" s="5" t="s">
        <v>3038</v>
      </c>
      <c r="H2312" s="5" t="s">
        <v>18</v>
      </c>
      <c r="I2312" s="7" t="s">
        <v>3779</v>
      </c>
    </row>
    <row r="2313">
      <c r="A2313" s="5" t="s">
        <v>3780</v>
      </c>
      <c r="B2313" s="5" t="s">
        <v>2354</v>
      </c>
      <c r="C2313" s="5" t="s">
        <v>13</v>
      </c>
      <c r="D2313" s="5" t="s">
        <v>3761</v>
      </c>
      <c r="E2313" s="5" t="s">
        <v>1634</v>
      </c>
      <c r="F2313" s="5" t="s">
        <v>3781</v>
      </c>
      <c r="G2313" s="5" t="s">
        <v>184</v>
      </c>
      <c r="H2313" s="5" t="s">
        <v>18</v>
      </c>
      <c r="I2313" s="7" t="s">
        <v>3782</v>
      </c>
    </row>
    <row r="2314">
      <c r="A2314" s="5" t="s">
        <v>3783</v>
      </c>
      <c r="B2314" s="5" t="s">
        <v>3784</v>
      </c>
      <c r="C2314" s="5" t="s">
        <v>13</v>
      </c>
      <c r="D2314" s="5" t="s">
        <v>3761</v>
      </c>
      <c r="E2314" s="5" t="s">
        <v>222</v>
      </c>
      <c r="F2314" s="5" t="s">
        <v>3785</v>
      </c>
      <c r="G2314" s="5" t="s">
        <v>378</v>
      </c>
      <c r="H2314" s="5" t="s">
        <v>18</v>
      </c>
      <c r="I2314" s="7" t="s">
        <v>11090</v>
      </c>
    </row>
    <row r="2315">
      <c r="A2315" s="5" t="s">
        <v>3787</v>
      </c>
      <c r="B2315" s="5" t="s">
        <v>3788</v>
      </c>
      <c r="C2315" s="5" t="s">
        <v>13</v>
      </c>
      <c r="D2315" s="5" t="s">
        <v>3761</v>
      </c>
      <c r="E2315" s="5" t="s">
        <v>182</v>
      </c>
      <c r="F2315" s="5" t="s">
        <v>2282</v>
      </c>
      <c r="G2315" s="5" t="s">
        <v>224</v>
      </c>
      <c r="H2315" s="5" t="s">
        <v>18</v>
      </c>
      <c r="I2315" s="7" t="s">
        <v>3789</v>
      </c>
    </row>
    <row r="2316">
      <c r="A2316" s="5" t="s">
        <v>3790</v>
      </c>
      <c r="B2316" s="5" t="s">
        <v>2354</v>
      </c>
      <c r="C2316" s="5" t="s">
        <v>13</v>
      </c>
      <c r="D2316" s="5" t="s">
        <v>3761</v>
      </c>
      <c r="E2316" s="5" t="s">
        <v>651</v>
      </c>
      <c r="F2316" s="5" t="s">
        <v>1914</v>
      </c>
      <c r="G2316" s="5" t="s">
        <v>378</v>
      </c>
      <c r="H2316" s="5" t="s">
        <v>18</v>
      </c>
      <c r="I2316" s="7" t="s">
        <v>3791</v>
      </c>
    </row>
    <row r="2317">
      <c r="A2317" s="5" t="s">
        <v>3792</v>
      </c>
      <c r="B2317" s="5" t="s">
        <v>3793</v>
      </c>
      <c r="C2317" s="5" t="s">
        <v>13</v>
      </c>
      <c r="D2317" s="5" t="s">
        <v>3761</v>
      </c>
      <c r="E2317" s="5" t="s">
        <v>399</v>
      </c>
      <c r="F2317" s="5" t="s">
        <v>80</v>
      </c>
      <c r="G2317" s="5" t="s">
        <v>38</v>
      </c>
      <c r="H2317" s="5" t="s">
        <v>18</v>
      </c>
      <c r="I2317" s="7" t="s">
        <v>11091</v>
      </c>
    </row>
    <row r="2318">
      <c r="A2318" s="5" t="s">
        <v>3795</v>
      </c>
      <c r="B2318" s="5" t="s">
        <v>2354</v>
      </c>
      <c r="C2318" s="5" t="s">
        <v>13</v>
      </c>
      <c r="D2318" s="5" t="s">
        <v>3761</v>
      </c>
      <c r="E2318" s="5" t="s">
        <v>207</v>
      </c>
      <c r="F2318" s="5" t="s">
        <v>80</v>
      </c>
      <c r="G2318" s="5" t="s">
        <v>38</v>
      </c>
      <c r="H2318" s="5" t="s">
        <v>18</v>
      </c>
      <c r="I2318" s="7" t="s">
        <v>3796</v>
      </c>
    </row>
    <row r="2319">
      <c r="A2319" s="5" t="s">
        <v>3797</v>
      </c>
      <c r="B2319" s="5" t="s">
        <v>3798</v>
      </c>
      <c r="C2319" s="5" t="s">
        <v>13</v>
      </c>
      <c r="D2319" s="5" t="s">
        <v>3761</v>
      </c>
      <c r="E2319" s="5" t="s">
        <v>188</v>
      </c>
      <c r="F2319" s="5" t="s">
        <v>2282</v>
      </c>
      <c r="G2319" s="5" t="s">
        <v>224</v>
      </c>
      <c r="H2319" s="5" t="s">
        <v>18</v>
      </c>
      <c r="I2319" s="7" t="s">
        <v>11092</v>
      </c>
    </row>
    <row r="2320">
      <c r="A2320" s="5" t="s">
        <v>3800</v>
      </c>
      <c r="B2320" s="5" t="s">
        <v>2354</v>
      </c>
      <c r="C2320" s="5" t="s">
        <v>13</v>
      </c>
      <c r="D2320" s="5" t="s">
        <v>3761</v>
      </c>
      <c r="E2320" s="5" t="s">
        <v>42</v>
      </c>
      <c r="F2320" s="5" t="s">
        <v>2282</v>
      </c>
      <c r="G2320" s="5" t="s">
        <v>224</v>
      </c>
      <c r="H2320" s="5" t="s">
        <v>18</v>
      </c>
      <c r="I2320" s="7" t="s">
        <v>3801</v>
      </c>
    </row>
    <row r="2321">
      <c r="A2321" s="5" t="s">
        <v>6691</v>
      </c>
      <c r="B2321" s="5" t="s">
        <v>25</v>
      </c>
      <c r="D2321" s="5" t="s">
        <v>6692</v>
      </c>
      <c r="E2321" s="5" t="s">
        <v>1123</v>
      </c>
      <c r="F2321" s="5" t="s">
        <v>6577</v>
      </c>
      <c r="G2321" s="5" t="s">
        <v>4757</v>
      </c>
      <c r="H2321" s="5" t="s">
        <v>4607</v>
      </c>
      <c r="I2321" s="7" t="s">
        <v>6690</v>
      </c>
    </row>
    <row r="2322">
      <c r="A2322" s="5" t="s">
        <v>7568</v>
      </c>
      <c r="B2322" s="5" t="s">
        <v>7569</v>
      </c>
      <c r="D2322" s="5" t="s">
        <v>6692</v>
      </c>
      <c r="E2322" s="5" t="s">
        <v>376</v>
      </c>
      <c r="F2322" s="5" t="s">
        <v>7548</v>
      </c>
      <c r="G2322" s="5" t="s">
        <v>6159</v>
      </c>
      <c r="H2322" s="5" t="s">
        <v>4600</v>
      </c>
      <c r="I2322" s="7" t="s">
        <v>7567</v>
      </c>
    </row>
    <row r="2323">
      <c r="A2323" s="5" t="s">
        <v>9195</v>
      </c>
      <c r="B2323" s="5" t="s">
        <v>9196</v>
      </c>
      <c r="D2323" s="5" t="s">
        <v>6692</v>
      </c>
      <c r="E2323" s="5" t="s">
        <v>909</v>
      </c>
      <c r="F2323" s="5" t="s">
        <v>5280</v>
      </c>
      <c r="G2323" s="5" t="s">
        <v>4638</v>
      </c>
      <c r="H2323" s="5" t="s">
        <v>4600</v>
      </c>
      <c r="I2323" s="7" t="s">
        <v>11093</v>
      </c>
    </row>
    <row r="2324">
      <c r="A2324" s="5" t="s">
        <v>6676</v>
      </c>
      <c r="B2324" s="5" t="s">
        <v>6677</v>
      </c>
      <c r="D2324" s="5" t="s">
        <v>6692</v>
      </c>
      <c r="E2324" s="5" t="s">
        <v>890</v>
      </c>
      <c r="F2324" s="5" t="s">
        <v>6577</v>
      </c>
      <c r="G2324" s="5" t="s">
        <v>4757</v>
      </c>
      <c r="H2324" s="5" t="s">
        <v>4607</v>
      </c>
      <c r="I2324" s="7" t="s">
        <v>11094</v>
      </c>
    </row>
    <row r="2325">
      <c r="A2325" s="5" t="s">
        <v>5282</v>
      </c>
      <c r="B2325" s="5" t="s">
        <v>25</v>
      </c>
      <c r="D2325" s="5" t="s">
        <v>5283</v>
      </c>
      <c r="E2325" s="5" t="s">
        <v>554</v>
      </c>
      <c r="F2325" s="5" t="s">
        <v>5280</v>
      </c>
      <c r="G2325" s="5" t="s">
        <v>4638</v>
      </c>
      <c r="H2325" s="5" t="s">
        <v>4600</v>
      </c>
      <c r="I2325" s="7" t="s">
        <v>5281</v>
      </c>
    </row>
    <row r="2326">
      <c r="A2326" s="5" t="s">
        <v>3802</v>
      </c>
      <c r="B2326" s="5" t="s">
        <v>3803</v>
      </c>
      <c r="C2326" s="5" t="s">
        <v>13</v>
      </c>
      <c r="D2326" s="5" t="s">
        <v>3804</v>
      </c>
      <c r="E2326" s="5" t="s">
        <v>421</v>
      </c>
      <c r="F2326" s="5" t="s">
        <v>166</v>
      </c>
      <c r="G2326" s="5" t="s">
        <v>44</v>
      </c>
      <c r="H2326" s="5" t="s">
        <v>18</v>
      </c>
      <c r="I2326" s="7" t="s">
        <v>3805</v>
      </c>
    </row>
    <row r="2327">
      <c r="A2327" s="5" t="s">
        <v>3806</v>
      </c>
      <c r="B2327" s="5" t="s">
        <v>766</v>
      </c>
      <c r="C2327" s="5" t="s">
        <v>13</v>
      </c>
      <c r="D2327" s="5" t="s">
        <v>3804</v>
      </c>
      <c r="E2327" s="5" t="s">
        <v>399</v>
      </c>
      <c r="F2327" s="5" t="s">
        <v>166</v>
      </c>
      <c r="G2327" s="5" t="s">
        <v>44</v>
      </c>
      <c r="H2327" s="5" t="s">
        <v>18</v>
      </c>
      <c r="I2327" s="7" t="s">
        <v>3807</v>
      </c>
    </row>
    <row r="2328">
      <c r="A2328" s="5" t="s">
        <v>3808</v>
      </c>
      <c r="B2328" s="5" t="s">
        <v>110</v>
      </c>
      <c r="C2328" s="5" t="s">
        <v>13</v>
      </c>
      <c r="D2328" s="5" t="s">
        <v>3804</v>
      </c>
      <c r="E2328" s="5" t="s">
        <v>63</v>
      </c>
      <c r="F2328" s="5" t="s">
        <v>166</v>
      </c>
      <c r="G2328" s="5" t="s">
        <v>44</v>
      </c>
      <c r="H2328" s="5" t="s">
        <v>18</v>
      </c>
      <c r="I2328" s="7" t="s">
        <v>3809</v>
      </c>
    </row>
    <row r="2329">
      <c r="A2329" s="5" t="s">
        <v>3810</v>
      </c>
      <c r="B2329" s="5" t="s">
        <v>110</v>
      </c>
      <c r="C2329" s="5" t="s">
        <v>13</v>
      </c>
      <c r="D2329" s="5" t="s">
        <v>3804</v>
      </c>
      <c r="E2329" s="5" t="s">
        <v>100</v>
      </c>
      <c r="F2329" s="5" t="s">
        <v>166</v>
      </c>
      <c r="G2329" s="5" t="s">
        <v>44</v>
      </c>
      <c r="H2329" s="5" t="s">
        <v>18</v>
      </c>
      <c r="I2329" s="7" t="s">
        <v>3811</v>
      </c>
    </row>
    <row r="2330">
      <c r="A2330" s="5" t="s">
        <v>8877</v>
      </c>
      <c r="B2330" s="5" t="s">
        <v>5054</v>
      </c>
      <c r="D2330" s="5" t="s">
        <v>8878</v>
      </c>
      <c r="E2330" s="5" t="s">
        <v>2213</v>
      </c>
      <c r="F2330" s="5" t="s">
        <v>8879</v>
      </c>
      <c r="G2330" s="5" t="s">
        <v>4757</v>
      </c>
      <c r="H2330" s="5" t="s">
        <v>4607</v>
      </c>
      <c r="I2330" s="7" t="s">
        <v>8876</v>
      </c>
    </row>
    <row r="2331">
      <c r="A2331" s="5" t="s">
        <v>5293</v>
      </c>
      <c r="B2331" s="5" t="s">
        <v>5294</v>
      </c>
      <c r="D2331" s="5" t="s">
        <v>5295</v>
      </c>
      <c r="E2331" s="5" t="s">
        <v>222</v>
      </c>
      <c r="F2331" s="5" t="s">
        <v>5280</v>
      </c>
      <c r="G2331" s="5" t="s">
        <v>4638</v>
      </c>
      <c r="H2331" s="5" t="s">
        <v>4600</v>
      </c>
      <c r="I2331" s="7" t="s">
        <v>11095</v>
      </c>
    </row>
    <row r="2332">
      <c r="A2332" s="5" t="s">
        <v>9157</v>
      </c>
      <c r="B2332" s="5" t="s">
        <v>32</v>
      </c>
      <c r="D2332" s="5" t="s">
        <v>5295</v>
      </c>
      <c r="E2332" s="5" t="s">
        <v>222</v>
      </c>
      <c r="F2332" s="5" t="s">
        <v>5280</v>
      </c>
      <c r="G2332" s="5" t="s">
        <v>4638</v>
      </c>
      <c r="H2332" s="5" t="s">
        <v>4600</v>
      </c>
      <c r="I2332" s="7" t="s">
        <v>9156</v>
      </c>
    </row>
    <row r="2333">
      <c r="A2333" s="5" t="s">
        <v>3812</v>
      </c>
      <c r="B2333" s="5" t="s">
        <v>32</v>
      </c>
      <c r="C2333" s="5" t="s">
        <v>13</v>
      </c>
      <c r="D2333" s="5" t="s">
        <v>3813</v>
      </c>
      <c r="E2333" s="5" t="s">
        <v>165</v>
      </c>
      <c r="F2333" s="5" t="s">
        <v>16</v>
      </c>
      <c r="G2333" s="5" t="s">
        <v>17</v>
      </c>
      <c r="H2333" s="5" t="s">
        <v>18</v>
      </c>
      <c r="I2333" s="7" t="s">
        <v>3814</v>
      </c>
    </row>
    <row r="2334">
      <c r="A2334" s="5" t="s">
        <v>3815</v>
      </c>
      <c r="B2334" s="5" t="s">
        <v>3816</v>
      </c>
      <c r="C2334" s="5" t="s">
        <v>13</v>
      </c>
      <c r="D2334" s="5" t="s">
        <v>3813</v>
      </c>
      <c r="E2334" s="5" t="s">
        <v>165</v>
      </c>
      <c r="F2334" s="5" t="s">
        <v>16</v>
      </c>
      <c r="G2334" s="5" t="s">
        <v>17</v>
      </c>
      <c r="H2334" s="5" t="s">
        <v>18</v>
      </c>
      <c r="I2334" s="7" t="s">
        <v>11096</v>
      </c>
    </row>
    <row r="2335">
      <c r="A2335" s="5" t="s">
        <v>3818</v>
      </c>
      <c r="B2335" s="5" t="s">
        <v>3819</v>
      </c>
      <c r="C2335" s="5" t="s">
        <v>13</v>
      </c>
      <c r="D2335" s="5" t="s">
        <v>3813</v>
      </c>
      <c r="E2335" s="5" t="s">
        <v>165</v>
      </c>
      <c r="F2335" s="5" t="s">
        <v>37</v>
      </c>
      <c r="G2335" s="5" t="s">
        <v>38</v>
      </c>
      <c r="H2335" s="5" t="s">
        <v>18</v>
      </c>
      <c r="I2335" s="7" t="s">
        <v>11097</v>
      </c>
    </row>
    <row r="2336">
      <c r="A2336" s="5" t="s">
        <v>3821</v>
      </c>
      <c r="B2336" s="5" t="s">
        <v>47</v>
      </c>
      <c r="C2336" s="5" t="s">
        <v>13</v>
      </c>
      <c r="D2336" s="5" t="s">
        <v>3813</v>
      </c>
      <c r="E2336" s="5" t="s">
        <v>165</v>
      </c>
      <c r="F2336" s="5" t="s">
        <v>3822</v>
      </c>
      <c r="G2336" s="5" t="s">
        <v>65</v>
      </c>
      <c r="H2336" s="5" t="s">
        <v>18</v>
      </c>
      <c r="I2336" s="7" t="s">
        <v>3823</v>
      </c>
    </row>
    <row r="2337">
      <c r="A2337" s="5" t="s">
        <v>3824</v>
      </c>
      <c r="B2337" s="5" t="s">
        <v>47</v>
      </c>
      <c r="C2337" s="5" t="s">
        <v>13</v>
      </c>
      <c r="D2337" s="5" t="s">
        <v>3813</v>
      </c>
      <c r="E2337" s="5" t="s">
        <v>165</v>
      </c>
      <c r="F2337" s="5" t="s">
        <v>377</v>
      </c>
      <c r="G2337" s="5" t="s">
        <v>378</v>
      </c>
      <c r="H2337" s="5" t="s">
        <v>18</v>
      </c>
      <c r="I2337" s="7" t="s">
        <v>3825</v>
      </c>
    </row>
    <row r="2338">
      <c r="A2338" s="5" t="s">
        <v>3826</v>
      </c>
      <c r="B2338" s="5" t="s">
        <v>3827</v>
      </c>
      <c r="C2338" s="5" t="s">
        <v>13</v>
      </c>
      <c r="D2338" s="5" t="s">
        <v>3813</v>
      </c>
      <c r="E2338" s="5" t="s">
        <v>1123</v>
      </c>
      <c r="F2338" s="5" t="s">
        <v>3095</v>
      </c>
      <c r="G2338" s="5" t="s">
        <v>102</v>
      </c>
      <c r="H2338" s="5" t="s">
        <v>18</v>
      </c>
      <c r="I2338" s="7" t="s">
        <v>11098</v>
      </c>
    </row>
    <row r="2339">
      <c r="A2339" s="5" t="s">
        <v>3829</v>
      </c>
      <c r="B2339" s="5" t="s">
        <v>32</v>
      </c>
      <c r="C2339" s="5" t="s">
        <v>13</v>
      </c>
      <c r="D2339" s="5" t="s">
        <v>3813</v>
      </c>
      <c r="E2339" s="5" t="s">
        <v>651</v>
      </c>
      <c r="F2339" s="5" t="s">
        <v>3830</v>
      </c>
      <c r="G2339" s="5" t="s">
        <v>949</v>
      </c>
      <c r="H2339" s="5" t="s">
        <v>18</v>
      </c>
      <c r="I2339" s="7" t="s">
        <v>3831</v>
      </c>
    </row>
    <row r="2340">
      <c r="A2340" s="5" t="s">
        <v>3832</v>
      </c>
      <c r="B2340" s="5" t="s">
        <v>32</v>
      </c>
      <c r="C2340" s="5" t="s">
        <v>13</v>
      </c>
      <c r="D2340" s="5" t="s">
        <v>3813</v>
      </c>
      <c r="E2340" s="5" t="s">
        <v>441</v>
      </c>
      <c r="F2340" s="5" t="s">
        <v>49</v>
      </c>
      <c r="G2340" s="5" t="s">
        <v>50</v>
      </c>
      <c r="H2340" s="5" t="s">
        <v>18</v>
      </c>
      <c r="I2340" s="7" t="s">
        <v>11099</v>
      </c>
    </row>
    <row r="2341">
      <c r="A2341" s="5" t="s">
        <v>3834</v>
      </c>
      <c r="B2341" s="5" t="s">
        <v>32</v>
      </c>
      <c r="C2341" s="5" t="s">
        <v>13</v>
      </c>
      <c r="D2341" s="5" t="s">
        <v>3813</v>
      </c>
      <c r="E2341" s="5" t="s">
        <v>15</v>
      </c>
      <c r="F2341" s="5" t="s">
        <v>64</v>
      </c>
      <c r="G2341" s="5" t="s">
        <v>65</v>
      </c>
      <c r="H2341" s="5" t="s">
        <v>18</v>
      </c>
      <c r="I2341" s="7" t="s">
        <v>3835</v>
      </c>
    </row>
    <row r="2342">
      <c r="A2342" s="5" t="s">
        <v>3836</v>
      </c>
      <c r="B2342" s="5" t="s">
        <v>32</v>
      </c>
      <c r="C2342" s="5" t="s">
        <v>13</v>
      </c>
      <c r="D2342" s="5" t="s">
        <v>3813</v>
      </c>
      <c r="E2342" s="5" t="s">
        <v>441</v>
      </c>
      <c r="F2342" s="5" t="s">
        <v>1274</v>
      </c>
      <c r="G2342" s="5" t="s">
        <v>76</v>
      </c>
      <c r="H2342" s="5" t="s">
        <v>18</v>
      </c>
      <c r="I2342" s="7" t="s">
        <v>11100</v>
      </c>
    </row>
    <row r="2343">
      <c r="A2343" s="5" t="s">
        <v>3838</v>
      </c>
      <c r="B2343" s="5" t="s">
        <v>47</v>
      </c>
      <c r="C2343" s="5" t="s">
        <v>13</v>
      </c>
      <c r="D2343" s="5" t="s">
        <v>3813</v>
      </c>
      <c r="E2343" s="5" t="s">
        <v>441</v>
      </c>
      <c r="F2343" s="5" t="s">
        <v>85</v>
      </c>
      <c r="G2343" s="5" t="s">
        <v>86</v>
      </c>
      <c r="H2343" s="5" t="s">
        <v>18</v>
      </c>
      <c r="I2343" s="7" t="s">
        <v>3839</v>
      </c>
    </row>
    <row r="2344">
      <c r="A2344" s="5" t="s">
        <v>3840</v>
      </c>
      <c r="B2344" s="5" t="s">
        <v>25</v>
      </c>
      <c r="C2344" s="5" t="s">
        <v>13</v>
      </c>
      <c r="D2344" s="5" t="s">
        <v>3813</v>
      </c>
      <c r="E2344" s="5" t="s">
        <v>3841</v>
      </c>
      <c r="F2344" s="5" t="s">
        <v>1473</v>
      </c>
      <c r="G2344" s="5" t="s">
        <v>50</v>
      </c>
      <c r="H2344" s="5" t="s">
        <v>18</v>
      </c>
      <c r="I2344" s="7" t="s">
        <v>3842</v>
      </c>
    </row>
    <row r="2345">
      <c r="A2345" s="5" t="s">
        <v>3843</v>
      </c>
      <c r="B2345" s="5" t="s">
        <v>25</v>
      </c>
      <c r="C2345" s="5" t="s">
        <v>13</v>
      </c>
      <c r="D2345" s="5" t="s">
        <v>3813</v>
      </c>
      <c r="E2345" s="5" t="s">
        <v>354</v>
      </c>
      <c r="F2345" s="5" t="s">
        <v>112</v>
      </c>
      <c r="G2345" s="5" t="s">
        <v>38</v>
      </c>
      <c r="H2345" s="5" t="s">
        <v>18</v>
      </c>
      <c r="I2345" s="7" t="s">
        <v>3844</v>
      </c>
    </row>
    <row r="2346">
      <c r="A2346" s="5" t="s">
        <v>3845</v>
      </c>
      <c r="B2346" s="5" t="s">
        <v>32</v>
      </c>
      <c r="C2346" s="5" t="s">
        <v>13</v>
      </c>
      <c r="D2346" s="5" t="s">
        <v>3813</v>
      </c>
      <c r="E2346" s="5" t="s">
        <v>651</v>
      </c>
      <c r="F2346" s="5" t="s">
        <v>1527</v>
      </c>
      <c r="G2346" s="5" t="s">
        <v>945</v>
      </c>
      <c r="H2346" s="5" t="s">
        <v>18</v>
      </c>
      <c r="I2346" s="7" t="s">
        <v>3846</v>
      </c>
    </row>
    <row r="2347">
      <c r="A2347" s="5" t="s">
        <v>3847</v>
      </c>
      <c r="B2347" s="5" t="s">
        <v>32</v>
      </c>
      <c r="C2347" s="5" t="s">
        <v>13</v>
      </c>
      <c r="D2347" s="5" t="s">
        <v>3813</v>
      </c>
      <c r="E2347" s="5" t="s">
        <v>188</v>
      </c>
      <c r="F2347" s="5" t="s">
        <v>3848</v>
      </c>
      <c r="G2347" s="5" t="s">
        <v>264</v>
      </c>
      <c r="H2347" s="5" t="s">
        <v>18</v>
      </c>
      <c r="I2347" s="7" t="s">
        <v>3849</v>
      </c>
    </row>
    <row r="2348">
      <c r="A2348" s="5" t="s">
        <v>3850</v>
      </c>
      <c r="B2348" s="5" t="s">
        <v>32</v>
      </c>
      <c r="C2348" s="5" t="s">
        <v>13</v>
      </c>
      <c r="D2348" s="5" t="s">
        <v>3813</v>
      </c>
      <c r="E2348" s="5" t="s">
        <v>222</v>
      </c>
      <c r="F2348" s="5" t="s">
        <v>122</v>
      </c>
      <c r="G2348" s="5" t="s">
        <v>44</v>
      </c>
      <c r="H2348" s="5" t="s">
        <v>18</v>
      </c>
      <c r="I2348" s="7" t="s">
        <v>3851</v>
      </c>
    </row>
    <row r="2349">
      <c r="A2349" s="5" t="s">
        <v>3852</v>
      </c>
      <c r="B2349" s="5" t="s">
        <v>3853</v>
      </c>
      <c r="C2349" s="5" t="s">
        <v>13</v>
      </c>
      <c r="D2349" s="5" t="s">
        <v>3813</v>
      </c>
      <c r="E2349" s="5" t="s">
        <v>3110</v>
      </c>
      <c r="F2349" s="5" t="s">
        <v>388</v>
      </c>
      <c r="G2349" s="5" t="s">
        <v>203</v>
      </c>
      <c r="H2349" s="5" t="s">
        <v>18</v>
      </c>
      <c r="I2349" s="7" t="s">
        <v>11101</v>
      </c>
    </row>
    <row r="2350">
      <c r="A2350" s="5" t="s">
        <v>3855</v>
      </c>
      <c r="B2350" s="5" t="s">
        <v>32</v>
      </c>
      <c r="C2350" s="5" t="s">
        <v>13</v>
      </c>
      <c r="D2350" s="5" t="s">
        <v>3813</v>
      </c>
      <c r="E2350" s="5" t="s">
        <v>15</v>
      </c>
      <c r="F2350" s="5" t="s">
        <v>218</v>
      </c>
      <c r="G2350" s="5" t="s">
        <v>219</v>
      </c>
      <c r="H2350" s="5" t="s">
        <v>18</v>
      </c>
      <c r="I2350" s="7" t="s">
        <v>3856</v>
      </c>
    </row>
    <row r="2351">
      <c r="A2351" s="5" t="s">
        <v>3857</v>
      </c>
      <c r="B2351" s="5" t="s">
        <v>3858</v>
      </c>
      <c r="C2351" s="5" t="s">
        <v>13</v>
      </c>
      <c r="D2351" s="5" t="s">
        <v>3813</v>
      </c>
      <c r="E2351" s="5" t="s">
        <v>651</v>
      </c>
      <c r="F2351" s="5" t="s">
        <v>953</v>
      </c>
      <c r="G2351" s="5" t="s">
        <v>954</v>
      </c>
      <c r="H2351" s="5" t="s">
        <v>18</v>
      </c>
      <c r="I2351" s="7" t="s">
        <v>3859</v>
      </c>
    </row>
    <row r="2352">
      <c r="A2352" s="5" t="s">
        <v>3860</v>
      </c>
      <c r="B2352" s="5" t="s">
        <v>3861</v>
      </c>
      <c r="C2352" s="5" t="s">
        <v>13</v>
      </c>
      <c r="D2352" s="5" t="s">
        <v>3813</v>
      </c>
      <c r="E2352" s="5" t="s">
        <v>63</v>
      </c>
      <c r="F2352" s="5" t="s">
        <v>137</v>
      </c>
      <c r="G2352" s="5" t="s">
        <v>137</v>
      </c>
      <c r="H2352" s="5" t="s">
        <v>18</v>
      </c>
      <c r="I2352" s="7" t="s">
        <v>11102</v>
      </c>
    </row>
    <row r="2353">
      <c r="A2353" s="5" t="s">
        <v>3863</v>
      </c>
      <c r="B2353" s="5" t="s">
        <v>1874</v>
      </c>
      <c r="C2353" s="5" t="s">
        <v>13</v>
      </c>
      <c r="D2353" s="5" t="s">
        <v>3813</v>
      </c>
      <c r="E2353" s="5" t="s">
        <v>217</v>
      </c>
      <c r="F2353" s="5" t="s">
        <v>2491</v>
      </c>
      <c r="G2353" s="5" t="s">
        <v>44</v>
      </c>
      <c r="H2353" s="5" t="s">
        <v>18</v>
      </c>
      <c r="I2353" s="7" t="s">
        <v>11103</v>
      </c>
    </row>
    <row r="2354">
      <c r="A2354" s="5" t="s">
        <v>3865</v>
      </c>
      <c r="B2354" s="5" t="s">
        <v>32</v>
      </c>
      <c r="C2354" s="5" t="s">
        <v>13</v>
      </c>
      <c r="D2354" s="5" t="s">
        <v>3813</v>
      </c>
      <c r="E2354" s="5" t="s">
        <v>165</v>
      </c>
      <c r="F2354" s="5" t="s">
        <v>153</v>
      </c>
      <c r="G2354" s="5" t="s">
        <v>154</v>
      </c>
      <c r="H2354" s="5" t="s">
        <v>18</v>
      </c>
      <c r="I2354" s="7" t="s">
        <v>3866</v>
      </c>
    </row>
    <row r="2355">
      <c r="A2355" s="5" t="s">
        <v>3167</v>
      </c>
      <c r="B2355" s="5" t="s">
        <v>3867</v>
      </c>
      <c r="C2355" s="5" t="s">
        <v>13</v>
      </c>
      <c r="D2355" s="5" t="s">
        <v>3813</v>
      </c>
      <c r="E2355" s="5" t="s">
        <v>144</v>
      </c>
      <c r="F2355" s="5" t="s">
        <v>1852</v>
      </c>
      <c r="G2355" s="5" t="s">
        <v>38</v>
      </c>
      <c r="H2355" s="5" t="s">
        <v>18</v>
      </c>
      <c r="I2355" s="7" t="s">
        <v>11104</v>
      </c>
    </row>
    <row r="2356">
      <c r="A2356" s="5" t="s">
        <v>3869</v>
      </c>
      <c r="B2356" s="5" t="s">
        <v>25</v>
      </c>
      <c r="C2356" s="5" t="s">
        <v>13</v>
      </c>
      <c r="D2356" s="5" t="s">
        <v>3813</v>
      </c>
      <c r="E2356" s="5" t="s">
        <v>79</v>
      </c>
      <c r="F2356" s="5" t="s">
        <v>166</v>
      </c>
      <c r="G2356" s="5" t="s">
        <v>44</v>
      </c>
      <c r="H2356" s="5" t="s">
        <v>18</v>
      </c>
      <c r="I2356" s="7" t="s">
        <v>3870</v>
      </c>
    </row>
    <row r="2357">
      <c r="A2357" s="5" t="s">
        <v>3871</v>
      </c>
      <c r="B2357" s="5" t="s">
        <v>32</v>
      </c>
      <c r="C2357" s="5" t="s">
        <v>13</v>
      </c>
      <c r="D2357" s="5" t="s">
        <v>3813</v>
      </c>
      <c r="E2357" s="5" t="s">
        <v>376</v>
      </c>
      <c r="F2357" s="5" t="s">
        <v>1131</v>
      </c>
      <c r="G2357" s="5" t="s">
        <v>203</v>
      </c>
      <c r="H2357" s="5" t="s">
        <v>18</v>
      </c>
      <c r="I2357" s="7" t="s">
        <v>3872</v>
      </c>
    </row>
    <row r="2358">
      <c r="A2358" s="5" t="s">
        <v>3879</v>
      </c>
      <c r="B2358" s="5" t="s">
        <v>3880</v>
      </c>
      <c r="D2358" s="5" t="s">
        <v>3874</v>
      </c>
      <c r="E2358" s="5" t="s">
        <v>512</v>
      </c>
      <c r="F2358" s="5" t="s">
        <v>377</v>
      </c>
      <c r="G2358" s="5" t="s">
        <v>378</v>
      </c>
      <c r="H2358" s="5" t="s">
        <v>18</v>
      </c>
      <c r="I2358" s="17" t="s">
        <v>11105</v>
      </c>
    </row>
    <row r="2359">
      <c r="A2359" s="5" t="s">
        <v>6768</v>
      </c>
      <c r="B2359" s="5" t="s">
        <v>6769</v>
      </c>
      <c r="D2359" s="5" t="s">
        <v>3874</v>
      </c>
      <c r="E2359" s="5" t="s">
        <v>331</v>
      </c>
      <c r="F2359" s="5" t="s">
        <v>6577</v>
      </c>
      <c r="G2359" s="5" t="s">
        <v>4757</v>
      </c>
      <c r="H2359" s="5" t="s">
        <v>4607</v>
      </c>
      <c r="I2359" s="7" t="s">
        <v>11106</v>
      </c>
    </row>
    <row r="2360">
      <c r="A2360" s="5" t="s">
        <v>6846</v>
      </c>
      <c r="B2360" s="5" t="s">
        <v>6847</v>
      </c>
      <c r="D2360" s="5" t="s">
        <v>3874</v>
      </c>
      <c r="E2360" s="5" t="s">
        <v>909</v>
      </c>
      <c r="F2360" s="5" t="s">
        <v>6577</v>
      </c>
      <c r="G2360" s="5" t="s">
        <v>4757</v>
      </c>
      <c r="H2360" s="5" t="s">
        <v>4607</v>
      </c>
      <c r="I2360" s="7" t="s">
        <v>11107</v>
      </c>
    </row>
    <row r="2361">
      <c r="A2361" s="5" t="s">
        <v>7012</v>
      </c>
      <c r="B2361" s="5" t="s">
        <v>6899</v>
      </c>
      <c r="D2361" s="5" t="s">
        <v>3874</v>
      </c>
      <c r="E2361" s="5" t="s">
        <v>418</v>
      </c>
      <c r="F2361" s="5" t="s">
        <v>6577</v>
      </c>
      <c r="G2361" s="5" t="s">
        <v>4757</v>
      </c>
      <c r="H2361" s="5" t="s">
        <v>4607</v>
      </c>
      <c r="I2361" s="7" t="s">
        <v>7011</v>
      </c>
    </row>
    <row r="2362">
      <c r="A2362" s="5" t="s">
        <v>8950</v>
      </c>
      <c r="B2362" s="5" t="s">
        <v>8951</v>
      </c>
      <c r="D2362" s="5" t="s">
        <v>3874</v>
      </c>
      <c r="E2362" s="5" t="s">
        <v>651</v>
      </c>
      <c r="F2362" s="5" t="s">
        <v>7722</v>
      </c>
      <c r="G2362" s="5" t="s">
        <v>5566</v>
      </c>
      <c r="H2362" s="5" t="s">
        <v>4619</v>
      </c>
      <c r="I2362" s="7" t="s">
        <v>8949</v>
      </c>
    </row>
    <row r="2363">
      <c r="A2363" s="5" t="s">
        <v>3873</v>
      </c>
      <c r="B2363" s="5" t="s">
        <v>766</v>
      </c>
      <c r="C2363" s="5" t="s">
        <v>13</v>
      </c>
      <c r="D2363" s="5" t="s">
        <v>3874</v>
      </c>
      <c r="E2363" s="5" t="s">
        <v>165</v>
      </c>
      <c r="F2363" s="5" t="s">
        <v>16</v>
      </c>
      <c r="G2363" s="5" t="s">
        <v>17</v>
      </c>
      <c r="H2363" s="5" t="s">
        <v>18</v>
      </c>
      <c r="I2363" s="7" t="s">
        <v>3875</v>
      </c>
    </row>
    <row r="2364">
      <c r="A2364" s="5" t="s">
        <v>3876</v>
      </c>
      <c r="B2364" s="5" t="s">
        <v>3877</v>
      </c>
      <c r="C2364" s="5" t="s">
        <v>13</v>
      </c>
      <c r="D2364" s="5" t="s">
        <v>3874</v>
      </c>
      <c r="E2364" s="5" t="s">
        <v>165</v>
      </c>
      <c r="F2364" s="5" t="s">
        <v>16</v>
      </c>
      <c r="G2364" s="5" t="s">
        <v>17</v>
      </c>
      <c r="H2364" s="5" t="s">
        <v>18</v>
      </c>
      <c r="I2364" s="7" t="s">
        <v>11108</v>
      </c>
    </row>
    <row r="2365">
      <c r="A2365" s="5" t="s">
        <v>3879</v>
      </c>
      <c r="B2365" s="5" t="s">
        <v>3880</v>
      </c>
      <c r="C2365" s="5" t="s">
        <v>13</v>
      </c>
      <c r="D2365" s="5" t="s">
        <v>3874</v>
      </c>
      <c r="E2365" s="5" t="s">
        <v>512</v>
      </c>
      <c r="F2365" s="5" t="s">
        <v>377</v>
      </c>
      <c r="G2365" s="5" t="s">
        <v>378</v>
      </c>
      <c r="H2365" s="5" t="s">
        <v>18</v>
      </c>
      <c r="I2365" s="17" t="s">
        <v>11109</v>
      </c>
    </row>
    <row r="2366">
      <c r="A2366" s="5" t="s">
        <v>3882</v>
      </c>
      <c r="B2366" s="5" t="s">
        <v>3883</v>
      </c>
      <c r="C2366" s="5" t="s">
        <v>13</v>
      </c>
      <c r="D2366" s="5" t="s">
        <v>3874</v>
      </c>
      <c r="E2366" s="5" t="s">
        <v>686</v>
      </c>
      <c r="F2366" s="5" t="s">
        <v>377</v>
      </c>
      <c r="G2366" s="5" t="s">
        <v>378</v>
      </c>
      <c r="H2366" s="5" t="s">
        <v>18</v>
      </c>
      <c r="I2366" s="7" t="s">
        <v>3884</v>
      </c>
    </row>
    <row r="2367">
      <c r="A2367" s="5" t="s">
        <v>3885</v>
      </c>
      <c r="B2367" s="5" t="s">
        <v>3886</v>
      </c>
      <c r="C2367" s="5" t="s">
        <v>13</v>
      </c>
      <c r="D2367" s="5" t="s">
        <v>3874</v>
      </c>
      <c r="E2367" s="5" t="s">
        <v>121</v>
      </c>
      <c r="F2367" s="5" t="s">
        <v>3887</v>
      </c>
      <c r="G2367" s="5" t="s">
        <v>44</v>
      </c>
      <c r="H2367" s="5" t="s">
        <v>18</v>
      </c>
      <c r="I2367" s="7" t="s">
        <v>3888</v>
      </c>
    </row>
    <row r="2368">
      <c r="A2368" s="5" t="s">
        <v>3889</v>
      </c>
      <c r="B2368" s="5" t="s">
        <v>3890</v>
      </c>
      <c r="C2368" s="5" t="s">
        <v>13</v>
      </c>
      <c r="D2368" s="5" t="s">
        <v>3874</v>
      </c>
      <c r="E2368" s="5" t="s">
        <v>496</v>
      </c>
      <c r="F2368" s="5" t="s">
        <v>80</v>
      </c>
      <c r="G2368" s="5" t="s">
        <v>38</v>
      </c>
      <c r="H2368" s="5" t="s">
        <v>18</v>
      </c>
      <c r="I2368" s="7" t="s">
        <v>11110</v>
      </c>
    </row>
    <row r="2369">
      <c r="A2369" s="5" t="s">
        <v>3892</v>
      </c>
      <c r="B2369" s="5" t="s">
        <v>766</v>
      </c>
      <c r="C2369" s="5" t="s">
        <v>13</v>
      </c>
      <c r="D2369" s="5" t="s">
        <v>3874</v>
      </c>
      <c r="E2369" s="5" t="s">
        <v>1364</v>
      </c>
      <c r="F2369" s="5" t="s">
        <v>1527</v>
      </c>
      <c r="G2369" s="5" t="s">
        <v>945</v>
      </c>
      <c r="H2369" s="5" t="s">
        <v>18</v>
      </c>
      <c r="I2369" s="7" t="s">
        <v>3893</v>
      </c>
    </row>
    <row r="2370">
      <c r="A2370" s="5" t="s">
        <v>3894</v>
      </c>
      <c r="B2370" s="5" t="s">
        <v>3895</v>
      </c>
      <c r="C2370" s="5" t="s">
        <v>13</v>
      </c>
      <c r="D2370" s="5" t="s">
        <v>3874</v>
      </c>
      <c r="E2370" s="5" t="s">
        <v>79</v>
      </c>
      <c r="F2370" s="5" t="s">
        <v>311</v>
      </c>
      <c r="G2370" s="5" t="s">
        <v>102</v>
      </c>
      <c r="H2370" s="5" t="s">
        <v>18</v>
      </c>
      <c r="I2370" s="7" t="s">
        <v>11111</v>
      </c>
    </row>
    <row r="2371">
      <c r="A2371" s="5" t="s">
        <v>3897</v>
      </c>
      <c r="B2371" s="5" t="s">
        <v>3898</v>
      </c>
      <c r="C2371" s="5" t="s">
        <v>13</v>
      </c>
      <c r="D2371" s="5" t="s">
        <v>3874</v>
      </c>
      <c r="E2371" s="5" t="s">
        <v>79</v>
      </c>
      <c r="F2371" s="5" t="s">
        <v>311</v>
      </c>
      <c r="G2371" s="5" t="s">
        <v>102</v>
      </c>
      <c r="H2371" s="5" t="s">
        <v>18</v>
      </c>
      <c r="I2371" s="7" t="s">
        <v>11112</v>
      </c>
    </row>
    <row r="2372">
      <c r="A2372" s="5" t="s">
        <v>5340</v>
      </c>
      <c r="B2372" s="5" t="s">
        <v>5341</v>
      </c>
      <c r="D2372" s="5" t="s">
        <v>3901</v>
      </c>
      <c r="E2372" s="5" t="s">
        <v>79</v>
      </c>
      <c r="F2372" s="5" t="s">
        <v>5280</v>
      </c>
      <c r="G2372" s="5" t="s">
        <v>4638</v>
      </c>
      <c r="H2372" s="5" t="s">
        <v>4600</v>
      </c>
      <c r="I2372" s="7" t="s">
        <v>5339</v>
      </c>
    </row>
    <row r="2373">
      <c r="A2373" s="5" t="s">
        <v>3900</v>
      </c>
      <c r="B2373" s="5" t="s">
        <v>110</v>
      </c>
      <c r="C2373" s="5" t="s">
        <v>13</v>
      </c>
      <c r="D2373" s="5" t="s">
        <v>3901</v>
      </c>
      <c r="E2373" s="5" t="s">
        <v>579</v>
      </c>
      <c r="F2373" s="5" t="s">
        <v>218</v>
      </c>
      <c r="G2373" s="5" t="s">
        <v>219</v>
      </c>
      <c r="H2373" s="5" t="s">
        <v>18</v>
      </c>
      <c r="I2373" s="7" t="s">
        <v>3902</v>
      </c>
    </row>
    <row r="2374">
      <c r="A2374" s="5" t="s">
        <v>3903</v>
      </c>
      <c r="B2374" s="5" t="s">
        <v>110</v>
      </c>
      <c r="C2374" s="5" t="s">
        <v>13</v>
      </c>
      <c r="D2374" s="5" t="s">
        <v>3901</v>
      </c>
      <c r="E2374" s="5" t="s">
        <v>100</v>
      </c>
      <c r="F2374" s="5" t="s">
        <v>295</v>
      </c>
      <c r="G2374" s="5" t="s">
        <v>154</v>
      </c>
      <c r="H2374" s="5" t="s">
        <v>18</v>
      </c>
      <c r="I2374" s="7" t="s">
        <v>3904</v>
      </c>
    </row>
    <row r="2375">
      <c r="A2375" s="5" t="s">
        <v>3905</v>
      </c>
      <c r="B2375" s="5" t="s">
        <v>110</v>
      </c>
      <c r="C2375" s="5" t="s">
        <v>13</v>
      </c>
      <c r="D2375" s="5" t="s">
        <v>3906</v>
      </c>
      <c r="E2375" s="5" t="s">
        <v>222</v>
      </c>
      <c r="F2375" s="5" t="s">
        <v>3907</v>
      </c>
      <c r="G2375" s="5" t="s">
        <v>154</v>
      </c>
      <c r="H2375" s="5" t="s">
        <v>18</v>
      </c>
      <c r="I2375" s="7" t="s">
        <v>3908</v>
      </c>
    </row>
    <row r="2376">
      <c r="A2376" s="5" t="s">
        <v>3909</v>
      </c>
      <c r="B2376" s="5" t="s">
        <v>3910</v>
      </c>
      <c r="C2376" s="5" t="s">
        <v>13</v>
      </c>
      <c r="D2376" s="5" t="s">
        <v>3906</v>
      </c>
      <c r="F2376" s="5" t="s">
        <v>3911</v>
      </c>
      <c r="G2376" s="5" t="s">
        <v>154</v>
      </c>
      <c r="H2376" s="5" t="s">
        <v>18</v>
      </c>
      <c r="I2376" s="7" t="s">
        <v>3912</v>
      </c>
    </row>
    <row r="2377">
      <c r="A2377" s="5" t="s">
        <v>3913</v>
      </c>
      <c r="B2377" s="5" t="s">
        <v>110</v>
      </c>
      <c r="C2377" s="5" t="s">
        <v>13</v>
      </c>
      <c r="D2377" s="5" t="s">
        <v>3906</v>
      </c>
      <c r="E2377" s="5" t="s">
        <v>213</v>
      </c>
      <c r="F2377" s="5" t="s">
        <v>37</v>
      </c>
      <c r="G2377" s="5" t="s">
        <v>38</v>
      </c>
      <c r="H2377" s="5" t="s">
        <v>18</v>
      </c>
      <c r="I2377" s="7" t="s">
        <v>3914</v>
      </c>
    </row>
    <row r="2378">
      <c r="A2378" s="5" t="s">
        <v>3915</v>
      </c>
      <c r="B2378" s="5" t="s">
        <v>3916</v>
      </c>
      <c r="C2378" s="5" t="s">
        <v>13</v>
      </c>
      <c r="D2378" s="5" t="s">
        <v>3906</v>
      </c>
      <c r="E2378" s="5" t="s">
        <v>399</v>
      </c>
      <c r="F2378" s="5" t="s">
        <v>1965</v>
      </c>
      <c r="G2378" s="5" t="s">
        <v>44</v>
      </c>
      <c r="H2378" s="5" t="s">
        <v>18</v>
      </c>
      <c r="I2378" s="7" t="s">
        <v>3917</v>
      </c>
    </row>
    <row r="2379">
      <c r="A2379" s="5" t="s">
        <v>3918</v>
      </c>
      <c r="B2379" s="5" t="s">
        <v>3919</v>
      </c>
      <c r="C2379" s="5" t="s">
        <v>13</v>
      </c>
      <c r="D2379" s="5" t="s">
        <v>3906</v>
      </c>
      <c r="E2379" s="5" t="s">
        <v>125</v>
      </c>
      <c r="F2379" s="5" t="s">
        <v>311</v>
      </c>
      <c r="G2379" s="5" t="s">
        <v>102</v>
      </c>
      <c r="H2379" s="5" t="s">
        <v>18</v>
      </c>
      <c r="I2379" s="7" t="s">
        <v>3920</v>
      </c>
    </row>
    <row r="2380">
      <c r="A2380" s="5" t="s">
        <v>3921</v>
      </c>
      <c r="B2380" s="5" t="s">
        <v>110</v>
      </c>
      <c r="C2380" s="5" t="s">
        <v>13</v>
      </c>
      <c r="D2380" s="5" t="s">
        <v>3922</v>
      </c>
      <c r="E2380" s="5" t="s">
        <v>1718</v>
      </c>
      <c r="F2380" s="5" t="s">
        <v>1415</v>
      </c>
      <c r="G2380" s="5" t="s">
        <v>50</v>
      </c>
      <c r="H2380" s="5" t="s">
        <v>18</v>
      </c>
      <c r="I2380" s="7" t="s">
        <v>3923</v>
      </c>
    </row>
    <row r="2381">
      <c r="A2381" s="5" t="s">
        <v>3924</v>
      </c>
      <c r="B2381" s="5" t="s">
        <v>3925</v>
      </c>
      <c r="C2381" s="5" t="s">
        <v>13</v>
      </c>
      <c r="D2381" s="5" t="s">
        <v>3922</v>
      </c>
      <c r="E2381" s="5" t="s">
        <v>354</v>
      </c>
      <c r="F2381" s="5" t="s">
        <v>1415</v>
      </c>
      <c r="G2381" s="5" t="s">
        <v>50</v>
      </c>
      <c r="H2381" s="5" t="s">
        <v>18</v>
      </c>
      <c r="I2381" s="7" t="s">
        <v>3926</v>
      </c>
    </row>
    <row r="2382">
      <c r="A2382" s="5" t="s">
        <v>4602</v>
      </c>
      <c r="B2382" s="5" t="s">
        <v>4603</v>
      </c>
      <c r="D2382" s="5" t="s">
        <v>4604</v>
      </c>
      <c r="E2382" s="5" t="s">
        <v>165</v>
      </c>
      <c r="F2382" s="5" t="s">
        <v>4605</v>
      </c>
      <c r="G2382" s="5" t="s">
        <v>4606</v>
      </c>
      <c r="H2382" s="5" t="s">
        <v>4607</v>
      </c>
      <c r="I2382" s="7" t="s">
        <v>11113</v>
      </c>
    </row>
    <row r="2383">
      <c r="A2383" s="5" t="s">
        <v>7022</v>
      </c>
      <c r="B2383" s="5" t="s">
        <v>7023</v>
      </c>
      <c r="D2383" s="5" t="s">
        <v>4604</v>
      </c>
      <c r="E2383" s="5" t="s">
        <v>15</v>
      </c>
      <c r="F2383" s="5" t="s">
        <v>6577</v>
      </c>
      <c r="G2383" s="5" t="s">
        <v>4757</v>
      </c>
      <c r="H2383" s="5" t="s">
        <v>4607</v>
      </c>
      <c r="I2383" s="7" t="s">
        <v>11114</v>
      </c>
    </row>
    <row r="2384">
      <c r="A2384" s="5" t="s">
        <v>5312</v>
      </c>
      <c r="B2384" s="5" t="s">
        <v>5313</v>
      </c>
      <c r="D2384" s="5" t="s">
        <v>5314</v>
      </c>
      <c r="E2384" s="5" t="s">
        <v>257</v>
      </c>
      <c r="F2384" s="5" t="s">
        <v>5280</v>
      </c>
      <c r="G2384" s="5" t="s">
        <v>4638</v>
      </c>
      <c r="H2384" s="5" t="s">
        <v>4600</v>
      </c>
      <c r="I2384" s="7" t="s">
        <v>11115</v>
      </c>
    </row>
    <row r="2385">
      <c r="A2385" s="5" t="s">
        <v>5316</v>
      </c>
      <c r="B2385" s="5" t="s">
        <v>5317</v>
      </c>
      <c r="D2385" s="5" t="s">
        <v>5314</v>
      </c>
      <c r="E2385" s="5" t="s">
        <v>512</v>
      </c>
      <c r="F2385" s="5" t="s">
        <v>5280</v>
      </c>
      <c r="G2385" s="5" t="s">
        <v>4638</v>
      </c>
      <c r="H2385" s="5" t="s">
        <v>4600</v>
      </c>
      <c r="I2385" s="7" t="s">
        <v>11116</v>
      </c>
    </row>
    <row r="2386">
      <c r="A2386" s="5" t="s">
        <v>5322</v>
      </c>
      <c r="B2386" s="5" t="s">
        <v>5323</v>
      </c>
      <c r="D2386" s="5" t="s">
        <v>5314</v>
      </c>
      <c r="E2386" s="5" t="s">
        <v>512</v>
      </c>
      <c r="F2386" s="5" t="s">
        <v>5280</v>
      </c>
      <c r="G2386" s="5" t="s">
        <v>4638</v>
      </c>
      <c r="H2386" s="5" t="s">
        <v>4600</v>
      </c>
      <c r="I2386" s="7" t="s">
        <v>11117</v>
      </c>
    </row>
    <row r="2387">
      <c r="A2387" s="5" t="s">
        <v>7527</v>
      </c>
      <c r="B2387" s="5" t="s">
        <v>7528</v>
      </c>
      <c r="D2387" s="5" t="s">
        <v>5314</v>
      </c>
      <c r="E2387" s="5" t="s">
        <v>822</v>
      </c>
      <c r="F2387" s="5" t="s">
        <v>7519</v>
      </c>
      <c r="G2387" s="5" t="s">
        <v>4638</v>
      </c>
      <c r="H2387" s="5" t="s">
        <v>4600</v>
      </c>
      <c r="I2387" s="7" t="s">
        <v>11118</v>
      </c>
    </row>
    <row r="2388">
      <c r="A2388" s="5" t="s">
        <v>9147</v>
      </c>
      <c r="B2388" s="5" t="s">
        <v>9148</v>
      </c>
      <c r="D2388" s="5" t="s">
        <v>5314</v>
      </c>
      <c r="E2388" s="5" t="s">
        <v>651</v>
      </c>
      <c r="F2388" s="5" t="s">
        <v>5280</v>
      </c>
      <c r="G2388" s="5" t="s">
        <v>4638</v>
      </c>
      <c r="H2388" s="5" t="s">
        <v>4600</v>
      </c>
      <c r="I2388" s="7" t="s">
        <v>11119</v>
      </c>
    </row>
    <row r="2389">
      <c r="A2389" s="5" t="s">
        <v>9192</v>
      </c>
      <c r="B2389" s="5" t="s">
        <v>9193</v>
      </c>
      <c r="D2389" s="5" t="s">
        <v>5314</v>
      </c>
      <c r="E2389" s="5" t="s">
        <v>512</v>
      </c>
      <c r="F2389" s="5" t="s">
        <v>5280</v>
      </c>
      <c r="G2389" s="5" t="s">
        <v>4638</v>
      </c>
      <c r="H2389" s="5" t="s">
        <v>4600</v>
      </c>
      <c r="I2389" s="7" t="s">
        <v>11120</v>
      </c>
    </row>
    <row r="2390">
      <c r="A2390" s="5" t="s">
        <v>5223</v>
      </c>
      <c r="B2390" s="5" t="s">
        <v>5224</v>
      </c>
      <c r="D2390" s="5" t="s">
        <v>3928</v>
      </c>
      <c r="E2390" s="5" t="s">
        <v>886</v>
      </c>
      <c r="F2390" s="5" t="s">
        <v>4643</v>
      </c>
      <c r="G2390" s="5" t="s">
        <v>4644</v>
      </c>
      <c r="H2390" s="5" t="s">
        <v>4600</v>
      </c>
      <c r="I2390" s="7" t="s">
        <v>5222</v>
      </c>
    </row>
    <row r="2391">
      <c r="A2391" s="5" t="s">
        <v>3927</v>
      </c>
      <c r="B2391" s="5" t="s">
        <v>3886</v>
      </c>
      <c r="C2391" s="5" t="s">
        <v>13</v>
      </c>
      <c r="D2391" s="5" t="s">
        <v>3928</v>
      </c>
      <c r="E2391" s="5" t="s">
        <v>890</v>
      </c>
      <c r="F2391" s="5" t="s">
        <v>658</v>
      </c>
      <c r="G2391" s="5" t="s">
        <v>91</v>
      </c>
      <c r="H2391" s="5" t="s">
        <v>18</v>
      </c>
      <c r="I2391" s="7" t="s">
        <v>3929</v>
      </c>
    </row>
    <row r="2392">
      <c r="A2392" s="5" t="s">
        <v>3930</v>
      </c>
      <c r="B2392" s="5" t="s">
        <v>3931</v>
      </c>
      <c r="C2392" s="5" t="s">
        <v>13</v>
      </c>
      <c r="D2392" s="5" t="s">
        <v>3928</v>
      </c>
      <c r="E2392" s="5" t="s">
        <v>387</v>
      </c>
      <c r="F2392" s="5" t="s">
        <v>112</v>
      </c>
      <c r="G2392" s="5" t="s">
        <v>38</v>
      </c>
      <c r="H2392" s="5" t="s">
        <v>18</v>
      </c>
      <c r="I2392" s="7" t="s">
        <v>11121</v>
      </c>
    </row>
    <row r="2393">
      <c r="A2393" s="5" t="s">
        <v>3933</v>
      </c>
      <c r="B2393" s="5" t="s">
        <v>110</v>
      </c>
      <c r="C2393" s="5" t="s">
        <v>13</v>
      </c>
      <c r="D2393" s="5" t="s">
        <v>3928</v>
      </c>
      <c r="F2393" s="5" t="s">
        <v>112</v>
      </c>
      <c r="G2393" s="5" t="s">
        <v>38</v>
      </c>
      <c r="H2393" s="5" t="s">
        <v>18</v>
      </c>
      <c r="I2393" s="7" t="s">
        <v>3934</v>
      </c>
    </row>
    <row r="2394">
      <c r="A2394" s="5" t="s">
        <v>3935</v>
      </c>
      <c r="B2394" s="5" t="s">
        <v>110</v>
      </c>
      <c r="C2394" s="5" t="s">
        <v>13</v>
      </c>
      <c r="D2394" s="5" t="s">
        <v>3928</v>
      </c>
      <c r="E2394" s="5" t="s">
        <v>207</v>
      </c>
      <c r="F2394" s="5" t="s">
        <v>112</v>
      </c>
      <c r="G2394" s="5" t="s">
        <v>38</v>
      </c>
      <c r="H2394" s="5" t="s">
        <v>18</v>
      </c>
      <c r="I2394" s="7" t="s">
        <v>11122</v>
      </c>
    </row>
    <row r="2395">
      <c r="A2395" s="5" t="s">
        <v>3937</v>
      </c>
      <c r="B2395" s="5" t="s">
        <v>3938</v>
      </c>
      <c r="C2395" s="5" t="s">
        <v>13</v>
      </c>
      <c r="D2395" s="5" t="s">
        <v>3928</v>
      </c>
      <c r="E2395" s="5" t="s">
        <v>579</v>
      </c>
      <c r="F2395" s="5" t="s">
        <v>112</v>
      </c>
      <c r="G2395" s="5" t="s">
        <v>38</v>
      </c>
      <c r="H2395" s="5" t="s">
        <v>18</v>
      </c>
      <c r="I2395" s="7" t="s">
        <v>11123</v>
      </c>
    </row>
    <row r="2396">
      <c r="A2396" s="5" t="s">
        <v>3940</v>
      </c>
      <c r="B2396" s="5" t="s">
        <v>3941</v>
      </c>
      <c r="C2396" s="5" t="s">
        <v>13</v>
      </c>
      <c r="D2396" s="5" t="s">
        <v>3928</v>
      </c>
      <c r="E2396" s="5" t="s">
        <v>3942</v>
      </c>
      <c r="F2396" s="5" t="s">
        <v>112</v>
      </c>
      <c r="G2396" s="5" t="s">
        <v>38</v>
      </c>
      <c r="H2396" s="5" t="s">
        <v>18</v>
      </c>
      <c r="I2396" s="7" t="s">
        <v>3943</v>
      </c>
    </row>
    <row r="2397">
      <c r="A2397" s="5" t="s">
        <v>6448</v>
      </c>
      <c r="B2397" s="5" t="s">
        <v>25</v>
      </c>
      <c r="D2397" s="5" t="s">
        <v>6449</v>
      </c>
      <c r="E2397" s="5" t="s">
        <v>512</v>
      </c>
      <c r="F2397" s="5" t="s">
        <v>6450</v>
      </c>
      <c r="G2397" s="5" t="s">
        <v>4638</v>
      </c>
      <c r="H2397" s="5" t="s">
        <v>4600</v>
      </c>
      <c r="I2397" s="7" t="s">
        <v>6447</v>
      </c>
    </row>
    <row r="2398">
      <c r="A2398" s="5" t="s">
        <v>3944</v>
      </c>
      <c r="B2398" s="5" t="s">
        <v>480</v>
      </c>
      <c r="C2398" s="5" t="s">
        <v>13</v>
      </c>
      <c r="D2398" s="5" t="s">
        <v>3945</v>
      </c>
      <c r="E2398" s="5" t="s">
        <v>848</v>
      </c>
      <c r="F2398" s="5" t="s">
        <v>658</v>
      </c>
      <c r="G2398" s="5" t="s">
        <v>91</v>
      </c>
      <c r="H2398" s="5" t="s">
        <v>18</v>
      </c>
      <c r="I2398" s="7" t="s">
        <v>11124</v>
      </c>
    </row>
    <row r="2399">
      <c r="A2399" s="5" t="s">
        <v>3947</v>
      </c>
      <c r="B2399" s="5" t="s">
        <v>3948</v>
      </c>
      <c r="C2399" s="5" t="s">
        <v>13</v>
      </c>
      <c r="D2399" s="5" t="s">
        <v>3945</v>
      </c>
      <c r="E2399" s="5" t="s">
        <v>712</v>
      </c>
      <c r="F2399" s="5" t="s">
        <v>137</v>
      </c>
      <c r="G2399" s="5" t="s">
        <v>137</v>
      </c>
      <c r="H2399" s="5" t="s">
        <v>18</v>
      </c>
      <c r="I2399" s="7" t="s">
        <v>3949</v>
      </c>
    </row>
    <row r="2400">
      <c r="A2400" s="5" t="s">
        <v>3950</v>
      </c>
      <c r="B2400" s="5" t="s">
        <v>404</v>
      </c>
      <c r="C2400" s="5" t="s">
        <v>13</v>
      </c>
      <c r="D2400" s="5" t="s">
        <v>3945</v>
      </c>
      <c r="E2400" s="5" t="s">
        <v>554</v>
      </c>
      <c r="F2400" s="5" t="s">
        <v>1274</v>
      </c>
      <c r="G2400" s="5" t="s">
        <v>76</v>
      </c>
      <c r="H2400" s="5" t="s">
        <v>18</v>
      </c>
      <c r="I2400" s="7" t="s">
        <v>3951</v>
      </c>
    </row>
    <row r="2401">
      <c r="A2401" s="5" t="s">
        <v>3952</v>
      </c>
      <c r="B2401" s="5" t="s">
        <v>404</v>
      </c>
      <c r="C2401" s="5" t="s">
        <v>13</v>
      </c>
      <c r="D2401" s="5" t="s">
        <v>3945</v>
      </c>
      <c r="E2401" s="5" t="s">
        <v>241</v>
      </c>
      <c r="F2401" s="5" t="s">
        <v>2491</v>
      </c>
      <c r="G2401" s="5" t="s">
        <v>44</v>
      </c>
      <c r="H2401" s="5" t="s">
        <v>18</v>
      </c>
      <c r="I2401" s="7" t="s">
        <v>3953</v>
      </c>
    </row>
    <row r="2402">
      <c r="A2402" s="5" t="s">
        <v>3954</v>
      </c>
      <c r="B2402" s="5" t="s">
        <v>110</v>
      </c>
      <c r="C2402" s="5" t="s">
        <v>13</v>
      </c>
      <c r="D2402" s="5" t="s">
        <v>3945</v>
      </c>
      <c r="E2402" s="5" t="s">
        <v>579</v>
      </c>
      <c r="F2402" s="5" t="s">
        <v>801</v>
      </c>
      <c r="G2402" s="5" t="s">
        <v>50</v>
      </c>
      <c r="H2402" s="5" t="s">
        <v>18</v>
      </c>
      <c r="I2402" s="7" t="s">
        <v>3955</v>
      </c>
    </row>
    <row r="2403">
      <c r="A2403" s="5" t="s">
        <v>5130</v>
      </c>
      <c r="B2403" s="5" t="s">
        <v>5131</v>
      </c>
      <c r="D2403" s="5" t="s">
        <v>5132</v>
      </c>
      <c r="E2403" s="5" t="s">
        <v>217</v>
      </c>
      <c r="F2403" s="5" t="s">
        <v>5128</v>
      </c>
      <c r="G2403" s="5" t="s">
        <v>4599</v>
      </c>
      <c r="H2403" s="5" t="s">
        <v>4600</v>
      </c>
      <c r="I2403" s="7" t="s">
        <v>11125</v>
      </c>
    </row>
    <row r="2404">
      <c r="A2404" s="5" t="s">
        <v>5134</v>
      </c>
      <c r="B2404" s="5" t="s">
        <v>5135</v>
      </c>
      <c r="D2404" s="5" t="s">
        <v>5132</v>
      </c>
      <c r="E2404" s="5" t="s">
        <v>106</v>
      </c>
      <c r="F2404" s="5" t="s">
        <v>5128</v>
      </c>
      <c r="G2404" s="5" t="s">
        <v>4599</v>
      </c>
      <c r="H2404" s="5" t="s">
        <v>4600</v>
      </c>
      <c r="I2404" s="7" t="s">
        <v>11126</v>
      </c>
    </row>
    <row r="2405">
      <c r="A2405" s="5" t="s">
        <v>5149</v>
      </c>
      <c r="B2405" s="5" t="s">
        <v>5150</v>
      </c>
      <c r="D2405" s="5" t="s">
        <v>5132</v>
      </c>
      <c r="E2405" s="5" t="s">
        <v>283</v>
      </c>
      <c r="F2405" s="5" t="s">
        <v>5128</v>
      </c>
      <c r="G2405" s="5" t="s">
        <v>4599</v>
      </c>
      <c r="H2405" s="5" t="s">
        <v>4600</v>
      </c>
      <c r="I2405" s="7" t="s">
        <v>11127</v>
      </c>
    </row>
    <row r="2406">
      <c r="A2406" s="5" t="s">
        <v>5152</v>
      </c>
      <c r="B2406" s="5" t="s">
        <v>5153</v>
      </c>
      <c r="D2406" s="5" t="s">
        <v>5132</v>
      </c>
      <c r="F2406" s="5" t="s">
        <v>5128</v>
      </c>
      <c r="G2406" s="5" t="s">
        <v>4599</v>
      </c>
      <c r="H2406" s="5" t="s">
        <v>4600</v>
      </c>
      <c r="I2406" s="7" t="s">
        <v>11128</v>
      </c>
    </row>
    <row r="2407">
      <c r="A2407" s="5" t="s">
        <v>5427</v>
      </c>
      <c r="B2407" s="5" t="s">
        <v>5428</v>
      </c>
      <c r="D2407" s="5" t="s">
        <v>5132</v>
      </c>
      <c r="E2407" s="5" t="s">
        <v>686</v>
      </c>
      <c r="F2407" s="5" t="s">
        <v>5280</v>
      </c>
      <c r="G2407" s="5" t="s">
        <v>4638</v>
      </c>
      <c r="H2407" s="5" t="s">
        <v>4600</v>
      </c>
      <c r="I2407" s="7" t="s">
        <v>5426</v>
      </c>
    </row>
    <row r="2408">
      <c r="A2408" s="5" t="s">
        <v>5488</v>
      </c>
      <c r="B2408" s="5" t="s">
        <v>5489</v>
      </c>
      <c r="D2408" s="5" t="s">
        <v>5132</v>
      </c>
      <c r="E2408" s="5" t="s">
        <v>1531</v>
      </c>
      <c r="F2408" s="5" t="s">
        <v>5280</v>
      </c>
      <c r="G2408" s="5" t="s">
        <v>4638</v>
      </c>
      <c r="H2408" s="5" t="s">
        <v>4600</v>
      </c>
      <c r="I2408" s="7" t="s">
        <v>11129</v>
      </c>
    </row>
    <row r="2409">
      <c r="A2409" s="5" t="s">
        <v>8056</v>
      </c>
      <c r="B2409" s="5" t="s">
        <v>4596</v>
      </c>
      <c r="D2409" s="5" t="s">
        <v>5132</v>
      </c>
      <c r="E2409" s="5" t="s">
        <v>4158</v>
      </c>
      <c r="F2409" s="5" t="s">
        <v>8057</v>
      </c>
      <c r="G2409" s="5" t="s">
        <v>4599</v>
      </c>
      <c r="H2409" s="5" t="s">
        <v>4600</v>
      </c>
      <c r="I2409" s="7" t="s">
        <v>8055</v>
      </c>
    </row>
    <row r="2410">
      <c r="A2410" s="5" t="s">
        <v>8904</v>
      </c>
      <c r="B2410" s="5" t="s">
        <v>480</v>
      </c>
      <c r="D2410" s="5" t="s">
        <v>5132</v>
      </c>
      <c r="E2410" s="5" t="s">
        <v>192</v>
      </c>
      <c r="F2410" s="5" t="s">
        <v>8905</v>
      </c>
      <c r="G2410" s="5" t="s">
        <v>4599</v>
      </c>
      <c r="H2410" s="5" t="s">
        <v>4600</v>
      </c>
      <c r="I2410" s="7" t="s">
        <v>8903</v>
      </c>
    </row>
    <row r="2411">
      <c r="A2411" s="5" t="s">
        <v>9835</v>
      </c>
      <c r="B2411" s="5" t="s">
        <v>9836</v>
      </c>
      <c r="D2411" s="5" t="s">
        <v>5132</v>
      </c>
      <c r="E2411" s="5" t="s">
        <v>9837</v>
      </c>
      <c r="F2411" s="5" t="s">
        <v>2113</v>
      </c>
      <c r="G2411" s="5" t="s">
        <v>4599</v>
      </c>
      <c r="H2411" s="5" t="s">
        <v>4600</v>
      </c>
      <c r="I2411" s="7" t="s">
        <v>9834</v>
      </c>
    </row>
    <row r="2412">
      <c r="A2412" s="5" t="s">
        <v>9858</v>
      </c>
      <c r="B2412" s="5" t="s">
        <v>5428</v>
      </c>
      <c r="D2412" s="5" t="s">
        <v>5132</v>
      </c>
      <c r="E2412" s="5" t="s">
        <v>237</v>
      </c>
      <c r="F2412" s="5" t="s">
        <v>2113</v>
      </c>
      <c r="G2412" s="5" t="s">
        <v>4599</v>
      </c>
      <c r="H2412" s="5" t="s">
        <v>4600</v>
      </c>
      <c r="I2412" s="7" t="s">
        <v>9857</v>
      </c>
    </row>
    <row r="2413">
      <c r="A2413" s="5" t="s">
        <v>9866</v>
      </c>
      <c r="B2413" s="5" t="s">
        <v>9867</v>
      </c>
      <c r="D2413" s="5" t="s">
        <v>5132</v>
      </c>
      <c r="E2413" s="5" t="s">
        <v>94</v>
      </c>
      <c r="F2413" s="5" t="s">
        <v>2113</v>
      </c>
      <c r="G2413" s="5" t="s">
        <v>4599</v>
      </c>
      <c r="H2413" s="5" t="s">
        <v>4600</v>
      </c>
      <c r="I2413" s="7" t="s">
        <v>11130</v>
      </c>
    </row>
    <row r="2414">
      <c r="A2414" s="5" t="s">
        <v>9869</v>
      </c>
      <c r="B2414" s="5" t="s">
        <v>9870</v>
      </c>
      <c r="D2414" s="5" t="s">
        <v>5132</v>
      </c>
      <c r="E2414" s="5" t="s">
        <v>207</v>
      </c>
      <c r="F2414" s="5" t="s">
        <v>2113</v>
      </c>
      <c r="G2414" s="5" t="s">
        <v>4599</v>
      </c>
      <c r="H2414" s="5" t="s">
        <v>4600</v>
      </c>
      <c r="I2414" s="7" t="s">
        <v>11131</v>
      </c>
    </row>
    <row r="2415">
      <c r="A2415" s="5" t="s">
        <v>9897</v>
      </c>
      <c r="B2415" s="5" t="s">
        <v>9898</v>
      </c>
      <c r="D2415" s="5" t="s">
        <v>5132</v>
      </c>
      <c r="E2415" s="5" t="s">
        <v>1729</v>
      </c>
      <c r="F2415" s="5" t="s">
        <v>2113</v>
      </c>
      <c r="G2415" s="5" t="s">
        <v>4599</v>
      </c>
      <c r="H2415" s="5" t="s">
        <v>4600</v>
      </c>
      <c r="I2415" s="7" t="s">
        <v>9896</v>
      </c>
    </row>
    <row r="2416">
      <c r="A2416" s="5" t="s">
        <v>9914</v>
      </c>
      <c r="B2416" s="5" t="s">
        <v>9915</v>
      </c>
      <c r="D2416" s="5" t="s">
        <v>5132</v>
      </c>
      <c r="E2416" s="5" t="s">
        <v>228</v>
      </c>
      <c r="F2416" s="5" t="s">
        <v>2113</v>
      </c>
      <c r="G2416" s="5" t="s">
        <v>4599</v>
      </c>
      <c r="H2416" s="5" t="s">
        <v>4600</v>
      </c>
      <c r="I2416" s="7" t="s">
        <v>11132</v>
      </c>
    </row>
    <row r="2417">
      <c r="A2417" s="5" t="s">
        <v>9917</v>
      </c>
      <c r="B2417" s="5" t="s">
        <v>9918</v>
      </c>
      <c r="D2417" s="5" t="s">
        <v>5132</v>
      </c>
      <c r="E2417" s="5" t="s">
        <v>574</v>
      </c>
      <c r="F2417" s="5" t="s">
        <v>2113</v>
      </c>
      <c r="G2417" s="5" t="s">
        <v>4599</v>
      </c>
      <c r="H2417" s="5" t="s">
        <v>4600</v>
      </c>
      <c r="I2417" s="7" t="s">
        <v>11133</v>
      </c>
    </row>
    <row r="2418">
      <c r="A2418" s="5" t="s">
        <v>10140</v>
      </c>
      <c r="B2418" s="5" t="s">
        <v>4596</v>
      </c>
      <c r="D2418" s="5" t="s">
        <v>5132</v>
      </c>
      <c r="E2418" s="5" t="s">
        <v>691</v>
      </c>
      <c r="F2418" s="5" t="s">
        <v>10141</v>
      </c>
      <c r="G2418" s="5" t="s">
        <v>4599</v>
      </c>
      <c r="H2418" s="5" t="s">
        <v>4600</v>
      </c>
      <c r="I2418" s="7" t="s">
        <v>10139</v>
      </c>
    </row>
    <row r="2419">
      <c r="A2419" s="5" t="s">
        <v>7521</v>
      </c>
      <c r="B2419" s="5" t="s">
        <v>7522</v>
      </c>
      <c r="D2419" s="5" t="s">
        <v>7523</v>
      </c>
      <c r="E2419" s="5" t="s">
        <v>63</v>
      </c>
      <c r="F2419" s="5" t="s">
        <v>7519</v>
      </c>
      <c r="G2419" s="5" t="s">
        <v>4638</v>
      </c>
      <c r="H2419" s="5" t="s">
        <v>4600</v>
      </c>
      <c r="I2419" s="7" t="s">
        <v>7520</v>
      </c>
    </row>
    <row r="2420">
      <c r="A2420" s="5" t="s">
        <v>7525</v>
      </c>
      <c r="B2420" s="5" t="s">
        <v>25</v>
      </c>
      <c r="D2420" s="5" t="s">
        <v>7523</v>
      </c>
      <c r="E2420" s="5" t="s">
        <v>79</v>
      </c>
      <c r="F2420" s="5" t="s">
        <v>7519</v>
      </c>
      <c r="G2420" s="5" t="s">
        <v>4638</v>
      </c>
      <c r="H2420" s="5" t="s">
        <v>4600</v>
      </c>
      <c r="I2420" s="7" t="s">
        <v>7524</v>
      </c>
    </row>
    <row r="2421">
      <c r="A2421" s="5" t="s">
        <v>10118</v>
      </c>
      <c r="B2421" s="5" t="s">
        <v>10119</v>
      </c>
      <c r="D2421" s="5" t="s">
        <v>7523</v>
      </c>
      <c r="E2421" s="5" t="s">
        <v>63</v>
      </c>
      <c r="F2421" s="5" t="s">
        <v>10114</v>
      </c>
      <c r="G2421" s="5" t="s">
        <v>4757</v>
      </c>
      <c r="H2421" s="5" t="s">
        <v>4607</v>
      </c>
      <c r="I2421" s="7" t="s">
        <v>11134</v>
      </c>
    </row>
    <row r="2422">
      <c r="A2422" s="5" t="s">
        <v>3956</v>
      </c>
      <c r="B2422" s="5" t="s">
        <v>480</v>
      </c>
      <c r="C2422" s="5" t="s">
        <v>13</v>
      </c>
      <c r="D2422" s="5" t="s">
        <v>3957</v>
      </c>
      <c r="F2422" s="5" t="s">
        <v>3958</v>
      </c>
      <c r="G2422" s="5" t="s">
        <v>962</v>
      </c>
      <c r="H2422" s="5" t="s">
        <v>18</v>
      </c>
      <c r="I2422" s="7" t="s">
        <v>3959</v>
      </c>
    </row>
    <row r="2423">
      <c r="A2423" s="5" t="s">
        <v>3960</v>
      </c>
      <c r="B2423" s="5" t="s">
        <v>3961</v>
      </c>
      <c r="C2423" s="5" t="s">
        <v>13</v>
      </c>
      <c r="D2423" s="5" t="s">
        <v>3957</v>
      </c>
      <c r="E2423" s="5" t="s">
        <v>585</v>
      </c>
      <c r="F2423" s="5" t="s">
        <v>3962</v>
      </c>
      <c r="G2423" s="5" t="s">
        <v>17</v>
      </c>
      <c r="H2423" s="5" t="s">
        <v>18</v>
      </c>
      <c r="I2423" s="7" t="s">
        <v>11135</v>
      </c>
    </row>
    <row r="2424">
      <c r="A2424" s="5" t="s">
        <v>3964</v>
      </c>
      <c r="B2424" s="5" t="s">
        <v>3965</v>
      </c>
      <c r="C2424" s="5" t="s">
        <v>13</v>
      </c>
      <c r="D2424" s="5" t="s">
        <v>3957</v>
      </c>
      <c r="E2424" s="5" t="s">
        <v>48</v>
      </c>
      <c r="F2424" s="5" t="s">
        <v>2586</v>
      </c>
      <c r="G2424" s="5" t="s">
        <v>224</v>
      </c>
      <c r="H2424" s="5" t="s">
        <v>18</v>
      </c>
      <c r="I2424" s="7" t="s">
        <v>3966</v>
      </c>
    </row>
    <row r="2425">
      <c r="A2425" s="5" t="s">
        <v>3967</v>
      </c>
      <c r="B2425" s="5" t="s">
        <v>3968</v>
      </c>
      <c r="C2425" s="5" t="s">
        <v>13</v>
      </c>
      <c r="D2425" s="5" t="s">
        <v>3957</v>
      </c>
      <c r="E2425" s="5" t="s">
        <v>3969</v>
      </c>
      <c r="F2425" s="5" t="s">
        <v>3970</v>
      </c>
      <c r="G2425" s="5" t="s">
        <v>203</v>
      </c>
      <c r="H2425" s="5" t="s">
        <v>18</v>
      </c>
      <c r="I2425" s="7" t="s">
        <v>11136</v>
      </c>
    </row>
    <row r="2426">
      <c r="A2426" s="5" t="s">
        <v>3972</v>
      </c>
      <c r="B2426" s="5" t="s">
        <v>3973</v>
      </c>
      <c r="C2426" s="5" t="s">
        <v>13</v>
      </c>
      <c r="D2426" s="5" t="s">
        <v>3974</v>
      </c>
      <c r="E2426" s="5" t="s">
        <v>144</v>
      </c>
      <c r="F2426" s="5" t="s">
        <v>3975</v>
      </c>
      <c r="G2426" s="5" t="s">
        <v>91</v>
      </c>
      <c r="H2426" s="5" t="s">
        <v>18</v>
      </c>
      <c r="I2426" s="7" t="s">
        <v>3976</v>
      </c>
    </row>
    <row r="2427">
      <c r="A2427" s="5" t="s">
        <v>3977</v>
      </c>
      <c r="B2427" s="5" t="s">
        <v>3978</v>
      </c>
      <c r="C2427" s="5" t="s">
        <v>13</v>
      </c>
      <c r="D2427" s="5" t="s">
        <v>3974</v>
      </c>
      <c r="E2427" s="5" t="s">
        <v>3979</v>
      </c>
      <c r="F2427" s="5" t="s">
        <v>658</v>
      </c>
      <c r="G2427" s="5" t="s">
        <v>91</v>
      </c>
      <c r="H2427" s="5" t="s">
        <v>18</v>
      </c>
      <c r="I2427" s="7" t="s">
        <v>3980</v>
      </c>
    </row>
    <row r="2428">
      <c r="A2428" s="5" t="s">
        <v>3981</v>
      </c>
      <c r="B2428" s="5" t="s">
        <v>25</v>
      </c>
      <c r="C2428" s="5" t="s">
        <v>13</v>
      </c>
      <c r="D2428" s="5" t="s">
        <v>3974</v>
      </c>
      <c r="E2428" s="5" t="s">
        <v>376</v>
      </c>
      <c r="F2428" s="5" t="s">
        <v>658</v>
      </c>
      <c r="G2428" s="5" t="s">
        <v>91</v>
      </c>
      <c r="H2428" s="5" t="s">
        <v>18</v>
      </c>
      <c r="I2428" s="7" t="s">
        <v>3982</v>
      </c>
    </row>
    <row r="2429">
      <c r="A2429" s="5" t="s">
        <v>6253</v>
      </c>
      <c r="B2429" s="5" t="s">
        <v>6254</v>
      </c>
      <c r="D2429" s="5" t="s">
        <v>6255</v>
      </c>
      <c r="E2429" s="5" t="s">
        <v>661</v>
      </c>
      <c r="F2429" s="5" t="s">
        <v>6233</v>
      </c>
      <c r="G2429" s="5" t="s">
        <v>4665</v>
      </c>
      <c r="H2429" s="5" t="s">
        <v>4600</v>
      </c>
      <c r="I2429" s="7" t="s">
        <v>11137</v>
      </c>
    </row>
    <row r="2430">
      <c r="A2430" s="5" t="s">
        <v>6257</v>
      </c>
      <c r="B2430" s="5" t="s">
        <v>6258</v>
      </c>
      <c r="D2430" s="5" t="s">
        <v>6255</v>
      </c>
      <c r="E2430" s="5" t="s">
        <v>686</v>
      </c>
      <c r="F2430" s="5" t="s">
        <v>6233</v>
      </c>
      <c r="G2430" s="5" t="s">
        <v>4665</v>
      </c>
      <c r="H2430" s="5" t="s">
        <v>4600</v>
      </c>
      <c r="I2430" s="7" t="s">
        <v>11138</v>
      </c>
    </row>
    <row r="2431">
      <c r="A2431" s="5" t="s">
        <v>5448</v>
      </c>
      <c r="B2431" s="5" t="s">
        <v>5449</v>
      </c>
      <c r="D2431" s="5" t="s">
        <v>5450</v>
      </c>
      <c r="E2431" s="5" t="s">
        <v>182</v>
      </c>
      <c r="F2431" s="5" t="s">
        <v>5280</v>
      </c>
      <c r="G2431" s="5" t="s">
        <v>4638</v>
      </c>
      <c r="H2431" s="5" t="s">
        <v>4600</v>
      </c>
      <c r="I2431" s="7" t="s">
        <v>5447</v>
      </c>
    </row>
    <row r="2432">
      <c r="A2432" s="5" t="s">
        <v>9370</v>
      </c>
      <c r="B2432" s="5" t="s">
        <v>9371</v>
      </c>
      <c r="D2432" s="5" t="s">
        <v>5450</v>
      </c>
      <c r="E2432" s="5" t="s">
        <v>26</v>
      </c>
      <c r="F2432" s="5" t="s">
        <v>5280</v>
      </c>
      <c r="G2432" s="5" t="s">
        <v>4638</v>
      </c>
      <c r="H2432" s="5" t="s">
        <v>4600</v>
      </c>
      <c r="I2432" s="7" t="s">
        <v>11139</v>
      </c>
    </row>
    <row r="2433">
      <c r="A2433" s="5" t="s">
        <v>9464</v>
      </c>
      <c r="B2433" s="5" t="s">
        <v>9465</v>
      </c>
      <c r="D2433" s="5" t="s">
        <v>5450</v>
      </c>
      <c r="E2433" s="5" t="s">
        <v>345</v>
      </c>
      <c r="F2433" s="5" t="s">
        <v>5280</v>
      </c>
      <c r="G2433" s="5" t="s">
        <v>4638</v>
      </c>
      <c r="H2433" s="5" t="s">
        <v>4600</v>
      </c>
      <c r="I2433" s="7" t="s">
        <v>11140</v>
      </c>
    </row>
    <row r="2434">
      <c r="A2434" s="5" t="s">
        <v>9875</v>
      </c>
      <c r="B2434" s="5" t="s">
        <v>9876</v>
      </c>
      <c r="D2434" s="5" t="s">
        <v>5450</v>
      </c>
      <c r="E2434" s="5" t="s">
        <v>192</v>
      </c>
      <c r="F2434" s="5" t="s">
        <v>2113</v>
      </c>
      <c r="G2434" s="5" t="s">
        <v>4599</v>
      </c>
      <c r="H2434" s="5" t="s">
        <v>4600</v>
      </c>
      <c r="I2434" s="7" t="s">
        <v>11141</v>
      </c>
    </row>
    <row r="2435">
      <c r="A2435" s="5" t="s">
        <v>9894</v>
      </c>
      <c r="B2435" s="5" t="s">
        <v>9895</v>
      </c>
      <c r="D2435" s="5" t="s">
        <v>5450</v>
      </c>
      <c r="E2435" s="5" t="s">
        <v>8705</v>
      </c>
      <c r="F2435" s="5" t="s">
        <v>2113</v>
      </c>
      <c r="G2435" s="5" t="s">
        <v>4599</v>
      </c>
      <c r="H2435" s="5" t="s">
        <v>4600</v>
      </c>
      <c r="I2435" s="7" t="s">
        <v>11142</v>
      </c>
    </row>
    <row r="2436">
      <c r="A2436" s="5" t="s">
        <v>3983</v>
      </c>
      <c r="B2436" s="5" t="s">
        <v>110</v>
      </c>
      <c r="C2436" s="5" t="s">
        <v>13</v>
      </c>
      <c r="D2436" s="5" t="s">
        <v>3984</v>
      </c>
      <c r="E2436" s="5" t="s">
        <v>351</v>
      </c>
      <c r="F2436" s="5" t="s">
        <v>166</v>
      </c>
      <c r="G2436" s="5" t="s">
        <v>44</v>
      </c>
      <c r="H2436" s="5" t="s">
        <v>18</v>
      </c>
      <c r="I2436" s="7" t="s">
        <v>3985</v>
      </c>
    </row>
    <row r="2437">
      <c r="A2437" s="5" t="s">
        <v>3986</v>
      </c>
      <c r="B2437" s="5" t="s">
        <v>110</v>
      </c>
      <c r="C2437" s="5" t="s">
        <v>13</v>
      </c>
      <c r="D2437" s="5" t="s">
        <v>3984</v>
      </c>
      <c r="E2437" s="5" t="s">
        <v>15</v>
      </c>
      <c r="F2437" s="5" t="s">
        <v>166</v>
      </c>
      <c r="G2437" s="5" t="s">
        <v>44</v>
      </c>
      <c r="H2437" s="5" t="s">
        <v>18</v>
      </c>
      <c r="I2437" s="7" t="s">
        <v>3987</v>
      </c>
    </row>
    <row r="2438">
      <c r="A2438" s="5" t="s">
        <v>3988</v>
      </c>
      <c r="B2438" s="5" t="s">
        <v>3989</v>
      </c>
      <c r="C2438" s="5" t="s">
        <v>13</v>
      </c>
      <c r="D2438" s="5" t="s">
        <v>3984</v>
      </c>
      <c r="E2438" s="5" t="s">
        <v>345</v>
      </c>
      <c r="F2438" s="5" t="s">
        <v>166</v>
      </c>
      <c r="G2438" s="5" t="s">
        <v>44</v>
      </c>
      <c r="H2438" s="5" t="s">
        <v>18</v>
      </c>
      <c r="I2438" s="7" t="s">
        <v>11143</v>
      </c>
    </row>
    <row r="2439">
      <c r="A2439" s="5" t="s">
        <v>3991</v>
      </c>
      <c r="B2439" s="5" t="s">
        <v>3992</v>
      </c>
      <c r="C2439" s="5" t="s">
        <v>13</v>
      </c>
      <c r="D2439" s="5" t="s">
        <v>3993</v>
      </c>
      <c r="E2439" s="5" t="s">
        <v>441</v>
      </c>
      <c r="F2439" s="5" t="s">
        <v>75</v>
      </c>
      <c r="G2439" s="5" t="s">
        <v>76</v>
      </c>
      <c r="H2439" s="5" t="s">
        <v>18</v>
      </c>
      <c r="I2439" s="7" t="s">
        <v>3994</v>
      </c>
    </row>
    <row r="2440">
      <c r="A2440" s="5" t="s">
        <v>3995</v>
      </c>
      <c r="B2440" s="5" t="s">
        <v>766</v>
      </c>
      <c r="C2440" s="5" t="s">
        <v>13</v>
      </c>
      <c r="D2440" s="5" t="s">
        <v>3993</v>
      </c>
      <c r="E2440" s="5" t="s">
        <v>74</v>
      </c>
      <c r="F2440" s="5" t="s">
        <v>137</v>
      </c>
      <c r="G2440" s="5" t="s">
        <v>137</v>
      </c>
      <c r="H2440" s="5" t="s">
        <v>18</v>
      </c>
      <c r="I2440" s="7" t="s">
        <v>3996</v>
      </c>
    </row>
    <row r="2441">
      <c r="A2441" s="5" t="s">
        <v>3997</v>
      </c>
      <c r="B2441" s="5" t="s">
        <v>110</v>
      </c>
      <c r="C2441" s="5" t="s">
        <v>13</v>
      </c>
      <c r="D2441" s="5" t="s">
        <v>3993</v>
      </c>
      <c r="E2441" s="5" t="s">
        <v>42</v>
      </c>
      <c r="F2441" s="5" t="s">
        <v>3998</v>
      </c>
      <c r="G2441" s="5" t="s">
        <v>91</v>
      </c>
      <c r="H2441" s="5" t="s">
        <v>18</v>
      </c>
      <c r="I2441" s="7" t="s">
        <v>11144</v>
      </c>
    </row>
    <row r="2442">
      <c r="A2442" s="5" t="s">
        <v>4000</v>
      </c>
      <c r="B2442" s="5" t="s">
        <v>110</v>
      </c>
      <c r="C2442" s="5" t="s">
        <v>13</v>
      </c>
      <c r="D2442" s="5" t="s">
        <v>3993</v>
      </c>
      <c r="E2442" s="5" t="s">
        <v>84</v>
      </c>
      <c r="F2442" s="5" t="s">
        <v>3998</v>
      </c>
      <c r="G2442" s="5" t="s">
        <v>91</v>
      </c>
      <c r="H2442" s="5" t="s">
        <v>18</v>
      </c>
      <c r="I2442" s="7" t="s">
        <v>4001</v>
      </c>
    </row>
    <row r="2443">
      <c r="A2443" s="5" t="s">
        <v>4002</v>
      </c>
      <c r="B2443" s="5" t="s">
        <v>2181</v>
      </c>
      <c r="C2443" s="5" t="s">
        <v>13</v>
      </c>
      <c r="D2443" s="5" t="s">
        <v>3993</v>
      </c>
      <c r="E2443" s="5" t="s">
        <v>106</v>
      </c>
      <c r="F2443" s="5" t="s">
        <v>169</v>
      </c>
      <c r="G2443" s="5" t="s">
        <v>44</v>
      </c>
      <c r="H2443" s="5" t="s">
        <v>18</v>
      </c>
      <c r="I2443" s="7" t="s">
        <v>4003</v>
      </c>
    </row>
    <row r="2444">
      <c r="A2444" s="5" t="s">
        <v>4004</v>
      </c>
      <c r="B2444" s="5" t="s">
        <v>3886</v>
      </c>
      <c r="C2444" s="5" t="s">
        <v>13</v>
      </c>
      <c r="D2444" s="5" t="s">
        <v>3993</v>
      </c>
      <c r="E2444" s="5" t="s">
        <v>125</v>
      </c>
      <c r="F2444" s="5" t="s">
        <v>85</v>
      </c>
      <c r="G2444" s="5" t="s">
        <v>86</v>
      </c>
      <c r="H2444" s="5" t="s">
        <v>18</v>
      </c>
      <c r="I2444" s="7" t="s">
        <v>4005</v>
      </c>
    </row>
    <row r="2445">
      <c r="A2445" s="5" t="s">
        <v>4759</v>
      </c>
      <c r="B2445" s="5" t="s">
        <v>4560</v>
      </c>
      <c r="D2445" s="5" t="s">
        <v>4760</v>
      </c>
      <c r="E2445" s="5" t="s">
        <v>182</v>
      </c>
      <c r="F2445" s="5" t="s">
        <v>229</v>
      </c>
      <c r="G2445" s="5" t="s">
        <v>4638</v>
      </c>
      <c r="H2445" s="5" t="s">
        <v>4600</v>
      </c>
      <c r="I2445" s="7" t="s">
        <v>4758</v>
      </c>
    </row>
    <row r="2446">
      <c r="A2446" s="5" t="s">
        <v>6585</v>
      </c>
      <c r="B2446" s="5" t="s">
        <v>4749</v>
      </c>
      <c r="D2446" s="5" t="s">
        <v>4760</v>
      </c>
      <c r="E2446" s="5" t="s">
        <v>15</v>
      </c>
      <c r="F2446" s="5" t="s">
        <v>6577</v>
      </c>
      <c r="G2446" s="5" t="s">
        <v>4638</v>
      </c>
      <c r="H2446" s="5" t="s">
        <v>4600</v>
      </c>
      <c r="I2446" s="7" t="s">
        <v>6584</v>
      </c>
    </row>
    <row r="2447">
      <c r="A2447" s="5" t="s">
        <v>5207</v>
      </c>
      <c r="B2447" s="5" t="s">
        <v>5208</v>
      </c>
      <c r="D2447" s="5" t="s">
        <v>5235</v>
      </c>
      <c r="E2447" s="5" t="s">
        <v>1089</v>
      </c>
      <c r="F2447" s="5" t="s">
        <v>4643</v>
      </c>
      <c r="G2447" s="5" t="s">
        <v>4644</v>
      </c>
      <c r="H2447" s="5" t="s">
        <v>4600</v>
      </c>
      <c r="I2447" s="7" t="s">
        <v>5206</v>
      </c>
    </row>
    <row r="2448">
      <c r="A2448" s="5" t="s">
        <v>5233</v>
      </c>
      <c r="B2448" s="5" t="s">
        <v>5234</v>
      </c>
      <c r="D2448" s="5" t="s">
        <v>5235</v>
      </c>
      <c r="E2448" s="5" t="s">
        <v>3110</v>
      </c>
      <c r="F2448" s="5" t="s">
        <v>4643</v>
      </c>
      <c r="G2448" s="5" t="s">
        <v>4644</v>
      </c>
      <c r="H2448" s="5" t="s">
        <v>4600</v>
      </c>
      <c r="I2448" s="7" t="s">
        <v>5232</v>
      </c>
    </row>
    <row r="2449">
      <c r="A2449" s="5" t="s">
        <v>5279</v>
      </c>
      <c r="B2449" s="5" t="s">
        <v>32</v>
      </c>
      <c r="D2449" s="5" t="s">
        <v>4007</v>
      </c>
      <c r="E2449" s="5" t="s">
        <v>496</v>
      </c>
      <c r="F2449" s="5" t="s">
        <v>5280</v>
      </c>
      <c r="G2449" s="5" t="s">
        <v>4638</v>
      </c>
      <c r="H2449" s="5" t="s">
        <v>4600</v>
      </c>
      <c r="I2449" s="7" t="s">
        <v>11145</v>
      </c>
    </row>
    <row r="2450">
      <c r="A2450" s="5" t="s">
        <v>4006</v>
      </c>
      <c r="B2450" s="5" t="s">
        <v>766</v>
      </c>
      <c r="C2450" s="5" t="s">
        <v>13</v>
      </c>
      <c r="D2450" s="5" t="s">
        <v>4007</v>
      </c>
      <c r="E2450" s="5" t="s">
        <v>399</v>
      </c>
      <c r="F2450" s="5" t="s">
        <v>2110</v>
      </c>
      <c r="G2450" s="5" t="s">
        <v>962</v>
      </c>
      <c r="H2450" s="5" t="s">
        <v>18</v>
      </c>
      <c r="I2450" s="7" t="s">
        <v>4008</v>
      </c>
    </row>
    <row r="2451">
      <c r="A2451" s="5" t="s">
        <v>4009</v>
      </c>
      <c r="B2451" s="5" t="s">
        <v>4010</v>
      </c>
      <c r="C2451" s="5" t="s">
        <v>13</v>
      </c>
      <c r="D2451" s="5" t="s">
        <v>4007</v>
      </c>
      <c r="F2451" s="5" t="s">
        <v>2110</v>
      </c>
      <c r="G2451" s="5" t="s">
        <v>962</v>
      </c>
      <c r="H2451" s="5" t="s">
        <v>18</v>
      </c>
      <c r="I2451" s="7" t="s">
        <v>4011</v>
      </c>
    </row>
    <row r="2452">
      <c r="A2452" s="5" t="s">
        <v>4012</v>
      </c>
      <c r="B2452" s="5" t="s">
        <v>4013</v>
      </c>
      <c r="C2452" s="5" t="s">
        <v>13</v>
      </c>
      <c r="D2452" s="5" t="s">
        <v>4007</v>
      </c>
      <c r="E2452" s="5" t="s">
        <v>399</v>
      </c>
      <c r="F2452" s="5" t="s">
        <v>311</v>
      </c>
      <c r="G2452" s="5" t="s">
        <v>102</v>
      </c>
      <c r="H2452" s="5" t="s">
        <v>18</v>
      </c>
      <c r="I2452" s="7" t="s">
        <v>4014</v>
      </c>
    </row>
    <row r="2453">
      <c r="A2453" s="5" t="s">
        <v>5562</v>
      </c>
      <c r="B2453" s="5" t="s">
        <v>5563</v>
      </c>
      <c r="D2453" s="5" t="s">
        <v>5564</v>
      </c>
      <c r="E2453" s="5" t="s">
        <v>3110</v>
      </c>
      <c r="F2453" s="5" t="s">
        <v>5565</v>
      </c>
      <c r="G2453" s="5" t="s">
        <v>5566</v>
      </c>
      <c r="H2453" s="5" t="s">
        <v>4619</v>
      </c>
      <c r="I2453" s="7" t="s">
        <v>11146</v>
      </c>
    </row>
    <row r="2454">
      <c r="A2454" s="5" t="s">
        <v>7728</v>
      </c>
      <c r="B2454" s="5" t="s">
        <v>7729</v>
      </c>
      <c r="D2454" s="5" t="s">
        <v>5564</v>
      </c>
      <c r="F2454" s="5" t="s">
        <v>7722</v>
      </c>
      <c r="G2454" s="5" t="s">
        <v>5566</v>
      </c>
      <c r="H2454" s="5" t="s">
        <v>4619</v>
      </c>
      <c r="I2454" s="7" t="s">
        <v>11147</v>
      </c>
    </row>
    <row r="2455">
      <c r="A2455" s="5" t="s">
        <v>8955</v>
      </c>
      <c r="B2455" s="5" t="s">
        <v>8956</v>
      </c>
      <c r="D2455" s="5" t="s">
        <v>5564</v>
      </c>
      <c r="E2455" s="5" t="s">
        <v>60</v>
      </c>
      <c r="F2455" s="5" t="s">
        <v>7722</v>
      </c>
      <c r="G2455" s="5" t="s">
        <v>5566</v>
      </c>
      <c r="H2455" s="5" t="s">
        <v>4619</v>
      </c>
      <c r="I2455" s="7" t="s">
        <v>11148</v>
      </c>
    </row>
    <row r="2456">
      <c r="A2456" s="5" t="s">
        <v>8983</v>
      </c>
      <c r="B2456" s="5" t="s">
        <v>8984</v>
      </c>
      <c r="D2456" s="5" t="s">
        <v>5564</v>
      </c>
      <c r="E2456" s="5" t="s">
        <v>686</v>
      </c>
      <c r="F2456" s="5" t="s">
        <v>7722</v>
      </c>
      <c r="G2456" s="5" t="s">
        <v>5566</v>
      </c>
      <c r="H2456" s="5" t="s">
        <v>4619</v>
      </c>
      <c r="I2456" s="7" t="s">
        <v>11149</v>
      </c>
    </row>
    <row r="2457">
      <c r="A2457" s="5" t="s">
        <v>8708</v>
      </c>
      <c r="B2457" s="5" t="s">
        <v>8709</v>
      </c>
      <c r="D2457" s="5" t="s">
        <v>4016</v>
      </c>
      <c r="E2457" s="5" t="s">
        <v>36</v>
      </c>
      <c r="F2457" s="5" t="s">
        <v>8710</v>
      </c>
      <c r="G2457" s="5" t="s">
        <v>137</v>
      </c>
      <c r="H2457" s="5" t="s">
        <v>18</v>
      </c>
      <c r="I2457" s="7" t="s">
        <v>8707</v>
      </c>
    </row>
    <row r="2458">
      <c r="A2458" s="5" t="s">
        <v>4015</v>
      </c>
      <c r="B2458" s="5" t="s">
        <v>747</v>
      </c>
      <c r="C2458" s="5" t="s">
        <v>13</v>
      </c>
      <c r="D2458" s="5" t="s">
        <v>4016</v>
      </c>
      <c r="E2458" s="5" t="s">
        <v>74</v>
      </c>
      <c r="F2458" s="5" t="s">
        <v>377</v>
      </c>
      <c r="G2458" s="5" t="s">
        <v>378</v>
      </c>
      <c r="H2458" s="5" t="s">
        <v>18</v>
      </c>
      <c r="I2458" s="7" t="s">
        <v>4017</v>
      </c>
    </row>
    <row r="2459">
      <c r="A2459" s="5" t="s">
        <v>4018</v>
      </c>
      <c r="B2459" s="5" t="s">
        <v>4019</v>
      </c>
      <c r="C2459" s="5" t="s">
        <v>13</v>
      </c>
      <c r="D2459" s="5" t="s">
        <v>4016</v>
      </c>
      <c r="E2459" s="5" t="s">
        <v>1587</v>
      </c>
      <c r="F2459" s="5" t="s">
        <v>2209</v>
      </c>
      <c r="G2459" s="5" t="s">
        <v>137</v>
      </c>
      <c r="H2459" s="5" t="s">
        <v>18</v>
      </c>
      <c r="I2459" s="7" t="s">
        <v>4020</v>
      </c>
    </row>
    <row r="2460">
      <c r="A2460" s="5" t="s">
        <v>4021</v>
      </c>
      <c r="B2460" s="5" t="s">
        <v>25</v>
      </c>
      <c r="C2460" s="5" t="s">
        <v>13</v>
      </c>
      <c r="D2460" s="5" t="s">
        <v>4016</v>
      </c>
      <c r="E2460" s="5" t="s">
        <v>1623</v>
      </c>
      <c r="F2460" s="5" t="s">
        <v>4022</v>
      </c>
      <c r="G2460" s="5" t="s">
        <v>224</v>
      </c>
      <c r="H2460" s="5" t="s">
        <v>18</v>
      </c>
      <c r="I2460" s="7" t="s">
        <v>4023</v>
      </c>
    </row>
    <row r="2461">
      <c r="A2461" s="5" t="s">
        <v>4024</v>
      </c>
      <c r="B2461" s="5" t="s">
        <v>4025</v>
      </c>
      <c r="C2461" s="5" t="s">
        <v>13</v>
      </c>
      <c r="D2461" s="5" t="s">
        <v>4016</v>
      </c>
      <c r="E2461" s="5" t="s">
        <v>784</v>
      </c>
      <c r="F2461" s="5" t="s">
        <v>4026</v>
      </c>
      <c r="G2461" s="5" t="s">
        <v>954</v>
      </c>
      <c r="H2461" s="5" t="s">
        <v>18</v>
      </c>
      <c r="I2461" s="7" t="s">
        <v>4027</v>
      </c>
    </row>
    <row r="2462">
      <c r="A2462" s="5" t="s">
        <v>4028</v>
      </c>
      <c r="B2462" s="5" t="s">
        <v>4029</v>
      </c>
      <c r="C2462" s="5" t="s">
        <v>13</v>
      </c>
      <c r="D2462" s="5" t="s">
        <v>4016</v>
      </c>
      <c r="E2462" s="5" t="s">
        <v>4030</v>
      </c>
      <c r="F2462" s="5" t="s">
        <v>1274</v>
      </c>
      <c r="G2462" s="5" t="s">
        <v>76</v>
      </c>
      <c r="H2462" s="5" t="s">
        <v>18</v>
      </c>
      <c r="I2462" s="7" t="s">
        <v>4031</v>
      </c>
    </row>
    <row r="2463">
      <c r="A2463" s="5" t="s">
        <v>4032</v>
      </c>
      <c r="B2463" s="5" t="s">
        <v>25</v>
      </c>
      <c r="C2463" s="5" t="s">
        <v>13</v>
      </c>
      <c r="D2463" s="5" t="s">
        <v>4016</v>
      </c>
      <c r="E2463" s="5" t="s">
        <v>4033</v>
      </c>
      <c r="F2463" s="5" t="s">
        <v>635</v>
      </c>
      <c r="G2463" s="5" t="s">
        <v>76</v>
      </c>
      <c r="H2463" s="5" t="s">
        <v>18</v>
      </c>
      <c r="I2463" s="7" t="s">
        <v>4034</v>
      </c>
    </row>
    <row r="2464">
      <c r="A2464" s="5" t="s">
        <v>4035</v>
      </c>
      <c r="B2464" s="5" t="s">
        <v>4036</v>
      </c>
      <c r="C2464" s="5" t="s">
        <v>13</v>
      </c>
      <c r="D2464" s="5" t="s">
        <v>4016</v>
      </c>
      <c r="E2464" s="5" t="s">
        <v>2670</v>
      </c>
      <c r="F2464" s="5" t="s">
        <v>75</v>
      </c>
      <c r="G2464" s="5" t="s">
        <v>76</v>
      </c>
      <c r="H2464" s="5" t="s">
        <v>18</v>
      </c>
      <c r="I2464" s="7" t="s">
        <v>4037</v>
      </c>
    </row>
    <row r="2465">
      <c r="A2465" s="5" t="s">
        <v>4038</v>
      </c>
      <c r="B2465" s="5" t="s">
        <v>25</v>
      </c>
      <c r="C2465" s="5" t="s">
        <v>13</v>
      </c>
      <c r="D2465" s="5" t="s">
        <v>4016</v>
      </c>
      <c r="E2465" s="5" t="s">
        <v>570</v>
      </c>
      <c r="F2465" s="5" t="s">
        <v>80</v>
      </c>
      <c r="G2465" s="5" t="s">
        <v>38</v>
      </c>
      <c r="H2465" s="5" t="s">
        <v>18</v>
      </c>
      <c r="I2465" s="7" t="s">
        <v>4039</v>
      </c>
    </row>
    <row r="2466">
      <c r="A2466" s="5" t="s">
        <v>4040</v>
      </c>
      <c r="B2466" s="5" t="s">
        <v>4041</v>
      </c>
      <c r="C2466" s="5" t="s">
        <v>13</v>
      </c>
      <c r="D2466" s="5" t="s">
        <v>4016</v>
      </c>
      <c r="E2466" s="5" t="s">
        <v>268</v>
      </c>
      <c r="F2466" s="5" t="s">
        <v>4042</v>
      </c>
      <c r="G2466" s="5" t="s">
        <v>65</v>
      </c>
      <c r="H2466" s="5" t="s">
        <v>18</v>
      </c>
      <c r="I2466" s="7" t="s">
        <v>4043</v>
      </c>
    </row>
    <row r="2467">
      <c r="A2467" s="5" t="s">
        <v>4044</v>
      </c>
      <c r="B2467" s="5" t="s">
        <v>25</v>
      </c>
      <c r="C2467" s="5" t="s">
        <v>13</v>
      </c>
      <c r="D2467" s="5" t="s">
        <v>4016</v>
      </c>
      <c r="E2467" s="5" t="s">
        <v>3429</v>
      </c>
      <c r="F2467" s="5" t="s">
        <v>2536</v>
      </c>
      <c r="G2467" s="5" t="s">
        <v>86</v>
      </c>
      <c r="H2467" s="5" t="s">
        <v>18</v>
      </c>
      <c r="I2467" s="7" t="s">
        <v>4045</v>
      </c>
    </row>
    <row r="2468">
      <c r="A2468" s="5" t="s">
        <v>4046</v>
      </c>
      <c r="B2468" s="5" t="s">
        <v>4019</v>
      </c>
      <c r="C2468" s="5" t="s">
        <v>13</v>
      </c>
      <c r="D2468" s="5" t="s">
        <v>4016</v>
      </c>
      <c r="F2468" s="5" t="s">
        <v>4047</v>
      </c>
      <c r="G2468" s="5" t="s">
        <v>44</v>
      </c>
      <c r="H2468" s="5" t="s">
        <v>18</v>
      </c>
      <c r="I2468" s="7" t="s">
        <v>4048</v>
      </c>
    </row>
    <row r="2469">
      <c r="A2469" s="5" t="s">
        <v>4049</v>
      </c>
      <c r="B2469" s="5" t="s">
        <v>4050</v>
      </c>
      <c r="C2469" s="5" t="s">
        <v>13</v>
      </c>
      <c r="D2469" s="5" t="s">
        <v>4016</v>
      </c>
      <c r="E2469" s="5" t="s">
        <v>1629</v>
      </c>
      <c r="F2469" s="5" t="s">
        <v>1187</v>
      </c>
      <c r="G2469" s="5" t="s">
        <v>96</v>
      </c>
      <c r="H2469" s="5" t="s">
        <v>18</v>
      </c>
      <c r="I2469" s="7" t="s">
        <v>4051</v>
      </c>
    </row>
    <row r="2470">
      <c r="A2470" s="5" t="s">
        <v>4052</v>
      </c>
      <c r="B2470" s="5" t="s">
        <v>4053</v>
      </c>
      <c r="C2470" s="5" t="s">
        <v>13</v>
      </c>
      <c r="D2470" s="5" t="s">
        <v>4016</v>
      </c>
      <c r="E2470" s="5" t="s">
        <v>1068</v>
      </c>
      <c r="F2470" s="5" t="s">
        <v>4054</v>
      </c>
      <c r="G2470" s="5" t="s">
        <v>219</v>
      </c>
      <c r="H2470" s="5" t="s">
        <v>18</v>
      </c>
      <c r="I2470" s="7" t="s">
        <v>4055</v>
      </c>
    </row>
    <row r="2471">
      <c r="A2471" s="5" t="s">
        <v>4056</v>
      </c>
      <c r="B2471" s="5" t="s">
        <v>804</v>
      </c>
      <c r="C2471" s="5" t="s">
        <v>13</v>
      </c>
      <c r="D2471" s="5" t="s">
        <v>4016</v>
      </c>
      <c r="E2471" s="5" t="s">
        <v>121</v>
      </c>
      <c r="F2471" s="5" t="s">
        <v>112</v>
      </c>
      <c r="G2471" s="5" t="s">
        <v>38</v>
      </c>
      <c r="H2471" s="5" t="s">
        <v>18</v>
      </c>
      <c r="I2471" s="7" t="s">
        <v>4057</v>
      </c>
    </row>
    <row r="2472">
      <c r="A2472" s="5" t="s">
        <v>4058</v>
      </c>
      <c r="B2472" s="5" t="s">
        <v>4059</v>
      </c>
      <c r="C2472" s="5" t="s">
        <v>13</v>
      </c>
      <c r="D2472" s="5" t="s">
        <v>4016</v>
      </c>
      <c r="E2472" s="5" t="s">
        <v>84</v>
      </c>
      <c r="F2472" s="5" t="s">
        <v>2100</v>
      </c>
      <c r="G2472" s="5" t="s">
        <v>264</v>
      </c>
      <c r="H2472" s="5" t="s">
        <v>18</v>
      </c>
      <c r="I2472" s="7" t="s">
        <v>4060</v>
      </c>
    </row>
    <row r="2473">
      <c r="A2473" s="5" t="s">
        <v>4061</v>
      </c>
      <c r="B2473" s="5" t="s">
        <v>32</v>
      </c>
      <c r="C2473" s="5" t="s">
        <v>13</v>
      </c>
      <c r="D2473" s="5" t="s">
        <v>4016</v>
      </c>
      <c r="E2473" s="5" t="s">
        <v>980</v>
      </c>
      <c r="F2473" s="5" t="s">
        <v>122</v>
      </c>
      <c r="G2473" s="5" t="s">
        <v>44</v>
      </c>
      <c r="H2473" s="5" t="s">
        <v>18</v>
      </c>
      <c r="I2473" s="7" t="s">
        <v>4062</v>
      </c>
    </row>
    <row r="2474">
      <c r="A2474" s="5" t="s">
        <v>4063</v>
      </c>
      <c r="B2474" s="5" t="s">
        <v>4064</v>
      </c>
      <c r="C2474" s="5" t="s">
        <v>13</v>
      </c>
      <c r="D2474" s="5" t="s">
        <v>4016</v>
      </c>
      <c r="E2474" s="5" t="s">
        <v>74</v>
      </c>
      <c r="F2474" s="5" t="s">
        <v>862</v>
      </c>
      <c r="G2474" s="5" t="s">
        <v>184</v>
      </c>
      <c r="H2474" s="5" t="s">
        <v>18</v>
      </c>
      <c r="I2474" s="7" t="s">
        <v>11150</v>
      </c>
    </row>
    <row r="2475">
      <c r="A2475" s="5" t="s">
        <v>4066</v>
      </c>
      <c r="B2475" s="5" t="s">
        <v>4059</v>
      </c>
      <c r="C2475" s="5" t="s">
        <v>13</v>
      </c>
      <c r="D2475" s="5" t="s">
        <v>4016</v>
      </c>
      <c r="E2475" s="5" t="s">
        <v>207</v>
      </c>
      <c r="F2475" s="5" t="s">
        <v>953</v>
      </c>
      <c r="G2475" s="5" t="s">
        <v>954</v>
      </c>
      <c r="H2475" s="5" t="s">
        <v>18</v>
      </c>
      <c r="I2475" s="7" t="s">
        <v>4067</v>
      </c>
    </row>
    <row r="2476">
      <c r="A2476" s="5" t="s">
        <v>4068</v>
      </c>
      <c r="B2476" s="5" t="s">
        <v>4069</v>
      </c>
      <c r="C2476" s="5" t="s">
        <v>13</v>
      </c>
      <c r="D2476" s="5" t="s">
        <v>4016</v>
      </c>
      <c r="E2476" s="5" t="s">
        <v>822</v>
      </c>
      <c r="F2476" s="5" t="s">
        <v>953</v>
      </c>
      <c r="G2476" s="5" t="s">
        <v>954</v>
      </c>
      <c r="H2476" s="5" t="s">
        <v>18</v>
      </c>
      <c r="I2476" s="7" t="s">
        <v>11151</v>
      </c>
    </row>
    <row r="2477">
      <c r="A2477" s="5" t="s">
        <v>4071</v>
      </c>
      <c r="B2477" s="5" t="s">
        <v>47</v>
      </c>
      <c r="C2477" s="5" t="s">
        <v>13</v>
      </c>
      <c r="D2477" s="5" t="s">
        <v>4016</v>
      </c>
      <c r="E2477" s="5" t="s">
        <v>3110</v>
      </c>
      <c r="F2477" s="5" t="s">
        <v>953</v>
      </c>
      <c r="G2477" s="5" t="s">
        <v>954</v>
      </c>
      <c r="H2477" s="5" t="s">
        <v>18</v>
      </c>
      <c r="I2477" s="7" t="s">
        <v>4072</v>
      </c>
    </row>
    <row r="2478">
      <c r="A2478" s="5" t="s">
        <v>4073</v>
      </c>
      <c r="B2478" s="5" t="s">
        <v>32</v>
      </c>
      <c r="C2478" s="5" t="s">
        <v>13</v>
      </c>
      <c r="D2478" s="5" t="s">
        <v>4016</v>
      </c>
      <c r="E2478" s="5" t="s">
        <v>314</v>
      </c>
      <c r="F2478" s="5" t="s">
        <v>953</v>
      </c>
      <c r="G2478" s="5" t="s">
        <v>954</v>
      </c>
      <c r="H2478" s="5" t="s">
        <v>18</v>
      </c>
      <c r="I2478" s="7" t="s">
        <v>4074</v>
      </c>
    </row>
    <row r="2479">
      <c r="A2479" s="5" t="s">
        <v>4075</v>
      </c>
      <c r="B2479" s="5" t="s">
        <v>4076</v>
      </c>
      <c r="C2479" s="5" t="s">
        <v>13</v>
      </c>
      <c r="D2479" s="5" t="s">
        <v>4016</v>
      </c>
      <c r="E2479" s="5" t="s">
        <v>217</v>
      </c>
      <c r="F2479" s="5" t="s">
        <v>953</v>
      </c>
      <c r="G2479" s="5" t="s">
        <v>954</v>
      </c>
      <c r="H2479" s="5" t="s">
        <v>18</v>
      </c>
      <c r="I2479" s="7" t="s">
        <v>11152</v>
      </c>
    </row>
    <row r="2480">
      <c r="A2480" s="5" t="s">
        <v>4078</v>
      </c>
      <c r="B2480" s="5" t="s">
        <v>4079</v>
      </c>
      <c r="C2480" s="5" t="s">
        <v>13</v>
      </c>
      <c r="D2480" s="5" t="s">
        <v>4016</v>
      </c>
      <c r="E2480" s="5" t="s">
        <v>268</v>
      </c>
      <c r="F2480" s="5" t="s">
        <v>953</v>
      </c>
      <c r="G2480" s="5" t="s">
        <v>954</v>
      </c>
      <c r="H2480" s="5" t="s">
        <v>18</v>
      </c>
      <c r="I2480" s="7" t="s">
        <v>11153</v>
      </c>
    </row>
    <row r="2481">
      <c r="A2481" s="5" t="s">
        <v>4081</v>
      </c>
      <c r="B2481" s="5" t="s">
        <v>4082</v>
      </c>
      <c r="C2481" s="5" t="s">
        <v>13</v>
      </c>
      <c r="D2481" s="5" t="s">
        <v>4016</v>
      </c>
      <c r="E2481" s="5" t="s">
        <v>1759</v>
      </c>
      <c r="F2481" s="5" t="s">
        <v>953</v>
      </c>
      <c r="G2481" s="5" t="s">
        <v>954</v>
      </c>
      <c r="H2481" s="5" t="s">
        <v>18</v>
      </c>
      <c r="I2481" s="7" t="s">
        <v>4083</v>
      </c>
    </row>
    <row r="2482">
      <c r="A2482" s="5" t="s">
        <v>4084</v>
      </c>
      <c r="B2482" s="5" t="s">
        <v>4029</v>
      </c>
      <c r="C2482" s="5" t="s">
        <v>13</v>
      </c>
      <c r="D2482" s="5" t="s">
        <v>4016</v>
      </c>
      <c r="E2482" s="5" t="s">
        <v>822</v>
      </c>
      <c r="F2482" s="5" t="s">
        <v>953</v>
      </c>
      <c r="G2482" s="5" t="s">
        <v>954</v>
      </c>
      <c r="H2482" s="5" t="s">
        <v>18</v>
      </c>
      <c r="I2482" s="7" t="s">
        <v>4085</v>
      </c>
    </row>
    <row r="2483">
      <c r="A2483" s="5" t="s">
        <v>4086</v>
      </c>
      <c r="B2483" s="5" t="s">
        <v>4087</v>
      </c>
      <c r="C2483" s="5" t="s">
        <v>13</v>
      </c>
      <c r="D2483" s="5" t="s">
        <v>4016</v>
      </c>
      <c r="E2483" s="5" t="s">
        <v>1718</v>
      </c>
      <c r="F2483" s="5" t="s">
        <v>4088</v>
      </c>
      <c r="G2483" s="5" t="s">
        <v>184</v>
      </c>
      <c r="H2483" s="5" t="s">
        <v>18</v>
      </c>
      <c r="I2483" s="7" t="s">
        <v>4089</v>
      </c>
    </row>
    <row r="2484">
      <c r="A2484" s="5" t="s">
        <v>4090</v>
      </c>
      <c r="B2484" s="5" t="s">
        <v>25</v>
      </c>
      <c r="C2484" s="5" t="s">
        <v>13</v>
      </c>
      <c r="D2484" s="5" t="s">
        <v>4016</v>
      </c>
      <c r="E2484" s="5" t="s">
        <v>1357</v>
      </c>
      <c r="F2484" s="5" t="s">
        <v>137</v>
      </c>
      <c r="G2484" s="5" t="s">
        <v>137</v>
      </c>
      <c r="H2484" s="5" t="s">
        <v>18</v>
      </c>
      <c r="I2484" s="7" t="s">
        <v>4091</v>
      </c>
    </row>
    <row r="2485">
      <c r="A2485" s="5" t="s">
        <v>4092</v>
      </c>
      <c r="B2485" s="5" t="s">
        <v>4093</v>
      </c>
      <c r="C2485" s="5" t="s">
        <v>13</v>
      </c>
      <c r="D2485" s="5" t="s">
        <v>4016</v>
      </c>
      <c r="E2485" s="5" t="s">
        <v>1892</v>
      </c>
      <c r="F2485" s="5" t="s">
        <v>153</v>
      </c>
      <c r="G2485" s="5" t="s">
        <v>154</v>
      </c>
      <c r="H2485" s="5" t="s">
        <v>18</v>
      </c>
      <c r="I2485" s="7" t="s">
        <v>4094</v>
      </c>
    </row>
    <row r="2486">
      <c r="A2486" s="5" t="s">
        <v>4095</v>
      </c>
      <c r="B2486" s="5" t="s">
        <v>32</v>
      </c>
      <c r="C2486" s="5" t="s">
        <v>13</v>
      </c>
      <c r="D2486" s="5" t="s">
        <v>4016</v>
      </c>
      <c r="E2486" s="5" t="s">
        <v>1460</v>
      </c>
      <c r="F2486" s="5" t="s">
        <v>1867</v>
      </c>
      <c r="G2486" s="5" t="s">
        <v>44</v>
      </c>
      <c r="H2486" s="5" t="s">
        <v>18</v>
      </c>
      <c r="I2486" s="7" t="s">
        <v>4096</v>
      </c>
    </row>
    <row r="2487">
      <c r="A2487" s="5" t="s">
        <v>4097</v>
      </c>
      <c r="B2487" s="5" t="s">
        <v>4098</v>
      </c>
      <c r="C2487" s="5" t="s">
        <v>13</v>
      </c>
      <c r="D2487" s="5" t="s">
        <v>4016</v>
      </c>
      <c r="F2487" s="5" t="s">
        <v>669</v>
      </c>
      <c r="G2487" s="5" t="s">
        <v>17</v>
      </c>
      <c r="H2487" s="5" t="s">
        <v>18</v>
      </c>
      <c r="I2487" s="7" t="s">
        <v>11154</v>
      </c>
    </row>
    <row r="2488">
      <c r="A2488" s="5" t="s">
        <v>4100</v>
      </c>
      <c r="B2488" s="5" t="s">
        <v>4101</v>
      </c>
      <c r="C2488" s="5" t="s">
        <v>13</v>
      </c>
      <c r="D2488" s="5" t="s">
        <v>4016</v>
      </c>
      <c r="E2488" s="5" t="s">
        <v>149</v>
      </c>
      <c r="F2488" s="5" t="s">
        <v>1391</v>
      </c>
      <c r="G2488" s="5" t="s">
        <v>954</v>
      </c>
      <c r="H2488" s="5" t="s">
        <v>18</v>
      </c>
      <c r="I2488" s="7" t="s">
        <v>11155</v>
      </c>
    </row>
    <row r="2489">
      <c r="A2489" s="5" t="s">
        <v>4103</v>
      </c>
      <c r="B2489" s="5" t="s">
        <v>4104</v>
      </c>
      <c r="C2489" s="5" t="s">
        <v>13</v>
      </c>
      <c r="D2489" s="5" t="s">
        <v>4016</v>
      </c>
      <c r="E2489" s="5" t="s">
        <v>4105</v>
      </c>
      <c r="F2489" s="5" t="s">
        <v>4106</v>
      </c>
      <c r="G2489" s="5" t="s">
        <v>962</v>
      </c>
      <c r="H2489" s="5" t="s">
        <v>18</v>
      </c>
      <c r="I2489" s="7" t="s">
        <v>4107</v>
      </c>
    </row>
    <row r="2490">
      <c r="A2490" s="5" t="s">
        <v>4108</v>
      </c>
      <c r="B2490" s="5" t="s">
        <v>25</v>
      </c>
      <c r="C2490" s="5" t="s">
        <v>13</v>
      </c>
      <c r="D2490" s="5" t="s">
        <v>4016</v>
      </c>
      <c r="F2490" s="5" t="s">
        <v>953</v>
      </c>
      <c r="G2490" s="5" t="s">
        <v>954</v>
      </c>
      <c r="H2490" s="5" t="s">
        <v>18</v>
      </c>
      <c r="I2490" s="7" t="s">
        <v>4109</v>
      </c>
    </row>
    <row r="2491">
      <c r="A2491" s="5" t="s">
        <v>7501</v>
      </c>
      <c r="B2491" s="5" t="s">
        <v>7502</v>
      </c>
      <c r="D2491" s="5" t="s">
        <v>4016</v>
      </c>
      <c r="F2491" s="5" t="s">
        <v>953</v>
      </c>
      <c r="G2491" s="5" t="s">
        <v>954</v>
      </c>
      <c r="H2491" s="5" t="s">
        <v>18</v>
      </c>
      <c r="I2491" s="7" t="s">
        <v>7500</v>
      </c>
    </row>
    <row r="2492">
      <c r="A2492" s="5" t="s">
        <v>4110</v>
      </c>
      <c r="B2492" s="5" t="s">
        <v>25</v>
      </c>
      <c r="C2492" s="5" t="s">
        <v>13</v>
      </c>
      <c r="D2492" s="5" t="s">
        <v>4111</v>
      </c>
      <c r="E2492" s="5" t="s">
        <v>430</v>
      </c>
      <c r="F2492" s="5" t="s">
        <v>137</v>
      </c>
      <c r="G2492" s="5" t="s">
        <v>137</v>
      </c>
      <c r="H2492" s="5" t="s">
        <v>18</v>
      </c>
      <c r="I2492" s="7" t="s">
        <v>4112</v>
      </c>
    </row>
    <row r="2493">
      <c r="A2493" s="5" t="s">
        <v>4113</v>
      </c>
      <c r="B2493" s="5" t="s">
        <v>25</v>
      </c>
      <c r="C2493" s="5" t="s">
        <v>13</v>
      </c>
      <c r="D2493" s="5" t="s">
        <v>4111</v>
      </c>
      <c r="F2493" s="5" t="s">
        <v>137</v>
      </c>
      <c r="G2493" s="5" t="s">
        <v>137</v>
      </c>
      <c r="H2493" s="5" t="s">
        <v>18</v>
      </c>
      <c r="I2493" s="7" t="s">
        <v>4114</v>
      </c>
    </row>
    <row r="2494">
      <c r="A2494" s="5" t="s">
        <v>4115</v>
      </c>
      <c r="B2494" s="5" t="s">
        <v>25</v>
      </c>
      <c r="C2494" s="5" t="s">
        <v>13</v>
      </c>
      <c r="D2494" s="5" t="s">
        <v>4111</v>
      </c>
      <c r="E2494" s="5" t="s">
        <v>446</v>
      </c>
      <c r="F2494" s="5" t="s">
        <v>166</v>
      </c>
      <c r="G2494" s="5" t="s">
        <v>44</v>
      </c>
      <c r="H2494" s="5" t="s">
        <v>18</v>
      </c>
      <c r="I2494" s="7" t="s">
        <v>11156</v>
      </c>
    </row>
    <row r="2495">
      <c r="A2495" s="5" t="s">
        <v>9227</v>
      </c>
      <c r="B2495" s="5" t="s">
        <v>9228</v>
      </c>
      <c r="D2495" s="5" t="s">
        <v>9229</v>
      </c>
      <c r="E2495" s="5" t="s">
        <v>958</v>
      </c>
      <c r="F2495" s="5" t="s">
        <v>5280</v>
      </c>
      <c r="G2495" s="5" t="s">
        <v>4638</v>
      </c>
      <c r="H2495" s="5" t="s">
        <v>4600</v>
      </c>
      <c r="I2495" s="7" t="s">
        <v>11157</v>
      </c>
    </row>
    <row r="2496">
      <c r="A2496" s="5" t="s">
        <v>4635</v>
      </c>
      <c r="B2496" s="5" t="s">
        <v>2813</v>
      </c>
      <c r="D2496" s="5" t="s">
        <v>9229</v>
      </c>
      <c r="E2496" s="5" t="s">
        <v>188</v>
      </c>
      <c r="F2496" s="5" t="s">
        <v>4637</v>
      </c>
      <c r="G2496" s="5" t="s">
        <v>4638</v>
      </c>
      <c r="H2496" s="5" t="s">
        <v>4600</v>
      </c>
      <c r="I2496" s="7" t="s">
        <v>4634</v>
      </c>
    </row>
    <row r="2497">
      <c r="A2497" s="5" t="s">
        <v>4835</v>
      </c>
      <c r="B2497" s="5" t="s">
        <v>110</v>
      </c>
      <c r="D2497" s="5" t="s">
        <v>4836</v>
      </c>
      <c r="E2497" s="5" t="s">
        <v>268</v>
      </c>
      <c r="F2497" s="5" t="s">
        <v>4837</v>
      </c>
      <c r="G2497" s="5" t="s">
        <v>4757</v>
      </c>
      <c r="H2497" s="5" t="s">
        <v>4607</v>
      </c>
      <c r="I2497" s="7" t="s">
        <v>4834</v>
      </c>
    </row>
    <row r="2498">
      <c r="A2498" s="5" t="s">
        <v>5057</v>
      </c>
      <c r="B2498" s="5" t="s">
        <v>110</v>
      </c>
      <c r="D2498" s="5" t="s">
        <v>4836</v>
      </c>
      <c r="E2498" s="5" t="s">
        <v>651</v>
      </c>
      <c r="F2498" s="5" t="s">
        <v>5051</v>
      </c>
      <c r="G2498" s="5" t="s">
        <v>4757</v>
      </c>
      <c r="H2498" s="5" t="s">
        <v>4607</v>
      </c>
      <c r="I2498" s="7" t="s">
        <v>5056</v>
      </c>
    </row>
    <row r="2499">
      <c r="A2499" s="5" t="s">
        <v>5096</v>
      </c>
      <c r="B2499" s="5" t="s">
        <v>110</v>
      </c>
      <c r="D2499" s="5" t="s">
        <v>4836</v>
      </c>
      <c r="E2499" s="5" t="s">
        <v>79</v>
      </c>
      <c r="F2499" s="5" t="s">
        <v>5097</v>
      </c>
      <c r="G2499" s="5" t="s">
        <v>4757</v>
      </c>
      <c r="H2499" s="5" t="s">
        <v>4607</v>
      </c>
      <c r="I2499" s="7" t="s">
        <v>5095</v>
      </c>
    </row>
    <row r="2500">
      <c r="A2500" s="5" t="s">
        <v>6123</v>
      </c>
      <c r="B2500" s="5" t="s">
        <v>5054</v>
      </c>
      <c r="D2500" s="5" t="s">
        <v>4836</v>
      </c>
      <c r="E2500" s="5" t="s">
        <v>79</v>
      </c>
      <c r="F2500" s="5" t="s">
        <v>5097</v>
      </c>
      <c r="G2500" s="5" t="s">
        <v>4757</v>
      </c>
      <c r="H2500" s="5" t="s">
        <v>4607</v>
      </c>
      <c r="I2500" s="7" t="s">
        <v>6122</v>
      </c>
    </row>
    <row r="2501">
      <c r="A2501" s="5" t="s">
        <v>6285</v>
      </c>
      <c r="B2501" s="5" t="s">
        <v>6286</v>
      </c>
      <c r="D2501" s="5" t="s">
        <v>4836</v>
      </c>
      <c r="E2501" s="5" t="s">
        <v>175</v>
      </c>
      <c r="F2501" s="5" t="s">
        <v>6287</v>
      </c>
      <c r="G2501" s="5" t="s">
        <v>4757</v>
      </c>
      <c r="H2501" s="5" t="s">
        <v>4607</v>
      </c>
      <c r="I2501" s="7" t="s">
        <v>6284</v>
      </c>
    </row>
    <row r="2502">
      <c r="A2502" s="5" t="s">
        <v>6530</v>
      </c>
      <c r="B2502" s="5" t="s">
        <v>110</v>
      </c>
      <c r="D2502" s="5" t="s">
        <v>4836</v>
      </c>
      <c r="E2502" s="5" t="s">
        <v>421</v>
      </c>
      <c r="F2502" s="5" t="s">
        <v>6499</v>
      </c>
      <c r="G2502" s="5" t="s">
        <v>4757</v>
      </c>
      <c r="H2502" s="5" t="s">
        <v>4607</v>
      </c>
      <c r="I2502" s="7" t="s">
        <v>6529</v>
      </c>
    </row>
    <row r="2503">
      <c r="A2503" s="5" t="s">
        <v>6723</v>
      </c>
      <c r="B2503" s="5" t="s">
        <v>6286</v>
      </c>
      <c r="D2503" s="5" t="s">
        <v>4836</v>
      </c>
      <c r="E2503" s="5" t="s">
        <v>94</v>
      </c>
      <c r="F2503" s="5" t="s">
        <v>6577</v>
      </c>
      <c r="G2503" s="5" t="s">
        <v>4757</v>
      </c>
      <c r="H2503" s="5" t="s">
        <v>4607</v>
      </c>
      <c r="I2503" s="7" t="s">
        <v>6722</v>
      </c>
    </row>
    <row r="2504">
      <c r="A2504" s="5" t="s">
        <v>6750</v>
      </c>
      <c r="B2504" s="5" t="s">
        <v>110</v>
      </c>
      <c r="D2504" s="5" t="s">
        <v>4836</v>
      </c>
      <c r="E2504" s="5" t="s">
        <v>79</v>
      </c>
      <c r="F2504" s="5" t="s">
        <v>6577</v>
      </c>
      <c r="G2504" s="5" t="s">
        <v>4757</v>
      </c>
      <c r="H2504" s="5" t="s">
        <v>4607</v>
      </c>
      <c r="I2504" s="7" t="s">
        <v>6749</v>
      </c>
    </row>
    <row r="2505">
      <c r="A2505" s="5" t="s">
        <v>6940</v>
      </c>
      <c r="B2505" s="5" t="s">
        <v>6941</v>
      </c>
      <c r="D2505" s="5" t="s">
        <v>4836</v>
      </c>
      <c r="E2505" s="5" t="s">
        <v>125</v>
      </c>
      <c r="F2505" s="5" t="s">
        <v>6577</v>
      </c>
      <c r="G2505" s="5" t="s">
        <v>4757</v>
      </c>
      <c r="H2505" s="5" t="s">
        <v>4607</v>
      </c>
      <c r="I2505" s="7" t="s">
        <v>6939</v>
      </c>
    </row>
    <row r="2506">
      <c r="A2506" s="5" t="s">
        <v>7001</v>
      </c>
      <c r="B2506" s="5" t="s">
        <v>6286</v>
      </c>
      <c r="D2506" s="5" t="s">
        <v>4836</v>
      </c>
      <c r="E2506" s="5" t="s">
        <v>585</v>
      </c>
      <c r="F2506" s="5" t="s">
        <v>6577</v>
      </c>
      <c r="G2506" s="5" t="s">
        <v>4757</v>
      </c>
      <c r="H2506" s="5" t="s">
        <v>4607</v>
      </c>
      <c r="I2506" s="7" t="s">
        <v>7000</v>
      </c>
    </row>
    <row r="2507">
      <c r="A2507" s="5" t="s">
        <v>7055</v>
      </c>
      <c r="B2507" s="5" t="s">
        <v>7056</v>
      </c>
      <c r="D2507" s="5" t="s">
        <v>4836</v>
      </c>
      <c r="E2507" s="5" t="s">
        <v>1398</v>
      </c>
      <c r="F2507" s="5" t="s">
        <v>6577</v>
      </c>
      <c r="G2507" s="5" t="s">
        <v>4757</v>
      </c>
      <c r="H2507" s="5" t="s">
        <v>4607</v>
      </c>
      <c r="I2507" s="7" t="s">
        <v>11158</v>
      </c>
    </row>
    <row r="2508">
      <c r="A2508" s="5" t="s">
        <v>7107</v>
      </c>
      <c r="B2508" s="5" t="s">
        <v>7108</v>
      </c>
      <c r="D2508" s="5" t="s">
        <v>4836</v>
      </c>
      <c r="E2508" s="5" t="s">
        <v>7109</v>
      </c>
      <c r="F2508" s="5" t="s">
        <v>6577</v>
      </c>
      <c r="G2508" s="5" t="s">
        <v>4757</v>
      </c>
      <c r="H2508" s="5" t="s">
        <v>4607</v>
      </c>
      <c r="I2508" s="7" t="s">
        <v>7106</v>
      </c>
    </row>
    <row r="2509">
      <c r="A2509" s="5" t="s">
        <v>7129</v>
      </c>
      <c r="B2509" s="5" t="s">
        <v>7130</v>
      </c>
      <c r="D2509" s="5" t="s">
        <v>4836</v>
      </c>
      <c r="F2509" s="5" t="s">
        <v>6577</v>
      </c>
      <c r="G2509" s="5" t="s">
        <v>4757</v>
      </c>
      <c r="H2509" s="5" t="s">
        <v>4607</v>
      </c>
      <c r="I2509" s="7" t="s">
        <v>11159</v>
      </c>
    </row>
    <row r="2510">
      <c r="A2510" s="5" t="s">
        <v>7235</v>
      </c>
      <c r="B2510" s="5" t="s">
        <v>110</v>
      </c>
      <c r="D2510" s="5" t="s">
        <v>4836</v>
      </c>
      <c r="E2510" s="5" t="s">
        <v>651</v>
      </c>
      <c r="F2510" s="5" t="s">
        <v>7229</v>
      </c>
      <c r="G2510" s="5" t="s">
        <v>4757</v>
      </c>
      <c r="H2510" s="5" t="s">
        <v>4607</v>
      </c>
      <c r="I2510" s="7" t="s">
        <v>7234</v>
      </c>
    </row>
    <row r="2511">
      <c r="A2511" s="5" t="s">
        <v>7241</v>
      </c>
      <c r="B2511" s="5" t="s">
        <v>7242</v>
      </c>
      <c r="D2511" s="5" t="s">
        <v>4836</v>
      </c>
      <c r="E2511" s="5" t="s">
        <v>890</v>
      </c>
      <c r="F2511" s="5" t="s">
        <v>7229</v>
      </c>
      <c r="G2511" s="5" t="s">
        <v>4757</v>
      </c>
      <c r="H2511" s="5" t="s">
        <v>4607</v>
      </c>
      <c r="I2511" s="7" t="s">
        <v>7240</v>
      </c>
    </row>
    <row r="2512">
      <c r="A2512" s="5" t="s">
        <v>7244</v>
      </c>
      <c r="B2512" s="5" t="s">
        <v>6286</v>
      </c>
      <c r="D2512" s="5" t="s">
        <v>4836</v>
      </c>
      <c r="E2512" s="5" t="s">
        <v>1634</v>
      </c>
      <c r="F2512" s="5" t="s">
        <v>7229</v>
      </c>
      <c r="G2512" s="5" t="s">
        <v>4757</v>
      </c>
      <c r="H2512" s="5" t="s">
        <v>4607</v>
      </c>
      <c r="I2512" s="7" t="s">
        <v>7243</v>
      </c>
    </row>
    <row r="2513">
      <c r="A2513" s="5" t="s">
        <v>8018</v>
      </c>
      <c r="B2513" s="5" t="s">
        <v>110</v>
      </c>
      <c r="D2513" s="5" t="s">
        <v>4836</v>
      </c>
      <c r="E2513" s="5" t="s">
        <v>79</v>
      </c>
      <c r="F2513" s="5" t="s">
        <v>8019</v>
      </c>
      <c r="G2513" s="5" t="s">
        <v>4757</v>
      </c>
      <c r="H2513" s="5" t="s">
        <v>4607</v>
      </c>
      <c r="I2513" s="7" t="s">
        <v>8017</v>
      </c>
    </row>
    <row r="2514">
      <c r="A2514" s="5" t="s">
        <v>8780</v>
      </c>
      <c r="B2514" s="5" t="s">
        <v>8781</v>
      </c>
      <c r="D2514" s="5" t="s">
        <v>4836</v>
      </c>
      <c r="E2514" s="5" t="s">
        <v>192</v>
      </c>
      <c r="F2514" s="5" t="s">
        <v>8782</v>
      </c>
      <c r="G2514" s="5" t="s">
        <v>4757</v>
      </c>
      <c r="H2514" s="5" t="s">
        <v>4607</v>
      </c>
      <c r="I2514" s="7" t="s">
        <v>11160</v>
      </c>
    </row>
    <row r="2515">
      <c r="A2515" s="5" t="s">
        <v>9636</v>
      </c>
      <c r="B2515" s="5" t="s">
        <v>110</v>
      </c>
      <c r="D2515" s="5" t="s">
        <v>4836</v>
      </c>
      <c r="E2515" s="5" t="s">
        <v>354</v>
      </c>
      <c r="F2515" s="5" t="s">
        <v>6577</v>
      </c>
      <c r="G2515" s="5" t="s">
        <v>4757</v>
      </c>
      <c r="H2515" s="5" t="s">
        <v>4607</v>
      </c>
      <c r="I2515" s="7" t="s">
        <v>9635</v>
      </c>
    </row>
    <row r="2516">
      <c r="A2516" s="5" t="s">
        <v>9687</v>
      </c>
      <c r="B2516" s="5" t="s">
        <v>110</v>
      </c>
      <c r="D2516" s="5" t="s">
        <v>4836</v>
      </c>
      <c r="E2516" s="5" t="s">
        <v>909</v>
      </c>
      <c r="F2516" s="5" t="s">
        <v>6577</v>
      </c>
      <c r="G2516" s="5" t="s">
        <v>4757</v>
      </c>
      <c r="H2516" s="5" t="s">
        <v>4607</v>
      </c>
      <c r="I2516" s="7" t="s">
        <v>9686</v>
      </c>
    </row>
    <row r="2517">
      <c r="A2517" s="5" t="s">
        <v>9723</v>
      </c>
      <c r="B2517" s="5" t="s">
        <v>110</v>
      </c>
      <c r="D2517" s="5" t="s">
        <v>4836</v>
      </c>
      <c r="E2517" s="5" t="s">
        <v>79</v>
      </c>
      <c r="F2517" s="5" t="s">
        <v>6577</v>
      </c>
      <c r="G2517" s="5" t="s">
        <v>4757</v>
      </c>
      <c r="H2517" s="5" t="s">
        <v>4607</v>
      </c>
      <c r="I2517" s="7" t="s">
        <v>9722</v>
      </c>
    </row>
    <row r="2518">
      <c r="A2518" s="5" t="s">
        <v>10121</v>
      </c>
      <c r="B2518" s="5" t="s">
        <v>110</v>
      </c>
      <c r="D2518" s="5" t="s">
        <v>4836</v>
      </c>
      <c r="E2518" s="5" t="s">
        <v>165</v>
      </c>
      <c r="F2518" s="5" t="s">
        <v>10114</v>
      </c>
      <c r="G2518" s="5" t="s">
        <v>4757</v>
      </c>
      <c r="H2518" s="5" t="s">
        <v>4607</v>
      </c>
      <c r="I2518" s="7" t="s">
        <v>10120</v>
      </c>
    </row>
    <row r="2519">
      <c r="A2519" s="5" t="s">
        <v>10123</v>
      </c>
      <c r="B2519" s="5" t="s">
        <v>110</v>
      </c>
      <c r="D2519" s="5" t="s">
        <v>4836</v>
      </c>
      <c r="E2519" s="5" t="s">
        <v>36</v>
      </c>
      <c r="F2519" s="5" t="s">
        <v>10114</v>
      </c>
      <c r="G2519" s="5" t="s">
        <v>4757</v>
      </c>
      <c r="H2519" s="5" t="s">
        <v>4607</v>
      </c>
      <c r="I2519" s="7" t="s">
        <v>10122</v>
      </c>
    </row>
    <row r="2520">
      <c r="A2520" s="5" t="s">
        <v>4117</v>
      </c>
      <c r="B2520" s="5" t="s">
        <v>1164</v>
      </c>
      <c r="C2520" s="5" t="s">
        <v>13</v>
      </c>
      <c r="D2520" s="5" t="s">
        <v>4118</v>
      </c>
      <c r="E2520" s="5" t="s">
        <v>1759</v>
      </c>
      <c r="F2520" s="5" t="s">
        <v>64</v>
      </c>
      <c r="G2520" s="5" t="s">
        <v>65</v>
      </c>
      <c r="H2520" s="5" t="s">
        <v>18</v>
      </c>
      <c r="I2520" s="7" t="s">
        <v>4119</v>
      </c>
    </row>
    <row r="2521">
      <c r="A2521" s="5" t="s">
        <v>4120</v>
      </c>
      <c r="B2521" s="5" t="s">
        <v>404</v>
      </c>
      <c r="C2521" s="5" t="s">
        <v>13</v>
      </c>
      <c r="D2521" s="5" t="s">
        <v>4118</v>
      </c>
      <c r="E2521" s="5" t="s">
        <v>832</v>
      </c>
      <c r="F2521" s="5" t="s">
        <v>1473</v>
      </c>
      <c r="G2521" s="5" t="s">
        <v>50</v>
      </c>
      <c r="H2521" s="5" t="s">
        <v>18</v>
      </c>
      <c r="I2521" s="7" t="s">
        <v>4121</v>
      </c>
    </row>
    <row r="2522">
      <c r="A2522" s="5" t="s">
        <v>4122</v>
      </c>
      <c r="B2522" s="5" t="s">
        <v>4123</v>
      </c>
      <c r="C2522" s="5" t="s">
        <v>13</v>
      </c>
      <c r="D2522" s="5" t="s">
        <v>4118</v>
      </c>
      <c r="E2522" s="5" t="s">
        <v>1538</v>
      </c>
      <c r="F2522" s="5" t="s">
        <v>1473</v>
      </c>
      <c r="G2522" s="5" t="s">
        <v>50</v>
      </c>
      <c r="H2522" s="5" t="s">
        <v>18</v>
      </c>
      <c r="I2522" s="7" t="s">
        <v>11161</v>
      </c>
    </row>
    <row r="2523">
      <c r="A2523" s="5" t="s">
        <v>4125</v>
      </c>
      <c r="B2523" s="5" t="s">
        <v>404</v>
      </c>
      <c r="C2523" s="5" t="s">
        <v>13</v>
      </c>
      <c r="D2523" s="5" t="s">
        <v>4118</v>
      </c>
      <c r="E2523" s="5" t="s">
        <v>283</v>
      </c>
      <c r="F2523" s="5" t="s">
        <v>295</v>
      </c>
      <c r="G2523" s="5" t="s">
        <v>154</v>
      </c>
      <c r="H2523" s="5" t="s">
        <v>18</v>
      </c>
      <c r="I2523" s="7" t="s">
        <v>4126</v>
      </c>
    </row>
    <row r="2524">
      <c r="A2524" s="5" t="s">
        <v>4127</v>
      </c>
      <c r="B2524" s="5" t="s">
        <v>404</v>
      </c>
      <c r="C2524" s="5" t="s">
        <v>13</v>
      </c>
      <c r="D2524" s="5" t="s">
        <v>4118</v>
      </c>
      <c r="E2524" s="5" t="s">
        <v>512</v>
      </c>
      <c r="F2524" s="5" t="s">
        <v>1353</v>
      </c>
      <c r="G2524" s="5" t="s">
        <v>1354</v>
      </c>
      <c r="H2524" s="5" t="s">
        <v>18</v>
      </c>
      <c r="I2524" s="7" t="s">
        <v>4128</v>
      </c>
    </row>
    <row r="2525">
      <c r="A2525" s="5" t="s">
        <v>4129</v>
      </c>
      <c r="B2525" s="5" t="s">
        <v>404</v>
      </c>
      <c r="C2525" s="5" t="s">
        <v>13</v>
      </c>
      <c r="D2525" s="5" t="s">
        <v>4118</v>
      </c>
      <c r="E2525" s="5" t="s">
        <v>512</v>
      </c>
      <c r="F2525" s="5" t="s">
        <v>169</v>
      </c>
      <c r="G2525" s="5" t="s">
        <v>44</v>
      </c>
      <c r="H2525" s="5" t="s">
        <v>18</v>
      </c>
      <c r="I2525" s="7" t="s">
        <v>4130</v>
      </c>
    </row>
    <row r="2526">
      <c r="A2526" s="5" t="s">
        <v>5137</v>
      </c>
      <c r="B2526" s="5" t="s">
        <v>25</v>
      </c>
      <c r="D2526" s="5" t="s">
        <v>5138</v>
      </c>
      <c r="E2526" s="5" t="s">
        <v>5139</v>
      </c>
      <c r="F2526" s="5" t="s">
        <v>5128</v>
      </c>
      <c r="G2526" s="5" t="s">
        <v>4599</v>
      </c>
      <c r="H2526" s="5" t="s">
        <v>4600</v>
      </c>
      <c r="I2526" s="7" t="s">
        <v>5136</v>
      </c>
    </row>
    <row r="2527">
      <c r="A2527" s="5" t="s">
        <v>8869</v>
      </c>
      <c r="B2527" s="5" t="s">
        <v>8870</v>
      </c>
      <c r="D2527" s="6" t="s">
        <v>11162</v>
      </c>
      <c r="E2527" s="5" t="s">
        <v>182</v>
      </c>
      <c r="F2527" s="5" t="s">
        <v>8872</v>
      </c>
      <c r="G2527" s="5" t="s">
        <v>4757</v>
      </c>
      <c r="H2527" s="5" t="s">
        <v>4607</v>
      </c>
      <c r="I2527" s="7" t="s">
        <v>8868</v>
      </c>
    </row>
    <row r="2528">
      <c r="A2528" s="5" t="s">
        <v>4131</v>
      </c>
      <c r="B2528" s="5" t="s">
        <v>4132</v>
      </c>
      <c r="C2528" s="5" t="s">
        <v>13</v>
      </c>
      <c r="D2528" s="5" t="s">
        <v>4133</v>
      </c>
      <c r="E2528" s="5" t="s">
        <v>980</v>
      </c>
      <c r="F2528" s="5" t="s">
        <v>80</v>
      </c>
      <c r="G2528" s="5" t="s">
        <v>38</v>
      </c>
      <c r="H2528" s="5" t="s">
        <v>18</v>
      </c>
      <c r="I2528" s="7" t="s">
        <v>4134</v>
      </c>
    </row>
    <row r="2529">
      <c r="A2529" s="5" t="s">
        <v>4135</v>
      </c>
      <c r="B2529" s="5" t="s">
        <v>4136</v>
      </c>
      <c r="C2529" s="5" t="s">
        <v>13</v>
      </c>
      <c r="D2529" s="5" t="s">
        <v>4133</v>
      </c>
      <c r="E2529" s="5" t="s">
        <v>1034</v>
      </c>
      <c r="F2529" s="5" t="s">
        <v>4137</v>
      </c>
      <c r="G2529" s="5" t="s">
        <v>44</v>
      </c>
      <c r="H2529" s="5" t="s">
        <v>18</v>
      </c>
      <c r="I2529" s="7" t="s">
        <v>4138</v>
      </c>
    </row>
    <row r="2530">
      <c r="A2530" s="5" t="s">
        <v>4139</v>
      </c>
      <c r="B2530" s="5" t="s">
        <v>4140</v>
      </c>
      <c r="C2530" s="5" t="s">
        <v>13</v>
      </c>
      <c r="D2530" s="5" t="s">
        <v>4133</v>
      </c>
      <c r="E2530" s="5" t="s">
        <v>4141</v>
      </c>
      <c r="F2530" s="5" t="s">
        <v>876</v>
      </c>
      <c r="G2530" s="5" t="s">
        <v>38</v>
      </c>
      <c r="H2530" s="5" t="s">
        <v>18</v>
      </c>
      <c r="I2530" s="7" t="s">
        <v>4142</v>
      </c>
    </row>
    <row r="2531">
      <c r="A2531" s="5" t="s">
        <v>7048</v>
      </c>
      <c r="B2531" s="5" t="s">
        <v>110</v>
      </c>
      <c r="D2531" s="6" t="s">
        <v>11163</v>
      </c>
      <c r="E2531" s="5" t="s">
        <v>1809</v>
      </c>
      <c r="F2531" s="5" t="s">
        <v>6577</v>
      </c>
      <c r="G2531" s="5" t="s">
        <v>4757</v>
      </c>
      <c r="H2531" s="5" t="s">
        <v>4607</v>
      </c>
      <c r="I2531" s="7" t="s">
        <v>7047</v>
      </c>
    </row>
    <row r="2532">
      <c r="A2532" s="5" t="s">
        <v>6764</v>
      </c>
      <c r="B2532" s="5" t="s">
        <v>6765</v>
      </c>
      <c r="D2532" s="6" t="s">
        <v>11163</v>
      </c>
      <c r="E2532" s="5" t="s">
        <v>500</v>
      </c>
      <c r="F2532" s="5" t="s">
        <v>6577</v>
      </c>
      <c r="G2532" s="5" t="s">
        <v>4757</v>
      </c>
      <c r="H2532" s="5" t="s">
        <v>4607</v>
      </c>
      <c r="I2532" s="7" t="s">
        <v>6763</v>
      </c>
    </row>
    <row r="2533">
      <c r="A2533" s="5" t="s">
        <v>4143</v>
      </c>
      <c r="B2533" s="5" t="s">
        <v>4144</v>
      </c>
      <c r="C2533" s="5" t="s">
        <v>13</v>
      </c>
      <c r="D2533" s="5" t="s">
        <v>4145</v>
      </c>
      <c r="E2533" s="5" t="s">
        <v>4146</v>
      </c>
      <c r="F2533" s="5" t="s">
        <v>1527</v>
      </c>
      <c r="G2533" s="5" t="s">
        <v>945</v>
      </c>
      <c r="H2533" s="5" t="s">
        <v>18</v>
      </c>
      <c r="I2533" s="7" t="s">
        <v>4147</v>
      </c>
    </row>
    <row r="2534">
      <c r="A2534" s="5" t="s">
        <v>4148</v>
      </c>
      <c r="B2534" s="5" t="s">
        <v>4149</v>
      </c>
      <c r="C2534" s="5" t="s">
        <v>13</v>
      </c>
      <c r="D2534" s="5" t="s">
        <v>4145</v>
      </c>
      <c r="E2534" s="5" t="s">
        <v>4150</v>
      </c>
      <c r="F2534" s="5" t="s">
        <v>953</v>
      </c>
      <c r="G2534" s="5" t="s">
        <v>954</v>
      </c>
      <c r="H2534" s="5" t="s">
        <v>18</v>
      </c>
      <c r="I2534" s="7" t="s">
        <v>4151</v>
      </c>
    </row>
    <row r="2535">
      <c r="A2535" s="5" t="s">
        <v>4152</v>
      </c>
      <c r="B2535" s="5" t="s">
        <v>4153</v>
      </c>
      <c r="C2535" s="5" t="s">
        <v>13</v>
      </c>
      <c r="D2535" s="5" t="s">
        <v>4145</v>
      </c>
      <c r="E2535" s="5" t="s">
        <v>1570</v>
      </c>
      <c r="F2535" s="5" t="s">
        <v>4154</v>
      </c>
      <c r="G2535" s="5" t="s">
        <v>945</v>
      </c>
      <c r="H2535" s="5" t="s">
        <v>18</v>
      </c>
      <c r="I2535" s="7" t="s">
        <v>4155</v>
      </c>
    </row>
    <row r="2536">
      <c r="A2536" s="5" t="s">
        <v>4156</v>
      </c>
      <c r="B2536" s="5" t="s">
        <v>4157</v>
      </c>
      <c r="C2536" s="5" t="s">
        <v>13</v>
      </c>
      <c r="D2536" s="5" t="s">
        <v>4145</v>
      </c>
      <c r="E2536" s="5" t="s">
        <v>4158</v>
      </c>
      <c r="F2536" s="5" t="s">
        <v>2339</v>
      </c>
      <c r="G2536" s="5" t="s">
        <v>781</v>
      </c>
      <c r="H2536" s="5" t="s">
        <v>18</v>
      </c>
      <c r="I2536" s="7" t="s">
        <v>4159</v>
      </c>
    </row>
    <row r="2537">
      <c r="A2537" s="5" t="s">
        <v>4160</v>
      </c>
      <c r="B2537" s="5" t="s">
        <v>4144</v>
      </c>
      <c r="C2537" s="5" t="s">
        <v>13</v>
      </c>
      <c r="D2537" s="5" t="s">
        <v>4145</v>
      </c>
      <c r="E2537" s="5" t="s">
        <v>1617</v>
      </c>
      <c r="F2537" s="5" t="s">
        <v>4161</v>
      </c>
      <c r="G2537" s="5" t="s">
        <v>38</v>
      </c>
      <c r="H2537" s="5" t="s">
        <v>18</v>
      </c>
      <c r="I2537" s="7" t="s">
        <v>11164</v>
      </c>
    </row>
    <row r="2538">
      <c r="A2538" s="5" t="s">
        <v>4163</v>
      </c>
      <c r="B2538" s="5" t="s">
        <v>4164</v>
      </c>
      <c r="C2538" s="5" t="s">
        <v>13</v>
      </c>
      <c r="D2538" s="5" t="s">
        <v>4145</v>
      </c>
      <c r="E2538" s="5" t="s">
        <v>4165</v>
      </c>
      <c r="F2538" s="5" t="s">
        <v>75</v>
      </c>
      <c r="G2538" s="5" t="s">
        <v>76</v>
      </c>
      <c r="H2538" s="5" t="s">
        <v>18</v>
      </c>
      <c r="I2538" s="7" t="s">
        <v>11165</v>
      </c>
    </row>
    <row r="2539">
      <c r="A2539" s="5" t="s">
        <v>4167</v>
      </c>
      <c r="B2539" s="5" t="s">
        <v>4168</v>
      </c>
      <c r="C2539" s="5" t="s">
        <v>13</v>
      </c>
      <c r="D2539" s="5" t="s">
        <v>4145</v>
      </c>
      <c r="E2539" s="5" t="s">
        <v>4169</v>
      </c>
      <c r="F2539" s="5" t="s">
        <v>80</v>
      </c>
      <c r="G2539" s="5" t="s">
        <v>38</v>
      </c>
      <c r="H2539" s="5" t="s">
        <v>18</v>
      </c>
      <c r="I2539" s="7" t="s">
        <v>11166</v>
      </c>
    </row>
    <row r="2540">
      <c r="A2540" s="5" t="s">
        <v>4171</v>
      </c>
      <c r="B2540" s="5" t="s">
        <v>4172</v>
      </c>
      <c r="C2540" s="5" t="s">
        <v>13</v>
      </c>
      <c r="D2540" s="5" t="s">
        <v>4145</v>
      </c>
      <c r="E2540" s="5" t="s">
        <v>570</v>
      </c>
      <c r="F2540" s="5" t="s">
        <v>80</v>
      </c>
      <c r="G2540" s="5" t="s">
        <v>38</v>
      </c>
      <c r="H2540" s="5" t="s">
        <v>18</v>
      </c>
      <c r="I2540" s="7" t="s">
        <v>11167</v>
      </c>
    </row>
    <row r="2541">
      <c r="A2541" s="5" t="s">
        <v>4174</v>
      </c>
      <c r="B2541" s="5" t="s">
        <v>4175</v>
      </c>
      <c r="C2541" s="5" t="s">
        <v>13</v>
      </c>
      <c r="D2541" s="5" t="s">
        <v>4145</v>
      </c>
      <c r="E2541" s="5" t="s">
        <v>512</v>
      </c>
      <c r="F2541" s="5" t="s">
        <v>80</v>
      </c>
      <c r="G2541" s="5" t="s">
        <v>38</v>
      </c>
      <c r="H2541" s="5" t="s">
        <v>18</v>
      </c>
      <c r="I2541" s="7" t="s">
        <v>11168</v>
      </c>
    </row>
    <row r="2542">
      <c r="A2542" s="5" t="s">
        <v>4177</v>
      </c>
      <c r="B2542" s="5" t="s">
        <v>4178</v>
      </c>
      <c r="C2542" s="5" t="s">
        <v>13</v>
      </c>
      <c r="D2542" s="5" t="s">
        <v>4145</v>
      </c>
      <c r="E2542" s="5" t="s">
        <v>1538</v>
      </c>
      <c r="F2542" s="5" t="s">
        <v>80</v>
      </c>
      <c r="G2542" s="5" t="s">
        <v>38</v>
      </c>
      <c r="H2542" s="5" t="s">
        <v>18</v>
      </c>
      <c r="I2542" s="7" t="s">
        <v>11169</v>
      </c>
    </row>
    <row r="2543">
      <c r="A2543" s="5" t="s">
        <v>4180</v>
      </c>
      <c r="B2543" s="5" t="s">
        <v>4181</v>
      </c>
      <c r="C2543" s="5" t="s">
        <v>13</v>
      </c>
      <c r="D2543" s="5" t="s">
        <v>4145</v>
      </c>
      <c r="E2543" s="5" t="s">
        <v>149</v>
      </c>
      <c r="F2543" s="5" t="s">
        <v>1527</v>
      </c>
      <c r="G2543" s="5" t="s">
        <v>945</v>
      </c>
      <c r="H2543" s="5" t="s">
        <v>18</v>
      </c>
      <c r="I2543" s="7" t="s">
        <v>11170</v>
      </c>
    </row>
    <row r="2544">
      <c r="A2544" s="5" t="s">
        <v>4183</v>
      </c>
      <c r="B2544" s="5" t="s">
        <v>25</v>
      </c>
      <c r="C2544" s="5" t="s">
        <v>13</v>
      </c>
      <c r="D2544" s="5" t="s">
        <v>4145</v>
      </c>
      <c r="E2544" s="5" t="s">
        <v>2428</v>
      </c>
      <c r="F2544" s="5" t="s">
        <v>953</v>
      </c>
      <c r="G2544" s="5" t="s">
        <v>954</v>
      </c>
      <c r="H2544" s="5" t="s">
        <v>18</v>
      </c>
      <c r="I2544" s="7" t="s">
        <v>11171</v>
      </c>
    </row>
    <row r="2545">
      <c r="A2545" s="5" t="s">
        <v>4185</v>
      </c>
      <c r="B2545" s="5" t="s">
        <v>4186</v>
      </c>
      <c r="C2545" s="5" t="s">
        <v>13</v>
      </c>
      <c r="D2545" s="5" t="s">
        <v>4145</v>
      </c>
      <c r="E2545" s="5" t="s">
        <v>1425</v>
      </c>
      <c r="F2545" s="5" t="s">
        <v>4187</v>
      </c>
      <c r="G2545" s="5" t="s">
        <v>945</v>
      </c>
      <c r="H2545" s="5" t="s">
        <v>18</v>
      </c>
      <c r="I2545" s="7" t="s">
        <v>11172</v>
      </c>
    </row>
    <row r="2546">
      <c r="A2546" s="5" t="s">
        <v>5119</v>
      </c>
      <c r="B2546" s="5" t="s">
        <v>5120</v>
      </c>
      <c r="D2546" s="5" t="s">
        <v>4191</v>
      </c>
      <c r="E2546" s="5" t="s">
        <v>2276</v>
      </c>
      <c r="F2546" s="5" t="s">
        <v>2209</v>
      </c>
      <c r="G2546" s="5" t="s">
        <v>137</v>
      </c>
      <c r="H2546" s="5" t="s">
        <v>18</v>
      </c>
      <c r="I2546" s="7" t="s">
        <v>11173</v>
      </c>
    </row>
    <row r="2547">
      <c r="A2547" s="5" t="s">
        <v>10171</v>
      </c>
      <c r="B2547" s="5" t="s">
        <v>10172</v>
      </c>
      <c r="D2547" s="5" t="s">
        <v>4191</v>
      </c>
      <c r="E2547" s="5" t="s">
        <v>10173</v>
      </c>
      <c r="F2547" s="5" t="s">
        <v>4240</v>
      </c>
      <c r="G2547" s="5" t="s">
        <v>203</v>
      </c>
      <c r="H2547" s="5" t="s">
        <v>18</v>
      </c>
      <c r="I2547" s="7" t="s">
        <v>11174</v>
      </c>
    </row>
    <row r="2548">
      <c r="A2548" s="5" t="s">
        <v>4189</v>
      </c>
      <c r="B2548" s="5" t="s">
        <v>4190</v>
      </c>
      <c r="C2548" s="5" t="s">
        <v>13</v>
      </c>
      <c r="D2548" s="5" t="s">
        <v>4191</v>
      </c>
      <c r="E2548" s="5" t="s">
        <v>36</v>
      </c>
      <c r="F2548" s="5" t="s">
        <v>4192</v>
      </c>
      <c r="G2548" s="5" t="s">
        <v>44</v>
      </c>
      <c r="H2548" s="5" t="s">
        <v>18</v>
      </c>
      <c r="I2548" s="7" t="s">
        <v>11175</v>
      </c>
    </row>
    <row r="2549">
      <c r="A2549" s="5" t="s">
        <v>4194</v>
      </c>
      <c r="B2549" s="5" t="s">
        <v>4195</v>
      </c>
      <c r="C2549" s="5" t="s">
        <v>13</v>
      </c>
      <c r="D2549" s="5" t="s">
        <v>4191</v>
      </c>
      <c r="E2549" s="5" t="s">
        <v>2322</v>
      </c>
      <c r="F2549" s="5" t="s">
        <v>85</v>
      </c>
      <c r="G2549" s="5" t="s">
        <v>86</v>
      </c>
      <c r="H2549" s="5" t="s">
        <v>18</v>
      </c>
      <c r="I2549" s="7" t="s">
        <v>11176</v>
      </c>
    </row>
    <row r="2550">
      <c r="A2550" s="5" t="s">
        <v>4197</v>
      </c>
      <c r="B2550" s="5" t="s">
        <v>4198</v>
      </c>
      <c r="C2550" s="5" t="s">
        <v>13</v>
      </c>
      <c r="D2550" s="5" t="s">
        <v>4191</v>
      </c>
      <c r="E2550" s="5" t="s">
        <v>354</v>
      </c>
      <c r="F2550" s="5" t="s">
        <v>1304</v>
      </c>
      <c r="G2550" s="5" t="s">
        <v>1305</v>
      </c>
      <c r="H2550" s="5" t="s">
        <v>18</v>
      </c>
      <c r="I2550" s="7" t="s">
        <v>4199</v>
      </c>
    </row>
    <row r="2551">
      <c r="A2551" s="5" t="s">
        <v>4200</v>
      </c>
      <c r="B2551" s="5" t="s">
        <v>4201</v>
      </c>
      <c r="C2551" s="5" t="s">
        <v>13</v>
      </c>
      <c r="D2551" s="5" t="s">
        <v>4191</v>
      </c>
      <c r="E2551" s="5" t="s">
        <v>691</v>
      </c>
      <c r="F2551" s="5" t="s">
        <v>4137</v>
      </c>
      <c r="G2551" s="5" t="s">
        <v>44</v>
      </c>
      <c r="H2551" s="5" t="s">
        <v>18</v>
      </c>
      <c r="I2551" s="7" t="s">
        <v>11177</v>
      </c>
    </row>
    <row r="2552">
      <c r="A2552" s="5" t="s">
        <v>4203</v>
      </c>
      <c r="B2552" s="5" t="s">
        <v>4204</v>
      </c>
      <c r="C2552" s="5" t="s">
        <v>13</v>
      </c>
      <c r="D2552" s="5" t="s">
        <v>4191</v>
      </c>
      <c r="E2552" s="5" t="s">
        <v>686</v>
      </c>
      <c r="F2552" s="5" t="s">
        <v>122</v>
      </c>
      <c r="G2552" s="5" t="s">
        <v>44</v>
      </c>
      <c r="H2552" s="5" t="s">
        <v>18</v>
      </c>
      <c r="I2552" s="7" t="s">
        <v>11178</v>
      </c>
    </row>
    <row r="2553">
      <c r="A2553" s="5" t="s">
        <v>4206</v>
      </c>
      <c r="B2553" s="5" t="s">
        <v>361</v>
      </c>
      <c r="C2553" s="5" t="s">
        <v>13</v>
      </c>
      <c r="D2553" s="5" t="s">
        <v>4191</v>
      </c>
      <c r="E2553" s="5" t="s">
        <v>144</v>
      </c>
      <c r="F2553" s="5" t="s">
        <v>122</v>
      </c>
      <c r="G2553" s="5" t="s">
        <v>44</v>
      </c>
      <c r="H2553" s="5" t="s">
        <v>18</v>
      </c>
      <c r="I2553" s="7" t="s">
        <v>4207</v>
      </c>
    </row>
    <row r="2554">
      <c r="A2554" s="5" t="s">
        <v>4208</v>
      </c>
      <c r="B2554" s="5" t="s">
        <v>4209</v>
      </c>
      <c r="C2554" s="5" t="s">
        <v>13</v>
      </c>
      <c r="D2554" s="5" t="s">
        <v>4191</v>
      </c>
      <c r="E2554" s="5" t="s">
        <v>886</v>
      </c>
      <c r="F2554" s="5" t="s">
        <v>122</v>
      </c>
      <c r="G2554" s="5" t="s">
        <v>44</v>
      </c>
      <c r="H2554" s="5" t="s">
        <v>18</v>
      </c>
      <c r="I2554" s="7" t="s">
        <v>11179</v>
      </c>
    </row>
    <row r="2555">
      <c r="A2555" s="5" t="s">
        <v>4211</v>
      </c>
      <c r="B2555" s="5" t="s">
        <v>4212</v>
      </c>
      <c r="C2555" s="5" t="s">
        <v>13</v>
      </c>
      <c r="D2555" s="5" t="s">
        <v>4191</v>
      </c>
      <c r="E2555" s="5" t="s">
        <v>1578</v>
      </c>
      <c r="F2555" s="5" t="s">
        <v>4213</v>
      </c>
      <c r="G2555" s="5" t="s">
        <v>203</v>
      </c>
      <c r="H2555" s="5" t="s">
        <v>18</v>
      </c>
      <c r="I2555" s="7" t="s">
        <v>11180</v>
      </c>
    </row>
    <row r="2556">
      <c r="A2556" s="5" t="s">
        <v>4215</v>
      </c>
      <c r="B2556" s="5" t="s">
        <v>4216</v>
      </c>
      <c r="C2556" s="5" t="s">
        <v>13</v>
      </c>
      <c r="D2556" s="5" t="s">
        <v>4191</v>
      </c>
      <c r="E2556" s="5" t="s">
        <v>437</v>
      </c>
      <c r="F2556" s="5" t="s">
        <v>137</v>
      </c>
      <c r="G2556" s="5" t="s">
        <v>137</v>
      </c>
      <c r="H2556" s="5" t="s">
        <v>18</v>
      </c>
      <c r="I2556" s="7" t="s">
        <v>11181</v>
      </c>
    </row>
    <row r="2557">
      <c r="A2557" s="5" t="s">
        <v>4218</v>
      </c>
      <c r="B2557" s="5" t="s">
        <v>4219</v>
      </c>
      <c r="C2557" s="5" t="s">
        <v>13</v>
      </c>
      <c r="D2557" s="5" t="s">
        <v>4191</v>
      </c>
      <c r="E2557" s="5" t="s">
        <v>1921</v>
      </c>
      <c r="F2557" s="5" t="s">
        <v>4220</v>
      </c>
      <c r="G2557" s="5" t="s">
        <v>184</v>
      </c>
      <c r="H2557" s="5" t="s">
        <v>18</v>
      </c>
      <c r="I2557" s="7" t="s">
        <v>11182</v>
      </c>
    </row>
    <row r="2558">
      <c r="A2558" s="5" t="s">
        <v>4222</v>
      </c>
      <c r="B2558" s="5" t="s">
        <v>25</v>
      </c>
      <c r="C2558" s="5" t="s">
        <v>13</v>
      </c>
      <c r="D2558" s="5" t="s">
        <v>4191</v>
      </c>
      <c r="E2558" s="5" t="s">
        <v>421</v>
      </c>
      <c r="F2558" s="5" t="s">
        <v>1437</v>
      </c>
      <c r="G2558" s="5" t="s">
        <v>203</v>
      </c>
      <c r="H2558" s="5" t="s">
        <v>18</v>
      </c>
      <c r="I2558" s="7" t="s">
        <v>4223</v>
      </c>
    </row>
    <row r="2559">
      <c r="A2559" s="5" t="s">
        <v>4224</v>
      </c>
      <c r="B2559" s="5" t="s">
        <v>4225</v>
      </c>
      <c r="C2559" s="5" t="s">
        <v>13</v>
      </c>
      <c r="D2559" s="5" t="s">
        <v>4191</v>
      </c>
      <c r="E2559" s="5" t="s">
        <v>421</v>
      </c>
      <c r="F2559" s="5" t="s">
        <v>1437</v>
      </c>
      <c r="G2559" s="5" t="s">
        <v>203</v>
      </c>
      <c r="H2559" s="5" t="s">
        <v>18</v>
      </c>
      <c r="I2559" s="7" t="s">
        <v>11183</v>
      </c>
    </row>
    <row r="2560">
      <c r="A2560" s="5" t="s">
        <v>4227</v>
      </c>
      <c r="B2560" s="5" t="s">
        <v>4228</v>
      </c>
      <c r="C2560" s="5" t="s">
        <v>13</v>
      </c>
      <c r="D2560" s="5" t="s">
        <v>4191</v>
      </c>
      <c r="E2560" s="5" t="s">
        <v>2890</v>
      </c>
      <c r="F2560" s="5" t="s">
        <v>1437</v>
      </c>
      <c r="G2560" s="5" t="s">
        <v>203</v>
      </c>
      <c r="H2560" s="5" t="s">
        <v>18</v>
      </c>
      <c r="I2560" s="7" t="s">
        <v>11184</v>
      </c>
    </row>
    <row r="2561">
      <c r="A2561" s="5" t="s">
        <v>525</v>
      </c>
      <c r="B2561" s="5" t="s">
        <v>4230</v>
      </c>
      <c r="C2561" s="5" t="s">
        <v>13</v>
      </c>
      <c r="D2561" s="5" t="s">
        <v>4191</v>
      </c>
      <c r="E2561" s="5" t="s">
        <v>63</v>
      </c>
      <c r="F2561" s="5" t="s">
        <v>1437</v>
      </c>
      <c r="G2561" s="5" t="s">
        <v>203</v>
      </c>
      <c r="H2561" s="5" t="s">
        <v>18</v>
      </c>
      <c r="I2561" s="7" t="s">
        <v>11185</v>
      </c>
    </row>
    <row r="2562">
      <c r="A2562" s="5" t="s">
        <v>4232</v>
      </c>
      <c r="B2562" s="5" t="s">
        <v>4233</v>
      </c>
      <c r="C2562" s="5" t="s">
        <v>13</v>
      </c>
      <c r="D2562" s="5" t="s">
        <v>4191</v>
      </c>
      <c r="E2562" s="5" t="s">
        <v>754</v>
      </c>
      <c r="F2562" s="5" t="s">
        <v>1437</v>
      </c>
      <c r="G2562" s="5" t="s">
        <v>203</v>
      </c>
      <c r="H2562" s="5" t="s">
        <v>18</v>
      </c>
      <c r="I2562" s="7" t="s">
        <v>11186</v>
      </c>
    </row>
    <row r="2563">
      <c r="A2563" s="5" t="s">
        <v>4235</v>
      </c>
      <c r="B2563" s="5" t="s">
        <v>25</v>
      </c>
      <c r="C2563" s="5" t="s">
        <v>13</v>
      </c>
      <c r="D2563" s="5" t="s">
        <v>4191</v>
      </c>
      <c r="E2563" s="5" t="s">
        <v>121</v>
      </c>
      <c r="F2563" s="5" t="s">
        <v>4236</v>
      </c>
      <c r="G2563" s="5" t="s">
        <v>203</v>
      </c>
      <c r="H2563" s="5" t="s">
        <v>18</v>
      </c>
      <c r="I2563" s="7" t="s">
        <v>11187</v>
      </c>
    </row>
    <row r="2564">
      <c r="A2564" s="5" t="s">
        <v>4238</v>
      </c>
      <c r="B2564" s="5" t="s">
        <v>4239</v>
      </c>
      <c r="C2564" s="5" t="s">
        <v>13</v>
      </c>
      <c r="D2564" s="5" t="s">
        <v>4191</v>
      </c>
      <c r="E2564" s="5" t="s">
        <v>36</v>
      </c>
      <c r="F2564" s="5" t="s">
        <v>4240</v>
      </c>
      <c r="G2564" s="5" t="s">
        <v>203</v>
      </c>
      <c r="H2564" s="5" t="s">
        <v>18</v>
      </c>
      <c r="I2564" s="7" t="s">
        <v>11188</v>
      </c>
    </row>
    <row r="2565">
      <c r="A2565" s="5" t="s">
        <v>4242</v>
      </c>
      <c r="B2565" s="5" t="s">
        <v>4225</v>
      </c>
      <c r="C2565" s="5" t="s">
        <v>13</v>
      </c>
      <c r="D2565" s="5" t="s">
        <v>4191</v>
      </c>
      <c r="E2565" s="5" t="s">
        <v>15</v>
      </c>
      <c r="F2565" s="5" t="s">
        <v>4240</v>
      </c>
      <c r="G2565" s="5" t="s">
        <v>203</v>
      </c>
      <c r="H2565" s="5" t="s">
        <v>18</v>
      </c>
      <c r="I2565" s="7" t="s">
        <v>11189</v>
      </c>
    </row>
    <row r="2566">
      <c r="A2566" s="5" t="s">
        <v>4244</v>
      </c>
      <c r="B2566" s="5" t="s">
        <v>4245</v>
      </c>
      <c r="C2566" s="5" t="s">
        <v>13</v>
      </c>
      <c r="D2566" s="5" t="s">
        <v>4191</v>
      </c>
      <c r="E2566" s="5" t="s">
        <v>26</v>
      </c>
      <c r="F2566" s="5" t="s">
        <v>4246</v>
      </c>
      <c r="G2566" s="5" t="s">
        <v>203</v>
      </c>
      <c r="H2566" s="5" t="s">
        <v>18</v>
      </c>
      <c r="I2566" s="7" t="s">
        <v>11190</v>
      </c>
    </row>
    <row r="2567">
      <c r="A2567" s="5" t="s">
        <v>4248</v>
      </c>
      <c r="B2567" s="5" t="s">
        <v>4249</v>
      </c>
      <c r="C2567" s="5" t="s">
        <v>13</v>
      </c>
      <c r="D2567" s="5" t="s">
        <v>4191</v>
      </c>
      <c r="E2567" s="5" t="s">
        <v>4250</v>
      </c>
      <c r="F2567" s="5" t="s">
        <v>153</v>
      </c>
      <c r="G2567" s="5" t="s">
        <v>154</v>
      </c>
      <c r="H2567" s="5" t="s">
        <v>18</v>
      </c>
      <c r="I2567" s="7" t="s">
        <v>4251</v>
      </c>
    </row>
    <row r="2568">
      <c r="A2568" s="5" t="s">
        <v>6792</v>
      </c>
      <c r="B2568" s="5" t="s">
        <v>5054</v>
      </c>
      <c r="D2568" s="5" t="s">
        <v>6793</v>
      </c>
      <c r="E2568" s="5" t="s">
        <v>283</v>
      </c>
      <c r="F2568" s="5" t="s">
        <v>6577</v>
      </c>
      <c r="G2568" s="5" t="s">
        <v>4757</v>
      </c>
      <c r="H2568" s="5" t="s">
        <v>4607</v>
      </c>
      <c r="I2568" s="7" t="s">
        <v>11191</v>
      </c>
    </row>
    <row r="2569">
      <c r="A2569" s="5" t="s">
        <v>8961</v>
      </c>
      <c r="B2569" s="5" t="s">
        <v>8962</v>
      </c>
      <c r="D2569" s="5" t="s">
        <v>6793</v>
      </c>
      <c r="E2569" s="5" t="s">
        <v>79</v>
      </c>
      <c r="F2569" s="5" t="s">
        <v>7722</v>
      </c>
      <c r="G2569" s="5" t="s">
        <v>5566</v>
      </c>
      <c r="H2569" s="5" t="s">
        <v>4619</v>
      </c>
      <c r="I2569" s="7" t="s">
        <v>8960</v>
      </c>
    </row>
    <row r="2570">
      <c r="A2570" s="5" t="s">
        <v>4252</v>
      </c>
      <c r="B2570" s="5" t="s">
        <v>4253</v>
      </c>
      <c r="C2570" s="5" t="s">
        <v>13</v>
      </c>
      <c r="D2570" s="5" t="s">
        <v>4254</v>
      </c>
      <c r="E2570" s="5" t="s">
        <v>822</v>
      </c>
      <c r="F2570" s="5" t="s">
        <v>16</v>
      </c>
      <c r="G2570" s="5" t="s">
        <v>17</v>
      </c>
      <c r="H2570" s="5" t="s">
        <v>18</v>
      </c>
      <c r="I2570" s="7" t="s">
        <v>11192</v>
      </c>
    </row>
    <row r="2571">
      <c r="A2571" s="5" t="s">
        <v>4256</v>
      </c>
      <c r="B2571" s="5" t="s">
        <v>404</v>
      </c>
      <c r="C2571" s="5" t="s">
        <v>13</v>
      </c>
      <c r="D2571" s="5" t="s">
        <v>4254</v>
      </c>
      <c r="E2571" s="5" t="s">
        <v>182</v>
      </c>
      <c r="F2571" s="5" t="s">
        <v>49</v>
      </c>
      <c r="G2571" s="5" t="s">
        <v>50</v>
      </c>
      <c r="H2571" s="5" t="s">
        <v>18</v>
      </c>
      <c r="I2571" s="7" t="s">
        <v>4257</v>
      </c>
    </row>
    <row r="2572">
      <c r="A2572" s="5" t="s">
        <v>4258</v>
      </c>
      <c r="B2572" s="5" t="s">
        <v>4259</v>
      </c>
      <c r="C2572" s="5" t="s">
        <v>13</v>
      </c>
      <c r="D2572" s="5" t="s">
        <v>4254</v>
      </c>
      <c r="E2572" s="5" t="s">
        <v>339</v>
      </c>
      <c r="F2572" s="5" t="s">
        <v>49</v>
      </c>
      <c r="G2572" s="5" t="s">
        <v>50</v>
      </c>
      <c r="H2572" s="5" t="s">
        <v>18</v>
      </c>
      <c r="I2572" s="7" t="s">
        <v>4260</v>
      </c>
    </row>
    <row r="2573">
      <c r="A2573" s="5" t="s">
        <v>4261</v>
      </c>
      <c r="B2573" s="5" t="s">
        <v>404</v>
      </c>
      <c r="C2573" s="5" t="s">
        <v>13</v>
      </c>
      <c r="D2573" s="5" t="s">
        <v>4254</v>
      </c>
      <c r="E2573" s="5" t="s">
        <v>257</v>
      </c>
      <c r="F2573" s="5" t="s">
        <v>4262</v>
      </c>
      <c r="G2573" s="5" t="s">
        <v>17</v>
      </c>
      <c r="H2573" s="5" t="s">
        <v>18</v>
      </c>
      <c r="I2573" s="7" t="s">
        <v>4263</v>
      </c>
    </row>
    <row r="2574">
      <c r="A2574" s="5" t="s">
        <v>4264</v>
      </c>
      <c r="B2574" s="5" t="s">
        <v>110</v>
      </c>
      <c r="C2574" s="5" t="s">
        <v>13</v>
      </c>
      <c r="D2574" s="5" t="s">
        <v>4254</v>
      </c>
      <c r="E2574" s="5" t="s">
        <v>585</v>
      </c>
      <c r="F2574" s="5" t="s">
        <v>1473</v>
      </c>
      <c r="G2574" s="5" t="s">
        <v>50</v>
      </c>
      <c r="H2574" s="5" t="s">
        <v>18</v>
      </c>
      <c r="I2574" s="7" t="s">
        <v>4265</v>
      </c>
    </row>
    <row r="2575">
      <c r="A2575" s="5" t="s">
        <v>4266</v>
      </c>
      <c r="B2575" s="5" t="s">
        <v>404</v>
      </c>
      <c r="C2575" s="5" t="s">
        <v>13</v>
      </c>
      <c r="D2575" s="5" t="s">
        <v>4254</v>
      </c>
      <c r="E2575" s="5" t="s">
        <v>339</v>
      </c>
      <c r="F2575" s="5" t="s">
        <v>4267</v>
      </c>
      <c r="G2575" s="5" t="s">
        <v>50</v>
      </c>
      <c r="H2575" s="5" t="s">
        <v>18</v>
      </c>
      <c r="I2575" s="7" t="s">
        <v>11193</v>
      </c>
    </row>
    <row r="2576">
      <c r="A2576" s="5" t="s">
        <v>6898</v>
      </c>
      <c r="B2576" s="5" t="s">
        <v>6899</v>
      </c>
      <c r="D2576" s="5" t="s">
        <v>4270</v>
      </c>
      <c r="E2576" s="5" t="s">
        <v>182</v>
      </c>
      <c r="F2576" s="5" t="s">
        <v>6577</v>
      </c>
      <c r="G2576" s="5" t="s">
        <v>4757</v>
      </c>
      <c r="H2576" s="5" t="s">
        <v>4607</v>
      </c>
      <c r="I2576" s="7" t="s">
        <v>6897</v>
      </c>
    </row>
    <row r="2577">
      <c r="A2577" s="5" t="s">
        <v>4269</v>
      </c>
      <c r="B2577" s="5" t="s">
        <v>110</v>
      </c>
      <c r="C2577" s="5" t="s">
        <v>13</v>
      </c>
      <c r="D2577" s="5" t="s">
        <v>4270</v>
      </c>
      <c r="E2577" s="5" t="s">
        <v>36</v>
      </c>
      <c r="F2577" s="5" t="s">
        <v>137</v>
      </c>
      <c r="G2577" s="5" t="s">
        <v>137</v>
      </c>
      <c r="H2577" s="5" t="s">
        <v>18</v>
      </c>
      <c r="I2577" s="7" t="s">
        <v>4271</v>
      </c>
    </row>
    <row r="2578">
      <c r="A2578" s="5" t="s">
        <v>4272</v>
      </c>
      <c r="B2578" s="5" t="s">
        <v>110</v>
      </c>
      <c r="C2578" s="5" t="s">
        <v>13</v>
      </c>
      <c r="D2578" s="5" t="s">
        <v>4270</v>
      </c>
      <c r="E2578" s="5" t="s">
        <v>79</v>
      </c>
      <c r="F2578" s="5" t="s">
        <v>1859</v>
      </c>
      <c r="G2578" s="5" t="s">
        <v>44</v>
      </c>
      <c r="H2578" s="5" t="s">
        <v>18</v>
      </c>
      <c r="I2578" s="7" t="s">
        <v>4273</v>
      </c>
    </row>
    <row r="2579">
      <c r="A2579" s="5" t="s">
        <v>4274</v>
      </c>
      <c r="B2579" s="5" t="s">
        <v>4275</v>
      </c>
      <c r="C2579" s="5" t="s">
        <v>13</v>
      </c>
      <c r="D2579" s="5" t="s">
        <v>4270</v>
      </c>
      <c r="E2579" s="5" t="s">
        <v>832</v>
      </c>
      <c r="F2579" s="5" t="s">
        <v>166</v>
      </c>
      <c r="G2579" s="5" t="s">
        <v>44</v>
      </c>
      <c r="H2579" s="5" t="s">
        <v>18</v>
      </c>
      <c r="I2579" s="7" t="s">
        <v>11194</v>
      </c>
    </row>
    <row r="2580">
      <c r="A2580" s="5" t="s">
        <v>4277</v>
      </c>
      <c r="B2580" s="5" t="s">
        <v>4278</v>
      </c>
      <c r="C2580" s="5" t="s">
        <v>4</v>
      </c>
      <c r="D2580" s="5" t="s">
        <v>4270</v>
      </c>
      <c r="E2580" s="5" t="s">
        <v>283</v>
      </c>
      <c r="F2580" s="5" t="s">
        <v>166</v>
      </c>
      <c r="G2580" s="5" t="s">
        <v>44</v>
      </c>
      <c r="H2580" s="5" t="s">
        <v>18</v>
      </c>
      <c r="I2580" s="7" t="s">
        <v>11195</v>
      </c>
    </row>
    <row r="2581">
      <c r="A2581" s="5" t="s">
        <v>4280</v>
      </c>
      <c r="B2581" s="5" t="s">
        <v>4281</v>
      </c>
      <c r="C2581" s="5" t="s">
        <v>13</v>
      </c>
      <c r="D2581" s="5" t="s">
        <v>4282</v>
      </c>
      <c r="E2581" s="5" t="s">
        <v>1950</v>
      </c>
      <c r="F2581" s="5" t="s">
        <v>137</v>
      </c>
      <c r="G2581" s="5" t="s">
        <v>137</v>
      </c>
      <c r="H2581" s="5" t="s">
        <v>18</v>
      </c>
      <c r="I2581" s="7" t="s">
        <v>11196</v>
      </c>
    </row>
    <row r="2582">
      <c r="A2582" s="5" t="s">
        <v>4284</v>
      </c>
      <c r="B2582" s="5" t="s">
        <v>515</v>
      </c>
      <c r="C2582" s="5" t="s">
        <v>13</v>
      </c>
      <c r="D2582" s="5" t="s">
        <v>4282</v>
      </c>
      <c r="E2582" s="5" t="s">
        <v>387</v>
      </c>
      <c r="F2582" s="5" t="s">
        <v>137</v>
      </c>
      <c r="G2582" s="5" t="s">
        <v>137</v>
      </c>
      <c r="H2582" s="5" t="s">
        <v>18</v>
      </c>
      <c r="I2582" s="7" t="s">
        <v>4285</v>
      </c>
    </row>
    <row r="2583">
      <c r="A2583" s="5" t="s">
        <v>4286</v>
      </c>
      <c r="B2583" s="5" t="s">
        <v>4287</v>
      </c>
      <c r="C2583" s="5" t="s">
        <v>13</v>
      </c>
      <c r="D2583" s="5" t="s">
        <v>4282</v>
      </c>
      <c r="E2583" s="5" t="s">
        <v>48</v>
      </c>
      <c r="F2583" s="5" t="s">
        <v>137</v>
      </c>
      <c r="G2583" s="5" t="s">
        <v>137</v>
      </c>
      <c r="H2583" s="5" t="s">
        <v>18</v>
      </c>
      <c r="I2583" s="7" t="s">
        <v>4288</v>
      </c>
    </row>
    <row r="2584">
      <c r="A2584" s="5" t="s">
        <v>4289</v>
      </c>
      <c r="B2584" s="5" t="s">
        <v>4290</v>
      </c>
      <c r="C2584" s="5" t="s">
        <v>13</v>
      </c>
      <c r="D2584" s="5" t="s">
        <v>4291</v>
      </c>
      <c r="E2584" s="5" t="s">
        <v>15</v>
      </c>
      <c r="F2584" s="5" t="s">
        <v>16</v>
      </c>
      <c r="G2584" s="5" t="s">
        <v>17</v>
      </c>
      <c r="H2584" s="5" t="s">
        <v>18</v>
      </c>
      <c r="I2584" s="7" t="s">
        <v>4292</v>
      </c>
    </row>
    <row r="2585">
      <c r="A2585" s="5" t="s">
        <v>4293</v>
      </c>
      <c r="B2585" s="5" t="s">
        <v>4294</v>
      </c>
      <c r="C2585" s="5" t="s">
        <v>13</v>
      </c>
      <c r="D2585" s="5" t="s">
        <v>4291</v>
      </c>
      <c r="E2585" s="5" t="s">
        <v>399</v>
      </c>
      <c r="F2585" s="5" t="s">
        <v>1274</v>
      </c>
      <c r="G2585" s="5" t="s">
        <v>76</v>
      </c>
      <c r="H2585" s="5" t="s">
        <v>18</v>
      </c>
      <c r="I2585" s="7" t="s">
        <v>4295</v>
      </c>
    </row>
    <row r="2586">
      <c r="A2586" s="5" t="s">
        <v>4296</v>
      </c>
      <c r="B2586" s="5" t="s">
        <v>4297</v>
      </c>
      <c r="C2586" s="5" t="s">
        <v>13</v>
      </c>
      <c r="D2586" s="5" t="s">
        <v>4291</v>
      </c>
      <c r="E2586" s="5" t="s">
        <v>36</v>
      </c>
      <c r="F2586" s="5" t="s">
        <v>218</v>
      </c>
      <c r="G2586" s="5" t="s">
        <v>219</v>
      </c>
      <c r="H2586" s="5" t="s">
        <v>18</v>
      </c>
      <c r="I2586" s="7" t="s">
        <v>4298</v>
      </c>
    </row>
    <row r="2587">
      <c r="A2587" s="5" t="s">
        <v>4299</v>
      </c>
      <c r="B2587" s="5" t="s">
        <v>4300</v>
      </c>
      <c r="C2587" s="5" t="s">
        <v>13</v>
      </c>
      <c r="D2587" s="5" t="s">
        <v>4291</v>
      </c>
      <c r="E2587" s="5" t="s">
        <v>283</v>
      </c>
      <c r="F2587" s="5" t="s">
        <v>953</v>
      </c>
      <c r="G2587" s="5" t="s">
        <v>954</v>
      </c>
      <c r="H2587" s="5" t="s">
        <v>18</v>
      </c>
      <c r="I2587" s="7" t="s">
        <v>11197</v>
      </c>
    </row>
    <row r="2588">
      <c r="A2588" s="5" t="s">
        <v>4302</v>
      </c>
      <c r="B2588" s="5" t="s">
        <v>4303</v>
      </c>
      <c r="C2588" s="5" t="s">
        <v>13</v>
      </c>
      <c r="D2588" s="5" t="s">
        <v>4291</v>
      </c>
      <c r="E2588" s="5" t="s">
        <v>217</v>
      </c>
      <c r="F2588" s="5" t="s">
        <v>953</v>
      </c>
      <c r="G2588" s="5" t="s">
        <v>954</v>
      </c>
      <c r="H2588" s="5" t="s">
        <v>18</v>
      </c>
      <c r="I2588" s="7" t="s">
        <v>4304</v>
      </c>
    </row>
    <row r="2589">
      <c r="A2589" s="5" t="s">
        <v>4305</v>
      </c>
      <c r="B2589" s="5" t="s">
        <v>4306</v>
      </c>
      <c r="C2589" s="5" t="s">
        <v>13</v>
      </c>
      <c r="D2589" s="5" t="s">
        <v>4291</v>
      </c>
      <c r="E2589" s="5" t="s">
        <v>496</v>
      </c>
      <c r="F2589" s="5" t="s">
        <v>953</v>
      </c>
      <c r="G2589" s="5" t="s">
        <v>954</v>
      </c>
      <c r="H2589" s="5" t="s">
        <v>18</v>
      </c>
      <c r="I2589" s="7" t="s">
        <v>11198</v>
      </c>
    </row>
    <row r="2590">
      <c r="A2590" s="5" t="s">
        <v>4308</v>
      </c>
      <c r="B2590" s="5" t="s">
        <v>4309</v>
      </c>
      <c r="C2590" s="5" t="s">
        <v>13</v>
      </c>
      <c r="D2590" s="5" t="s">
        <v>4291</v>
      </c>
      <c r="E2590" s="5" t="s">
        <v>512</v>
      </c>
      <c r="F2590" s="5" t="s">
        <v>953</v>
      </c>
      <c r="G2590" s="5" t="s">
        <v>954</v>
      </c>
      <c r="H2590" s="5" t="s">
        <v>18</v>
      </c>
      <c r="I2590" s="7" t="s">
        <v>11199</v>
      </c>
    </row>
    <row r="2591">
      <c r="A2591" s="5" t="s">
        <v>4311</v>
      </c>
      <c r="B2591" s="5" t="s">
        <v>4290</v>
      </c>
      <c r="C2591" s="5" t="s">
        <v>13</v>
      </c>
      <c r="D2591" s="5" t="s">
        <v>4291</v>
      </c>
      <c r="E2591" s="5" t="s">
        <v>207</v>
      </c>
      <c r="F2591" s="5" t="s">
        <v>1353</v>
      </c>
      <c r="G2591" s="5" t="s">
        <v>1354</v>
      </c>
      <c r="H2591" s="5" t="s">
        <v>18</v>
      </c>
      <c r="I2591" s="7" t="s">
        <v>4312</v>
      </c>
    </row>
    <row r="2592">
      <c r="A2592" s="5" t="s">
        <v>4313</v>
      </c>
      <c r="B2592" s="5" t="s">
        <v>4314</v>
      </c>
      <c r="C2592" s="5" t="s">
        <v>13</v>
      </c>
      <c r="D2592" s="5" t="s">
        <v>4291</v>
      </c>
      <c r="E2592" s="5" t="s">
        <v>890</v>
      </c>
      <c r="F2592" s="5" t="s">
        <v>1022</v>
      </c>
      <c r="G2592" s="5" t="s">
        <v>264</v>
      </c>
      <c r="H2592" s="5" t="s">
        <v>18</v>
      </c>
      <c r="I2592" s="7" t="s">
        <v>11200</v>
      </c>
    </row>
    <row r="2593">
      <c r="A2593" s="5" t="s">
        <v>4316</v>
      </c>
      <c r="B2593" s="5" t="s">
        <v>4317</v>
      </c>
      <c r="C2593" s="5" t="s">
        <v>13</v>
      </c>
      <c r="D2593" s="5" t="s">
        <v>4291</v>
      </c>
      <c r="E2593" s="5" t="s">
        <v>331</v>
      </c>
      <c r="F2593" s="5" t="s">
        <v>1022</v>
      </c>
      <c r="G2593" s="5" t="s">
        <v>264</v>
      </c>
      <c r="H2593" s="5" t="s">
        <v>18</v>
      </c>
      <c r="I2593" s="7" t="s">
        <v>4318</v>
      </c>
    </row>
    <row r="2594">
      <c r="A2594" s="5" t="s">
        <v>4319</v>
      </c>
      <c r="B2594" s="5" t="s">
        <v>2181</v>
      </c>
      <c r="C2594" s="5" t="s">
        <v>13</v>
      </c>
      <c r="D2594" s="5" t="s">
        <v>4320</v>
      </c>
      <c r="E2594" s="5" t="s">
        <v>686</v>
      </c>
      <c r="F2594" s="5" t="s">
        <v>295</v>
      </c>
      <c r="G2594" s="5" t="s">
        <v>154</v>
      </c>
      <c r="H2594" s="5" t="s">
        <v>18</v>
      </c>
      <c r="I2594" s="7" t="s">
        <v>4321</v>
      </c>
    </row>
    <row r="2595">
      <c r="A2595" s="5" t="s">
        <v>4322</v>
      </c>
      <c r="B2595" s="5" t="s">
        <v>766</v>
      </c>
      <c r="C2595" s="5" t="s">
        <v>13</v>
      </c>
      <c r="D2595" s="5" t="s">
        <v>4320</v>
      </c>
      <c r="E2595" s="5" t="s">
        <v>734</v>
      </c>
      <c r="F2595" s="5" t="s">
        <v>166</v>
      </c>
      <c r="G2595" s="5" t="s">
        <v>44</v>
      </c>
      <c r="H2595" s="5" t="s">
        <v>18</v>
      </c>
      <c r="I2595" s="7" t="s">
        <v>4323</v>
      </c>
    </row>
    <row r="2596">
      <c r="A2596" s="5" t="s">
        <v>4324</v>
      </c>
      <c r="B2596" s="5" t="s">
        <v>4325</v>
      </c>
      <c r="C2596" s="5" t="s">
        <v>13</v>
      </c>
      <c r="D2596" s="5" t="s">
        <v>4320</v>
      </c>
      <c r="E2596" s="5" t="s">
        <v>100</v>
      </c>
      <c r="F2596" s="5" t="s">
        <v>166</v>
      </c>
      <c r="G2596" s="5" t="s">
        <v>44</v>
      </c>
      <c r="H2596" s="5" t="s">
        <v>18</v>
      </c>
      <c r="I2596" s="7" t="s">
        <v>11201</v>
      </c>
    </row>
    <row r="2597">
      <c r="A2597" s="5" t="s">
        <v>4327</v>
      </c>
      <c r="B2597" s="5" t="s">
        <v>2181</v>
      </c>
      <c r="C2597" s="5" t="s">
        <v>13</v>
      </c>
      <c r="D2597" s="5" t="s">
        <v>4320</v>
      </c>
      <c r="E2597" s="5" t="s">
        <v>651</v>
      </c>
      <c r="F2597" s="5" t="s">
        <v>166</v>
      </c>
      <c r="G2597" s="5" t="s">
        <v>44</v>
      </c>
      <c r="H2597" s="5" t="s">
        <v>18</v>
      </c>
      <c r="I2597" s="7" t="s">
        <v>4328</v>
      </c>
    </row>
    <row r="2598">
      <c r="A2598" s="5" t="s">
        <v>4329</v>
      </c>
      <c r="B2598" s="5" t="s">
        <v>4330</v>
      </c>
      <c r="C2598" s="5" t="s">
        <v>13</v>
      </c>
      <c r="D2598" s="5" t="s">
        <v>4320</v>
      </c>
      <c r="E2598" s="5" t="s">
        <v>651</v>
      </c>
      <c r="F2598" s="5" t="s">
        <v>166</v>
      </c>
      <c r="G2598" s="5" t="s">
        <v>44</v>
      </c>
      <c r="H2598" s="5" t="s">
        <v>18</v>
      </c>
      <c r="I2598" s="7" t="s">
        <v>4331</v>
      </c>
    </row>
    <row r="2599">
      <c r="A2599" s="5" t="s">
        <v>4332</v>
      </c>
      <c r="B2599" s="5" t="s">
        <v>4333</v>
      </c>
      <c r="C2599" s="5" t="s">
        <v>13</v>
      </c>
      <c r="D2599" s="5" t="s">
        <v>4320</v>
      </c>
      <c r="E2599" s="5" t="s">
        <v>111</v>
      </c>
      <c r="F2599" s="5" t="s">
        <v>166</v>
      </c>
      <c r="G2599" s="5" t="s">
        <v>44</v>
      </c>
      <c r="H2599" s="5" t="s">
        <v>18</v>
      </c>
      <c r="I2599" s="7" t="s">
        <v>4334</v>
      </c>
    </row>
    <row r="2600">
      <c r="A2600" s="5" t="s">
        <v>4335</v>
      </c>
      <c r="B2600" s="5" t="s">
        <v>4336</v>
      </c>
      <c r="C2600" s="5" t="s">
        <v>13</v>
      </c>
      <c r="D2600" s="5" t="s">
        <v>4320</v>
      </c>
      <c r="E2600" s="5" t="s">
        <v>182</v>
      </c>
      <c r="F2600" s="5" t="s">
        <v>166</v>
      </c>
      <c r="G2600" s="5" t="s">
        <v>44</v>
      </c>
      <c r="H2600" s="5" t="s">
        <v>18</v>
      </c>
      <c r="I2600" s="7" t="s">
        <v>4337</v>
      </c>
    </row>
    <row r="2601">
      <c r="A2601" s="5" t="s">
        <v>4338</v>
      </c>
      <c r="B2601" s="5" t="s">
        <v>110</v>
      </c>
      <c r="C2601" s="5" t="s">
        <v>13</v>
      </c>
      <c r="D2601" s="5" t="s">
        <v>4320</v>
      </c>
      <c r="E2601" s="5" t="s">
        <v>651</v>
      </c>
      <c r="F2601" s="5" t="s">
        <v>166</v>
      </c>
      <c r="G2601" s="5" t="s">
        <v>44</v>
      </c>
      <c r="H2601" s="5" t="s">
        <v>18</v>
      </c>
      <c r="I2601" s="7" t="s">
        <v>4339</v>
      </c>
    </row>
    <row r="2602">
      <c r="A2602" s="5" t="s">
        <v>4340</v>
      </c>
      <c r="B2602" s="5" t="s">
        <v>4341</v>
      </c>
      <c r="C2602" s="5" t="s">
        <v>13</v>
      </c>
      <c r="D2602" s="5" t="s">
        <v>4342</v>
      </c>
      <c r="E2602" s="5" t="s">
        <v>727</v>
      </c>
      <c r="F2602" s="5" t="s">
        <v>137</v>
      </c>
      <c r="G2602" s="5" t="s">
        <v>137</v>
      </c>
      <c r="H2602" s="5" t="s">
        <v>18</v>
      </c>
      <c r="I2602" s="7" t="s">
        <v>11202</v>
      </c>
    </row>
    <row r="2603">
      <c r="A2603" s="5" t="s">
        <v>4344</v>
      </c>
      <c r="B2603" s="5" t="s">
        <v>25</v>
      </c>
      <c r="C2603" s="5" t="s">
        <v>13</v>
      </c>
      <c r="D2603" s="5" t="s">
        <v>4342</v>
      </c>
      <c r="E2603" s="5" t="s">
        <v>192</v>
      </c>
      <c r="F2603" s="5" t="s">
        <v>4345</v>
      </c>
      <c r="G2603" s="5" t="s">
        <v>137</v>
      </c>
      <c r="H2603" s="5" t="s">
        <v>18</v>
      </c>
      <c r="I2603" s="7" t="s">
        <v>4346</v>
      </c>
    </row>
    <row r="2604">
      <c r="A2604" s="5" t="s">
        <v>4347</v>
      </c>
      <c r="B2604" s="5" t="s">
        <v>25</v>
      </c>
      <c r="C2604" s="5" t="s">
        <v>13</v>
      </c>
      <c r="D2604" s="5" t="s">
        <v>4342</v>
      </c>
      <c r="F2604" s="5" t="s">
        <v>1187</v>
      </c>
      <c r="G2604" s="5" t="s">
        <v>96</v>
      </c>
      <c r="H2604" s="5" t="s">
        <v>18</v>
      </c>
      <c r="I2604" s="7" t="s">
        <v>4348</v>
      </c>
    </row>
    <row r="2605">
      <c r="A2605" s="5" t="s">
        <v>4349</v>
      </c>
      <c r="B2605" s="5" t="s">
        <v>4350</v>
      </c>
      <c r="C2605" s="5" t="s">
        <v>13</v>
      </c>
      <c r="D2605" s="5" t="s">
        <v>4342</v>
      </c>
      <c r="F2605" s="5" t="s">
        <v>2178</v>
      </c>
      <c r="G2605" s="5" t="s">
        <v>1305</v>
      </c>
      <c r="H2605" s="5" t="s">
        <v>18</v>
      </c>
      <c r="I2605" s="7" t="s">
        <v>4351</v>
      </c>
    </row>
    <row r="2606">
      <c r="A2606" s="5" t="s">
        <v>4352</v>
      </c>
      <c r="B2606" s="5" t="s">
        <v>4353</v>
      </c>
      <c r="C2606" s="5" t="s">
        <v>13</v>
      </c>
      <c r="D2606" s="5" t="s">
        <v>4354</v>
      </c>
      <c r="E2606" s="5" t="s">
        <v>1460</v>
      </c>
      <c r="F2606" s="5" t="s">
        <v>2145</v>
      </c>
      <c r="G2606" s="5" t="s">
        <v>203</v>
      </c>
      <c r="H2606" s="5" t="s">
        <v>18</v>
      </c>
      <c r="I2606" s="7" t="s">
        <v>11203</v>
      </c>
    </row>
    <row r="2607">
      <c r="A2607" s="5" t="s">
        <v>4356</v>
      </c>
      <c r="B2607" s="5" t="s">
        <v>480</v>
      </c>
      <c r="C2607" s="5" t="s">
        <v>13</v>
      </c>
      <c r="D2607" s="5" t="s">
        <v>4354</v>
      </c>
      <c r="E2607" s="5" t="s">
        <v>188</v>
      </c>
      <c r="F2607" s="5" t="s">
        <v>953</v>
      </c>
      <c r="G2607" s="5" t="s">
        <v>954</v>
      </c>
      <c r="H2607" s="5" t="s">
        <v>18</v>
      </c>
      <c r="I2607" s="7" t="s">
        <v>11204</v>
      </c>
    </row>
    <row r="2608">
      <c r="A2608" s="5" t="s">
        <v>4358</v>
      </c>
      <c r="B2608" s="5" t="s">
        <v>480</v>
      </c>
      <c r="C2608" s="5" t="s">
        <v>13</v>
      </c>
      <c r="D2608" s="5" t="s">
        <v>4354</v>
      </c>
      <c r="E2608" s="5" t="s">
        <v>901</v>
      </c>
      <c r="F2608" s="5" t="s">
        <v>953</v>
      </c>
      <c r="G2608" s="5" t="s">
        <v>954</v>
      </c>
      <c r="H2608" s="5" t="s">
        <v>18</v>
      </c>
      <c r="I2608" s="7" t="s">
        <v>4359</v>
      </c>
    </row>
    <row r="2609">
      <c r="A2609" s="5" t="s">
        <v>4360</v>
      </c>
      <c r="B2609" s="5" t="s">
        <v>991</v>
      </c>
      <c r="C2609" s="5" t="s">
        <v>13</v>
      </c>
      <c r="D2609" s="5" t="s">
        <v>4354</v>
      </c>
      <c r="E2609" s="5" t="s">
        <v>26</v>
      </c>
      <c r="F2609" s="5" t="s">
        <v>876</v>
      </c>
      <c r="G2609" s="5" t="s">
        <v>184</v>
      </c>
      <c r="H2609" s="5" t="s">
        <v>18</v>
      </c>
      <c r="I2609" s="7" t="s">
        <v>4361</v>
      </c>
    </row>
    <row r="2610">
      <c r="A2610" s="5" t="s">
        <v>4362</v>
      </c>
      <c r="B2610" s="5" t="s">
        <v>4363</v>
      </c>
      <c r="C2610" s="5" t="s">
        <v>13</v>
      </c>
      <c r="D2610" s="5" t="s">
        <v>4354</v>
      </c>
      <c r="E2610" s="5" t="s">
        <v>36</v>
      </c>
      <c r="F2610" s="5" t="s">
        <v>1391</v>
      </c>
      <c r="G2610" s="5" t="s">
        <v>954</v>
      </c>
      <c r="H2610" s="5" t="s">
        <v>18</v>
      </c>
      <c r="I2610" s="7" t="s">
        <v>11205</v>
      </c>
    </row>
    <row r="2611">
      <c r="A2611" s="5" t="s">
        <v>4948</v>
      </c>
      <c r="B2611" s="5" t="s">
        <v>110</v>
      </c>
      <c r="D2611" s="5" t="s">
        <v>4366</v>
      </c>
      <c r="E2611" s="5" t="s">
        <v>100</v>
      </c>
      <c r="F2611" s="5" t="s">
        <v>4949</v>
      </c>
      <c r="G2611" s="5" t="s">
        <v>4757</v>
      </c>
      <c r="H2611" s="5" t="s">
        <v>4607</v>
      </c>
      <c r="I2611" s="7" t="s">
        <v>4947</v>
      </c>
    </row>
    <row r="2612">
      <c r="A2612" s="5" t="s">
        <v>5169</v>
      </c>
      <c r="B2612" s="5" t="s">
        <v>5170</v>
      </c>
      <c r="D2612" s="5" t="s">
        <v>4366</v>
      </c>
      <c r="E2612" s="5" t="s">
        <v>228</v>
      </c>
      <c r="F2612" s="5" t="s">
        <v>4643</v>
      </c>
      <c r="G2612" s="5" t="s">
        <v>4644</v>
      </c>
      <c r="H2612" s="5" t="s">
        <v>4600</v>
      </c>
      <c r="I2612" s="7" t="s">
        <v>11206</v>
      </c>
    </row>
    <row r="2613">
      <c r="A2613" s="5" t="s">
        <v>5176</v>
      </c>
      <c r="B2613" s="5" t="s">
        <v>5177</v>
      </c>
      <c r="D2613" s="5" t="s">
        <v>4366</v>
      </c>
      <c r="E2613" s="5" t="s">
        <v>228</v>
      </c>
      <c r="F2613" s="5" t="s">
        <v>4643</v>
      </c>
      <c r="G2613" s="5" t="s">
        <v>4644</v>
      </c>
      <c r="H2613" s="5" t="s">
        <v>4600</v>
      </c>
      <c r="I2613" s="7" t="s">
        <v>5175</v>
      </c>
    </row>
    <row r="2614">
      <c r="A2614" s="5" t="s">
        <v>7550</v>
      </c>
      <c r="B2614" s="5" t="s">
        <v>110</v>
      </c>
      <c r="D2614" s="5" t="s">
        <v>4366</v>
      </c>
      <c r="E2614" s="5" t="s">
        <v>651</v>
      </c>
      <c r="F2614" s="5" t="s">
        <v>7548</v>
      </c>
      <c r="G2614" s="5" t="s">
        <v>6159</v>
      </c>
      <c r="H2614" s="5" t="s">
        <v>4600</v>
      </c>
      <c r="I2614" s="7" t="s">
        <v>7549</v>
      </c>
    </row>
    <row r="2615">
      <c r="A2615" s="5" t="s">
        <v>4365</v>
      </c>
      <c r="B2615" s="5" t="s">
        <v>110</v>
      </c>
      <c r="C2615" s="5" t="s">
        <v>13</v>
      </c>
      <c r="D2615" s="5" t="s">
        <v>4366</v>
      </c>
      <c r="E2615" s="5" t="s">
        <v>727</v>
      </c>
      <c r="F2615" s="5" t="s">
        <v>801</v>
      </c>
      <c r="G2615" s="5" t="s">
        <v>50</v>
      </c>
      <c r="H2615" s="5" t="s">
        <v>18</v>
      </c>
      <c r="I2615" s="7" t="s">
        <v>4367</v>
      </c>
    </row>
    <row r="2616">
      <c r="A2616" s="5" t="s">
        <v>4368</v>
      </c>
      <c r="B2616" s="5" t="s">
        <v>110</v>
      </c>
      <c r="C2616" s="5" t="s">
        <v>13</v>
      </c>
      <c r="D2616" s="5" t="s">
        <v>4366</v>
      </c>
      <c r="E2616" s="5" t="s">
        <v>268</v>
      </c>
      <c r="F2616" s="5" t="s">
        <v>166</v>
      </c>
      <c r="G2616" s="5" t="s">
        <v>44</v>
      </c>
      <c r="H2616" s="5" t="s">
        <v>18</v>
      </c>
      <c r="I2616" s="7" t="s">
        <v>4369</v>
      </c>
    </row>
    <row r="2617">
      <c r="A2617" s="5" t="s">
        <v>8980</v>
      </c>
      <c r="B2617" s="5" t="s">
        <v>8473</v>
      </c>
      <c r="D2617" s="5" t="s">
        <v>8981</v>
      </c>
      <c r="E2617" s="5" t="s">
        <v>339</v>
      </c>
      <c r="F2617" s="5" t="s">
        <v>7722</v>
      </c>
      <c r="G2617" s="5" t="s">
        <v>5566</v>
      </c>
      <c r="H2617" s="5" t="s">
        <v>4619</v>
      </c>
      <c r="I2617" s="7" t="s">
        <v>8979</v>
      </c>
    </row>
    <row r="2618">
      <c r="A2618" s="5" t="s">
        <v>9022</v>
      </c>
      <c r="B2618" s="5" t="s">
        <v>9023</v>
      </c>
      <c r="D2618" s="5" t="s">
        <v>8981</v>
      </c>
      <c r="E2618" s="5" t="s">
        <v>144</v>
      </c>
      <c r="F2618" s="5" t="s">
        <v>7722</v>
      </c>
      <c r="G2618" s="5" t="s">
        <v>5566</v>
      </c>
      <c r="H2618" s="5" t="s">
        <v>4619</v>
      </c>
      <c r="I2618" s="7" t="s">
        <v>11207</v>
      </c>
    </row>
    <row r="2619">
      <c r="A2619" s="5" t="s">
        <v>9029</v>
      </c>
      <c r="B2619" s="5" t="s">
        <v>9030</v>
      </c>
      <c r="D2619" s="5" t="s">
        <v>8981</v>
      </c>
      <c r="E2619" s="5" t="s">
        <v>26</v>
      </c>
      <c r="F2619" s="5" t="s">
        <v>7722</v>
      </c>
      <c r="G2619" s="5" t="s">
        <v>5566</v>
      </c>
      <c r="H2619" s="5" t="s">
        <v>4619</v>
      </c>
      <c r="I2619" s="7" t="s">
        <v>11208</v>
      </c>
    </row>
    <row r="2620">
      <c r="A2620" s="5" t="s">
        <v>4370</v>
      </c>
      <c r="B2620" s="5" t="s">
        <v>25</v>
      </c>
      <c r="C2620" s="5" t="s">
        <v>13</v>
      </c>
      <c r="D2620" s="5" t="s">
        <v>4371</v>
      </c>
      <c r="E2620" s="5" t="s">
        <v>1123</v>
      </c>
      <c r="F2620" s="5" t="s">
        <v>137</v>
      </c>
      <c r="G2620" s="5" t="s">
        <v>137</v>
      </c>
      <c r="H2620" s="5" t="s">
        <v>18</v>
      </c>
      <c r="I2620" s="7" t="s">
        <v>4372</v>
      </c>
    </row>
    <row r="2621">
      <c r="A2621" s="5" t="s">
        <v>4373</v>
      </c>
      <c r="B2621" s="5" t="s">
        <v>25</v>
      </c>
      <c r="C2621" s="5" t="s">
        <v>13</v>
      </c>
      <c r="D2621" s="5" t="s">
        <v>4371</v>
      </c>
      <c r="E2621" s="5" t="s">
        <v>1123</v>
      </c>
      <c r="F2621" s="5" t="s">
        <v>137</v>
      </c>
      <c r="G2621" s="5" t="s">
        <v>137</v>
      </c>
      <c r="H2621" s="5" t="s">
        <v>18</v>
      </c>
      <c r="I2621" s="7" t="s">
        <v>4374</v>
      </c>
    </row>
    <row r="2622">
      <c r="A2622" s="5" t="s">
        <v>4375</v>
      </c>
      <c r="B2622" s="5" t="s">
        <v>4376</v>
      </c>
      <c r="C2622" s="5" t="s">
        <v>13</v>
      </c>
      <c r="D2622" s="5" t="s">
        <v>4371</v>
      </c>
      <c r="E2622" s="5" t="s">
        <v>192</v>
      </c>
      <c r="F2622" s="5" t="s">
        <v>137</v>
      </c>
      <c r="G2622" s="5" t="s">
        <v>137</v>
      </c>
      <c r="H2622" s="5" t="s">
        <v>18</v>
      </c>
      <c r="I2622" s="7" t="s">
        <v>11209</v>
      </c>
    </row>
    <row r="2623">
      <c r="A2623" s="5" t="s">
        <v>4378</v>
      </c>
      <c r="B2623" s="5" t="s">
        <v>25</v>
      </c>
      <c r="C2623" s="5" t="s">
        <v>13</v>
      </c>
      <c r="D2623" s="5" t="s">
        <v>4371</v>
      </c>
      <c r="E2623" s="5" t="s">
        <v>182</v>
      </c>
      <c r="F2623" s="5" t="s">
        <v>137</v>
      </c>
      <c r="G2623" s="5" t="s">
        <v>137</v>
      </c>
      <c r="H2623" s="5" t="s">
        <v>18</v>
      </c>
      <c r="I2623" s="7" t="s">
        <v>4379</v>
      </c>
    </row>
    <row r="2624">
      <c r="A2624" s="5" t="s">
        <v>4380</v>
      </c>
      <c r="B2624" s="5" t="s">
        <v>4381</v>
      </c>
      <c r="C2624" s="5" t="s">
        <v>13</v>
      </c>
      <c r="D2624" s="5" t="s">
        <v>4371</v>
      </c>
      <c r="E2624" s="5" t="s">
        <v>42</v>
      </c>
      <c r="F2624" s="5" t="s">
        <v>4382</v>
      </c>
      <c r="G2624" s="5" t="s">
        <v>2731</v>
      </c>
      <c r="H2624" s="5" t="s">
        <v>18</v>
      </c>
      <c r="I2624" s="7" t="s">
        <v>11210</v>
      </c>
    </row>
    <row r="2625">
      <c r="A2625" s="5" t="s">
        <v>4384</v>
      </c>
      <c r="B2625" s="5" t="s">
        <v>4385</v>
      </c>
      <c r="C2625" s="5" t="s">
        <v>13</v>
      </c>
      <c r="D2625" s="5" t="s">
        <v>4371</v>
      </c>
      <c r="E2625" s="5" t="s">
        <v>339</v>
      </c>
      <c r="F2625" s="5" t="s">
        <v>122</v>
      </c>
      <c r="G2625" s="5" t="s">
        <v>44</v>
      </c>
      <c r="H2625" s="5" t="s">
        <v>18</v>
      </c>
      <c r="I2625" s="7" t="s">
        <v>11211</v>
      </c>
    </row>
    <row r="2626">
      <c r="A2626" s="5" t="s">
        <v>4387</v>
      </c>
      <c r="B2626" s="5" t="s">
        <v>4388</v>
      </c>
      <c r="C2626" s="5" t="s">
        <v>13</v>
      </c>
      <c r="D2626" s="5" t="s">
        <v>4371</v>
      </c>
      <c r="E2626" s="5" t="s">
        <v>144</v>
      </c>
      <c r="F2626" s="5" t="s">
        <v>166</v>
      </c>
      <c r="G2626" s="5" t="s">
        <v>44</v>
      </c>
      <c r="H2626" s="5" t="s">
        <v>18</v>
      </c>
      <c r="I2626" s="7" t="s">
        <v>11212</v>
      </c>
    </row>
    <row r="2627">
      <c r="A2627" s="5" t="s">
        <v>4390</v>
      </c>
      <c r="B2627" s="5" t="s">
        <v>4391</v>
      </c>
      <c r="C2627" s="5" t="s">
        <v>13</v>
      </c>
      <c r="D2627" s="5" t="s">
        <v>4371</v>
      </c>
      <c r="E2627" s="5" t="s">
        <v>691</v>
      </c>
      <c r="F2627" s="5" t="s">
        <v>16</v>
      </c>
      <c r="G2627" s="5" t="s">
        <v>17</v>
      </c>
      <c r="H2627" s="5" t="s">
        <v>18</v>
      </c>
      <c r="I2627" s="7" t="s">
        <v>4392</v>
      </c>
    </row>
    <row r="2628">
      <c r="A2628" s="5" t="s">
        <v>4393</v>
      </c>
      <c r="B2628" s="5" t="s">
        <v>25</v>
      </c>
      <c r="C2628" s="5" t="s">
        <v>13</v>
      </c>
      <c r="D2628" s="5" t="s">
        <v>4371</v>
      </c>
      <c r="E2628" s="5" t="s">
        <v>909</v>
      </c>
      <c r="F2628" s="5" t="s">
        <v>137</v>
      </c>
      <c r="G2628" s="5" t="s">
        <v>137</v>
      </c>
      <c r="H2628" s="5" t="s">
        <v>18</v>
      </c>
      <c r="I2628" s="7" t="s">
        <v>4394</v>
      </c>
    </row>
    <row r="2629">
      <c r="A2629" s="5" t="s">
        <v>4395</v>
      </c>
      <c r="B2629" s="5" t="s">
        <v>4396</v>
      </c>
      <c r="C2629" s="5" t="s">
        <v>13</v>
      </c>
      <c r="D2629" s="5" t="s">
        <v>4397</v>
      </c>
      <c r="E2629" s="5" t="s">
        <v>217</v>
      </c>
      <c r="F2629" s="5" t="s">
        <v>16</v>
      </c>
      <c r="G2629" s="5" t="s">
        <v>17</v>
      </c>
      <c r="H2629" s="5" t="s">
        <v>18</v>
      </c>
      <c r="I2629" s="7" t="s">
        <v>4398</v>
      </c>
    </row>
    <row r="2630">
      <c r="A2630" s="5" t="s">
        <v>4399</v>
      </c>
      <c r="B2630" s="5" t="s">
        <v>4400</v>
      </c>
      <c r="C2630" s="5" t="s">
        <v>13</v>
      </c>
      <c r="D2630" s="5" t="s">
        <v>4397</v>
      </c>
      <c r="E2630" s="5" t="s">
        <v>182</v>
      </c>
      <c r="F2630" s="5" t="s">
        <v>1867</v>
      </c>
      <c r="G2630" s="5" t="s">
        <v>44</v>
      </c>
      <c r="H2630" s="5" t="s">
        <v>18</v>
      </c>
      <c r="I2630" s="7" t="s">
        <v>11213</v>
      </c>
    </row>
    <row r="2631">
      <c r="A2631" s="5" t="s">
        <v>4402</v>
      </c>
      <c r="B2631" s="5" t="s">
        <v>404</v>
      </c>
      <c r="C2631" s="5" t="s">
        <v>13</v>
      </c>
      <c r="D2631" s="5" t="s">
        <v>4397</v>
      </c>
      <c r="E2631" s="5" t="s">
        <v>1123</v>
      </c>
      <c r="F2631" s="5" t="s">
        <v>299</v>
      </c>
      <c r="G2631" s="5" t="s">
        <v>44</v>
      </c>
      <c r="H2631" s="5" t="s">
        <v>18</v>
      </c>
      <c r="I2631" s="7" t="s">
        <v>4403</v>
      </c>
    </row>
    <row r="2632">
      <c r="A2632" s="5" t="s">
        <v>4404</v>
      </c>
      <c r="B2632" s="5" t="s">
        <v>4405</v>
      </c>
      <c r="C2632" s="5" t="s">
        <v>13</v>
      </c>
      <c r="D2632" s="5" t="s">
        <v>4406</v>
      </c>
      <c r="E2632" s="5" t="s">
        <v>257</v>
      </c>
      <c r="F2632" s="5" t="s">
        <v>37</v>
      </c>
      <c r="G2632" s="5" t="s">
        <v>38</v>
      </c>
      <c r="H2632" s="5" t="s">
        <v>18</v>
      </c>
      <c r="I2632" s="7" t="s">
        <v>11214</v>
      </c>
    </row>
    <row r="2633">
      <c r="A2633" s="5" t="s">
        <v>4408</v>
      </c>
      <c r="B2633" s="5" t="s">
        <v>110</v>
      </c>
      <c r="C2633" s="5" t="s">
        <v>13</v>
      </c>
      <c r="D2633" s="5" t="s">
        <v>4406</v>
      </c>
      <c r="E2633" s="5" t="s">
        <v>241</v>
      </c>
      <c r="F2633" s="5" t="s">
        <v>37</v>
      </c>
      <c r="G2633" s="5" t="s">
        <v>38</v>
      </c>
      <c r="H2633" s="5" t="s">
        <v>18</v>
      </c>
      <c r="I2633" s="7" t="s">
        <v>4409</v>
      </c>
    </row>
    <row r="2634">
      <c r="A2634" s="5" t="s">
        <v>4410</v>
      </c>
      <c r="B2634" s="5" t="s">
        <v>110</v>
      </c>
      <c r="C2634" s="5" t="s">
        <v>13</v>
      </c>
      <c r="D2634" s="5" t="s">
        <v>4406</v>
      </c>
      <c r="E2634" s="5" t="s">
        <v>651</v>
      </c>
      <c r="F2634" s="5" t="s">
        <v>37</v>
      </c>
      <c r="G2634" s="5" t="s">
        <v>38</v>
      </c>
      <c r="H2634" s="5" t="s">
        <v>18</v>
      </c>
      <c r="I2634" s="7" t="s">
        <v>4411</v>
      </c>
    </row>
    <row r="2635">
      <c r="A2635" s="5" t="s">
        <v>4412</v>
      </c>
      <c r="B2635" s="5" t="s">
        <v>1028</v>
      </c>
      <c r="C2635" s="5" t="s">
        <v>13</v>
      </c>
      <c r="D2635" s="5" t="s">
        <v>4406</v>
      </c>
      <c r="E2635" s="5" t="s">
        <v>136</v>
      </c>
      <c r="F2635" s="5" t="s">
        <v>3209</v>
      </c>
      <c r="G2635" s="5" t="s">
        <v>102</v>
      </c>
      <c r="H2635" s="5" t="s">
        <v>18</v>
      </c>
      <c r="I2635" s="7" t="s">
        <v>4413</v>
      </c>
    </row>
    <row r="2636">
      <c r="A2636" s="5" t="s">
        <v>4414</v>
      </c>
      <c r="B2636" s="5" t="s">
        <v>1028</v>
      </c>
      <c r="C2636" s="5" t="s">
        <v>13</v>
      </c>
      <c r="D2636" s="5" t="s">
        <v>4406</v>
      </c>
      <c r="E2636" s="5" t="s">
        <v>63</v>
      </c>
      <c r="F2636" s="5" t="s">
        <v>166</v>
      </c>
      <c r="G2636" s="5" t="s">
        <v>44</v>
      </c>
      <c r="H2636" s="5" t="s">
        <v>18</v>
      </c>
      <c r="I2636" s="7" t="s">
        <v>4415</v>
      </c>
    </row>
    <row r="2637">
      <c r="A2637" s="5" t="s">
        <v>4416</v>
      </c>
      <c r="B2637" s="5" t="s">
        <v>110</v>
      </c>
      <c r="C2637" s="5" t="s">
        <v>13</v>
      </c>
      <c r="D2637" s="5" t="s">
        <v>4406</v>
      </c>
      <c r="E2637" s="5" t="s">
        <v>136</v>
      </c>
      <c r="F2637" s="5" t="s">
        <v>311</v>
      </c>
      <c r="G2637" s="5" t="s">
        <v>102</v>
      </c>
      <c r="H2637" s="5" t="s">
        <v>18</v>
      </c>
      <c r="I2637" s="7" t="s">
        <v>4417</v>
      </c>
    </row>
    <row r="2638">
      <c r="A2638" s="5" t="s">
        <v>8958</v>
      </c>
      <c r="B2638" s="5" t="s">
        <v>8959</v>
      </c>
      <c r="D2638" s="5" t="s">
        <v>4420</v>
      </c>
      <c r="E2638" s="5" t="s">
        <v>1123</v>
      </c>
      <c r="F2638" s="5" t="s">
        <v>7722</v>
      </c>
      <c r="G2638" s="5" t="s">
        <v>5566</v>
      </c>
      <c r="H2638" s="5" t="s">
        <v>4619</v>
      </c>
      <c r="I2638" s="7" t="s">
        <v>8957</v>
      </c>
    </row>
    <row r="2639">
      <c r="A2639" s="5" t="s">
        <v>4418</v>
      </c>
      <c r="B2639" s="5" t="s">
        <v>4419</v>
      </c>
      <c r="C2639" s="5" t="s">
        <v>13</v>
      </c>
      <c r="D2639" s="5" t="s">
        <v>4420</v>
      </c>
      <c r="E2639" s="5" t="s">
        <v>387</v>
      </c>
      <c r="F2639" s="5" t="s">
        <v>16</v>
      </c>
      <c r="G2639" s="5" t="s">
        <v>17</v>
      </c>
      <c r="H2639" s="5" t="s">
        <v>18</v>
      </c>
      <c r="I2639" s="7" t="s">
        <v>11215</v>
      </c>
    </row>
    <row r="2640">
      <c r="A2640" s="5" t="s">
        <v>4422</v>
      </c>
      <c r="B2640" s="5" t="s">
        <v>110</v>
      </c>
      <c r="C2640" s="5" t="s">
        <v>13</v>
      </c>
      <c r="D2640" s="5" t="s">
        <v>4420</v>
      </c>
      <c r="E2640" s="5" t="s">
        <v>94</v>
      </c>
      <c r="F2640" s="5" t="s">
        <v>37</v>
      </c>
      <c r="G2640" s="5" t="s">
        <v>38</v>
      </c>
      <c r="H2640" s="5" t="s">
        <v>18</v>
      </c>
      <c r="I2640" s="7" t="s">
        <v>4423</v>
      </c>
    </row>
    <row r="2641">
      <c r="A2641" s="5" t="s">
        <v>4424</v>
      </c>
      <c r="B2641" s="5" t="s">
        <v>110</v>
      </c>
      <c r="C2641" s="5" t="s">
        <v>13</v>
      </c>
      <c r="D2641" s="5" t="s">
        <v>4420</v>
      </c>
      <c r="E2641" s="5" t="s">
        <v>322</v>
      </c>
      <c r="F2641" s="5" t="s">
        <v>377</v>
      </c>
      <c r="G2641" s="5" t="s">
        <v>378</v>
      </c>
      <c r="H2641" s="5" t="s">
        <v>18</v>
      </c>
      <c r="I2641" s="7" t="s">
        <v>4425</v>
      </c>
    </row>
    <row r="2642">
      <c r="A2642" s="5" t="s">
        <v>4426</v>
      </c>
      <c r="B2642" s="5" t="s">
        <v>4427</v>
      </c>
      <c r="C2642" s="5" t="s">
        <v>13</v>
      </c>
      <c r="D2642" s="5" t="s">
        <v>4420</v>
      </c>
      <c r="E2642" s="5" t="s">
        <v>909</v>
      </c>
      <c r="F2642" s="5" t="s">
        <v>4428</v>
      </c>
      <c r="G2642" s="5" t="s">
        <v>44</v>
      </c>
      <c r="H2642" s="5" t="s">
        <v>18</v>
      </c>
      <c r="I2642" s="7" t="s">
        <v>4429</v>
      </c>
    </row>
    <row r="2643">
      <c r="A2643" s="5" t="s">
        <v>4430</v>
      </c>
      <c r="B2643" s="5" t="s">
        <v>25</v>
      </c>
      <c r="C2643" s="5" t="s">
        <v>13</v>
      </c>
      <c r="D2643" s="5" t="s">
        <v>4420</v>
      </c>
      <c r="F2643" s="5" t="s">
        <v>1931</v>
      </c>
      <c r="G2643" s="5" t="s">
        <v>44</v>
      </c>
      <c r="H2643" s="5" t="s">
        <v>18</v>
      </c>
      <c r="I2643" s="7" t="s">
        <v>4431</v>
      </c>
    </row>
    <row r="2644">
      <c r="A2644" s="5" t="s">
        <v>4432</v>
      </c>
      <c r="B2644" s="5" t="s">
        <v>110</v>
      </c>
      <c r="C2644" s="5" t="s">
        <v>13</v>
      </c>
      <c r="D2644" s="5" t="s">
        <v>4420</v>
      </c>
      <c r="E2644" s="5" t="s">
        <v>1809</v>
      </c>
      <c r="F2644" s="5" t="s">
        <v>1965</v>
      </c>
      <c r="G2644" s="5" t="s">
        <v>44</v>
      </c>
      <c r="H2644" s="5" t="s">
        <v>18</v>
      </c>
      <c r="I2644" s="7" t="s">
        <v>4433</v>
      </c>
    </row>
    <row r="2645">
      <c r="A2645" s="5" t="s">
        <v>4434</v>
      </c>
      <c r="B2645" s="5" t="s">
        <v>3886</v>
      </c>
      <c r="C2645" s="5" t="s">
        <v>13</v>
      </c>
      <c r="D2645" s="5" t="s">
        <v>4420</v>
      </c>
      <c r="E2645" s="5" t="s">
        <v>60</v>
      </c>
      <c r="F2645" s="5" t="s">
        <v>1035</v>
      </c>
      <c r="G2645" s="5" t="s">
        <v>38</v>
      </c>
      <c r="H2645" s="5" t="s">
        <v>18</v>
      </c>
      <c r="I2645" s="7" t="s">
        <v>4435</v>
      </c>
    </row>
    <row r="2646">
      <c r="A2646" s="5" t="s">
        <v>4436</v>
      </c>
      <c r="B2646" s="5" t="s">
        <v>4437</v>
      </c>
      <c r="C2646" s="5" t="s">
        <v>13</v>
      </c>
      <c r="D2646" s="5" t="s">
        <v>4420</v>
      </c>
      <c r="E2646" s="5" t="s">
        <v>237</v>
      </c>
      <c r="F2646" s="5" t="s">
        <v>1022</v>
      </c>
      <c r="G2646" s="5" t="s">
        <v>264</v>
      </c>
      <c r="H2646" s="5" t="s">
        <v>18</v>
      </c>
      <c r="I2646" s="7" t="s">
        <v>4438</v>
      </c>
    </row>
    <row r="2647">
      <c r="A2647" s="5" t="s">
        <v>4817</v>
      </c>
      <c r="B2647" s="5" t="s">
        <v>4818</v>
      </c>
      <c r="D2647" s="5" t="s">
        <v>4441</v>
      </c>
      <c r="E2647" s="5" t="s">
        <v>228</v>
      </c>
      <c r="F2647" s="5" t="s">
        <v>4443</v>
      </c>
      <c r="G2647" s="5" t="s">
        <v>2820</v>
      </c>
      <c r="H2647" s="5" t="s">
        <v>18</v>
      </c>
      <c r="I2647" s="7" t="s">
        <v>11216</v>
      </c>
    </row>
    <row r="2648">
      <c r="A2648" s="5" t="s">
        <v>4448</v>
      </c>
      <c r="B2648" s="5" t="s">
        <v>4449</v>
      </c>
      <c r="D2648" s="5" t="s">
        <v>4441</v>
      </c>
      <c r="E2648" s="5" t="s">
        <v>437</v>
      </c>
      <c r="F2648" s="5" t="s">
        <v>4443</v>
      </c>
      <c r="G2648" s="5" t="s">
        <v>2820</v>
      </c>
      <c r="H2648" s="5" t="s">
        <v>18</v>
      </c>
      <c r="I2648" s="7" t="s">
        <v>11217</v>
      </c>
    </row>
    <row r="2649">
      <c r="A2649" s="5" t="s">
        <v>4455</v>
      </c>
      <c r="B2649" s="5" t="s">
        <v>6033</v>
      </c>
      <c r="D2649" s="5" t="s">
        <v>4441</v>
      </c>
      <c r="E2649" s="5" t="s">
        <v>1950</v>
      </c>
      <c r="F2649" s="5" t="s">
        <v>4458</v>
      </c>
      <c r="G2649" s="5" t="s">
        <v>2731</v>
      </c>
      <c r="H2649" s="5" t="s">
        <v>18</v>
      </c>
      <c r="I2649" s="7" t="s">
        <v>6032</v>
      </c>
    </row>
    <row r="2650">
      <c r="A2650" s="5" t="s">
        <v>7754</v>
      </c>
      <c r="B2650" s="5" t="s">
        <v>212</v>
      </c>
      <c r="D2650" s="5" t="s">
        <v>4441</v>
      </c>
      <c r="E2650" s="5" t="s">
        <v>233</v>
      </c>
      <c r="F2650" s="5" t="s">
        <v>137</v>
      </c>
      <c r="G2650" s="5" t="s">
        <v>137</v>
      </c>
      <c r="H2650" s="5" t="s">
        <v>18</v>
      </c>
      <c r="I2650" s="7" t="s">
        <v>7753</v>
      </c>
    </row>
    <row r="2651">
      <c r="A2651" s="5" t="s">
        <v>4463</v>
      </c>
      <c r="B2651" s="5" t="s">
        <v>861</v>
      </c>
      <c r="D2651" s="5" t="s">
        <v>4441</v>
      </c>
      <c r="E2651" s="5" t="s">
        <v>697</v>
      </c>
      <c r="F2651" s="5" t="s">
        <v>137</v>
      </c>
      <c r="G2651" s="5" t="s">
        <v>137</v>
      </c>
      <c r="H2651" s="5" t="s">
        <v>18</v>
      </c>
      <c r="I2651" s="7" t="s">
        <v>11218</v>
      </c>
    </row>
    <row r="2652">
      <c r="A2652" s="5" t="s">
        <v>4465</v>
      </c>
      <c r="B2652" s="5" t="s">
        <v>371</v>
      </c>
      <c r="D2652" s="5" t="s">
        <v>4441</v>
      </c>
      <c r="E2652" s="5" t="s">
        <v>207</v>
      </c>
      <c r="F2652" s="5" t="s">
        <v>137</v>
      </c>
      <c r="G2652" s="5" t="s">
        <v>137</v>
      </c>
      <c r="H2652" s="5" t="s">
        <v>18</v>
      </c>
      <c r="I2652" s="7" t="s">
        <v>7770</v>
      </c>
    </row>
    <row r="2653">
      <c r="A2653" s="5" t="s">
        <v>8654</v>
      </c>
      <c r="B2653" s="5" t="s">
        <v>212</v>
      </c>
      <c r="D2653" s="5" t="s">
        <v>4441</v>
      </c>
      <c r="E2653" s="5" t="s">
        <v>233</v>
      </c>
      <c r="F2653" s="5" t="s">
        <v>166</v>
      </c>
      <c r="G2653" s="5" t="s">
        <v>44</v>
      </c>
      <c r="H2653" s="5" t="s">
        <v>18</v>
      </c>
      <c r="I2653" s="7" t="s">
        <v>8653</v>
      </c>
    </row>
    <row r="2654">
      <c r="A2654" s="5" t="s">
        <v>8660</v>
      </c>
      <c r="B2654" s="5" t="s">
        <v>8661</v>
      </c>
      <c r="D2654" s="5" t="s">
        <v>4441</v>
      </c>
      <c r="E2654" s="5" t="s">
        <v>351</v>
      </c>
      <c r="F2654" s="5" t="s">
        <v>166</v>
      </c>
      <c r="G2654" s="5" t="s">
        <v>44</v>
      </c>
      <c r="H2654" s="5" t="s">
        <v>18</v>
      </c>
      <c r="I2654" s="7" t="s">
        <v>8659</v>
      </c>
    </row>
    <row r="2655">
      <c r="A2655" s="5" t="s">
        <v>4439</v>
      </c>
      <c r="B2655" s="5" t="s">
        <v>4440</v>
      </c>
      <c r="C2655" s="5" t="s">
        <v>13</v>
      </c>
      <c r="D2655" s="5" t="s">
        <v>4441</v>
      </c>
      <c r="E2655" s="5" t="s">
        <v>4442</v>
      </c>
      <c r="F2655" s="5" t="s">
        <v>4443</v>
      </c>
      <c r="G2655" s="5" t="s">
        <v>2820</v>
      </c>
      <c r="H2655" s="5" t="s">
        <v>18</v>
      </c>
      <c r="I2655" s="7" t="s">
        <v>4444</v>
      </c>
    </row>
    <row r="2656">
      <c r="A2656" s="5" t="s">
        <v>4445</v>
      </c>
      <c r="B2656" s="5" t="s">
        <v>25</v>
      </c>
      <c r="C2656" s="5" t="s">
        <v>13</v>
      </c>
      <c r="D2656" s="5" t="s">
        <v>4441</v>
      </c>
      <c r="E2656" s="5" t="s">
        <v>797</v>
      </c>
      <c r="F2656" s="5" t="s">
        <v>4446</v>
      </c>
      <c r="G2656" s="5" t="s">
        <v>2820</v>
      </c>
      <c r="H2656" s="5" t="s">
        <v>18</v>
      </c>
      <c r="I2656" s="7" t="s">
        <v>11219</v>
      </c>
    </row>
    <row r="2657">
      <c r="A2657" s="5" t="s">
        <v>4448</v>
      </c>
      <c r="B2657" s="5" t="s">
        <v>4449</v>
      </c>
      <c r="C2657" s="5" t="s">
        <v>13</v>
      </c>
      <c r="D2657" s="5" t="s">
        <v>4441</v>
      </c>
      <c r="E2657" s="5" t="s">
        <v>437</v>
      </c>
      <c r="F2657" s="5" t="s">
        <v>4443</v>
      </c>
      <c r="G2657" s="5" t="s">
        <v>2820</v>
      </c>
      <c r="H2657" s="5" t="s">
        <v>18</v>
      </c>
      <c r="I2657" s="7" t="s">
        <v>11220</v>
      </c>
    </row>
    <row r="2658">
      <c r="A2658" s="5" t="s">
        <v>4451</v>
      </c>
      <c r="B2658" s="5" t="s">
        <v>25</v>
      </c>
      <c r="C2658" s="5" t="s">
        <v>13</v>
      </c>
      <c r="D2658" s="5" t="s">
        <v>4441</v>
      </c>
      <c r="E2658" s="5" t="s">
        <v>694</v>
      </c>
      <c r="F2658" s="5" t="s">
        <v>4443</v>
      </c>
      <c r="G2658" s="5" t="s">
        <v>2820</v>
      </c>
      <c r="H2658" s="5" t="s">
        <v>18</v>
      </c>
      <c r="I2658" s="7" t="s">
        <v>4452</v>
      </c>
    </row>
    <row r="2659">
      <c r="A2659" s="5" t="s">
        <v>4453</v>
      </c>
      <c r="B2659" s="5" t="s">
        <v>25</v>
      </c>
      <c r="C2659" s="5" t="s">
        <v>13</v>
      </c>
      <c r="D2659" s="5" t="s">
        <v>4441</v>
      </c>
      <c r="E2659" s="5" t="s">
        <v>901</v>
      </c>
      <c r="F2659" s="5" t="s">
        <v>4443</v>
      </c>
      <c r="G2659" s="5" t="s">
        <v>2820</v>
      </c>
      <c r="H2659" s="5" t="s">
        <v>18</v>
      </c>
      <c r="I2659" s="7" t="s">
        <v>4454</v>
      </c>
    </row>
    <row r="2660">
      <c r="A2660" s="5" t="s">
        <v>4455</v>
      </c>
      <c r="B2660" s="5" t="s">
        <v>4456</v>
      </c>
      <c r="C2660" s="5" t="s">
        <v>13</v>
      </c>
      <c r="D2660" s="5" t="s">
        <v>4441</v>
      </c>
      <c r="E2660" s="5" t="s">
        <v>4457</v>
      </c>
      <c r="F2660" s="5" t="s">
        <v>4458</v>
      </c>
      <c r="G2660" s="5" t="s">
        <v>2731</v>
      </c>
      <c r="H2660" s="5" t="s">
        <v>18</v>
      </c>
      <c r="I2660" s="7" t="s">
        <v>11221</v>
      </c>
    </row>
    <row r="2661">
      <c r="A2661" s="5" t="s">
        <v>4460</v>
      </c>
      <c r="B2661" s="5" t="s">
        <v>4461</v>
      </c>
      <c r="C2661" s="5" t="s">
        <v>13</v>
      </c>
      <c r="D2661" s="5" t="s">
        <v>4441</v>
      </c>
      <c r="F2661" s="5" t="s">
        <v>2819</v>
      </c>
      <c r="G2661" s="5" t="s">
        <v>2820</v>
      </c>
      <c r="H2661" s="5" t="s">
        <v>18</v>
      </c>
      <c r="I2661" s="7" t="s">
        <v>11222</v>
      </c>
    </row>
    <row r="2662">
      <c r="A2662" s="5" t="s">
        <v>4463</v>
      </c>
      <c r="B2662" s="5" t="s">
        <v>861</v>
      </c>
      <c r="C2662" s="5" t="s">
        <v>13</v>
      </c>
      <c r="D2662" s="5" t="s">
        <v>4441</v>
      </c>
      <c r="E2662" s="5" t="s">
        <v>697</v>
      </c>
      <c r="F2662" s="5" t="s">
        <v>137</v>
      </c>
      <c r="G2662" s="5" t="s">
        <v>137</v>
      </c>
      <c r="H2662" s="5" t="s">
        <v>18</v>
      </c>
      <c r="I2662" s="7" t="s">
        <v>11223</v>
      </c>
    </row>
    <row r="2663">
      <c r="A2663" s="5" t="s">
        <v>4465</v>
      </c>
      <c r="B2663" s="5" t="s">
        <v>371</v>
      </c>
      <c r="C2663" s="5" t="s">
        <v>13</v>
      </c>
      <c r="D2663" s="5" t="s">
        <v>4441</v>
      </c>
      <c r="E2663" s="5" t="s">
        <v>207</v>
      </c>
      <c r="F2663" s="5" t="s">
        <v>137</v>
      </c>
      <c r="G2663" s="5" t="s">
        <v>137</v>
      </c>
      <c r="H2663" s="5" t="s">
        <v>18</v>
      </c>
      <c r="I2663" s="7" t="s">
        <v>4466</v>
      </c>
    </row>
    <row r="2664">
      <c r="A2664" s="5" t="s">
        <v>4467</v>
      </c>
      <c r="B2664" s="5" t="s">
        <v>25</v>
      </c>
      <c r="C2664" s="5" t="s">
        <v>13</v>
      </c>
      <c r="D2664" s="5" t="s">
        <v>4441</v>
      </c>
      <c r="E2664" s="5" t="s">
        <v>387</v>
      </c>
      <c r="F2664" s="5" t="s">
        <v>4468</v>
      </c>
      <c r="G2664" s="5" t="s">
        <v>96</v>
      </c>
      <c r="H2664" s="5" t="s">
        <v>18</v>
      </c>
      <c r="I2664" s="7" t="s">
        <v>4469</v>
      </c>
    </row>
    <row r="2665">
      <c r="A2665" s="5" t="s">
        <v>4470</v>
      </c>
      <c r="B2665" s="5" t="s">
        <v>25</v>
      </c>
      <c r="C2665" s="5" t="s">
        <v>13</v>
      </c>
      <c r="D2665" s="5" t="s">
        <v>4441</v>
      </c>
      <c r="E2665" s="5" t="s">
        <v>48</v>
      </c>
      <c r="F2665" s="5" t="s">
        <v>137</v>
      </c>
      <c r="G2665" s="5" t="s">
        <v>137</v>
      </c>
      <c r="H2665" s="5" t="s">
        <v>18</v>
      </c>
      <c r="I2665" s="7" t="s">
        <v>4471</v>
      </c>
    </row>
    <row r="2666">
      <c r="A2666" s="5" t="s">
        <v>4472</v>
      </c>
      <c r="B2666" s="5" t="s">
        <v>4473</v>
      </c>
      <c r="C2666" s="5" t="s">
        <v>13</v>
      </c>
      <c r="D2666" s="5" t="s">
        <v>4441</v>
      </c>
      <c r="E2666" s="5" t="s">
        <v>149</v>
      </c>
      <c r="F2666" s="5" t="s">
        <v>2110</v>
      </c>
      <c r="G2666" s="5" t="s">
        <v>962</v>
      </c>
      <c r="H2666" s="5" t="s">
        <v>18</v>
      </c>
      <c r="I2666" s="7" t="s">
        <v>11224</v>
      </c>
    </row>
    <row r="2667">
      <c r="A2667" s="5" t="s">
        <v>4475</v>
      </c>
      <c r="B2667" s="5" t="s">
        <v>110</v>
      </c>
      <c r="C2667" s="5" t="s">
        <v>13</v>
      </c>
      <c r="D2667" s="5" t="s">
        <v>4441</v>
      </c>
      <c r="E2667" s="5" t="s">
        <v>136</v>
      </c>
      <c r="F2667" s="5" t="s">
        <v>166</v>
      </c>
      <c r="G2667" s="5" t="s">
        <v>44</v>
      </c>
      <c r="H2667" s="5" t="s">
        <v>18</v>
      </c>
      <c r="I2667" s="7" t="s">
        <v>4476</v>
      </c>
    </row>
    <row r="2668">
      <c r="A2668" s="5" t="s">
        <v>4477</v>
      </c>
      <c r="B2668" s="5" t="s">
        <v>404</v>
      </c>
      <c r="C2668" s="5" t="s">
        <v>13</v>
      </c>
      <c r="D2668" s="5" t="s">
        <v>4478</v>
      </c>
      <c r="E2668" s="5" t="s">
        <v>15</v>
      </c>
      <c r="F2668" s="5" t="s">
        <v>16</v>
      </c>
      <c r="G2668" s="5" t="s">
        <v>17</v>
      </c>
      <c r="H2668" s="5" t="s">
        <v>18</v>
      </c>
      <c r="I2668" s="7" t="s">
        <v>4479</v>
      </c>
    </row>
    <row r="2669">
      <c r="A2669" s="5" t="s">
        <v>4480</v>
      </c>
      <c r="B2669" s="5" t="s">
        <v>25</v>
      </c>
      <c r="C2669" s="5" t="s">
        <v>13</v>
      </c>
      <c r="D2669" s="5" t="s">
        <v>4478</v>
      </c>
      <c r="E2669" s="5" t="s">
        <v>441</v>
      </c>
      <c r="F2669" s="5" t="s">
        <v>16</v>
      </c>
      <c r="G2669" s="5" t="s">
        <v>17</v>
      </c>
      <c r="H2669" s="5" t="s">
        <v>18</v>
      </c>
      <c r="I2669" s="7" t="s">
        <v>4481</v>
      </c>
    </row>
    <row r="2670">
      <c r="A2670" s="5" t="s">
        <v>4482</v>
      </c>
      <c r="B2670" s="5" t="s">
        <v>4483</v>
      </c>
      <c r="C2670" s="5" t="s">
        <v>13</v>
      </c>
      <c r="D2670" s="5" t="s">
        <v>4478</v>
      </c>
      <c r="E2670" s="5" t="s">
        <v>68</v>
      </c>
      <c r="F2670" s="5" t="s">
        <v>16</v>
      </c>
      <c r="G2670" s="5" t="s">
        <v>17</v>
      </c>
      <c r="H2670" s="5" t="s">
        <v>18</v>
      </c>
      <c r="I2670" s="7" t="s">
        <v>11225</v>
      </c>
    </row>
    <row r="2671">
      <c r="A2671" s="5" t="s">
        <v>4485</v>
      </c>
      <c r="B2671" s="5" t="s">
        <v>4486</v>
      </c>
      <c r="C2671" s="5" t="s">
        <v>13</v>
      </c>
      <c r="D2671" s="5" t="s">
        <v>4478</v>
      </c>
      <c r="E2671" s="5" t="s">
        <v>727</v>
      </c>
      <c r="F2671" s="5" t="s">
        <v>4487</v>
      </c>
      <c r="G2671" s="5" t="s">
        <v>137</v>
      </c>
      <c r="H2671" s="5" t="s">
        <v>18</v>
      </c>
      <c r="I2671" s="7" t="s">
        <v>11226</v>
      </c>
    </row>
    <row r="2672">
      <c r="A2672" s="5" t="s">
        <v>4489</v>
      </c>
      <c r="B2672" s="5" t="s">
        <v>413</v>
      </c>
      <c r="C2672" s="5" t="s">
        <v>13</v>
      </c>
      <c r="D2672" s="5" t="s">
        <v>4478</v>
      </c>
      <c r="E2672" s="5" t="s">
        <v>136</v>
      </c>
      <c r="F2672" s="5" t="s">
        <v>122</v>
      </c>
      <c r="G2672" s="5" t="s">
        <v>44</v>
      </c>
      <c r="H2672" s="5" t="s">
        <v>18</v>
      </c>
      <c r="I2672" s="7" t="s">
        <v>11227</v>
      </c>
    </row>
    <row r="2673">
      <c r="A2673" s="5" t="s">
        <v>4491</v>
      </c>
      <c r="B2673" s="5" t="s">
        <v>413</v>
      </c>
      <c r="C2673" s="5" t="s">
        <v>13</v>
      </c>
      <c r="D2673" s="5" t="s">
        <v>4478</v>
      </c>
      <c r="E2673" s="5" t="s">
        <v>165</v>
      </c>
      <c r="F2673" s="5" t="s">
        <v>4492</v>
      </c>
      <c r="G2673" s="5" t="s">
        <v>44</v>
      </c>
      <c r="H2673" s="5" t="s">
        <v>18</v>
      </c>
      <c r="I2673" s="7" t="s">
        <v>11228</v>
      </c>
    </row>
    <row r="2674">
      <c r="A2674" s="5" t="s">
        <v>4844</v>
      </c>
      <c r="B2674" s="5" t="s">
        <v>4845</v>
      </c>
      <c r="D2674" s="5" t="s">
        <v>4495</v>
      </c>
      <c r="E2674" s="5" t="s">
        <v>228</v>
      </c>
      <c r="F2674" s="5" t="s">
        <v>377</v>
      </c>
      <c r="G2674" s="5" t="s">
        <v>378</v>
      </c>
      <c r="H2674" s="5" t="s">
        <v>18</v>
      </c>
      <c r="I2674" s="7" t="s">
        <v>11229</v>
      </c>
    </row>
    <row r="2675">
      <c r="A2675" s="5" t="s">
        <v>4494</v>
      </c>
      <c r="B2675" s="5" t="s">
        <v>371</v>
      </c>
      <c r="D2675" s="5" t="s">
        <v>4495</v>
      </c>
      <c r="E2675" s="5" t="s">
        <v>26</v>
      </c>
      <c r="F2675" s="5" t="s">
        <v>377</v>
      </c>
      <c r="G2675" s="5" t="s">
        <v>378</v>
      </c>
      <c r="H2675" s="5" t="s">
        <v>18</v>
      </c>
      <c r="I2675" s="7" t="s">
        <v>4848</v>
      </c>
    </row>
    <row r="2676">
      <c r="A2676" s="5" t="s">
        <v>4506</v>
      </c>
      <c r="B2676" s="5" t="s">
        <v>4507</v>
      </c>
      <c r="D2676" s="5" t="s">
        <v>4495</v>
      </c>
      <c r="E2676" s="5" t="s">
        <v>399</v>
      </c>
      <c r="F2676" s="5" t="s">
        <v>377</v>
      </c>
      <c r="G2676" s="5" t="s">
        <v>378</v>
      </c>
      <c r="H2676" s="5" t="s">
        <v>18</v>
      </c>
      <c r="I2676" s="7" t="s">
        <v>4858</v>
      </c>
    </row>
    <row r="2677">
      <c r="A2677" s="5" t="s">
        <v>4497</v>
      </c>
      <c r="B2677" s="5" t="s">
        <v>4498</v>
      </c>
      <c r="D2677" s="5" t="s">
        <v>4495</v>
      </c>
      <c r="E2677" s="5" t="s">
        <v>48</v>
      </c>
      <c r="F2677" s="5" t="s">
        <v>377</v>
      </c>
      <c r="G2677" s="5" t="s">
        <v>378</v>
      </c>
      <c r="H2677" s="5" t="s">
        <v>18</v>
      </c>
      <c r="I2677" s="7" t="s">
        <v>11230</v>
      </c>
    </row>
    <row r="2678">
      <c r="A2678" s="5" t="s">
        <v>4522</v>
      </c>
      <c r="B2678" s="5" t="s">
        <v>4523</v>
      </c>
      <c r="D2678" s="5" t="s">
        <v>4495</v>
      </c>
      <c r="E2678" s="5" t="s">
        <v>182</v>
      </c>
      <c r="F2678" s="5" t="s">
        <v>377</v>
      </c>
      <c r="G2678" s="5" t="s">
        <v>378</v>
      </c>
      <c r="H2678" s="5" t="s">
        <v>18</v>
      </c>
      <c r="I2678" s="7" t="s">
        <v>11231</v>
      </c>
    </row>
    <row r="2679">
      <c r="A2679" s="5" t="s">
        <v>4494</v>
      </c>
      <c r="B2679" s="5" t="s">
        <v>371</v>
      </c>
      <c r="C2679" s="5" t="s">
        <v>13</v>
      </c>
      <c r="D2679" s="5" t="s">
        <v>4495</v>
      </c>
      <c r="E2679" s="5" t="s">
        <v>144</v>
      </c>
      <c r="F2679" s="5" t="s">
        <v>377</v>
      </c>
      <c r="G2679" s="5" t="s">
        <v>378</v>
      </c>
      <c r="H2679" s="5" t="s">
        <v>18</v>
      </c>
      <c r="I2679" s="7" t="s">
        <v>4496</v>
      </c>
    </row>
    <row r="2680">
      <c r="A2680" s="5" t="s">
        <v>4497</v>
      </c>
      <c r="B2680" s="5" t="s">
        <v>4498</v>
      </c>
      <c r="C2680" s="5" t="s">
        <v>13</v>
      </c>
      <c r="D2680" s="5" t="s">
        <v>4495</v>
      </c>
      <c r="E2680" s="5" t="s">
        <v>48</v>
      </c>
      <c r="F2680" s="5" t="s">
        <v>377</v>
      </c>
      <c r="G2680" s="5" t="s">
        <v>378</v>
      </c>
      <c r="H2680" s="5" t="s">
        <v>18</v>
      </c>
      <c r="I2680" s="7" t="s">
        <v>11232</v>
      </c>
    </row>
    <row r="2681">
      <c r="A2681" s="5" t="s">
        <v>4500</v>
      </c>
      <c r="B2681" s="5" t="s">
        <v>32</v>
      </c>
      <c r="C2681" s="5" t="s">
        <v>13</v>
      </c>
      <c r="D2681" s="5" t="s">
        <v>4495</v>
      </c>
      <c r="E2681" s="5" t="s">
        <v>228</v>
      </c>
      <c r="F2681" s="5" t="s">
        <v>377</v>
      </c>
      <c r="G2681" s="5" t="s">
        <v>378</v>
      </c>
      <c r="H2681" s="5" t="s">
        <v>18</v>
      </c>
      <c r="I2681" s="7" t="s">
        <v>4501</v>
      </c>
    </row>
    <row r="2682">
      <c r="A2682" s="5" t="s">
        <v>4502</v>
      </c>
      <c r="B2682" s="5" t="s">
        <v>25</v>
      </c>
      <c r="C2682" s="5" t="s">
        <v>13</v>
      </c>
      <c r="D2682" s="5" t="s">
        <v>4495</v>
      </c>
      <c r="E2682" s="5" t="s">
        <v>79</v>
      </c>
      <c r="F2682" s="5" t="s">
        <v>377</v>
      </c>
      <c r="G2682" s="5" t="s">
        <v>378</v>
      </c>
      <c r="H2682" s="5" t="s">
        <v>18</v>
      </c>
      <c r="I2682" s="7" t="s">
        <v>4503</v>
      </c>
    </row>
    <row r="2683">
      <c r="A2683" s="5" t="s">
        <v>4504</v>
      </c>
      <c r="B2683" s="5" t="s">
        <v>21</v>
      </c>
      <c r="C2683" s="5" t="s">
        <v>4</v>
      </c>
      <c r="D2683" s="5" t="s">
        <v>4495</v>
      </c>
      <c r="E2683" s="5" t="s">
        <v>512</v>
      </c>
      <c r="F2683" s="5" t="s">
        <v>377</v>
      </c>
      <c r="G2683" s="5" t="s">
        <v>378</v>
      </c>
      <c r="H2683" s="5" t="s">
        <v>18</v>
      </c>
      <c r="I2683" s="7" t="s">
        <v>4505</v>
      </c>
    </row>
    <row r="2684">
      <c r="A2684" s="5" t="s">
        <v>4506</v>
      </c>
      <c r="B2684" s="5" t="s">
        <v>4507</v>
      </c>
      <c r="C2684" s="5" t="s">
        <v>13</v>
      </c>
      <c r="D2684" s="5" t="s">
        <v>4495</v>
      </c>
      <c r="E2684" s="5" t="s">
        <v>399</v>
      </c>
      <c r="F2684" s="5" t="s">
        <v>377</v>
      </c>
      <c r="G2684" s="5" t="s">
        <v>378</v>
      </c>
      <c r="H2684" s="5" t="s">
        <v>18</v>
      </c>
      <c r="I2684" s="7" t="s">
        <v>4508</v>
      </c>
    </row>
    <row r="2685">
      <c r="A2685" s="5" t="s">
        <v>4509</v>
      </c>
      <c r="B2685" s="5" t="s">
        <v>25</v>
      </c>
      <c r="C2685" s="5" t="s">
        <v>13</v>
      </c>
      <c r="D2685" s="5" t="s">
        <v>4495</v>
      </c>
      <c r="E2685" s="5" t="s">
        <v>237</v>
      </c>
      <c r="F2685" s="5" t="s">
        <v>377</v>
      </c>
      <c r="G2685" s="5" t="s">
        <v>378</v>
      </c>
      <c r="H2685" s="5" t="s">
        <v>18</v>
      </c>
      <c r="I2685" s="7" t="s">
        <v>4510</v>
      </c>
    </row>
    <row r="2686">
      <c r="A2686" s="5" t="s">
        <v>4511</v>
      </c>
      <c r="B2686" s="5" t="s">
        <v>25</v>
      </c>
      <c r="C2686" s="5" t="s">
        <v>13</v>
      </c>
      <c r="D2686" s="5" t="s">
        <v>4495</v>
      </c>
      <c r="E2686" s="5" t="s">
        <v>283</v>
      </c>
      <c r="F2686" s="5" t="s">
        <v>377</v>
      </c>
      <c r="G2686" s="5" t="s">
        <v>378</v>
      </c>
      <c r="H2686" s="5" t="s">
        <v>18</v>
      </c>
      <c r="I2686" s="7" t="s">
        <v>4512</v>
      </c>
    </row>
    <row r="2687">
      <c r="A2687" s="5" t="s">
        <v>4513</v>
      </c>
      <c r="B2687" s="5" t="s">
        <v>25</v>
      </c>
      <c r="C2687" s="5" t="s">
        <v>13</v>
      </c>
      <c r="D2687" s="5" t="s">
        <v>4495</v>
      </c>
      <c r="E2687" s="5" t="s">
        <v>79</v>
      </c>
      <c r="F2687" s="5" t="s">
        <v>377</v>
      </c>
      <c r="G2687" s="5" t="s">
        <v>378</v>
      </c>
      <c r="H2687" s="5" t="s">
        <v>18</v>
      </c>
      <c r="I2687" s="7" t="s">
        <v>4514</v>
      </c>
    </row>
    <row r="2688">
      <c r="A2688" s="5" t="s">
        <v>4515</v>
      </c>
      <c r="B2688" s="5" t="s">
        <v>4516</v>
      </c>
      <c r="C2688" s="5" t="s">
        <v>13</v>
      </c>
      <c r="D2688" s="5" t="s">
        <v>4495</v>
      </c>
      <c r="E2688" s="5" t="s">
        <v>192</v>
      </c>
      <c r="F2688" s="5" t="s">
        <v>377</v>
      </c>
      <c r="G2688" s="5" t="s">
        <v>378</v>
      </c>
      <c r="H2688" s="5" t="s">
        <v>18</v>
      </c>
      <c r="I2688" s="7" t="s">
        <v>4517</v>
      </c>
    </row>
    <row r="2689">
      <c r="A2689" s="5" t="s">
        <v>4518</v>
      </c>
      <c r="B2689" s="5" t="s">
        <v>4516</v>
      </c>
      <c r="C2689" s="5" t="s">
        <v>13</v>
      </c>
      <c r="D2689" s="5" t="s">
        <v>4495</v>
      </c>
      <c r="E2689" s="5" t="s">
        <v>455</v>
      </c>
      <c r="F2689" s="5" t="s">
        <v>377</v>
      </c>
      <c r="G2689" s="5" t="s">
        <v>378</v>
      </c>
      <c r="H2689" s="5" t="s">
        <v>18</v>
      </c>
      <c r="I2689" s="7" t="s">
        <v>4519</v>
      </c>
    </row>
    <row r="2690">
      <c r="A2690" s="5" t="s">
        <v>4520</v>
      </c>
      <c r="B2690" s="5" t="s">
        <v>25</v>
      </c>
      <c r="C2690" s="5" t="s">
        <v>13</v>
      </c>
      <c r="D2690" s="5" t="s">
        <v>4495</v>
      </c>
      <c r="E2690" s="5" t="s">
        <v>188</v>
      </c>
      <c r="F2690" s="5" t="s">
        <v>377</v>
      </c>
      <c r="G2690" s="5" t="s">
        <v>378</v>
      </c>
      <c r="H2690" s="5" t="s">
        <v>18</v>
      </c>
      <c r="I2690" s="7" t="s">
        <v>4521</v>
      </c>
    </row>
    <row r="2691">
      <c r="A2691" s="5" t="s">
        <v>4522</v>
      </c>
      <c r="B2691" s="5" t="s">
        <v>4523</v>
      </c>
      <c r="C2691" s="5" t="s">
        <v>13</v>
      </c>
      <c r="D2691" s="5" t="s">
        <v>4495</v>
      </c>
      <c r="E2691" s="5" t="s">
        <v>182</v>
      </c>
      <c r="F2691" s="5" t="s">
        <v>377</v>
      </c>
      <c r="G2691" s="5" t="s">
        <v>378</v>
      </c>
      <c r="H2691" s="5" t="s">
        <v>18</v>
      </c>
      <c r="I2691" s="7" t="s">
        <v>11233</v>
      </c>
    </row>
    <row r="2692">
      <c r="A2692" s="5" t="s">
        <v>4525</v>
      </c>
      <c r="B2692" s="5" t="s">
        <v>4526</v>
      </c>
      <c r="C2692" s="5" t="s">
        <v>4</v>
      </c>
      <c r="D2692" s="5" t="s">
        <v>4495</v>
      </c>
      <c r="E2692" s="5" t="s">
        <v>63</v>
      </c>
      <c r="F2692" s="5" t="s">
        <v>377</v>
      </c>
      <c r="G2692" s="5" t="s">
        <v>378</v>
      </c>
      <c r="H2692" s="5" t="s">
        <v>18</v>
      </c>
      <c r="I2692" s="7" t="s">
        <v>4527</v>
      </c>
    </row>
    <row r="2693">
      <c r="A2693" s="5" t="s">
        <v>4528</v>
      </c>
      <c r="B2693" s="5" t="s">
        <v>4529</v>
      </c>
      <c r="C2693" s="5" t="s">
        <v>13</v>
      </c>
      <c r="D2693" s="5" t="s">
        <v>4530</v>
      </c>
      <c r="E2693" s="5" t="s">
        <v>233</v>
      </c>
      <c r="F2693" s="5" t="s">
        <v>166</v>
      </c>
      <c r="G2693" s="5" t="s">
        <v>44</v>
      </c>
      <c r="H2693" s="5" t="s">
        <v>18</v>
      </c>
      <c r="I2693" s="7" t="s">
        <v>4531</v>
      </c>
    </row>
    <row r="2694">
      <c r="A2694" s="5" t="s">
        <v>4532</v>
      </c>
      <c r="B2694" s="5" t="s">
        <v>4533</v>
      </c>
      <c r="C2694" s="5" t="s">
        <v>13</v>
      </c>
      <c r="D2694" s="5" t="s">
        <v>4530</v>
      </c>
      <c r="E2694" s="5" t="s">
        <v>322</v>
      </c>
      <c r="F2694" s="5" t="s">
        <v>169</v>
      </c>
      <c r="G2694" s="5" t="s">
        <v>44</v>
      </c>
      <c r="H2694" s="5" t="s">
        <v>18</v>
      </c>
      <c r="I2694" s="7" t="s">
        <v>4534</v>
      </c>
    </row>
    <row r="2695">
      <c r="A2695" s="5" t="s">
        <v>5581</v>
      </c>
      <c r="B2695" s="5" t="s">
        <v>4560</v>
      </c>
      <c r="D2695" s="5" t="s">
        <v>4536</v>
      </c>
      <c r="E2695" s="5" t="s">
        <v>182</v>
      </c>
      <c r="F2695" s="5" t="s">
        <v>49</v>
      </c>
      <c r="G2695" s="5" t="s">
        <v>50</v>
      </c>
      <c r="H2695" s="5" t="s">
        <v>18</v>
      </c>
      <c r="I2695" s="7" t="s">
        <v>5580</v>
      </c>
    </row>
    <row r="2696">
      <c r="A2696" s="5" t="s">
        <v>4539</v>
      </c>
      <c r="B2696" s="5" t="s">
        <v>4540</v>
      </c>
      <c r="D2696" s="5" t="s">
        <v>4536</v>
      </c>
      <c r="E2696" s="5" t="s">
        <v>4541</v>
      </c>
      <c r="F2696" s="5" t="s">
        <v>49</v>
      </c>
      <c r="G2696" s="5" t="s">
        <v>50</v>
      </c>
      <c r="H2696" s="5" t="s">
        <v>18</v>
      </c>
      <c r="I2696" s="7" t="s">
        <v>11234</v>
      </c>
    </row>
    <row r="2697">
      <c r="A2697" s="5" t="s">
        <v>5601</v>
      </c>
      <c r="B2697" s="5" t="s">
        <v>5602</v>
      </c>
      <c r="C2697" s="5" t="s">
        <v>4</v>
      </c>
      <c r="D2697" s="5" t="s">
        <v>4536</v>
      </c>
      <c r="E2697" s="5" t="s">
        <v>84</v>
      </c>
      <c r="F2697" s="5" t="s">
        <v>49</v>
      </c>
      <c r="G2697" s="5" t="s">
        <v>50</v>
      </c>
      <c r="H2697" s="5" t="s">
        <v>18</v>
      </c>
      <c r="I2697" s="7" t="s">
        <v>5600</v>
      </c>
    </row>
    <row r="2698">
      <c r="A2698" s="5" t="s">
        <v>5607</v>
      </c>
      <c r="B2698" s="5" t="s">
        <v>4560</v>
      </c>
      <c r="D2698" s="5" t="s">
        <v>4536</v>
      </c>
      <c r="E2698" s="5" t="s">
        <v>822</v>
      </c>
      <c r="F2698" s="5" t="s">
        <v>49</v>
      </c>
      <c r="G2698" s="5" t="s">
        <v>50</v>
      </c>
      <c r="H2698" s="5" t="s">
        <v>18</v>
      </c>
      <c r="I2698" s="7" t="s">
        <v>5606</v>
      </c>
    </row>
    <row r="2699">
      <c r="A2699" s="5" t="s">
        <v>5616</v>
      </c>
      <c r="B2699" s="5" t="s">
        <v>5617</v>
      </c>
      <c r="D2699" s="5" t="s">
        <v>4536</v>
      </c>
      <c r="E2699" s="5" t="s">
        <v>268</v>
      </c>
      <c r="F2699" s="5" t="s">
        <v>49</v>
      </c>
      <c r="G2699" s="5" t="s">
        <v>50</v>
      </c>
      <c r="H2699" s="5" t="s">
        <v>18</v>
      </c>
      <c r="I2699" s="7" t="s">
        <v>5615</v>
      </c>
    </row>
    <row r="2700">
      <c r="A2700" s="5" t="s">
        <v>7505</v>
      </c>
      <c r="B2700" s="5" t="s">
        <v>4560</v>
      </c>
      <c r="D2700" s="5" t="s">
        <v>4536</v>
      </c>
      <c r="E2700" s="5" t="s">
        <v>48</v>
      </c>
      <c r="F2700" s="5" t="s">
        <v>953</v>
      </c>
      <c r="G2700" s="5" t="s">
        <v>954</v>
      </c>
      <c r="H2700" s="5" t="s">
        <v>18</v>
      </c>
      <c r="I2700" s="7" t="s">
        <v>7504</v>
      </c>
    </row>
    <row r="2701">
      <c r="A2701" s="5" t="s">
        <v>7507</v>
      </c>
      <c r="B2701" s="5" t="s">
        <v>4560</v>
      </c>
      <c r="D2701" s="5" t="s">
        <v>4536</v>
      </c>
      <c r="E2701" s="5" t="s">
        <v>1531</v>
      </c>
      <c r="F2701" s="5" t="s">
        <v>953</v>
      </c>
      <c r="G2701" s="5" t="s">
        <v>954</v>
      </c>
      <c r="H2701" s="5" t="s">
        <v>18</v>
      </c>
      <c r="I2701" s="7" t="s">
        <v>7506</v>
      </c>
    </row>
    <row r="2702">
      <c r="A2702" s="5" t="s">
        <v>4551</v>
      </c>
      <c r="B2702" s="5" t="s">
        <v>4552</v>
      </c>
      <c r="D2702" s="5" t="s">
        <v>4536</v>
      </c>
      <c r="E2702" s="5" t="s">
        <v>207</v>
      </c>
      <c r="F2702" s="5" t="s">
        <v>132</v>
      </c>
      <c r="G2702" s="5" t="s">
        <v>133</v>
      </c>
      <c r="H2702" s="5" t="s">
        <v>18</v>
      </c>
      <c r="I2702" s="7" t="s">
        <v>7699</v>
      </c>
    </row>
    <row r="2703">
      <c r="A2703" s="5" t="s">
        <v>4556</v>
      </c>
      <c r="B2703" s="5" t="s">
        <v>4557</v>
      </c>
      <c r="D2703" s="5" t="s">
        <v>4536</v>
      </c>
      <c r="E2703" s="5" t="s">
        <v>1759</v>
      </c>
      <c r="F2703" s="5" t="s">
        <v>876</v>
      </c>
      <c r="G2703" s="5" t="s">
        <v>38</v>
      </c>
      <c r="H2703" s="5" t="s">
        <v>18</v>
      </c>
      <c r="I2703" s="7" t="s">
        <v>11235</v>
      </c>
    </row>
    <row r="2704">
      <c r="A2704" s="5" t="s">
        <v>4559</v>
      </c>
      <c r="B2704" s="5" t="s">
        <v>4560</v>
      </c>
      <c r="D2704" s="5" t="s">
        <v>4536</v>
      </c>
      <c r="E2704" s="5" t="s">
        <v>125</v>
      </c>
      <c r="F2704" s="5" t="s">
        <v>166</v>
      </c>
      <c r="G2704" s="5" t="s">
        <v>44</v>
      </c>
      <c r="H2704" s="5" t="s">
        <v>18</v>
      </c>
      <c r="I2704" s="7" t="s">
        <v>8669</v>
      </c>
    </row>
    <row r="2705">
      <c r="A2705" s="5" t="s">
        <v>4535</v>
      </c>
      <c r="B2705" s="5" t="s">
        <v>25</v>
      </c>
      <c r="C2705" s="5" t="s">
        <v>13</v>
      </c>
      <c r="D2705" s="5" t="s">
        <v>4536</v>
      </c>
      <c r="E2705" s="5" t="s">
        <v>734</v>
      </c>
      <c r="F2705" s="5" t="s">
        <v>4537</v>
      </c>
      <c r="G2705" s="5" t="s">
        <v>137</v>
      </c>
      <c r="H2705" s="5" t="s">
        <v>18</v>
      </c>
      <c r="I2705" s="7" t="s">
        <v>4538</v>
      </c>
    </row>
    <row r="2706">
      <c r="A2706" s="5" t="s">
        <v>4539</v>
      </c>
      <c r="B2706" s="5" t="s">
        <v>4540</v>
      </c>
      <c r="C2706" s="5" t="s">
        <v>13</v>
      </c>
      <c r="D2706" s="5" t="s">
        <v>4536</v>
      </c>
      <c r="E2706" s="5" t="s">
        <v>4541</v>
      </c>
      <c r="F2706" s="5" t="s">
        <v>49</v>
      </c>
      <c r="G2706" s="5" t="s">
        <v>50</v>
      </c>
      <c r="H2706" s="5" t="s">
        <v>18</v>
      </c>
      <c r="I2706" s="7" t="s">
        <v>11236</v>
      </c>
    </row>
    <row r="2707">
      <c r="A2707" s="5" t="s">
        <v>4543</v>
      </c>
      <c r="B2707" s="5" t="s">
        <v>4544</v>
      </c>
      <c r="C2707" s="5" t="s">
        <v>13</v>
      </c>
      <c r="D2707" s="5" t="s">
        <v>4536</v>
      </c>
      <c r="E2707" s="5" t="s">
        <v>4545</v>
      </c>
      <c r="F2707" s="5" t="s">
        <v>49</v>
      </c>
      <c r="G2707" s="5" t="s">
        <v>50</v>
      </c>
      <c r="H2707" s="5" t="s">
        <v>18</v>
      </c>
      <c r="I2707" s="7" t="s">
        <v>4546</v>
      </c>
    </row>
    <row r="2708">
      <c r="A2708" s="5" t="s">
        <v>4547</v>
      </c>
      <c r="B2708" s="5" t="s">
        <v>25</v>
      </c>
      <c r="C2708" s="5" t="s">
        <v>13</v>
      </c>
      <c r="D2708" s="5" t="s">
        <v>4536</v>
      </c>
      <c r="F2708" s="5" t="s">
        <v>80</v>
      </c>
      <c r="G2708" s="5" t="s">
        <v>38</v>
      </c>
      <c r="H2708" s="5" t="s">
        <v>18</v>
      </c>
      <c r="I2708" s="7" t="s">
        <v>4548</v>
      </c>
    </row>
    <row r="2709">
      <c r="A2709" s="5" t="s">
        <v>4549</v>
      </c>
      <c r="B2709" s="5" t="s">
        <v>25</v>
      </c>
      <c r="C2709" s="5" t="s">
        <v>13</v>
      </c>
      <c r="D2709" s="5" t="s">
        <v>4536</v>
      </c>
      <c r="E2709" s="5" t="s">
        <v>430</v>
      </c>
      <c r="F2709" s="5" t="s">
        <v>388</v>
      </c>
      <c r="G2709" s="5" t="s">
        <v>203</v>
      </c>
      <c r="H2709" s="5" t="s">
        <v>18</v>
      </c>
      <c r="I2709" s="7" t="s">
        <v>4550</v>
      </c>
    </row>
    <row r="2710">
      <c r="A2710" s="5" t="s">
        <v>4551</v>
      </c>
      <c r="B2710" s="5" t="s">
        <v>4552</v>
      </c>
      <c r="C2710" s="5" t="s">
        <v>13</v>
      </c>
      <c r="D2710" s="5" t="s">
        <v>4536</v>
      </c>
      <c r="E2710" s="5" t="s">
        <v>207</v>
      </c>
      <c r="F2710" s="5" t="s">
        <v>132</v>
      </c>
      <c r="G2710" s="5" t="s">
        <v>133</v>
      </c>
      <c r="H2710" s="5" t="s">
        <v>18</v>
      </c>
      <c r="I2710" s="7" t="s">
        <v>4553</v>
      </c>
    </row>
    <row r="2711">
      <c r="A2711" s="5" t="s">
        <v>4554</v>
      </c>
      <c r="B2711" s="5" t="s">
        <v>25</v>
      </c>
      <c r="C2711" s="5" t="s">
        <v>13</v>
      </c>
      <c r="D2711" s="5" t="s">
        <v>4536</v>
      </c>
      <c r="E2711" s="5" t="s">
        <v>22</v>
      </c>
      <c r="F2711" s="5" t="s">
        <v>153</v>
      </c>
      <c r="G2711" s="5" t="s">
        <v>154</v>
      </c>
      <c r="H2711" s="5" t="s">
        <v>18</v>
      </c>
      <c r="I2711" s="7" t="s">
        <v>4555</v>
      </c>
    </row>
    <row r="2712">
      <c r="A2712" s="5" t="s">
        <v>4556</v>
      </c>
      <c r="B2712" s="5" t="s">
        <v>4557</v>
      </c>
      <c r="C2712" s="5" t="s">
        <v>13</v>
      </c>
      <c r="D2712" s="5" t="s">
        <v>4536</v>
      </c>
      <c r="E2712" s="5" t="s">
        <v>1759</v>
      </c>
      <c r="F2712" s="5" t="s">
        <v>876</v>
      </c>
      <c r="G2712" s="5" t="s">
        <v>38</v>
      </c>
      <c r="H2712" s="5" t="s">
        <v>18</v>
      </c>
      <c r="I2712" s="7" t="s">
        <v>11237</v>
      </c>
    </row>
    <row r="2713">
      <c r="A2713" s="5" t="s">
        <v>4559</v>
      </c>
      <c r="B2713" s="5" t="s">
        <v>4560</v>
      </c>
      <c r="C2713" s="5" t="s">
        <v>13</v>
      </c>
      <c r="D2713" s="5" t="s">
        <v>4536</v>
      </c>
      <c r="E2713" s="5" t="s">
        <v>125</v>
      </c>
      <c r="F2713" s="5" t="s">
        <v>166</v>
      </c>
      <c r="G2713" s="5" t="s">
        <v>44</v>
      </c>
      <c r="H2713" s="5" t="s">
        <v>18</v>
      </c>
      <c r="I2713" s="7" t="s">
        <v>4561</v>
      </c>
    </row>
    <row r="2714">
      <c r="A2714" s="5" t="s">
        <v>4562</v>
      </c>
      <c r="B2714" s="5" t="s">
        <v>4563</v>
      </c>
      <c r="C2714" s="5" t="s">
        <v>13</v>
      </c>
      <c r="D2714" s="5" t="s">
        <v>4536</v>
      </c>
      <c r="E2714" s="5" t="s">
        <v>4564</v>
      </c>
      <c r="F2714" s="5" t="s">
        <v>166</v>
      </c>
      <c r="G2714" s="5" t="s">
        <v>44</v>
      </c>
      <c r="H2714" s="5" t="s">
        <v>18</v>
      </c>
      <c r="I2714" s="7" t="s">
        <v>11238</v>
      </c>
    </row>
    <row r="2715">
      <c r="A2715" s="5" t="s">
        <v>4566</v>
      </c>
      <c r="B2715" s="5" t="s">
        <v>4567</v>
      </c>
      <c r="C2715" s="5" t="s">
        <v>13</v>
      </c>
      <c r="D2715" s="5" t="s">
        <v>4536</v>
      </c>
      <c r="E2715" s="5" t="s">
        <v>4568</v>
      </c>
      <c r="F2715" s="5" t="s">
        <v>4569</v>
      </c>
      <c r="G2715" s="5" t="s">
        <v>224</v>
      </c>
      <c r="H2715" s="5" t="s">
        <v>18</v>
      </c>
      <c r="I2715" s="7" t="s">
        <v>11239</v>
      </c>
    </row>
    <row r="2716">
      <c r="A2716" s="5" t="s">
        <v>4571</v>
      </c>
      <c r="B2716" s="5" t="s">
        <v>4572</v>
      </c>
      <c r="C2716" s="5" t="s">
        <v>13</v>
      </c>
      <c r="D2716" s="5" t="s">
        <v>4536</v>
      </c>
      <c r="E2716" s="5" t="s">
        <v>1667</v>
      </c>
      <c r="F2716" s="5" t="s">
        <v>49</v>
      </c>
      <c r="G2716" s="5" t="s">
        <v>50</v>
      </c>
      <c r="H2716" s="5" t="s">
        <v>18</v>
      </c>
      <c r="I2716" s="7" t="s">
        <v>11240</v>
      </c>
    </row>
    <row r="2717">
      <c r="A2717" s="5" t="s">
        <v>4574</v>
      </c>
      <c r="B2717" s="5" t="s">
        <v>4575</v>
      </c>
      <c r="C2717" s="5" t="s">
        <v>13</v>
      </c>
      <c r="D2717" s="5" t="s">
        <v>4536</v>
      </c>
      <c r="E2717" s="5" t="s">
        <v>523</v>
      </c>
      <c r="F2717" s="5" t="s">
        <v>49</v>
      </c>
      <c r="G2717" s="5" t="s">
        <v>50</v>
      </c>
      <c r="H2717" s="5" t="s">
        <v>18</v>
      </c>
      <c r="I2717" s="7" t="s">
        <v>4576</v>
      </c>
    </row>
    <row r="2718">
      <c r="A2718" s="5" t="s">
        <v>4577</v>
      </c>
      <c r="B2718" s="5" t="s">
        <v>4578</v>
      </c>
      <c r="C2718" s="5" t="s">
        <v>13</v>
      </c>
      <c r="D2718" s="5" t="s">
        <v>4536</v>
      </c>
      <c r="E2718" s="5" t="s">
        <v>241</v>
      </c>
      <c r="F2718" s="5" t="s">
        <v>49</v>
      </c>
      <c r="G2718" s="5" t="s">
        <v>50</v>
      </c>
      <c r="H2718" s="5" t="s">
        <v>18</v>
      </c>
      <c r="I2718" s="7" t="s">
        <v>4579</v>
      </c>
    </row>
    <row r="2719">
      <c r="A2719" s="5" t="s">
        <v>4580</v>
      </c>
      <c r="B2719" s="5" t="s">
        <v>4581</v>
      </c>
      <c r="C2719" s="5" t="s">
        <v>4</v>
      </c>
      <c r="D2719" s="5" t="s">
        <v>4536</v>
      </c>
      <c r="E2719" s="5" t="s">
        <v>832</v>
      </c>
      <c r="F2719" s="5" t="s">
        <v>49</v>
      </c>
      <c r="G2719" s="5" t="s">
        <v>50</v>
      </c>
      <c r="H2719" s="5" t="s">
        <v>18</v>
      </c>
      <c r="I2719" s="7" t="s">
        <v>4582</v>
      </c>
    </row>
    <row r="2720">
      <c r="A2720" s="5" t="s">
        <v>4562</v>
      </c>
      <c r="B2720" s="5" t="s">
        <v>4563</v>
      </c>
      <c r="D2720" s="5" t="s">
        <v>4536</v>
      </c>
      <c r="E2720" s="5" t="s">
        <v>4564</v>
      </c>
      <c r="F2720" s="5" t="s">
        <v>166</v>
      </c>
      <c r="G2720" s="5" t="s">
        <v>44</v>
      </c>
      <c r="H2720" s="5" t="s">
        <v>18</v>
      </c>
      <c r="I2720" s="7" t="s">
        <v>11241</v>
      </c>
    </row>
    <row r="2721">
      <c r="A2721" s="5" t="s">
        <v>4580</v>
      </c>
      <c r="B2721" s="5" t="s">
        <v>4581</v>
      </c>
      <c r="C2721" s="5" t="s">
        <v>4</v>
      </c>
      <c r="D2721" s="5" t="s">
        <v>4536</v>
      </c>
      <c r="E2721" s="5" t="s">
        <v>832</v>
      </c>
      <c r="F2721" s="5" t="s">
        <v>49</v>
      </c>
      <c r="G2721" s="5" t="s">
        <v>50</v>
      </c>
      <c r="H2721" s="5" t="s">
        <v>18</v>
      </c>
      <c r="I2721" s="7" t="s">
        <v>5598</v>
      </c>
    </row>
    <row r="2722">
      <c r="A2722" s="5" t="s">
        <v>4583</v>
      </c>
      <c r="B2722" s="5" t="s">
        <v>4584</v>
      </c>
      <c r="C2722" s="5" t="s">
        <v>13</v>
      </c>
      <c r="D2722" s="5" t="s">
        <v>4585</v>
      </c>
      <c r="E2722" s="5" t="s">
        <v>512</v>
      </c>
      <c r="F2722" s="5" t="s">
        <v>4586</v>
      </c>
      <c r="G2722" s="5" t="s">
        <v>44</v>
      </c>
      <c r="H2722" s="5" t="s">
        <v>18</v>
      </c>
      <c r="I2722" s="7" t="s">
        <v>4587</v>
      </c>
    </row>
    <row r="2723">
      <c r="A2723" s="5" t="s">
        <v>4588</v>
      </c>
      <c r="B2723" s="5" t="s">
        <v>110</v>
      </c>
      <c r="C2723" s="5" t="s">
        <v>13</v>
      </c>
      <c r="D2723" s="5" t="s">
        <v>4585</v>
      </c>
      <c r="E2723" s="5" t="s">
        <v>222</v>
      </c>
      <c r="F2723" s="5" t="s">
        <v>122</v>
      </c>
      <c r="G2723" s="5" t="s">
        <v>44</v>
      </c>
      <c r="H2723" s="5" t="s">
        <v>18</v>
      </c>
      <c r="I2723" s="7" t="s">
        <v>4589</v>
      </c>
    </row>
    <row r="2724">
      <c r="A2724" s="5" t="s">
        <v>4590</v>
      </c>
      <c r="B2724" s="5" t="s">
        <v>1147</v>
      </c>
      <c r="C2724" s="5" t="s">
        <v>13</v>
      </c>
      <c r="D2724" s="5" t="s">
        <v>4585</v>
      </c>
      <c r="E2724" s="5" t="s">
        <v>79</v>
      </c>
      <c r="F2724" s="5" t="s">
        <v>166</v>
      </c>
      <c r="G2724" s="5" t="s">
        <v>44</v>
      </c>
      <c r="H2724" s="5" t="s">
        <v>18</v>
      </c>
      <c r="I2724" s="7" t="s">
        <v>4591</v>
      </c>
    </row>
    <row r="2725">
      <c r="A2725" s="5" t="s">
        <v>4592</v>
      </c>
      <c r="B2725" s="5" t="s">
        <v>110</v>
      </c>
      <c r="C2725" s="5" t="s">
        <v>13</v>
      </c>
      <c r="D2725" s="5" t="s">
        <v>4585</v>
      </c>
      <c r="E2725" s="5" t="s">
        <v>222</v>
      </c>
      <c r="F2725" s="5" t="s">
        <v>169</v>
      </c>
      <c r="G2725" s="5" t="s">
        <v>44</v>
      </c>
      <c r="H2725" s="5" t="s">
        <v>18</v>
      </c>
      <c r="I2725" s="7" t="s">
        <v>4593</v>
      </c>
    </row>
    <row r="2726">
      <c r="A2726" s="5" t="s">
        <v>5289</v>
      </c>
      <c r="B2726" s="5" t="s">
        <v>5290</v>
      </c>
      <c r="D2726" s="5" t="s">
        <v>5291</v>
      </c>
      <c r="E2726" s="5" t="s">
        <v>387</v>
      </c>
      <c r="F2726" s="5" t="s">
        <v>5280</v>
      </c>
      <c r="G2726" s="5" t="s">
        <v>4638</v>
      </c>
      <c r="H2726" s="5" t="s">
        <v>4600</v>
      </c>
      <c r="I2726" s="7" t="s">
        <v>5288</v>
      </c>
    </row>
  </sheetData>
  <autoFilter ref="$A$1:$I$2726"/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K99"/>
    <hyperlink r:id="rId100" ref="I100"/>
    <hyperlink r:id="rId101" ref="I101"/>
    <hyperlink r:id="rId102" ref="I102"/>
    <hyperlink r:id="rId103" ref="I103"/>
    <hyperlink r:id="rId104" ref="I104"/>
    <hyperlink r:id="rId105" ref="I105"/>
    <hyperlink r:id="rId106" ref="I106"/>
    <hyperlink r:id="rId107" ref="I107"/>
    <hyperlink r:id="rId108" ref="I108"/>
    <hyperlink r:id="rId109" ref="I109"/>
    <hyperlink r:id="rId110" ref="I110"/>
    <hyperlink r:id="rId111" ref="I111"/>
    <hyperlink r:id="rId112" ref="I112"/>
    <hyperlink r:id="rId113" ref="I113"/>
    <hyperlink r:id="rId114" ref="I114"/>
    <hyperlink r:id="rId115" ref="I115"/>
    <hyperlink r:id="rId116" ref="I116"/>
    <hyperlink r:id="rId117" ref="I117"/>
    <hyperlink r:id="rId118" ref="I118"/>
    <hyperlink r:id="rId119" ref="I119"/>
    <hyperlink r:id="rId120" ref="I120"/>
    <hyperlink r:id="rId121" ref="I121"/>
    <hyperlink r:id="rId122" ref="I122"/>
    <hyperlink r:id="rId123" ref="I123"/>
    <hyperlink r:id="rId124" ref="I124"/>
    <hyperlink r:id="rId125" ref="I125"/>
    <hyperlink r:id="rId126" ref="I126"/>
    <hyperlink r:id="rId127" ref="I127"/>
    <hyperlink r:id="rId128" ref="I128"/>
    <hyperlink r:id="rId129" ref="I129"/>
    <hyperlink r:id="rId130" ref="I130"/>
    <hyperlink r:id="rId131" ref="I131"/>
    <hyperlink r:id="rId132" ref="I132"/>
    <hyperlink r:id="rId133" ref="I133"/>
    <hyperlink r:id="rId134" ref="I134"/>
    <hyperlink r:id="rId135" ref="I135"/>
    <hyperlink r:id="rId136" ref="I136"/>
    <hyperlink r:id="rId137" ref="I137"/>
    <hyperlink r:id="rId138" ref="I138"/>
    <hyperlink r:id="rId139" ref="I139"/>
    <hyperlink r:id="rId140" ref="I140"/>
    <hyperlink r:id="rId141" ref="I141"/>
    <hyperlink r:id="rId142" ref="I142"/>
    <hyperlink r:id="rId143" ref="I143"/>
    <hyperlink r:id="rId144" ref="I144"/>
    <hyperlink r:id="rId145" ref="I145"/>
    <hyperlink r:id="rId146" ref="I146"/>
    <hyperlink r:id="rId147" ref="I147"/>
    <hyperlink r:id="rId148" ref="I148"/>
    <hyperlink r:id="rId149" ref="I149"/>
    <hyperlink r:id="rId150" ref="I150"/>
    <hyperlink r:id="rId151" ref="I151"/>
    <hyperlink r:id="rId152" ref="I152"/>
    <hyperlink r:id="rId153" ref="I153"/>
    <hyperlink r:id="rId154" ref="I154"/>
    <hyperlink r:id="rId155" ref="I155"/>
    <hyperlink r:id="rId156" ref="I156"/>
    <hyperlink r:id="rId157" ref="I157"/>
    <hyperlink r:id="rId158" ref="I158"/>
    <hyperlink r:id="rId159" ref="I159"/>
    <hyperlink r:id="rId160" ref="I160"/>
    <hyperlink r:id="rId161" ref="I161"/>
    <hyperlink r:id="rId162" ref="I162"/>
    <hyperlink r:id="rId163" ref="I163"/>
    <hyperlink r:id="rId164" ref="I164"/>
    <hyperlink r:id="rId165" ref="I165"/>
    <hyperlink r:id="rId166" ref="I166"/>
    <hyperlink r:id="rId167" ref="I167"/>
    <hyperlink r:id="rId168" ref="I168"/>
    <hyperlink r:id="rId169" ref="I169"/>
    <hyperlink r:id="rId170" ref="I170"/>
    <hyperlink r:id="rId171" ref="I171"/>
    <hyperlink r:id="rId172" ref="I172"/>
    <hyperlink r:id="rId173" ref="I173"/>
    <hyperlink r:id="rId174" ref="I174"/>
    <hyperlink r:id="rId175" ref="I175"/>
    <hyperlink r:id="rId176" ref="I176"/>
    <hyperlink r:id="rId177" ref="I177"/>
    <hyperlink r:id="rId178" ref="I178"/>
    <hyperlink r:id="rId179" ref="I179"/>
    <hyperlink r:id="rId180" ref="I180"/>
    <hyperlink r:id="rId181" ref="I181"/>
    <hyperlink r:id="rId182" ref="I182"/>
    <hyperlink r:id="rId183" ref="I183"/>
    <hyperlink r:id="rId184" ref="I184"/>
    <hyperlink r:id="rId185" ref="I185"/>
    <hyperlink r:id="rId186" ref="I186"/>
    <hyperlink r:id="rId187" ref="I187"/>
    <hyperlink r:id="rId188" ref="I188"/>
    <hyperlink r:id="rId189" ref="I189"/>
    <hyperlink r:id="rId190" ref="I190"/>
    <hyperlink r:id="rId191" ref="I191"/>
    <hyperlink r:id="rId192" ref="I192"/>
    <hyperlink r:id="rId193" ref="I193"/>
    <hyperlink r:id="rId194" ref="I194"/>
    <hyperlink r:id="rId195" ref="I195"/>
    <hyperlink r:id="rId196" ref="I196"/>
    <hyperlink r:id="rId197" ref="I197"/>
    <hyperlink r:id="rId198" ref="I198"/>
    <hyperlink r:id="rId199" ref="I199"/>
    <hyperlink r:id="rId200" ref="I200"/>
    <hyperlink r:id="rId201" ref="I201"/>
    <hyperlink r:id="rId202" ref="I202"/>
    <hyperlink r:id="rId203" ref="I203"/>
    <hyperlink r:id="rId204" ref="I204"/>
    <hyperlink r:id="rId205" ref="I205"/>
    <hyperlink r:id="rId206" ref="I206"/>
    <hyperlink r:id="rId207" ref="I207"/>
    <hyperlink r:id="rId208" ref="I208"/>
    <hyperlink r:id="rId209" ref="I209"/>
    <hyperlink r:id="rId210" ref="I210"/>
    <hyperlink r:id="rId211" ref="I211"/>
    <hyperlink r:id="rId212" ref="I212"/>
    <hyperlink r:id="rId213" ref="I213"/>
    <hyperlink r:id="rId214" ref="I214"/>
    <hyperlink r:id="rId215" ref="I215"/>
    <hyperlink r:id="rId216" ref="I216"/>
    <hyperlink r:id="rId217" ref="I217"/>
    <hyperlink r:id="rId218" ref="I218"/>
    <hyperlink r:id="rId219" ref="I219"/>
    <hyperlink r:id="rId220" ref="I220"/>
    <hyperlink r:id="rId221" ref="I221"/>
    <hyperlink r:id="rId222" ref="I222"/>
    <hyperlink r:id="rId223" ref="I223"/>
    <hyperlink r:id="rId224" ref="I224"/>
    <hyperlink r:id="rId225" ref="I225"/>
    <hyperlink r:id="rId226" ref="I226"/>
    <hyperlink r:id="rId227" ref="I227"/>
    <hyperlink r:id="rId228" ref="I228"/>
    <hyperlink r:id="rId229" ref="I229"/>
    <hyperlink r:id="rId230" ref="I230"/>
    <hyperlink r:id="rId231" ref="I231"/>
    <hyperlink r:id="rId232" ref="I232"/>
    <hyperlink r:id="rId233" ref="I233"/>
    <hyperlink r:id="rId234" ref="I234"/>
    <hyperlink r:id="rId235" ref="I235"/>
    <hyperlink r:id="rId236" ref="I236"/>
    <hyperlink r:id="rId237" ref="I237"/>
    <hyperlink r:id="rId238" ref="I238"/>
    <hyperlink r:id="rId239" ref="I239"/>
    <hyperlink r:id="rId240" ref="I240"/>
    <hyperlink r:id="rId241" ref="I241"/>
    <hyperlink r:id="rId242" ref="I242"/>
    <hyperlink r:id="rId243" ref="I243"/>
    <hyperlink r:id="rId244" ref="I244"/>
    <hyperlink r:id="rId245" ref="I245"/>
    <hyperlink r:id="rId246" ref="I246"/>
    <hyperlink r:id="rId247" ref="I247"/>
    <hyperlink r:id="rId248" ref="I248"/>
    <hyperlink r:id="rId249" ref="I249"/>
    <hyperlink r:id="rId250" ref="I250"/>
    <hyperlink r:id="rId251" ref="I251"/>
    <hyperlink r:id="rId252" ref="I252"/>
    <hyperlink r:id="rId253" ref="I253"/>
    <hyperlink r:id="rId254" ref="I254"/>
    <hyperlink r:id="rId255" ref="I255"/>
    <hyperlink r:id="rId256" ref="I256"/>
    <hyperlink r:id="rId257" ref="I257"/>
    <hyperlink r:id="rId258" ref="I258"/>
    <hyperlink r:id="rId259" ref="I259"/>
    <hyperlink r:id="rId260" ref="I260"/>
    <hyperlink r:id="rId261" ref="I261"/>
    <hyperlink r:id="rId262" ref="I262"/>
    <hyperlink r:id="rId263" ref="I263"/>
    <hyperlink r:id="rId264" ref="I264"/>
    <hyperlink r:id="rId265" ref="I265"/>
    <hyperlink r:id="rId266" ref="I266"/>
    <hyperlink r:id="rId267" ref="I267"/>
    <hyperlink r:id="rId268" ref="I268"/>
    <hyperlink r:id="rId269" ref="I269"/>
    <hyperlink r:id="rId270" ref="I270"/>
    <hyperlink r:id="rId271" ref="I271"/>
    <hyperlink r:id="rId272" ref="I272"/>
    <hyperlink r:id="rId273" ref="I273"/>
    <hyperlink r:id="rId274" ref="I274"/>
    <hyperlink r:id="rId275" ref="I275"/>
    <hyperlink r:id="rId276" ref="I276"/>
    <hyperlink r:id="rId277" ref="I277"/>
    <hyperlink r:id="rId278" ref="I278"/>
    <hyperlink r:id="rId279" ref="I279"/>
    <hyperlink r:id="rId280" ref="I280"/>
    <hyperlink r:id="rId281" ref="I281"/>
    <hyperlink r:id="rId282" ref="I282"/>
    <hyperlink r:id="rId283" ref="I283"/>
    <hyperlink r:id="rId284" ref="I284"/>
    <hyperlink r:id="rId285" ref="I285"/>
    <hyperlink r:id="rId286" ref="I286"/>
    <hyperlink r:id="rId287" ref="I287"/>
    <hyperlink r:id="rId288" ref="I288"/>
    <hyperlink r:id="rId289" ref="I289"/>
    <hyperlink r:id="rId290" ref="I290"/>
    <hyperlink r:id="rId291" ref="I291"/>
    <hyperlink r:id="rId292" ref="I292"/>
    <hyperlink r:id="rId293" ref="I293"/>
    <hyperlink r:id="rId294" ref="I294"/>
    <hyperlink r:id="rId295" ref="I295"/>
    <hyperlink r:id="rId296" ref="I296"/>
    <hyperlink r:id="rId297" ref="I297"/>
    <hyperlink r:id="rId298" ref="I298"/>
    <hyperlink r:id="rId299" ref="I299"/>
    <hyperlink r:id="rId300" ref="I300"/>
    <hyperlink r:id="rId301" ref="I301"/>
    <hyperlink r:id="rId302" ref="I302"/>
    <hyperlink r:id="rId303" ref="I303"/>
    <hyperlink r:id="rId304" ref="I304"/>
    <hyperlink r:id="rId305" ref="I305"/>
    <hyperlink r:id="rId306" ref="I306"/>
    <hyperlink r:id="rId307" ref="I307"/>
    <hyperlink r:id="rId308" ref="I308"/>
    <hyperlink r:id="rId309" ref="I309"/>
    <hyperlink r:id="rId310" ref="I310"/>
    <hyperlink r:id="rId311" ref="I311"/>
    <hyperlink r:id="rId312" ref="I312"/>
    <hyperlink r:id="rId313" ref="I313"/>
    <hyperlink r:id="rId314" ref="I314"/>
    <hyperlink r:id="rId315" ref="I315"/>
    <hyperlink r:id="rId316" ref="I316"/>
    <hyperlink r:id="rId317" ref="I317"/>
    <hyperlink r:id="rId318" ref="I318"/>
    <hyperlink r:id="rId319" ref="I319"/>
    <hyperlink r:id="rId320" ref="I320"/>
    <hyperlink r:id="rId321" ref="I321"/>
    <hyperlink r:id="rId322" ref="I322"/>
    <hyperlink r:id="rId323" ref="I323"/>
    <hyperlink r:id="rId324" ref="I324"/>
    <hyperlink r:id="rId325" ref="I325"/>
    <hyperlink r:id="rId326" ref="I326"/>
    <hyperlink r:id="rId327" ref="I327"/>
    <hyperlink r:id="rId328" ref="I328"/>
    <hyperlink r:id="rId329" ref="I329"/>
    <hyperlink r:id="rId330" ref="I330"/>
    <hyperlink r:id="rId331" ref="I331"/>
    <hyperlink r:id="rId332" ref="I332"/>
    <hyperlink r:id="rId333" ref="I333"/>
    <hyperlink r:id="rId334" ref="I334"/>
    <hyperlink r:id="rId335" ref="I335"/>
    <hyperlink r:id="rId336" ref="I336"/>
    <hyperlink r:id="rId337" ref="I337"/>
    <hyperlink r:id="rId338" ref="I338"/>
    <hyperlink r:id="rId339" ref="I339"/>
    <hyperlink r:id="rId340" ref="I340"/>
    <hyperlink r:id="rId341" ref="I341"/>
    <hyperlink r:id="rId342" ref="I342"/>
    <hyperlink r:id="rId343" ref="I343"/>
    <hyperlink r:id="rId344" ref="I344"/>
    <hyperlink r:id="rId345" ref="I345"/>
    <hyperlink r:id="rId346" ref="I346"/>
    <hyperlink r:id="rId347" ref="I347"/>
    <hyperlink r:id="rId348" ref="I348"/>
    <hyperlink r:id="rId349" ref="I349"/>
    <hyperlink r:id="rId350" ref="I350"/>
    <hyperlink r:id="rId351" ref="I351"/>
    <hyperlink r:id="rId352" ref="I352"/>
    <hyperlink r:id="rId353" ref="I353"/>
    <hyperlink r:id="rId354" ref="I354"/>
    <hyperlink r:id="rId355" ref="I355"/>
    <hyperlink r:id="rId356" ref="I356"/>
    <hyperlink r:id="rId357" ref="I357"/>
    <hyperlink r:id="rId358" ref="I358"/>
    <hyperlink r:id="rId359" ref="I359"/>
    <hyperlink r:id="rId360" ref="I360"/>
    <hyperlink r:id="rId361" ref="I361"/>
    <hyperlink r:id="rId362" ref="I362"/>
    <hyperlink r:id="rId363" ref="I363"/>
    <hyperlink r:id="rId364" ref="I364"/>
    <hyperlink r:id="rId365" ref="I365"/>
    <hyperlink r:id="rId366" ref="I366"/>
    <hyperlink r:id="rId367" ref="I367"/>
    <hyperlink r:id="rId368" ref="I368"/>
    <hyperlink r:id="rId369" ref="I369"/>
    <hyperlink r:id="rId370" ref="I370"/>
    <hyperlink r:id="rId371" ref="I371"/>
    <hyperlink r:id="rId372" ref="I372"/>
    <hyperlink r:id="rId373" ref="I373"/>
    <hyperlink r:id="rId374" ref="I374"/>
    <hyperlink r:id="rId375" ref="I375"/>
    <hyperlink r:id="rId376" ref="I376"/>
    <hyperlink r:id="rId377" ref="I377"/>
    <hyperlink r:id="rId378" ref="I378"/>
    <hyperlink r:id="rId379" ref="I379"/>
    <hyperlink r:id="rId380" ref="I380"/>
    <hyperlink r:id="rId381" ref="I381"/>
    <hyperlink r:id="rId382" ref="I382"/>
    <hyperlink r:id="rId383" ref="I383"/>
    <hyperlink r:id="rId384" ref="I384"/>
    <hyperlink r:id="rId385" ref="I385"/>
    <hyperlink r:id="rId386" ref="I386"/>
    <hyperlink r:id="rId387" ref="I387"/>
    <hyperlink r:id="rId388" ref="I388"/>
    <hyperlink r:id="rId389" ref="I389"/>
    <hyperlink r:id="rId390" ref="I390"/>
    <hyperlink r:id="rId391" ref="I391"/>
    <hyperlink r:id="rId392" ref="I392"/>
    <hyperlink r:id="rId393" ref="I393"/>
    <hyperlink r:id="rId394" ref="I394"/>
    <hyperlink r:id="rId395" ref="I395"/>
    <hyperlink r:id="rId396" ref="I396"/>
    <hyperlink r:id="rId397" ref="I397"/>
    <hyperlink r:id="rId398" ref="I398"/>
    <hyperlink r:id="rId399" ref="I399"/>
    <hyperlink r:id="rId400" ref="I400"/>
    <hyperlink r:id="rId401" ref="I401"/>
    <hyperlink r:id="rId402" ref="I402"/>
    <hyperlink r:id="rId403" ref="I403"/>
    <hyperlink r:id="rId404" ref="I404"/>
    <hyperlink r:id="rId405" ref="I405"/>
    <hyperlink r:id="rId406" ref="I406"/>
    <hyperlink r:id="rId407" ref="I407"/>
    <hyperlink r:id="rId408" ref="I408"/>
    <hyperlink r:id="rId409" ref="I409"/>
    <hyperlink r:id="rId410" ref="I410"/>
    <hyperlink r:id="rId411" ref="I411"/>
    <hyperlink r:id="rId412" ref="I412"/>
    <hyperlink r:id="rId413" ref="I413"/>
    <hyperlink r:id="rId414" ref="I414"/>
    <hyperlink r:id="rId415" ref="I415"/>
    <hyperlink r:id="rId416" ref="I416"/>
    <hyperlink r:id="rId417" ref="I417"/>
    <hyperlink r:id="rId418" ref="I418"/>
    <hyperlink r:id="rId419" ref="I419"/>
    <hyperlink r:id="rId420" ref="I420"/>
    <hyperlink r:id="rId421" ref="I421"/>
    <hyperlink r:id="rId422" ref="I422"/>
    <hyperlink r:id="rId423" ref="I423"/>
    <hyperlink r:id="rId424" ref="I424"/>
    <hyperlink r:id="rId425" ref="I425"/>
    <hyperlink r:id="rId426" ref="I426"/>
    <hyperlink r:id="rId427" ref="I427"/>
    <hyperlink r:id="rId428" ref="I428"/>
    <hyperlink r:id="rId429" ref="I429"/>
    <hyperlink r:id="rId430" ref="I430"/>
    <hyperlink r:id="rId431" ref="I431"/>
    <hyperlink r:id="rId432" ref="I432"/>
    <hyperlink r:id="rId433" ref="I433"/>
    <hyperlink r:id="rId434" ref="I434"/>
    <hyperlink r:id="rId435" ref="I435"/>
    <hyperlink r:id="rId436" ref="I436"/>
    <hyperlink r:id="rId437" ref="I437"/>
    <hyperlink r:id="rId438" ref="I438"/>
    <hyperlink r:id="rId439" ref="I439"/>
    <hyperlink r:id="rId440" ref="I440"/>
    <hyperlink r:id="rId441" ref="I441"/>
    <hyperlink r:id="rId442" ref="I442"/>
    <hyperlink r:id="rId443" ref="I443"/>
    <hyperlink r:id="rId444" ref="I444"/>
    <hyperlink r:id="rId445" ref="I445"/>
    <hyperlink r:id="rId446" ref="I446"/>
    <hyperlink r:id="rId447" ref="I447"/>
    <hyperlink r:id="rId448" ref="I448"/>
    <hyperlink r:id="rId449" ref="I449"/>
    <hyperlink r:id="rId450" ref="I450"/>
    <hyperlink r:id="rId451" ref="I451"/>
    <hyperlink r:id="rId452" ref="I452"/>
    <hyperlink r:id="rId453" ref="I453"/>
    <hyperlink r:id="rId454" ref="I454"/>
    <hyperlink r:id="rId455" ref="I455"/>
    <hyperlink r:id="rId456" ref="I456"/>
    <hyperlink r:id="rId457" ref="I457"/>
    <hyperlink r:id="rId458" ref="I458"/>
    <hyperlink r:id="rId459" ref="I459"/>
    <hyperlink r:id="rId460" ref="I460"/>
    <hyperlink r:id="rId461" ref="I461"/>
    <hyperlink r:id="rId462" ref="I462"/>
    <hyperlink r:id="rId463" ref="I463"/>
    <hyperlink r:id="rId464" ref="I464"/>
    <hyperlink r:id="rId465" ref="I465"/>
    <hyperlink r:id="rId466" ref="I466"/>
    <hyperlink r:id="rId467" ref="I467"/>
    <hyperlink r:id="rId468" ref="I468"/>
    <hyperlink r:id="rId469" ref="I469"/>
    <hyperlink r:id="rId470" ref="I470"/>
    <hyperlink r:id="rId471" ref="I471"/>
    <hyperlink r:id="rId472" ref="I472"/>
    <hyperlink r:id="rId473" ref="I473"/>
    <hyperlink r:id="rId474" ref="I474"/>
    <hyperlink r:id="rId475" ref="I475"/>
    <hyperlink r:id="rId476" ref="I476"/>
    <hyperlink r:id="rId477" ref="I477"/>
    <hyperlink r:id="rId478" ref="I478"/>
    <hyperlink r:id="rId479" ref="I479"/>
    <hyperlink r:id="rId480" ref="I480"/>
    <hyperlink r:id="rId481" ref="I481"/>
    <hyperlink r:id="rId482" ref="I482"/>
    <hyperlink r:id="rId483" ref="I483"/>
    <hyperlink r:id="rId484" ref="I484"/>
    <hyperlink r:id="rId485" ref="I485"/>
    <hyperlink r:id="rId486" ref="I486"/>
    <hyperlink r:id="rId487" ref="I487"/>
    <hyperlink r:id="rId488" ref="I488"/>
    <hyperlink r:id="rId489" ref="I489"/>
    <hyperlink r:id="rId490" ref="I490"/>
    <hyperlink r:id="rId491" ref="I491"/>
    <hyperlink r:id="rId492" ref="I492"/>
    <hyperlink r:id="rId493" ref="I493"/>
    <hyperlink r:id="rId494" ref="I494"/>
    <hyperlink r:id="rId495" ref="I495"/>
    <hyperlink r:id="rId496" ref="I496"/>
    <hyperlink r:id="rId497" ref="I497"/>
    <hyperlink r:id="rId498" ref="I498"/>
    <hyperlink r:id="rId499" ref="I499"/>
    <hyperlink r:id="rId500" ref="I500"/>
    <hyperlink r:id="rId501" ref="I501"/>
    <hyperlink r:id="rId502" ref="I502"/>
    <hyperlink r:id="rId503" ref="I503"/>
    <hyperlink r:id="rId504" ref="I504"/>
    <hyperlink r:id="rId505" ref="I505"/>
    <hyperlink r:id="rId506" ref="I506"/>
    <hyperlink r:id="rId507" ref="I507"/>
    <hyperlink r:id="rId508" ref="I508"/>
    <hyperlink r:id="rId509" ref="I509"/>
    <hyperlink r:id="rId510" ref="I510"/>
    <hyperlink r:id="rId511" ref="I511"/>
    <hyperlink r:id="rId512" ref="I512"/>
    <hyperlink r:id="rId513" ref="I513"/>
    <hyperlink r:id="rId514" ref="I514"/>
    <hyperlink r:id="rId515" ref="I515"/>
    <hyperlink r:id="rId516" ref="I516"/>
    <hyperlink r:id="rId517" ref="I517"/>
    <hyperlink r:id="rId518" ref="I518"/>
    <hyperlink r:id="rId519" ref="I519"/>
    <hyperlink r:id="rId520" ref="I520"/>
    <hyperlink r:id="rId521" ref="I521"/>
    <hyperlink r:id="rId522" ref="I522"/>
    <hyperlink r:id="rId523" ref="I523"/>
    <hyperlink r:id="rId524" ref="I524"/>
    <hyperlink r:id="rId525" ref="I525"/>
    <hyperlink r:id="rId526" ref="I526"/>
    <hyperlink r:id="rId527" ref="I527"/>
    <hyperlink r:id="rId528" ref="I528"/>
    <hyperlink r:id="rId529" ref="I529"/>
    <hyperlink r:id="rId530" ref="I530"/>
    <hyperlink r:id="rId531" ref="I531"/>
    <hyperlink r:id="rId532" ref="I532"/>
    <hyperlink r:id="rId533" ref="I533"/>
    <hyperlink r:id="rId534" ref="I534"/>
    <hyperlink r:id="rId535" ref="I535"/>
    <hyperlink r:id="rId536" ref="I536"/>
    <hyperlink r:id="rId537" ref="I537"/>
    <hyperlink r:id="rId538" ref="I538"/>
    <hyperlink r:id="rId539" ref="I539"/>
    <hyperlink r:id="rId540" ref="I540"/>
    <hyperlink r:id="rId541" ref="I541"/>
    <hyperlink r:id="rId542" ref="I542"/>
    <hyperlink r:id="rId543" ref="I543"/>
    <hyperlink r:id="rId544" ref="I544"/>
    <hyperlink r:id="rId545" ref="I545"/>
    <hyperlink r:id="rId546" ref="I546"/>
    <hyperlink r:id="rId547" ref="I547"/>
    <hyperlink r:id="rId548" ref="I548"/>
    <hyperlink r:id="rId549" ref="I549"/>
    <hyperlink r:id="rId550" ref="I550"/>
    <hyperlink r:id="rId551" ref="I551"/>
    <hyperlink r:id="rId552" ref="I552"/>
    <hyperlink r:id="rId553" ref="I553"/>
    <hyperlink r:id="rId554" ref="I554"/>
    <hyperlink r:id="rId555" ref="I555"/>
    <hyperlink r:id="rId556" ref="I556"/>
    <hyperlink r:id="rId557" ref="I557"/>
    <hyperlink r:id="rId558" ref="I558"/>
    <hyperlink r:id="rId559" ref="I559"/>
    <hyperlink r:id="rId560" ref="I560"/>
    <hyperlink r:id="rId561" ref="I561"/>
    <hyperlink r:id="rId562" ref="I562"/>
    <hyperlink r:id="rId563" ref="I563"/>
    <hyperlink r:id="rId564" ref="I564"/>
    <hyperlink r:id="rId565" ref="I565"/>
    <hyperlink r:id="rId566" ref="I566"/>
    <hyperlink r:id="rId567" ref="I567"/>
    <hyperlink r:id="rId568" ref="I568"/>
    <hyperlink r:id="rId569" ref="I569"/>
    <hyperlink r:id="rId570" ref="I570"/>
    <hyperlink r:id="rId571" ref="I571"/>
    <hyperlink r:id="rId572" ref="I572"/>
    <hyperlink r:id="rId573" ref="I573"/>
    <hyperlink r:id="rId574" ref="I574"/>
    <hyperlink r:id="rId575" ref="I575"/>
    <hyperlink r:id="rId576" ref="I576"/>
    <hyperlink r:id="rId577" ref="I577"/>
    <hyperlink r:id="rId578" ref="I578"/>
    <hyperlink r:id="rId579" ref="I579"/>
    <hyperlink r:id="rId580" ref="I580"/>
    <hyperlink r:id="rId581" ref="I581"/>
    <hyperlink r:id="rId582" ref="I582"/>
    <hyperlink r:id="rId583" ref="I583"/>
    <hyperlink r:id="rId584" ref="I584"/>
    <hyperlink r:id="rId585" ref="I585"/>
    <hyperlink r:id="rId586" ref="I586"/>
    <hyperlink r:id="rId587" ref="I587"/>
    <hyperlink r:id="rId588" ref="I588"/>
    <hyperlink r:id="rId589" ref="I589"/>
    <hyperlink r:id="rId590" ref="I590"/>
    <hyperlink r:id="rId591" ref="I591"/>
    <hyperlink r:id="rId592" ref="I592"/>
    <hyperlink r:id="rId593" ref="I593"/>
    <hyperlink r:id="rId594" ref="I594"/>
    <hyperlink r:id="rId595" ref="I595"/>
    <hyperlink r:id="rId596" ref="I596"/>
    <hyperlink r:id="rId597" ref="I597"/>
    <hyperlink r:id="rId598" ref="I598"/>
    <hyperlink r:id="rId599" ref="I599"/>
    <hyperlink r:id="rId600" ref="I600"/>
    <hyperlink r:id="rId601" ref="I601"/>
    <hyperlink r:id="rId602" ref="I602"/>
    <hyperlink r:id="rId603" ref="I603"/>
    <hyperlink r:id="rId604" ref="I604"/>
    <hyperlink r:id="rId605" ref="I605"/>
    <hyperlink r:id="rId606" ref="I606"/>
    <hyperlink r:id="rId607" ref="I607"/>
    <hyperlink r:id="rId608" ref="I608"/>
    <hyperlink r:id="rId609" ref="I609"/>
    <hyperlink r:id="rId610" ref="I610"/>
    <hyperlink r:id="rId611" ref="I611"/>
    <hyperlink r:id="rId612" ref="I612"/>
    <hyperlink r:id="rId613" ref="I613"/>
    <hyperlink r:id="rId614" ref="I614"/>
    <hyperlink r:id="rId615" ref="I615"/>
    <hyperlink r:id="rId616" ref="I616"/>
    <hyperlink r:id="rId617" ref="I617"/>
    <hyperlink r:id="rId618" ref="I618"/>
    <hyperlink r:id="rId619" ref="I619"/>
    <hyperlink r:id="rId620" ref="I620"/>
    <hyperlink r:id="rId621" ref="I621"/>
    <hyperlink r:id="rId622" ref="I622"/>
    <hyperlink r:id="rId623" ref="I623"/>
    <hyperlink r:id="rId624" ref="I624"/>
    <hyperlink r:id="rId625" ref="I625"/>
    <hyperlink r:id="rId626" ref="I626"/>
    <hyperlink r:id="rId627" ref="I627"/>
    <hyperlink r:id="rId628" ref="I628"/>
    <hyperlink r:id="rId629" ref="I629"/>
    <hyperlink r:id="rId630" ref="I630"/>
    <hyperlink r:id="rId631" ref="I631"/>
    <hyperlink r:id="rId632" ref="I632"/>
    <hyperlink r:id="rId633" ref="I633"/>
    <hyperlink r:id="rId634" ref="I634"/>
    <hyperlink r:id="rId635" ref="I635"/>
    <hyperlink r:id="rId636" ref="I636"/>
    <hyperlink r:id="rId637" ref="I637"/>
    <hyperlink r:id="rId638" ref="I638"/>
    <hyperlink r:id="rId639" ref="I639"/>
    <hyperlink r:id="rId640" ref="I640"/>
    <hyperlink r:id="rId641" ref="I641"/>
    <hyperlink r:id="rId642" ref="I642"/>
    <hyperlink r:id="rId643" ref="I643"/>
    <hyperlink r:id="rId644" ref="I644"/>
    <hyperlink r:id="rId645" ref="I645"/>
    <hyperlink r:id="rId646" ref="I646"/>
    <hyperlink r:id="rId647" ref="I647"/>
    <hyperlink r:id="rId648" ref="I648"/>
    <hyperlink r:id="rId649" ref="I649"/>
    <hyperlink r:id="rId650" ref="I650"/>
    <hyperlink r:id="rId651" ref="I651"/>
    <hyperlink r:id="rId652" ref="I652"/>
    <hyperlink r:id="rId653" ref="I653"/>
    <hyperlink r:id="rId654" ref="I654"/>
    <hyperlink r:id="rId655" ref="I655"/>
    <hyperlink r:id="rId656" ref="I656"/>
    <hyperlink r:id="rId657" ref="I657"/>
    <hyperlink r:id="rId658" ref="I658"/>
    <hyperlink r:id="rId659" ref="I659"/>
    <hyperlink r:id="rId660" ref="I660"/>
    <hyperlink r:id="rId661" ref="I661"/>
    <hyperlink r:id="rId662" ref="I662"/>
    <hyperlink r:id="rId663" ref="I663"/>
    <hyperlink r:id="rId664" ref="I664"/>
    <hyperlink r:id="rId665" ref="I665"/>
    <hyperlink r:id="rId666" ref="I666"/>
    <hyperlink r:id="rId667" ref="I667"/>
    <hyperlink r:id="rId668" ref="I668"/>
    <hyperlink r:id="rId669" ref="I669"/>
    <hyperlink r:id="rId670" ref="I670"/>
    <hyperlink r:id="rId671" ref="I671"/>
    <hyperlink r:id="rId672" ref="I672"/>
    <hyperlink r:id="rId673" ref="I673"/>
    <hyperlink r:id="rId674" ref="I674"/>
    <hyperlink r:id="rId675" ref="I675"/>
    <hyperlink r:id="rId676" ref="I676"/>
    <hyperlink r:id="rId677" ref="I677"/>
    <hyperlink r:id="rId678" ref="I678"/>
    <hyperlink r:id="rId679" ref="I679"/>
    <hyperlink r:id="rId680" ref="I680"/>
    <hyperlink r:id="rId681" ref="I681"/>
    <hyperlink r:id="rId682" ref="I682"/>
    <hyperlink r:id="rId683" ref="I683"/>
    <hyperlink r:id="rId684" ref="I684"/>
    <hyperlink r:id="rId685" ref="I685"/>
    <hyperlink r:id="rId686" ref="I686"/>
    <hyperlink r:id="rId687" ref="I687"/>
    <hyperlink r:id="rId688" ref="I688"/>
    <hyperlink r:id="rId689" ref="I689"/>
    <hyperlink r:id="rId690" ref="I690"/>
    <hyperlink r:id="rId691" ref="I691"/>
    <hyperlink r:id="rId692" ref="I692"/>
    <hyperlink r:id="rId693" ref="I693"/>
    <hyperlink r:id="rId694" ref="I694"/>
    <hyperlink r:id="rId695" ref="I695"/>
    <hyperlink r:id="rId696" ref="I696"/>
    <hyperlink r:id="rId697" ref="I697"/>
    <hyperlink r:id="rId698" ref="I698"/>
    <hyperlink r:id="rId699" ref="I699"/>
    <hyperlink r:id="rId700" ref="I700"/>
    <hyperlink r:id="rId701" ref="I701"/>
    <hyperlink r:id="rId702" ref="I702"/>
    <hyperlink r:id="rId703" ref="I703"/>
    <hyperlink r:id="rId704" ref="I704"/>
    <hyperlink r:id="rId705" ref="I705"/>
    <hyperlink r:id="rId706" ref="I706"/>
    <hyperlink r:id="rId707" ref="I707"/>
    <hyperlink r:id="rId708" ref="I708"/>
    <hyperlink r:id="rId709" ref="I709"/>
    <hyperlink r:id="rId710" ref="I710"/>
    <hyperlink r:id="rId711" ref="I711"/>
    <hyperlink r:id="rId712" ref="I712"/>
    <hyperlink r:id="rId713" ref="I713"/>
    <hyperlink r:id="rId714" ref="I714"/>
    <hyperlink r:id="rId715" ref="I715"/>
    <hyperlink r:id="rId716" ref="I716"/>
    <hyperlink r:id="rId717" ref="I717"/>
    <hyperlink r:id="rId718" ref="I718"/>
    <hyperlink r:id="rId719" ref="I719"/>
    <hyperlink r:id="rId720" ref="I720"/>
    <hyperlink r:id="rId721" ref="I721"/>
    <hyperlink r:id="rId722" ref="I722"/>
    <hyperlink r:id="rId723" ref="I723"/>
    <hyperlink r:id="rId724" ref="I724"/>
    <hyperlink r:id="rId725" ref="I725"/>
    <hyperlink r:id="rId726" ref="I726"/>
    <hyperlink r:id="rId727" ref="I727"/>
    <hyperlink r:id="rId728" ref="I728"/>
    <hyperlink r:id="rId729" ref="I729"/>
    <hyperlink r:id="rId730" ref="I730"/>
    <hyperlink r:id="rId731" ref="I731"/>
    <hyperlink r:id="rId732" ref="I732"/>
    <hyperlink r:id="rId733" ref="I733"/>
    <hyperlink r:id="rId734" ref="I734"/>
    <hyperlink r:id="rId735" ref="I735"/>
    <hyperlink r:id="rId736" ref="I736"/>
    <hyperlink r:id="rId737" ref="I737"/>
    <hyperlink r:id="rId738" ref="I738"/>
    <hyperlink r:id="rId739" ref="I739"/>
    <hyperlink r:id="rId740" ref="I740"/>
    <hyperlink r:id="rId741" ref="I741"/>
    <hyperlink r:id="rId742" ref="I742"/>
    <hyperlink r:id="rId743" ref="I743"/>
    <hyperlink r:id="rId744" ref="I744"/>
    <hyperlink r:id="rId745" ref="I745"/>
    <hyperlink r:id="rId746" ref="I746"/>
    <hyperlink r:id="rId747" ref="I747"/>
    <hyperlink r:id="rId748" ref="I748"/>
    <hyperlink r:id="rId749" ref="I749"/>
    <hyperlink r:id="rId750" ref="I750"/>
    <hyperlink r:id="rId751" ref="I751"/>
    <hyperlink r:id="rId752" ref="I752"/>
    <hyperlink r:id="rId753" ref="I753"/>
    <hyperlink r:id="rId754" ref="I754"/>
    <hyperlink r:id="rId755" ref="I755"/>
    <hyperlink r:id="rId756" ref="I756"/>
    <hyperlink r:id="rId757" ref="I757"/>
    <hyperlink r:id="rId758" ref="I758"/>
    <hyperlink r:id="rId759" ref="I759"/>
    <hyperlink r:id="rId760" ref="I760"/>
    <hyperlink r:id="rId761" ref="I761"/>
    <hyperlink r:id="rId762" ref="I762"/>
    <hyperlink r:id="rId763" ref="I763"/>
    <hyperlink r:id="rId764" ref="I764"/>
    <hyperlink r:id="rId765" ref="I765"/>
    <hyperlink r:id="rId766" ref="I766"/>
    <hyperlink r:id="rId767" ref="I767"/>
    <hyperlink r:id="rId768" ref="I768"/>
    <hyperlink r:id="rId769" ref="I769"/>
    <hyperlink r:id="rId770" ref="I770"/>
    <hyperlink r:id="rId771" ref="I771"/>
    <hyperlink r:id="rId772" ref="I772"/>
    <hyperlink r:id="rId773" ref="I773"/>
    <hyperlink r:id="rId774" ref="I774"/>
    <hyperlink r:id="rId775" ref="I775"/>
    <hyperlink r:id="rId776" ref="I776"/>
    <hyperlink r:id="rId777" ref="I777"/>
    <hyperlink r:id="rId778" ref="I778"/>
    <hyperlink r:id="rId779" ref="I779"/>
    <hyperlink r:id="rId780" ref="I780"/>
    <hyperlink r:id="rId781" ref="I781"/>
    <hyperlink r:id="rId782" ref="I782"/>
    <hyperlink r:id="rId783" ref="I783"/>
    <hyperlink r:id="rId784" ref="I784"/>
    <hyperlink r:id="rId785" ref="I785"/>
    <hyperlink r:id="rId786" ref="I786"/>
    <hyperlink r:id="rId787" ref="I787"/>
    <hyperlink r:id="rId788" ref="I788"/>
    <hyperlink r:id="rId789" ref="I789"/>
    <hyperlink r:id="rId790" ref="I790"/>
    <hyperlink r:id="rId791" ref="I791"/>
    <hyperlink r:id="rId792" ref="I792"/>
    <hyperlink r:id="rId793" ref="I793"/>
    <hyperlink r:id="rId794" ref="I794"/>
    <hyperlink r:id="rId795" ref="I795"/>
    <hyperlink r:id="rId796" ref="I796"/>
    <hyperlink r:id="rId797" ref="I797"/>
    <hyperlink r:id="rId798" ref="I798"/>
    <hyperlink r:id="rId799" ref="I799"/>
    <hyperlink r:id="rId800" ref="I800"/>
    <hyperlink r:id="rId801" ref="I801"/>
    <hyperlink r:id="rId802" ref="I802"/>
    <hyperlink r:id="rId803" ref="I803"/>
    <hyperlink r:id="rId804" ref="I804"/>
    <hyperlink r:id="rId805" ref="I805"/>
    <hyperlink r:id="rId806" ref="I806"/>
    <hyperlink r:id="rId807" ref="I807"/>
    <hyperlink r:id="rId808" ref="I808"/>
    <hyperlink r:id="rId809" ref="I809"/>
    <hyperlink r:id="rId810" ref="I810"/>
    <hyperlink r:id="rId811" ref="I811"/>
    <hyperlink r:id="rId812" ref="I812"/>
    <hyperlink r:id="rId813" ref="I813"/>
    <hyperlink r:id="rId814" ref="I814"/>
    <hyperlink r:id="rId815" ref="I815"/>
    <hyperlink r:id="rId816" ref="I816"/>
    <hyperlink r:id="rId817" ref="I817"/>
    <hyperlink r:id="rId818" ref="I818"/>
    <hyperlink r:id="rId819" ref="I819"/>
    <hyperlink r:id="rId820" ref="I820"/>
    <hyperlink r:id="rId821" ref="I821"/>
    <hyperlink r:id="rId822" ref="I822"/>
    <hyperlink r:id="rId823" ref="I823"/>
    <hyperlink r:id="rId824" ref="I824"/>
    <hyperlink r:id="rId825" ref="I825"/>
    <hyperlink r:id="rId826" ref="I826"/>
    <hyperlink r:id="rId827" ref="I827"/>
    <hyperlink r:id="rId828" ref="I828"/>
    <hyperlink r:id="rId829" ref="I829"/>
    <hyperlink r:id="rId830" ref="I830"/>
    <hyperlink r:id="rId831" ref="I831"/>
    <hyperlink r:id="rId832" ref="I832"/>
    <hyperlink r:id="rId833" ref="I833"/>
    <hyperlink r:id="rId834" ref="I834"/>
    <hyperlink r:id="rId835" ref="I835"/>
    <hyperlink r:id="rId836" ref="I836"/>
    <hyperlink r:id="rId837" ref="I837"/>
    <hyperlink r:id="rId838" ref="I838"/>
    <hyperlink r:id="rId839" ref="I839"/>
    <hyperlink r:id="rId840" ref="I840"/>
    <hyperlink r:id="rId841" ref="I841"/>
    <hyperlink r:id="rId842" ref="I842"/>
    <hyperlink r:id="rId843" ref="I843"/>
    <hyperlink r:id="rId844" ref="I844"/>
    <hyperlink r:id="rId845" ref="I845"/>
    <hyperlink r:id="rId846" ref="I846"/>
    <hyperlink r:id="rId847" ref="I847"/>
    <hyperlink r:id="rId848" ref="I848"/>
    <hyperlink r:id="rId849" ref="I849"/>
    <hyperlink r:id="rId850" ref="I850"/>
    <hyperlink r:id="rId851" ref="I851"/>
    <hyperlink r:id="rId852" ref="I852"/>
    <hyperlink r:id="rId853" ref="I853"/>
    <hyperlink r:id="rId854" ref="I854"/>
    <hyperlink r:id="rId855" ref="I855"/>
    <hyperlink r:id="rId856" ref="I856"/>
    <hyperlink r:id="rId857" ref="I857"/>
    <hyperlink r:id="rId858" ref="I858"/>
    <hyperlink r:id="rId859" ref="I859"/>
    <hyperlink r:id="rId860" ref="I860"/>
    <hyperlink r:id="rId861" ref="I861"/>
    <hyperlink r:id="rId862" ref="I862"/>
    <hyperlink r:id="rId863" ref="I863"/>
    <hyperlink r:id="rId864" ref="I864"/>
    <hyperlink r:id="rId865" ref="I865"/>
    <hyperlink r:id="rId866" ref="I866"/>
    <hyperlink r:id="rId867" ref="I867"/>
    <hyperlink r:id="rId868" ref="I868"/>
    <hyperlink r:id="rId869" ref="I869"/>
    <hyperlink r:id="rId870" ref="I870"/>
    <hyperlink r:id="rId871" ref="I871"/>
    <hyperlink r:id="rId872" ref="I872"/>
    <hyperlink r:id="rId873" ref="I873"/>
    <hyperlink r:id="rId874" ref="I874"/>
    <hyperlink r:id="rId875" ref="I875"/>
    <hyperlink r:id="rId876" ref="I876"/>
    <hyperlink r:id="rId877" ref="I877"/>
    <hyperlink r:id="rId878" ref="I878"/>
    <hyperlink r:id="rId879" ref="I879"/>
    <hyperlink r:id="rId880" ref="I880"/>
    <hyperlink r:id="rId881" ref="I881"/>
    <hyperlink r:id="rId882" ref="I882"/>
    <hyperlink r:id="rId883" ref="I883"/>
    <hyperlink r:id="rId884" ref="I884"/>
    <hyperlink r:id="rId885" ref="I885"/>
    <hyperlink r:id="rId886" ref="I886"/>
    <hyperlink r:id="rId887" ref="I887"/>
    <hyperlink r:id="rId888" ref="I888"/>
    <hyperlink r:id="rId889" ref="I889"/>
    <hyperlink r:id="rId890" ref="I890"/>
    <hyperlink r:id="rId891" ref="I891"/>
    <hyperlink r:id="rId892" ref="I892"/>
    <hyperlink r:id="rId893" ref="I893"/>
    <hyperlink r:id="rId894" ref="I894"/>
    <hyperlink r:id="rId895" ref="I895"/>
    <hyperlink r:id="rId896" ref="I896"/>
    <hyperlink r:id="rId897" ref="I897"/>
    <hyperlink r:id="rId898" ref="I898"/>
    <hyperlink r:id="rId899" ref="I899"/>
    <hyperlink r:id="rId900" ref="I900"/>
    <hyperlink r:id="rId901" ref="I901"/>
    <hyperlink r:id="rId902" ref="I902"/>
    <hyperlink r:id="rId903" ref="I903"/>
    <hyperlink r:id="rId904" ref="I904"/>
    <hyperlink r:id="rId905" ref="I905"/>
    <hyperlink r:id="rId906" ref="I906"/>
    <hyperlink r:id="rId907" ref="I907"/>
    <hyperlink r:id="rId908" ref="I908"/>
    <hyperlink r:id="rId909" ref="I909"/>
    <hyperlink r:id="rId910" ref="I910"/>
    <hyperlink r:id="rId911" ref="I911"/>
    <hyperlink r:id="rId912" ref="I912"/>
    <hyperlink r:id="rId913" ref="I913"/>
    <hyperlink r:id="rId914" ref="I914"/>
    <hyperlink r:id="rId915" ref="I915"/>
    <hyperlink r:id="rId916" ref="I916"/>
    <hyperlink r:id="rId917" ref="I917"/>
    <hyperlink r:id="rId918" ref="I918"/>
    <hyperlink r:id="rId919" ref="I919"/>
    <hyperlink r:id="rId920" ref="I920"/>
    <hyperlink r:id="rId921" ref="I921"/>
    <hyperlink r:id="rId922" ref="I922"/>
    <hyperlink r:id="rId923" ref="I923"/>
    <hyperlink r:id="rId924" ref="I924"/>
    <hyperlink r:id="rId925" ref="I925"/>
    <hyperlink r:id="rId926" ref="I926"/>
    <hyperlink r:id="rId927" ref="I927"/>
    <hyperlink r:id="rId928" ref="I928"/>
    <hyperlink r:id="rId929" ref="I929"/>
    <hyperlink r:id="rId930" ref="I930"/>
    <hyperlink r:id="rId931" ref="I931"/>
    <hyperlink r:id="rId932" ref="I932"/>
    <hyperlink r:id="rId933" ref="I933"/>
    <hyperlink r:id="rId934" ref="I934"/>
    <hyperlink r:id="rId935" ref="I935"/>
    <hyperlink r:id="rId936" ref="I936"/>
    <hyperlink r:id="rId937" ref="I937"/>
    <hyperlink r:id="rId938" ref="I938"/>
    <hyperlink r:id="rId939" ref="I939"/>
    <hyperlink r:id="rId940" ref="I940"/>
    <hyperlink r:id="rId941" ref="I941"/>
    <hyperlink r:id="rId942" ref="I942"/>
    <hyperlink r:id="rId943" ref="I943"/>
    <hyperlink r:id="rId944" ref="I944"/>
    <hyperlink r:id="rId945" ref="I945"/>
    <hyperlink r:id="rId946" ref="I946"/>
    <hyperlink r:id="rId947" ref="I947"/>
    <hyperlink r:id="rId948" ref="I948"/>
    <hyperlink r:id="rId949" ref="I949"/>
    <hyperlink r:id="rId950" ref="I950"/>
    <hyperlink r:id="rId951" ref="I951"/>
    <hyperlink r:id="rId952" ref="I952"/>
    <hyperlink r:id="rId953" ref="I953"/>
    <hyperlink r:id="rId954" ref="I954"/>
    <hyperlink r:id="rId955" ref="I955"/>
    <hyperlink r:id="rId956" ref="I956"/>
    <hyperlink r:id="rId957" ref="I957"/>
    <hyperlink r:id="rId958" ref="I958"/>
    <hyperlink r:id="rId959" ref="I959"/>
    <hyperlink r:id="rId960" ref="I960"/>
    <hyperlink r:id="rId961" ref="I961"/>
    <hyperlink r:id="rId962" ref="I962"/>
    <hyperlink r:id="rId963" ref="I963"/>
    <hyperlink r:id="rId964" ref="I964"/>
    <hyperlink r:id="rId965" ref="I965"/>
    <hyperlink r:id="rId966" ref="I966"/>
    <hyperlink r:id="rId967" ref="I967"/>
    <hyperlink r:id="rId968" ref="I968"/>
    <hyperlink r:id="rId969" ref="I969"/>
    <hyperlink r:id="rId970" ref="I970"/>
    <hyperlink r:id="rId971" ref="I971"/>
    <hyperlink r:id="rId972" ref="I972"/>
    <hyperlink r:id="rId973" ref="I973"/>
    <hyperlink r:id="rId974" ref="I974"/>
    <hyperlink r:id="rId975" ref="I975"/>
    <hyperlink r:id="rId976" ref="I976"/>
    <hyperlink r:id="rId977" ref="I977"/>
    <hyperlink r:id="rId978" ref="I978"/>
    <hyperlink r:id="rId979" ref="I979"/>
    <hyperlink r:id="rId980" ref="I980"/>
    <hyperlink r:id="rId981" ref="I981"/>
    <hyperlink r:id="rId982" ref="I982"/>
    <hyperlink r:id="rId983" ref="I983"/>
    <hyperlink r:id="rId984" ref="I984"/>
    <hyperlink r:id="rId985" ref="I985"/>
    <hyperlink r:id="rId986" ref="I986"/>
    <hyperlink r:id="rId987" ref="I987"/>
    <hyperlink r:id="rId988" ref="I988"/>
    <hyperlink r:id="rId989" ref="I989"/>
    <hyperlink r:id="rId990" ref="I990"/>
    <hyperlink r:id="rId991" ref="I991"/>
    <hyperlink r:id="rId992" ref="I992"/>
    <hyperlink r:id="rId993" ref="I993"/>
    <hyperlink r:id="rId994" ref="I994"/>
    <hyperlink r:id="rId995" ref="I995"/>
    <hyperlink r:id="rId996" ref="I996"/>
    <hyperlink r:id="rId997" ref="I997"/>
    <hyperlink r:id="rId998" ref="I998"/>
    <hyperlink r:id="rId999" ref="I999"/>
    <hyperlink r:id="rId1000" ref="I1000"/>
    <hyperlink r:id="rId1001" ref="I1001"/>
    <hyperlink r:id="rId1002" ref="I1002"/>
    <hyperlink r:id="rId1003" ref="I1003"/>
    <hyperlink r:id="rId1004" ref="I1004"/>
    <hyperlink r:id="rId1005" ref="I1005"/>
    <hyperlink r:id="rId1006" ref="I1006"/>
    <hyperlink r:id="rId1007" ref="I1007"/>
    <hyperlink r:id="rId1008" ref="I1008"/>
    <hyperlink r:id="rId1009" ref="I1009"/>
    <hyperlink r:id="rId1010" ref="I1010"/>
    <hyperlink r:id="rId1011" ref="I1011"/>
    <hyperlink r:id="rId1012" ref="I1012"/>
    <hyperlink r:id="rId1013" ref="I1013"/>
    <hyperlink r:id="rId1014" ref="I1014"/>
    <hyperlink r:id="rId1015" ref="I1015"/>
    <hyperlink r:id="rId1016" ref="I1016"/>
    <hyperlink r:id="rId1017" ref="I1017"/>
    <hyperlink r:id="rId1018" ref="I1018"/>
    <hyperlink r:id="rId1019" ref="I1019"/>
    <hyperlink r:id="rId1020" ref="I1020"/>
    <hyperlink r:id="rId1021" ref="I1021"/>
    <hyperlink r:id="rId1022" ref="I1022"/>
    <hyperlink r:id="rId1023" ref="I1023"/>
    <hyperlink r:id="rId1024" ref="I1024"/>
    <hyperlink r:id="rId1025" ref="I1025"/>
    <hyperlink r:id="rId1026" ref="I1026"/>
    <hyperlink r:id="rId1027" ref="I1027"/>
    <hyperlink r:id="rId1028" ref="I1028"/>
    <hyperlink r:id="rId1029" ref="I1029"/>
    <hyperlink r:id="rId1030" ref="I1030"/>
    <hyperlink r:id="rId1031" ref="I1031"/>
    <hyperlink r:id="rId1032" ref="I1032"/>
    <hyperlink r:id="rId1033" ref="I1033"/>
    <hyperlink r:id="rId1034" ref="I1034"/>
    <hyperlink r:id="rId1035" ref="I1035"/>
    <hyperlink r:id="rId1036" ref="I1036"/>
    <hyperlink r:id="rId1037" ref="I1037"/>
    <hyperlink r:id="rId1038" ref="I1038"/>
    <hyperlink r:id="rId1039" ref="I1039"/>
    <hyperlink r:id="rId1040" ref="I1040"/>
    <hyperlink r:id="rId1041" ref="I1041"/>
    <hyperlink r:id="rId1042" ref="I1042"/>
    <hyperlink r:id="rId1043" ref="I1043"/>
    <hyperlink r:id="rId1044" ref="I1044"/>
    <hyperlink r:id="rId1045" ref="I1045"/>
    <hyperlink r:id="rId1046" ref="I1046"/>
    <hyperlink r:id="rId1047" ref="I1047"/>
    <hyperlink r:id="rId1048" ref="I1048"/>
    <hyperlink r:id="rId1049" ref="I1049"/>
    <hyperlink r:id="rId1050" ref="I1050"/>
    <hyperlink r:id="rId1051" ref="I1051"/>
    <hyperlink r:id="rId1052" ref="I1052"/>
    <hyperlink r:id="rId1053" ref="I1053"/>
    <hyperlink r:id="rId1054" ref="I1054"/>
    <hyperlink r:id="rId1055" ref="I1055"/>
    <hyperlink r:id="rId1056" ref="I1056"/>
    <hyperlink r:id="rId1057" ref="I1057"/>
    <hyperlink r:id="rId1058" ref="I1058"/>
    <hyperlink r:id="rId1059" ref="I1059"/>
    <hyperlink r:id="rId1060" ref="I1060"/>
    <hyperlink r:id="rId1061" ref="I1061"/>
    <hyperlink r:id="rId1062" ref="I1062"/>
    <hyperlink r:id="rId1063" ref="I1063"/>
    <hyperlink r:id="rId1064" ref="I1064"/>
    <hyperlink r:id="rId1065" ref="I1065"/>
    <hyperlink r:id="rId1066" ref="I1066"/>
    <hyperlink r:id="rId1067" ref="I1067"/>
    <hyperlink r:id="rId1068" ref="I1068"/>
    <hyperlink r:id="rId1069" ref="I1069"/>
    <hyperlink r:id="rId1070" ref="I1070"/>
    <hyperlink r:id="rId1071" ref="I1071"/>
    <hyperlink r:id="rId1072" ref="I1072"/>
    <hyperlink r:id="rId1073" ref="I1073"/>
    <hyperlink r:id="rId1074" ref="I1074"/>
    <hyperlink r:id="rId1075" ref="I1075"/>
    <hyperlink r:id="rId1076" ref="I1076"/>
    <hyperlink r:id="rId1077" ref="I1077"/>
    <hyperlink r:id="rId1078" ref="I1078"/>
    <hyperlink r:id="rId1079" ref="I1079"/>
    <hyperlink r:id="rId1080" ref="I1080"/>
    <hyperlink r:id="rId1081" ref="I1081"/>
    <hyperlink r:id="rId1082" ref="I1082"/>
    <hyperlink r:id="rId1083" ref="I1083"/>
    <hyperlink r:id="rId1084" ref="I1084"/>
    <hyperlink r:id="rId1085" ref="I1085"/>
    <hyperlink r:id="rId1086" ref="I1086"/>
    <hyperlink r:id="rId1087" ref="I1087"/>
    <hyperlink r:id="rId1088" ref="I1088"/>
    <hyperlink r:id="rId1089" ref="I1089"/>
    <hyperlink r:id="rId1090" ref="I1090"/>
    <hyperlink r:id="rId1091" ref="I1091"/>
    <hyperlink r:id="rId1092" ref="I1092"/>
    <hyperlink r:id="rId1093" ref="I1093"/>
    <hyperlink r:id="rId1094" ref="I1094"/>
    <hyperlink r:id="rId1095" ref="I1095"/>
    <hyperlink r:id="rId1096" ref="I1096"/>
    <hyperlink r:id="rId1097" ref="I1097"/>
    <hyperlink r:id="rId1098" ref="I1098"/>
    <hyperlink r:id="rId1099" ref="I1099"/>
    <hyperlink r:id="rId1100" ref="I1100"/>
    <hyperlink r:id="rId1101" ref="I1101"/>
    <hyperlink r:id="rId1102" ref="I1102"/>
    <hyperlink r:id="rId1103" ref="I1103"/>
    <hyperlink r:id="rId1104" ref="I1104"/>
    <hyperlink r:id="rId1105" ref="I1105"/>
    <hyperlink r:id="rId1106" ref="I1106"/>
    <hyperlink r:id="rId1107" ref="I1107"/>
    <hyperlink r:id="rId1108" ref="I1108"/>
    <hyperlink r:id="rId1109" ref="I1109"/>
    <hyperlink r:id="rId1110" ref="I1110"/>
    <hyperlink r:id="rId1111" ref="I1111"/>
    <hyperlink r:id="rId1112" ref="I1112"/>
    <hyperlink r:id="rId1113" ref="I1113"/>
    <hyperlink r:id="rId1114" ref="I1114"/>
    <hyperlink r:id="rId1115" ref="I1115"/>
    <hyperlink r:id="rId1116" ref="I1116"/>
    <hyperlink r:id="rId1117" ref="I1117"/>
    <hyperlink r:id="rId1118" ref="I1118"/>
    <hyperlink r:id="rId1119" ref="I1119"/>
    <hyperlink r:id="rId1120" ref="I1120"/>
    <hyperlink r:id="rId1121" ref="I1121"/>
    <hyperlink r:id="rId1122" ref="I1122"/>
    <hyperlink r:id="rId1123" ref="I1123"/>
    <hyperlink r:id="rId1124" ref="I1124"/>
    <hyperlink r:id="rId1125" ref="I1125"/>
    <hyperlink r:id="rId1126" ref="I1126"/>
    <hyperlink r:id="rId1127" ref="I1127"/>
    <hyperlink r:id="rId1128" ref="I1128"/>
    <hyperlink r:id="rId1129" ref="I1129"/>
    <hyperlink r:id="rId1130" ref="I1130"/>
    <hyperlink r:id="rId1131" ref="I1131"/>
    <hyperlink r:id="rId1132" ref="I1132"/>
    <hyperlink r:id="rId1133" ref="I1133"/>
    <hyperlink r:id="rId1134" ref="I1134"/>
    <hyperlink r:id="rId1135" ref="I1135"/>
    <hyperlink r:id="rId1136" ref="I1136"/>
    <hyperlink r:id="rId1137" ref="I1137"/>
    <hyperlink r:id="rId1138" ref="I1138"/>
    <hyperlink r:id="rId1139" ref="I1139"/>
    <hyperlink r:id="rId1140" ref="I1140"/>
    <hyperlink r:id="rId1141" ref="I1141"/>
    <hyperlink r:id="rId1142" ref="I1142"/>
    <hyperlink r:id="rId1143" ref="I1143"/>
    <hyperlink r:id="rId1144" ref="I1144"/>
    <hyperlink r:id="rId1145" ref="I1145"/>
    <hyperlink r:id="rId1146" ref="I1146"/>
    <hyperlink r:id="rId1147" ref="I1147"/>
    <hyperlink r:id="rId1148" ref="I1148"/>
    <hyperlink r:id="rId1149" ref="I1149"/>
    <hyperlink r:id="rId1150" ref="I1150"/>
    <hyperlink r:id="rId1151" ref="I1151"/>
    <hyperlink r:id="rId1152" ref="I1152"/>
    <hyperlink r:id="rId1153" ref="I1153"/>
    <hyperlink r:id="rId1154" ref="I1154"/>
    <hyperlink r:id="rId1155" ref="I1155"/>
    <hyperlink r:id="rId1156" ref="I1156"/>
    <hyperlink r:id="rId1157" ref="I1157"/>
    <hyperlink r:id="rId1158" ref="I1158"/>
    <hyperlink r:id="rId1159" ref="I1159"/>
    <hyperlink r:id="rId1160" ref="I1160"/>
    <hyperlink r:id="rId1161" ref="I1161"/>
    <hyperlink r:id="rId1162" ref="I1162"/>
    <hyperlink r:id="rId1163" ref="I1163"/>
    <hyperlink r:id="rId1164" ref="I1164"/>
    <hyperlink r:id="rId1165" ref="I1165"/>
    <hyperlink r:id="rId1166" ref="I1166"/>
    <hyperlink r:id="rId1167" ref="I1167"/>
    <hyperlink r:id="rId1168" ref="I1168"/>
    <hyperlink r:id="rId1169" ref="I1169"/>
    <hyperlink r:id="rId1170" ref="I1170"/>
    <hyperlink r:id="rId1171" ref="I1171"/>
    <hyperlink r:id="rId1172" ref="I1172"/>
    <hyperlink r:id="rId1173" ref="I1173"/>
    <hyperlink r:id="rId1174" ref="I1174"/>
    <hyperlink r:id="rId1175" ref="I1175"/>
    <hyperlink r:id="rId1176" ref="I1176"/>
    <hyperlink r:id="rId1177" ref="I1177"/>
    <hyperlink r:id="rId1178" ref="I1178"/>
    <hyperlink r:id="rId1179" ref="I1179"/>
    <hyperlink r:id="rId1180" ref="I1180"/>
    <hyperlink r:id="rId1181" ref="I1181"/>
    <hyperlink r:id="rId1182" ref="I1182"/>
    <hyperlink r:id="rId1183" ref="I1183"/>
    <hyperlink r:id="rId1184" ref="I1184"/>
    <hyperlink r:id="rId1185" ref="I1185"/>
    <hyperlink r:id="rId1186" ref="I1186"/>
    <hyperlink r:id="rId1187" ref="I1187"/>
    <hyperlink r:id="rId1188" ref="I1188"/>
    <hyperlink r:id="rId1189" ref="I1189"/>
    <hyperlink r:id="rId1190" ref="I1190"/>
    <hyperlink r:id="rId1191" ref="I1191"/>
    <hyperlink r:id="rId1192" ref="I1192"/>
    <hyperlink r:id="rId1193" ref="I1193"/>
    <hyperlink r:id="rId1194" ref="I1194"/>
    <hyperlink r:id="rId1195" ref="I1195"/>
    <hyperlink r:id="rId1196" ref="I1196"/>
    <hyperlink r:id="rId1197" ref="I1197"/>
    <hyperlink r:id="rId1198" ref="I1198"/>
    <hyperlink r:id="rId1199" ref="I1199"/>
    <hyperlink r:id="rId1200" ref="I1200"/>
    <hyperlink r:id="rId1201" ref="I1201"/>
    <hyperlink r:id="rId1202" ref="I1202"/>
    <hyperlink r:id="rId1203" ref="I1203"/>
    <hyperlink r:id="rId1204" ref="I1204"/>
    <hyperlink r:id="rId1205" ref="I1205"/>
    <hyperlink r:id="rId1206" ref="I1206"/>
    <hyperlink r:id="rId1207" ref="I1207"/>
    <hyperlink r:id="rId1208" ref="I1208"/>
    <hyperlink r:id="rId1209" ref="I1209"/>
    <hyperlink r:id="rId1210" ref="I1210"/>
    <hyperlink r:id="rId1211" ref="I1211"/>
    <hyperlink r:id="rId1212" ref="I1212"/>
    <hyperlink r:id="rId1213" ref="I1213"/>
    <hyperlink r:id="rId1214" ref="I1214"/>
    <hyperlink r:id="rId1215" ref="I1215"/>
    <hyperlink r:id="rId1216" ref="I1216"/>
    <hyperlink r:id="rId1217" ref="I1217"/>
    <hyperlink r:id="rId1218" ref="I1218"/>
    <hyperlink r:id="rId1219" ref="I1219"/>
    <hyperlink r:id="rId1220" ref="I1220"/>
    <hyperlink r:id="rId1221" ref="I1221"/>
    <hyperlink r:id="rId1222" ref="I1222"/>
    <hyperlink r:id="rId1223" ref="I1223"/>
    <hyperlink r:id="rId1224" ref="I1224"/>
    <hyperlink r:id="rId1225" ref="I1225"/>
    <hyperlink r:id="rId1226" ref="I1226"/>
    <hyperlink r:id="rId1227" ref="I1227"/>
    <hyperlink r:id="rId1228" ref="I1228"/>
    <hyperlink r:id="rId1229" ref="I1229"/>
    <hyperlink r:id="rId1230" ref="I1230"/>
    <hyperlink r:id="rId1231" ref="I1231"/>
    <hyperlink r:id="rId1232" ref="I1232"/>
    <hyperlink r:id="rId1233" ref="I1233"/>
    <hyperlink r:id="rId1234" ref="I1234"/>
    <hyperlink r:id="rId1235" ref="I1235"/>
    <hyperlink r:id="rId1236" ref="I1236"/>
    <hyperlink r:id="rId1237" ref="I1237"/>
    <hyperlink r:id="rId1238" ref="I1238"/>
    <hyperlink r:id="rId1239" ref="I1239"/>
    <hyperlink r:id="rId1240" ref="I1240"/>
    <hyperlink r:id="rId1241" ref="I1241"/>
    <hyperlink r:id="rId1242" ref="I1242"/>
    <hyperlink r:id="rId1243" ref="I1243"/>
    <hyperlink r:id="rId1244" ref="I1244"/>
    <hyperlink r:id="rId1245" ref="I1245"/>
    <hyperlink r:id="rId1246" ref="I1246"/>
    <hyperlink r:id="rId1247" ref="I1247"/>
    <hyperlink r:id="rId1248" ref="I1248"/>
    <hyperlink r:id="rId1249" ref="I1249"/>
    <hyperlink r:id="rId1250" ref="I1250"/>
    <hyperlink r:id="rId1251" ref="I1251"/>
    <hyperlink r:id="rId1252" ref="I1252"/>
    <hyperlink r:id="rId1253" ref="I1253"/>
    <hyperlink r:id="rId1254" ref="I1254"/>
    <hyperlink r:id="rId1255" ref="I1255"/>
    <hyperlink r:id="rId1256" ref="I1256"/>
    <hyperlink r:id="rId1257" ref="I1257"/>
    <hyperlink r:id="rId1258" ref="I1258"/>
    <hyperlink r:id="rId1259" ref="I1259"/>
    <hyperlink r:id="rId1260" ref="I1260"/>
    <hyperlink r:id="rId1261" ref="I1261"/>
    <hyperlink r:id="rId1262" ref="I1262"/>
    <hyperlink r:id="rId1263" ref="I1263"/>
    <hyperlink r:id="rId1264" ref="I1264"/>
    <hyperlink r:id="rId1265" ref="I1265"/>
    <hyperlink r:id="rId1266" ref="I1266"/>
    <hyperlink r:id="rId1267" ref="I1267"/>
    <hyperlink r:id="rId1268" ref="I1268"/>
    <hyperlink r:id="rId1269" ref="I1269"/>
    <hyperlink r:id="rId1270" ref="I1270"/>
    <hyperlink r:id="rId1271" ref="I1271"/>
    <hyperlink r:id="rId1272" ref="I1272"/>
    <hyperlink r:id="rId1273" ref="I1273"/>
    <hyperlink r:id="rId1274" ref="I1274"/>
    <hyperlink r:id="rId1275" ref="I1275"/>
    <hyperlink r:id="rId1276" ref="I1276"/>
    <hyperlink r:id="rId1277" ref="I1277"/>
    <hyperlink r:id="rId1278" ref="I1278"/>
    <hyperlink r:id="rId1279" ref="I1279"/>
    <hyperlink r:id="rId1280" ref="I1280"/>
    <hyperlink r:id="rId1281" ref="I1281"/>
    <hyperlink r:id="rId1282" ref="I1282"/>
    <hyperlink r:id="rId1283" ref="I1283"/>
    <hyperlink r:id="rId1284" ref="I1284"/>
    <hyperlink r:id="rId1285" ref="I1285"/>
    <hyperlink r:id="rId1286" ref="I1286"/>
    <hyperlink r:id="rId1287" ref="I1287"/>
    <hyperlink r:id="rId1288" ref="I1288"/>
    <hyperlink r:id="rId1289" ref="I1289"/>
    <hyperlink r:id="rId1290" ref="I1290"/>
    <hyperlink r:id="rId1291" ref="I1291"/>
    <hyperlink r:id="rId1292" ref="I1292"/>
    <hyperlink r:id="rId1293" ref="I1293"/>
    <hyperlink r:id="rId1294" ref="I1294"/>
    <hyperlink r:id="rId1295" ref="I1295"/>
    <hyperlink r:id="rId1296" ref="I1296"/>
    <hyperlink r:id="rId1297" ref="I1297"/>
    <hyperlink r:id="rId1298" ref="I1298"/>
    <hyperlink r:id="rId1299" ref="I1299"/>
    <hyperlink r:id="rId1300" ref="I1300"/>
    <hyperlink r:id="rId1301" ref="I1301"/>
    <hyperlink r:id="rId1302" ref="I1302"/>
    <hyperlink r:id="rId1303" ref="I1303"/>
    <hyperlink r:id="rId1304" ref="I1304"/>
    <hyperlink r:id="rId1305" ref="I1305"/>
    <hyperlink r:id="rId1306" ref="I1306"/>
    <hyperlink r:id="rId1307" ref="I1307"/>
    <hyperlink r:id="rId1308" ref="I1308"/>
    <hyperlink r:id="rId1309" ref="I1309"/>
    <hyperlink r:id="rId1310" ref="I1310"/>
    <hyperlink r:id="rId1311" ref="I1311"/>
    <hyperlink r:id="rId1312" ref="I1312"/>
    <hyperlink r:id="rId1313" ref="I1313"/>
    <hyperlink r:id="rId1314" ref="I1314"/>
    <hyperlink r:id="rId1315" ref="I1315"/>
    <hyperlink r:id="rId1316" ref="I1316"/>
    <hyperlink r:id="rId1317" ref="I1317"/>
    <hyperlink r:id="rId1318" ref="I1318"/>
    <hyperlink r:id="rId1319" ref="I1319"/>
    <hyperlink r:id="rId1320" ref="I1320"/>
    <hyperlink r:id="rId1321" ref="I1321"/>
    <hyperlink r:id="rId1322" ref="I1322"/>
    <hyperlink r:id="rId1323" ref="I1323"/>
    <hyperlink r:id="rId1324" ref="I1324"/>
    <hyperlink r:id="rId1325" ref="I1325"/>
    <hyperlink r:id="rId1326" ref="I1326"/>
    <hyperlink r:id="rId1327" ref="I1327"/>
    <hyperlink r:id="rId1328" ref="I1328"/>
    <hyperlink r:id="rId1329" ref="I1329"/>
    <hyperlink r:id="rId1330" ref="I1330"/>
    <hyperlink r:id="rId1331" ref="I1331"/>
    <hyperlink r:id="rId1332" ref="I1332"/>
    <hyperlink r:id="rId1333" ref="I1333"/>
    <hyperlink r:id="rId1334" ref="I1334"/>
    <hyperlink r:id="rId1335" ref="I1335"/>
    <hyperlink r:id="rId1336" ref="I1336"/>
    <hyperlink r:id="rId1337" ref="I1337"/>
    <hyperlink r:id="rId1338" ref="I1338"/>
    <hyperlink r:id="rId1339" ref="I1339"/>
    <hyperlink r:id="rId1340" ref="I1340"/>
    <hyperlink r:id="rId1341" ref="I1341"/>
    <hyperlink r:id="rId1342" ref="I1342"/>
    <hyperlink r:id="rId1343" ref="I1343"/>
    <hyperlink r:id="rId1344" ref="I1344"/>
    <hyperlink r:id="rId1345" ref="I1345"/>
    <hyperlink r:id="rId1346" ref="I1346"/>
    <hyperlink r:id="rId1347" ref="I1347"/>
    <hyperlink r:id="rId1348" ref="I1348"/>
    <hyperlink r:id="rId1349" ref="I1349"/>
    <hyperlink r:id="rId1350" ref="I1350"/>
    <hyperlink r:id="rId1351" ref="I1351"/>
    <hyperlink r:id="rId1352" ref="I1352"/>
    <hyperlink r:id="rId1353" ref="I1353"/>
    <hyperlink r:id="rId1354" ref="I1354"/>
    <hyperlink r:id="rId1355" ref="I1355"/>
    <hyperlink r:id="rId1356" ref="I1356"/>
    <hyperlink r:id="rId1357" ref="I1357"/>
    <hyperlink r:id="rId1358" ref="I1358"/>
    <hyperlink r:id="rId1359" ref="I1359"/>
    <hyperlink r:id="rId1360" ref="I1360"/>
    <hyperlink r:id="rId1361" ref="I1361"/>
    <hyperlink r:id="rId1362" ref="I1362"/>
    <hyperlink r:id="rId1363" ref="I1363"/>
    <hyperlink r:id="rId1364" ref="I1364"/>
    <hyperlink r:id="rId1365" ref="I1365"/>
    <hyperlink r:id="rId1366" ref="I1366"/>
    <hyperlink r:id="rId1367" ref="I1367"/>
    <hyperlink r:id="rId1368" ref="I1368"/>
    <hyperlink r:id="rId1369" ref="I1369"/>
    <hyperlink r:id="rId1370" ref="I1370"/>
    <hyperlink r:id="rId1371" ref="I1371"/>
    <hyperlink r:id="rId1372" ref="I1372"/>
    <hyperlink r:id="rId1373" ref="I1373"/>
    <hyperlink r:id="rId1374" ref="I1374"/>
    <hyperlink r:id="rId1375" ref="I1375"/>
    <hyperlink r:id="rId1376" ref="I1376"/>
    <hyperlink r:id="rId1377" ref="I1377"/>
    <hyperlink r:id="rId1378" ref="I1378"/>
    <hyperlink r:id="rId1379" ref="I1379"/>
    <hyperlink r:id="rId1380" ref="I1380"/>
    <hyperlink r:id="rId1381" ref="I1381"/>
    <hyperlink r:id="rId1382" ref="I1382"/>
    <hyperlink r:id="rId1383" ref="I1383"/>
    <hyperlink r:id="rId1384" ref="I1384"/>
    <hyperlink r:id="rId1385" ref="I1385"/>
    <hyperlink r:id="rId1386" ref="I1386"/>
    <hyperlink r:id="rId1387" ref="I1387"/>
    <hyperlink r:id="rId1388" ref="I1388"/>
    <hyperlink r:id="rId1389" ref="I1389"/>
    <hyperlink r:id="rId1390" ref="I1390"/>
    <hyperlink r:id="rId1391" ref="I1391"/>
    <hyperlink r:id="rId1392" ref="I1392"/>
    <hyperlink r:id="rId1393" ref="I1393"/>
    <hyperlink r:id="rId1394" ref="I1394"/>
    <hyperlink r:id="rId1395" ref="I1395"/>
    <hyperlink r:id="rId1396" ref="I1396"/>
    <hyperlink r:id="rId1397" ref="I1397"/>
    <hyperlink r:id="rId1398" ref="I1398"/>
    <hyperlink r:id="rId1399" ref="I1399"/>
    <hyperlink r:id="rId1400" ref="I1400"/>
    <hyperlink r:id="rId1401" ref="I1401"/>
    <hyperlink r:id="rId1402" ref="I1402"/>
    <hyperlink r:id="rId1403" ref="I1403"/>
    <hyperlink r:id="rId1404" ref="I1404"/>
    <hyperlink r:id="rId1405" ref="I1405"/>
    <hyperlink r:id="rId1406" ref="I1406"/>
    <hyperlink r:id="rId1407" ref="I1407"/>
    <hyperlink r:id="rId1408" ref="I1408"/>
    <hyperlink r:id="rId1409" ref="I1409"/>
    <hyperlink r:id="rId1410" ref="I1410"/>
    <hyperlink r:id="rId1411" ref="I1411"/>
    <hyperlink r:id="rId1412" ref="I1412"/>
    <hyperlink r:id="rId1413" ref="I1413"/>
    <hyperlink r:id="rId1414" ref="I1414"/>
    <hyperlink r:id="rId1415" ref="I1415"/>
    <hyperlink r:id="rId1416" ref="I1416"/>
    <hyperlink r:id="rId1417" ref="I1417"/>
    <hyperlink r:id="rId1418" ref="I1418"/>
    <hyperlink r:id="rId1419" ref="I1419"/>
    <hyperlink r:id="rId1420" ref="I1420"/>
    <hyperlink r:id="rId1421" ref="I1421"/>
    <hyperlink r:id="rId1422" ref="I1422"/>
    <hyperlink r:id="rId1423" ref="I1423"/>
    <hyperlink r:id="rId1424" ref="I1424"/>
    <hyperlink r:id="rId1425" ref="I1425"/>
    <hyperlink r:id="rId1426" ref="I1426"/>
    <hyperlink r:id="rId1427" ref="I1427"/>
    <hyperlink r:id="rId1428" ref="I1428"/>
    <hyperlink r:id="rId1429" ref="I1429"/>
    <hyperlink r:id="rId1430" ref="I1430"/>
    <hyperlink r:id="rId1431" ref="I1431"/>
    <hyperlink r:id="rId1432" ref="I1432"/>
    <hyperlink r:id="rId1433" ref="I1433"/>
    <hyperlink r:id="rId1434" ref="I1434"/>
    <hyperlink r:id="rId1435" ref="I1435"/>
    <hyperlink r:id="rId1436" ref="I1436"/>
    <hyperlink r:id="rId1437" ref="I1437"/>
    <hyperlink r:id="rId1438" ref="I1438"/>
    <hyperlink r:id="rId1439" ref="I1439"/>
    <hyperlink r:id="rId1440" ref="I1440"/>
    <hyperlink r:id="rId1441" ref="I1441"/>
    <hyperlink r:id="rId1442" ref="I1442"/>
    <hyperlink r:id="rId1443" ref="I1443"/>
    <hyperlink r:id="rId1444" ref="I1444"/>
    <hyperlink r:id="rId1445" ref="I1445"/>
    <hyperlink r:id="rId1446" ref="I1446"/>
    <hyperlink r:id="rId1447" ref="I1447"/>
    <hyperlink r:id="rId1448" ref="I1448"/>
    <hyperlink r:id="rId1449" ref="I1449"/>
    <hyperlink r:id="rId1450" ref="I1450"/>
    <hyperlink r:id="rId1451" ref="I1451"/>
    <hyperlink r:id="rId1452" ref="I1452"/>
    <hyperlink r:id="rId1453" ref="I1453"/>
    <hyperlink r:id="rId1454" ref="I1454"/>
    <hyperlink r:id="rId1455" ref="I1455"/>
    <hyperlink r:id="rId1456" ref="I1456"/>
    <hyperlink r:id="rId1457" ref="I1457"/>
    <hyperlink r:id="rId1458" ref="I1458"/>
    <hyperlink r:id="rId1459" ref="I1459"/>
    <hyperlink r:id="rId1460" ref="I1460"/>
    <hyperlink r:id="rId1461" ref="I1461"/>
    <hyperlink r:id="rId1462" ref="I1462"/>
    <hyperlink r:id="rId1463" ref="I1463"/>
    <hyperlink r:id="rId1464" ref="I1464"/>
    <hyperlink r:id="rId1465" ref="I1465"/>
    <hyperlink r:id="rId1466" ref="I1466"/>
    <hyperlink r:id="rId1467" ref="I1467"/>
    <hyperlink r:id="rId1468" ref="I1468"/>
    <hyperlink r:id="rId1469" ref="I1469"/>
    <hyperlink r:id="rId1470" ref="I1470"/>
    <hyperlink r:id="rId1471" ref="I1471"/>
    <hyperlink r:id="rId1472" ref="I1472"/>
    <hyperlink r:id="rId1473" ref="I1473"/>
    <hyperlink r:id="rId1474" ref="I1474"/>
    <hyperlink r:id="rId1475" ref="I1475"/>
    <hyperlink r:id="rId1476" ref="I1476"/>
    <hyperlink r:id="rId1477" ref="I1477"/>
    <hyperlink r:id="rId1478" ref="I1478"/>
    <hyperlink r:id="rId1479" ref="I1479"/>
    <hyperlink r:id="rId1480" ref="I1480"/>
    <hyperlink r:id="rId1481" ref="I1481"/>
    <hyperlink r:id="rId1482" ref="I1482"/>
    <hyperlink r:id="rId1483" ref="I1483"/>
    <hyperlink r:id="rId1484" ref="I1484"/>
    <hyperlink r:id="rId1485" ref="I1485"/>
    <hyperlink r:id="rId1486" ref="I1486"/>
    <hyperlink r:id="rId1487" ref="I1487"/>
    <hyperlink r:id="rId1488" ref="I1488"/>
    <hyperlink r:id="rId1489" ref="I1489"/>
    <hyperlink r:id="rId1490" ref="I1490"/>
    <hyperlink r:id="rId1491" ref="I1491"/>
    <hyperlink r:id="rId1492" ref="I1492"/>
    <hyperlink r:id="rId1493" ref="I1493"/>
    <hyperlink r:id="rId1494" ref="I1494"/>
    <hyperlink r:id="rId1495" ref="I1495"/>
    <hyperlink r:id="rId1496" ref="I1496"/>
    <hyperlink r:id="rId1497" ref="I1497"/>
    <hyperlink r:id="rId1498" ref="I1498"/>
    <hyperlink r:id="rId1499" ref="I1499"/>
    <hyperlink r:id="rId1500" ref="I1500"/>
    <hyperlink r:id="rId1501" ref="I1501"/>
    <hyperlink r:id="rId1502" ref="I1502"/>
    <hyperlink r:id="rId1503" ref="I1503"/>
    <hyperlink r:id="rId1504" ref="I1504"/>
    <hyperlink r:id="rId1505" ref="I1505"/>
    <hyperlink r:id="rId1506" ref="I1506"/>
    <hyperlink r:id="rId1507" ref="I1507"/>
    <hyperlink r:id="rId1508" ref="I1508"/>
    <hyperlink r:id="rId1509" ref="I1509"/>
    <hyperlink r:id="rId1510" ref="I1510"/>
    <hyperlink r:id="rId1511" ref="I1511"/>
    <hyperlink r:id="rId1512" ref="I1512"/>
    <hyperlink r:id="rId1513" ref="I1513"/>
    <hyperlink r:id="rId1514" ref="I1514"/>
    <hyperlink r:id="rId1515" ref="I1515"/>
    <hyperlink r:id="rId1516" ref="I1516"/>
    <hyperlink r:id="rId1517" ref="I1517"/>
    <hyperlink r:id="rId1518" ref="I1518"/>
    <hyperlink r:id="rId1519" ref="I1519"/>
    <hyperlink r:id="rId1520" ref="I1520"/>
    <hyperlink r:id="rId1521" ref="I1521"/>
    <hyperlink r:id="rId1522" ref="I1522"/>
    <hyperlink r:id="rId1523" ref="I1523"/>
    <hyperlink r:id="rId1524" ref="I1524"/>
    <hyperlink r:id="rId1525" ref="I1525"/>
    <hyperlink r:id="rId1526" ref="I1526"/>
    <hyperlink r:id="rId1527" ref="I1527"/>
    <hyperlink r:id="rId1528" ref="I1528"/>
    <hyperlink r:id="rId1529" ref="I1529"/>
    <hyperlink r:id="rId1530" ref="I1530"/>
    <hyperlink r:id="rId1531" ref="I1531"/>
    <hyperlink r:id="rId1532" ref="I1532"/>
    <hyperlink r:id="rId1533" ref="I1533"/>
    <hyperlink r:id="rId1534" ref="I1534"/>
    <hyperlink r:id="rId1535" ref="I1535"/>
    <hyperlink r:id="rId1536" ref="I1536"/>
    <hyperlink r:id="rId1537" ref="I1537"/>
    <hyperlink r:id="rId1538" ref="I1538"/>
    <hyperlink r:id="rId1539" ref="I1539"/>
    <hyperlink r:id="rId1540" ref="I1540"/>
    <hyperlink r:id="rId1541" ref="I1541"/>
    <hyperlink r:id="rId1542" ref="I1542"/>
    <hyperlink r:id="rId1543" ref="I1543"/>
    <hyperlink r:id="rId1544" ref="I1544"/>
    <hyperlink r:id="rId1545" ref="I1545"/>
    <hyperlink r:id="rId1546" ref="I1546"/>
    <hyperlink r:id="rId1547" ref="I1547"/>
    <hyperlink r:id="rId1548" ref="I1548"/>
    <hyperlink r:id="rId1549" ref="I1549"/>
    <hyperlink r:id="rId1550" ref="I1550"/>
    <hyperlink r:id="rId1551" ref="I1551"/>
    <hyperlink r:id="rId1552" ref="I1552"/>
    <hyperlink r:id="rId1553" ref="I1553"/>
    <hyperlink r:id="rId1554" ref="I1554"/>
    <hyperlink r:id="rId1555" ref="I1555"/>
    <hyperlink r:id="rId1556" ref="I1556"/>
    <hyperlink r:id="rId1557" ref="I1557"/>
    <hyperlink r:id="rId1558" ref="I1558"/>
    <hyperlink r:id="rId1559" ref="I1559"/>
    <hyperlink r:id="rId1560" ref="I1560"/>
    <hyperlink r:id="rId1561" ref="I1561"/>
    <hyperlink r:id="rId1562" ref="I1562"/>
    <hyperlink r:id="rId1563" ref="I1563"/>
    <hyperlink r:id="rId1564" ref="I1564"/>
    <hyperlink r:id="rId1565" ref="I1565"/>
    <hyperlink r:id="rId1566" ref="I1566"/>
    <hyperlink r:id="rId1567" ref="I1567"/>
    <hyperlink r:id="rId1568" ref="I1568"/>
    <hyperlink r:id="rId1569" ref="I1569"/>
    <hyperlink r:id="rId1570" ref="I1570"/>
    <hyperlink r:id="rId1571" ref="I1571"/>
    <hyperlink r:id="rId1572" ref="I1572"/>
    <hyperlink r:id="rId1573" ref="I1573"/>
    <hyperlink r:id="rId1574" ref="I1574"/>
    <hyperlink r:id="rId1575" ref="I1575"/>
    <hyperlink r:id="rId1576" ref="I1576"/>
    <hyperlink r:id="rId1577" ref="I1577"/>
    <hyperlink r:id="rId1578" ref="I1578"/>
    <hyperlink r:id="rId1579" ref="I1579"/>
    <hyperlink r:id="rId1580" ref="I1580"/>
    <hyperlink r:id="rId1581" ref="I1581"/>
    <hyperlink r:id="rId1582" ref="I1582"/>
    <hyperlink r:id="rId1583" ref="I1583"/>
    <hyperlink r:id="rId1584" ref="I1584"/>
    <hyperlink r:id="rId1585" ref="I1585"/>
    <hyperlink r:id="rId1586" ref="I1586"/>
    <hyperlink r:id="rId1587" ref="I1587"/>
    <hyperlink r:id="rId1588" ref="I1588"/>
    <hyperlink r:id="rId1589" ref="I1589"/>
    <hyperlink r:id="rId1590" ref="I1590"/>
    <hyperlink r:id="rId1591" ref="I1591"/>
    <hyperlink r:id="rId1592" ref="I1592"/>
    <hyperlink r:id="rId1593" ref="I1593"/>
    <hyperlink r:id="rId1594" ref="I1594"/>
    <hyperlink r:id="rId1595" ref="I1595"/>
    <hyperlink r:id="rId1596" ref="I1596"/>
    <hyperlink r:id="rId1597" ref="I1597"/>
    <hyperlink r:id="rId1598" ref="I1598"/>
    <hyperlink r:id="rId1599" ref="I1599"/>
    <hyperlink r:id="rId1600" ref="I1600"/>
    <hyperlink r:id="rId1601" ref="I1601"/>
    <hyperlink r:id="rId1602" ref="I1602"/>
    <hyperlink r:id="rId1603" ref="I1603"/>
    <hyperlink r:id="rId1604" ref="I1604"/>
    <hyperlink r:id="rId1605" ref="I1605"/>
    <hyperlink r:id="rId1606" ref="I1606"/>
    <hyperlink r:id="rId1607" ref="I1607"/>
    <hyperlink r:id="rId1608" ref="I1608"/>
    <hyperlink r:id="rId1609" ref="I1609"/>
    <hyperlink r:id="rId1610" ref="I1610"/>
    <hyperlink r:id="rId1611" ref="I1611"/>
    <hyperlink r:id="rId1612" ref="I1612"/>
    <hyperlink r:id="rId1613" ref="I1613"/>
    <hyperlink r:id="rId1614" ref="I1614"/>
    <hyperlink r:id="rId1615" ref="I1615"/>
    <hyperlink r:id="rId1616" ref="I1616"/>
    <hyperlink r:id="rId1617" ref="I1617"/>
    <hyperlink r:id="rId1618" ref="I1618"/>
    <hyperlink r:id="rId1619" ref="I1619"/>
    <hyperlink r:id="rId1620" ref="I1620"/>
    <hyperlink r:id="rId1621" ref="I1621"/>
    <hyperlink r:id="rId1622" ref="I1622"/>
    <hyperlink r:id="rId1623" ref="I1623"/>
    <hyperlink r:id="rId1624" ref="I1624"/>
    <hyperlink r:id="rId1625" ref="I1625"/>
    <hyperlink r:id="rId1626" ref="I1626"/>
    <hyperlink r:id="rId1627" ref="I1627"/>
    <hyperlink r:id="rId1628" ref="I1628"/>
    <hyperlink r:id="rId1629" ref="I1629"/>
    <hyperlink r:id="rId1630" ref="I1630"/>
    <hyperlink r:id="rId1631" ref="I1631"/>
    <hyperlink r:id="rId1632" ref="I1632"/>
    <hyperlink r:id="rId1633" ref="I1633"/>
    <hyperlink r:id="rId1634" ref="I1634"/>
    <hyperlink r:id="rId1635" ref="I1635"/>
    <hyperlink r:id="rId1636" ref="I1636"/>
    <hyperlink r:id="rId1637" ref="I1637"/>
    <hyperlink r:id="rId1638" ref="I1638"/>
    <hyperlink r:id="rId1639" ref="I1639"/>
    <hyperlink r:id="rId1640" ref="I1640"/>
    <hyperlink r:id="rId1641" ref="I1641"/>
    <hyperlink r:id="rId1642" ref="I1642"/>
    <hyperlink r:id="rId1643" ref="I1643"/>
    <hyperlink r:id="rId1644" ref="I1644"/>
    <hyperlink r:id="rId1645" ref="I1645"/>
    <hyperlink r:id="rId1646" ref="I1646"/>
    <hyperlink r:id="rId1647" ref="I1647"/>
    <hyperlink r:id="rId1648" ref="I1648"/>
    <hyperlink r:id="rId1649" ref="I1649"/>
    <hyperlink r:id="rId1650" ref="I1650"/>
    <hyperlink r:id="rId1651" ref="I1651"/>
    <hyperlink r:id="rId1652" ref="I1652"/>
    <hyperlink r:id="rId1653" ref="I1653"/>
    <hyperlink r:id="rId1654" ref="I1654"/>
    <hyperlink r:id="rId1655" ref="I1655"/>
    <hyperlink r:id="rId1656" ref="I1656"/>
    <hyperlink r:id="rId1657" ref="I1657"/>
    <hyperlink r:id="rId1658" ref="I1658"/>
    <hyperlink r:id="rId1659" ref="I1659"/>
    <hyperlink r:id="rId1660" ref="I1660"/>
    <hyperlink r:id="rId1661" ref="I1661"/>
    <hyperlink r:id="rId1662" ref="I1662"/>
    <hyperlink r:id="rId1663" ref="I1663"/>
    <hyperlink r:id="rId1664" ref="I1664"/>
    <hyperlink r:id="rId1665" ref="I1665"/>
    <hyperlink r:id="rId1666" ref="I1666"/>
    <hyperlink r:id="rId1667" ref="I1667"/>
    <hyperlink r:id="rId1668" ref="I1668"/>
    <hyperlink r:id="rId1669" ref="I1669"/>
    <hyperlink r:id="rId1670" ref="I1670"/>
    <hyperlink r:id="rId1671" ref="I1671"/>
    <hyperlink r:id="rId1672" ref="I1672"/>
    <hyperlink r:id="rId1673" ref="I1673"/>
    <hyperlink r:id="rId1674" ref="I1674"/>
    <hyperlink r:id="rId1675" ref="I1675"/>
    <hyperlink r:id="rId1676" ref="I1676"/>
    <hyperlink r:id="rId1677" ref="I1677"/>
    <hyperlink r:id="rId1678" ref="I1678"/>
    <hyperlink r:id="rId1679" ref="I1679"/>
    <hyperlink r:id="rId1680" ref="I1680"/>
    <hyperlink r:id="rId1681" ref="I1681"/>
    <hyperlink r:id="rId1682" ref="I1682"/>
    <hyperlink r:id="rId1683" ref="I1683"/>
    <hyperlink r:id="rId1684" ref="I1684"/>
    <hyperlink r:id="rId1685" ref="I1685"/>
    <hyperlink r:id="rId1686" ref="I1686"/>
    <hyperlink r:id="rId1687" ref="I1687"/>
    <hyperlink r:id="rId1688" ref="I1688"/>
    <hyperlink r:id="rId1689" ref="I1689"/>
    <hyperlink r:id="rId1690" ref="I1690"/>
    <hyperlink r:id="rId1691" ref="I1691"/>
    <hyperlink r:id="rId1692" ref="I1692"/>
    <hyperlink r:id="rId1693" ref="I1693"/>
    <hyperlink r:id="rId1694" ref="I1694"/>
    <hyperlink r:id="rId1695" ref="I1695"/>
    <hyperlink r:id="rId1696" ref="I1696"/>
    <hyperlink r:id="rId1697" ref="I1697"/>
    <hyperlink r:id="rId1698" ref="I1698"/>
    <hyperlink r:id="rId1699" ref="I1699"/>
    <hyperlink r:id="rId1700" ref="I1700"/>
    <hyperlink r:id="rId1701" ref="I1701"/>
    <hyperlink r:id="rId1702" ref="I1702"/>
    <hyperlink r:id="rId1703" ref="I1703"/>
    <hyperlink r:id="rId1704" ref="I1704"/>
    <hyperlink r:id="rId1705" ref="I1705"/>
    <hyperlink r:id="rId1706" ref="I1706"/>
    <hyperlink r:id="rId1707" ref="I1707"/>
    <hyperlink r:id="rId1708" ref="I1708"/>
    <hyperlink r:id="rId1709" ref="I1709"/>
    <hyperlink r:id="rId1710" ref="I1710"/>
    <hyperlink r:id="rId1711" ref="I1711"/>
    <hyperlink r:id="rId1712" ref="I1712"/>
    <hyperlink r:id="rId1713" ref="I1713"/>
    <hyperlink r:id="rId1714" ref="I1714"/>
    <hyperlink r:id="rId1715" ref="I1715"/>
    <hyperlink r:id="rId1716" ref="I1716"/>
    <hyperlink r:id="rId1717" ref="I1717"/>
    <hyperlink r:id="rId1718" ref="I1718"/>
    <hyperlink r:id="rId1719" ref="I1719"/>
    <hyperlink r:id="rId1720" ref="I1720"/>
    <hyperlink r:id="rId1721" ref="I1721"/>
    <hyperlink r:id="rId1722" ref="I1722"/>
    <hyperlink r:id="rId1723" ref="I1723"/>
    <hyperlink r:id="rId1724" ref="I1724"/>
    <hyperlink r:id="rId1725" ref="I1725"/>
    <hyperlink r:id="rId1726" ref="I1726"/>
    <hyperlink r:id="rId1727" ref="I1727"/>
    <hyperlink r:id="rId1728" ref="I1728"/>
    <hyperlink r:id="rId1729" ref="I1729"/>
    <hyperlink r:id="rId1730" ref="I1730"/>
    <hyperlink r:id="rId1731" ref="I1731"/>
    <hyperlink r:id="rId1732" ref="I1732"/>
    <hyperlink r:id="rId1733" ref="I1733"/>
    <hyperlink r:id="rId1734" ref="I1734"/>
    <hyperlink r:id="rId1735" ref="I1735"/>
    <hyperlink r:id="rId1736" ref="I1736"/>
    <hyperlink r:id="rId1737" ref="I1737"/>
    <hyperlink r:id="rId1738" ref="I1738"/>
    <hyperlink r:id="rId1739" ref="I1739"/>
    <hyperlink r:id="rId1740" ref="I1740"/>
    <hyperlink r:id="rId1741" ref="I1741"/>
    <hyperlink r:id="rId1742" ref="I1742"/>
    <hyperlink r:id="rId1743" ref="I1743"/>
    <hyperlink r:id="rId1744" ref="I1744"/>
    <hyperlink r:id="rId1745" ref="I1745"/>
    <hyperlink r:id="rId1746" ref="I1746"/>
    <hyperlink r:id="rId1747" ref="I1747"/>
    <hyperlink r:id="rId1748" ref="I1748"/>
    <hyperlink r:id="rId1749" ref="I1749"/>
    <hyperlink r:id="rId1750" ref="I1750"/>
    <hyperlink r:id="rId1751" ref="I1751"/>
    <hyperlink r:id="rId1752" ref="I1752"/>
    <hyperlink r:id="rId1753" ref="I1753"/>
    <hyperlink r:id="rId1754" ref="I1754"/>
    <hyperlink r:id="rId1755" ref="I1755"/>
    <hyperlink r:id="rId1756" ref="I1756"/>
    <hyperlink r:id="rId1757" ref="I1757"/>
    <hyperlink r:id="rId1758" ref="I1758"/>
    <hyperlink r:id="rId1759" ref="I1759"/>
    <hyperlink r:id="rId1760" ref="I1760"/>
    <hyperlink r:id="rId1761" ref="I1761"/>
    <hyperlink r:id="rId1762" ref="I1762"/>
    <hyperlink r:id="rId1763" ref="I1763"/>
    <hyperlink r:id="rId1764" ref="I1764"/>
    <hyperlink r:id="rId1765" ref="I1765"/>
    <hyperlink r:id="rId1766" ref="I1766"/>
    <hyperlink r:id="rId1767" ref="I1767"/>
    <hyperlink r:id="rId1768" ref="I1768"/>
    <hyperlink r:id="rId1769" ref="I1769"/>
    <hyperlink r:id="rId1770" ref="I1770"/>
    <hyperlink r:id="rId1771" ref="I1771"/>
    <hyperlink r:id="rId1772" ref="I1772"/>
    <hyperlink r:id="rId1773" ref="I1773"/>
    <hyperlink r:id="rId1774" ref="I1774"/>
    <hyperlink r:id="rId1775" ref="I1775"/>
    <hyperlink r:id="rId1776" ref="I1776"/>
    <hyperlink r:id="rId1777" ref="I1777"/>
    <hyperlink r:id="rId1778" ref="I1778"/>
    <hyperlink r:id="rId1779" ref="I1779"/>
    <hyperlink r:id="rId1780" ref="I1780"/>
    <hyperlink r:id="rId1781" ref="I1781"/>
    <hyperlink r:id="rId1782" ref="I1782"/>
    <hyperlink r:id="rId1783" ref="I1783"/>
    <hyperlink r:id="rId1784" ref="I1784"/>
    <hyperlink r:id="rId1785" ref="I1785"/>
    <hyperlink r:id="rId1786" ref="I1786"/>
    <hyperlink r:id="rId1787" ref="I1787"/>
    <hyperlink r:id="rId1788" ref="I1788"/>
    <hyperlink r:id="rId1789" ref="I1789"/>
    <hyperlink r:id="rId1790" ref="I1790"/>
    <hyperlink r:id="rId1791" ref="I1791"/>
    <hyperlink r:id="rId1792" ref="I1792"/>
    <hyperlink r:id="rId1793" ref="I1793"/>
    <hyperlink r:id="rId1794" ref="I1794"/>
    <hyperlink r:id="rId1795" ref="I1795"/>
    <hyperlink r:id="rId1796" ref="I1796"/>
    <hyperlink r:id="rId1797" ref="I1797"/>
    <hyperlink r:id="rId1798" ref="I1798"/>
    <hyperlink r:id="rId1799" ref="I1799"/>
    <hyperlink r:id="rId1800" ref="I1800"/>
    <hyperlink r:id="rId1801" ref="I1801"/>
    <hyperlink r:id="rId1802" ref="I1802"/>
    <hyperlink r:id="rId1803" ref="I1803"/>
    <hyperlink r:id="rId1804" ref="I1804"/>
    <hyperlink r:id="rId1805" ref="I1805"/>
    <hyperlink r:id="rId1806" ref="I1806"/>
    <hyperlink r:id="rId1807" ref="I1807"/>
    <hyperlink r:id="rId1808" ref="I1808"/>
    <hyperlink r:id="rId1809" ref="I1809"/>
    <hyperlink r:id="rId1810" ref="I1810"/>
    <hyperlink r:id="rId1811" ref="I1811"/>
    <hyperlink r:id="rId1812" ref="I1812"/>
    <hyperlink r:id="rId1813" ref="I1813"/>
    <hyperlink r:id="rId1814" ref="I1814"/>
    <hyperlink r:id="rId1815" ref="I1815"/>
    <hyperlink r:id="rId1816" ref="I1816"/>
    <hyperlink r:id="rId1817" ref="I1817"/>
    <hyperlink r:id="rId1818" ref="I1818"/>
    <hyperlink r:id="rId1819" ref="I1819"/>
    <hyperlink r:id="rId1820" ref="I1820"/>
    <hyperlink r:id="rId1821" ref="I1821"/>
    <hyperlink r:id="rId1822" ref="I1822"/>
    <hyperlink r:id="rId1823" ref="I1823"/>
    <hyperlink r:id="rId1824" ref="I1824"/>
    <hyperlink r:id="rId1825" ref="I1825"/>
    <hyperlink r:id="rId1826" ref="I1826"/>
    <hyperlink r:id="rId1827" ref="I1827"/>
    <hyperlink r:id="rId1828" ref="I1828"/>
    <hyperlink r:id="rId1829" ref="I1829"/>
    <hyperlink r:id="rId1830" ref="I1830"/>
    <hyperlink r:id="rId1831" ref="I1831"/>
    <hyperlink r:id="rId1832" ref="I1832"/>
    <hyperlink r:id="rId1833" ref="I1833"/>
    <hyperlink r:id="rId1834" ref="I1834"/>
    <hyperlink r:id="rId1835" ref="I1835"/>
    <hyperlink r:id="rId1836" ref="I1836"/>
    <hyperlink r:id="rId1837" ref="I1837"/>
    <hyperlink r:id="rId1838" ref="I1838"/>
    <hyperlink r:id="rId1839" ref="I1839"/>
    <hyperlink r:id="rId1840" ref="I1840"/>
    <hyperlink r:id="rId1841" ref="I1841"/>
    <hyperlink r:id="rId1842" ref="I1842"/>
    <hyperlink r:id="rId1843" ref="I1843"/>
    <hyperlink r:id="rId1844" ref="I1844"/>
    <hyperlink r:id="rId1845" ref="I1845"/>
    <hyperlink r:id="rId1846" ref="I1846"/>
    <hyperlink r:id="rId1847" ref="I1847"/>
    <hyperlink r:id="rId1848" ref="I1848"/>
    <hyperlink r:id="rId1849" ref="I1849"/>
    <hyperlink r:id="rId1850" ref="I1850"/>
    <hyperlink r:id="rId1851" ref="I1851"/>
    <hyperlink r:id="rId1852" ref="I1852"/>
    <hyperlink r:id="rId1853" ref="I1853"/>
    <hyperlink r:id="rId1854" ref="I1854"/>
    <hyperlink r:id="rId1855" ref="I1855"/>
    <hyperlink r:id="rId1856" ref="I1856"/>
    <hyperlink r:id="rId1857" ref="I1857"/>
    <hyperlink r:id="rId1858" ref="I1858"/>
    <hyperlink r:id="rId1859" ref="I1859"/>
    <hyperlink r:id="rId1860" ref="I1860"/>
    <hyperlink r:id="rId1861" ref="I1861"/>
    <hyperlink r:id="rId1862" ref="I1862"/>
    <hyperlink r:id="rId1863" ref="I1863"/>
    <hyperlink r:id="rId1864" ref="I1864"/>
    <hyperlink r:id="rId1865" ref="I1865"/>
    <hyperlink r:id="rId1866" ref="I1866"/>
    <hyperlink r:id="rId1867" ref="I1867"/>
    <hyperlink r:id="rId1868" ref="I1868"/>
    <hyperlink r:id="rId1869" ref="I1869"/>
    <hyperlink r:id="rId1870" ref="I1870"/>
    <hyperlink r:id="rId1871" ref="I1871"/>
    <hyperlink r:id="rId1872" ref="I1872"/>
    <hyperlink r:id="rId1873" ref="I1873"/>
    <hyperlink r:id="rId1874" ref="I1874"/>
    <hyperlink r:id="rId1875" ref="I1875"/>
    <hyperlink r:id="rId1876" ref="I1876"/>
    <hyperlink r:id="rId1877" ref="I1877"/>
    <hyperlink r:id="rId1878" ref="I1878"/>
    <hyperlink r:id="rId1879" ref="I1879"/>
    <hyperlink r:id="rId1880" ref="I1880"/>
    <hyperlink r:id="rId1881" ref="I1881"/>
    <hyperlink r:id="rId1882" ref="I1882"/>
    <hyperlink r:id="rId1883" ref="I1883"/>
    <hyperlink r:id="rId1884" ref="I1884"/>
    <hyperlink r:id="rId1885" ref="I1885"/>
    <hyperlink r:id="rId1886" ref="I1886"/>
    <hyperlink r:id="rId1887" ref="I1887"/>
    <hyperlink r:id="rId1888" ref="I1888"/>
    <hyperlink r:id="rId1889" ref="I1889"/>
    <hyperlink r:id="rId1890" ref="I1890"/>
    <hyperlink r:id="rId1891" ref="I1891"/>
    <hyperlink r:id="rId1892" ref="I1892"/>
    <hyperlink r:id="rId1893" ref="I1893"/>
    <hyperlink r:id="rId1894" ref="I1894"/>
    <hyperlink r:id="rId1895" ref="I1895"/>
    <hyperlink r:id="rId1896" ref="I1896"/>
    <hyperlink r:id="rId1897" ref="I1897"/>
    <hyperlink r:id="rId1898" ref="I1898"/>
    <hyperlink r:id="rId1899" ref="I1899"/>
    <hyperlink r:id="rId1900" ref="I1900"/>
    <hyperlink r:id="rId1901" ref="I1901"/>
    <hyperlink r:id="rId1902" ref="I1902"/>
    <hyperlink r:id="rId1903" ref="I1903"/>
    <hyperlink r:id="rId1904" ref="I1904"/>
    <hyperlink r:id="rId1905" ref="I1905"/>
    <hyperlink r:id="rId1906" ref="I1906"/>
    <hyperlink r:id="rId1907" ref="I1907"/>
    <hyperlink r:id="rId1908" ref="I1908"/>
    <hyperlink r:id="rId1909" ref="I1909"/>
    <hyperlink r:id="rId1910" ref="I1910"/>
    <hyperlink r:id="rId1911" ref="I1911"/>
    <hyperlink r:id="rId1912" ref="I1912"/>
    <hyperlink r:id="rId1913" ref="I1913"/>
    <hyperlink r:id="rId1914" ref="I1914"/>
    <hyperlink r:id="rId1915" ref="I1915"/>
    <hyperlink r:id="rId1916" ref="I1916"/>
    <hyperlink r:id="rId1917" ref="I1917"/>
    <hyperlink r:id="rId1918" ref="I1918"/>
    <hyperlink r:id="rId1919" ref="I1919"/>
    <hyperlink r:id="rId1920" ref="I1920"/>
    <hyperlink r:id="rId1921" ref="I1921"/>
    <hyperlink r:id="rId1922" ref="I1922"/>
    <hyperlink r:id="rId1923" ref="I1923"/>
    <hyperlink r:id="rId1924" ref="I1924"/>
    <hyperlink r:id="rId1925" ref="I1925"/>
    <hyperlink r:id="rId1926" ref="I1926"/>
    <hyperlink r:id="rId1927" ref="I1927"/>
    <hyperlink r:id="rId1928" ref="I1928"/>
    <hyperlink r:id="rId1929" ref="I1929"/>
    <hyperlink r:id="rId1930" ref="I1930"/>
    <hyperlink r:id="rId1931" ref="I1931"/>
    <hyperlink r:id="rId1932" ref="I1932"/>
    <hyperlink r:id="rId1933" ref="I1933"/>
    <hyperlink r:id="rId1934" ref="I1934"/>
    <hyperlink r:id="rId1935" ref="I1935"/>
    <hyperlink r:id="rId1936" ref="I1936"/>
    <hyperlink r:id="rId1937" ref="I1937"/>
    <hyperlink r:id="rId1938" ref="I1938"/>
    <hyperlink r:id="rId1939" ref="I1939"/>
    <hyperlink r:id="rId1940" ref="I1940"/>
    <hyperlink r:id="rId1941" ref="I1941"/>
    <hyperlink r:id="rId1942" ref="I1942"/>
    <hyperlink r:id="rId1943" ref="I1943"/>
    <hyperlink r:id="rId1944" ref="I1944"/>
    <hyperlink r:id="rId1945" ref="I1945"/>
    <hyperlink r:id="rId1946" ref="I1946"/>
    <hyperlink r:id="rId1947" ref="I1947"/>
    <hyperlink r:id="rId1948" ref="I1948"/>
    <hyperlink r:id="rId1949" ref="I1949"/>
    <hyperlink r:id="rId1950" ref="I1950"/>
    <hyperlink r:id="rId1951" ref="I1951"/>
    <hyperlink r:id="rId1952" ref="I1952"/>
    <hyperlink r:id="rId1953" ref="I1953"/>
    <hyperlink r:id="rId1954" ref="I1954"/>
    <hyperlink r:id="rId1955" ref="I1955"/>
    <hyperlink r:id="rId1956" ref="I1956"/>
    <hyperlink r:id="rId1957" ref="I1957"/>
    <hyperlink r:id="rId1958" ref="I1958"/>
    <hyperlink r:id="rId1959" ref="I1959"/>
    <hyperlink r:id="rId1960" ref="I1960"/>
    <hyperlink r:id="rId1961" ref="I1961"/>
    <hyperlink r:id="rId1962" ref="I1962"/>
    <hyperlink r:id="rId1963" ref="I1963"/>
    <hyperlink r:id="rId1964" ref="I1964"/>
    <hyperlink r:id="rId1965" ref="I1965"/>
    <hyperlink r:id="rId1966" ref="I1966"/>
    <hyperlink r:id="rId1967" ref="I1967"/>
    <hyperlink r:id="rId1968" ref="I1968"/>
    <hyperlink r:id="rId1969" ref="I1969"/>
    <hyperlink r:id="rId1970" ref="I1970"/>
    <hyperlink r:id="rId1971" ref="I1971"/>
    <hyperlink r:id="rId1972" ref="I1972"/>
    <hyperlink r:id="rId1973" ref="I1973"/>
    <hyperlink r:id="rId1974" ref="I1974"/>
    <hyperlink r:id="rId1975" ref="I1975"/>
    <hyperlink r:id="rId1976" ref="I1976"/>
    <hyperlink r:id="rId1977" ref="I1977"/>
    <hyperlink r:id="rId1978" ref="I1978"/>
    <hyperlink r:id="rId1979" ref="I1979"/>
    <hyperlink r:id="rId1980" ref="I1980"/>
    <hyperlink r:id="rId1981" ref="I1981"/>
    <hyperlink r:id="rId1982" ref="I1982"/>
    <hyperlink r:id="rId1983" ref="I1983"/>
    <hyperlink r:id="rId1984" ref="I1984"/>
    <hyperlink r:id="rId1985" ref="I1985"/>
    <hyperlink r:id="rId1986" ref="I1986"/>
    <hyperlink r:id="rId1987" ref="I1987"/>
    <hyperlink r:id="rId1988" ref="I1988"/>
    <hyperlink r:id="rId1989" ref="I1989"/>
    <hyperlink r:id="rId1990" ref="I1990"/>
    <hyperlink r:id="rId1991" ref="I1991"/>
    <hyperlink r:id="rId1992" ref="I1992"/>
    <hyperlink r:id="rId1993" ref="I1993"/>
    <hyperlink r:id="rId1994" ref="I1994"/>
    <hyperlink r:id="rId1995" ref="I1995"/>
    <hyperlink r:id="rId1996" ref="I1996"/>
    <hyperlink r:id="rId1997" ref="I1997"/>
    <hyperlink r:id="rId1998" ref="I1998"/>
    <hyperlink r:id="rId1999" ref="I1999"/>
    <hyperlink r:id="rId2000" ref="I2000"/>
    <hyperlink r:id="rId2001" ref="I2001"/>
    <hyperlink r:id="rId2002" ref="I2002"/>
    <hyperlink r:id="rId2003" ref="I2003"/>
    <hyperlink r:id="rId2004" ref="I2004"/>
    <hyperlink r:id="rId2005" ref="I2005"/>
    <hyperlink r:id="rId2006" ref="I2006"/>
    <hyperlink r:id="rId2007" ref="I2007"/>
    <hyperlink r:id="rId2008" ref="I2008"/>
    <hyperlink r:id="rId2009" ref="I2009"/>
    <hyperlink r:id="rId2010" ref="I2010"/>
    <hyperlink r:id="rId2011" ref="I2011"/>
    <hyperlink r:id="rId2012" ref="I2012"/>
    <hyperlink r:id="rId2013" ref="I2013"/>
    <hyperlink r:id="rId2014" ref="I2014"/>
    <hyperlink r:id="rId2015" ref="I2015"/>
    <hyperlink r:id="rId2016" ref="I2016"/>
    <hyperlink r:id="rId2017" ref="I2017"/>
    <hyperlink r:id="rId2018" ref="I2018"/>
    <hyperlink r:id="rId2019" ref="I2019"/>
    <hyperlink r:id="rId2020" ref="I2020"/>
    <hyperlink r:id="rId2021" ref="I2021"/>
    <hyperlink r:id="rId2022" ref="I2022"/>
    <hyperlink r:id="rId2023" ref="I2023"/>
    <hyperlink r:id="rId2024" ref="I2024"/>
    <hyperlink r:id="rId2025" ref="I2025"/>
    <hyperlink r:id="rId2026" ref="I2026"/>
    <hyperlink r:id="rId2027" ref="I2027"/>
    <hyperlink r:id="rId2028" ref="I2028"/>
    <hyperlink r:id="rId2029" ref="I2029"/>
    <hyperlink r:id="rId2030" ref="I2030"/>
    <hyperlink r:id="rId2031" ref="I2031"/>
    <hyperlink r:id="rId2032" ref="I2032"/>
    <hyperlink r:id="rId2033" ref="I2033"/>
    <hyperlink r:id="rId2034" ref="I2034"/>
    <hyperlink r:id="rId2035" ref="I2035"/>
    <hyperlink r:id="rId2036" ref="I2036"/>
    <hyperlink r:id="rId2037" ref="I2037"/>
    <hyperlink r:id="rId2038" ref="I2038"/>
    <hyperlink r:id="rId2039" ref="I2039"/>
    <hyperlink r:id="rId2040" ref="I2040"/>
    <hyperlink r:id="rId2041" ref="I2041"/>
    <hyperlink r:id="rId2042" ref="I2042"/>
    <hyperlink r:id="rId2043" ref="I2043"/>
    <hyperlink r:id="rId2044" ref="I2044"/>
    <hyperlink r:id="rId2045" ref="I2045"/>
    <hyperlink r:id="rId2046" ref="I2046"/>
    <hyperlink r:id="rId2047" ref="I2047"/>
    <hyperlink r:id="rId2048" ref="I2048"/>
    <hyperlink r:id="rId2049" ref="I2049"/>
    <hyperlink r:id="rId2050" ref="I2050"/>
    <hyperlink r:id="rId2051" ref="I2051"/>
    <hyperlink r:id="rId2052" ref="I2052"/>
    <hyperlink r:id="rId2053" ref="I2053"/>
    <hyperlink r:id="rId2054" ref="I2054"/>
    <hyperlink r:id="rId2055" ref="I2055"/>
    <hyperlink r:id="rId2056" ref="I2056"/>
    <hyperlink r:id="rId2057" ref="I2057"/>
    <hyperlink r:id="rId2058" ref="I2058"/>
    <hyperlink r:id="rId2059" ref="I2059"/>
    <hyperlink r:id="rId2060" ref="I2060"/>
    <hyperlink r:id="rId2061" ref="I2061"/>
    <hyperlink r:id="rId2062" ref="I2062"/>
    <hyperlink r:id="rId2063" ref="I2063"/>
    <hyperlink r:id="rId2064" ref="I2064"/>
    <hyperlink r:id="rId2065" ref="I2065"/>
    <hyperlink r:id="rId2066" ref="I2066"/>
    <hyperlink r:id="rId2067" ref="I2067"/>
    <hyperlink r:id="rId2068" ref="I2068"/>
    <hyperlink r:id="rId2069" ref="I2069"/>
    <hyperlink r:id="rId2070" ref="I2070"/>
    <hyperlink r:id="rId2071" ref="I2071"/>
    <hyperlink r:id="rId2072" ref="I2072"/>
    <hyperlink r:id="rId2073" ref="I2073"/>
    <hyperlink r:id="rId2074" ref="I2074"/>
    <hyperlink r:id="rId2075" ref="I2075"/>
    <hyperlink r:id="rId2076" ref="I2076"/>
    <hyperlink r:id="rId2077" ref="I2077"/>
    <hyperlink r:id="rId2078" ref="I2078"/>
    <hyperlink r:id="rId2079" ref="I2079"/>
    <hyperlink r:id="rId2080" ref="I2080"/>
    <hyperlink r:id="rId2081" ref="I2081"/>
    <hyperlink r:id="rId2082" ref="I2082"/>
    <hyperlink r:id="rId2083" ref="I2083"/>
    <hyperlink r:id="rId2084" ref="I2084"/>
    <hyperlink r:id="rId2085" ref="I2085"/>
    <hyperlink r:id="rId2086" ref="I2086"/>
    <hyperlink r:id="rId2087" ref="I2087"/>
    <hyperlink r:id="rId2088" ref="I2088"/>
    <hyperlink r:id="rId2089" ref="I2089"/>
    <hyperlink r:id="rId2090" ref="I2090"/>
    <hyperlink r:id="rId2091" ref="I2091"/>
    <hyperlink r:id="rId2092" ref="I2092"/>
    <hyperlink r:id="rId2093" ref="I2093"/>
    <hyperlink r:id="rId2094" ref="I2094"/>
    <hyperlink r:id="rId2095" ref="I2095"/>
    <hyperlink r:id="rId2096" ref="I2096"/>
    <hyperlink r:id="rId2097" ref="I2097"/>
    <hyperlink r:id="rId2098" ref="I2098"/>
    <hyperlink r:id="rId2099" ref="I2099"/>
    <hyperlink r:id="rId2100" ref="I2100"/>
    <hyperlink r:id="rId2101" ref="I2101"/>
    <hyperlink r:id="rId2102" ref="I2102"/>
    <hyperlink r:id="rId2103" ref="I2103"/>
    <hyperlink r:id="rId2104" ref="I2104"/>
    <hyperlink r:id="rId2105" ref="I2105"/>
    <hyperlink r:id="rId2106" ref="I2106"/>
    <hyperlink r:id="rId2107" ref="I2107"/>
    <hyperlink r:id="rId2108" ref="I2108"/>
    <hyperlink r:id="rId2109" ref="I2109"/>
    <hyperlink r:id="rId2110" ref="I2110"/>
    <hyperlink r:id="rId2111" ref="I2111"/>
    <hyperlink r:id="rId2112" ref="I2112"/>
    <hyperlink r:id="rId2113" ref="I2113"/>
    <hyperlink r:id="rId2114" ref="I2114"/>
    <hyperlink r:id="rId2115" ref="I2115"/>
    <hyperlink r:id="rId2116" ref="I2116"/>
    <hyperlink r:id="rId2117" ref="I2117"/>
    <hyperlink r:id="rId2118" ref="I2118"/>
    <hyperlink r:id="rId2119" ref="I2119"/>
    <hyperlink r:id="rId2120" ref="I2120"/>
    <hyperlink r:id="rId2121" ref="I2121"/>
    <hyperlink r:id="rId2122" ref="I2122"/>
    <hyperlink r:id="rId2123" ref="I2123"/>
    <hyperlink r:id="rId2124" ref="I2124"/>
    <hyperlink r:id="rId2125" ref="I2125"/>
    <hyperlink r:id="rId2126" ref="I2126"/>
    <hyperlink r:id="rId2127" ref="I2127"/>
    <hyperlink r:id="rId2128" ref="I2128"/>
    <hyperlink r:id="rId2129" ref="I2129"/>
    <hyperlink r:id="rId2130" ref="I2130"/>
    <hyperlink r:id="rId2131" ref="I2131"/>
    <hyperlink r:id="rId2132" ref="I2132"/>
    <hyperlink r:id="rId2133" ref="I2133"/>
    <hyperlink r:id="rId2134" ref="I2134"/>
    <hyperlink r:id="rId2135" ref="I2135"/>
    <hyperlink r:id="rId2136" ref="I2136"/>
    <hyperlink r:id="rId2137" ref="I2137"/>
    <hyperlink r:id="rId2138" ref="I2138"/>
    <hyperlink r:id="rId2139" ref="I2139"/>
    <hyperlink r:id="rId2140" ref="I2140"/>
    <hyperlink r:id="rId2141" ref="I2141"/>
    <hyperlink r:id="rId2142" ref="I2142"/>
    <hyperlink r:id="rId2143" ref="I2143"/>
    <hyperlink r:id="rId2144" ref="I2144"/>
    <hyperlink r:id="rId2145" ref="I2145"/>
    <hyperlink r:id="rId2146" ref="I2146"/>
    <hyperlink r:id="rId2147" ref="I2147"/>
    <hyperlink r:id="rId2148" ref="I2148"/>
    <hyperlink r:id="rId2149" ref="I2149"/>
    <hyperlink r:id="rId2150" ref="I2150"/>
    <hyperlink r:id="rId2151" ref="I2151"/>
    <hyperlink r:id="rId2152" ref="I2152"/>
    <hyperlink r:id="rId2153" ref="I2153"/>
    <hyperlink r:id="rId2154" ref="I2154"/>
    <hyperlink r:id="rId2155" ref="I2155"/>
    <hyperlink r:id="rId2156" ref="I2156"/>
    <hyperlink r:id="rId2157" ref="I2157"/>
    <hyperlink r:id="rId2158" ref="I2158"/>
    <hyperlink r:id="rId2159" ref="I2159"/>
    <hyperlink r:id="rId2160" ref="I2160"/>
    <hyperlink r:id="rId2161" ref="I2161"/>
    <hyperlink r:id="rId2162" ref="I2162"/>
    <hyperlink r:id="rId2163" ref="I2163"/>
    <hyperlink r:id="rId2164" ref="I2164"/>
    <hyperlink r:id="rId2165" ref="I2165"/>
    <hyperlink r:id="rId2166" ref="I2166"/>
    <hyperlink r:id="rId2167" ref="I2167"/>
    <hyperlink r:id="rId2168" ref="I2168"/>
    <hyperlink r:id="rId2169" ref="I2169"/>
    <hyperlink r:id="rId2170" ref="I2170"/>
    <hyperlink r:id="rId2171" ref="I2171"/>
    <hyperlink r:id="rId2172" ref="I2172"/>
    <hyperlink r:id="rId2173" ref="I2173"/>
    <hyperlink r:id="rId2174" ref="I2174"/>
    <hyperlink r:id="rId2175" ref="I2175"/>
    <hyperlink r:id="rId2176" ref="I2176"/>
    <hyperlink r:id="rId2177" ref="I2177"/>
    <hyperlink r:id="rId2178" ref="I2178"/>
    <hyperlink r:id="rId2179" ref="I2179"/>
    <hyperlink r:id="rId2180" ref="I2180"/>
    <hyperlink r:id="rId2181" ref="I2181"/>
    <hyperlink r:id="rId2182" ref="I2182"/>
    <hyperlink r:id="rId2183" ref="I2183"/>
    <hyperlink r:id="rId2184" ref="I2184"/>
    <hyperlink r:id="rId2185" ref="I2185"/>
    <hyperlink r:id="rId2186" ref="I2186"/>
    <hyperlink r:id="rId2187" ref="I2187"/>
    <hyperlink r:id="rId2188" ref="I2188"/>
    <hyperlink r:id="rId2189" ref="I2189"/>
    <hyperlink r:id="rId2190" ref="I2190"/>
    <hyperlink r:id="rId2191" ref="I2191"/>
    <hyperlink r:id="rId2192" ref="I2192"/>
    <hyperlink r:id="rId2193" ref="I2193"/>
    <hyperlink r:id="rId2194" ref="I2194"/>
    <hyperlink r:id="rId2195" ref="I2195"/>
    <hyperlink r:id="rId2196" ref="I2196"/>
    <hyperlink r:id="rId2197" ref="I2197"/>
    <hyperlink r:id="rId2198" ref="I2198"/>
    <hyperlink r:id="rId2199" ref="I2199"/>
    <hyperlink r:id="rId2200" ref="I2200"/>
    <hyperlink r:id="rId2201" ref="I2201"/>
    <hyperlink r:id="rId2202" ref="I2202"/>
    <hyperlink r:id="rId2203" ref="I2203"/>
    <hyperlink r:id="rId2204" ref="I2204"/>
    <hyperlink r:id="rId2205" ref="I2205"/>
    <hyperlink r:id="rId2206" ref="I2206"/>
    <hyperlink r:id="rId2207" ref="I2207"/>
    <hyperlink r:id="rId2208" ref="I2208"/>
    <hyperlink r:id="rId2209" ref="I2209"/>
    <hyperlink r:id="rId2210" ref="I2210"/>
    <hyperlink r:id="rId2211" ref="I2211"/>
    <hyperlink r:id="rId2212" ref="I2212"/>
    <hyperlink r:id="rId2213" ref="I2213"/>
    <hyperlink r:id="rId2214" ref="I2214"/>
    <hyperlink r:id="rId2215" ref="I2215"/>
    <hyperlink r:id="rId2216" ref="I2216"/>
    <hyperlink r:id="rId2217" ref="I2217"/>
    <hyperlink r:id="rId2218" ref="I2218"/>
    <hyperlink r:id="rId2219" ref="I2219"/>
    <hyperlink r:id="rId2220" ref="I2220"/>
    <hyperlink r:id="rId2221" ref="I2221"/>
    <hyperlink r:id="rId2222" ref="I2222"/>
    <hyperlink r:id="rId2223" ref="I2223"/>
    <hyperlink r:id="rId2224" ref="I2224"/>
    <hyperlink r:id="rId2225" ref="I2225"/>
    <hyperlink r:id="rId2226" ref="I2226"/>
    <hyperlink r:id="rId2227" ref="I2227"/>
    <hyperlink r:id="rId2228" ref="I2228"/>
    <hyperlink r:id="rId2229" ref="I2229"/>
    <hyperlink r:id="rId2230" ref="I2230"/>
    <hyperlink r:id="rId2231" ref="I2231"/>
    <hyperlink r:id="rId2232" ref="I2232"/>
    <hyperlink r:id="rId2233" ref="I2233"/>
    <hyperlink r:id="rId2234" ref="I2234"/>
    <hyperlink r:id="rId2235" ref="I2235"/>
    <hyperlink r:id="rId2236" ref="I2236"/>
    <hyperlink r:id="rId2237" ref="I2237"/>
    <hyperlink r:id="rId2238" ref="I2238"/>
    <hyperlink r:id="rId2239" ref="I2239"/>
    <hyperlink r:id="rId2240" ref="I2240"/>
    <hyperlink r:id="rId2241" ref="I2241"/>
    <hyperlink r:id="rId2242" ref="I2242"/>
    <hyperlink r:id="rId2243" ref="I2243"/>
    <hyperlink r:id="rId2244" ref="I2244"/>
    <hyperlink r:id="rId2245" ref="I2245"/>
    <hyperlink r:id="rId2246" ref="I2246"/>
    <hyperlink r:id="rId2247" ref="I2247"/>
    <hyperlink r:id="rId2248" ref="I2248"/>
    <hyperlink r:id="rId2249" ref="I2249"/>
    <hyperlink r:id="rId2250" ref="I2250"/>
    <hyperlink r:id="rId2251" ref="I2251"/>
    <hyperlink r:id="rId2252" ref="I2252"/>
    <hyperlink r:id="rId2253" ref="I2253"/>
    <hyperlink r:id="rId2254" ref="I2254"/>
    <hyperlink r:id="rId2255" ref="I2255"/>
    <hyperlink r:id="rId2256" ref="I2256"/>
    <hyperlink r:id="rId2257" ref="I2257"/>
    <hyperlink r:id="rId2258" ref="I2258"/>
    <hyperlink r:id="rId2259" ref="I2259"/>
    <hyperlink r:id="rId2260" ref="I2260"/>
    <hyperlink r:id="rId2261" ref="I2261"/>
    <hyperlink r:id="rId2262" ref="I2262"/>
    <hyperlink r:id="rId2263" ref="I2263"/>
    <hyperlink r:id="rId2264" ref="I2264"/>
    <hyperlink r:id="rId2265" ref="I2265"/>
    <hyperlink r:id="rId2266" ref="I2266"/>
    <hyperlink r:id="rId2267" ref="I2267"/>
    <hyperlink r:id="rId2268" ref="I2268"/>
    <hyperlink r:id="rId2269" ref="I2269"/>
    <hyperlink r:id="rId2270" ref="I2270"/>
    <hyperlink r:id="rId2271" ref="I2271"/>
    <hyperlink r:id="rId2272" ref="I2272"/>
    <hyperlink r:id="rId2273" ref="I2273"/>
    <hyperlink r:id="rId2274" ref="I2274"/>
    <hyperlink r:id="rId2275" ref="I2275"/>
    <hyperlink r:id="rId2276" ref="I2276"/>
    <hyperlink r:id="rId2277" ref="I2277"/>
    <hyperlink r:id="rId2278" ref="I2278"/>
    <hyperlink r:id="rId2279" ref="I2279"/>
    <hyperlink r:id="rId2280" ref="I2280"/>
    <hyperlink r:id="rId2281" ref="I2281"/>
    <hyperlink r:id="rId2282" ref="I2282"/>
    <hyperlink r:id="rId2283" ref="I2283"/>
    <hyperlink r:id="rId2284" ref="I2284"/>
    <hyperlink r:id="rId2285" ref="I2285"/>
    <hyperlink r:id="rId2286" ref="I2286"/>
    <hyperlink r:id="rId2287" ref="I2287"/>
    <hyperlink r:id="rId2288" ref="I2288"/>
    <hyperlink r:id="rId2289" ref="I2289"/>
    <hyperlink r:id="rId2290" ref="I2290"/>
    <hyperlink r:id="rId2291" ref="I2291"/>
    <hyperlink r:id="rId2292" ref="I2292"/>
    <hyperlink r:id="rId2293" ref="I2293"/>
    <hyperlink r:id="rId2294" ref="I2294"/>
    <hyperlink r:id="rId2295" ref="I2295"/>
    <hyperlink r:id="rId2296" ref="I2296"/>
    <hyperlink r:id="rId2297" ref="I2297"/>
    <hyperlink r:id="rId2298" ref="I2298"/>
    <hyperlink r:id="rId2299" ref="I2299"/>
    <hyperlink r:id="rId2300" ref="I2300"/>
    <hyperlink r:id="rId2301" ref="I2301"/>
    <hyperlink r:id="rId2302" ref="I2302"/>
    <hyperlink r:id="rId2303" ref="I2303"/>
    <hyperlink r:id="rId2304" ref="I2304"/>
    <hyperlink r:id="rId2305" ref="I2305"/>
    <hyperlink r:id="rId2306" ref="I2306"/>
    <hyperlink r:id="rId2307" ref="I2307"/>
    <hyperlink r:id="rId2308" ref="I2308"/>
    <hyperlink r:id="rId2309" ref="I2309"/>
    <hyperlink r:id="rId2310" ref="I2310"/>
    <hyperlink r:id="rId2311" ref="I2311"/>
    <hyperlink r:id="rId2312" ref="I2312"/>
    <hyperlink r:id="rId2313" ref="I2313"/>
    <hyperlink r:id="rId2314" ref="I2314"/>
    <hyperlink r:id="rId2315" ref="I2315"/>
    <hyperlink r:id="rId2316" ref="I2316"/>
    <hyperlink r:id="rId2317" ref="I2317"/>
    <hyperlink r:id="rId2318" ref="I2318"/>
    <hyperlink r:id="rId2319" ref="I2319"/>
    <hyperlink r:id="rId2320" ref="I2320"/>
    <hyperlink r:id="rId2321" ref="I2321"/>
    <hyperlink r:id="rId2322" ref="I2322"/>
    <hyperlink r:id="rId2323" ref="I2323"/>
    <hyperlink r:id="rId2324" ref="I2324"/>
    <hyperlink r:id="rId2325" ref="I2325"/>
    <hyperlink r:id="rId2326" ref="I2326"/>
    <hyperlink r:id="rId2327" ref="I2327"/>
    <hyperlink r:id="rId2328" ref="I2328"/>
    <hyperlink r:id="rId2329" ref="I2329"/>
    <hyperlink r:id="rId2330" ref="I2330"/>
    <hyperlink r:id="rId2331" ref="I2331"/>
    <hyperlink r:id="rId2332" ref="I2332"/>
    <hyperlink r:id="rId2333" ref="I2333"/>
    <hyperlink r:id="rId2334" ref="I2334"/>
    <hyperlink r:id="rId2335" ref="I2335"/>
    <hyperlink r:id="rId2336" ref="I2336"/>
    <hyperlink r:id="rId2337" ref="I2337"/>
    <hyperlink r:id="rId2338" ref="I2338"/>
    <hyperlink r:id="rId2339" ref="I2339"/>
    <hyperlink r:id="rId2340" ref="I2340"/>
    <hyperlink r:id="rId2341" ref="I2341"/>
    <hyperlink r:id="rId2342" ref="I2342"/>
    <hyperlink r:id="rId2343" ref="I2343"/>
    <hyperlink r:id="rId2344" ref="I2344"/>
    <hyperlink r:id="rId2345" ref="I2345"/>
    <hyperlink r:id="rId2346" ref="I2346"/>
    <hyperlink r:id="rId2347" ref="I2347"/>
    <hyperlink r:id="rId2348" ref="I2348"/>
    <hyperlink r:id="rId2349" ref="I2349"/>
    <hyperlink r:id="rId2350" ref="I2350"/>
    <hyperlink r:id="rId2351" ref="I2351"/>
    <hyperlink r:id="rId2352" ref="I2352"/>
    <hyperlink r:id="rId2353" ref="I2353"/>
    <hyperlink r:id="rId2354" ref="I2354"/>
    <hyperlink r:id="rId2355" ref="I2355"/>
    <hyperlink r:id="rId2356" ref="I2356"/>
    <hyperlink r:id="rId2357" ref="I2357"/>
    <hyperlink r:id="rId2358" ref="I2358"/>
    <hyperlink r:id="rId2359" ref="I2359"/>
    <hyperlink r:id="rId2360" ref="I2360"/>
    <hyperlink r:id="rId2361" ref="I2361"/>
    <hyperlink r:id="rId2362" ref="I2362"/>
    <hyperlink r:id="rId2363" ref="I2363"/>
    <hyperlink r:id="rId2364" ref="I2364"/>
    <hyperlink r:id="rId2365" ref="I2365"/>
    <hyperlink r:id="rId2366" ref="I2366"/>
    <hyperlink r:id="rId2367" ref="I2367"/>
    <hyperlink r:id="rId2368" ref="I2368"/>
    <hyperlink r:id="rId2369" ref="I2369"/>
    <hyperlink r:id="rId2370" ref="I2370"/>
    <hyperlink r:id="rId2371" ref="I2371"/>
    <hyperlink r:id="rId2372" ref="I2372"/>
    <hyperlink r:id="rId2373" ref="I2373"/>
    <hyperlink r:id="rId2374" ref="I2374"/>
    <hyperlink r:id="rId2375" ref="I2375"/>
    <hyperlink r:id="rId2376" ref="I2376"/>
    <hyperlink r:id="rId2377" ref="I2377"/>
    <hyperlink r:id="rId2378" ref="I2378"/>
    <hyperlink r:id="rId2379" ref="I2379"/>
    <hyperlink r:id="rId2380" ref="I2380"/>
    <hyperlink r:id="rId2381" ref="I2381"/>
    <hyperlink r:id="rId2382" ref="I2382"/>
    <hyperlink r:id="rId2383" ref="I2383"/>
    <hyperlink r:id="rId2384" ref="I2384"/>
    <hyperlink r:id="rId2385" ref="I2385"/>
    <hyperlink r:id="rId2386" ref="I2386"/>
    <hyperlink r:id="rId2387" ref="I2387"/>
    <hyperlink r:id="rId2388" ref="I2388"/>
    <hyperlink r:id="rId2389" ref="I2389"/>
    <hyperlink r:id="rId2390" ref="I2390"/>
    <hyperlink r:id="rId2391" ref="I2391"/>
    <hyperlink r:id="rId2392" ref="I2392"/>
    <hyperlink r:id="rId2393" ref="I2393"/>
    <hyperlink r:id="rId2394" ref="I2394"/>
    <hyperlink r:id="rId2395" ref="I2395"/>
    <hyperlink r:id="rId2396" ref="I2396"/>
    <hyperlink r:id="rId2397" ref="I2397"/>
    <hyperlink r:id="rId2398" ref="I2398"/>
    <hyperlink r:id="rId2399" ref="I2399"/>
    <hyperlink r:id="rId2400" ref="I2400"/>
    <hyperlink r:id="rId2401" ref="I2401"/>
    <hyperlink r:id="rId2402" ref="I2402"/>
    <hyperlink r:id="rId2403" ref="I2403"/>
    <hyperlink r:id="rId2404" ref="I2404"/>
    <hyperlink r:id="rId2405" ref="I2405"/>
    <hyperlink r:id="rId2406" ref="I2406"/>
    <hyperlink r:id="rId2407" ref="I2407"/>
    <hyperlink r:id="rId2408" ref="I2408"/>
    <hyperlink r:id="rId2409" ref="I2409"/>
    <hyperlink r:id="rId2410" ref="I2410"/>
    <hyperlink r:id="rId2411" ref="I2411"/>
    <hyperlink r:id="rId2412" ref="I2412"/>
    <hyperlink r:id="rId2413" ref="I2413"/>
    <hyperlink r:id="rId2414" ref="I2414"/>
    <hyperlink r:id="rId2415" ref="I2415"/>
    <hyperlink r:id="rId2416" ref="I2416"/>
    <hyperlink r:id="rId2417" ref="I2417"/>
    <hyperlink r:id="rId2418" ref="I2418"/>
    <hyperlink r:id="rId2419" ref="I2419"/>
    <hyperlink r:id="rId2420" ref="I2420"/>
    <hyperlink r:id="rId2421" ref="I2421"/>
    <hyperlink r:id="rId2422" ref="I2422"/>
    <hyperlink r:id="rId2423" ref="I2423"/>
    <hyperlink r:id="rId2424" ref="I2424"/>
    <hyperlink r:id="rId2425" ref="I2425"/>
    <hyperlink r:id="rId2426" ref="I2426"/>
    <hyperlink r:id="rId2427" ref="I2427"/>
    <hyperlink r:id="rId2428" ref="I2428"/>
    <hyperlink r:id="rId2429" ref="I2429"/>
    <hyperlink r:id="rId2430" ref="I2430"/>
    <hyperlink r:id="rId2431" ref="I2431"/>
    <hyperlink r:id="rId2432" ref="I2432"/>
    <hyperlink r:id="rId2433" ref="I2433"/>
    <hyperlink r:id="rId2434" ref="I2434"/>
    <hyperlink r:id="rId2435" ref="I2435"/>
    <hyperlink r:id="rId2436" ref="I2436"/>
    <hyperlink r:id="rId2437" ref="I2437"/>
    <hyperlink r:id="rId2438" ref="I2438"/>
    <hyperlink r:id="rId2439" ref="I2439"/>
    <hyperlink r:id="rId2440" ref="I2440"/>
    <hyperlink r:id="rId2441" ref="I2441"/>
    <hyperlink r:id="rId2442" ref="I2442"/>
    <hyperlink r:id="rId2443" ref="I2443"/>
    <hyperlink r:id="rId2444" ref="I2444"/>
    <hyperlink r:id="rId2445" ref="I2445"/>
    <hyperlink r:id="rId2446" ref="I2446"/>
    <hyperlink r:id="rId2447" ref="I2447"/>
    <hyperlink r:id="rId2448" ref="I2448"/>
    <hyperlink r:id="rId2449" ref="I2449"/>
    <hyperlink r:id="rId2450" ref="I2450"/>
    <hyperlink r:id="rId2451" ref="I2451"/>
    <hyperlink r:id="rId2452" ref="I2452"/>
    <hyperlink r:id="rId2453" ref="I2453"/>
    <hyperlink r:id="rId2454" ref="I2454"/>
    <hyperlink r:id="rId2455" ref="I2455"/>
    <hyperlink r:id="rId2456" ref="I2456"/>
    <hyperlink r:id="rId2457" ref="I2457"/>
    <hyperlink r:id="rId2458" ref="I2458"/>
    <hyperlink r:id="rId2459" ref="I2459"/>
    <hyperlink r:id="rId2460" ref="I2460"/>
    <hyperlink r:id="rId2461" ref="I2461"/>
    <hyperlink r:id="rId2462" ref="I2462"/>
    <hyperlink r:id="rId2463" ref="I2463"/>
    <hyperlink r:id="rId2464" ref="I2464"/>
    <hyperlink r:id="rId2465" ref="I2465"/>
    <hyperlink r:id="rId2466" ref="I2466"/>
    <hyperlink r:id="rId2467" ref="I2467"/>
    <hyperlink r:id="rId2468" ref="I2468"/>
    <hyperlink r:id="rId2469" ref="I2469"/>
    <hyperlink r:id="rId2470" ref="I2470"/>
    <hyperlink r:id="rId2471" ref="I2471"/>
    <hyperlink r:id="rId2472" ref="I2472"/>
    <hyperlink r:id="rId2473" ref="I2473"/>
    <hyperlink r:id="rId2474" ref="I2474"/>
    <hyperlink r:id="rId2475" ref="I2475"/>
    <hyperlink r:id="rId2476" ref="I2476"/>
    <hyperlink r:id="rId2477" ref="I2477"/>
    <hyperlink r:id="rId2478" ref="I2478"/>
    <hyperlink r:id="rId2479" ref="I2479"/>
    <hyperlink r:id="rId2480" ref="I2480"/>
    <hyperlink r:id="rId2481" ref="I2481"/>
    <hyperlink r:id="rId2482" ref="I2482"/>
    <hyperlink r:id="rId2483" ref="I2483"/>
    <hyperlink r:id="rId2484" ref="I2484"/>
    <hyperlink r:id="rId2485" ref="I2485"/>
    <hyperlink r:id="rId2486" ref="I2486"/>
    <hyperlink r:id="rId2487" ref="I2487"/>
    <hyperlink r:id="rId2488" ref="I2488"/>
    <hyperlink r:id="rId2489" ref="I2489"/>
    <hyperlink r:id="rId2490" ref="I2490"/>
    <hyperlink r:id="rId2491" ref="I2491"/>
    <hyperlink r:id="rId2492" ref="I2492"/>
    <hyperlink r:id="rId2493" ref="I2493"/>
    <hyperlink r:id="rId2494" ref="I2494"/>
    <hyperlink r:id="rId2495" ref="I2495"/>
    <hyperlink r:id="rId2496" ref="I2496"/>
    <hyperlink r:id="rId2497" ref="I2497"/>
    <hyperlink r:id="rId2498" ref="I2498"/>
    <hyperlink r:id="rId2499" ref="I2499"/>
    <hyperlink r:id="rId2500" ref="I2500"/>
    <hyperlink r:id="rId2501" ref="I2501"/>
    <hyperlink r:id="rId2502" ref="I2502"/>
    <hyperlink r:id="rId2503" ref="I2503"/>
    <hyperlink r:id="rId2504" ref="I2504"/>
    <hyperlink r:id="rId2505" ref="I2505"/>
    <hyperlink r:id="rId2506" ref="I2506"/>
    <hyperlink r:id="rId2507" ref="I2507"/>
    <hyperlink r:id="rId2508" ref="I2508"/>
    <hyperlink r:id="rId2509" ref="I2509"/>
    <hyperlink r:id="rId2510" ref="I2510"/>
    <hyperlink r:id="rId2511" ref="I2511"/>
    <hyperlink r:id="rId2512" ref="I2512"/>
    <hyperlink r:id="rId2513" ref="I2513"/>
    <hyperlink r:id="rId2514" ref="I2514"/>
    <hyperlink r:id="rId2515" ref="I2515"/>
    <hyperlink r:id="rId2516" ref="I2516"/>
    <hyperlink r:id="rId2517" ref="I2517"/>
    <hyperlink r:id="rId2518" ref="I2518"/>
    <hyperlink r:id="rId2519" ref="I2519"/>
    <hyperlink r:id="rId2520" ref="I2520"/>
    <hyperlink r:id="rId2521" ref="I2521"/>
    <hyperlink r:id="rId2522" ref="I2522"/>
    <hyperlink r:id="rId2523" ref="I2523"/>
    <hyperlink r:id="rId2524" ref="I2524"/>
    <hyperlink r:id="rId2525" ref="I2525"/>
    <hyperlink r:id="rId2526" ref="I2526"/>
    <hyperlink r:id="rId2527" ref="I2527"/>
    <hyperlink r:id="rId2528" ref="I2528"/>
    <hyperlink r:id="rId2529" ref="I2529"/>
    <hyperlink r:id="rId2530" ref="I2530"/>
    <hyperlink r:id="rId2531" ref="I2531"/>
    <hyperlink r:id="rId2532" ref="I2532"/>
    <hyperlink r:id="rId2533" ref="I2533"/>
    <hyperlink r:id="rId2534" ref="I2534"/>
    <hyperlink r:id="rId2535" ref="I2535"/>
    <hyperlink r:id="rId2536" ref="I2536"/>
    <hyperlink r:id="rId2537" ref="I2537"/>
    <hyperlink r:id="rId2538" ref="I2538"/>
    <hyperlink r:id="rId2539" ref="I2539"/>
    <hyperlink r:id="rId2540" ref="I2540"/>
    <hyperlink r:id="rId2541" ref="I2541"/>
    <hyperlink r:id="rId2542" ref="I2542"/>
    <hyperlink r:id="rId2543" ref="I2543"/>
    <hyperlink r:id="rId2544" ref="I2544"/>
    <hyperlink r:id="rId2545" ref="I2545"/>
    <hyperlink r:id="rId2546" ref="I2546"/>
    <hyperlink r:id="rId2547" ref="I2547"/>
    <hyperlink r:id="rId2548" ref="I2548"/>
    <hyperlink r:id="rId2549" ref="I2549"/>
    <hyperlink r:id="rId2550" ref="I2550"/>
    <hyperlink r:id="rId2551" ref="I2551"/>
    <hyperlink r:id="rId2552" ref="I2552"/>
    <hyperlink r:id="rId2553" ref="I2553"/>
    <hyperlink r:id="rId2554" ref="I2554"/>
    <hyperlink r:id="rId2555" ref="I2555"/>
    <hyperlink r:id="rId2556" ref="I2556"/>
    <hyperlink r:id="rId2557" ref="I2557"/>
    <hyperlink r:id="rId2558" ref="I2558"/>
    <hyperlink r:id="rId2559" ref="I2559"/>
    <hyperlink r:id="rId2560" ref="I2560"/>
    <hyperlink r:id="rId2561" ref="I2561"/>
    <hyperlink r:id="rId2562" ref="I2562"/>
    <hyperlink r:id="rId2563" ref="I2563"/>
    <hyperlink r:id="rId2564" ref="I2564"/>
    <hyperlink r:id="rId2565" ref="I2565"/>
    <hyperlink r:id="rId2566" ref="I2566"/>
    <hyperlink r:id="rId2567" ref="I2567"/>
    <hyperlink r:id="rId2568" ref="I2568"/>
    <hyperlink r:id="rId2569" ref="I2569"/>
    <hyperlink r:id="rId2570" ref="I2570"/>
    <hyperlink r:id="rId2571" ref="I2571"/>
    <hyperlink r:id="rId2572" ref="I2572"/>
    <hyperlink r:id="rId2573" ref="I2573"/>
    <hyperlink r:id="rId2574" ref="I2574"/>
    <hyperlink r:id="rId2575" ref="I2575"/>
    <hyperlink r:id="rId2576" ref="I2576"/>
    <hyperlink r:id="rId2577" ref="I2577"/>
    <hyperlink r:id="rId2578" ref="I2578"/>
    <hyperlink r:id="rId2579" ref="I2579"/>
    <hyperlink r:id="rId2580" ref="I2580"/>
    <hyperlink r:id="rId2581" ref="I2581"/>
    <hyperlink r:id="rId2582" ref="I2582"/>
    <hyperlink r:id="rId2583" ref="I2583"/>
    <hyperlink r:id="rId2584" ref="I2584"/>
    <hyperlink r:id="rId2585" ref="I2585"/>
    <hyperlink r:id="rId2586" ref="I2586"/>
    <hyperlink r:id="rId2587" ref="I2587"/>
    <hyperlink r:id="rId2588" ref="I2588"/>
    <hyperlink r:id="rId2589" ref="I2589"/>
    <hyperlink r:id="rId2590" ref="I2590"/>
    <hyperlink r:id="rId2591" ref="I2591"/>
    <hyperlink r:id="rId2592" ref="I2592"/>
    <hyperlink r:id="rId2593" ref="I2593"/>
    <hyperlink r:id="rId2594" ref="I2594"/>
    <hyperlink r:id="rId2595" ref="I2595"/>
    <hyperlink r:id="rId2596" ref="I2596"/>
    <hyperlink r:id="rId2597" ref="I2597"/>
    <hyperlink r:id="rId2598" ref="I2598"/>
    <hyperlink r:id="rId2599" ref="I2599"/>
    <hyperlink r:id="rId2600" ref="I2600"/>
    <hyperlink r:id="rId2601" ref="I2601"/>
    <hyperlink r:id="rId2602" ref="I2602"/>
    <hyperlink r:id="rId2603" ref="I2603"/>
    <hyperlink r:id="rId2604" ref="I2604"/>
    <hyperlink r:id="rId2605" ref="I2605"/>
    <hyperlink r:id="rId2606" ref="I2606"/>
    <hyperlink r:id="rId2607" ref="I2607"/>
    <hyperlink r:id="rId2608" ref="I2608"/>
    <hyperlink r:id="rId2609" ref="I2609"/>
    <hyperlink r:id="rId2610" ref="I2610"/>
    <hyperlink r:id="rId2611" ref="I2611"/>
    <hyperlink r:id="rId2612" ref="I2612"/>
    <hyperlink r:id="rId2613" ref="I2613"/>
    <hyperlink r:id="rId2614" ref="I2614"/>
    <hyperlink r:id="rId2615" ref="I2615"/>
    <hyperlink r:id="rId2616" ref="I2616"/>
    <hyperlink r:id="rId2617" ref="I2617"/>
    <hyperlink r:id="rId2618" ref="I2618"/>
    <hyperlink r:id="rId2619" ref="I2619"/>
    <hyperlink r:id="rId2620" ref="I2620"/>
    <hyperlink r:id="rId2621" ref="I2621"/>
    <hyperlink r:id="rId2622" ref="I2622"/>
    <hyperlink r:id="rId2623" ref="I2623"/>
    <hyperlink r:id="rId2624" ref="I2624"/>
    <hyperlink r:id="rId2625" ref="I2625"/>
    <hyperlink r:id="rId2626" ref="I2626"/>
    <hyperlink r:id="rId2627" ref="I2627"/>
    <hyperlink r:id="rId2628" ref="I2628"/>
    <hyperlink r:id="rId2629" ref="I2629"/>
    <hyperlink r:id="rId2630" ref="I2630"/>
    <hyperlink r:id="rId2631" ref="I2631"/>
    <hyperlink r:id="rId2632" ref="I2632"/>
    <hyperlink r:id="rId2633" ref="I2633"/>
    <hyperlink r:id="rId2634" ref="I2634"/>
    <hyperlink r:id="rId2635" ref="I2635"/>
    <hyperlink r:id="rId2636" ref="I2636"/>
    <hyperlink r:id="rId2637" ref="I2637"/>
    <hyperlink r:id="rId2638" ref="I2638"/>
    <hyperlink r:id="rId2639" ref="I2639"/>
    <hyperlink r:id="rId2640" ref="I2640"/>
    <hyperlink r:id="rId2641" ref="I2641"/>
    <hyperlink r:id="rId2642" ref="I2642"/>
    <hyperlink r:id="rId2643" ref="I2643"/>
    <hyperlink r:id="rId2644" ref="I2644"/>
    <hyperlink r:id="rId2645" ref="I2645"/>
    <hyperlink r:id="rId2646" ref="I2646"/>
    <hyperlink r:id="rId2647" ref="I2647"/>
    <hyperlink r:id="rId2648" ref="I2648"/>
    <hyperlink r:id="rId2649" ref="I2649"/>
    <hyperlink r:id="rId2650" ref="I2650"/>
    <hyperlink r:id="rId2651" ref="I2651"/>
    <hyperlink r:id="rId2652" ref="I2652"/>
    <hyperlink r:id="rId2653" ref="I2653"/>
    <hyperlink r:id="rId2654" ref="I2654"/>
    <hyperlink r:id="rId2655" ref="I2655"/>
    <hyperlink r:id="rId2656" ref="I2656"/>
    <hyperlink r:id="rId2657" ref="I2657"/>
    <hyperlink r:id="rId2658" ref="I2658"/>
    <hyperlink r:id="rId2659" ref="I2659"/>
    <hyperlink r:id="rId2660" ref="I2660"/>
    <hyperlink r:id="rId2661" ref="I2661"/>
    <hyperlink r:id="rId2662" ref="I2662"/>
    <hyperlink r:id="rId2663" ref="I2663"/>
    <hyperlink r:id="rId2664" ref="I2664"/>
    <hyperlink r:id="rId2665" ref="I2665"/>
    <hyperlink r:id="rId2666" ref="I2666"/>
    <hyperlink r:id="rId2667" ref="I2667"/>
    <hyperlink r:id="rId2668" ref="I2668"/>
    <hyperlink r:id="rId2669" ref="I2669"/>
    <hyperlink r:id="rId2670" ref="I2670"/>
    <hyperlink r:id="rId2671" ref="I2671"/>
    <hyperlink r:id="rId2672" ref="I2672"/>
    <hyperlink r:id="rId2673" ref="I2673"/>
    <hyperlink r:id="rId2674" ref="I2674"/>
    <hyperlink r:id="rId2675" ref="I2675"/>
    <hyperlink r:id="rId2676" ref="I2676"/>
    <hyperlink r:id="rId2677" ref="I2677"/>
    <hyperlink r:id="rId2678" ref="I2678"/>
    <hyperlink r:id="rId2679" ref="I2679"/>
    <hyperlink r:id="rId2680" ref="I2680"/>
    <hyperlink r:id="rId2681" ref="I2681"/>
    <hyperlink r:id="rId2682" ref="I2682"/>
    <hyperlink r:id="rId2683" ref="I2683"/>
    <hyperlink r:id="rId2684" ref="I2684"/>
    <hyperlink r:id="rId2685" ref="I2685"/>
    <hyperlink r:id="rId2686" ref="I2686"/>
    <hyperlink r:id="rId2687" ref="I2687"/>
    <hyperlink r:id="rId2688" ref="I2688"/>
    <hyperlink r:id="rId2689" ref="I2689"/>
    <hyperlink r:id="rId2690" ref="I2690"/>
    <hyperlink r:id="rId2691" ref="I2691"/>
    <hyperlink r:id="rId2692" ref="I2692"/>
    <hyperlink r:id="rId2693" ref="I2693"/>
    <hyperlink r:id="rId2694" ref="I2694"/>
    <hyperlink r:id="rId2695" ref="I2695"/>
    <hyperlink r:id="rId2696" ref="I2696"/>
    <hyperlink r:id="rId2697" ref="I2697"/>
    <hyperlink r:id="rId2698" ref="I2698"/>
    <hyperlink r:id="rId2699" ref="I2699"/>
    <hyperlink r:id="rId2700" ref="I2700"/>
    <hyperlink r:id="rId2701" ref="I2701"/>
    <hyperlink r:id="rId2702" ref="I2702"/>
    <hyperlink r:id="rId2703" ref="I2703"/>
    <hyperlink r:id="rId2704" ref="I2704"/>
    <hyperlink r:id="rId2705" ref="I2705"/>
    <hyperlink r:id="rId2706" ref="I2706"/>
    <hyperlink r:id="rId2707" ref="I2707"/>
    <hyperlink r:id="rId2708" ref="I2708"/>
    <hyperlink r:id="rId2709" ref="I2709"/>
    <hyperlink r:id="rId2710" ref="I2710"/>
    <hyperlink r:id="rId2711" ref="I2711"/>
    <hyperlink r:id="rId2712" ref="I2712"/>
    <hyperlink r:id="rId2713" ref="I2713"/>
    <hyperlink r:id="rId2714" ref="I2714"/>
    <hyperlink r:id="rId2715" ref="I2715"/>
    <hyperlink r:id="rId2716" ref="I2716"/>
    <hyperlink r:id="rId2717" ref="I2717"/>
    <hyperlink r:id="rId2718" ref="I2718"/>
    <hyperlink r:id="rId2719" ref="I2719"/>
    <hyperlink r:id="rId2720" ref="I2720"/>
    <hyperlink r:id="rId2721" ref="I2721"/>
    <hyperlink r:id="rId2722" ref="I2722"/>
    <hyperlink r:id="rId2723" ref="I2723"/>
    <hyperlink r:id="rId2724" ref="I2724"/>
    <hyperlink r:id="rId2725" ref="I2725"/>
    <hyperlink r:id="rId2726" ref="I2726"/>
  </hyperlinks>
  <drawing r:id="rId2727"/>
</worksheet>
</file>